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hidePivotFieldList="1"/>
  <mc:AlternateContent xmlns:mc="http://schemas.openxmlformats.org/markup-compatibility/2006">
    <mc:Choice Requires="x15">
      <x15ac:absPath xmlns:x15ac="http://schemas.microsoft.com/office/spreadsheetml/2010/11/ac" url="Z:\España\2026\04 Estudios Previos\08. Colombia, Villavieja\Villavieja\"/>
    </mc:Choice>
  </mc:AlternateContent>
  <xr:revisionPtr revIDLastSave="0" documentId="13_ncr:1_{BA18BEF2-6260-4720-B3DB-DF7699410165}" xr6:coauthVersionLast="47" xr6:coauthVersionMax="47" xr10:uidLastSave="{00000000-0000-0000-0000-000000000000}"/>
  <bookViews>
    <workbookView xWindow="-120" yWindow="-120" windowWidth="20730" windowHeight="11160" tabRatio="862" firstSheet="1" activeTab="1" xr2:uid="{00000000-000D-0000-FFFF-FFFF00000000}"/>
  </bookViews>
  <sheets>
    <sheet name="Indice" sheetId="1" r:id="rId1"/>
    <sheet name="presup" sheetId="2" r:id="rId2"/>
    <sheet name="unitario" sheetId="8" r:id="rId3"/>
    <sheet name="BASICOS SIN AIU " sheetId="49" r:id="rId4"/>
    <sheet name="precios " sheetId="10" r:id="rId5"/>
    <sheet name="aiu" sheetId="46" r:id="rId6"/>
    <sheet name="F.P" sheetId="41" r:id="rId7"/>
    <sheet name="POLIZA" sheetId="40" r:id="rId8"/>
    <sheet name="consolidado" sheetId="7" r:id="rId9"/>
    <sheet name="CUADRILLAS" sheetId="9" r:id="rId10"/>
    <sheet name="EQUIPOS" sheetId="11" r:id="rId11"/>
    <sheet name="CANT BOCA HATO" sheetId="38" r:id="rId12"/>
    <sheet name="CANT PTAP HATO" sheetId="37" r:id="rId13"/>
    <sheet name="ALMACENAMIENTO" sheetId="36" r:id="rId14"/>
    <sheet name="VENTOSAS" sheetId="35" r:id="rId15"/>
    <sheet name="DISTRIB" sheetId="34" r:id="rId16"/>
    <sheet name="21" sheetId="33" r:id="rId17"/>
    <sheet name="MICRO Y MACRO" sheetId="32" r:id="rId18"/>
    <sheet name="VIADUCTO" sheetId="31" r:id="rId19"/>
    <sheet name="ELECTRICO" sheetId="30" r:id="rId20"/>
  </sheets>
  <functionGroups builtInGroupCount="19"/>
  <externalReferences>
    <externalReference r:id="rId21"/>
  </externalReferences>
  <definedNames>
    <definedName name="_xlnm._FilterDatabase" localSheetId="8" hidden="1">consolidado!$A$8:$M$123</definedName>
    <definedName name="AA_APUS">unitario!$A:$N</definedName>
    <definedName name="AA_Cimentacion">Indice!$E$12:$G$24</definedName>
    <definedName name="AA_Codos">'[1]17'!$C$4:$L$22</definedName>
    <definedName name="AA_Cuadrillas">CUADRILLAS!$A$22:$O$67</definedName>
    <definedName name="AA_Equipos">EQUIPOS!$C$5:$O$42</definedName>
    <definedName name="AA_Materiales">'precios '!$C:$O</definedName>
    <definedName name="AA_Presupuesto">presup!$F$1:$N$311</definedName>
    <definedName name="AA_RDE">[1]Aduccion!$M$3:$N$7</definedName>
    <definedName name="AA_Unitarios">consolidado!$B:$M</definedName>
    <definedName name="_xlnm.Print_Area" localSheetId="5">aiu!$A$1:$O$57</definedName>
    <definedName name="_xlnm.Print_Area" localSheetId="13">ALMACENAMIENTO!$A$1:$W$505</definedName>
    <definedName name="_xlnm.Print_Area" localSheetId="15">DISTRIB!$A$1:$W$65</definedName>
    <definedName name="_xlnm.Print_Area" localSheetId="6">F.P!$A$1:$I$78</definedName>
    <definedName name="_xlnm.Print_Area" localSheetId="4">'precios '!$A$1:$Q$648</definedName>
    <definedName name="_xlnm.Print_Area" localSheetId="1">presup!$A$1:$N$355</definedName>
    <definedName name="_xlnm.Print_Area" localSheetId="2">unitario!$A$1:$N$13857</definedName>
    <definedName name="_xlnm.Print_Area" localSheetId="18">VIADUCTO!$A$1:$H$34</definedName>
    <definedName name="B4borrar">presup!$B:$B</definedName>
    <definedName name="contador">1</definedName>
    <definedName name="CPoblado">""</definedName>
    <definedName name="SistemasPlazos">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9" roundtripDataChecksum="G/XmywSAI4VY0X6prSICC5SLS+wLt8g6XQfT+kemHjs="/>
    </ext>
  </extLst>
</workbook>
</file>

<file path=xl/calcChain.xml><?xml version="1.0" encoding="utf-8"?>
<calcChain xmlns="http://schemas.openxmlformats.org/spreadsheetml/2006/main">
  <c r="N28" i="46" l="1"/>
  <c r="N13" i="46"/>
  <c r="N17" i="46"/>
  <c r="N16" i="46" l="1"/>
  <c r="A398" i="36"/>
  <c r="H149" i="36"/>
  <c r="H141" i="36"/>
  <c r="L141" i="36"/>
  <c r="D416" i="36"/>
  <c r="C416" i="36"/>
  <c r="A380" i="36"/>
  <c r="A362" i="36"/>
  <c r="J136" i="2" l="1"/>
  <c r="H92" i="36"/>
  <c r="H88" i="36"/>
  <c r="H86" i="36"/>
  <c r="H187" i="36" s="1"/>
  <c r="H185" i="36" s="1"/>
  <c r="J135" i="2" s="1"/>
  <c r="J134" i="2" s="1"/>
  <c r="H186" i="36"/>
  <c r="M1155" i="8"/>
  <c r="I1161" i="8"/>
  <c r="A1161" i="8"/>
  <c r="A5727" i="8"/>
  <c r="A5729" i="8"/>
  <c r="A7144" i="8"/>
  <c r="A2233" i="8"/>
  <c r="A7187" i="8"/>
  <c r="M697" i="49"/>
  <c r="K697" i="49"/>
  <c r="I697" i="49"/>
  <c r="H697" i="49"/>
  <c r="M696" i="49"/>
  <c r="K696" i="49"/>
  <c r="I696" i="49"/>
  <c r="H696" i="49"/>
  <c r="M695" i="49"/>
  <c r="K695" i="49"/>
  <c r="I695" i="49"/>
  <c r="H695" i="49"/>
  <c r="M694" i="49"/>
  <c r="K694" i="49"/>
  <c r="I694" i="49"/>
  <c r="H694" i="49"/>
  <c r="L693" i="49"/>
  <c r="K693" i="49"/>
  <c r="I693" i="49"/>
  <c r="M693" i="49" s="1"/>
  <c r="M698" i="49" s="1"/>
  <c r="H693" i="49"/>
  <c r="M688" i="49"/>
  <c r="M687" i="49"/>
  <c r="K685" i="49"/>
  <c r="M679" i="49"/>
  <c r="I679" i="49"/>
  <c r="H679" i="49"/>
  <c r="M678" i="49"/>
  <c r="I678" i="49"/>
  <c r="H678" i="49"/>
  <c r="M677" i="49"/>
  <c r="K677" i="49"/>
  <c r="I677" i="49"/>
  <c r="H677" i="49"/>
  <c r="M676" i="49"/>
  <c r="K676" i="49"/>
  <c r="I676" i="49"/>
  <c r="H676" i="49"/>
  <c r="H675" i="49"/>
  <c r="M670" i="49"/>
  <c r="I670" i="49"/>
  <c r="H670" i="49"/>
  <c r="M669" i="49"/>
  <c r="I669" i="49"/>
  <c r="H669" i="49"/>
  <c r="M668" i="49"/>
  <c r="I668" i="49"/>
  <c r="H668" i="49"/>
  <c r="I667" i="49"/>
  <c r="M667" i="49" s="1"/>
  <c r="H667" i="49"/>
  <c r="I666" i="49"/>
  <c r="M666" i="49" s="1"/>
  <c r="H666" i="49"/>
  <c r="I665" i="49"/>
  <c r="M665" i="49" s="1"/>
  <c r="H665" i="49"/>
  <c r="I664" i="49"/>
  <c r="M664" i="49" s="1"/>
  <c r="H664" i="49"/>
  <c r="I663" i="49"/>
  <c r="M663" i="49" s="1"/>
  <c r="H663" i="49"/>
  <c r="B659" i="49"/>
  <c r="I53" i="38"/>
  <c r="A10030" i="8"/>
  <c r="M652" i="49"/>
  <c r="K652" i="49"/>
  <c r="I652" i="49"/>
  <c r="H652" i="49"/>
  <c r="M651" i="49"/>
  <c r="K651" i="49"/>
  <c r="I651" i="49"/>
  <c r="H651" i="49"/>
  <c r="M650" i="49"/>
  <c r="K650" i="49"/>
  <c r="H650" i="49"/>
  <c r="M649" i="49"/>
  <c r="K649" i="49"/>
  <c r="I649" i="49"/>
  <c r="H649" i="49"/>
  <c r="L648" i="49"/>
  <c r="K648" i="49"/>
  <c r="I648" i="49"/>
  <c r="M648" i="49" s="1"/>
  <c r="M653" i="49" s="1"/>
  <c r="H648" i="49"/>
  <c r="M643" i="49"/>
  <c r="M642" i="49"/>
  <c r="M641" i="49"/>
  <c r="M640" i="49"/>
  <c r="M634" i="49"/>
  <c r="I634" i="49"/>
  <c r="H634" i="49"/>
  <c r="M633" i="49"/>
  <c r="I633" i="49"/>
  <c r="H633" i="49"/>
  <c r="M632" i="49"/>
  <c r="I632" i="49"/>
  <c r="H632" i="49"/>
  <c r="M631" i="49"/>
  <c r="I631" i="49"/>
  <c r="H631" i="49"/>
  <c r="H630" i="49"/>
  <c r="M625" i="49"/>
  <c r="I625" i="49"/>
  <c r="H625" i="49"/>
  <c r="M624" i="49"/>
  <c r="I624" i="49"/>
  <c r="H624" i="49"/>
  <c r="M623" i="49"/>
  <c r="I623" i="49"/>
  <c r="H623" i="49"/>
  <c r="M622" i="49"/>
  <c r="I622" i="49"/>
  <c r="H622" i="49"/>
  <c r="M621" i="49"/>
  <c r="I621" i="49"/>
  <c r="H621" i="49"/>
  <c r="B617" i="49"/>
  <c r="M610" i="49"/>
  <c r="K610" i="49"/>
  <c r="I610" i="49"/>
  <c r="H610" i="49"/>
  <c r="M609" i="49"/>
  <c r="K609" i="49"/>
  <c r="I609" i="49"/>
  <c r="H609" i="49"/>
  <c r="M608" i="49"/>
  <c r="K608" i="49"/>
  <c r="I608" i="49"/>
  <c r="H608" i="49"/>
  <c r="M607" i="49"/>
  <c r="K607" i="49"/>
  <c r="I607" i="49"/>
  <c r="H607" i="49"/>
  <c r="K606" i="49"/>
  <c r="I606" i="49"/>
  <c r="M606" i="49" s="1"/>
  <c r="M611" i="49" s="1"/>
  <c r="H606" i="49"/>
  <c r="M601" i="49"/>
  <c r="M600" i="49"/>
  <c r="M599" i="49"/>
  <c r="M592" i="49"/>
  <c r="I592" i="49"/>
  <c r="H592" i="49"/>
  <c r="M591" i="49"/>
  <c r="I591" i="49"/>
  <c r="H591" i="49"/>
  <c r="M590" i="49"/>
  <c r="I590" i="49"/>
  <c r="H590" i="49"/>
  <c r="M589" i="49"/>
  <c r="I589" i="49"/>
  <c r="H589" i="49"/>
  <c r="H588" i="49"/>
  <c r="M583" i="49"/>
  <c r="I583" i="49"/>
  <c r="H583" i="49"/>
  <c r="M582" i="49"/>
  <c r="I582" i="49"/>
  <c r="H582" i="49"/>
  <c r="M581" i="49"/>
  <c r="I581" i="49"/>
  <c r="H581" i="49"/>
  <c r="M580" i="49"/>
  <c r="I580" i="49"/>
  <c r="H580" i="49"/>
  <c r="M579" i="49"/>
  <c r="I579" i="49"/>
  <c r="H579" i="49"/>
  <c r="M578" i="49"/>
  <c r="I578" i="49"/>
  <c r="H578" i="49"/>
  <c r="B574" i="49"/>
  <c r="M567" i="49"/>
  <c r="K567" i="49"/>
  <c r="I567" i="49"/>
  <c r="H567" i="49"/>
  <c r="M566" i="49"/>
  <c r="K566" i="49"/>
  <c r="I566" i="49"/>
  <c r="H566" i="49"/>
  <c r="M565" i="49"/>
  <c r="K565" i="49"/>
  <c r="I565" i="49"/>
  <c r="H565" i="49"/>
  <c r="M564" i="49"/>
  <c r="K564" i="49"/>
  <c r="I564" i="49"/>
  <c r="H564" i="49"/>
  <c r="K563" i="49"/>
  <c r="I563" i="49"/>
  <c r="M563" i="49" s="1"/>
  <c r="M568" i="49" s="1"/>
  <c r="H563" i="49"/>
  <c r="M558" i="49"/>
  <c r="M557" i="49"/>
  <c r="M556" i="49"/>
  <c r="M555" i="49"/>
  <c r="M549" i="49"/>
  <c r="I549" i="49"/>
  <c r="H549" i="49"/>
  <c r="M548" i="49"/>
  <c r="I548" i="49"/>
  <c r="H548" i="49"/>
  <c r="M547" i="49"/>
  <c r="I547" i="49"/>
  <c r="H547" i="49"/>
  <c r="I546" i="49"/>
  <c r="M546" i="49" s="1"/>
  <c r="H546" i="49"/>
  <c r="H545" i="49"/>
  <c r="M540" i="49"/>
  <c r="I540" i="49"/>
  <c r="H540" i="49"/>
  <c r="I539" i="49"/>
  <c r="M539" i="49" s="1"/>
  <c r="H539" i="49"/>
  <c r="I538" i="49"/>
  <c r="M538" i="49" s="1"/>
  <c r="H538" i="49"/>
  <c r="I537" i="49"/>
  <c r="M537" i="49" s="1"/>
  <c r="H537" i="49"/>
  <c r="I536" i="49"/>
  <c r="M536" i="49" s="1"/>
  <c r="H536" i="49"/>
  <c r="B532" i="49"/>
  <c r="A9536" i="8"/>
  <c r="K513" i="49"/>
  <c r="M525" i="49"/>
  <c r="K525" i="49"/>
  <c r="I525" i="49"/>
  <c r="H525" i="49"/>
  <c r="M524" i="49"/>
  <c r="K524" i="49"/>
  <c r="I524" i="49"/>
  <c r="H524" i="49"/>
  <c r="M523" i="49"/>
  <c r="K523" i="49"/>
  <c r="I523" i="49"/>
  <c r="H523" i="49"/>
  <c r="M522" i="49"/>
  <c r="K522" i="49"/>
  <c r="I522" i="49"/>
  <c r="H522" i="49"/>
  <c r="K521" i="49"/>
  <c r="I521" i="49"/>
  <c r="M521" i="49" s="1"/>
  <c r="M526" i="49" s="1"/>
  <c r="H521" i="49"/>
  <c r="M516" i="49"/>
  <c r="M515" i="49"/>
  <c r="M507" i="49"/>
  <c r="I507" i="49"/>
  <c r="H507" i="49"/>
  <c r="M506" i="49"/>
  <c r="I506" i="49"/>
  <c r="H506" i="49"/>
  <c r="I505" i="49"/>
  <c r="M505" i="49" s="1"/>
  <c r="H505" i="49"/>
  <c r="I504" i="49"/>
  <c r="M504" i="49" s="1"/>
  <c r="H504" i="49"/>
  <c r="H503" i="49"/>
  <c r="M498" i="49"/>
  <c r="I498" i="49"/>
  <c r="H498" i="49"/>
  <c r="I497" i="49"/>
  <c r="M497" i="49" s="1"/>
  <c r="H497" i="49"/>
  <c r="I496" i="49"/>
  <c r="M496" i="49" s="1"/>
  <c r="H496" i="49"/>
  <c r="I495" i="49"/>
  <c r="M495" i="49" s="1"/>
  <c r="H495" i="49"/>
  <c r="I494" i="49"/>
  <c r="M494" i="49" s="1"/>
  <c r="H494" i="49"/>
  <c r="I493" i="49"/>
  <c r="M493" i="49" s="1"/>
  <c r="H493" i="49"/>
  <c r="I492" i="49"/>
  <c r="M492" i="49" s="1"/>
  <c r="H492" i="49"/>
  <c r="I491" i="49"/>
  <c r="M491" i="49" s="1"/>
  <c r="H491" i="49"/>
  <c r="I490" i="49"/>
  <c r="M490" i="49" s="1"/>
  <c r="H490" i="49"/>
  <c r="B486" i="49"/>
  <c r="M479" i="49"/>
  <c r="K479" i="49"/>
  <c r="I479" i="49"/>
  <c r="H479" i="49"/>
  <c r="M478" i="49"/>
  <c r="K478" i="49"/>
  <c r="I478" i="49"/>
  <c r="H478" i="49"/>
  <c r="M477" i="49"/>
  <c r="K477" i="49"/>
  <c r="I477" i="49"/>
  <c r="H477" i="49"/>
  <c r="M476" i="49"/>
  <c r="K476" i="49"/>
  <c r="I476" i="49"/>
  <c r="H476" i="49"/>
  <c r="L475" i="49"/>
  <c r="K475" i="49"/>
  <c r="I475" i="49"/>
  <c r="M475" i="49" s="1"/>
  <c r="M480" i="49" s="1"/>
  <c r="H475" i="49"/>
  <c r="M470" i="49"/>
  <c r="M469" i="49"/>
  <c r="K467" i="49"/>
  <c r="M461" i="49"/>
  <c r="I461" i="49"/>
  <c r="H461" i="49"/>
  <c r="M460" i="49"/>
  <c r="I460" i="49"/>
  <c r="H460" i="49"/>
  <c r="M459" i="49"/>
  <c r="K459" i="49"/>
  <c r="I459" i="49"/>
  <c r="H459" i="49"/>
  <c r="M458" i="49"/>
  <c r="K458" i="49"/>
  <c r="I458" i="49"/>
  <c r="H458" i="49"/>
  <c r="H457" i="49"/>
  <c r="M452" i="49"/>
  <c r="I452" i="49"/>
  <c r="H452" i="49"/>
  <c r="M451" i="49"/>
  <c r="I451" i="49"/>
  <c r="H451" i="49"/>
  <c r="M450" i="49"/>
  <c r="I450" i="49"/>
  <c r="H450" i="49"/>
  <c r="M449" i="49"/>
  <c r="I449" i="49"/>
  <c r="H449" i="49"/>
  <c r="I448" i="49"/>
  <c r="M448" i="49" s="1"/>
  <c r="H448" i="49"/>
  <c r="I447" i="49"/>
  <c r="M447" i="49" s="1"/>
  <c r="H447" i="49"/>
  <c r="I446" i="49"/>
  <c r="M446" i="49" s="1"/>
  <c r="H446" i="49"/>
  <c r="I445" i="49"/>
  <c r="M445" i="49" s="1"/>
  <c r="H445" i="49"/>
  <c r="I444" i="49"/>
  <c r="M444" i="49" s="1"/>
  <c r="H444" i="49"/>
  <c r="B440" i="49"/>
  <c r="A403" i="49"/>
  <c r="K421" i="49"/>
  <c r="M433" i="49"/>
  <c r="K433" i="49"/>
  <c r="I433" i="49"/>
  <c r="H433" i="49"/>
  <c r="M432" i="49"/>
  <c r="K432" i="49"/>
  <c r="I432" i="49"/>
  <c r="H432" i="49"/>
  <c r="M431" i="49"/>
  <c r="K431" i="49"/>
  <c r="I431" i="49"/>
  <c r="H431" i="49"/>
  <c r="M430" i="49"/>
  <c r="K430" i="49"/>
  <c r="I430" i="49"/>
  <c r="H430" i="49"/>
  <c r="K429" i="49"/>
  <c r="I429" i="49"/>
  <c r="M429" i="49" s="1"/>
  <c r="M434" i="49" s="1"/>
  <c r="H429" i="49"/>
  <c r="M424" i="49"/>
  <c r="M423" i="49"/>
  <c r="M422" i="49"/>
  <c r="M421" i="49"/>
  <c r="M415" i="49"/>
  <c r="I415" i="49"/>
  <c r="H415" i="49"/>
  <c r="M414" i="49"/>
  <c r="I414" i="49"/>
  <c r="H414" i="49"/>
  <c r="M413" i="49"/>
  <c r="I413" i="49"/>
  <c r="H413" i="49"/>
  <c r="M412" i="49"/>
  <c r="I412" i="49"/>
  <c r="H412" i="49"/>
  <c r="H411" i="49"/>
  <c r="M406" i="49"/>
  <c r="I406" i="49"/>
  <c r="H406" i="49"/>
  <c r="I405" i="49"/>
  <c r="M405" i="49" s="1"/>
  <c r="H405" i="49"/>
  <c r="I404" i="49"/>
  <c r="M404" i="49" s="1"/>
  <c r="H404" i="49"/>
  <c r="I402" i="49"/>
  <c r="M402" i="49" s="1"/>
  <c r="H402" i="49"/>
  <c r="I401" i="49"/>
  <c r="M401" i="49" s="1"/>
  <c r="H401" i="49"/>
  <c r="I400" i="49"/>
  <c r="M400" i="49" s="1"/>
  <c r="H400" i="49"/>
  <c r="I399" i="49"/>
  <c r="M399" i="49" s="1"/>
  <c r="H399" i="49"/>
  <c r="I398" i="49"/>
  <c r="M398" i="49" s="1"/>
  <c r="H398" i="49"/>
  <c r="B394" i="49"/>
  <c r="C135" i="32"/>
  <c r="M5103" i="8"/>
  <c r="M387" i="49"/>
  <c r="K387" i="49"/>
  <c r="I387" i="49"/>
  <c r="H387" i="49"/>
  <c r="M386" i="49"/>
  <c r="K386" i="49"/>
  <c r="I386" i="49"/>
  <c r="H386" i="49"/>
  <c r="M385" i="49"/>
  <c r="K385" i="49"/>
  <c r="I385" i="49"/>
  <c r="H385" i="49"/>
  <c r="M384" i="49"/>
  <c r="K384" i="49"/>
  <c r="I384" i="49"/>
  <c r="H384" i="49"/>
  <c r="K383" i="49"/>
  <c r="I383" i="49"/>
  <c r="M383" i="49" s="1"/>
  <c r="M388" i="49" s="1"/>
  <c r="H383" i="49"/>
  <c r="M378" i="49"/>
  <c r="M377" i="49"/>
  <c r="M376" i="49"/>
  <c r="M375" i="49"/>
  <c r="M369" i="49"/>
  <c r="I369" i="49"/>
  <c r="H369" i="49"/>
  <c r="M368" i="49"/>
  <c r="I368" i="49"/>
  <c r="H368" i="49"/>
  <c r="M367" i="49"/>
  <c r="I367" i="49"/>
  <c r="H367" i="49"/>
  <c r="M366" i="49"/>
  <c r="I366" i="49"/>
  <c r="H366" i="49"/>
  <c r="H365" i="49"/>
  <c r="M360" i="49"/>
  <c r="I360" i="49"/>
  <c r="H360" i="49"/>
  <c r="M359" i="49"/>
  <c r="I359" i="49"/>
  <c r="H359" i="49"/>
  <c r="M358" i="49"/>
  <c r="I358" i="49"/>
  <c r="H358" i="49"/>
  <c r="M357" i="49"/>
  <c r="I357" i="49"/>
  <c r="H357" i="49"/>
  <c r="M356" i="49"/>
  <c r="I356" i="49"/>
  <c r="H356" i="49"/>
  <c r="M355" i="49"/>
  <c r="I355" i="49"/>
  <c r="H355" i="49"/>
  <c r="B351" i="49"/>
  <c r="K10220" i="8"/>
  <c r="M344" i="49"/>
  <c r="K344" i="49"/>
  <c r="I344" i="49"/>
  <c r="H344" i="49"/>
  <c r="M343" i="49"/>
  <c r="K343" i="49"/>
  <c r="I343" i="49"/>
  <c r="H343" i="49"/>
  <c r="M342" i="49"/>
  <c r="K342" i="49"/>
  <c r="I342" i="49"/>
  <c r="H342" i="49"/>
  <c r="M341" i="49"/>
  <c r="K341" i="49"/>
  <c r="I341" i="49"/>
  <c r="H341" i="49"/>
  <c r="L340" i="49"/>
  <c r="K340" i="49"/>
  <c r="I340" i="49"/>
  <c r="M340" i="49" s="1"/>
  <c r="M345" i="49" s="1"/>
  <c r="H340" i="49"/>
  <c r="M335" i="49"/>
  <c r="M334" i="49"/>
  <c r="M333" i="49"/>
  <c r="M326" i="49"/>
  <c r="I326" i="49"/>
  <c r="H326" i="49"/>
  <c r="M325" i="49"/>
  <c r="I325" i="49"/>
  <c r="H325" i="49"/>
  <c r="M324" i="49"/>
  <c r="I324" i="49"/>
  <c r="H324" i="49"/>
  <c r="M323" i="49"/>
  <c r="I323" i="49"/>
  <c r="H323" i="49"/>
  <c r="H322" i="49"/>
  <c r="M317" i="49"/>
  <c r="I317" i="49"/>
  <c r="H317" i="49"/>
  <c r="M316" i="49"/>
  <c r="I316" i="49"/>
  <c r="H316" i="49"/>
  <c r="M315" i="49"/>
  <c r="I315" i="49"/>
  <c r="H315" i="49"/>
  <c r="I314" i="49"/>
  <c r="M314" i="49" s="1"/>
  <c r="H314" i="49"/>
  <c r="I313" i="49"/>
  <c r="M313" i="49" s="1"/>
  <c r="H313" i="49"/>
  <c r="B309" i="49"/>
  <c r="M302" i="49"/>
  <c r="K302" i="49"/>
  <c r="I302" i="49"/>
  <c r="H302" i="49"/>
  <c r="M301" i="49"/>
  <c r="K301" i="49"/>
  <c r="I301" i="49"/>
  <c r="H301" i="49"/>
  <c r="M300" i="49"/>
  <c r="K300" i="49"/>
  <c r="I300" i="49"/>
  <c r="H300" i="49"/>
  <c r="M299" i="49"/>
  <c r="K299" i="49"/>
  <c r="I299" i="49"/>
  <c r="H299" i="49"/>
  <c r="K298" i="49"/>
  <c r="I298" i="49"/>
  <c r="M298" i="49" s="1"/>
  <c r="M303" i="49" s="1"/>
  <c r="H298" i="49"/>
  <c r="M293" i="49"/>
  <c r="M292" i="49"/>
  <c r="M291" i="49"/>
  <c r="M290" i="49"/>
  <c r="M284" i="49"/>
  <c r="I284" i="49"/>
  <c r="H284" i="49"/>
  <c r="M283" i="49"/>
  <c r="I283" i="49"/>
  <c r="H283" i="49"/>
  <c r="M282" i="49"/>
  <c r="I282" i="49"/>
  <c r="H282" i="49"/>
  <c r="I281" i="49"/>
  <c r="M281" i="49" s="1"/>
  <c r="H281" i="49"/>
  <c r="H280" i="49"/>
  <c r="M275" i="49"/>
  <c r="I275" i="49"/>
  <c r="H275" i="49"/>
  <c r="I274" i="49"/>
  <c r="M274" i="49" s="1"/>
  <c r="H274" i="49"/>
  <c r="I273" i="49"/>
  <c r="M273" i="49" s="1"/>
  <c r="H273" i="49"/>
  <c r="I272" i="49"/>
  <c r="M272" i="49" s="1"/>
  <c r="H272" i="49"/>
  <c r="I271" i="49"/>
  <c r="M271" i="49" s="1"/>
  <c r="H271" i="49"/>
  <c r="B267" i="49"/>
  <c r="K241" i="49"/>
  <c r="M253" i="49"/>
  <c r="K253" i="49"/>
  <c r="I253" i="49"/>
  <c r="H253" i="49"/>
  <c r="M252" i="49"/>
  <c r="K252" i="49"/>
  <c r="I252" i="49"/>
  <c r="H252" i="49"/>
  <c r="M251" i="49"/>
  <c r="K251" i="49"/>
  <c r="I251" i="49"/>
  <c r="H251" i="49"/>
  <c r="M250" i="49"/>
  <c r="K250" i="49"/>
  <c r="I250" i="49"/>
  <c r="H250" i="49"/>
  <c r="L249" i="49"/>
  <c r="K249" i="49"/>
  <c r="I249" i="49"/>
  <c r="M249" i="49" s="1"/>
  <c r="M254" i="49" s="1"/>
  <c r="H249" i="49"/>
  <c r="M244" i="49"/>
  <c r="M243" i="49"/>
  <c r="M235" i="49"/>
  <c r="I235" i="49"/>
  <c r="H235" i="49"/>
  <c r="M234" i="49"/>
  <c r="I234" i="49"/>
  <c r="H234" i="49"/>
  <c r="M233" i="49"/>
  <c r="I233" i="49"/>
  <c r="H233" i="49"/>
  <c r="K232" i="49"/>
  <c r="I232" i="49"/>
  <c r="M232" i="49" s="1"/>
  <c r="H232" i="49"/>
  <c r="H231" i="49"/>
  <c r="M226" i="49"/>
  <c r="I226" i="49"/>
  <c r="H226" i="49"/>
  <c r="I225" i="49"/>
  <c r="M225" i="49" s="1"/>
  <c r="H225" i="49"/>
  <c r="I224" i="49"/>
  <c r="M224" i="49" s="1"/>
  <c r="H224" i="49"/>
  <c r="I223" i="49"/>
  <c r="M223" i="49" s="1"/>
  <c r="H223" i="49"/>
  <c r="I222" i="49"/>
  <c r="M222" i="49" s="1"/>
  <c r="H222" i="49"/>
  <c r="B218" i="49"/>
  <c r="M211" i="49"/>
  <c r="K211" i="49"/>
  <c r="I211" i="49"/>
  <c r="H211" i="49"/>
  <c r="M210" i="49"/>
  <c r="K210" i="49"/>
  <c r="I210" i="49"/>
  <c r="H210" i="49"/>
  <c r="M209" i="49"/>
  <c r="K209" i="49"/>
  <c r="I209" i="49"/>
  <c r="H209" i="49"/>
  <c r="M208" i="49"/>
  <c r="K208" i="49"/>
  <c r="I208" i="49"/>
  <c r="H208" i="49"/>
  <c r="K207" i="49"/>
  <c r="I207" i="49"/>
  <c r="M207" i="49" s="1"/>
  <c r="M212" i="49" s="1"/>
  <c r="H207" i="49"/>
  <c r="M202" i="49"/>
  <c r="M201" i="49"/>
  <c r="M200" i="49"/>
  <c r="M199" i="49"/>
  <c r="M193" i="49"/>
  <c r="I193" i="49"/>
  <c r="H193" i="49"/>
  <c r="M192" i="49"/>
  <c r="I192" i="49"/>
  <c r="H192" i="49"/>
  <c r="M191" i="49"/>
  <c r="I191" i="49"/>
  <c r="H191" i="49"/>
  <c r="I190" i="49"/>
  <c r="M190" i="49" s="1"/>
  <c r="H190" i="49"/>
  <c r="H189" i="49"/>
  <c r="M184" i="49"/>
  <c r="I184" i="49"/>
  <c r="H184" i="49"/>
  <c r="M183" i="49"/>
  <c r="I183" i="49"/>
  <c r="H183" i="49"/>
  <c r="M182" i="49"/>
  <c r="I182" i="49"/>
  <c r="H182" i="49"/>
  <c r="M181" i="49"/>
  <c r="I181" i="49"/>
  <c r="H181" i="49"/>
  <c r="M180" i="49"/>
  <c r="I180" i="49"/>
  <c r="H180" i="49"/>
  <c r="B176" i="49"/>
  <c r="M169" i="49"/>
  <c r="K169" i="49"/>
  <c r="I169" i="49"/>
  <c r="H169" i="49"/>
  <c r="M168" i="49"/>
  <c r="K168" i="49"/>
  <c r="I168" i="49"/>
  <c r="H168" i="49"/>
  <c r="M167" i="49"/>
  <c r="K167" i="49"/>
  <c r="I167" i="49"/>
  <c r="H167" i="49"/>
  <c r="M166" i="49"/>
  <c r="K166" i="49"/>
  <c r="I166" i="49"/>
  <c r="H166" i="49"/>
  <c r="L165" i="49"/>
  <c r="K165" i="49"/>
  <c r="I165" i="49"/>
  <c r="M165" i="49" s="1"/>
  <c r="M170" i="49" s="1"/>
  <c r="H165" i="49"/>
  <c r="M160" i="49"/>
  <c r="M159" i="49"/>
  <c r="M158" i="49"/>
  <c r="M151" i="49"/>
  <c r="I151" i="49"/>
  <c r="H151" i="49"/>
  <c r="M150" i="49"/>
  <c r="I150" i="49"/>
  <c r="H150" i="49"/>
  <c r="K149" i="49"/>
  <c r="I149" i="49"/>
  <c r="M149" i="49" s="1"/>
  <c r="H149" i="49"/>
  <c r="K148" i="49"/>
  <c r="I148" i="49"/>
  <c r="M148" i="49" s="1"/>
  <c r="H148" i="49"/>
  <c r="H147" i="49"/>
  <c r="M142" i="49"/>
  <c r="I142" i="49"/>
  <c r="H142" i="49"/>
  <c r="M141" i="49"/>
  <c r="I141" i="49"/>
  <c r="H141" i="49"/>
  <c r="M140" i="49"/>
  <c r="I140" i="49"/>
  <c r="H140" i="49"/>
  <c r="M139" i="49"/>
  <c r="I139" i="49"/>
  <c r="H139" i="49"/>
  <c r="M138" i="49"/>
  <c r="I138" i="49"/>
  <c r="H138" i="49"/>
  <c r="I137" i="49"/>
  <c r="M137" i="49" s="1"/>
  <c r="H137" i="49"/>
  <c r="B133" i="49"/>
  <c r="M125" i="49"/>
  <c r="K125" i="49"/>
  <c r="I125" i="49"/>
  <c r="H125" i="49"/>
  <c r="M124" i="49"/>
  <c r="K124" i="49"/>
  <c r="I124" i="49"/>
  <c r="H124" i="49"/>
  <c r="M123" i="49"/>
  <c r="K123" i="49"/>
  <c r="I123" i="49"/>
  <c r="H123" i="49"/>
  <c r="M122" i="49"/>
  <c r="K122" i="49"/>
  <c r="I122" i="49"/>
  <c r="H122" i="49"/>
  <c r="L121" i="49"/>
  <c r="K121" i="49"/>
  <c r="I121" i="49"/>
  <c r="M121" i="49" s="1"/>
  <c r="M126" i="49" s="1"/>
  <c r="H121" i="49"/>
  <c r="M116" i="49"/>
  <c r="M115" i="49"/>
  <c r="M114" i="49"/>
  <c r="M107" i="49"/>
  <c r="I107" i="49"/>
  <c r="H107" i="49"/>
  <c r="M106" i="49"/>
  <c r="I106" i="49"/>
  <c r="H106" i="49"/>
  <c r="M105" i="49"/>
  <c r="I105" i="49"/>
  <c r="H105" i="49"/>
  <c r="M104" i="49"/>
  <c r="I104" i="49"/>
  <c r="H104" i="49"/>
  <c r="H103" i="49"/>
  <c r="M98" i="49"/>
  <c r="I98" i="49"/>
  <c r="H98" i="49"/>
  <c r="M97" i="49"/>
  <c r="I97" i="49"/>
  <c r="H97" i="49"/>
  <c r="M96" i="49"/>
  <c r="I96" i="49"/>
  <c r="H96" i="49"/>
  <c r="M95" i="49"/>
  <c r="I95" i="49"/>
  <c r="H95" i="49"/>
  <c r="I94" i="49"/>
  <c r="M94" i="49" s="1"/>
  <c r="H94" i="49"/>
  <c r="I93" i="49"/>
  <c r="M93" i="49" s="1"/>
  <c r="H93" i="49"/>
  <c r="B89" i="49"/>
  <c r="M83" i="49"/>
  <c r="K83" i="49"/>
  <c r="I83" i="49"/>
  <c r="H83" i="49"/>
  <c r="M82" i="49"/>
  <c r="K82" i="49"/>
  <c r="I82" i="49"/>
  <c r="H82" i="49"/>
  <c r="M81" i="49"/>
  <c r="K81" i="49"/>
  <c r="I81" i="49"/>
  <c r="H81" i="49"/>
  <c r="M80" i="49"/>
  <c r="K80" i="49"/>
  <c r="I80" i="49"/>
  <c r="H80" i="49"/>
  <c r="L79" i="49"/>
  <c r="K79" i="49"/>
  <c r="I79" i="49"/>
  <c r="M79" i="49" s="1"/>
  <c r="M84" i="49" s="1"/>
  <c r="H79" i="49"/>
  <c r="M74" i="49"/>
  <c r="M73" i="49"/>
  <c r="M72" i="49"/>
  <c r="K70" i="49"/>
  <c r="M65" i="49"/>
  <c r="I65" i="49"/>
  <c r="H65" i="49"/>
  <c r="M64" i="49"/>
  <c r="I64" i="49"/>
  <c r="H64" i="49"/>
  <c r="M63" i="49"/>
  <c r="I63" i="49"/>
  <c r="H63" i="49"/>
  <c r="K62" i="49"/>
  <c r="I62" i="49"/>
  <c r="M62" i="49" s="1"/>
  <c r="H62" i="49"/>
  <c r="H61" i="49"/>
  <c r="M56" i="49"/>
  <c r="I56" i="49"/>
  <c r="H56" i="49"/>
  <c r="M55" i="49"/>
  <c r="I55" i="49"/>
  <c r="H55" i="49"/>
  <c r="M54" i="49"/>
  <c r="I54" i="49"/>
  <c r="H54" i="49"/>
  <c r="M53" i="49"/>
  <c r="I53" i="49"/>
  <c r="H53" i="49"/>
  <c r="M52" i="49"/>
  <c r="I52" i="49"/>
  <c r="H52" i="49"/>
  <c r="K51" i="49"/>
  <c r="I51" i="49"/>
  <c r="M51" i="49" s="1"/>
  <c r="H51" i="49"/>
  <c r="B47" i="49"/>
  <c r="M41" i="49"/>
  <c r="M40" i="49"/>
  <c r="K40" i="49"/>
  <c r="I40" i="49"/>
  <c r="H40" i="49"/>
  <c r="M39" i="49"/>
  <c r="K39" i="49"/>
  <c r="I39" i="49"/>
  <c r="H39" i="49"/>
  <c r="M38" i="49"/>
  <c r="K38" i="49"/>
  <c r="I38" i="49"/>
  <c r="H38" i="49"/>
  <c r="M37" i="49"/>
  <c r="K37" i="49"/>
  <c r="I37" i="49"/>
  <c r="H37" i="49"/>
  <c r="K36" i="49"/>
  <c r="I36" i="49"/>
  <c r="M36" i="49" s="1"/>
  <c r="H36" i="49"/>
  <c r="M31" i="49"/>
  <c r="M30" i="49"/>
  <c r="M29" i="49"/>
  <c r="M28" i="49"/>
  <c r="M22" i="49"/>
  <c r="I22" i="49"/>
  <c r="H22" i="49"/>
  <c r="M21" i="49"/>
  <c r="I21" i="49"/>
  <c r="H21" i="49"/>
  <c r="M20" i="49"/>
  <c r="I20" i="49"/>
  <c r="H20" i="49"/>
  <c r="M19" i="49"/>
  <c r="I19" i="49"/>
  <c r="H19" i="49"/>
  <c r="H18" i="49"/>
  <c r="M13" i="49"/>
  <c r="I13" i="49"/>
  <c r="H13" i="49"/>
  <c r="M12" i="49"/>
  <c r="I12" i="49"/>
  <c r="H12" i="49"/>
  <c r="M11" i="49"/>
  <c r="I11" i="49"/>
  <c r="H11" i="49"/>
  <c r="M10" i="49"/>
  <c r="I10" i="49"/>
  <c r="H10" i="49"/>
  <c r="M9" i="49"/>
  <c r="I9" i="49"/>
  <c r="H9" i="49"/>
  <c r="M8" i="49"/>
  <c r="I8" i="49"/>
  <c r="H8" i="49"/>
  <c r="B4" i="49"/>
  <c r="I4770" i="8"/>
  <c r="I806" i="8"/>
  <c r="N45" i="8"/>
  <c r="I675" i="49" l="1"/>
  <c r="M675" i="49" s="1"/>
  <c r="M680" i="49" s="1"/>
  <c r="N659" i="49"/>
  <c r="I686" i="49"/>
  <c r="M686" i="49" s="1"/>
  <c r="M671" i="49"/>
  <c r="J659" i="49" s="1"/>
  <c r="M626" i="49"/>
  <c r="J617" i="49" s="1"/>
  <c r="F617" i="49" s="1"/>
  <c r="N617" i="49"/>
  <c r="I630" i="49"/>
  <c r="M630" i="49" s="1"/>
  <c r="M635" i="49" s="1"/>
  <c r="M584" i="49"/>
  <c r="J574" i="49" s="1"/>
  <c r="I588" i="49"/>
  <c r="M588" i="49" s="1"/>
  <c r="M593" i="49" s="1"/>
  <c r="N574" i="49"/>
  <c r="M541" i="49"/>
  <c r="H532" i="49" s="1"/>
  <c r="N532" i="49"/>
  <c r="I545" i="49"/>
  <c r="M545" i="49" s="1"/>
  <c r="M550" i="49" s="1"/>
  <c r="J532" i="49" s="1"/>
  <c r="I468" i="49"/>
  <c r="M468" i="49" s="1"/>
  <c r="N486" i="49"/>
  <c r="I503" i="49"/>
  <c r="M503" i="49" s="1"/>
  <c r="M508" i="49" s="1"/>
  <c r="M499" i="49"/>
  <c r="I457" i="49"/>
  <c r="M457" i="49" s="1"/>
  <c r="M462" i="49" s="1"/>
  <c r="N440" i="49"/>
  <c r="M453" i="49"/>
  <c r="J440" i="49" s="1"/>
  <c r="I403" i="49"/>
  <c r="M403" i="49" s="1"/>
  <c r="M407" i="49" s="1"/>
  <c r="H394" i="49" s="1"/>
  <c r="H403" i="49"/>
  <c r="N394" i="49"/>
  <c r="I411" i="49"/>
  <c r="M411" i="49" s="1"/>
  <c r="M416" i="49" s="1"/>
  <c r="M361" i="49"/>
  <c r="J351" i="49" s="1"/>
  <c r="F351" i="49" s="1"/>
  <c r="I11481" i="8" s="1"/>
  <c r="N351" i="49"/>
  <c r="I365" i="49"/>
  <c r="M365" i="49" s="1"/>
  <c r="M370" i="49" s="1"/>
  <c r="M318" i="49"/>
  <c r="J309" i="49" s="1"/>
  <c r="I322" i="49"/>
  <c r="M322" i="49" s="1"/>
  <c r="M327" i="49" s="1"/>
  <c r="N309" i="49"/>
  <c r="M276" i="49"/>
  <c r="J267" i="49" s="1"/>
  <c r="N267" i="49"/>
  <c r="I280" i="49"/>
  <c r="M280" i="49" s="1"/>
  <c r="M285" i="49" s="1"/>
  <c r="H267" i="49" s="1"/>
  <c r="M185" i="49"/>
  <c r="J176" i="49" s="1"/>
  <c r="F176" i="49" s="1"/>
  <c r="I231" i="49"/>
  <c r="M231" i="49" s="1"/>
  <c r="M236" i="49" s="1"/>
  <c r="N218" i="49"/>
  <c r="M227" i="49"/>
  <c r="J218" i="49" s="1"/>
  <c r="I242" i="49"/>
  <c r="M242" i="49" s="1"/>
  <c r="N176" i="49"/>
  <c r="I189" i="49"/>
  <c r="M189" i="49" s="1"/>
  <c r="M194" i="49" s="1"/>
  <c r="M57" i="49"/>
  <c r="J47" i="49" s="1"/>
  <c r="M143" i="49"/>
  <c r="I156" i="49" s="1"/>
  <c r="M156" i="49" s="1"/>
  <c r="M14" i="49"/>
  <c r="J4" i="49" s="1"/>
  <c r="M99" i="49"/>
  <c r="J89" i="49" s="1"/>
  <c r="N133" i="49"/>
  <c r="I147" i="49"/>
  <c r="M147" i="49" s="1"/>
  <c r="M152" i="49" s="1"/>
  <c r="I103" i="49"/>
  <c r="M103" i="49" s="1"/>
  <c r="M108" i="49" s="1"/>
  <c r="N89" i="49"/>
  <c r="I61" i="49"/>
  <c r="M61" i="49" s="1"/>
  <c r="M66" i="49" s="1"/>
  <c r="N47" i="49"/>
  <c r="N4" i="49"/>
  <c r="I18" i="49"/>
  <c r="M18" i="49" s="1"/>
  <c r="M23" i="49" s="1"/>
  <c r="I684" i="49" l="1"/>
  <c r="M684" i="49" s="1"/>
  <c r="H659" i="49"/>
  <c r="I639" i="49"/>
  <c r="M639" i="49" s="1"/>
  <c r="M644" i="49" s="1"/>
  <c r="L617" i="49" s="1"/>
  <c r="H617" i="49"/>
  <c r="H574" i="49"/>
  <c r="I598" i="49"/>
  <c r="M598" i="49" s="1"/>
  <c r="I554" i="49"/>
  <c r="M554" i="49" s="1"/>
  <c r="M559" i="49" s="1"/>
  <c r="L532" i="49" s="1"/>
  <c r="F532" i="49" s="1"/>
  <c r="L533" i="49" s="1"/>
  <c r="I514" i="49"/>
  <c r="M514" i="49" s="1"/>
  <c r="J486" i="49"/>
  <c r="H486" i="49"/>
  <c r="I512" i="49"/>
  <c r="M512" i="49" s="1"/>
  <c r="H440" i="49"/>
  <c r="I466" i="49"/>
  <c r="M466" i="49" s="1"/>
  <c r="I420" i="49"/>
  <c r="M420" i="49" s="1"/>
  <c r="M425" i="49" s="1"/>
  <c r="L394" i="49" s="1"/>
  <c r="F394" i="49" s="1"/>
  <c r="J394" i="49"/>
  <c r="I374" i="49"/>
  <c r="M374" i="49" s="1"/>
  <c r="M379" i="49" s="1"/>
  <c r="L351" i="49" s="1"/>
  <c r="H351" i="49"/>
  <c r="I331" i="49"/>
  <c r="M331" i="49" s="1"/>
  <c r="H309" i="49"/>
  <c r="I332" i="49"/>
  <c r="M332" i="49" s="1"/>
  <c r="I289" i="49"/>
  <c r="M289" i="49" s="1"/>
  <c r="M294" i="49" s="1"/>
  <c r="L267" i="49" s="1"/>
  <c r="F267" i="49" s="1"/>
  <c r="I9296" i="8" s="1"/>
  <c r="J133" i="49"/>
  <c r="I240" i="49"/>
  <c r="M240" i="49" s="1"/>
  <c r="H218" i="49"/>
  <c r="H176" i="49"/>
  <c r="I198" i="49"/>
  <c r="M198" i="49" s="1"/>
  <c r="M203" i="49" s="1"/>
  <c r="L176" i="49" s="1"/>
  <c r="I112" i="49"/>
  <c r="M112" i="49" s="1"/>
  <c r="I157" i="49"/>
  <c r="M157" i="49" s="1"/>
  <c r="H133" i="49"/>
  <c r="M161" i="49"/>
  <c r="L133" i="49" s="1"/>
  <c r="H47" i="49"/>
  <c r="I71" i="49"/>
  <c r="M71" i="49" s="1"/>
  <c r="H89" i="49"/>
  <c r="I113" i="49"/>
  <c r="M113" i="49" s="1"/>
  <c r="H4" i="49"/>
  <c r="I27" i="49"/>
  <c r="M27" i="49" s="1"/>
  <c r="M32" i="49" s="1"/>
  <c r="L4" i="49" s="1"/>
  <c r="I11485" i="8" l="1"/>
  <c r="F395" i="49"/>
  <c r="K100" i="2" s="1"/>
  <c r="I9501" i="8"/>
  <c r="I10424" i="8"/>
  <c r="I8315" i="8"/>
  <c r="I10418" i="8"/>
  <c r="F133" i="49"/>
  <c r="I7406" i="8" s="1"/>
  <c r="I7398" i="8"/>
  <c r="I7746" i="8"/>
  <c r="L352" i="49"/>
  <c r="I9494" i="8"/>
  <c r="I11478" i="8"/>
  <c r="M336" i="49"/>
  <c r="L309" i="49" s="1"/>
  <c r="F309" i="49" s="1"/>
  <c r="I9298" i="8" s="1"/>
  <c r="M117" i="49"/>
  <c r="L89" i="49" s="1"/>
  <c r="F89" i="49" s="1"/>
  <c r="L90" i="49" s="1"/>
  <c r="L177" i="49"/>
  <c r="F4" i="49"/>
  <c r="I8316" i="8" l="1"/>
  <c r="I9297" i="8"/>
  <c r="I8319" i="8"/>
  <c r="I10422" i="8"/>
  <c r="I7756" i="8"/>
  <c r="L134" i="49"/>
  <c r="I7402" i="8"/>
  <c r="I7752" i="8"/>
  <c r="I7399" i="8"/>
  <c r="I7747" i="8"/>
  <c r="I9499" i="8"/>
  <c r="I11483" i="8"/>
  <c r="I9495" i="8"/>
  <c r="I11479" i="8"/>
  <c r="L310" i="49"/>
  <c r="L350" i="2" l="1"/>
  <c r="E23" i="9"/>
  <c r="M14" i="9" l="1"/>
  <c r="L241" i="8" l="1"/>
  <c r="J281" i="2"/>
  <c r="M418" i="2"/>
  <c r="M422" i="2" s="1"/>
  <c r="I2" i="41" l="1"/>
  <c r="L11630" i="8"/>
  <c r="M407" i="2" l="1"/>
  <c r="J13" i="10"/>
  <c r="A1" i="46"/>
  <c r="K2" i="46"/>
  <c r="L14" i="46"/>
  <c r="N14" i="46" s="1"/>
  <c r="L15" i="46"/>
  <c r="N15" i="46" s="1"/>
  <c r="L17" i="46"/>
  <c r="L18" i="46"/>
  <c r="N18" i="46" s="1"/>
  <c r="L19" i="46"/>
  <c r="N19" i="46" s="1"/>
  <c r="N21" i="46"/>
  <c r="N27" i="46"/>
  <c r="L29" i="46"/>
  <c r="N29" i="46" s="1"/>
  <c r="N34" i="46" s="1"/>
  <c r="L30" i="46"/>
  <c r="N30" i="46" s="1"/>
  <c r="N31" i="46"/>
  <c r="L32" i="46"/>
  <c r="N32" i="46" s="1"/>
  <c r="L33" i="46"/>
  <c r="N33" i="46" s="1"/>
  <c r="A1" i="41"/>
  <c r="F2" i="41"/>
  <c r="C9" i="41"/>
  <c r="H9" i="41"/>
  <c r="I13" i="41"/>
  <c r="I20" i="41"/>
  <c r="I21" i="41" s="1"/>
  <c r="H44" i="41" s="1"/>
  <c r="I27" i="41"/>
  <c r="I36" i="41"/>
  <c r="I42" i="41"/>
  <c r="B47" i="41"/>
  <c r="B48" i="41"/>
  <c r="B49" i="41"/>
  <c r="B50" i="41"/>
  <c r="B51" i="41"/>
  <c r="B52" i="41"/>
  <c r="B53" i="41"/>
  <c r="I54" i="41"/>
  <c r="I63" i="41"/>
  <c r="I69" i="41"/>
  <c r="A1" i="40"/>
  <c r="M2" i="40"/>
  <c r="M8" i="40"/>
  <c r="Q8" i="40" s="1"/>
  <c r="C17" i="40"/>
  <c r="F17" i="40"/>
  <c r="I17" i="40"/>
  <c r="L17" i="40"/>
  <c r="O17" i="40"/>
  <c r="H124" i="7"/>
  <c r="B124" i="7"/>
  <c r="H123" i="7"/>
  <c r="B123" i="7"/>
  <c r="H122" i="7"/>
  <c r="B122" i="7"/>
  <c r="H121" i="7"/>
  <c r="B121" i="7"/>
  <c r="H120" i="7"/>
  <c r="B120" i="7"/>
  <c r="H119" i="7"/>
  <c r="B119" i="7"/>
  <c r="H118" i="7"/>
  <c r="B118" i="7"/>
  <c r="H117" i="7"/>
  <c r="B117" i="7"/>
  <c r="H116" i="7"/>
  <c r="B116" i="7"/>
  <c r="H115" i="7"/>
  <c r="B115" i="7"/>
  <c r="H114" i="7"/>
  <c r="B114" i="7"/>
  <c r="H113" i="7"/>
  <c r="B113" i="7"/>
  <c r="H112" i="7"/>
  <c r="B112" i="7"/>
  <c r="H111" i="7"/>
  <c r="B111" i="7"/>
  <c r="H110" i="7"/>
  <c r="B110" i="7"/>
  <c r="H109" i="7"/>
  <c r="B109" i="7"/>
  <c r="H108" i="7"/>
  <c r="B108" i="7"/>
  <c r="H107" i="7"/>
  <c r="B107" i="7"/>
  <c r="H106" i="7"/>
  <c r="B106" i="7"/>
  <c r="H105" i="7"/>
  <c r="B105" i="7"/>
  <c r="H104" i="7"/>
  <c r="B104" i="7"/>
  <c r="H103" i="7"/>
  <c r="B103" i="7"/>
  <c r="K102" i="7"/>
  <c r="H102" i="7"/>
  <c r="B102" i="7"/>
  <c r="K101" i="7"/>
  <c r="H101" i="7"/>
  <c r="B101" i="7"/>
  <c r="H100" i="7"/>
  <c r="B100" i="7"/>
  <c r="H99" i="7"/>
  <c r="B99" i="7"/>
  <c r="H98" i="7"/>
  <c r="B98" i="7"/>
  <c r="H97" i="7"/>
  <c r="B97" i="7"/>
  <c r="H96" i="7"/>
  <c r="B96" i="7"/>
  <c r="H95" i="7"/>
  <c r="B95" i="7"/>
  <c r="H94" i="7"/>
  <c r="B94" i="7"/>
  <c r="H93" i="7"/>
  <c r="B93" i="7"/>
  <c r="H92" i="7"/>
  <c r="B92" i="7"/>
  <c r="H91" i="7"/>
  <c r="B91" i="7"/>
  <c r="H90" i="7"/>
  <c r="B90" i="7"/>
  <c r="H89" i="7"/>
  <c r="B89" i="7"/>
  <c r="H88" i="7"/>
  <c r="B88" i="7"/>
  <c r="H87" i="7"/>
  <c r="B87" i="7"/>
  <c r="H86" i="7"/>
  <c r="B86" i="7"/>
  <c r="H85" i="7"/>
  <c r="B85" i="7"/>
  <c r="H84" i="7"/>
  <c r="B84" i="7"/>
  <c r="H83" i="7"/>
  <c r="B83" i="7"/>
  <c r="H82" i="7"/>
  <c r="B82" i="7"/>
  <c r="H81" i="7"/>
  <c r="B81" i="7"/>
  <c r="H80" i="7"/>
  <c r="B80" i="7"/>
  <c r="H79" i="7"/>
  <c r="B79" i="7"/>
  <c r="H78" i="7"/>
  <c r="B78" i="7"/>
  <c r="H77" i="7"/>
  <c r="B77" i="7"/>
  <c r="K76" i="7"/>
  <c r="H76" i="7"/>
  <c r="B76" i="7"/>
  <c r="H75" i="7"/>
  <c r="B75" i="7"/>
  <c r="H74" i="7"/>
  <c r="B74" i="7"/>
  <c r="H73" i="7"/>
  <c r="B73" i="7"/>
  <c r="H72" i="7"/>
  <c r="B72" i="7"/>
  <c r="K71" i="7"/>
  <c r="H71" i="7"/>
  <c r="B71" i="7"/>
  <c r="H70" i="7"/>
  <c r="B70" i="7"/>
  <c r="H69" i="7"/>
  <c r="B69" i="7"/>
  <c r="H68" i="7"/>
  <c r="B68" i="7"/>
  <c r="H67" i="7"/>
  <c r="B67" i="7"/>
  <c r="H66" i="7"/>
  <c r="B66" i="7"/>
  <c r="H65" i="7"/>
  <c r="B65" i="7"/>
  <c r="H64" i="7"/>
  <c r="B64" i="7"/>
  <c r="H63" i="7"/>
  <c r="B63" i="7"/>
  <c r="H62" i="7"/>
  <c r="H61" i="7"/>
  <c r="B61" i="7"/>
  <c r="H60" i="7"/>
  <c r="B60" i="7"/>
  <c r="H59" i="7"/>
  <c r="B59" i="7"/>
  <c r="H58" i="7"/>
  <c r="B58" i="7"/>
  <c r="H57" i="7"/>
  <c r="B57" i="7"/>
  <c r="H56" i="7"/>
  <c r="B56" i="7"/>
  <c r="H55" i="7"/>
  <c r="B55" i="7"/>
  <c r="H54" i="7"/>
  <c r="B54" i="7"/>
  <c r="H53" i="7"/>
  <c r="B53" i="7"/>
  <c r="H52" i="7"/>
  <c r="B52" i="7"/>
  <c r="H51" i="7"/>
  <c r="B51" i="7"/>
  <c r="H50" i="7"/>
  <c r="B50" i="7"/>
  <c r="H49" i="7"/>
  <c r="B49" i="7"/>
  <c r="H48" i="7"/>
  <c r="B48" i="7"/>
  <c r="H47" i="7"/>
  <c r="B47" i="7"/>
  <c r="H46" i="7"/>
  <c r="B46" i="7"/>
  <c r="H45" i="7"/>
  <c r="B45" i="7"/>
  <c r="H44" i="7"/>
  <c r="B44" i="7"/>
  <c r="K43" i="7"/>
  <c r="H43" i="7"/>
  <c r="B43" i="7"/>
  <c r="H42" i="7"/>
  <c r="B42" i="7"/>
  <c r="H41" i="7"/>
  <c r="B41" i="7"/>
  <c r="H40" i="7"/>
  <c r="B40" i="7"/>
  <c r="H39" i="7"/>
  <c r="B39" i="7"/>
  <c r="H38" i="7"/>
  <c r="B38" i="7"/>
  <c r="H37" i="7"/>
  <c r="B37" i="7"/>
  <c r="H36" i="7"/>
  <c r="B36" i="7"/>
  <c r="H35" i="7"/>
  <c r="B35" i="7"/>
  <c r="H34" i="7"/>
  <c r="B34" i="7"/>
  <c r="H33" i="7"/>
  <c r="B33" i="7"/>
  <c r="H32" i="7"/>
  <c r="B32" i="7"/>
  <c r="H31" i="7"/>
  <c r="B31" i="7"/>
  <c r="H30" i="7"/>
  <c r="B30" i="7"/>
  <c r="H29" i="7"/>
  <c r="B29" i="7"/>
  <c r="H28" i="7"/>
  <c r="B28" i="7"/>
  <c r="H27" i="7"/>
  <c r="B27" i="7"/>
  <c r="H26" i="7"/>
  <c r="B26" i="7"/>
  <c r="H25" i="7"/>
  <c r="B25" i="7"/>
  <c r="H24" i="7"/>
  <c r="B24" i="7"/>
  <c r="H23" i="7"/>
  <c r="B23" i="7"/>
  <c r="H22" i="7"/>
  <c r="B22" i="7"/>
  <c r="H21" i="7"/>
  <c r="B21" i="7"/>
  <c r="H20" i="7"/>
  <c r="B20" i="7"/>
  <c r="H19" i="7"/>
  <c r="B19" i="7"/>
  <c r="H18" i="7"/>
  <c r="B18" i="7"/>
  <c r="H17" i="7"/>
  <c r="B17" i="7"/>
  <c r="H16" i="7"/>
  <c r="B16" i="7"/>
  <c r="H15" i="7"/>
  <c r="B15" i="7"/>
  <c r="H14" i="7"/>
  <c r="B14" i="7"/>
  <c r="H13" i="7"/>
  <c r="B13" i="7"/>
  <c r="H12" i="7"/>
  <c r="B12" i="7"/>
  <c r="H11" i="7"/>
  <c r="B11" i="7"/>
  <c r="H10" i="7"/>
  <c r="B10" i="7"/>
  <c r="H9" i="7"/>
  <c r="B9" i="7"/>
  <c r="L2" i="7"/>
  <c r="A1" i="7"/>
  <c r="A1" i="38"/>
  <c r="K2" i="38"/>
  <c r="I9" i="38"/>
  <c r="F9" i="38" s="1"/>
  <c r="I20" i="38"/>
  <c r="F20" i="38" s="1"/>
  <c r="I31" i="38"/>
  <c r="F31" i="38" s="1"/>
  <c r="F42" i="38"/>
  <c r="I42" i="38"/>
  <c r="F53" i="38"/>
  <c r="I64" i="38"/>
  <c r="F64" i="38" s="1"/>
  <c r="I77" i="38"/>
  <c r="I75" i="38" s="1"/>
  <c r="F75" i="38" s="1"/>
  <c r="F86" i="38"/>
  <c r="I86" i="38"/>
  <c r="I97" i="38"/>
  <c r="F97" i="38" s="1"/>
  <c r="F108" i="38"/>
  <c r="I119" i="38"/>
  <c r="F119" i="38" s="1"/>
  <c r="F130" i="38"/>
  <c r="I130" i="38"/>
  <c r="I132" i="38"/>
  <c r="I143" i="38"/>
  <c r="I141" i="38" s="1"/>
  <c r="F141" i="38" s="1"/>
  <c r="I152" i="38"/>
  <c r="F152" i="38" s="1"/>
  <c r="F163" i="38"/>
  <c r="I163" i="38"/>
  <c r="F174" i="38"/>
  <c r="I185" i="38"/>
  <c r="F185" i="38" s="1"/>
  <c r="F196" i="38"/>
  <c r="I207" i="38"/>
  <c r="F207" i="38" s="1"/>
  <c r="F218" i="38"/>
  <c r="A1" i="37"/>
  <c r="K2" i="37"/>
  <c r="I9" i="37"/>
  <c r="F9" i="37" s="1"/>
  <c r="I20" i="37"/>
  <c r="F20" i="37" s="1"/>
  <c r="I31" i="37"/>
  <c r="F31" i="37" s="1"/>
  <c r="I42" i="37"/>
  <c r="F42" i="37" s="1"/>
  <c r="I53" i="37"/>
  <c r="F53" i="37" s="1"/>
  <c r="I64" i="37"/>
  <c r="F64" i="37" s="1"/>
  <c r="I75" i="37"/>
  <c r="F75" i="37" s="1"/>
  <c r="F86" i="37"/>
  <c r="I86" i="37"/>
  <c r="I103" i="37"/>
  <c r="I104" i="37"/>
  <c r="I101" i="37" s="1"/>
  <c r="F101" i="37" s="1"/>
  <c r="I112" i="37"/>
  <c r="F112" i="37" s="1"/>
  <c r="J112" i="37"/>
  <c r="I124" i="37"/>
  <c r="F124" i="37" s="1"/>
  <c r="F135" i="37"/>
  <c r="I135" i="37"/>
  <c r="I146" i="37"/>
  <c r="F146" i="37" s="1"/>
  <c r="F157" i="37"/>
  <c r="I157" i="37"/>
  <c r="I168" i="37"/>
  <c r="F168" i="37" s="1"/>
  <c r="F179" i="37"/>
  <c r="I179" i="37"/>
  <c r="I190" i="37"/>
  <c r="F190" i="37" s="1"/>
  <c r="I206" i="37"/>
  <c r="F206" i="37" s="1"/>
  <c r="F201" i="37" s="1"/>
  <c r="I215" i="37"/>
  <c r="F218" i="37"/>
  <c r="I218" i="37"/>
  <c r="I234" i="37"/>
  <c r="I232" i="37" s="1"/>
  <c r="F232" i="37" s="1"/>
  <c r="I243" i="37"/>
  <c r="F243" i="37" s="1"/>
  <c r="I254" i="37"/>
  <c r="F254" i="37" s="1"/>
  <c r="I265" i="37"/>
  <c r="F265" i="37" s="1"/>
  <c r="I278" i="37"/>
  <c r="F278" i="37" s="1"/>
  <c r="I289" i="37"/>
  <c r="F289" i="37" s="1"/>
  <c r="I296" i="37"/>
  <c r="F304" i="37"/>
  <c r="I304" i="37"/>
  <c r="I310" i="37"/>
  <c r="F310" i="37" s="1"/>
  <c r="F316" i="37"/>
  <c r="I316" i="37"/>
  <c r="I322" i="37"/>
  <c r="F322" i="37" s="1"/>
  <c r="F328" i="37"/>
  <c r="I328" i="37"/>
  <c r="A1" i="36"/>
  <c r="V2" i="36"/>
  <c r="H9" i="36"/>
  <c r="L9" i="36"/>
  <c r="P9" i="36"/>
  <c r="T9" i="36"/>
  <c r="H22" i="36"/>
  <c r="L22" i="36"/>
  <c r="P22" i="36"/>
  <c r="T22" i="36"/>
  <c r="H23" i="36"/>
  <c r="H28" i="36" s="1"/>
  <c r="H20" i="36" s="1"/>
  <c r="L23" i="36"/>
  <c r="L28" i="36" s="1"/>
  <c r="L20" i="36" s="1"/>
  <c r="P23" i="36"/>
  <c r="P28" i="36" s="1"/>
  <c r="P20" i="36" s="1"/>
  <c r="T23" i="36"/>
  <c r="T28" i="36"/>
  <c r="T20" i="36" s="1"/>
  <c r="H33" i="36"/>
  <c r="L33" i="36"/>
  <c r="P33" i="36"/>
  <c r="T33" i="36"/>
  <c r="H34" i="36"/>
  <c r="H39" i="36" s="1"/>
  <c r="H31" i="36" s="1"/>
  <c r="H87" i="36" s="1"/>
  <c r="L34" i="36"/>
  <c r="L39" i="36" s="1"/>
  <c r="L31" i="36" s="1"/>
  <c r="L87" i="36" s="1"/>
  <c r="P34" i="36"/>
  <c r="P39" i="36" s="1"/>
  <c r="P31" i="36" s="1"/>
  <c r="P87" i="36" s="1"/>
  <c r="T34" i="36"/>
  <c r="T39" i="36"/>
  <c r="T31" i="36" s="1"/>
  <c r="T87" i="36" s="1"/>
  <c r="T86" i="36" s="1"/>
  <c r="T187" i="36" s="1"/>
  <c r="H48" i="36"/>
  <c r="L48" i="36"/>
  <c r="P48" i="36"/>
  <c r="T48" i="36"/>
  <c r="T49" i="36" s="1"/>
  <c r="T42" i="36" s="1"/>
  <c r="H49" i="36"/>
  <c r="H42" i="36" s="1"/>
  <c r="L49" i="36"/>
  <c r="L42" i="36" s="1"/>
  <c r="P49" i="36"/>
  <c r="P42" i="36" s="1"/>
  <c r="H59" i="36"/>
  <c r="H60" i="36" s="1"/>
  <c r="H53" i="36" s="1"/>
  <c r="L59" i="36"/>
  <c r="L60" i="36" s="1"/>
  <c r="L53" i="36" s="1"/>
  <c r="P59" i="36"/>
  <c r="P60" i="36" s="1"/>
  <c r="P53" i="36" s="1"/>
  <c r="T59" i="36"/>
  <c r="T60" i="36"/>
  <c r="T53" i="36" s="1"/>
  <c r="T64" i="36"/>
  <c r="L70" i="36"/>
  <c r="L71" i="36" s="1"/>
  <c r="L64" i="36" s="1"/>
  <c r="T70" i="36"/>
  <c r="T71" i="36"/>
  <c r="H82" i="36"/>
  <c r="H83" i="36" s="1"/>
  <c r="H75" i="36" s="1"/>
  <c r="L82" i="36"/>
  <c r="P82" i="36"/>
  <c r="T82" i="36"/>
  <c r="L83" i="36"/>
  <c r="L75" i="36" s="1"/>
  <c r="L92" i="36" s="1"/>
  <c r="P83" i="36"/>
  <c r="P75" i="36" s="1"/>
  <c r="P92" i="36" s="1"/>
  <c r="T83" i="36"/>
  <c r="T75" i="36" s="1"/>
  <c r="T92" i="36" s="1"/>
  <c r="L88" i="36"/>
  <c r="P88" i="36"/>
  <c r="T88" i="36"/>
  <c r="L97" i="36"/>
  <c r="L91" i="36" s="1"/>
  <c r="P97" i="36"/>
  <c r="P91" i="36" s="1"/>
  <c r="T97" i="36"/>
  <c r="T91" i="36" s="1"/>
  <c r="H105" i="36"/>
  <c r="H97" i="36" s="1"/>
  <c r="H91" i="36" s="1"/>
  <c r="L105" i="36"/>
  <c r="P105" i="36"/>
  <c r="T105" i="36"/>
  <c r="T108" i="36"/>
  <c r="H115" i="36"/>
  <c r="H116" i="36" s="1"/>
  <c r="H108" i="36" s="1"/>
  <c r="L115" i="36"/>
  <c r="P115" i="36"/>
  <c r="T115" i="36"/>
  <c r="L116" i="36"/>
  <c r="L108" i="36" s="1"/>
  <c r="P116" i="36"/>
  <c r="P108" i="36" s="1"/>
  <c r="T116" i="36"/>
  <c r="H126" i="36"/>
  <c r="L126" i="36"/>
  <c r="L127" i="36" s="1"/>
  <c r="L119" i="36" s="1"/>
  <c r="P126" i="36"/>
  <c r="P127" i="36" s="1"/>
  <c r="P119" i="36" s="1"/>
  <c r="T126" i="36"/>
  <c r="T127" i="36" s="1"/>
  <c r="T119" i="36" s="1"/>
  <c r="H127" i="36"/>
  <c r="H119" i="36" s="1"/>
  <c r="H130" i="36"/>
  <c r="L130" i="36"/>
  <c r="P130" i="36"/>
  <c r="T130" i="36"/>
  <c r="H152" i="36"/>
  <c r="L152" i="36"/>
  <c r="P152" i="36"/>
  <c r="T152" i="36"/>
  <c r="L182" i="36"/>
  <c r="L174" i="36" s="1"/>
  <c r="H196" i="36"/>
  <c r="P196" i="36"/>
  <c r="H207" i="36"/>
  <c r="L207" i="36"/>
  <c r="P207" i="36"/>
  <c r="T207" i="36"/>
  <c r="H218" i="36"/>
  <c r="P218" i="36"/>
  <c r="L229" i="36"/>
  <c r="T229" i="36"/>
  <c r="L240" i="36"/>
  <c r="T240" i="36"/>
  <c r="L251" i="36"/>
  <c r="T251" i="36"/>
  <c r="L262" i="36"/>
  <c r="T262" i="36"/>
  <c r="H273" i="36"/>
  <c r="L273" i="36"/>
  <c r="P273" i="36"/>
  <c r="T273" i="36"/>
  <c r="H284" i="36"/>
  <c r="L284" i="36"/>
  <c r="P284" i="36"/>
  <c r="T284" i="36"/>
  <c r="T295" i="36"/>
  <c r="H296" i="36"/>
  <c r="H295" i="36" s="1"/>
  <c r="L296" i="36"/>
  <c r="L295" i="36" s="1"/>
  <c r="P296" i="36"/>
  <c r="P295" i="36" s="1"/>
  <c r="T296" i="36"/>
  <c r="H306" i="36"/>
  <c r="P306" i="36"/>
  <c r="H317" i="36"/>
  <c r="L317" i="36"/>
  <c r="P317" i="36"/>
  <c r="T317" i="36"/>
  <c r="H328" i="36"/>
  <c r="P328" i="36"/>
  <c r="H339" i="36"/>
  <c r="P339" i="36"/>
  <c r="H350" i="36"/>
  <c r="L350" i="36"/>
  <c r="P350" i="36"/>
  <c r="T350" i="36"/>
  <c r="E375" i="36"/>
  <c r="K375" i="36"/>
  <c r="L375" i="36"/>
  <c r="R375" i="36"/>
  <c r="S375" i="36"/>
  <c r="T375" i="36"/>
  <c r="T149" i="36"/>
  <c r="T141" i="36" s="1"/>
  <c r="E393" i="36"/>
  <c r="K393" i="36"/>
  <c r="R393" i="36"/>
  <c r="S393" i="36"/>
  <c r="T393" i="36"/>
  <c r="E411" i="36"/>
  <c r="K411" i="36"/>
  <c r="R411" i="36"/>
  <c r="S411" i="36"/>
  <c r="B427" i="36"/>
  <c r="B432" i="36" s="1"/>
  <c r="C427" i="36"/>
  <c r="C432" i="36" s="1"/>
  <c r="D427" i="36"/>
  <c r="E427" i="36"/>
  <c r="E432" i="36" s="1"/>
  <c r="F427" i="36"/>
  <c r="G427" i="36"/>
  <c r="H427" i="36"/>
  <c r="H432" i="36" s="1"/>
  <c r="I427" i="36"/>
  <c r="L427" i="36"/>
  <c r="L432" i="36" s="1"/>
  <c r="M427" i="36"/>
  <c r="M432" i="36" s="1"/>
  <c r="N427" i="36"/>
  <c r="O427" i="36"/>
  <c r="O432" i="36" s="1"/>
  <c r="P427" i="36"/>
  <c r="Q427" i="36"/>
  <c r="R427" i="36"/>
  <c r="R432" i="36" s="1"/>
  <c r="S427" i="36"/>
  <c r="T427" i="36"/>
  <c r="T432" i="36" s="1"/>
  <c r="D432" i="36"/>
  <c r="F432" i="36"/>
  <c r="G432" i="36"/>
  <c r="I432" i="36"/>
  <c r="N432" i="36"/>
  <c r="P432" i="36"/>
  <c r="Q432" i="36"/>
  <c r="S432" i="36"/>
  <c r="B440" i="36"/>
  <c r="C440" i="36"/>
  <c r="D440" i="36"/>
  <c r="E440" i="36"/>
  <c r="F440" i="36"/>
  <c r="G440" i="36"/>
  <c r="H440" i="36"/>
  <c r="H445" i="36" s="1"/>
  <c r="I440" i="36"/>
  <c r="L440" i="36"/>
  <c r="M440" i="36"/>
  <c r="N440" i="36"/>
  <c r="O440" i="36"/>
  <c r="P440" i="36"/>
  <c r="Q440" i="36"/>
  <c r="R440" i="36"/>
  <c r="S440" i="36"/>
  <c r="B445" i="36"/>
  <c r="C445" i="36"/>
  <c r="C418" i="36" s="1"/>
  <c r="D445" i="36"/>
  <c r="E445" i="36"/>
  <c r="F445" i="36"/>
  <c r="G445" i="36"/>
  <c r="I445" i="36"/>
  <c r="L445" i="36"/>
  <c r="M445" i="36"/>
  <c r="C419" i="36" s="1"/>
  <c r="N445" i="36"/>
  <c r="O445" i="36"/>
  <c r="P445" i="36"/>
  <c r="Q445" i="36"/>
  <c r="R445" i="36"/>
  <c r="S445" i="36"/>
  <c r="B459" i="36"/>
  <c r="C459" i="36"/>
  <c r="D459" i="36"/>
  <c r="E459" i="36"/>
  <c r="F459" i="36"/>
  <c r="G459" i="36"/>
  <c r="H459" i="36"/>
  <c r="I459" i="36"/>
  <c r="L459" i="36"/>
  <c r="M459" i="36"/>
  <c r="N459" i="36"/>
  <c r="N464" i="36" s="1"/>
  <c r="O459" i="36"/>
  <c r="P459" i="36"/>
  <c r="Q459" i="36"/>
  <c r="R459" i="36"/>
  <c r="S459" i="36"/>
  <c r="B464" i="36"/>
  <c r="C449" i="36" s="1"/>
  <c r="C464" i="36"/>
  <c r="D464" i="36"/>
  <c r="E464" i="36"/>
  <c r="F464" i="36"/>
  <c r="G464" i="36"/>
  <c r="H464" i="36"/>
  <c r="I464" i="36"/>
  <c r="L464" i="36"/>
  <c r="M464" i="36"/>
  <c r="O464" i="36"/>
  <c r="P464" i="36"/>
  <c r="Q464" i="36"/>
  <c r="R464" i="36"/>
  <c r="S464" i="36"/>
  <c r="B472" i="36"/>
  <c r="B477" i="36" s="1"/>
  <c r="D472" i="36"/>
  <c r="F472" i="36"/>
  <c r="F477" i="36" s="1"/>
  <c r="H472" i="36"/>
  <c r="H477" i="36" s="1"/>
  <c r="D477" i="36"/>
  <c r="B490" i="36"/>
  <c r="B495" i="36" s="1"/>
  <c r="C490" i="36"/>
  <c r="D490" i="36"/>
  <c r="E490" i="36"/>
  <c r="E495" i="36" s="1"/>
  <c r="F490" i="36"/>
  <c r="H490" i="36"/>
  <c r="H495" i="36" s="1"/>
  <c r="L490" i="36"/>
  <c r="M490" i="36"/>
  <c r="M495" i="36" s="1"/>
  <c r="C482" i="36" s="1"/>
  <c r="N490" i="36"/>
  <c r="N495" i="36" s="1"/>
  <c r="O490" i="36"/>
  <c r="P490" i="36"/>
  <c r="Q490" i="36"/>
  <c r="Q495" i="36" s="1"/>
  <c r="R490" i="36"/>
  <c r="S490" i="36"/>
  <c r="S495" i="36" s="1"/>
  <c r="C495" i="36"/>
  <c r="D495" i="36"/>
  <c r="F495" i="36"/>
  <c r="L495" i="36"/>
  <c r="O495" i="36"/>
  <c r="P495" i="36"/>
  <c r="R495" i="36"/>
  <c r="I417" i="35"/>
  <c r="I418" i="35"/>
  <c r="I419" i="35"/>
  <c r="I422" i="35"/>
  <c r="I415" i="35" s="1"/>
  <c r="F415" i="35" s="1"/>
  <c r="I426" i="35"/>
  <c r="F426" i="35" s="1"/>
  <c r="I428" i="35"/>
  <c r="I429" i="35"/>
  <c r="I430" i="35"/>
  <c r="I434" i="35"/>
  <c r="F438" i="35"/>
  <c r="I438" i="35"/>
  <c r="I449" i="35"/>
  <c r="F449" i="35" s="1"/>
  <c r="I460" i="35"/>
  <c r="F460" i="35" s="1"/>
  <c r="F471" i="35"/>
  <c r="I471" i="35"/>
  <c r="F482" i="35"/>
  <c r="I482" i="35"/>
  <c r="I13" i="35"/>
  <c r="F13" i="35" s="1"/>
  <c r="I24" i="35"/>
  <c r="F24" i="35" s="1"/>
  <c r="I35" i="35"/>
  <c r="F35" i="35" s="1"/>
  <c r="I46" i="35"/>
  <c r="F46" i="35" s="1"/>
  <c r="I57" i="35"/>
  <c r="F57" i="35" s="1"/>
  <c r="I68" i="35"/>
  <c r="F68" i="35" s="1"/>
  <c r="I79" i="35"/>
  <c r="F79" i="35" s="1"/>
  <c r="I85" i="35"/>
  <c r="F90" i="35"/>
  <c r="I90" i="35"/>
  <c r="I107" i="35"/>
  <c r="I101" i="35" s="1"/>
  <c r="F101" i="35" s="1"/>
  <c r="I108" i="35"/>
  <c r="F112" i="35"/>
  <c r="I112" i="35"/>
  <c r="F123" i="35"/>
  <c r="I123" i="35"/>
  <c r="F134" i="35"/>
  <c r="I145" i="35"/>
  <c r="F145" i="35" s="1"/>
  <c r="I156" i="35"/>
  <c r="F156" i="35" s="1"/>
  <c r="I167" i="35"/>
  <c r="F167" i="35" s="1"/>
  <c r="I178" i="35"/>
  <c r="F178" i="35" s="1"/>
  <c r="I189" i="35"/>
  <c r="F189" i="35" s="1"/>
  <c r="I203" i="35"/>
  <c r="F203" i="35" s="1"/>
  <c r="I214" i="35"/>
  <c r="F214" i="35" s="1"/>
  <c r="F247" i="35" s="1"/>
  <c r="I225" i="35"/>
  <c r="F225" i="35" s="1"/>
  <c r="I236" i="35"/>
  <c r="F236" i="35" s="1"/>
  <c r="I247" i="35"/>
  <c r="I258" i="35"/>
  <c r="F258" i="35" s="1"/>
  <c r="I269" i="35"/>
  <c r="F269" i="35" s="1"/>
  <c r="I275" i="35"/>
  <c r="I280" i="35"/>
  <c r="F280" i="35" s="1"/>
  <c r="F291" i="35"/>
  <c r="I291" i="35"/>
  <c r="I304" i="35"/>
  <c r="I308" i="35" s="1"/>
  <c r="I302" i="35" s="1"/>
  <c r="F302" i="35" s="1"/>
  <c r="I305" i="35"/>
  <c r="F313" i="35"/>
  <c r="F324" i="35"/>
  <c r="I324" i="35"/>
  <c r="F335" i="35"/>
  <c r="I335" i="35"/>
  <c r="F346" i="35"/>
  <c r="I346" i="35"/>
  <c r="I357" i="35"/>
  <c r="F357" i="35" s="1"/>
  <c r="F368" i="35"/>
  <c r="I368" i="35"/>
  <c r="F379" i="35"/>
  <c r="I379" i="35"/>
  <c r="F390" i="35"/>
  <c r="I390" i="35"/>
  <c r="I401" i="35"/>
  <c r="F401" i="35" s="1"/>
  <c r="E6" i="35"/>
  <c r="E7" i="35"/>
  <c r="E6" i="31"/>
  <c r="E7" i="31"/>
  <c r="E8" i="31"/>
  <c r="T58" i="34"/>
  <c r="N58" i="34"/>
  <c r="D58" i="34"/>
  <c r="I58" i="34" s="1"/>
  <c r="T57" i="34"/>
  <c r="N57" i="34"/>
  <c r="D57" i="34"/>
  <c r="I57" i="34" s="1"/>
  <c r="T56" i="34"/>
  <c r="N56" i="34"/>
  <c r="D56" i="34"/>
  <c r="I56" i="34" s="1"/>
  <c r="T55" i="34"/>
  <c r="N55" i="34"/>
  <c r="D55" i="34"/>
  <c r="I55" i="34" s="1"/>
  <c r="T54" i="34"/>
  <c r="N54" i="34"/>
  <c r="D54" i="34"/>
  <c r="I54" i="34" s="1"/>
  <c r="T53" i="34"/>
  <c r="N53" i="34"/>
  <c r="D53" i="34"/>
  <c r="I53" i="34" s="1"/>
  <c r="T52" i="34"/>
  <c r="N52" i="34"/>
  <c r="D52" i="34"/>
  <c r="I52" i="34" s="1"/>
  <c r="T51" i="34"/>
  <c r="N51" i="34"/>
  <c r="D51" i="34"/>
  <c r="I51" i="34" s="1"/>
  <c r="T50" i="34"/>
  <c r="N50" i="34"/>
  <c r="D50" i="34"/>
  <c r="I50" i="34" s="1"/>
  <c r="T49" i="34"/>
  <c r="N49" i="34"/>
  <c r="D49" i="34"/>
  <c r="I49" i="34" s="1"/>
  <c r="T48" i="34"/>
  <c r="N48" i="34"/>
  <c r="D48" i="34"/>
  <c r="I48" i="34" s="1"/>
  <c r="T47" i="34"/>
  <c r="N47" i="34"/>
  <c r="D47" i="34"/>
  <c r="I47" i="34" s="1"/>
  <c r="T46" i="34"/>
  <c r="N46" i="34"/>
  <c r="D46" i="34"/>
  <c r="I46" i="34" s="1"/>
  <c r="T45" i="34"/>
  <c r="N45" i="34"/>
  <c r="D45" i="34"/>
  <c r="I45" i="34" s="1"/>
  <c r="T44" i="34"/>
  <c r="N44" i="34"/>
  <c r="D44" i="34"/>
  <c r="I44" i="34" s="1"/>
  <c r="T43" i="34"/>
  <c r="N43" i="34"/>
  <c r="D43" i="34"/>
  <c r="I43" i="34" s="1"/>
  <c r="T42" i="34"/>
  <c r="N42" i="34"/>
  <c r="D42" i="34"/>
  <c r="I42" i="34" s="1"/>
  <c r="T41" i="34"/>
  <c r="N41" i="34"/>
  <c r="D41" i="34"/>
  <c r="I41" i="34" s="1"/>
  <c r="T40" i="34"/>
  <c r="N40" i="34"/>
  <c r="D40" i="34"/>
  <c r="I40" i="34" s="1"/>
  <c r="T39" i="34"/>
  <c r="N39" i="34"/>
  <c r="D39" i="34"/>
  <c r="I39" i="34" s="1"/>
  <c r="T38" i="34"/>
  <c r="N38" i="34"/>
  <c r="D38" i="34"/>
  <c r="I38" i="34" s="1"/>
  <c r="T37" i="34"/>
  <c r="N37" i="34"/>
  <c r="D37" i="34"/>
  <c r="I37" i="34" s="1"/>
  <c r="T36" i="34"/>
  <c r="N36" i="34"/>
  <c r="D36" i="34"/>
  <c r="I36" i="34" s="1"/>
  <c r="T35" i="34"/>
  <c r="N35" i="34"/>
  <c r="D35" i="34"/>
  <c r="I35" i="34" s="1"/>
  <c r="T34" i="34"/>
  <c r="N34" i="34"/>
  <c r="D34" i="34"/>
  <c r="I34" i="34" s="1"/>
  <c r="T33" i="34"/>
  <c r="N33" i="34"/>
  <c r="D33" i="34"/>
  <c r="I33" i="34" s="1"/>
  <c r="T32" i="34"/>
  <c r="N32" i="34"/>
  <c r="D32" i="34"/>
  <c r="I32" i="34" s="1"/>
  <c r="T31" i="34"/>
  <c r="N31" i="34"/>
  <c r="D31" i="34"/>
  <c r="I31" i="34" s="1"/>
  <c r="T30" i="34"/>
  <c r="N30" i="34"/>
  <c r="D30" i="34"/>
  <c r="I30" i="34" s="1"/>
  <c r="T28" i="34"/>
  <c r="D28" i="34"/>
  <c r="I28" i="34" s="1"/>
  <c r="C28" i="34"/>
  <c r="G22" i="34"/>
  <c r="F22" i="34" s="1"/>
  <c r="G19" i="34"/>
  <c r="F19" i="34" s="1"/>
  <c r="I4" i="33"/>
  <c r="J4" i="33" s="1"/>
  <c r="N4" i="33"/>
  <c r="N2" i="33" s="1"/>
  <c r="O4" i="33"/>
  <c r="O2" i="33" s="1"/>
  <c r="P4" i="33"/>
  <c r="P2" i="33" s="1"/>
  <c r="Q4" i="33"/>
  <c r="Q2" i="33" s="1"/>
  <c r="S4" i="33"/>
  <c r="S2" i="33" s="1"/>
  <c r="T4" i="33"/>
  <c r="T2" i="33" s="1"/>
  <c r="C6" i="32"/>
  <c r="D6" i="32"/>
  <c r="C9" i="32"/>
  <c r="C10" i="32"/>
  <c r="C11" i="32"/>
  <c r="C12" i="32"/>
  <c r="C13" i="32"/>
  <c r="C14" i="32"/>
  <c r="C15" i="32"/>
  <c r="C16" i="32"/>
  <c r="C17" i="32"/>
  <c r="C18" i="32"/>
  <c r="C19" i="32"/>
  <c r="C20" i="32"/>
  <c r="C21" i="32"/>
  <c r="C22" i="32"/>
  <c r="C23" i="32"/>
  <c r="C24" i="32"/>
  <c r="C25" i="32"/>
  <c r="C26" i="32"/>
  <c r="C27" i="32"/>
  <c r="C28" i="32"/>
  <c r="C29" i="32"/>
  <c r="C128" i="32"/>
  <c r="C129" i="32"/>
  <c r="C131" i="32" s="1"/>
  <c r="C130" i="32"/>
  <c r="C132" i="32"/>
  <c r="C134" i="32"/>
  <c r="C136" i="32"/>
  <c r="C137" i="32"/>
  <c r="E9" i="31"/>
  <c r="I6" i="30"/>
  <c r="I7" i="30"/>
  <c r="I8" i="30"/>
  <c r="I9" i="30"/>
  <c r="I10" i="30"/>
  <c r="I11" i="30"/>
  <c r="I12" i="30"/>
  <c r="I13" i="30"/>
  <c r="I14" i="30"/>
  <c r="I15" i="30"/>
  <c r="I16" i="30"/>
  <c r="I17" i="30"/>
  <c r="I18" i="30"/>
  <c r="I19" i="30"/>
  <c r="I20" i="30"/>
  <c r="I21" i="30"/>
  <c r="I22" i="30"/>
  <c r="I23" i="30"/>
  <c r="I24" i="30"/>
  <c r="I25" i="30"/>
  <c r="I26" i="30"/>
  <c r="I27" i="30"/>
  <c r="I28" i="30"/>
  <c r="I29" i="30"/>
  <c r="I30" i="30"/>
  <c r="I31" i="30"/>
  <c r="I32" i="30"/>
  <c r="I33" i="30"/>
  <c r="I34" i="30"/>
  <c r="I35" i="30"/>
  <c r="I36" i="30"/>
  <c r="I37" i="30"/>
  <c r="I38" i="30"/>
  <c r="I39" i="30"/>
  <c r="I40" i="30"/>
  <c r="I41" i="30"/>
  <c r="I42" i="30"/>
  <c r="I43" i="30"/>
  <c r="I44" i="30"/>
  <c r="I45" i="30"/>
  <c r="J6" i="10"/>
  <c r="F18" i="40" l="1"/>
  <c r="C18" i="40"/>
  <c r="I71" i="41"/>
  <c r="H2" i="41" s="1"/>
  <c r="O18" i="40"/>
  <c r="L18" i="40"/>
  <c r="I18" i="40"/>
  <c r="P86" i="36"/>
  <c r="P187" i="36" s="1"/>
  <c r="C450" i="36"/>
  <c r="D449" i="36" s="1"/>
  <c r="C417" i="36"/>
  <c r="L86" i="36"/>
  <c r="L187" i="36" s="1"/>
  <c r="P186" i="36"/>
  <c r="T186" i="36"/>
  <c r="T185" i="36" s="1"/>
  <c r="C451" i="36"/>
  <c r="L186" i="36"/>
  <c r="P149" i="36"/>
  <c r="P141" i="36" s="1"/>
  <c r="C481" i="36"/>
  <c r="D481" i="36" s="1"/>
  <c r="L149" i="36"/>
  <c r="P47" i="34"/>
  <c r="P37" i="34"/>
  <c r="S33" i="34"/>
  <c r="V33" i="34" s="1"/>
  <c r="O28" i="34"/>
  <c r="O58" i="34"/>
  <c r="O52" i="34"/>
  <c r="O50" i="34"/>
  <c r="P43" i="34"/>
  <c r="O56" i="34"/>
  <c r="O54" i="34"/>
  <c r="O51" i="34"/>
  <c r="O53" i="34"/>
  <c r="O55" i="34"/>
  <c r="O57" i="34"/>
  <c r="O33" i="34"/>
  <c r="S40" i="34"/>
  <c r="V40" i="34" s="1"/>
  <c r="O32" i="34"/>
  <c r="P32" i="34"/>
  <c r="S32" i="34"/>
  <c r="V32" i="34" s="1"/>
  <c r="S41" i="34"/>
  <c r="V41" i="34" s="1"/>
  <c r="S43" i="34"/>
  <c r="V43" i="34" s="1"/>
  <c r="P36" i="34"/>
  <c r="P49" i="34"/>
  <c r="S36" i="34"/>
  <c r="V36" i="34" s="1"/>
  <c r="P40" i="34"/>
  <c r="J28" i="34"/>
  <c r="L28" i="34" s="1"/>
  <c r="O44" i="34"/>
  <c r="O46" i="34"/>
  <c r="P44" i="34"/>
  <c r="P46" i="34"/>
  <c r="T26" i="34"/>
  <c r="G7" i="34" s="1"/>
  <c r="F7" i="34" s="1"/>
  <c r="P33" i="34"/>
  <c r="O37" i="34"/>
  <c r="O43" i="34"/>
  <c r="S37" i="34"/>
  <c r="V37" i="34" s="1"/>
  <c r="O49" i="34"/>
  <c r="P35" i="34"/>
  <c r="P39" i="34"/>
  <c r="O42" i="34"/>
  <c r="O48" i="34"/>
  <c r="P31" i="34"/>
  <c r="O30" i="34"/>
  <c r="S31" i="34"/>
  <c r="V31" i="34" s="1"/>
  <c r="O34" i="34"/>
  <c r="S35" i="34"/>
  <c r="V35" i="34" s="1"/>
  <c r="O38" i="34"/>
  <c r="S39" i="34"/>
  <c r="V39" i="34" s="1"/>
  <c r="P42" i="34"/>
  <c r="O45" i="34"/>
  <c r="P48" i="34"/>
  <c r="P30" i="34"/>
  <c r="P34" i="34"/>
  <c r="P38" i="34"/>
  <c r="S42" i="34"/>
  <c r="V42" i="34" s="1"/>
  <c r="P45" i="34"/>
  <c r="S30" i="34"/>
  <c r="V30" i="34" s="1"/>
  <c r="S34" i="34"/>
  <c r="V34" i="34" s="1"/>
  <c r="S38" i="34"/>
  <c r="V38" i="34" s="1"/>
  <c r="O41" i="34"/>
  <c r="O47" i="34"/>
  <c r="O35" i="34"/>
  <c r="G21" i="34"/>
  <c r="F21" i="34" s="1"/>
  <c r="N28" i="34"/>
  <c r="N26" i="34" s="1"/>
  <c r="G13" i="34" s="1"/>
  <c r="F13" i="34" s="1"/>
  <c r="O31" i="34"/>
  <c r="O39" i="34"/>
  <c r="S28" i="34"/>
  <c r="V28" i="34" s="1"/>
  <c r="O36" i="34"/>
  <c r="O40" i="34"/>
  <c r="P50" i="34"/>
  <c r="P51" i="34"/>
  <c r="P52" i="34"/>
  <c r="P53" i="34"/>
  <c r="P54" i="34"/>
  <c r="P55" i="34"/>
  <c r="P56" i="34"/>
  <c r="P57" i="34"/>
  <c r="P58" i="34"/>
  <c r="P41" i="34"/>
  <c r="Q31" i="34"/>
  <c r="Q33" i="34"/>
  <c r="Q35" i="34"/>
  <c r="Q37" i="34"/>
  <c r="Q39" i="34"/>
  <c r="Q41" i="34"/>
  <c r="Q42" i="34"/>
  <c r="Q43" i="34"/>
  <c r="Q45" i="34"/>
  <c r="Q46" i="34"/>
  <c r="Q47" i="34"/>
  <c r="Q48" i="34"/>
  <c r="Q49" i="34"/>
  <c r="Q50" i="34"/>
  <c r="Q51" i="34"/>
  <c r="Q52" i="34"/>
  <c r="Q53" i="34"/>
  <c r="Q54" i="34"/>
  <c r="Q55" i="34"/>
  <c r="Q56" i="34"/>
  <c r="Q57" i="34"/>
  <c r="Q58" i="34"/>
  <c r="Q30" i="34"/>
  <c r="Q32" i="34"/>
  <c r="Q34" i="34"/>
  <c r="Q36" i="34"/>
  <c r="Q38" i="34"/>
  <c r="Q40" i="34"/>
  <c r="Q44" i="34"/>
  <c r="J30" i="34"/>
  <c r="J31" i="34"/>
  <c r="J32" i="34"/>
  <c r="J33" i="34"/>
  <c r="J34" i="34"/>
  <c r="J35" i="34"/>
  <c r="J36" i="34"/>
  <c r="J37" i="34"/>
  <c r="J38" i="34"/>
  <c r="J39" i="34"/>
  <c r="J40" i="34"/>
  <c r="J41" i="34"/>
  <c r="J42" i="34"/>
  <c r="J43" i="34"/>
  <c r="J44" i="34"/>
  <c r="J45" i="34"/>
  <c r="J46" i="34"/>
  <c r="J47" i="34"/>
  <c r="J48" i="34"/>
  <c r="J49" i="34"/>
  <c r="J50" i="34"/>
  <c r="J51" i="34"/>
  <c r="J52" i="34"/>
  <c r="J53" i="34"/>
  <c r="J54" i="34"/>
  <c r="J55" i="34"/>
  <c r="J56" i="34"/>
  <c r="J57" i="34"/>
  <c r="J58" i="34"/>
  <c r="S44" i="34"/>
  <c r="V44" i="34" s="1"/>
  <c r="S45" i="34"/>
  <c r="V45" i="34" s="1"/>
  <c r="S46" i="34"/>
  <c r="V46" i="34" s="1"/>
  <c r="S47" i="34"/>
  <c r="V47" i="34" s="1"/>
  <c r="S48" i="34"/>
  <c r="V48" i="34" s="1"/>
  <c r="S49" i="34"/>
  <c r="V49" i="34" s="1"/>
  <c r="S50" i="34"/>
  <c r="V50" i="34" s="1"/>
  <c r="S51" i="34"/>
  <c r="V51" i="34" s="1"/>
  <c r="S52" i="34"/>
  <c r="V52" i="34" s="1"/>
  <c r="S53" i="34"/>
  <c r="V53" i="34" s="1"/>
  <c r="S54" i="34"/>
  <c r="V54" i="34" s="1"/>
  <c r="S55" i="34"/>
  <c r="V55" i="34" s="1"/>
  <c r="S56" i="34"/>
  <c r="V56" i="34" s="1"/>
  <c r="S57" i="34"/>
  <c r="V57" i="34" s="1"/>
  <c r="S58" i="34"/>
  <c r="V58" i="34" s="1"/>
  <c r="J2" i="33"/>
  <c r="L4" i="33"/>
  <c r="L2" i="33" s="1"/>
  <c r="M4" i="33"/>
  <c r="M2" i="33" s="1"/>
  <c r="R4" i="33"/>
  <c r="R2" i="33" s="1"/>
  <c r="K4" i="33"/>
  <c r="K2" i="33" s="1"/>
  <c r="V4" i="33"/>
  <c r="V2" i="33" s="1"/>
  <c r="L168" i="36" l="1"/>
  <c r="L163" i="36" s="1"/>
  <c r="T168" i="36"/>
  <c r="T163" i="36" s="1"/>
  <c r="P185" i="36"/>
  <c r="H168" i="36"/>
  <c r="H163" i="36" s="1"/>
  <c r="P168" i="36"/>
  <c r="P163" i="36" s="1"/>
  <c r="L185" i="36"/>
  <c r="K28" i="34"/>
  <c r="M28" i="34"/>
  <c r="G5" i="34"/>
  <c r="F5" i="34" s="1"/>
  <c r="O26" i="34"/>
  <c r="G14" i="34" s="1"/>
  <c r="F14" i="34" s="1"/>
  <c r="V26" i="34"/>
  <c r="J279" i="2" s="1"/>
  <c r="R28" i="34"/>
  <c r="U28" i="34" s="1"/>
  <c r="J26" i="34"/>
  <c r="G10" i="34" s="1"/>
  <c r="F10" i="34" s="1"/>
  <c r="P26" i="34"/>
  <c r="G17" i="34" s="1"/>
  <c r="F17" i="34" s="1"/>
  <c r="M52" i="34"/>
  <c r="L52" i="34"/>
  <c r="K52" i="34"/>
  <c r="R52" i="34"/>
  <c r="U52" i="34" s="1"/>
  <c r="M44" i="34"/>
  <c r="L44" i="34"/>
  <c r="K44" i="34"/>
  <c r="R44" i="34"/>
  <c r="U44" i="34" s="1"/>
  <c r="M36" i="34"/>
  <c r="L36" i="34"/>
  <c r="K36" i="34"/>
  <c r="R36" i="34"/>
  <c r="U36" i="34" s="1"/>
  <c r="M43" i="34"/>
  <c r="L43" i="34"/>
  <c r="K43" i="34"/>
  <c r="R43" i="34"/>
  <c r="U43" i="34" s="1"/>
  <c r="M57" i="34"/>
  <c r="L57" i="34"/>
  <c r="K57" i="34"/>
  <c r="R57" i="34"/>
  <c r="U57" i="34" s="1"/>
  <c r="M49" i="34"/>
  <c r="L49" i="34"/>
  <c r="K49" i="34"/>
  <c r="R49" i="34"/>
  <c r="U49" i="34" s="1"/>
  <c r="M41" i="34"/>
  <c r="L41" i="34"/>
  <c r="K41" i="34"/>
  <c r="R41" i="34"/>
  <c r="U41" i="34" s="1"/>
  <c r="M33" i="34"/>
  <c r="K33" i="34"/>
  <c r="L33" i="34"/>
  <c r="R33" i="34"/>
  <c r="U33" i="34" s="1"/>
  <c r="S26" i="34"/>
  <c r="G8" i="34" s="1"/>
  <c r="F8" i="34" s="1"/>
  <c r="M56" i="34"/>
  <c r="L56" i="34"/>
  <c r="K56" i="34"/>
  <c r="R56" i="34"/>
  <c r="U56" i="34" s="1"/>
  <c r="M48" i="34"/>
  <c r="L48" i="34"/>
  <c r="K48" i="34"/>
  <c r="R48" i="34"/>
  <c r="U48" i="34" s="1"/>
  <c r="M40" i="34"/>
  <c r="L40" i="34"/>
  <c r="K40" i="34"/>
  <c r="R40" i="34"/>
  <c r="U40" i="34" s="1"/>
  <c r="M32" i="34"/>
  <c r="L32" i="34"/>
  <c r="K32" i="34"/>
  <c r="R32" i="34"/>
  <c r="U32" i="34" s="1"/>
  <c r="M53" i="34"/>
  <c r="L53" i="34"/>
  <c r="K53" i="34"/>
  <c r="R53" i="34"/>
  <c r="U53" i="34" s="1"/>
  <c r="M45" i="34"/>
  <c r="L45" i="34"/>
  <c r="K45" i="34"/>
  <c r="R45" i="34"/>
  <c r="U45" i="34" s="1"/>
  <c r="M37" i="34"/>
  <c r="L37" i="34"/>
  <c r="K37" i="34"/>
  <c r="R37" i="34"/>
  <c r="U37" i="34" s="1"/>
  <c r="M51" i="34"/>
  <c r="L51" i="34"/>
  <c r="K51" i="34"/>
  <c r="R51" i="34"/>
  <c r="U51" i="34" s="1"/>
  <c r="M58" i="34"/>
  <c r="L58" i="34"/>
  <c r="K58" i="34"/>
  <c r="R58" i="34"/>
  <c r="U58" i="34" s="1"/>
  <c r="M34" i="34"/>
  <c r="L34" i="34"/>
  <c r="K34" i="34"/>
  <c r="R34" i="34"/>
  <c r="U34" i="34" s="1"/>
  <c r="Q26" i="34"/>
  <c r="G16" i="34" s="1"/>
  <c r="F16" i="34" s="1"/>
  <c r="K35" i="34"/>
  <c r="M35" i="34"/>
  <c r="L35" i="34"/>
  <c r="R35" i="34"/>
  <c r="U35" i="34" s="1"/>
  <c r="M50" i="34"/>
  <c r="L50" i="34"/>
  <c r="K50" i="34"/>
  <c r="R50" i="34"/>
  <c r="U50" i="34" s="1"/>
  <c r="M42" i="34"/>
  <c r="L42" i="34"/>
  <c r="K42" i="34"/>
  <c r="R42" i="34"/>
  <c r="U42" i="34" s="1"/>
  <c r="M55" i="34"/>
  <c r="L55" i="34"/>
  <c r="K55" i="34"/>
  <c r="R55" i="34"/>
  <c r="U55" i="34" s="1"/>
  <c r="M47" i="34"/>
  <c r="L47" i="34"/>
  <c r="K47" i="34"/>
  <c r="R47" i="34"/>
  <c r="U47" i="34" s="1"/>
  <c r="M39" i="34"/>
  <c r="L39" i="34"/>
  <c r="K39" i="34"/>
  <c r="R39" i="34"/>
  <c r="U39" i="34" s="1"/>
  <c r="K31" i="34"/>
  <c r="M31" i="34"/>
  <c r="L31" i="34"/>
  <c r="R31" i="34"/>
  <c r="U31" i="34" s="1"/>
  <c r="M54" i="34"/>
  <c r="L54" i="34"/>
  <c r="K54" i="34"/>
  <c r="R54" i="34"/>
  <c r="U54" i="34" s="1"/>
  <c r="M46" i="34"/>
  <c r="L46" i="34"/>
  <c r="K46" i="34"/>
  <c r="R46" i="34"/>
  <c r="U46" i="34" s="1"/>
  <c r="M38" i="34"/>
  <c r="K38" i="34"/>
  <c r="L38" i="34"/>
  <c r="R38" i="34"/>
  <c r="U38" i="34" s="1"/>
  <c r="L30" i="34"/>
  <c r="M30" i="34"/>
  <c r="K30" i="34"/>
  <c r="R30" i="34"/>
  <c r="U30" i="34" s="1"/>
  <c r="U4" i="33"/>
  <c r="U2" i="33" s="1"/>
  <c r="R26" i="34" l="1"/>
  <c r="M26" i="34"/>
  <c r="G11" i="34" s="1"/>
  <c r="F11" i="34" s="1"/>
  <c r="L26" i="34"/>
  <c r="K26" i="34"/>
  <c r="G9" i="34" s="1"/>
  <c r="U26" i="34"/>
  <c r="G15" i="34" l="1"/>
  <c r="F15" i="34" s="1"/>
  <c r="F9" i="34"/>
  <c r="L577" i="8"/>
  <c r="K8473" i="8"/>
  <c r="H346" i="2"/>
  <c r="H345" i="2"/>
  <c r="H344" i="2"/>
  <c r="H343" i="2"/>
  <c r="H342" i="2"/>
  <c r="H341" i="2"/>
  <c r="H340" i="2"/>
  <c r="H339" i="2"/>
  <c r="H338" i="2"/>
  <c r="H337" i="2"/>
  <c r="H336" i="2"/>
  <c r="J260" i="2" l="1"/>
  <c r="J185" i="2"/>
  <c r="J223" i="2"/>
  <c r="J148" i="2"/>
  <c r="J184" i="2"/>
  <c r="J183" i="2"/>
  <c r="J259" i="2"/>
  <c r="J182" i="2"/>
  <c r="J222" i="2"/>
  <c r="J181" i="2"/>
  <c r="J144" i="2"/>
  <c r="J258" i="2"/>
  <c r="J180" i="2"/>
  <c r="J221" i="2"/>
  <c r="J257" i="2"/>
  <c r="J179" i="2"/>
  <c r="J220" i="2"/>
  <c r="J142" i="2"/>
  <c r="J256" i="2"/>
  <c r="J178" i="2"/>
  <c r="J219" i="2"/>
  <c r="J255" i="2"/>
  <c r="J218" i="2"/>
  <c r="J254" i="2"/>
  <c r="J253" i="2"/>
  <c r="J216" i="2"/>
  <c r="J215" i="2"/>
  <c r="J177" i="2"/>
  <c r="J251" i="2"/>
  <c r="J176" i="2"/>
  <c r="J139" i="2"/>
  <c r="J175" i="2"/>
  <c r="J138" i="2"/>
  <c r="J244" i="2"/>
  <c r="J168" i="2"/>
  <c r="J206" i="2"/>
  <c r="J131" i="2"/>
  <c r="J242" i="2"/>
  <c r="J166" i="2"/>
  <c r="J204" i="2"/>
  <c r="J241" i="2"/>
  <c r="J165" i="2"/>
  <c r="J203" i="2"/>
  <c r="J128" i="2"/>
  <c r="J240" i="2"/>
  <c r="J164" i="2"/>
  <c r="J202" i="2"/>
  <c r="J127" i="2"/>
  <c r="J234" i="2"/>
  <c r="J233" i="2"/>
  <c r="J158" i="2"/>
  <c r="J195" i="2"/>
  <c r="J121" i="2"/>
  <c r="J232" i="2"/>
  <c r="J157" i="2"/>
  <c r="J120" i="2"/>
  <c r="J228" i="2"/>
  <c r="J153" i="2"/>
  <c r="J190" i="2"/>
  <c r="J116" i="2"/>
  <c r="J287" i="2"/>
  <c r="L10097" i="8"/>
  <c r="K10088" i="8"/>
  <c r="L10006" i="8"/>
  <c r="J98" i="2" l="1"/>
  <c r="J192" i="2"/>
  <c r="J193" i="2"/>
  <c r="J143" i="2"/>
  <c r="J196" i="2"/>
  <c r="J126" i="2"/>
  <c r="J119" i="2"/>
  <c r="J141" i="2"/>
  <c r="J217" i="2"/>
  <c r="J243" i="2"/>
  <c r="J214" i="2"/>
  <c r="J146" i="2"/>
  <c r="J236" i="2"/>
  <c r="J160" i="2"/>
  <c r="J201" i="2"/>
  <c r="J208" i="2"/>
  <c r="J129" i="2"/>
  <c r="J252" i="2"/>
  <c r="J147" i="2"/>
  <c r="J163" i="2"/>
  <c r="J231" i="2"/>
  <c r="J239" i="2"/>
  <c r="J145" i="2"/>
  <c r="J140" i="2"/>
  <c r="J123" i="2"/>
  <c r="J194" i="2"/>
  <c r="J198" i="2"/>
  <c r="J99" i="2"/>
  <c r="J100" i="2"/>
  <c r="J95" i="2"/>
  <c r="J96" i="2"/>
  <c r="J94" i="2" l="1"/>
  <c r="J205" i="2"/>
  <c r="J132" i="2"/>
  <c r="J199" i="2"/>
  <c r="J212" i="2" s="1"/>
  <c r="J130" i="2"/>
  <c r="J167" i="2"/>
  <c r="J230" i="2"/>
  <c r="J156" i="2"/>
  <c r="J155" i="2"/>
  <c r="J118" i="2"/>
  <c r="J169" i="2" l="1"/>
  <c r="J211" i="2"/>
  <c r="J210" i="2" s="1"/>
  <c r="J172" i="2"/>
  <c r="J161" i="2"/>
  <c r="J248" i="2"/>
  <c r="J237" i="2"/>
  <c r="J124" i="2"/>
  <c r="J245" i="2"/>
  <c r="J249" i="2" l="1"/>
  <c r="J247" i="2"/>
  <c r="J207" i="2"/>
  <c r="J173" i="2"/>
  <c r="H9730" i="8"/>
  <c r="I9649" i="8"/>
  <c r="M9649" i="8" s="1"/>
  <c r="H9649" i="8"/>
  <c r="J266" i="10"/>
  <c r="J265" i="10"/>
  <c r="J171" i="2" l="1"/>
  <c r="L13852" i="8"/>
  <c r="K13844" i="8"/>
  <c r="K13835" i="8"/>
  <c r="M13856" i="8"/>
  <c r="K13856" i="8"/>
  <c r="I13856" i="8"/>
  <c r="H13856" i="8"/>
  <c r="M13855" i="8"/>
  <c r="K13855" i="8"/>
  <c r="I13855" i="8"/>
  <c r="H13855" i="8"/>
  <c r="M13854" i="8"/>
  <c r="K13854" i="8"/>
  <c r="I13854" i="8"/>
  <c r="H13854" i="8"/>
  <c r="M13853" i="8"/>
  <c r="K13853" i="8"/>
  <c r="I13853" i="8"/>
  <c r="H13853" i="8"/>
  <c r="H13852" i="8"/>
  <c r="M13847" i="8"/>
  <c r="M13846" i="8"/>
  <c r="M13838" i="8"/>
  <c r="I13838" i="8"/>
  <c r="H13838" i="8"/>
  <c r="M13837" i="8"/>
  <c r="I13837" i="8"/>
  <c r="H13837" i="8"/>
  <c r="M13836" i="8"/>
  <c r="I13836" i="8"/>
  <c r="H13836" i="8"/>
  <c r="H13835" i="8"/>
  <c r="H13834" i="8"/>
  <c r="M13829" i="8"/>
  <c r="I13829" i="8"/>
  <c r="H13829" i="8"/>
  <c r="M13828" i="8"/>
  <c r="I13828" i="8"/>
  <c r="H13828" i="8"/>
  <c r="I13827" i="8"/>
  <c r="M13827" i="8" s="1"/>
  <c r="H13827" i="8"/>
  <c r="I13826" i="8"/>
  <c r="M13826" i="8" s="1"/>
  <c r="H13826" i="8"/>
  <c r="H13825" i="8"/>
  <c r="H13824" i="8"/>
  <c r="B13820" i="8"/>
  <c r="I8423" i="8" l="1"/>
  <c r="J331" i="2" l="1"/>
  <c r="J324" i="2"/>
  <c r="J327" i="2"/>
  <c r="J319" i="2"/>
  <c r="J332" i="2"/>
  <c r="J315" i="2"/>
  <c r="J323" i="2"/>
  <c r="J312" i="2"/>
  <c r="J313" i="2"/>
  <c r="K7981" i="8"/>
  <c r="K7978" i="8"/>
  <c r="K7976" i="8"/>
  <c r="K7972" i="8"/>
  <c r="K9552" i="8"/>
  <c r="J283" i="2"/>
  <c r="J305" i="2"/>
  <c r="J41" i="2"/>
  <c r="K8320" i="8"/>
  <c r="K8319" i="8"/>
  <c r="K8318" i="8"/>
  <c r="K8317" i="8"/>
  <c r="K7757" i="8"/>
  <c r="K7763" i="8"/>
  <c r="K7761" i="8"/>
  <c r="K7755" i="8"/>
  <c r="K7753" i="8"/>
  <c r="K7407" i="8"/>
  <c r="K7413" i="8"/>
  <c r="K7401" i="8"/>
  <c r="J67" i="2"/>
  <c r="J32" i="2"/>
  <c r="N42" i="11"/>
  <c r="L42" i="11"/>
  <c r="N41" i="11"/>
  <c r="L41" i="11"/>
  <c r="N40" i="11"/>
  <c r="L40" i="11" s="1"/>
  <c r="N39" i="11"/>
  <c r="L39" i="11" s="1"/>
  <c r="N38" i="11"/>
  <c r="L38" i="11" s="1"/>
  <c r="N37" i="11"/>
  <c r="L37" i="11"/>
  <c r="N36" i="11"/>
  <c r="L36" i="11" s="1"/>
  <c r="N35" i="11"/>
  <c r="L35" i="11"/>
  <c r="N34" i="11"/>
  <c r="L34" i="11" s="1"/>
  <c r="N33" i="11"/>
  <c r="L33" i="11" s="1"/>
  <c r="N32" i="11"/>
  <c r="L32" i="11" s="1"/>
  <c r="N31" i="11"/>
  <c r="L31" i="11"/>
  <c r="N30" i="11"/>
  <c r="L30" i="11"/>
  <c r="N29" i="11"/>
  <c r="L29" i="11" s="1"/>
  <c r="N28" i="11"/>
  <c r="L28" i="11" s="1"/>
  <c r="N27" i="11"/>
  <c r="L27" i="11"/>
  <c r="N26" i="11"/>
  <c r="L26" i="11"/>
  <c r="N25" i="11"/>
  <c r="L25" i="11" s="1"/>
  <c r="N24" i="11"/>
  <c r="L24" i="11" s="1"/>
  <c r="N23" i="11"/>
  <c r="L23" i="11" s="1"/>
  <c r="N22" i="11"/>
  <c r="L22" i="11"/>
  <c r="N21" i="11"/>
  <c r="L21" i="11" s="1"/>
  <c r="N20" i="11"/>
  <c r="L20" i="11" s="1"/>
  <c r="N19" i="11"/>
  <c r="L19" i="11"/>
  <c r="N18" i="11"/>
  <c r="L18" i="11" s="1"/>
  <c r="N17" i="11"/>
  <c r="L17" i="11" s="1"/>
  <c r="N16" i="11"/>
  <c r="L16" i="11" s="1"/>
  <c r="N15" i="11"/>
  <c r="L15" i="11"/>
  <c r="N14" i="11"/>
  <c r="L14" i="11"/>
  <c r="N13" i="11"/>
  <c r="L13" i="11" s="1"/>
  <c r="N12" i="11"/>
  <c r="L12" i="11" s="1"/>
  <c r="N11" i="11"/>
  <c r="L11" i="11"/>
  <c r="J10" i="11"/>
  <c r="N10" i="11" s="1"/>
  <c r="L10" i="11" s="1"/>
  <c r="N9" i="11"/>
  <c r="L9" i="11" s="1"/>
  <c r="J9" i="11"/>
  <c r="J8" i="11"/>
  <c r="I13835" i="8" s="1"/>
  <c r="M13835" i="8" s="1"/>
  <c r="N7" i="11"/>
  <c r="L7" i="11" s="1"/>
  <c r="N6" i="11"/>
  <c r="L6" i="11" s="1"/>
  <c r="N2" i="11"/>
  <c r="P647" i="10"/>
  <c r="L647" i="10"/>
  <c r="P646" i="10"/>
  <c r="L646" i="10"/>
  <c r="P645" i="10"/>
  <c r="L645" i="10"/>
  <c r="P644" i="10"/>
  <c r="L644" i="10"/>
  <c r="P643" i="10"/>
  <c r="L643" i="10"/>
  <c r="P642" i="10"/>
  <c r="L642" i="10"/>
  <c r="P641" i="10"/>
  <c r="L641" i="10"/>
  <c r="P640" i="10"/>
  <c r="L640" i="10"/>
  <c r="P639" i="10"/>
  <c r="L639" i="10"/>
  <c r="P638" i="10"/>
  <c r="L638" i="10"/>
  <c r="P637" i="10"/>
  <c r="L637" i="10"/>
  <c r="P636" i="10"/>
  <c r="L636" i="10"/>
  <c r="P635" i="10"/>
  <c r="L635" i="10"/>
  <c r="P634" i="10"/>
  <c r="L634" i="10"/>
  <c r="P633" i="10"/>
  <c r="L633" i="10"/>
  <c r="P632" i="10"/>
  <c r="L632" i="10"/>
  <c r="P631" i="10"/>
  <c r="L631" i="10"/>
  <c r="P630" i="10"/>
  <c r="L630" i="10"/>
  <c r="P629" i="10"/>
  <c r="L629" i="10"/>
  <c r="P628" i="10"/>
  <c r="L628" i="10"/>
  <c r="P627" i="10"/>
  <c r="L627" i="10"/>
  <c r="P626" i="10"/>
  <c r="L626" i="10"/>
  <c r="P625" i="10"/>
  <c r="L625" i="10"/>
  <c r="P624" i="10"/>
  <c r="L624" i="10"/>
  <c r="P623" i="10"/>
  <c r="L623" i="10"/>
  <c r="P622" i="10"/>
  <c r="L622" i="10"/>
  <c r="P621" i="10"/>
  <c r="L621" i="10"/>
  <c r="P620" i="10"/>
  <c r="L620" i="10"/>
  <c r="P619" i="10"/>
  <c r="L619" i="10"/>
  <c r="P618" i="10"/>
  <c r="L618" i="10"/>
  <c r="P617" i="10"/>
  <c r="L617" i="10"/>
  <c r="P616" i="10"/>
  <c r="L616" i="10"/>
  <c r="P615" i="10"/>
  <c r="L615" i="10"/>
  <c r="P614" i="10"/>
  <c r="L614" i="10"/>
  <c r="P613" i="10"/>
  <c r="L613" i="10"/>
  <c r="P612" i="10"/>
  <c r="L612" i="10"/>
  <c r="P611" i="10"/>
  <c r="L611" i="10"/>
  <c r="P610" i="10"/>
  <c r="L610" i="10"/>
  <c r="P609" i="10"/>
  <c r="L609" i="10"/>
  <c r="P608" i="10"/>
  <c r="L608" i="10"/>
  <c r="P607" i="10"/>
  <c r="L607" i="10"/>
  <c r="P606" i="10"/>
  <c r="L606" i="10"/>
  <c r="P605" i="10"/>
  <c r="L605" i="10"/>
  <c r="P604" i="10"/>
  <c r="L604" i="10"/>
  <c r="P603" i="10"/>
  <c r="L603" i="10"/>
  <c r="P602" i="10"/>
  <c r="L602" i="10"/>
  <c r="P601" i="10"/>
  <c r="L601" i="10"/>
  <c r="P600" i="10"/>
  <c r="L600" i="10"/>
  <c r="P599" i="10"/>
  <c r="L599" i="10"/>
  <c r="P598" i="10"/>
  <c r="L598" i="10"/>
  <c r="P597" i="10"/>
  <c r="L597" i="10"/>
  <c r="P596" i="10"/>
  <c r="L596" i="10"/>
  <c r="P595" i="10"/>
  <c r="L595" i="10"/>
  <c r="P594" i="10"/>
  <c r="L594" i="10"/>
  <c r="P593" i="10"/>
  <c r="L593" i="10"/>
  <c r="P592" i="10"/>
  <c r="L592" i="10"/>
  <c r="P591" i="10"/>
  <c r="L591" i="10"/>
  <c r="P590" i="10"/>
  <c r="L590" i="10"/>
  <c r="P589" i="10"/>
  <c r="L589" i="10"/>
  <c r="P588" i="10"/>
  <c r="L588" i="10"/>
  <c r="P587" i="10"/>
  <c r="L587" i="10"/>
  <c r="P586" i="10"/>
  <c r="L586" i="10"/>
  <c r="P585" i="10"/>
  <c r="L585" i="10"/>
  <c r="P584" i="10"/>
  <c r="L584" i="10"/>
  <c r="P583" i="10"/>
  <c r="L583" i="10"/>
  <c r="P582" i="10"/>
  <c r="L582" i="10"/>
  <c r="P581" i="10"/>
  <c r="L581" i="10"/>
  <c r="P580" i="10"/>
  <c r="L580" i="10"/>
  <c r="P579" i="10"/>
  <c r="L579" i="10"/>
  <c r="P578" i="10"/>
  <c r="L578" i="10"/>
  <c r="P577" i="10"/>
  <c r="L577" i="10"/>
  <c r="P576" i="10"/>
  <c r="L576" i="10"/>
  <c r="P575" i="10"/>
  <c r="L575" i="10"/>
  <c r="P574" i="10"/>
  <c r="L574" i="10"/>
  <c r="P573" i="10"/>
  <c r="L573" i="10"/>
  <c r="P572" i="10"/>
  <c r="L572" i="10"/>
  <c r="P571" i="10"/>
  <c r="L571" i="10"/>
  <c r="P570" i="10"/>
  <c r="L570" i="10"/>
  <c r="P569" i="10"/>
  <c r="L569" i="10"/>
  <c r="P568" i="10"/>
  <c r="L568" i="10"/>
  <c r="P567" i="10"/>
  <c r="L567" i="10"/>
  <c r="P566" i="10"/>
  <c r="L566" i="10"/>
  <c r="P565" i="10"/>
  <c r="L565" i="10"/>
  <c r="P564" i="10"/>
  <c r="L564" i="10"/>
  <c r="P563" i="10"/>
  <c r="L563" i="10"/>
  <c r="P562" i="10"/>
  <c r="L562" i="10"/>
  <c r="P561" i="10"/>
  <c r="L561" i="10"/>
  <c r="P560" i="10"/>
  <c r="L560" i="10"/>
  <c r="P559" i="10"/>
  <c r="L559" i="10"/>
  <c r="P558" i="10"/>
  <c r="L558" i="10"/>
  <c r="P557" i="10"/>
  <c r="L557" i="10"/>
  <c r="P556" i="10"/>
  <c r="L556" i="10"/>
  <c r="P555" i="10"/>
  <c r="L555" i="10"/>
  <c r="P554" i="10"/>
  <c r="L554" i="10"/>
  <c r="P553" i="10"/>
  <c r="L553" i="10"/>
  <c r="P552" i="10"/>
  <c r="L552" i="10"/>
  <c r="P551" i="10"/>
  <c r="L551" i="10"/>
  <c r="P550" i="10"/>
  <c r="L550" i="10"/>
  <c r="P549" i="10"/>
  <c r="L549" i="10"/>
  <c r="P548" i="10"/>
  <c r="L548" i="10"/>
  <c r="P547" i="10"/>
  <c r="L547" i="10"/>
  <c r="P546" i="10"/>
  <c r="L546" i="10"/>
  <c r="P545" i="10"/>
  <c r="L545" i="10"/>
  <c r="P544" i="10"/>
  <c r="L544" i="10"/>
  <c r="P543" i="10"/>
  <c r="L543" i="10"/>
  <c r="P542" i="10"/>
  <c r="L542" i="10"/>
  <c r="P541" i="10"/>
  <c r="L541" i="10"/>
  <c r="P540" i="10"/>
  <c r="L540" i="10"/>
  <c r="P539" i="10"/>
  <c r="L539" i="10"/>
  <c r="P538" i="10"/>
  <c r="L538" i="10"/>
  <c r="P537" i="10"/>
  <c r="L537" i="10"/>
  <c r="P536" i="10"/>
  <c r="L536" i="10"/>
  <c r="P535" i="10"/>
  <c r="L535" i="10"/>
  <c r="P534" i="10"/>
  <c r="L534" i="10"/>
  <c r="P533" i="10"/>
  <c r="L533" i="10"/>
  <c r="P532" i="10"/>
  <c r="L532" i="10"/>
  <c r="P531" i="10"/>
  <c r="L531" i="10"/>
  <c r="P530" i="10"/>
  <c r="L530" i="10"/>
  <c r="P529" i="10"/>
  <c r="L529" i="10"/>
  <c r="P528" i="10"/>
  <c r="L528" i="10"/>
  <c r="P527" i="10"/>
  <c r="L527" i="10"/>
  <c r="P526" i="10"/>
  <c r="L526" i="10"/>
  <c r="P525" i="10"/>
  <c r="L525" i="10"/>
  <c r="P524" i="10"/>
  <c r="L524" i="10"/>
  <c r="P523" i="10"/>
  <c r="L523" i="10"/>
  <c r="P522" i="10"/>
  <c r="L522" i="10"/>
  <c r="P521" i="10"/>
  <c r="L521" i="10"/>
  <c r="P520" i="10"/>
  <c r="L520" i="10"/>
  <c r="P519" i="10"/>
  <c r="L519" i="10"/>
  <c r="P518" i="10"/>
  <c r="L518" i="10"/>
  <c r="P517" i="10"/>
  <c r="L517" i="10"/>
  <c r="P516" i="10"/>
  <c r="L516" i="10"/>
  <c r="P515" i="10"/>
  <c r="L515" i="10"/>
  <c r="P514" i="10"/>
  <c r="L514" i="10"/>
  <c r="P513" i="10"/>
  <c r="L513" i="10"/>
  <c r="P512" i="10"/>
  <c r="L512" i="10"/>
  <c r="P511" i="10"/>
  <c r="L511" i="10"/>
  <c r="P510" i="10"/>
  <c r="L510" i="10"/>
  <c r="P509" i="10"/>
  <c r="L509" i="10"/>
  <c r="P508" i="10"/>
  <c r="L508" i="10"/>
  <c r="P507" i="10"/>
  <c r="L507" i="10"/>
  <c r="P506" i="10"/>
  <c r="L506" i="10"/>
  <c r="P505" i="10"/>
  <c r="L505" i="10"/>
  <c r="P504" i="10"/>
  <c r="L504" i="10"/>
  <c r="P503" i="10"/>
  <c r="L503" i="10"/>
  <c r="P502" i="10"/>
  <c r="L502" i="10"/>
  <c r="P501" i="10"/>
  <c r="L501" i="10"/>
  <c r="P500" i="10"/>
  <c r="L500" i="10"/>
  <c r="P499" i="10"/>
  <c r="L499" i="10"/>
  <c r="P498" i="10"/>
  <c r="L498" i="10"/>
  <c r="P497" i="10"/>
  <c r="L497" i="10"/>
  <c r="P496" i="10"/>
  <c r="L496" i="10"/>
  <c r="P495" i="10"/>
  <c r="L495" i="10"/>
  <c r="P494" i="10"/>
  <c r="L494" i="10"/>
  <c r="P493" i="10"/>
  <c r="L493" i="10"/>
  <c r="P492" i="10"/>
  <c r="L492" i="10"/>
  <c r="P491" i="10"/>
  <c r="L491" i="10"/>
  <c r="P490" i="10"/>
  <c r="L490" i="10"/>
  <c r="P489" i="10"/>
  <c r="L489" i="10"/>
  <c r="P488" i="10"/>
  <c r="L488" i="10"/>
  <c r="P487" i="10"/>
  <c r="L487" i="10"/>
  <c r="P486" i="10"/>
  <c r="L486" i="10"/>
  <c r="P485" i="10"/>
  <c r="L485" i="10"/>
  <c r="P484" i="10"/>
  <c r="L484" i="10"/>
  <c r="P483" i="10"/>
  <c r="L483" i="10"/>
  <c r="P482" i="10"/>
  <c r="L482" i="10"/>
  <c r="P481" i="10"/>
  <c r="L481" i="10"/>
  <c r="P480" i="10"/>
  <c r="L480" i="10"/>
  <c r="P479" i="10"/>
  <c r="L479" i="10"/>
  <c r="P478" i="10"/>
  <c r="L478" i="10"/>
  <c r="P477" i="10"/>
  <c r="L477" i="10"/>
  <c r="P476" i="10"/>
  <c r="L476" i="10"/>
  <c r="P475" i="10"/>
  <c r="L475" i="10"/>
  <c r="P474" i="10"/>
  <c r="L474" i="10"/>
  <c r="P473" i="10"/>
  <c r="L473" i="10"/>
  <c r="P472" i="10"/>
  <c r="L472" i="10"/>
  <c r="P471" i="10"/>
  <c r="L471" i="10"/>
  <c r="P470" i="10"/>
  <c r="L470" i="10"/>
  <c r="P469" i="10"/>
  <c r="L469" i="10"/>
  <c r="P468" i="10"/>
  <c r="L468" i="10"/>
  <c r="P467" i="10"/>
  <c r="L467" i="10"/>
  <c r="P466" i="10"/>
  <c r="L466" i="10"/>
  <c r="P465" i="10"/>
  <c r="L465" i="10"/>
  <c r="P464" i="10"/>
  <c r="L464" i="10"/>
  <c r="P463" i="10"/>
  <c r="L463" i="10"/>
  <c r="P462" i="10"/>
  <c r="L462" i="10"/>
  <c r="P461" i="10"/>
  <c r="L461" i="10"/>
  <c r="P460" i="10"/>
  <c r="L460" i="10"/>
  <c r="P459" i="10"/>
  <c r="L459" i="10"/>
  <c r="P458" i="10"/>
  <c r="L458" i="10"/>
  <c r="L457" i="10"/>
  <c r="J457" i="10"/>
  <c r="P457" i="10" s="1"/>
  <c r="L456" i="10"/>
  <c r="J456" i="10"/>
  <c r="P456" i="10" s="1"/>
  <c r="P455" i="10"/>
  <c r="L455" i="10"/>
  <c r="L454" i="10"/>
  <c r="J454" i="10"/>
  <c r="P454" i="10" s="1"/>
  <c r="L453" i="10"/>
  <c r="J453" i="10"/>
  <c r="P453" i="10" s="1"/>
  <c r="L452" i="10"/>
  <c r="J452" i="10"/>
  <c r="P452" i="10" s="1"/>
  <c r="L451" i="10"/>
  <c r="J451" i="10"/>
  <c r="P451" i="10" s="1"/>
  <c r="L450" i="10"/>
  <c r="J450" i="10"/>
  <c r="I12050" i="8" s="1"/>
  <c r="M12050" i="8" s="1"/>
  <c r="L449" i="10"/>
  <c r="J449" i="10"/>
  <c r="P449" i="10" s="1"/>
  <c r="P448" i="10"/>
  <c r="L448" i="10"/>
  <c r="L447" i="10"/>
  <c r="J447" i="10"/>
  <c r="I12047" i="8" s="1"/>
  <c r="M12047" i="8" s="1"/>
  <c r="L446" i="10"/>
  <c r="J446" i="10"/>
  <c r="P446" i="10" s="1"/>
  <c r="P445" i="10"/>
  <c r="L445" i="10"/>
  <c r="L444" i="10"/>
  <c r="J444" i="10"/>
  <c r="I12044" i="8" s="1"/>
  <c r="M12044" i="8" s="1"/>
  <c r="P443" i="10"/>
  <c r="L443" i="10"/>
  <c r="P442" i="10"/>
  <c r="L442" i="10"/>
  <c r="L441" i="10"/>
  <c r="J441" i="10"/>
  <c r="P441" i="10" s="1"/>
  <c r="P440" i="10"/>
  <c r="L440" i="10"/>
  <c r="P439" i="10"/>
  <c r="L439" i="10"/>
  <c r="P438" i="10"/>
  <c r="L438" i="10"/>
  <c r="P437" i="10"/>
  <c r="L437" i="10"/>
  <c r="P436" i="10"/>
  <c r="L436" i="10"/>
  <c r="P435" i="10"/>
  <c r="L435" i="10"/>
  <c r="P434" i="10"/>
  <c r="L434" i="10"/>
  <c r="P433" i="10"/>
  <c r="L433" i="10"/>
  <c r="P432" i="10"/>
  <c r="L432" i="10"/>
  <c r="P431" i="10"/>
  <c r="L431" i="10"/>
  <c r="P430" i="10"/>
  <c r="L430" i="10"/>
  <c r="P429" i="10"/>
  <c r="L429" i="10"/>
  <c r="L428" i="10"/>
  <c r="J428" i="10"/>
  <c r="P428" i="10" s="1"/>
  <c r="L427" i="10"/>
  <c r="J427" i="10"/>
  <c r="P427" i="10" s="1"/>
  <c r="P426" i="10"/>
  <c r="L426" i="10"/>
  <c r="L425" i="10"/>
  <c r="J425" i="10"/>
  <c r="P425" i="10" s="1"/>
  <c r="L424" i="10"/>
  <c r="J424" i="10"/>
  <c r="P424" i="10" s="1"/>
  <c r="L423" i="10"/>
  <c r="J423" i="10"/>
  <c r="P423" i="10" s="1"/>
  <c r="P422" i="10"/>
  <c r="L422" i="10"/>
  <c r="P421" i="10"/>
  <c r="L421" i="10"/>
  <c r="P420" i="10"/>
  <c r="L420" i="10"/>
  <c r="P419" i="10"/>
  <c r="L419" i="10"/>
  <c r="P418" i="10"/>
  <c r="L418" i="10"/>
  <c r="P417" i="10"/>
  <c r="L417" i="10"/>
  <c r="P416" i="10"/>
  <c r="L416" i="10"/>
  <c r="P415" i="10"/>
  <c r="L415" i="10"/>
  <c r="P414" i="10"/>
  <c r="L414" i="10"/>
  <c r="P413" i="10"/>
  <c r="L413" i="10"/>
  <c r="P412" i="10"/>
  <c r="L412" i="10"/>
  <c r="P411" i="10"/>
  <c r="L411" i="10"/>
  <c r="P410" i="10"/>
  <c r="L410" i="10"/>
  <c r="P409" i="10"/>
  <c r="L409" i="10"/>
  <c r="P408" i="10"/>
  <c r="L408" i="10"/>
  <c r="P407" i="10"/>
  <c r="L407" i="10"/>
  <c r="P406" i="10"/>
  <c r="L406" i="10"/>
  <c r="P405" i="10"/>
  <c r="L405" i="10"/>
  <c r="P404" i="10"/>
  <c r="L404" i="10"/>
  <c r="P403" i="10"/>
  <c r="L403" i="10"/>
  <c r="P402" i="10"/>
  <c r="L402" i="10"/>
  <c r="P401" i="10"/>
  <c r="L401" i="10"/>
  <c r="P400" i="10"/>
  <c r="L400" i="10"/>
  <c r="P399" i="10"/>
  <c r="L399" i="10"/>
  <c r="P398" i="10"/>
  <c r="L398" i="10"/>
  <c r="J398" i="10"/>
  <c r="P397" i="10"/>
  <c r="L397" i="10"/>
  <c r="P396" i="10"/>
  <c r="L396" i="10"/>
  <c r="P395" i="10"/>
  <c r="L395" i="10"/>
  <c r="P394" i="10"/>
  <c r="L394" i="10"/>
  <c r="P393" i="10"/>
  <c r="L393" i="10"/>
  <c r="P392" i="10"/>
  <c r="L392" i="10"/>
  <c r="P391" i="10"/>
  <c r="L391" i="10"/>
  <c r="P390" i="10"/>
  <c r="L390" i="10"/>
  <c r="L389" i="10"/>
  <c r="L388" i="10"/>
  <c r="P387" i="10"/>
  <c r="L387" i="10"/>
  <c r="P386" i="10"/>
  <c r="L386" i="10"/>
  <c r="L385" i="10"/>
  <c r="J385" i="10"/>
  <c r="P385" i="10" s="1"/>
  <c r="P384" i="10"/>
  <c r="L384" i="10"/>
  <c r="P383" i="10"/>
  <c r="L383" i="10"/>
  <c r="P382" i="10"/>
  <c r="L382" i="10"/>
  <c r="P381" i="10"/>
  <c r="L381" i="10"/>
  <c r="P380" i="10"/>
  <c r="L380" i="10"/>
  <c r="P379" i="10"/>
  <c r="L379" i="10"/>
  <c r="P378" i="10"/>
  <c r="L378" i="10"/>
  <c r="P377" i="10"/>
  <c r="L377" i="10"/>
  <c r="P376" i="10"/>
  <c r="L376" i="10"/>
  <c r="P375" i="10"/>
  <c r="L375" i="10"/>
  <c r="P374" i="10"/>
  <c r="L374" i="10"/>
  <c r="P373" i="10"/>
  <c r="L373" i="10"/>
  <c r="L372" i="10"/>
  <c r="J372" i="10"/>
  <c r="P372" i="10" s="1"/>
  <c r="P371" i="10"/>
  <c r="L371" i="10"/>
  <c r="P370" i="10"/>
  <c r="L370" i="10"/>
  <c r="P369" i="10"/>
  <c r="L369" i="10"/>
  <c r="P368" i="10"/>
  <c r="L368" i="10"/>
  <c r="P367" i="10"/>
  <c r="L367" i="10"/>
  <c r="P366" i="10"/>
  <c r="L366" i="10"/>
  <c r="P365" i="10"/>
  <c r="L365" i="10"/>
  <c r="P364" i="10"/>
  <c r="L364" i="10"/>
  <c r="P363" i="10"/>
  <c r="L363" i="10"/>
  <c r="P362" i="10"/>
  <c r="L362" i="10"/>
  <c r="P361" i="10"/>
  <c r="L361" i="10"/>
  <c r="P360" i="10"/>
  <c r="L360" i="10"/>
  <c r="P359" i="10"/>
  <c r="L359" i="10"/>
  <c r="P358" i="10"/>
  <c r="L358" i="10"/>
  <c r="P357" i="10"/>
  <c r="L357" i="10"/>
  <c r="P356" i="10"/>
  <c r="L356" i="10"/>
  <c r="P355" i="10"/>
  <c r="L355" i="10"/>
  <c r="P354" i="10"/>
  <c r="L354" i="10"/>
  <c r="P353" i="10"/>
  <c r="L353" i="10"/>
  <c r="P352" i="10"/>
  <c r="L352" i="10"/>
  <c r="P351" i="10"/>
  <c r="L351" i="10"/>
  <c r="L350" i="10"/>
  <c r="P349" i="10"/>
  <c r="L349" i="10"/>
  <c r="P348" i="10"/>
  <c r="L348" i="10"/>
  <c r="P347" i="10"/>
  <c r="L347" i="10"/>
  <c r="P346" i="10"/>
  <c r="L346" i="10"/>
  <c r="P345" i="10"/>
  <c r="L345" i="10"/>
  <c r="P344" i="10"/>
  <c r="L344" i="10"/>
  <c r="P343" i="10"/>
  <c r="L343" i="10"/>
  <c r="P342" i="10"/>
  <c r="L342" i="10"/>
  <c r="P341" i="10"/>
  <c r="L341" i="10"/>
  <c r="P340" i="10"/>
  <c r="L340" i="10"/>
  <c r="P339" i="10"/>
  <c r="L339" i="10"/>
  <c r="P338" i="10"/>
  <c r="L338" i="10"/>
  <c r="P337" i="10"/>
  <c r="L337" i="10"/>
  <c r="P336" i="10"/>
  <c r="L336" i="10"/>
  <c r="L335" i="10"/>
  <c r="L334" i="10"/>
  <c r="P333" i="10"/>
  <c r="L333" i="10"/>
  <c r="P332" i="10"/>
  <c r="L332" i="10"/>
  <c r="L331" i="10"/>
  <c r="L330" i="10"/>
  <c r="L329" i="10"/>
  <c r="L328" i="10"/>
  <c r="L327" i="10"/>
  <c r="L326" i="10"/>
  <c r="L325" i="10"/>
  <c r="P324" i="10"/>
  <c r="L324" i="10"/>
  <c r="L323" i="10"/>
  <c r="L322" i="10"/>
  <c r="L321" i="10"/>
  <c r="L320" i="10"/>
  <c r="L319" i="10"/>
  <c r="L318" i="10"/>
  <c r="P317" i="10"/>
  <c r="L317" i="10"/>
  <c r="P316" i="10"/>
  <c r="L316" i="10"/>
  <c r="P315" i="10"/>
  <c r="L315" i="10"/>
  <c r="P314" i="10"/>
  <c r="L314" i="10"/>
  <c r="P313" i="10"/>
  <c r="L313" i="10"/>
  <c r="P312" i="10"/>
  <c r="L312" i="10"/>
  <c r="P311" i="10"/>
  <c r="L311" i="10"/>
  <c r="P310" i="10"/>
  <c r="L310" i="10"/>
  <c r="P309" i="10"/>
  <c r="L309" i="10"/>
  <c r="P308" i="10"/>
  <c r="L308" i="10"/>
  <c r="P307" i="10"/>
  <c r="L307" i="10"/>
  <c r="P306" i="10"/>
  <c r="L306" i="10"/>
  <c r="P305" i="10"/>
  <c r="L305" i="10"/>
  <c r="P304" i="10"/>
  <c r="L304" i="10"/>
  <c r="P303" i="10"/>
  <c r="L303" i="10"/>
  <c r="P302" i="10"/>
  <c r="L302" i="10"/>
  <c r="P301" i="10"/>
  <c r="L301" i="10"/>
  <c r="P300" i="10"/>
  <c r="L300" i="10"/>
  <c r="P299" i="10"/>
  <c r="L299" i="10"/>
  <c r="P298" i="10"/>
  <c r="L298" i="10"/>
  <c r="P297" i="10"/>
  <c r="L297" i="10"/>
  <c r="P296" i="10"/>
  <c r="L296" i="10"/>
  <c r="P295" i="10"/>
  <c r="L295" i="10"/>
  <c r="L294" i="10"/>
  <c r="P293" i="10"/>
  <c r="L293" i="10"/>
  <c r="P292" i="10"/>
  <c r="L292" i="10"/>
  <c r="P291" i="10"/>
  <c r="L291" i="10"/>
  <c r="P290" i="10"/>
  <c r="L290" i="10"/>
  <c r="P289" i="10"/>
  <c r="L289" i="10"/>
  <c r="P288" i="10"/>
  <c r="L288" i="10"/>
  <c r="L287" i="10"/>
  <c r="L286" i="10"/>
  <c r="P285" i="10"/>
  <c r="L285" i="10"/>
  <c r="P284" i="10"/>
  <c r="L284" i="10"/>
  <c r="L283" i="10"/>
  <c r="L282" i="10"/>
  <c r="P281" i="10"/>
  <c r="L281" i="10"/>
  <c r="L280" i="10"/>
  <c r="L279" i="10"/>
  <c r="L278" i="10"/>
  <c r="P277" i="10"/>
  <c r="L277" i="10"/>
  <c r="P276" i="10"/>
  <c r="L276" i="10"/>
  <c r="L275" i="10"/>
  <c r="P274" i="10"/>
  <c r="L274" i="10"/>
  <c r="P273" i="10"/>
  <c r="L273" i="10"/>
  <c r="P272" i="10"/>
  <c r="L272" i="10"/>
  <c r="L271" i="10"/>
  <c r="L270" i="10"/>
  <c r="L269" i="10"/>
  <c r="P268" i="10"/>
  <c r="L268" i="10"/>
  <c r="P267" i="10"/>
  <c r="L267" i="10"/>
  <c r="P266" i="10"/>
  <c r="L266" i="10"/>
  <c r="P265" i="10"/>
  <c r="L265" i="10"/>
  <c r="L264" i="10"/>
  <c r="P263" i="10"/>
  <c r="L263" i="10"/>
  <c r="L262" i="10"/>
  <c r="L261" i="10"/>
  <c r="P260" i="10"/>
  <c r="L260" i="10"/>
  <c r="P259" i="10"/>
  <c r="L259" i="10"/>
  <c r="P258" i="10"/>
  <c r="L258" i="10"/>
  <c r="L257" i="10"/>
  <c r="L256" i="10"/>
  <c r="L255" i="10"/>
  <c r="L254" i="10"/>
  <c r="L253" i="10"/>
  <c r="L252" i="10"/>
  <c r="L251" i="10"/>
  <c r="P250" i="10"/>
  <c r="L250" i="10"/>
  <c r="P249" i="10"/>
  <c r="L249" i="10"/>
  <c r="L248" i="10"/>
  <c r="L247" i="10"/>
  <c r="L246" i="10"/>
  <c r="P245" i="10"/>
  <c r="L245" i="10"/>
  <c r="P244" i="10"/>
  <c r="L244" i="10"/>
  <c r="L243" i="10"/>
  <c r="L242" i="10"/>
  <c r="L241" i="10"/>
  <c r="L240" i="10"/>
  <c r="L239" i="10"/>
  <c r="L238" i="10"/>
  <c r="P237" i="10"/>
  <c r="L237" i="10"/>
  <c r="L236" i="10"/>
  <c r="L235" i="10"/>
  <c r="L234" i="10"/>
  <c r="P233" i="10"/>
  <c r="L233" i="10"/>
  <c r="P232" i="10"/>
  <c r="L232" i="10"/>
  <c r="P231" i="10"/>
  <c r="L231" i="10"/>
  <c r="P230" i="10"/>
  <c r="L230" i="10"/>
  <c r="P229" i="10"/>
  <c r="L229" i="10"/>
  <c r="P228" i="10"/>
  <c r="L228" i="10"/>
  <c r="P227" i="10"/>
  <c r="L227" i="10"/>
  <c r="P226" i="10"/>
  <c r="L226" i="10"/>
  <c r="P225" i="10"/>
  <c r="L225" i="10"/>
  <c r="P224" i="10"/>
  <c r="L224" i="10"/>
  <c r="P223" i="10"/>
  <c r="L223" i="10"/>
  <c r="L222" i="10"/>
  <c r="P221" i="10"/>
  <c r="L221" i="10"/>
  <c r="P220" i="10"/>
  <c r="L220" i="10"/>
  <c r="L219" i="10"/>
  <c r="J219" i="10"/>
  <c r="P219" i="10" s="1"/>
  <c r="P218" i="10"/>
  <c r="L218" i="10"/>
  <c r="P217" i="10"/>
  <c r="L217" i="10"/>
  <c r="P216" i="10"/>
  <c r="L216" i="10"/>
  <c r="P215" i="10"/>
  <c r="L215" i="10"/>
  <c r="P214" i="10"/>
  <c r="L214" i="10"/>
  <c r="P213" i="10"/>
  <c r="L213" i="10"/>
  <c r="P212" i="10"/>
  <c r="L212" i="10"/>
  <c r="P211" i="10"/>
  <c r="L211" i="10"/>
  <c r="P210" i="10"/>
  <c r="L210" i="10"/>
  <c r="P209" i="10"/>
  <c r="L209" i="10"/>
  <c r="P208" i="10"/>
  <c r="L208" i="10"/>
  <c r="P207" i="10"/>
  <c r="L207" i="10"/>
  <c r="P206" i="10"/>
  <c r="L206" i="10"/>
  <c r="P205" i="10"/>
  <c r="L205" i="10"/>
  <c r="P204" i="10"/>
  <c r="L204" i="10"/>
  <c r="P203" i="10"/>
  <c r="L203" i="10"/>
  <c r="P202" i="10"/>
  <c r="L202" i="10"/>
  <c r="P201" i="10"/>
  <c r="L201" i="10"/>
  <c r="P200" i="10"/>
  <c r="L200" i="10"/>
  <c r="P199" i="10"/>
  <c r="L199" i="10"/>
  <c r="P198" i="10"/>
  <c r="L198" i="10"/>
  <c r="P197" i="10"/>
  <c r="L197" i="10"/>
  <c r="P196" i="10"/>
  <c r="L196" i="10"/>
  <c r="P195" i="10"/>
  <c r="L195" i="10"/>
  <c r="P194" i="10"/>
  <c r="L194" i="10"/>
  <c r="P193" i="10"/>
  <c r="L193" i="10"/>
  <c r="P192" i="10"/>
  <c r="L192" i="10"/>
  <c r="P191" i="10"/>
  <c r="L191" i="10"/>
  <c r="P190" i="10"/>
  <c r="L190" i="10"/>
  <c r="P189" i="10"/>
  <c r="L189" i="10"/>
  <c r="P188" i="10"/>
  <c r="L188" i="10"/>
  <c r="P187" i="10"/>
  <c r="L187" i="10"/>
  <c r="P186" i="10"/>
  <c r="L186" i="10"/>
  <c r="P185" i="10"/>
  <c r="L185" i="10"/>
  <c r="P184" i="10"/>
  <c r="L184" i="10"/>
  <c r="P183" i="10"/>
  <c r="P147" i="10"/>
  <c r="J147" i="10" s="1"/>
  <c r="I9730" i="8" s="1"/>
  <c r="M9730" i="8" s="1"/>
  <c r="J114" i="10"/>
  <c r="J85" i="10"/>
  <c r="J84" i="10"/>
  <c r="I11064" i="8" s="1"/>
  <c r="M11064" i="8" s="1"/>
  <c r="J83" i="10"/>
  <c r="J82" i="10"/>
  <c r="J43" i="10"/>
  <c r="I13616" i="8" s="1"/>
  <c r="M13616" i="8" s="1"/>
  <c r="J41" i="10"/>
  <c r="J39" i="10"/>
  <c r="J38" i="10"/>
  <c r="J37" i="10"/>
  <c r="J36" i="10"/>
  <c r="J35" i="10"/>
  <c r="J34" i="10"/>
  <c r="I13615" i="8" s="1"/>
  <c r="M13615" i="8" s="1"/>
  <c r="J33" i="10"/>
  <c r="J32" i="10"/>
  <c r="J31" i="10"/>
  <c r="J30" i="10"/>
  <c r="J29" i="10"/>
  <c r="I6565" i="8" s="1"/>
  <c r="M6565" i="8" s="1"/>
  <c r="J28" i="10"/>
  <c r="J27" i="10"/>
  <c r="J26" i="10"/>
  <c r="I13571" i="8" s="1"/>
  <c r="M13571" i="8" s="1"/>
  <c r="J25" i="10"/>
  <c r="J24" i="10"/>
  <c r="J23" i="10"/>
  <c r="J22" i="10"/>
  <c r="J21" i="10"/>
  <c r="I10246" i="8" s="1"/>
  <c r="P18" i="10"/>
  <c r="J18" i="10"/>
  <c r="P17" i="10"/>
  <c r="J17" i="10"/>
  <c r="J16" i="10"/>
  <c r="I13824" i="8" s="1"/>
  <c r="M13824" i="8" s="1"/>
  <c r="I13825" i="8"/>
  <c r="M13825" i="8" s="1"/>
  <c r="I13843" i="8" s="1"/>
  <c r="M13843" i="8" s="1"/>
  <c r="J12" i="10"/>
  <c r="J11" i="10"/>
  <c r="J10" i="10"/>
  <c r="J9" i="10"/>
  <c r="J8" i="10"/>
  <c r="J7" i="10"/>
  <c r="P2" i="10"/>
  <c r="N2" i="9"/>
  <c r="A1" i="9"/>
  <c r="M13814" i="8"/>
  <c r="K13814" i="8"/>
  <c r="I13814" i="8"/>
  <c r="H13814" i="8"/>
  <c r="M13813" i="8"/>
  <c r="K13813" i="8"/>
  <c r="I13813" i="8"/>
  <c r="H13813" i="8"/>
  <c r="M13812" i="8"/>
  <c r="K13812" i="8"/>
  <c r="I13812" i="8"/>
  <c r="H13812" i="8"/>
  <c r="M13811" i="8"/>
  <c r="K13811" i="8"/>
  <c r="I13811" i="8"/>
  <c r="H13811" i="8"/>
  <c r="H13810" i="8"/>
  <c r="M13805" i="8"/>
  <c r="M13804" i="8"/>
  <c r="M13803" i="8"/>
  <c r="M13796" i="8"/>
  <c r="I13796" i="8"/>
  <c r="H13796" i="8"/>
  <c r="M13795" i="8"/>
  <c r="I13795" i="8"/>
  <c r="H13795" i="8"/>
  <c r="M13794" i="8"/>
  <c r="I13794" i="8"/>
  <c r="H13794" i="8"/>
  <c r="I13793" i="8"/>
  <c r="M13793" i="8" s="1"/>
  <c r="H13793" i="8"/>
  <c r="H13792" i="8"/>
  <c r="M13787" i="8"/>
  <c r="I13787" i="8"/>
  <c r="H13787" i="8"/>
  <c r="M13786" i="8"/>
  <c r="I13786" i="8"/>
  <c r="H13786" i="8"/>
  <c r="M13785" i="8"/>
  <c r="I13785" i="8"/>
  <c r="H13785" i="8"/>
  <c r="M13784" i="8"/>
  <c r="I13784" i="8"/>
  <c r="H13784" i="8"/>
  <c r="M13783" i="8"/>
  <c r="I13783" i="8"/>
  <c r="H13783" i="8"/>
  <c r="H13782" i="8"/>
  <c r="B13778" i="8"/>
  <c r="M13772" i="8"/>
  <c r="K13772" i="8"/>
  <c r="I13772" i="8"/>
  <c r="H13772" i="8"/>
  <c r="M13771" i="8"/>
  <c r="K13771" i="8"/>
  <c r="I13771" i="8"/>
  <c r="H13771" i="8"/>
  <c r="M13770" i="8"/>
  <c r="K13770" i="8"/>
  <c r="I13770" i="8"/>
  <c r="H13770" i="8"/>
  <c r="M13769" i="8"/>
  <c r="K13769" i="8"/>
  <c r="I13769" i="8"/>
  <c r="H13769" i="8"/>
  <c r="H13768" i="8"/>
  <c r="M13763" i="8"/>
  <c r="M13762" i="8"/>
  <c r="M13761" i="8"/>
  <c r="M13754" i="8"/>
  <c r="I13754" i="8"/>
  <c r="H13754" i="8"/>
  <c r="M13753" i="8"/>
  <c r="I13753" i="8"/>
  <c r="H13753" i="8"/>
  <c r="M13752" i="8"/>
  <c r="I13752" i="8"/>
  <c r="H13752" i="8"/>
  <c r="M13751" i="8"/>
  <c r="I13751" i="8"/>
  <c r="H13751" i="8"/>
  <c r="H13750" i="8"/>
  <c r="M13745" i="8"/>
  <c r="I13745" i="8"/>
  <c r="H13745" i="8"/>
  <c r="M13744" i="8"/>
  <c r="I13744" i="8"/>
  <c r="H13744" i="8"/>
  <c r="M13743" i="8"/>
  <c r="I13743" i="8"/>
  <c r="H13743" i="8"/>
  <c r="M13742" i="8"/>
  <c r="I13742" i="8"/>
  <c r="H13742" i="8"/>
  <c r="M13741" i="8"/>
  <c r="I13741" i="8"/>
  <c r="H13741" i="8"/>
  <c r="I13740" i="8"/>
  <c r="M13740" i="8" s="1"/>
  <c r="H13740" i="8"/>
  <c r="B13736" i="8"/>
  <c r="M13730" i="8"/>
  <c r="K13730" i="8"/>
  <c r="I13730" i="8"/>
  <c r="H13730" i="8"/>
  <c r="M13729" i="8"/>
  <c r="K13729" i="8"/>
  <c r="I13729" i="8"/>
  <c r="H13729" i="8"/>
  <c r="M13728" i="8"/>
  <c r="K13728" i="8"/>
  <c r="I13728" i="8"/>
  <c r="H13728" i="8"/>
  <c r="M13727" i="8"/>
  <c r="K13727" i="8"/>
  <c r="I13727" i="8"/>
  <c r="H13727" i="8"/>
  <c r="H13726" i="8"/>
  <c r="M13721" i="8"/>
  <c r="M13720" i="8"/>
  <c r="M13719" i="8"/>
  <c r="M13718" i="8"/>
  <c r="M13712" i="8"/>
  <c r="I13712" i="8"/>
  <c r="H13712" i="8"/>
  <c r="M13711" i="8"/>
  <c r="I13711" i="8"/>
  <c r="H13711" i="8"/>
  <c r="M13710" i="8"/>
  <c r="I13710" i="8"/>
  <c r="H13710" i="8"/>
  <c r="M13709" i="8"/>
  <c r="I13709" i="8"/>
  <c r="H13709" i="8"/>
  <c r="H13708" i="8"/>
  <c r="M13703" i="8"/>
  <c r="I13703" i="8"/>
  <c r="H13703" i="8"/>
  <c r="M13702" i="8"/>
  <c r="I13702" i="8"/>
  <c r="H13702" i="8"/>
  <c r="H13701" i="8"/>
  <c r="H13700" i="8"/>
  <c r="I13699" i="8"/>
  <c r="M13699" i="8" s="1"/>
  <c r="H13699" i="8"/>
  <c r="I13698" i="8"/>
  <c r="M13698" i="8" s="1"/>
  <c r="H13698" i="8"/>
  <c r="B13694" i="8"/>
  <c r="M13688" i="8"/>
  <c r="K13688" i="8"/>
  <c r="I13688" i="8"/>
  <c r="H13688" i="8"/>
  <c r="M13687" i="8"/>
  <c r="K13687" i="8"/>
  <c r="I13687" i="8"/>
  <c r="H13687" i="8"/>
  <c r="M13686" i="8"/>
  <c r="K13686" i="8"/>
  <c r="I13686" i="8"/>
  <c r="H13686" i="8"/>
  <c r="M13685" i="8"/>
  <c r="K13685" i="8"/>
  <c r="I13685" i="8"/>
  <c r="H13685" i="8"/>
  <c r="H13684" i="8"/>
  <c r="M13679" i="8"/>
  <c r="M13678" i="8"/>
  <c r="M13677" i="8"/>
  <c r="M13676" i="8"/>
  <c r="M13670" i="8"/>
  <c r="I13670" i="8"/>
  <c r="H13670" i="8"/>
  <c r="M13669" i="8"/>
  <c r="I13669" i="8"/>
  <c r="H13669" i="8"/>
  <c r="M13668" i="8"/>
  <c r="I13668" i="8"/>
  <c r="H13668" i="8"/>
  <c r="M13667" i="8"/>
  <c r="I13667" i="8"/>
  <c r="H13667" i="8"/>
  <c r="H13666" i="8"/>
  <c r="M13661" i="8"/>
  <c r="I13661" i="8"/>
  <c r="H13661" i="8"/>
  <c r="M13660" i="8"/>
  <c r="I13660" i="8"/>
  <c r="H13660" i="8"/>
  <c r="M13659" i="8"/>
  <c r="I13659" i="8"/>
  <c r="H13659" i="8"/>
  <c r="M13658" i="8"/>
  <c r="I13658" i="8"/>
  <c r="H13658" i="8"/>
  <c r="M13657" i="8"/>
  <c r="I13657" i="8"/>
  <c r="H13657" i="8"/>
  <c r="M13656" i="8"/>
  <c r="I13656" i="8"/>
  <c r="H13656" i="8"/>
  <c r="M13655" i="8"/>
  <c r="I13655" i="8"/>
  <c r="H13655" i="8"/>
  <c r="B13651" i="8"/>
  <c r="M13645" i="8"/>
  <c r="K13645" i="8"/>
  <c r="I13645" i="8"/>
  <c r="H13645" i="8"/>
  <c r="M13644" i="8"/>
  <c r="K13644" i="8"/>
  <c r="I13644" i="8"/>
  <c r="H13644" i="8"/>
  <c r="M13643" i="8"/>
  <c r="K13643" i="8"/>
  <c r="I13643" i="8"/>
  <c r="H13643" i="8"/>
  <c r="M13642" i="8"/>
  <c r="K13642" i="8"/>
  <c r="I13642" i="8"/>
  <c r="H13642" i="8"/>
  <c r="H13641" i="8"/>
  <c r="M13636" i="8"/>
  <c r="M13635" i="8"/>
  <c r="M13634" i="8"/>
  <c r="M13633" i="8"/>
  <c r="M13627" i="8"/>
  <c r="I13627" i="8"/>
  <c r="H13627" i="8"/>
  <c r="M13626" i="8"/>
  <c r="I13626" i="8"/>
  <c r="H13626" i="8"/>
  <c r="M13625" i="8"/>
  <c r="I13625" i="8"/>
  <c r="H13625" i="8"/>
  <c r="M13624" i="8"/>
  <c r="I13624" i="8"/>
  <c r="H13624" i="8"/>
  <c r="H13623" i="8"/>
  <c r="M13618" i="8"/>
  <c r="I13618" i="8"/>
  <c r="H13618" i="8"/>
  <c r="I13617" i="8"/>
  <c r="M13617" i="8" s="1"/>
  <c r="H13617" i="8"/>
  <c r="H13616" i="8"/>
  <c r="H13615" i="8"/>
  <c r="I13614" i="8"/>
  <c r="M13614" i="8" s="1"/>
  <c r="H13614" i="8"/>
  <c r="I13613" i="8"/>
  <c r="M13613" i="8" s="1"/>
  <c r="H13613" i="8"/>
  <c r="I13612" i="8"/>
  <c r="M13612" i="8" s="1"/>
  <c r="H13612" i="8"/>
  <c r="B13608" i="8"/>
  <c r="M13602" i="8"/>
  <c r="K13602" i="8"/>
  <c r="I13602" i="8"/>
  <c r="H13602" i="8"/>
  <c r="M13601" i="8"/>
  <c r="K13601" i="8"/>
  <c r="I13601" i="8"/>
  <c r="H13601" i="8"/>
  <c r="M13600" i="8"/>
  <c r="K13600" i="8"/>
  <c r="I13600" i="8"/>
  <c r="H13600" i="8"/>
  <c r="M13599" i="8"/>
  <c r="K13599" i="8"/>
  <c r="I13599" i="8"/>
  <c r="H13599" i="8"/>
  <c r="I13598" i="8"/>
  <c r="H13598" i="8"/>
  <c r="M13593" i="8"/>
  <c r="M13592" i="8"/>
  <c r="M13591" i="8"/>
  <c r="M13584" i="8"/>
  <c r="I13584" i="8"/>
  <c r="H13584" i="8"/>
  <c r="M13583" i="8"/>
  <c r="I13583" i="8"/>
  <c r="H13583" i="8"/>
  <c r="M13582" i="8"/>
  <c r="I13582" i="8"/>
  <c r="H13582" i="8"/>
  <c r="I13581" i="8"/>
  <c r="M13581" i="8" s="1"/>
  <c r="H13581" i="8"/>
  <c r="H13580" i="8"/>
  <c r="M13575" i="8"/>
  <c r="I13575" i="8"/>
  <c r="H13575" i="8"/>
  <c r="M13574" i="8"/>
  <c r="I13574" i="8"/>
  <c r="H13574" i="8"/>
  <c r="H13573" i="8"/>
  <c r="H13572" i="8"/>
  <c r="H13571" i="8"/>
  <c r="I13570" i="8"/>
  <c r="M13570" i="8" s="1"/>
  <c r="H13570" i="8"/>
  <c r="I13569" i="8"/>
  <c r="M13569" i="8" s="1"/>
  <c r="H13569" i="8"/>
  <c r="B13565" i="8"/>
  <c r="M13559" i="8"/>
  <c r="K13559" i="8"/>
  <c r="I13559" i="8"/>
  <c r="H13559" i="8"/>
  <c r="M13558" i="8"/>
  <c r="K13558" i="8"/>
  <c r="I13558" i="8"/>
  <c r="H13558" i="8"/>
  <c r="M13557" i="8"/>
  <c r="K13557" i="8"/>
  <c r="I13557" i="8"/>
  <c r="H13557" i="8"/>
  <c r="M13556" i="8"/>
  <c r="K13556" i="8"/>
  <c r="I13556" i="8"/>
  <c r="H13556" i="8"/>
  <c r="I13555" i="8"/>
  <c r="H13555" i="8"/>
  <c r="M13550" i="8"/>
  <c r="M13549" i="8"/>
  <c r="M13548" i="8"/>
  <c r="I13547" i="8"/>
  <c r="M13547" i="8" s="1"/>
  <c r="M13551" i="8" s="1"/>
  <c r="L13515" i="8" s="1"/>
  <c r="H13547" i="8"/>
  <c r="M13542" i="8"/>
  <c r="I13542" i="8"/>
  <c r="H13542" i="8"/>
  <c r="M13541" i="8"/>
  <c r="I13541" i="8"/>
  <c r="H13541" i="8"/>
  <c r="M13540" i="8"/>
  <c r="I13540" i="8"/>
  <c r="H13540" i="8"/>
  <c r="M13539" i="8"/>
  <c r="I13539" i="8"/>
  <c r="H13539" i="8"/>
  <c r="H13538" i="8"/>
  <c r="M13533" i="8"/>
  <c r="I13533" i="8"/>
  <c r="H13533" i="8"/>
  <c r="M13532" i="8"/>
  <c r="I13532" i="8"/>
  <c r="H13532" i="8"/>
  <c r="M13531" i="8"/>
  <c r="I13531" i="8"/>
  <c r="H13531" i="8"/>
  <c r="M13530" i="8"/>
  <c r="I13530" i="8"/>
  <c r="H13530" i="8"/>
  <c r="M13529" i="8"/>
  <c r="I13529" i="8"/>
  <c r="H13529" i="8"/>
  <c r="M13528" i="8"/>
  <c r="I13528" i="8"/>
  <c r="H13528" i="8"/>
  <c r="M13527" i="8"/>
  <c r="I13527" i="8"/>
  <c r="H13527" i="8"/>
  <c r="M13526" i="8"/>
  <c r="I13526" i="8"/>
  <c r="H13526" i="8"/>
  <c r="M13525" i="8"/>
  <c r="I13525" i="8"/>
  <c r="H13525" i="8"/>
  <c r="M13524" i="8"/>
  <c r="I13524" i="8"/>
  <c r="H13524" i="8"/>
  <c r="I13523" i="8"/>
  <c r="M13523" i="8" s="1"/>
  <c r="H13523" i="8"/>
  <c r="I13522" i="8"/>
  <c r="M13522" i="8" s="1"/>
  <c r="H13522" i="8"/>
  <c r="I13521" i="8"/>
  <c r="M13521" i="8" s="1"/>
  <c r="H13521" i="8"/>
  <c r="I13520" i="8"/>
  <c r="M13520" i="8" s="1"/>
  <c r="H13520" i="8"/>
  <c r="I13519" i="8"/>
  <c r="M13519" i="8" s="1"/>
  <c r="H13519" i="8"/>
  <c r="B13515" i="8"/>
  <c r="M13509" i="8"/>
  <c r="K13509" i="8"/>
  <c r="I13509" i="8"/>
  <c r="H13509" i="8"/>
  <c r="M13508" i="8"/>
  <c r="K13508" i="8"/>
  <c r="I13508" i="8"/>
  <c r="H13508" i="8"/>
  <c r="M13507" i="8"/>
  <c r="K13507" i="8"/>
  <c r="I13507" i="8"/>
  <c r="H13507" i="8"/>
  <c r="M13506" i="8"/>
  <c r="K13506" i="8"/>
  <c r="I13506" i="8"/>
  <c r="H13506" i="8"/>
  <c r="I13505" i="8"/>
  <c r="H13505" i="8"/>
  <c r="M13500" i="8"/>
  <c r="M13499" i="8"/>
  <c r="M13498" i="8"/>
  <c r="I13497" i="8"/>
  <c r="M13497" i="8" s="1"/>
  <c r="H13497" i="8"/>
  <c r="M13492" i="8"/>
  <c r="I13492" i="8"/>
  <c r="H13492" i="8"/>
  <c r="M13491" i="8"/>
  <c r="I13491" i="8"/>
  <c r="H13491" i="8"/>
  <c r="M13490" i="8"/>
  <c r="I13490" i="8"/>
  <c r="H13490" i="8"/>
  <c r="M13489" i="8"/>
  <c r="I13489" i="8"/>
  <c r="H13489" i="8"/>
  <c r="H13488" i="8"/>
  <c r="M13483" i="8"/>
  <c r="I13483" i="8"/>
  <c r="H13483" i="8"/>
  <c r="M13482" i="8"/>
  <c r="I13482" i="8"/>
  <c r="H13482" i="8"/>
  <c r="M13481" i="8"/>
  <c r="I13481" i="8"/>
  <c r="H13481" i="8"/>
  <c r="M13480" i="8"/>
  <c r="I13480" i="8"/>
  <c r="H13480" i="8"/>
  <c r="M13479" i="8"/>
  <c r="I13479" i="8"/>
  <c r="H13479" i="8"/>
  <c r="M13478" i="8"/>
  <c r="I13478" i="8"/>
  <c r="H13478" i="8"/>
  <c r="M13477" i="8"/>
  <c r="I13477" i="8"/>
  <c r="H13477" i="8"/>
  <c r="M13476" i="8"/>
  <c r="I13476" i="8"/>
  <c r="H13476" i="8"/>
  <c r="M13475" i="8"/>
  <c r="I13475" i="8"/>
  <c r="H13475" i="8"/>
  <c r="I13474" i="8"/>
  <c r="M13474" i="8" s="1"/>
  <c r="H13474" i="8"/>
  <c r="I13473" i="8"/>
  <c r="M13473" i="8" s="1"/>
  <c r="H13473" i="8"/>
  <c r="I13472" i="8"/>
  <c r="M13472" i="8" s="1"/>
  <c r="H13472" i="8"/>
  <c r="I13471" i="8"/>
  <c r="M13471" i="8" s="1"/>
  <c r="H13471" i="8"/>
  <c r="I13470" i="8"/>
  <c r="M13470" i="8" s="1"/>
  <c r="H13470" i="8"/>
  <c r="I13469" i="8"/>
  <c r="M13469" i="8" s="1"/>
  <c r="H13469" i="8"/>
  <c r="B13465" i="8"/>
  <c r="M13459" i="8"/>
  <c r="K13459" i="8"/>
  <c r="I13459" i="8"/>
  <c r="H13459" i="8"/>
  <c r="M13458" i="8"/>
  <c r="K13458" i="8"/>
  <c r="I13458" i="8"/>
  <c r="H13458" i="8"/>
  <c r="M13457" i="8"/>
  <c r="K13457" i="8"/>
  <c r="I13457" i="8"/>
  <c r="H13457" i="8"/>
  <c r="M13456" i="8"/>
  <c r="K13456" i="8"/>
  <c r="I13456" i="8"/>
  <c r="H13456" i="8"/>
  <c r="I13455" i="8"/>
  <c r="H13455" i="8"/>
  <c r="M13450" i="8"/>
  <c r="M13449" i="8"/>
  <c r="M13448" i="8"/>
  <c r="I13447" i="8"/>
  <c r="M13447" i="8" s="1"/>
  <c r="H13447" i="8"/>
  <c r="M13442" i="8"/>
  <c r="I13442" i="8"/>
  <c r="H13442" i="8"/>
  <c r="M13441" i="8"/>
  <c r="I13441" i="8"/>
  <c r="H13441" i="8"/>
  <c r="M13440" i="8"/>
  <c r="I13440" i="8"/>
  <c r="H13440" i="8"/>
  <c r="M13439" i="8"/>
  <c r="I13439" i="8"/>
  <c r="H13439" i="8"/>
  <c r="H13438" i="8"/>
  <c r="M13433" i="8"/>
  <c r="I13433" i="8"/>
  <c r="H13433" i="8"/>
  <c r="M13432" i="8"/>
  <c r="I13432" i="8"/>
  <c r="H13432" i="8"/>
  <c r="M13431" i="8"/>
  <c r="I13431" i="8"/>
  <c r="H13431" i="8"/>
  <c r="M13430" i="8"/>
  <c r="I13430" i="8"/>
  <c r="H13430" i="8"/>
  <c r="M13429" i="8"/>
  <c r="I13429" i="8"/>
  <c r="H13429" i="8"/>
  <c r="M13428" i="8"/>
  <c r="I13428" i="8"/>
  <c r="H13428" i="8"/>
  <c r="M13427" i="8"/>
  <c r="I13427" i="8"/>
  <c r="H13427" i="8"/>
  <c r="M13426" i="8"/>
  <c r="I13426" i="8"/>
  <c r="H13426" i="8"/>
  <c r="I13425" i="8"/>
  <c r="M13425" i="8" s="1"/>
  <c r="H13425" i="8"/>
  <c r="I13424" i="8"/>
  <c r="M13424" i="8" s="1"/>
  <c r="H13424" i="8"/>
  <c r="I13423" i="8"/>
  <c r="M13423" i="8" s="1"/>
  <c r="H13423" i="8"/>
  <c r="I13422" i="8"/>
  <c r="M13422" i="8" s="1"/>
  <c r="H13422" i="8"/>
  <c r="I13421" i="8"/>
  <c r="M13421" i="8" s="1"/>
  <c r="H13421" i="8"/>
  <c r="I13420" i="8"/>
  <c r="M13420" i="8" s="1"/>
  <c r="H13420" i="8"/>
  <c r="I13419" i="8"/>
  <c r="M13419" i="8" s="1"/>
  <c r="H13419" i="8"/>
  <c r="B13415" i="8"/>
  <c r="M13409" i="8"/>
  <c r="K13409" i="8"/>
  <c r="I13409" i="8"/>
  <c r="H13409" i="8"/>
  <c r="M13408" i="8"/>
  <c r="K13408" i="8"/>
  <c r="I13408" i="8"/>
  <c r="H13408" i="8"/>
  <c r="M13407" i="8"/>
  <c r="K13407" i="8"/>
  <c r="I13407" i="8"/>
  <c r="H13407" i="8"/>
  <c r="M13406" i="8"/>
  <c r="K13406" i="8"/>
  <c r="I13406" i="8"/>
  <c r="H13406" i="8"/>
  <c r="I13405" i="8"/>
  <c r="H13405" i="8"/>
  <c r="M13400" i="8"/>
  <c r="M13399" i="8"/>
  <c r="I13397" i="8"/>
  <c r="M13397" i="8" s="1"/>
  <c r="H13397" i="8"/>
  <c r="M13392" i="8"/>
  <c r="I13392" i="8"/>
  <c r="H13392" i="8"/>
  <c r="M13391" i="8"/>
  <c r="I13391" i="8"/>
  <c r="H13391" i="8"/>
  <c r="M13390" i="8"/>
  <c r="I13390" i="8"/>
  <c r="H13390" i="8"/>
  <c r="M13389" i="8"/>
  <c r="I13389" i="8"/>
  <c r="H13389" i="8"/>
  <c r="H13388" i="8"/>
  <c r="M13383" i="8"/>
  <c r="I13383" i="8"/>
  <c r="H13383" i="8"/>
  <c r="M13382" i="8"/>
  <c r="I13382" i="8"/>
  <c r="H13382" i="8"/>
  <c r="M13381" i="8"/>
  <c r="I13381" i="8"/>
  <c r="H13381" i="8"/>
  <c r="M13380" i="8"/>
  <c r="I13380" i="8"/>
  <c r="H13380" i="8"/>
  <c r="M13379" i="8"/>
  <c r="I13379" i="8"/>
  <c r="H13379" i="8"/>
  <c r="M13378" i="8"/>
  <c r="I13378" i="8"/>
  <c r="H13378" i="8"/>
  <c r="M13377" i="8"/>
  <c r="I13377" i="8"/>
  <c r="H13377" i="8"/>
  <c r="M13376" i="8"/>
  <c r="I13376" i="8"/>
  <c r="H13376" i="8"/>
  <c r="I13375" i="8"/>
  <c r="M13375" i="8" s="1"/>
  <c r="H13375" i="8"/>
  <c r="I13374" i="8"/>
  <c r="M13374" i="8" s="1"/>
  <c r="H13374" i="8"/>
  <c r="I13373" i="8"/>
  <c r="M13373" i="8" s="1"/>
  <c r="H13373" i="8"/>
  <c r="I13372" i="8"/>
  <c r="M13372" i="8" s="1"/>
  <c r="H13372" i="8"/>
  <c r="I13371" i="8"/>
  <c r="M13371" i="8" s="1"/>
  <c r="H13371" i="8"/>
  <c r="I13370" i="8"/>
  <c r="M13370" i="8" s="1"/>
  <c r="H13370" i="8"/>
  <c r="I13369" i="8"/>
  <c r="M13369" i="8" s="1"/>
  <c r="H13369" i="8"/>
  <c r="B13365" i="8"/>
  <c r="M13359" i="8"/>
  <c r="K13359" i="8"/>
  <c r="I13359" i="8"/>
  <c r="H13359" i="8"/>
  <c r="M13358" i="8"/>
  <c r="K13358" i="8"/>
  <c r="I13358" i="8"/>
  <c r="H13358" i="8"/>
  <c r="M13357" i="8"/>
  <c r="K13357" i="8"/>
  <c r="I13357" i="8"/>
  <c r="H13357" i="8"/>
  <c r="M13356" i="8"/>
  <c r="K13356" i="8"/>
  <c r="I13356" i="8"/>
  <c r="H13356" i="8"/>
  <c r="I13355" i="8"/>
  <c r="H13355" i="8"/>
  <c r="M13350" i="8"/>
  <c r="M13349" i="8"/>
  <c r="I13347" i="8"/>
  <c r="M13347" i="8" s="1"/>
  <c r="H13347" i="8"/>
  <c r="M13342" i="8"/>
  <c r="I13342" i="8"/>
  <c r="H13342" i="8"/>
  <c r="M13341" i="8"/>
  <c r="I13341" i="8"/>
  <c r="H13341" i="8"/>
  <c r="M13340" i="8"/>
  <c r="I13340" i="8"/>
  <c r="H13340" i="8"/>
  <c r="M13339" i="8"/>
  <c r="I13339" i="8"/>
  <c r="H13339" i="8"/>
  <c r="H13338" i="8"/>
  <c r="M13333" i="8"/>
  <c r="I13333" i="8"/>
  <c r="H13333" i="8"/>
  <c r="M13332" i="8"/>
  <c r="I13332" i="8"/>
  <c r="H13332" i="8"/>
  <c r="M13331" i="8"/>
  <c r="I13331" i="8"/>
  <c r="H13331" i="8"/>
  <c r="M13330" i="8"/>
  <c r="I13330" i="8"/>
  <c r="H13330" i="8"/>
  <c r="M13329" i="8"/>
  <c r="I13329" i="8"/>
  <c r="H13329" i="8"/>
  <c r="M13328" i="8"/>
  <c r="I13328" i="8"/>
  <c r="H13328" i="8"/>
  <c r="M13327" i="8"/>
  <c r="I13327" i="8"/>
  <c r="H13327" i="8"/>
  <c r="M13326" i="8"/>
  <c r="I13326" i="8"/>
  <c r="H13326" i="8"/>
  <c r="M13325" i="8"/>
  <c r="I13325" i="8"/>
  <c r="H13325" i="8"/>
  <c r="I13324" i="8"/>
  <c r="M13324" i="8" s="1"/>
  <c r="H13324" i="8"/>
  <c r="I13323" i="8"/>
  <c r="M13323" i="8" s="1"/>
  <c r="H13323" i="8"/>
  <c r="I13322" i="8"/>
  <c r="M13322" i="8" s="1"/>
  <c r="H13322" i="8"/>
  <c r="I13321" i="8"/>
  <c r="M13321" i="8" s="1"/>
  <c r="H13321" i="8"/>
  <c r="I13320" i="8"/>
  <c r="M13320" i="8" s="1"/>
  <c r="H13320" i="8"/>
  <c r="I13319" i="8"/>
  <c r="M13319" i="8" s="1"/>
  <c r="H13319" i="8"/>
  <c r="B13315" i="8"/>
  <c r="M13309" i="8"/>
  <c r="K13309" i="8"/>
  <c r="I13309" i="8"/>
  <c r="H13309" i="8"/>
  <c r="M13308" i="8"/>
  <c r="K13308" i="8"/>
  <c r="I13308" i="8"/>
  <c r="H13308" i="8"/>
  <c r="M13307" i="8"/>
  <c r="K13307" i="8"/>
  <c r="I13307" i="8"/>
  <c r="H13307" i="8"/>
  <c r="M13306" i="8"/>
  <c r="K13306" i="8"/>
  <c r="I13306" i="8"/>
  <c r="H13306" i="8"/>
  <c r="I13305" i="8"/>
  <c r="H13305" i="8"/>
  <c r="M13300" i="8"/>
  <c r="M13299" i="8"/>
  <c r="I13297" i="8"/>
  <c r="M13297" i="8" s="1"/>
  <c r="H13297" i="8"/>
  <c r="M13292" i="8"/>
  <c r="I13292" i="8"/>
  <c r="H13292" i="8"/>
  <c r="M13291" i="8"/>
  <c r="I13291" i="8"/>
  <c r="H13291" i="8"/>
  <c r="M13290" i="8"/>
  <c r="I13290" i="8"/>
  <c r="H13290" i="8"/>
  <c r="M13289" i="8"/>
  <c r="I13289" i="8"/>
  <c r="H13289" i="8"/>
  <c r="H13288" i="8"/>
  <c r="M13283" i="8"/>
  <c r="I13283" i="8"/>
  <c r="H13283" i="8"/>
  <c r="M13282" i="8"/>
  <c r="I13282" i="8"/>
  <c r="H13282" i="8"/>
  <c r="M13281" i="8"/>
  <c r="I13281" i="8"/>
  <c r="H13281" i="8"/>
  <c r="M13280" i="8"/>
  <c r="I13280" i="8"/>
  <c r="H13280" i="8"/>
  <c r="M13279" i="8"/>
  <c r="I13279" i="8"/>
  <c r="H13279" i="8"/>
  <c r="M13278" i="8"/>
  <c r="I13278" i="8"/>
  <c r="H13278" i="8"/>
  <c r="M13277" i="8"/>
  <c r="I13277" i="8"/>
  <c r="H13277" i="8"/>
  <c r="M13276" i="8"/>
  <c r="I13276" i="8"/>
  <c r="H13276" i="8"/>
  <c r="M13275" i="8"/>
  <c r="I13275" i="8"/>
  <c r="H13275" i="8"/>
  <c r="M13274" i="8"/>
  <c r="I13274" i="8"/>
  <c r="H13274" i="8"/>
  <c r="I13273" i="8"/>
  <c r="M13273" i="8" s="1"/>
  <c r="H13273" i="8"/>
  <c r="I13272" i="8"/>
  <c r="M13272" i="8" s="1"/>
  <c r="H13272" i="8"/>
  <c r="I13271" i="8"/>
  <c r="M13271" i="8" s="1"/>
  <c r="H13271" i="8"/>
  <c r="I13270" i="8"/>
  <c r="M13270" i="8" s="1"/>
  <c r="H13270" i="8"/>
  <c r="I13269" i="8"/>
  <c r="M13269" i="8" s="1"/>
  <c r="H13269" i="8"/>
  <c r="B13265" i="8"/>
  <c r="M13259" i="8"/>
  <c r="K13259" i="8"/>
  <c r="I13259" i="8"/>
  <c r="H13259" i="8"/>
  <c r="M13258" i="8"/>
  <c r="K13258" i="8"/>
  <c r="I13258" i="8"/>
  <c r="H13258" i="8"/>
  <c r="M13257" i="8"/>
  <c r="K13257" i="8"/>
  <c r="I13257" i="8"/>
  <c r="H13257" i="8"/>
  <c r="M13256" i="8"/>
  <c r="K13256" i="8"/>
  <c r="I13256" i="8"/>
  <c r="H13256" i="8"/>
  <c r="I13255" i="8"/>
  <c r="H13255" i="8"/>
  <c r="M13250" i="8"/>
  <c r="M13249" i="8"/>
  <c r="M13248" i="8"/>
  <c r="I13247" i="8"/>
  <c r="M13247" i="8" s="1"/>
  <c r="H13247" i="8"/>
  <c r="M13242" i="8"/>
  <c r="I13242" i="8"/>
  <c r="H13242" i="8"/>
  <c r="M13241" i="8"/>
  <c r="I13241" i="8"/>
  <c r="H13241" i="8"/>
  <c r="M13240" i="8"/>
  <c r="I13240" i="8"/>
  <c r="H13240" i="8"/>
  <c r="M13239" i="8"/>
  <c r="I13239" i="8"/>
  <c r="H13239" i="8"/>
  <c r="H13238" i="8"/>
  <c r="M13233" i="8"/>
  <c r="I13233" i="8"/>
  <c r="H13233" i="8"/>
  <c r="M13232" i="8"/>
  <c r="I13232" i="8"/>
  <c r="H13232" i="8"/>
  <c r="M13231" i="8"/>
  <c r="I13231" i="8"/>
  <c r="H13231" i="8"/>
  <c r="M13230" i="8"/>
  <c r="I13230" i="8"/>
  <c r="H13230" i="8"/>
  <c r="M13229" i="8"/>
  <c r="I13229" i="8"/>
  <c r="H13229" i="8"/>
  <c r="M13228" i="8"/>
  <c r="I13228" i="8"/>
  <c r="H13228" i="8"/>
  <c r="M13227" i="8"/>
  <c r="I13227" i="8"/>
  <c r="H13227" i="8"/>
  <c r="I13226" i="8"/>
  <c r="M13226" i="8" s="1"/>
  <c r="H13226" i="8"/>
  <c r="I13225" i="8"/>
  <c r="M13225" i="8" s="1"/>
  <c r="H13225" i="8"/>
  <c r="I13224" i="8"/>
  <c r="M13224" i="8" s="1"/>
  <c r="H13224" i="8"/>
  <c r="I13223" i="8"/>
  <c r="M13223" i="8" s="1"/>
  <c r="H13223" i="8"/>
  <c r="I13222" i="8"/>
  <c r="M13222" i="8" s="1"/>
  <c r="H13222" i="8"/>
  <c r="I13221" i="8"/>
  <c r="M13221" i="8" s="1"/>
  <c r="H13221" i="8"/>
  <c r="I13220" i="8"/>
  <c r="M13220" i="8" s="1"/>
  <c r="H13220" i="8"/>
  <c r="I13219" i="8"/>
  <c r="M13219" i="8" s="1"/>
  <c r="H13219" i="8"/>
  <c r="B13215" i="8"/>
  <c r="M13209" i="8"/>
  <c r="K13209" i="8"/>
  <c r="I13209" i="8"/>
  <c r="H13209" i="8"/>
  <c r="M13208" i="8"/>
  <c r="K13208" i="8"/>
  <c r="I13208" i="8"/>
  <c r="H13208" i="8"/>
  <c r="M13207" i="8"/>
  <c r="K13207" i="8"/>
  <c r="I13207" i="8"/>
  <c r="H13207" i="8"/>
  <c r="M13206" i="8"/>
  <c r="K13206" i="8"/>
  <c r="I13206" i="8"/>
  <c r="H13206" i="8"/>
  <c r="I13205" i="8"/>
  <c r="H13205" i="8"/>
  <c r="M13200" i="8"/>
  <c r="M13199" i="8"/>
  <c r="I13197" i="8"/>
  <c r="M13197" i="8" s="1"/>
  <c r="H13197" i="8"/>
  <c r="M13192" i="8"/>
  <c r="I13192" i="8"/>
  <c r="H13192" i="8"/>
  <c r="M13191" i="8"/>
  <c r="I13191" i="8"/>
  <c r="H13191" i="8"/>
  <c r="M13190" i="8"/>
  <c r="I13190" i="8"/>
  <c r="H13190" i="8"/>
  <c r="M13189" i="8"/>
  <c r="I13189" i="8"/>
  <c r="H13189" i="8"/>
  <c r="H13188" i="8"/>
  <c r="M13183" i="8"/>
  <c r="I13183" i="8"/>
  <c r="H13183" i="8"/>
  <c r="M13182" i="8"/>
  <c r="I13182" i="8"/>
  <c r="H13182" i="8"/>
  <c r="M13181" i="8"/>
  <c r="I13181" i="8"/>
  <c r="H13181" i="8"/>
  <c r="M13180" i="8"/>
  <c r="I13180" i="8"/>
  <c r="H13180" i="8"/>
  <c r="M13179" i="8"/>
  <c r="I13179" i="8"/>
  <c r="H13179" i="8"/>
  <c r="M13178" i="8"/>
  <c r="I13178" i="8"/>
  <c r="H13178" i="8"/>
  <c r="M13177" i="8"/>
  <c r="I13177" i="8"/>
  <c r="H13177" i="8"/>
  <c r="I13176" i="8"/>
  <c r="M13176" i="8" s="1"/>
  <c r="H13176" i="8"/>
  <c r="I13175" i="8"/>
  <c r="M13175" i="8" s="1"/>
  <c r="H13175" i="8"/>
  <c r="I13174" i="8"/>
  <c r="M13174" i="8" s="1"/>
  <c r="H13174" i="8"/>
  <c r="I13173" i="8"/>
  <c r="M13173" i="8" s="1"/>
  <c r="H13173" i="8"/>
  <c r="I13172" i="8"/>
  <c r="M13172" i="8" s="1"/>
  <c r="H13172" i="8"/>
  <c r="I13171" i="8"/>
  <c r="M13171" i="8" s="1"/>
  <c r="H13171" i="8"/>
  <c r="I13170" i="8"/>
  <c r="M13170" i="8" s="1"/>
  <c r="H13170" i="8"/>
  <c r="I13169" i="8"/>
  <c r="M13169" i="8" s="1"/>
  <c r="H13169" i="8"/>
  <c r="B13165" i="8"/>
  <c r="M13159" i="8"/>
  <c r="K13159" i="8"/>
  <c r="I13159" i="8"/>
  <c r="H13159" i="8"/>
  <c r="M13158" i="8"/>
  <c r="K13158" i="8"/>
  <c r="I13158" i="8"/>
  <c r="H13158" i="8"/>
  <c r="M13157" i="8"/>
  <c r="K13157" i="8"/>
  <c r="I13157" i="8"/>
  <c r="H13157" i="8"/>
  <c r="M13156" i="8"/>
  <c r="K13156" i="8"/>
  <c r="I13156" i="8"/>
  <c r="H13156" i="8"/>
  <c r="I13155" i="8"/>
  <c r="H13155" i="8"/>
  <c r="M13150" i="8"/>
  <c r="M13149" i="8"/>
  <c r="I13147" i="8"/>
  <c r="M13147" i="8" s="1"/>
  <c r="H13147" i="8"/>
  <c r="M13142" i="8"/>
  <c r="I13142" i="8"/>
  <c r="H13142" i="8"/>
  <c r="M13141" i="8"/>
  <c r="I13141" i="8"/>
  <c r="H13141" i="8"/>
  <c r="M13140" i="8"/>
  <c r="I13140" i="8"/>
  <c r="H13140" i="8"/>
  <c r="M13139" i="8"/>
  <c r="I13139" i="8"/>
  <c r="H13139" i="8"/>
  <c r="H13138" i="8"/>
  <c r="M13133" i="8"/>
  <c r="I13133" i="8"/>
  <c r="H13133" i="8"/>
  <c r="M13132" i="8"/>
  <c r="I13132" i="8"/>
  <c r="H13132" i="8"/>
  <c r="M13131" i="8"/>
  <c r="I13131" i="8"/>
  <c r="H13131" i="8"/>
  <c r="M13130" i="8"/>
  <c r="I13130" i="8"/>
  <c r="H13130" i="8"/>
  <c r="M13129" i="8"/>
  <c r="I13129" i="8"/>
  <c r="H13129" i="8"/>
  <c r="M13128" i="8"/>
  <c r="I13128" i="8"/>
  <c r="H13128" i="8"/>
  <c r="M13127" i="8"/>
  <c r="I13127" i="8"/>
  <c r="H13127" i="8"/>
  <c r="M13126" i="8"/>
  <c r="I13126" i="8"/>
  <c r="H13126" i="8"/>
  <c r="M13125" i="8"/>
  <c r="I13125" i="8"/>
  <c r="H13125" i="8"/>
  <c r="M13124" i="8"/>
  <c r="I13124" i="8"/>
  <c r="H13124" i="8"/>
  <c r="M13123" i="8"/>
  <c r="I13123" i="8"/>
  <c r="H13123" i="8"/>
  <c r="M13122" i="8"/>
  <c r="I13122" i="8"/>
  <c r="H13122" i="8"/>
  <c r="M13121" i="8"/>
  <c r="I13121" i="8"/>
  <c r="H13121" i="8"/>
  <c r="M13120" i="8"/>
  <c r="I13120" i="8"/>
  <c r="H13120" i="8"/>
  <c r="I13119" i="8"/>
  <c r="M13119" i="8" s="1"/>
  <c r="H13119" i="8"/>
  <c r="B13115" i="8"/>
  <c r="M13109" i="8"/>
  <c r="K13109" i="8"/>
  <c r="I13109" i="8"/>
  <c r="H13109" i="8"/>
  <c r="M13108" i="8"/>
  <c r="K13108" i="8"/>
  <c r="I13108" i="8"/>
  <c r="H13108" i="8"/>
  <c r="M13107" i="8"/>
  <c r="K13107" i="8"/>
  <c r="I13107" i="8"/>
  <c r="H13107" i="8"/>
  <c r="M13106" i="8"/>
  <c r="K13106" i="8"/>
  <c r="I13106" i="8"/>
  <c r="H13106" i="8"/>
  <c r="I13105" i="8"/>
  <c r="H13105" i="8"/>
  <c r="M13100" i="8"/>
  <c r="M13099" i="8"/>
  <c r="I13097" i="8"/>
  <c r="M13097" i="8" s="1"/>
  <c r="H13097" i="8"/>
  <c r="M13092" i="8"/>
  <c r="I13092" i="8"/>
  <c r="H13092" i="8"/>
  <c r="M13091" i="8"/>
  <c r="I13091" i="8"/>
  <c r="H13091" i="8"/>
  <c r="M13090" i="8"/>
  <c r="I13090" i="8"/>
  <c r="H13090" i="8"/>
  <c r="M13089" i="8"/>
  <c r="I13089" i="8"/>
  <c r="H13089" i="8"/>
  <c r="H13088" i="8"/>
  <c r="M13083" i="8"/>
  <c r="I13083" i="8"/>
  <c r="H13083" i="8"/>
  <c r="M13082" i="8"/>
  <c r="I13082" i="8"/>
  <c r="H13082" i="8"/>
  <c r="M13081" i="8"/>
  <c r="I13081" i="8"/>
  <c r="H13081" i="8"/>
  <c r="M13080" i="8"/>
  <c r="I13080" i="8"/>
  <c r="H13080" i="8"/>
  <c r="M13079" i="8"/>
  <c r="I13079" i="8"/>
  <c r="H13079" i="8"/>
  <c r="M13078" i="8"/>
  <c r="I13078" i="8"/>
  <c r="H13078" i="8"/>
  <c r="M13077" i="8"/>
  <c r="I13077" i="8"/>
  <c r="H13077" i="8"/>
  <c r="M13076" i="8"/>
  <c r="I13076" i="8"/>
  <c r="H13076" i="8"/>
  <c r="M13075" i="8"/>
  <c r="I13075" i="8"/>
  <c r="H13075" i="8"/>
  <c r="M13074" i="8"/>
  <c r="I13074" i="8"/>
  <c r="H13074" i="8"/>
  <c r="M13073" i="8"/>
  <c r="I13073" i="8"/>
  <c r="H13073" i="8"/>
  <c r="M13072" i="8"/>
  <c r="I13072" i="8"/>
  <c r="H13072" i="8"/>
  <c r="I13071" i="8"/>
  <c r="M13071" i="8" s="1"/>
  <c r="H13071" i="8"/>
  <c r="I13070" i="8"/>
  <c r="M13070" i="8" s="1"/>
  <c r="H13070" i="8"/>
  <c r="I13069" i="8"/>
  <c r="M13069" i="8" s="1"/>
  <c r="H13069" i="8"/>
  <c r="B13065" i="8"/>
  <c r="M13059" i="8"/>
  <c r="K13059" i="8"/>
  <c r="I13059" i="8"/>
  <c r="H13059" i="8"/>
  <c r="M13058" i="8"/>
  <c r="K13058" i="8"/>
  <c r="I13058" i="8"/>
  <c r="H13058" i="8"/>
  <c r="M13057" i="8"/>
  <c r="K13057" i="8"/>
  <c r="I13057" i="8"/>
  <c r="H13057" i="8"/>
  <c r="M13056" i="8"/>
  <c r="K13056" i="8"/>
  <c r="I13056" i="8"/>
  <c r="H13056" i="8"/>
  <c r="I13055" i="8"/>
  <c r="H13055" i="8"/>
  <c r="M13050" i="8"/>
  <c r="M13049" i="8"/>
  <c r="M13048" i="8"/>
  <c r="I13047" i="8"/>
  <c r="M13047" i="8" s="1"/>
  <c r="H13047" i="8"/>
  <c r="M13042" i="8"/>
  <c r="I13042" i="8"/>
  <c r="H13042" i="8"/>
  <c r="M13041" i="8"/>
  <c r="I13041" i="8"/>
  <c r="H13041" i="8"/>
  <c r="M13040" i="8"/>
  <c r="I13040" i="8"/>
  <c r="H13040" i="8"/>
  <c r="M13039" i="8"/>
  <c r="I13039" i="8"/>
  <c r="H13039" i="8"/>
  <c r="H13038" i="8"/>
  <c r="M13033" i="8"/>
  <c r="I13033" i="8"/>
  <c r="H13033" i="8"/>
  <c r="M13032" i="8"/>
  <c r="I13032" i="8"/>
  <c r="H13032" i="8"/>
  <c r="M13031" i="8"/>
  <c r="I13031" i="8"/>
  <c r="H13031" i="8"/>
  <c r="M13030" i="8"/>
  <c r="I13030" i="8"/>
  <c r="H13030" i="8"/>
  <c r="M13029" i="8"/>
  <c r="I13029" i="8"/>
  <c r="H13029" i="8"/>
  <c r="M13028" i="8"/>
  <c r="I13028" i="8"/>
  <c r="H13028" i="8"/>
  <c r="I13027" i="8"/>
  <c r="M13027" i="8" s="1"/>
  <c r="H13027" i="8"/>
  <c r="I13026" i="8"/>
  <c r="M13026" i="8" s="1"/>
  <c r="H13026" i="8"/>
  <c r="I13025" i="8"/>
  <c r="M13025" i="8" s="1"/>
  <c r="H13025" i="8"/>
  <c r="I13024" i="8"/>
  <c r="M13024" i="8" s="1"/>
  <c r="H13024" i="8"/>
  <c r="I13023" i="8"/>
  <c r="M13023" i="8" s="1"/>
  <c r="H13023" i="8"/>
  <c r="I13022" i="8"/>
  <c r="M13022" i="8" s="1"/>
  <c r="H13022" i="8"/>
  <c r="I13021" i="8"/>
  <c r="M13021" i="8" s="1"/>
  <c r="H13021" i="8"/>
  <c r="I13020" i="8"/>
  <c r="M13020" i="8" s="1"/>
  <c r="H13020" i="8"/>
  <c r="I13019" i="8"/>
  <c r="M13019" i="8" s="1"/>
  <c r="H13019" i="8"/>
  <c r="B13015" i="8"/>
  <c r="M13009" i="8"/>
  <c r="K13009" i="8"/>
  <c r="I13009" i="8"/>
  <c r="H13009" i="8"/>
  <c r="M13008" i="8"/>
  <c r="K13008" i="8"/>
  <c r="I13008" i="8"/>
  <c r="H13008" i="8"/>
  <c r="M13007" i="8"/>
  <c r="K13007" i="8"/>
  <c r="I13007" i="8"/>
  <c r="H13007" i="8"/>
  <c r="M13006" i="8"/>
  <c r="K13006" i="8"/>
  <c r="I13006" i="8"/>
  <c r="H13006" i="8"/>
  <c r="I13005" i="8"/>
  <c r="H13005" i="8"/>
  <c r="M13000" i="8"/>
  <c r="M12999" i="8"/>
  <c r="I12997" i="8"/>
  <c r="M12997" i="8" s="1"/>
  <c r="H12997" i="8"/>
  <c r="M12992" i="8"/>
  <c r="I12992" i="8"/>
  <c r="H12992" i="8"/>
  <c r="M12991" i="8"/>
  <c r="I12991" i="8"/>
  <c r="H12991" i="8"/>
  <c r="M12990" i="8"/>
  <c r="I12990" i="8"/>
  <c r="H12990" i="8"/>
  <c r="M12989" i="8"/>
  <c r="I12989" i="8"/>
  <c r="H12989" i="8"/>
  <c r="H12988" i="8"/>
  <c r="M12983" i="8"/>
  <c r="I12983" i="8"/>
  <c r="H12983" i="8"/>
  <c r="M12982" i="8"/>
  <c r="I12982" i="8"/>
  <c r="H12982" i="8"/>
  <c r="M12981" i="8"/>
  <c r="I12981" i="8"/>
  <c r="H12981" i="8"/>
  <c r="M12980" i="8"/>
  <c r="I12980" i="8"/>
  <c r="H12980" i="8"/>
  <c r="M12979" i="8"/>
  <c r="I12979" i="8"/>
  <c r="H12979" i="8"/>
  <c r="M12978" i="8"/>
  <c r="I12978" i="8"/>
  <c r="H12978" i="8"/>
  <c r="M12977" i="8"/>
  <c r="I12977" i="8"/>
  <c r="H12977" i="8"/>
  <c r="M12976" i="8"/>
  <c r="I12976" i="8"/>
  <c r="H12976" i="8"/>
  <c r="M12975" i="8"/>
  <c r="I12975" i="8"/>
  <c r="H12975" i="8"/>
  <c r="I12974" i="8"/>
  <c r="M12974" i="8" s="1"/>
  <c r="H12974" i="8"/>
  <c r="I12973" i="8"/>
  <c r="M12973" i="8" s="1"/>
  <c r="H12973" i="8"/>
  <c r="I12972" i="8"/>
  <c r="M12972" i="8" s="1"/>
  <c r="H12972" i="8"/>
  <c r="I12971" i="8"/>
  <c r="M12971" i="8" s="1"/>
  <c r="H12971" i="8"/>
  <c r="I12970" i="8"/>
  <c r="M12970" i="8" s="1"/>
  <c r="H12970" i="8"/>
  <c r="I12969" i="8"/>
  <c r="M12969" i="8" s="1"/>
  <c r="H12969" i="8"/>
  <c r="B12965" i="8"/>
  <c r="M12959" i="8"/>
  <c r="K12959" i="8"/>
  <c r="I12959" i="8"/>
  <c r="H12959" i="8"/>
  <c r="M12958" i="8"/>
  <c r="K12958" i="8"/>
  <c r="I12958" i="8"/>
  <c r="H12958" i="8"/>
  <c r="M12957" i="8"/>
  <c r="K12957" i="8"/>
  <c r="I12957" i="8"/>
  <c r="H12957" i="8"/>
  <c r="M12956" i="8"/>
  <c r="K12956" i="8"/>
  <c r="I12956" i="8"/>
  <c r="H12956" i="8"/>
  <c r="I12955" i="8"/>
  <c r="H12955" i="8"/>
  <c r="M12950" i="8"/>
  <c r="M12949" i="8"/>
  <c r="I12947" i="8"/>
  <c r="M12947" i="8" s="1"/>
  <c r="H12947" i="8"/>
  <c r="M12942" i="8"/>
  <c r="I12942" i="8"/>
  <c r="H12942" i="8"/>
  <c r="M12941" i="8"/>
  <c r="I12941" i="8"/>
  <c r="H12941" i="8"/>
  <c r="M12940" i="8"/>
  <c r="I12940" i="8"/>
  <c r="H12940" i="8"/>
  <c r="M12939" i="8"/>
  <c r="I12939" i="8"/>
  <c r="H12939" i="8"/>
  <c r="H12938" i="8"/>
  <c r="M12933" i="8"/>
  <c r="I12933" i="8"/>
  <c r="H12933" i="8"/>
  <c r="M12932" i="8"/>
  <c r="I12932" i="8"/>
  <c r="H12932" i="8"/>
  <c r="M12931" i="8"/>
  <c r="I12931" i="8"/>
  <c r="H12931" i="8"/>
  <c r="M12930" i="8"/>
  <c r="I12930" i="8"/>
  <c r="H12930" i="8"/>
  <c r="M12929" i="8"/>
  <c r="I12929" i="8"/>
  <c r="H12929" i="8"/>
  <c r="M12928" i="8"/>
  <c r="I12928" i="8"/>
  <c r="H12928" i="8"/>
  <c r="M12927" i="8"/>
  <c r="I12927" i="8"/>
  <c r="H12927" i="8"/>
  <c r="I12926" i="8"/>
  <c r="M12926" i="8" s="1"/>
  <c r="H12926" i="8"/>
  <c r="I12925" i="8"/>
  <c r="M12925" i="8" s="1"/>
  <c r="H12925" i="8"/>
  <c r="I12924" i="8"/>
  <c r="M12924" i="8" s="1"/>
  <c r="H12924" i="8"/>
  <c r="I12923" i="8"/>
  <c r="M12923" i="8" s="1"/>
  <c r="H12923" i="8"/>
  <c r="I12922" i="8"/>
  <c r="M12922" i="8" s="1"/>
  <c r="H12922" i="8"/>
  <c r="I12921" i="8"/>
  <c r="M12921" i="8" s="1"/>
  <c r="H12921" i="8"/>
  <c r="I12920" i="8"/>
  <c r="M12920" i="8" s="1"/>
  <c r="H12920" i="8"/>
  <c r="I12919" i="8"/>
  <c r="M12919" i="8" s="1"/>
  <c r="H12919" i="8"/>
  <c r="B12915" i="8"/>
  <c r="M12909" i="8"/>
  <c r="K12909" i="8"/>
  <c r="I12909" i="8"/>
  <c r="H12909" i="8"/>
  <c r="M12908" i="8"/>
  <c r="K12908" i="8"/>
  <c r="I12908" i="8"/>
  <c r="H12908" i="8"/>
  <c r="M12907" i="8"/>
  <c r="K12907" i="8"/>
  <c r="I12907" i="8"/>
  <c r="H12907" i="8"/>
  <c r="M12906" i="8"/>
  <c r="K12906" i="8"/>
  <c r="I12906" i="8"/>
  <c r="H12906" i="8"/>
  <c r="I12905" i="8"/>
  <c r="H12905" i="8"/>
  <c r="M12900" i="8"/>
  <c r="M12899" i="8"/>
  <c r="I12897" i="8"/>
  <c r="M12897" i="8" s="1"/>
  <c r="H12897" i="8"/>
  <c r="M12892" i="8"/>
  <c r="I12892" i="8"/>
  <c r="H12892" i="8"/>
  <c r="M12891" i="8"/>
  <c r="I12891" i="8"/>
  <c r="H12891" i="8"/>
  <c r="M12890" i="8"/>
  <c r="I12890" i="8"/>
  <c r="H12890" i="8"/>
  <c r="M12889" i="8"/>
  <c r="I12889" i="8"/>
  <c r="H12889" i="8"/>
  <c r="H12888" i="8"/>
  <c r="M12883" i="8"/>
  <c r="I12883" i="8"/>
  <c r="H12883" i="8"/>
  <c r="M12882" i="8"/>
  <c r="I12882" i="8"/>
  <c r="H12882" i="8"/>
  <c r="M12881" i="8"/>
  <c r="I12881" i="8"/>
  <c r="H12881" i="8"/>
  <c r="M12880" i="8"/>
  <c r="I12880" i="8"/>
  <c r="H12880" i="8"/>
  <c r="M12879" i="8"/>
  <c r="I12879" i="8"/>
  <c r="H12879" i="8"/>
  <c r="M12878" i="8"/>
  <c r="I12878" i="8"/>
  <c r="H12878" i="8"/>
  <c r="M12877" i="8"/>
  <c r="I12877" i="8"/>
  <c r="H12877" i="8"/>
  <c r="I12876" i="8"/>
  <c r="M12876" i="8" s="1"/>
  <c r="H12876" i="8"/>
  <c r="I12875" i="8"/>
  <c r="M12875" i="8" s="1"/>
  <c r="H12875" i="8"/>
  <c r="I12874" i="8"/>
  <c r="M12874" i="8" s="1"/>
  <c r="H12874" i="8"/>
  <c r="I12873" i="8"/>
  <c r="M12873" i="8" s="1"/>
  <c r="H12873" i="8"/>
  <c r="I12872" i="8"/>
  <c r="M12872" i="8" s="1"/>
  <c r="H12872" i="8"/>
  <c r="I12871" i="8"/>
  <c r="M12871" i="8" s="1"/>
  <c r="H12871" i="8"/>
  <c r="I12870" i="8"/>
  <c r="M12870" i="8" s="1"/>
  <c r="H12870" i="8"/>
  <c r="I12869" i="8"/>
  <c r="M12869" i="8" s="1"/>
  <c r="H12869" i="8"/>
  <c r="B12865" i="8"/>
  <c r="M12859" i="8"/>
  <c r="K12859" i="8"/>
  <c r="I12859" i="8"/>
  <c r="H12859" i="8"/>
  <c r="M12858" i="8"/>
  <c r="K12858" i="8"/>
  <c r="I12858" i="8"/>
  <c r="H12858" i="8"/>
  <c r="M12857" i="8"/>
  <c r="K12857" i="8"/>
  <c r="I12857" i="8"/>
  <c r="H12857" i="8"/>
  <c r="M12856" i="8"/>
  <c r="K12856" i="8"/>
  <c r="I12856" i="8"/>
  <c r="H12856" i="8"/>
  <c r="I12855" i="8"/>
  <c r="H12855" i="8"/>
  <c r="M12850" i="8"/>
  <c r="M12849" i="8"/>
  <c r="I12847" i="8"/>
  <c r="M12847" i="8" s="1"/>
  <c r="H12847" i="8"/>
  <c r="M12842" i="8"/>
  <c r="I12842" i="8"/>
  <c r="H12842" i="8"/>
  <c r="M12841" i="8"/>
  <c r="I12841" i="8"/>
  <c r="H12841" i="8"/>
  <c r="M12840" i="8"/>
  <c r="I12840" i="8"/>
  <c r="H12840" i="8"/>
  <c r="M12839" i="8"/>
  <c r="I12839" i="8"/>
  <c r="H12839" i="8"/>
  <c r="H12838" i="8"/>
  <c r="M12833" i="8"/>
  <c r="I12833" i="8"/>
  <c r="H12833" i="8"/>
  <c r="M12832" i="8"/>
  <c r="I12832" i="8"/>
  <c r="H12832" i="8"/>
  <c r="M12831" i="8"/>
  <c r="I12831" i="8"/>
  <c r="H12831" i="8"/>
  <c r="M12830" i="8"/>
  <c r="I12830" i="8"/>
  <c r="H12830" i="8"/>
  <c r="M12829" i="8"/>
  <c r="I12829" i="8"/>
  <c r="H12829" i="8"/>
  <c r="I12828" i="8"/>
  <c r="M12828" i="8" s="1"/>
  <c r="H12828" i="8"/>
  <c r="I12827" i="8"/>
  <c r="M12827" i="8" s="1"/>
  <c r="H12827" i="8"/>
  <c r="I12826" i="8"/>
  <c r="M12826" i="8" s="1"/>
  <c r="H12826" i="8"/>
  <c r="I12825" i="8"/>
  <c r="M12825" i="8" s="1"/>
  <c r="H12825" i="8"/>
  <c r="I12824" i="8"/>
  <c r="M12824" i="8" s="1"/>
  <c r="H12824" i="8"/>
  <c r="I12823" i="8"/>
  <c r="M12823" i="8" s="1"/>
  <c r="H12823" i="8"/>
  <c r="I12822" i="8"/>
  <c r="M12822" i="8" s="1"/>
  <c r="H12822" i="8"/>
  <c r="I12821" i="8"/>
  <c r="M12821" i="8" s="1"/>
  <c r="H12821" i="8"/>
  <c r="I12820" i="8"/>
  <c r="M12820" i="8" s="1"/>
  <c r="H12820" i="8"/>
  <c r="I12819" i="8"/>
  <c r="M12819" i="8" s="1"/>
  <c r="H12819" i="8"/>
  <c r="B12815" i="8"/>
  <c r="M12809" i="8"/>
  <c r="K12809" i="8"/>
  <c r="I12809" i="8"/>
  <c r="H12809" i="8"/>
  <c r="M12808" i="8"/>
  <c r="K12808" i="8"/>
  <c r="I12808" i="8"/>
  <c r="H12808" i="8"/>
  <c r="M12807" i="8"/>
  <c r="K12807" i="8"/>
  <c r="I12807" i="8"/>
  <c r="H12807" i="8"/>
  <c r="M12806" i="8"/>
  <c r="K12806" i="8"/>
  <c r="I12806" i="8"/>
  <c r="H12806" i="8"/>
  <c r="I12805" i="8"/>
  <c r="H12805" i="8"/>
  <c r="M12800" i="8"/>
  <c r="M12799" i="8"/>
  <c r="I12797" i="8"/>
  <c r="M12797" i="8" s="1"/>
  <c r="H12797" i="8"/>
  <c r="M12792" i="8"/>
  <c r="I12792" i="8"/>
  <c r="H12792" i="8"/>
  <c r="M12791" i="8"/>
  <c r="I12791" i="8"/>
  <c r="H12791" i="8"/>
  <c r="M12790" i="8"/>
  <c r="I12790" i="8"/>
  <c r="H12790" i="8"/>
  <c r="M12789" i="8"/>
  <c r="I12789" i="8"/>
  <c r="H12789" i="8"/>
  <c r="H12788" i="8"/>
  <c r="M12783" i="8"/>
  <c r="I12783" i="8"/>
  <c r="H12783" i="8"/>
  <c r="M12782" i="8"/>
  <c r="I12782" i="8"/>
  <c r="H12782" i="8"/>
  <c r="M12781" i="8"/>
  <c r="I12781" i="8"/>
  <c r="H12781" i="8"/>
  <c r="M12780" i="8"/>
  <c r="I12780" i="8"/>
  <c r="H12780" i="8"/>
  <c r="M12779" i="8"/>
  <c r="I12779" i="8"/>
  <c r="H12779" i="8"/>
  <c r="M12778" i="8"/>
  <c r="I12778" i="8"/>
  <c r="H12778" i="8"/>
  <c r="M12777" i="8"/>
  <c r="I12777" i="8"/>
  <c r="H12777" i="8"/>
  <c r="M12776" i="8"/>
  <c r="I12776" i="8"/>
  <c r="H12776" i="8"/>
  <c r="M12775" i="8"/>
  <c r="I12775" i="8"/>
  <c r="H12775" i="8"/>
  <c r="M12774" i="8"/>
  <c r="I12774" i="8"/>
  <c r="H12774" i="8"/>
  <c r="M12773" i="8"/>
  <c r="I12773" i="8"/>
  <c r="H12773" i="8"/>
  <c r="I12772" i="8"/>
  <c r="M12772" i="8" s="1"/>
  <c r="H12772" i="8"/>
  <c r="I12771" i="8"/>
  <c r="M12771" i="8" s="1"/>
  <c r="H12771" i="8"/>
  <c r="I12770" i="8"/>
  <c r="M12770" i="8" s="1"/>
  <c r="H12770" i="8"/>
  <c r="I12769" i="8"/>
  <c r="M12769" i="8" s="1"/>
  <c r="H12769" i="8"/>
  <c r="B12765" i="8"/>
  <c r="M12759" i="8"/>
  <c r="K12759" i="8"/>
  <c r="I12759" i="8"/>
  <c r="H12759" i="8"/>
  <c r="M12758" i="8"/>
  <c r="K12758" i="8"/>
  <c r="I12758" i="8"/>
  <c r="H12758" i="8"/>
  <c r="M12757" i="8"/>
  <c r="K12757" i="8"/>
  <c r="I12757" i="8"/>
  <c r="H12757" i="8"/>
  <c r="M12756" i="8"/>
  <c r="K12756" i="8"/>
  <c r="I12756" i="8"/>
  <c r="H12756" i="8"/>
  <c r="I12755" i="8"/>
  <c r="H12755" i="8"/>
  <c r="M12750" i="8"/>
  <c r="M12749" i="8"/>
  <c r="I12747" i="8"/>
  <c r="M12747" i="8" s="1"/>
  <c r="H12747" i="8"/>
  <c r="M12742" i="8"/>
  <c r="I12742" i="8"/>
  <c r="H12742" i="8"/>
  <c r="M12741" i="8"/>
  <c r="I12741" i="8"/>
  <c r="H12741" i="8"/>
  <c r="M12740" i="8"/>
  <c r="I12740" i="8"/>
  <c r="H12740" i="8"/>
  <c r="M12739" i="8"/>
  <c r="I12739" i="8"/>
  <c r="H12739" i="8"/>
  <c r="H12738" i="8"/>
  <c r="M12733" i="8"/>
  <c r="I12733" i="8"/>
  <c r="H12733" i="8"/>
  <c r="M12732" i="8"/>
  <c r="I12732" i="8"/>
  <c r="H12732" i="8"/>
  <c r="M12731" i="8"/>
  <c r="I12731" i="8"/>
  <c r="H12731" i="8"/>
  <c r="M12730" i="8"/>
  <c r="I12730" i="8"/>
  <c r="H12730" i="8"/>
  <c r="M12729" i="8"/>
  <c r="I12729" i="8"/>
  <c r="H12729" i="8"/>
  <c r="M12728" i="8"/>
  <c r="I12728" i="8"/>
  <c r="H12728" i="8"/>
  <c r="M12727" i="8"/>
  <c r="I12727" i="8"/>
  <c r="H12727" i="8"/>
  <c r="M12726" i="8"/>
  <c r="I12726" i="8"/>
  <c r="H12726" i="8"/>
  <c r="M12725" i="8"/>
  <c r="I12725" i="8"/>
  <c r="H12725" i="8"/>
  <c r="M12724" i="8"/>
  <c r="I12724" i="8"/>
  <c r="H12724" i="8"/>
  <c r="M12723" i="8"/>
  <c r="I12723" i="8"/>
  <c r="H12723" i="8"/>
  <c r="I12722" i="8"/>
  <c r="M12722" i="8" s="1"/>
  <c r="H12722" i="8"/>
  <c r="I12721" i="8"/>
  <c r="M12721" i="8" s="1"/>
  <c r="H12721" i="8"/>
  <c r="I12720" i="8"/>
  <c r="M12720" i="8" s="1"/>
  <c r="H12720" i="8"/>
  <c r="I12719" i="8"/>
  <c r="M12719" i="8" s="1"/>
  <c r="H12719" i="8"/>
  <c r="B12715" i="8"/>
  <c r="M12709" i="8"/>
  <c r="K12709" i="8"/>
  <c r="I12709" i="8"/>
  <c r="H12709" i="8"/>
  <c r="M12708" i="8"/>
  <c r="K12708" i="8"/>
  <c r="I12708" i="8"/>
  <c r="H12708" i="8"/>
  <c r="M12707" i="8"/>
  <c r="K12707" i="8"/>
  <c r="I12707" i="8"/>
  <c r="H12707" i="8"/>
  <c r="M12706" i="8"/>
  <c r="K12706" i="8"/>
  <c r="I12706" i="8"/>
  <c r="H12706" i="8"/>
  <c r="I12705" i="8"/>
  <c r="H12705" i="8"/>
  <c r="M12700" i="8"/>
  <c r="M12699" i="8"/>
  <c r="M12698" i="8"/>
  <c r="I12697" i="8"/>
  <c r="M12697" i="8" s="1"/>
  <c r="H12697" i="8"/>
  <c r="M12692" i="8"/>
  <c r="I12692" i="8"/>
  <c r="H12692" i="8"/>
  <c r="M12691" i="8"/>
  <c r="I12691" i="8"/>
  <c r="H12691" i="8"/>
  <c r="M12690" i="8"/>
  <c r="I12690" i="8"/>
  <c r="H12690" i="8"/>
  <c r="M12689" i="8"/>
  <c r="I12689" i="8"/>
  <c r="H12689" i="8"/>
  <c r="H12688" i="8"/>
  <c r="M12683" i="8"/>
  <c r="I12683" i="8"/>
  <c r="H12683" i="8"/>
  <c r="M12682" i="8"/>
  <c r="I12682" i="8"/>
  <c r="H12682" i="8"/>
  <c r="M12681" i="8"/>
  <c r="I12681" i="8"/>
  <c r="H12681" i="8"/>
  <c r="M12680" i="8"/>
  <c r="I12680" i="8"/>
  <c r="H12680" i="8"/>
  <c r="M12679" i="8"/>
  <c r="I12679" i="8"/>
  <c r="H12679" i="8"/>
  <c r="M12678" i="8"/>
  <c r="I12678" i="8"/>
  <c r="H12678" i="8"/>
  <c r="I12677" i="8"/>
  <c r="M12677" i="8" s="1"/>
  <c r="H12677" i="8"/>
  <c r="I12676" i="8"/>
  <c r="M12676" i="8" s="1"/>
  <c r="H12676" i="8"/>
  <c r="I12675" i="8"/>
  <c r="M12675" i="8" s="1"/>
  <c r="H12675" i="8"/>
  <c r="I12674" i="8"/>
  <c r="M12674" i="8" s="1"/>
  <c r="H12674" i="8"/>
  <c r="I12673" i="8"/>
  <c r="M12673" i="8" s="1"/>
  <c r="H12673" i="8"/>
  <c r="I12672" i="8"/>
  <c r="M12672" i="8" s="1"/>
  <c r="H12672" i="8"/>
  <c r="I12671" i="8"/>
  <c r="M12671" i="8" s="1"/>
  <c r="H12671" i="8"/>
  <c r="I12670" i="8"/>
  <c r="M12670" i="8" s="1"/>
  <c r="H12670" i="8"/>
  <c r="I12669" i="8"/>
  <c r="M12669" i="8" s="1"/>
  <c r="H12669" i="8"/>
  <c r="B12665" i="8"/>
  <c r="M12659" i="8"/>
  <c r="K12659" i="8"/>
  <c r="I12659" i="8"/>
  <c r="H12659" i="8"/>
  <c r="M12658" i="8"/>
  <c r="K12658" i="8"/>
  <c r="I12658" i="8"/>
  <c r="H12658" i="8"/>
  <c r="M12657" i="8"/>
  <c r="K12657" i="8"/>
  <c r="I12657" i="8"/>
  <c r="H12657" i="8"/>
  <c r="M12656" i="8"/>
  <c r="K12656" i="8"/>
  <c r="I12656" i="8"/>
  <c r="H12656" i="8"/>
  <c r="I12655" i="8"/>
  <c r="H12655" i="8"/>
  <c r="M12650" i="8"/>
  <c r="M12649" i="8"/>
  <c r="M12648" i="8"/>
  <c r="I12647" i="8"/>
  <c r="M12647" i="8" s="1"/>
  <c r="H12647" i="8"/>
  <c r="M12642" i="8"/>
  <c r="I12642" i="8"/>
  <c r="H12642" i="8"/>
  <c r="M12641" i="8"/>
  <c r="I12641" i="8"/>
  <c r="H12641" i="8"/>
  <c r="M12640" i="8"/>
  <c r="I12640" i="8"/>
  <c r="H12640" i="8"/>
  <c r="M12639" i="8"/>
  <c r="I12639" i="8"/>
  <c r="H12639" i="8"/>
  <c r="H12638" i="8"/>
  <c r="M12633" i="8"/>
  <c r="I12633" i="8"/>
  <c r="H12633" i="8"/>
  <c r="M12632" i="8"/>
  <c r="I12632" i="8"/>
  <c r="H12632" i="8"/>
  <c r="M12631" i="8"/>
  <c r="I12631" i="8"/>
  <c r="H12631" i="8"/>
  <c r="M12630" i="8"/>
  <c r="I12630" i="8"/>
  <c r="H12630" i="8"/>
  <c r="M12629" i="8"/>
  <c r="I12629" i="8"/>
  <c r="H12629" i="8"/>
  <c r="M12628" i="8"/>
  <c r="I12628" i="8"/>
  <c r="H12628" i="8"/>
  <c r="M12627" i="8"/>
  <c r="I12627" i="8"/>
  <c r="H12627" i="8"/>
  <c r="M12626" i="8"/>
  <c r="I12626" i="8"/>
  <c r="H12626" i="8"/>
  <c r="I12625" i="8"/>
  <c r="M12625" i="8" s="1"/>
  <c r="H12625" i="8"/>
  <c r="I12624" i="8"/>
  <c r="M12624" i="8" s="1"/>
  <c r="H12624" i="8"/>
  <c r="I12623" i="8"/>
  <c r="M12623" i="8" s="1"/>
  <c r="H12623" i="8"/>
  <c r="I12622" i="8"/>
  <c r="M12622" i="8" s="1"/>
  <c r="H12622" i="8"/>
  <c r="I12621" i="8"/>
  <c r="M12621" i="8" s="1"/>
  <c r="H12621" i="8"/>
  <c r="I12620" i="8"/>
  <c r="M12620" i="8" s="1"/>
  <c r="H12620" i="8"/>
  <c r="I12619" i="8"/>
  <c r="M12619" i="8" s="1"/>
  <c r="H12619" i="8"/>
  <c r="B12615" i="8"/>
  <c r="M12609" i="8"/>
  <c r="K12609" i="8"/>
  <c r="I12609" i="8"/>
  <c r="H12609" i="8"/>
  <c r="M12608" i="8"/>
  <c r="K12608" i="8"/>
  <c r="I12608" i="8"/>
  <c r="H12608" i="8"/>
  <c r="M12607" i="8"/>
  <c r="K12607" i="8"/>
  <c r="I12607" i="8"/>
  <c r="H12607" i="8"/>
  <c r="M12606" i="8"/>
  <c r="K12606" i="8"/>
  <c r="I12606" i="8"/>
  <c r="H12606" i="8"/>
  <c r="I12605" i="8"/>
  <c r="H12605" i="8"/>
  <c r="M12600" i="8"/>
  <c r="M12599" i="8"/>
  <c r="M12598" i="8"/>
  <c r="I12597" i="8"/>
  <c r="M12597" i="8" s="1"/>
  <c r="H12597" i="8"/>
  <c r="M12592" i="8"/>
  <c r="I12592" i="8"/>
  <c r="H12592" i="8"/>
  <c r="M12591" i="8"/>
  <c r="I12591" i="8"/>
  <c r="H12591" i="8"/>
  <c r="M12590" i="8"/>
  <c r="I12590" i="8"/>
  <c r="H12590" i="8"/>
  <c r="M12589" i="8"/>
  <c r="I12589" i="8"/>
  <c r="H12589" i="8"/>
  <c r="H12588" i="8"/>
  <c r="M12583" i="8"/>
  <c r="I12583" i="8"/>
  <c r="H12583" i="8"/>
  <c r="M12582" i="8"/>
  <c r="I12582" i="8"/>
  <c r="H12582" i="8"/>
  <c r="M12581" i="8"/>
  <c r="I12581" i="8"/>
  <c r="H12581" i="8"/>
  <c r="M12580" i="8"/>
  <c r="I12580" i="8"/>
  <c r="H12580" i="8"/>
  <c r="M12579" i="8"/>
  <c r="I12579" i="8"/>
  <c r="H12579" i="8"/>
  <c r="M12578" i="8"/>
  <c r="I12578" i="8"/>
  <c r="H12578" i="8"/>
  <c r="M12577" i="8"/>
  <c r="I12577" i="8"/>
  <c r="H12577" i="8"/>
  <c r="I12576" i="8"/>
  <c r="M12576" i="8" s="1"/>
  <c r="H12576" i="8"/>
  <c r="I12575" i="8"/>
  <c r="M12575" i="8" s="1"/>
  <c r="H12575" i="8"/>
  <c r="I12574" i="8"/>
  <c r="M12574" i="8" s="1"/>
  <c r="H12574" i="8"/>
  <c r="I12573" i="8"/>
  <c r="M12573" i="8" s="1"/>
  <c r="H12573" i="8"/>
  <c r="I12572" i="8"/>
  <c r="M12572" i="8" s="1"/>
  <c r="H12572" i="8"/>
  <c r="I12571" i="8"/>
  <c r="M12571" i="8" s="1"/>
  <c r="H12571" i="8"/>
  <c r="I12570" i="8"/>
  <c r="M12570" i="8" s="1"/>
  <c r="H12570" i="8"/>
  <c r="I12569" i="8"/>
  <c r="M12569" i="8" s="1"/>
  <c r="H12569" i="8"/>
  <c r="B12565" i="8"/>
  <c r="M12559" i="8"/>
  <c r="K12559" i="8"/>
  <c r="I12559" i="8"/>
  <c r="H12559" i="8"/>
  <c r="M12558" i="8"/>
  <c r="K12558" i="8"/>
  <c r="I12558" i="8"/>
  <c r="H12558" i="8"/>
  <c r="M12557" i="8"/>
  <c r="K12557" i="8"/>
  <c r="I12557" i="8"/>
  <c r="H12557" i="8"/>
  <c r="M12556" i="8"/>
  <c r="K12556" i="8"/>
  <c r="I12556" i="8"/>
  <c r="H12556" i="8"/>
  <c r="I12555" i="8"/>
  <c r="H12555" i="8"/>
  <c r="M12550" i="8"/>
  <c r="M12549" i="8"/>
  <c r="M12548" i="8"/>
  <c r="I12547" i="8"/>
  <c r="M12547" i="8" s="1"/>
  <c r="H12547" i="8"/>
  <c r="M12542" i="8"/>
  <c r="I12542" i="8"/>
  <c r="H12542" i="8"/>
  <c r="M12541" i="8"/>
  <c r="I12541" i="8"/>
  <c r="H12541" i="8"/>
  <c r="M12540" i="8"/>
  <c r="I12540" i="8"/>
  <c r="H12540" i="8"/>
  <c r="M12539" i="8"/>
  <c r="I12539" i="8"/>
  <c r="H12539" i="8"/>
  <c r="H12538" i="8"/>
  <c r="M12533" i="8"/>
  <c r="I12533" i="8"/>
  <c r="H12533" i="8"/>
  <c r="M12532" i="8"/>
  <c r="I12532" i="8"/>
  <c r="H12532" i="8"/>
  <c r="M12531" i="8"/>
  <c r="I12531" i="8"/>
  <c r="H12531" i="8"/>
  <c r="M12530" i="8"/>
  <c r="I12530" i="8"/>
  <c r="H12530" i="8"/>
  <c r="M12529" i="8"/>
  <c r="I12529" i="8"/>
  <c r="H12529" i="8"/>
  <c r="M12528" i="8"/>
  <c r="I12528" i="8"/>
  <c r="H12528" i="8"/>
  <c r="M12527" i="8"/>
  <c r="I12527" i="8"/>
  <c r="H12527" i="8"/>
  <c r="M12526" i="8"/>
  <c r="I12526" i="8"/>
  <c r="H12526" i="8"/>
  <c r="M12525" i="8"/>
  <c r="I12525" i="8"/>
  <c r="H12525" i="8"/>
  <c r="M12524" i="8"/>
  <c r="I12524" i="8"/>
  <c r="H12524" i="8"/>
  <c r="M12523" i="8"/>
  <c r="I12523" i="8"/>
  <c r="H12523" i="8"/>
  <c r="I12522" i="8"/>
  <c r="M12522" i="8" s="1"/>
  <c r="H12522" i="8"/>
  <c r="I12521" i="8"/>
  <c r="M12521" i="8" s="1"/>
  <c r="H12521" i="8"/>
  <c r="I12520" i="8"/>
  <c r="M12520" i="8" s="1"/>
  <c r="H12520" i="8"/>
  <c r="I12519" i="8"/>
  <c r="M12519" i="8" s="1"/>
  <c r="H12519" i="8"/>
  <c r="B12515" i="8"/>
  <c r="M12509" i="8"/>
  <c r="K12509" i="8"/>
  <c r="I12509" i="8"/>
  <c r="H12509" i="8"/>
  <c r="M12508" i="8"/>
  <c r="K12508" i="8"/>
  <c r="I12508" i="8"/>
  <c r="H12508" i="8"/>
  <c r="M12507" i="8"/>
  <c r="K12507" i="8"/>
  <c r="I12507" i="8"/>
  <c r="H12507" i="8"/>
  <c r="M12506" i="8"/>
  <c r="K12506" i="8"/>
  <c r="I12506" i="8"/>
  <c r="H12506" i="8"/>
  <c r="I12505" i="8"/>
  <c r="H12505" i="8"/>
  <c r="M12500" i="8"/>
  <c r="M12499" i="8"/>
  <c r="M12498" i="8"/>
  <c r="I12497" i="8"/>
  <c r="M12497" i="8" s="1"/>
  <c r="H12497" i="8"/>
  <c r="M12492" i="8"/>
  <c r="I12492" i="8"/>
  <c r="H12492" i="8"/>
  <c r="M12491" i="8"/>
  <c r="I12491" i="8"/>
  <c r="H12491" i="8"/>
  <c r="M12490" i="8"/>
  <c r="I12490" i="8"/>
  <c r="H12490" i="8"/>
  <c r="M12489" i="8"/>
  <c r="I12489" i="8"/>
  <c r="H12489" i="8"/>
  <c r="H12488" i="8"/>
  <c r="M12483" i="8"/>
  <c r="I12483" i="8"/>
  <c r="H12483" i="8"/>
  <c r="M12482" i="8"/>
  <c r="I12482" i="8"/>
  <c r="H12482" i="8"/>
  <c r="M12481" i="8"/>
  <c r="I12481" i="8"/>
  <c r="H12481" i="8"/>
  <c r="M12480" i="8"/>
  <c r="I12480" i="8"/>
  <c r="H12480" i="8"/>
  <c r="M12479" i="8"/>
  <c r="I12479" i="8"/>
  <c r="H12479" i="8"/>
  <c r="M12478" i="8"/>
  <c r="I12478" i="8"/>
  <c r="H12478" i="8"/>
  <c r="I12477" i="8"/>
  <c r="M12477" i="8" s="1"/>
  <c r="H12477" i="8"/>
  <c r="I12476" i="8"/>
  <c r="M12476" i="8" s="1"/>
  <c r="H12476" i="8"/>
  <c r="I12475" i="8"/>
  <c r="M12475" i="8" s="1"/>
  <c r="H12475" i="8"/>
  <c r="I12474" i="8"/>
  <c r="M12474" i="8" s="1"/>
  <c r="H12474" i="8"/>
  <c r="I12473" i="8"/>
  <c r="M12473" i="8" s="1"/>
  <c r="H12473" i="8"/>
  <c r="I12472" i="8"/>
  <c r="M12472" i="8" s="1"/>
  <c r="H12472" i="8"/>
  <c r="I12471" i="8"/>
  <c r="M12471" i="8" s="1"/>
  <c r="H12471" i="8"/>
  <c r="I12470" i="8"/>
  <c r="M12470" i="8" s="1"/>
  <c r="H12470" i="8"/>
  <c r="I12469" i="8"/>
  <c r="M12469" i="8" s="1"/>
  <c r="H12469" i="8"/>
  <c r="B12465" i="8"/>
  <c r="M12459" i="8"/>
  <c r="K12459" i="8"/>
  <c r="I12459" i="8"/>
  <c r="H12459" i="8"/>
  <c r="M12458" i="8"/>
  <c r="K12458" i="8"/>
  <c r="I12458" i="8"/>
  <c r="H12458" i="8"/>
  <c r="M12457" i="8"/>
  <c r="K12457" i="8"/>
  <c r="I12457" i="8"/>
  <c r="H12457" i="8"/>
  <c r="M12456" i="8"/>
  <c r="K12456" i="8"/>
  <c r="I12456" i="8"/>
  <c r="H12456" i="8"/>
  <c r="I12455" i="8"/>
  <c r="H12455" i="8"/>
  <c r="M12450" i="8"/>
  <c r="M12449" i="8"/>
  <c r="M12448" i="8"/>
  <c r="I12447" i="8"/>
  <c r="M12447" i="8" s="1"/>
  <c r="H12447" i="8"/>
  <c r="I12446" i="8"/>
  <c r="M12446" i="8" s="1"/>
  <c r="H12446" i="8"/>
  <c r="M12441" i="8"/>
  <c r="I12441" i="8"/>
  <c r="H12441" i="8"/>
  <c r="M12440" i="8"/>
  <c r="I12440" i="8"/>
  <c r="H12440" i="8"/>
  <c r="M12439" i="8"/>
  <c r="I12439" i="8"/>
  <c r="H12439" i="8"/>
  <c r="M12438" i="8"/>
  <c r="I12438" i="8"/>
  <c r="H12438" i="8"/>
  <c r="H12437" i="8"/>
  <c r="M12432" i="8"/>
  <c r="I12432" i="8"/>
  <c r="H12432" i="8"/>
  <c r="M12431" i="8"/>
  <c r="I12431" i="8"/>
  <c r="H12431" i="8"/>
  <c r="M12430" i="8"/>
  <c r="I12430" i="8"/>
  <c r="H12430" i="8"/>
  <c r="I12429" i="8"/>
  <c r="M12429" i="8" s="1"/>
  <c r="H12429" i="8"/>
  <c r="I12428" i="8"/>
  <c r="M12428" i="8" s="1"/>
  <c r="H12428" i="8"/>
  <c r="I12427" i="8"/>
  <c r="M12427" i="8" s="1"/>
  <c r="H12427" i="8"/>
  <c r="I12426" i="8"/>
  <c r="M12426" i="8" s="1"/>
  <c r="H12426" i="8"/>
  <c r="I12425" i="8"/>
  <c r="M12425" i="8" s="1"/>
  <c r="H12425" i="8"/>
  <c r="I12424" i="8"/>
  <c r="M12424" i="8" s="1"/>
  <c r="H12424" i="8"/>
  <c r="I12423" i="8"/>
  <c r="M12423" i="8" s="1"/>
  <c r="H12423" i="8"/>
  <c r="I12422" i="8"/>
  <c r="M12422" i="8" s="1"/>
  <c r="H12422" i="8"/>
  <c r="I12421" i="8"/>
  <c r="M12421" i="8" s="1"/>
  <c r="H12421" i="8"/>
  <c r="I12420" i="8"/>
  <c r="M12420" i="8" s="1"/>
  <c r="H12420" i="8"/>
  <c r="I12419" i="8"/>
  <c r="M12419" i="8" s="1"/>
  <c r="H12419" i="8"/>
  <c r="I12418" i="8"/>
  <c r="M12418" i="8" s="1"/>
  <c r="H12418" i="8"/>
  <c r="I12417" i="8"/>
  <c r="M12417" i="8" s="1"/>
  <c r="H12417" i="8"/>
  <c r="I12416" i="8"/>
  <c r="M12416" i="8" s="1"/>
  <c r="H12416" i="8"/>
  <c r="I12415" i="8"/>
  <c r="M12415" i="8" s="1"/>
  <c r="H12415" i="8"/>
  <c r="I12414" i="8"/>
  <c r="M12414" i="8" s="1"/>
  <c r="H12414" i="8"/>
  <c r="I12413" i="8"/>
  <c r="M12413" i="8" s="1"/>
  <c r="H12413" i="8"/>
  <c r="I12412" i="8"/>
  <c r="M12412" i="8" s="1"/>
  <c r="H12412" i="8"/>
  <c r="I12411" i="8"/>
  <c r="M12411" i="8" s="1"/>
  <c r="H12411" i="8"/>
  <c r="I12410" i="8"/>
  <c r="M12410" i="8" s="1"/>
  <c r="H12410" i="8"/>
  <c r="I12409" i="8"/>
  <c r="M12409" i="8" s="1"/>
  <c r="H12409" i="8"/>
  <c r="I12408" i="8"/>
  <c r="M12408" i="8" s="1"/>
  <c r="H12408" i="8"/>
  <c r="B12404" i="8"/>
  <c r="M12398" i="8"/>
  <c r="K12398" i="8"/>
  <c r="I12398" i="8"/>
  <c r="H12398" i="8"/>
  <c r="M12397" i="8"/>
  <c r="K12397" i="8"/>
  <c r="I12397" i="8"/>
  <c r="H12397" i="8"/>
  <c r="M12396" i="8"/>
  <c r="K12396" i="8"/>
  <c r="I12396" i="8"/>
  <c r="H12396" i="8"/>
  <c r="M12395" i="8"/>
  <c r="K12395" i="8"/>
  <c r="I12395" i="8"/>
  <c r="H12395" i="8"/>
  <c r="I12394" i="8"/>
  <c r="H12394" i="8"/>
  <c r="M12389" i="8"/>
  <c r="M12388" i="8"/>
  <c r="M12387" i="8"/>
  <c r="M12386" i="8"/>
  <c r="I12385" i="8"/>
  <c r="M12385" i="8" s="1"/>
  <c r="H12385" i="8"/>
  <c r="M12380" i="8"/>
  <c r="I12380" i="8"/>
  <c r="H12380" i="8"/>
  <c r="M12379" i="8"/>
  <c r="I12379" i="8"/>
  <c r="H12379" i="8"/>
  <c r="M12378" i="8"/>
  <c r="I12378" i="8"/>
  <c r="H12378" i="8"/>
  <c r="M12377" i="8"/>
  <c r="I12377" i="8"/>
  <c r="H12377" i="8"/>
  <c r="H12376" i="8"/>
  <c r="I12371" i="8"/>
  <c r="M12371" i="8" s="1"/>
  <c r="H12371" i="8"/>
  <c r="I12370" i="8"/>
  <c r="M12370" i="8" s="1"/>
  <c r="H12370" i="8"/>
  <c r="I12369" i="8"/>
  <c r="M12369" i="8" s="1"/>
  <c r="H12369" i="8"/>
  <c r="I12368" i="8"/>
  <c r="M12368" i="8" s="1"/>
  <c r="H12368" i="8"/>
  <c r="I12367" i="8"/>
  <c r="M12367" i="8" s="1"/>
  <c r="H12367" i="8"/>
  <c r="I12366" i="8"/>
  <c r="M12366" i="8" s="1"/>
  <c r="H12366" i="8"/>
  <c r="I12365" i="8"/>
  <c r="M12365" i="8" s="1"/>
  <c r="H12365" i="8"/>
  <c r="I12364" i="8"/>
  <c r="M12364" i="8" s="1"/>
  <c r="H12364" i="8"/>
  <c r="I12363" i="8"/>
  <c r="M12363" i="8" s="1"/>
  <c r="H12363" i="8"/>
  <c r="I12362" i="8"/>
  <c r="M12362" i="8" s="1"/>
  <c r="H12362" i="8"/>
  <c r="I12361" i="8"/>
  <c r="M12361" i="8" s="1"/>
  <c r="H12361" i="8"/>
  <c r="I12360" i="8"/>
  <c r="M12360" i="8" s="1"/>
  <c r="H12360" i="8"/>
  <c r="I12359" i="8"/>
  <c r="M12359" i="8" s="1"/>
  <c r="H12359" i="8"/>
  <c r="I12358" i="8"/>
  <c r="M12358" i="8" s="1"/>
  <c r="H12358" i="8"/>
  <c r="I12357" i="8"/>
  <c r="M12357" i="8" s="1"/>
  <c r="H12357" i="8"/>
  <c r="I12356" i="8"/>
  <c r="M12356" i="8" s="1"/>
  <c r="H12356" i="8"/>
  <c r="B12352" i="8"/>
  <c r="M12346" i="8"/>
  <c r="K12346" i="8"/>
  <c r="I12346" i="8"/>
  <c r="H12346" i="8"/>
  <c r="M12345" i="8"/>
  <c r="K12345" i="8"/>
  <c r="I12345" i="8"/>
  <c r="H12345" i="8"/>
  <c r="M12344" i="8"/>
  <c r="K12344" i="8"/>
  <c r="I12344" i="8"/>
  <c r="H12344" i="8"/>
  <c r="M12343" i="8"/>
  <c r="K12343" i="8"/>
  <c r="I12343" i="8"/>
  <c r="H12343" i="8"/>
  <c r="I12342" i="8"/>
  <c r="H12342" i="8"/>
  <c r="M12337" i="8"/>
  <c r="M12336" i="8"/>
  <c r="M12335" i="8"/>
  <c r="I12333" i="8"/>
  <c r="M12333" i="8" s="1"/>
  <c r="H12333" i="8"/>
  <c r="M12328" i="8"/>
  <c r="I12328" i="8"/>
  <c r="H12328" i="8"/>
  <c r="M12327" i="8"/>
  <c r="I12327" i="8"/>
  <c r="H12327" i="8"/>
  <c r="M12326" i="8"/>
  <c r="I12326" i="8"/>
  <c r="H12326" i="8"/>
  <c r="M12325" i="8"/>
  <c r="I12325" i="8"/>
  <c r="H12325" i="8"/>
  <c r="H12324" i="8"/>
  <c r="M12319" i="8"/>
  <c r="I12319" i="8"/>
  <c r="H12319" i="8"/>
  <c r="M12318" i="8"/>
  <c r="I12318" i="8"/>
  <c r="H12318" i="8"/>
  <c r="M12317" i="8"/>
  <c r="I12317" i="8"/>
  <c r="H12317" i="8"/>
  <c r="M12316" i="8"/>
  <c r="I12316" i="8"/>
  <c r="H12316" i="8"/>
  <c r="M12315" i="8"/>
  <c r="I12315" i="8"/>
  <c r="H12315" i="8"/>
  <c r="M12314" i="8"/>
  <c r="I12314" i="8"/>
  <c r="H12314" i="8"/>
  <c r="M12313" i="8"/>
  <c r="I12313" i="8"/>
  <c r="H12313" i="8"/>
  <c r="M12312" i="8"/>
  <c r="I12312" i="8"/>
  <c r="H12312" i="8"/>
  <c r="M12311" i="8"/>
  <c r="I12311" i="8"/>
  <c r="H12311" i="8"/>
  <c r="M12310" i="8"/>
  <c r="I12310" i="8"/>
  <c r="H12310" i="8"/>
  <c r="M12309" i="8"/>
  <c r="I12309" i="8"/>
  <c r="H12309" i="8"/>
  <c r="M12308" i="8"/>
  <c r="I12308" i="8"/>
  <c r="H12308" i="8"/>
  <c r="M12307" i="8"/>
  <c r="I12307" i="8"/>
  <c r="H12307" i="8"/>
  <c r="I12306" i="8"/>
  <c r="M12306" i="8" s="1"/>
  <c r="H12306" i="8"/>
  <c r="I12305" i="8"/>
  <c r="M12305" i="8" s="1"/>
  <c r="H12305" i="8"/>
  <c r="I12304" i="8"/>
  <c r="M12304" i="8" s="1"/>
  <c r="H12304" i="8"/>
  <c r="B12300" i="8"/>
  <c r="M12294" i="8"/>
  <c r="K12294" i="8"/>
  <c r="I12294" i="8"/>
  <c r="H12294" i="8"/>
  <c r="M12293" i="8"/>
  <c r="K12293" i="8"/>
  <c r="I12293" i="8"/>
  <c r="H12293" i="8"/>
  <c r="M12292" i="8"/>
  <c r="K12292" i="8"/>
  <c r="I12292" i="8"/>
  <c r="H12292" i="8"/>
  <c r="M12291" i="8"/>
  <c r="K12291" i="8"/>
  <c r="I12291" i="8"/>
  <c r="H12291" i="8"/>
  <c r="I12290" i="8"/>
  <c r="H12290" i="8"/>
  <c r="M12285" i="8"/>
  <c r="M12284" i="8"/>
  <c r="M12283" i="8"/>
  <c r="M12282" i="8"/>
  <c r="I12281" i="8"/>
  <c r="M12281" i="8" s="1"/>
  <c r="H12281" i="8"/>
  <c r="M12276" i="8"/>
  <c r="I12276" i="8"/>
  <c r="H12276" i="8"/>
  <c r="M12275" i="8"/>
  <c r="I12275" i="8"/>
  <c r="H12275" i="8"/>
  <c r="M12274" i="8"/>
  <c r="I12274" i="8"/>
  <c r="H12274" i="8"/>
  <c r="M12273" i="8"/>
  <c r="I12273" i="8"/>
  <c r="H12273" i="8"/>
  <c r="H12272" i="8"/>
  <c r="M12267" i="8"/>
  <c r="I12267" i="8"/>
  <c r="H12267" i="8"/>
  <c r="M12266" i="8"/>
  <c r="I12266" i="8"/>
  <c r="H12266" i="8"/>
  <c r="M12265" i="8"/>
  <c r="I12265" i="8"/>
  <c r="H12265" i="8"/>
  <c r="M12264" i="8"/>
  <c r="I12264" i="8"/>
  <c r="H12264" i="8"/>
  <c r="M12263" i="8"/>
  <c r="I12263" i="8"/>
  <c r="H12263" i="8"/>
  <c r="M12262" i="8"/>
  <c r="I12262" i="8"/>
  <c r="H12262" i="8"/>
  <c r="M12261" i="8"/>
  <c r="I12261" i="8"/>
  <c r="H12261" i="8"/>
  <c r="M12260" i="8"/>
  <c r="I12260" i="8"/>
  <c r="H12260" i="8"/>
  <c r="M12259" i="8"/>
  <c r="I12259" i="8"/>
  <c r="H12259" i="8"/>
  <c r="M12258" i="8"/>
  <c r="I12258" i="8"/>
  <c r="H12258" i="8"/>
  <c r="M12257" i="8"/>
  <c r="I12257" i="8"/>
  <c r="H12257" i="8"/>
  <c r="M12256" i="8"/>
  <c r="I12256" i="8"/>
  <c r="H12256" i="8"/>
  <c r="M12255" i="8"/>
  <c r="I12255" i="8"/>
  <c r="H12255" i="8"/>
  <c r="M12254" i="8"/>
  <c r="I12254" i="8"/>
  <c r="H12254" i="8"/>
  <c r="M12253" i="8"/>
  <c r="I12253" i="8"/>
  <c r="H12253" i="8"/>
  <c r="I12252" i="8"/>
  <c r="M12252" i="8" s="1"/>
  <c r="H12252" i="8"/>
  <c r="B12248" i="8"/>
  <c r="M12242" i="8"/>
  <c r="K12242" i="8"/>
  <c r="I12242" i="8"/>
  <c r="H12242" i="8"/>
  <c r="M12241" i="8"/>
  <c r="K12241" i="8"/>
  <c r="I12241" i="8"/>
  <c r="H12241" i="8"/>
  <c r="M12240" i="8"/>
  <c r="K12240" i="8"/>
  <c r="I12240" i="8"/>
  <c r="H12240" i="8"/>
  <c r="M12239" i="8"/>
  <c r="K12239" i="8"/>
  <c r="I12239" i="8"/>
  <c r="H12239" i="8"/>
  <c r="I12238" i="8"/>
  <c r="H12238" i="8"/>
  <c r="M12233" i="8"/>
  <c r="M12232" i="8"/>
  <c r="M12231" i="8"/>
  <c r="M12230" i="8"/>
  <c r="I12229" i="8"/>
  <c r="M12229" i="8" s="1"/>
  <c r="H12229" i="8"/>
  <c r="M12224" i="8"/>
  <c r="I12224" i="8"/>
  <c r="H12224" i="8"/>
  <c r="M12223" i="8"/>
  <c r="I12223" i="8"/>
  <c r="H12223" i="8"/>
  <c r="M12222" i="8"/>
  <c r="I12222" i="8"/>
  <c r="H12222" i="8"/>
  <c r="M12221" i="8"/>
  <c r="I12221" i="8"/>
  <c r="H12221" i="8"/>
  <c r="H12220" i="8"/>
  <c r="M12215" i="8"/>
  <c r="I12215" i="8"/>
  <c r="H12215" i="8"/>
  <c r="M12214" i="8"/>
  <c r="I12214" i="8"/>
  <c r="H12214" i="8"/>
  <c r="M12213" i="8"/>
  <c r="I12213" i="8"/>
  <c r="H12213" i="8"/>
  <c r="M12212" i="8"/>
  <c r="I12212" i="8"/>
  <c r="H12212" i="8"/>
  <c r="M12211" i="8"/>
  <c r="I12211" i="8"/>
  <c r="H12211" i="8"/>
  <c r="M12210" i="8"/>
  <c r="I12210" i="8"/>
  <c r="H12210" i="8"/>
  <c r="M12209" i="8"/>
  <c r="I12209" i="8"/>
  <c r="H12209" i="8"/>
  <c r="M12208" i="8"/>
  <c r="I12208" i="8"/>
  <c r="H12208" i="8"/>
  <c r="M12207" i="8"/>
  <c r="I12207" i="8"/>
  <c r="H12207" i="8"/>
  <c r="M12206" i="8"/>
  <c r="I12206" i="8"/>
  <c r="H12206" i="8"/>
  <c r="M12205" i="8"/>
  <c r="I12205" i="8"/>
  <c r="H12205" i="8"/>
  <c r="I12204" i="8"/>
  <c r="M12204" i="8" s="1"/>
  <c r="H12204" i="8"/>
  <c r="I12203" i="8"/>
  <c r="M12203" i="8" s="1"/>
  <c r="H12203" i="8"/>
  <c r="I12202" i="8"/>
  <c r="M12202" i="8" s="1"/>
  <c r="H12202" i="8"/>
  <c r="I12201" i="8"/>
  <c r="M12201" i="8" s="1"/>
  <c r="H12201" i="8"/>
  <c r="I12200" i="8"/>
  <c r="M12200" i="8" s="1"/>
  <c r="H12200" i="8"/>
  <c r="B12196" i="8"/>
  <c r="M12190" i="8"/>
  <c r="K12190" i="8"/>
  <c r="I12190" i="8"/>
  <c r="H12190" i="8"/>
  <c r="M12189" i="8"/>
  <c r="K12189" i="8"/>
  <c r="I12189" i="8"/>
  <c r="H12189" i="8"/>
  <c r="M12188" i="8"/>
  <c r="K12188" i="8"/>
  <c r="I12188" i="8"/>
  <c r="H12188" i="8"/>
  <c r="M12187" i="8"/>
  <c r="K12187" i="8"/>
  <c r="I12187" i="8"/>
  <c r="H12187" i="8"/>
  <c r="I12186" i="8"/>
  <c r="H12186" i="8"/>
  <c r="M12181" i="8"/>
  <c r="M12180" i="8"/>
  <c r="M12179" i="8"/>
  <c r="M12178" i="8"/>
  <c r="I12177" i="8"/>
  <c r="M12177" i="8" s="1"/>
  <c r="H12177" i="8"/>
  <c r="M12172" i="8"/>
  <c r="I12172" i="8"/>
  <c r="H12172" i="8"/>
  <c r="M12171" i="8"/>
  <c r="I12171" i="8"/>
  <c r="H12171" i="8"/>
  <c r="M12170" i="8"/>
  <c r="I12170" i="8"/>
  <c r="H12170" i="8"/>
  <c r="M12169" i="8"/>
  <c r="I12169" i="8"/>
  <c r="H12169" i="8"/>
  <c r="H12168" i="8"/>
  <c r="M12163" i="8"/>
  <c r="I12163" i="8"/>
  <c r="H12163" i="8"/>
  <c r="M12162" i="8"/>
  <c r="I12162" i="8"/>
  <c r="H12162" i="8"/>
  <c r="M12161" i="8"/>
  <c r="I12161" i="8"/>
  <c r="H12161" i="8"/>
  <c r="M12160" i="8"/>
  <c r="I12160" i="8"/>
  <c r="H12160" i="8"/>
  <c r="M12159" i="8"/>
  <c r="I12159" i="8"/>
  <c r="H12159" i="8"/>
  <c r="M12158" i="8"/>
  <c r="I12158" i="8"/>
  <c r="H12158" i="8"/>
  <c r="M12157" i="8"/>
  <c r="I12157" i="8"/>
  <c r="H12157" i="8"/>
  <c r="M12156" i="8"/>
  <c r="I12156" i="8"/>
  <c r="H12156" i="8"/>
  <c r="M12155" i="8"/>
  <c r="I12155" i="8"/>
  <c r="H12155" i="8"/>
  <c r="M12154" i="8"/>
  <c r="I12154" i="8"/>
  <c r="H12154" i="8"/>
  <c r="M12153" i="8"/>
  <c r="I12153" i="8"/>
  <c r="H12153" i="8"/>
  <c r="M12152" i="8"/>
  <c r="I12152" i="8"/>
  <c r="H12152" i="8"/>
  <c r="I12151" i="8"/>
  <c r="M12151" i="8" s="1"/>
  <c r="H12151" i="8"/>
  <c r="I12150" i="8"/>
  <c r="M12150" i="8" s="1"/>
  <c r="H12150" i="8"/>
  <c r="I12149" i="8"/>
  <c r="M12149" i="8" s="1"/>
  <c r="H12149" i="8"/>
  <c r="H12148" i="8"/>
  <c r="B12144" i="8"/>
  <c r="M12138" i="8"/>
  <c r="K12138" i="8"/>
  <c r="I12138" i="8"/>
  <c r="H12138" i="8"/>
  <c r="M12137" i="8"/>
  <c r="K12137" i="8"/>
  <c r="I12137" i="8"/>
  <c r="H12137" i="8"/>
  <c r="M12136" i="8"/>
  <c r="K12136" i="8"/>
  <c r="I12136" i="8"/>
  <c r="H12136" i="8"/>
  <c r="M12135" i="8"/>
  <c r="K12135" i="8"/>
  <c r="I12135" i="8"/>
  <c r="H12135" i="8"/>
  <c r="I12134" i="8"/>
  <c r="H12134" i="8"/>
  <c r="M12129" i="8"/>
  <c r="M12128" i="8"/>
  <c r="M12127" i="8"/>
  <c r="I12125" i="8"/>
  <c r="M12125" i="8" s="1"/>
  <c r="H12125" i="8"/>
  <c r="M12120" i="8"/>
  <c r="I12120" i="8"/>
  <c r="H12120" i="8"/>
  <c r="M12119" i="8"/>
  <c r="I12119" i="8"/>
  <c r="H12119" i="8"/>
  <c r="M12118" i="8"/>
  <c r="I12118" i="8"/>
  <c r="H12118" i="8"/>
  <c r="M12117" i="8"/>
  <c r="I12117" i="8"/>
  <c r="H12117" i="8"/>
  <c r="H12116" i="8"/>
  <c r="M12111" i="8"/>
  <c r="I12111" i="8"/>
  <c r="H12111" i="8"/>
  <c r="M12110" i="8"/>
  <c r="I12110" i="8"/>
  <c r="H12110" i="8"/>
  <c r="M12109" i="8"/>
  <c r="I12109" i="8"/>
  <c r="H12109" i="8"/>
  <c r="M12108" i="8"/>
  <c r="I12108" i="8"/>
  <c r="H12108" i="8"/>
  <c r="M12107" i="8"/>
  <c r="I12107" i="8"/>
  <c r="H12107" i="8"/>
  <c r="M12106" i="8"/>
  <c r="I12106" i="8"/>
  <c r="H12106" i="8"/>
  <c r="M12105" i="8"/>
  <c r="I12105" i="8"/>
  <c r="H12105" i="8"/>
  <c r="M12104" i="8"/>
  <c r="I12104" i="8"/>
  <c r="H12104" i="8"/>
  <c r="M12103" i="8"/>
  <c r="I12103" i="8"/>
  <c r="H12103" i="8"/>
  <c r="M12102" i="8"/>
  <c r="I12102" i="8"/>
  <c r="H12102" i="8"/>
  <c r="M12101" i="8"/>
  <c r="I12101" i="8"/>
  <c r="H12101" i="8"/>
  <c r="M12100" i="8"/>
  <c r="I12100" i="8"/>
  <c r="H12100" i="8"/>
  <c r="M12099" i="8"/>
  <c r="I12099" i="8"/>
  <c r="H12099" i="8"/>
  <c r="M12098" i="8"/>
  <c r="I12098" i="8"/>
  <c r="H12098" i="8"/>
  <c r="M12097" i="8"/>
  <c r="I12097" i="8"/>
  <c r="H12097" i="8"/>
  <c r="I12096" i="8"/>
  <c r="M12096" i="8" s="1"/>
  <c r="H12096" i="8"/>
  <c r="B12092" i="8"/>
  <c r="M12086" i="8"/>
  <c r="K12086" i="8"/>
  <c r="I12086" i="8"/>
  <c r="H12086" i="8"/>
  <c r="M12085" i="8"/>
  <c r="K12085" i="8"/>
  <c r="I12085" i="8"/>
  <c r="H12085" i="8"/>
  <c r="M12084" i="8"/>
  <c r="K12084" i="8"/>
  <c r="I12084" i="8"/>
  <c r="H12084" i="8"/>
  <c r="M12083" i="8"/>
  <c r="K12083" i="8"/>
  <c r="I12083" i="8"/>
  <c r="H12083" i="8"/>
  <c r="I12082" i="8"/>
  <c r="H12082" i="8"/>
  <c r="M12077" i="8"/>
  <c r="M12076" i="8"/>
  <c r="M12075" i="8"/>
  <c r="M12074" i="8"/>
  <c r="I12073" i="8"/>
  <c r="M12073" i="8" s="1"/>
  <c r="H12073" i="8"/>
  <c r="M12068" i="8"/>
  <c r="I12068" i="8"/>
  <c r="H12068" i="8"/>
  <c r="M12067" i="8"/>
  <c r="I12067" i="8"/>
  <c r="H12067" i="8"/>
  <c r="M12066" i="8"/>
  <c r="I12066" i="8"/>
  <c r="H12066" i="8"/>
  <c r="M12065" i="8"/>
  <c r="I12065" i="8"/>
  <c r="H12065" i="8"/>
  <c r="H12064" i="8"/>
  <c r="M12059" i="8"/>
  <c r="I12059" i="8"/>
  <c r="H12059" i="8"/>
  <c r="M12058" i="8"/>
  <c r="I12058" i="8"/>
  <c r="H12058" i="8"/>
  <c r="M12057" i="8"/>
  <c r="I12057" i="8"/>
  <c r="H12057" i="8"/>
  <c r="M12056" i="8"/>
  <c r="I12056" i="8"/>
  <c r="H12056" i="8"/>
  <c r="M12055" i="8"/>
  <c r="I12055" i="8"/>
  <c r="H12055" i="8"/>
  <c r="I12054" i="8"/>
  <c r="M12054" i="8" s="1"/>
  <c r="H12054" i="8"/>
  <c r="I12053" i="8"/>
  <c r="M12053" i="8" s="1"/>
  <c r="H12053" i="8"/>
  <c r="I12052" i="8"/>
  <c r="M12052" i="8" s="1"/>
  <c r="H12052" i="8"/>
  <c r="I12051" i="8"/>
  <c r="M12051" i="8" s="1"/>
  <c r="H12051" i="8"/>
  <c r="H12050" i="8"/>
  <c r="I12049" i="8"/>
  <c r="M12049" i="8" s="1"/>
  <c r="H12049" i="8"/>
  <c r="I12048" i="8"/>
  <c r="M12048" i="8" s="1"/>
  <c r="H12048" i="8"/>
  <c r="H12047" i="8"/>
  <c r="I12046" i="8"/>
  <c r="M12046" i="8" s="1"/>
  <c r="H12046" i="8"/>
  <c r="I12045" i="8"/>
  <c r="M12045" i="8" s="1"/>
  <c r="H12045" i="8"/>
  <c r="H12044" i="8"/>
  <c r="B12040" i="8"/>
  <c r="M12034" i="8"/>
  <c r="K12034" i="8"/>
  <c r="I12034" i="8"/>
  <c r="H12034" i="8"/>
  <c r="M12033" i="8"/>
  <c r="K12033" i="8"/>
  <c r="I12033" i="8"/>
  <c r="H12033" i="8"/>
  <c r="M12032" i="8"/>
  <c r="K12032" i="8"/>
  <c r="I12032" i="8"/>
  <c r="H12032" i="8"/>
  <c r="M12031" i="8"/>
  <c r="K12031" i="8"/>
  <c r="I12031" i="8"/>
  <c r="H12031" i="8"/>
  <c r="I12030" i="8"/>
  <c r="H12030" i="8"/>
  <c r="M12025" i="8"/>
  <c r="M12024" i="8"/>
  <c r="M12023" i="8"/>
  <c r="M12022" i="8"/>
  <c r="I12021" i="8"/>
  <c r="M12021" i="8" s="1"/>
  <c r="H12021" i="8"/>
  <c r="M12016" i="8"/>
  <c r="I12016" i="8"/>
  <c r="H12016" i="8"/>
  <c r="M12015" i="8"/>
  <c r="I12015" i="8"/>
  <c r="H12015" i="8"/>
  <c r="M12014" i="8"/>
  <c r="I12014" i="8"/>
  <c r="H12014" i="8"/>
  <c r="M12013" i="8"/>
  <c r="I12013" i="8"/>
  <c r="H12013" i="8"/>
  <c r="H12012" i="8"/>
  <c r="M12007" i="8"/>
  <c r="I12007" i="8"/>
  <c r="H12007" i="8"/>
  <c r="M12006" i="8"/>
  <c r="I12006" i="8"/>
  <c r="H12006" i="8"/>
  <c r="M12005" i="8"/>
  <c r="I12005" i="8"/>
  <c r="H12005" i="8"/>
  <c r="M12004" i="8"/>
  <c r="I12004" i="8"/>
  <c r="H12004" i="8"/>
  <c r="M12003" i="8"/>
  <c r="I12003" i="8"/>
  <c r="H12003" i="8"/>
  <c r="M12002" i="8"/>
  <c r="I12002" i="8"/>
  <c r="H12002" i="8"/>
  <c r="M12001" i="8"/>
  <c r="I12001" i="8"/>
  <c r="H12001" i="8"/>
  <c r="M12000" i="8"/>
  <c r="I12000" i="8"/>
  <c r="H12000" i="8"/>
  <c r="M11999" i="8"/>
  <c r="I11999" i="8"/>
  <c r="H11999" i="8"/>
  <c r="M11998" i="8"/>
  <c r="I11998" i="8"/>
  <c r="H11998" i="8"/>
  <c r="M11997" i="8"/>
  <c r="I11997" i="8"/>
  <c r="H11997" i="8"/>
  <c r="M11996" i="8"/>
  <c r="I11996" i="8"/>
  <c r="H11996" i="8"/>
  <c r="M11995" i="8"/>
  <c r="I11995" i="8"/>
  <c r="H11995" i="8"/>
  <c r="I11994" i="8"/>
  <c r="M11994" i="8" s="1"/>
  <c r="H11994" i="8"/>
  <c r="I11993" i="8"/>
  <c r="M11993" i="8" s="1"/>
  <c r="H11993" i="8"/>
  <c r="I11992" i="8"/>
  <c r="M11992" i="8" s="1"/>
  <c r="H11992" i="8"/>
  <c r="B11988" i="8"/>
  <c r="M11982" i="8"/>
  <c r="K11982" i="8"/>
  <c r="I11982" i="8"/>
  <c r="H11982" i="8"/>
  <c r="M11981" i="8"/>
  <c r="K11981" i="8"/>
  <c r="I11981" i="8"/>
  <c r="H11981" i="8"/>
  <c r="M11980" i="8"/>
  <c r="K11980" i="8"/>
  <c r="I11980" i="8"/>
  <c r="H11980" i="8"/>
  <c r="M11979" i="8"/>
  <c r="K11979" i="8"/>
  <c r="I11979" i="8"/>
  <c r="H11979" i="8"/>
  <c r="I11978" i="8"/>
  <c r="H11978" i="8"/>
  <c r="M11973" i="8"/>
  <c r="M11972" i="8"/>
  <c r="M11971" i="8"/>
  <c r="I11969" i="8"/>
  <c r="M11969" i="8" s="1"/>
  <c r="H11969" i="8"/>
  <c r="M11964" i="8"/>
  <c r="I11964" i="8"/>
  <c r="H11964" i="8"/>
  <c r="M11963" i="8"/>
  <c r="I11963" i="8"/>
  <c r="H11963" i="8"/>
  <c r="M11962" i="8"/>
  <c r="I11962" i="8"/>
  <c r="H11962" i="8"/>
  <c r="M11961" i="8"/>
  <c r="I11961" i="8"/>
  <c r="H11961" i="8"/>
  <c r="H11960" i="8"/>
  <c r="M11955" i="8"/>
  <c r="I11955" i="8"/>
  <c r="H11955" i="8"/>
  <c r="M11954" i="8"/>
  <c r="I11954" i="8"/>
  <c r="H11954" i="8"/>
  <c r="M11953" i="8"/>
  <c r="I11953" i="8"/>
  <c r="H11953" i="8"/>
  <c r="M11952" i="8"/>
  <c r="I11952" i="8"/>
  <c r="H11952" i="8"/>
  <c r="M11951" i="8"/>
  <c r="I11951" i="8"/>
  <c r="H11951" i="8"/>
  <c r="M11950" i="8"/>
  <c r="I11950" i="8"/>
  <c r="H11950" i="8"/>
  <c r="M11949" i="8"/>
  <c r="I11949" i="8"/>
  <c r="H11949" i="8"/>
  <c r="M11948" i="8"/>
  <c r="I11948" i="8"/>
  <c r="H11948" i="8"/>
  <c r="M11947" i="8"/>
  <c r="I11947" i="8"/>
  <c r="H11947" i="8"/>
  <c r="M11946" i="8"/>
  <c r="I11946" i="8"/>
  <c r="H11946" i="8"/>
  <c r="M11945" i="8"/>
  <c r="I11945" i="8"/>
  <c r="H11945" i="8"/>
  <c r="M11944" i="8"/>
  <c r="I11944" i="8"/>
  <c r="H11944" i="8"/>
  <c r="M11943" i="8"/>
  <c r="I11943" i="8"/>
  <c r="H11943" i="8"/>
  <c r="M11942" i="8"/>
  <c r="I11942" i="8"/>
  <c r="H11942" i="8"/>
  <c r="I11941" i="8"/>
  <c r="M11941" i="8" s="1"/>
  <c r="H11941" i="8"/>
  <c r="I11940" i="8"/>
  <c r="M11940" i="8" s="1"/>
  <c r="H11940" i="8"/>
  <c r="B11936" i="8"/>
  <c r="M11930" i="8"/>
  <c r="K11930" i="8"/>
  <c r="I11930" i="8"/>
  <c r="H11930" i="8"/>
  <c r="M11929" i="8"/>
  <c r="K11929" i="8"/>
  <c r="I11929" i="8"/>
  <c r="H11929" i="8"/>
  <c r="M11928" i="8"/>
  <c r="K11928" i="8"/>
  <c r="I11928" i="8"/>
  <c r="H11928" i="8"/>
  <c r="M11927" i="8"/>
  <c r="K11927" i="8"/>
  <c r="I11927" i="8"/>
  <c r="H11927" i="8"/>
  <c r="I11926" i="8"/>
  <c r="H11926" i="8"/>
  <c r="M11921" i="8"/>
  <c r="M11920" i="8"/>
  <c r="M11919" i="8"/>
  <c r="I11917" i="8"/>
  <c r="M11917" i="8" s="1"/>
  <c r="H11917" i="8"/>
  <c r="M11912" i="8"/>
  <c r="I11912" i="8"/>
  <c r="H11912" i="8"/>
  <c r="M11911" i="8"/>
  <c r="I11911" i="8"/>
  <c r="H11911" i="8"/>
  <c r="M11910" i="8"/>
  <c r="I11910" i="8"/>
  <c r="H11910" i="8"/>
  <c r="M11909" i="8"/>
  <c r="I11909" i="8"/>
  <c r="H11909" i="8"/>
  <c r="H11908" i="8"/>
  <c r="M11903" i="8"/>
  <c r="I11903" i="8"/>
  <c r="H11903" i="8"/>
  <c r="M11902" i="8"/>
  <c r="I11902" i="8"/>
  <c r="H11902" i="8"/>
  <c r="M11901" i="8"/>
  <c r="I11901" i="8"/>
  <c r="H11901" i="8"/>
  <c r="M11900" i="8"/>
  <c r="I11900" i="8"/>
  <c r="H11900" i="8"/>
  <c r="M11899" i="8"/>
  <c r="I11899" i="8"/>
  <c r="H11899" i="8"/>
  <c r="M11898" i="8"/>
  <c r="I11898" i="8"/>
  <c r="H11898" i="8"/>
  <c r="M11897" i="8"/>
  <c r="I11897" i="8"/>
  <c r="H11897" i="8"/>
  <c r="M11896" i="8"/>
  <c r="I11896" i="8"/>
  <c r="H11896" i="8"/>
  <c r="I11895" i="8"/>
  <c r="M11895" i="8" s="1"/>
  <c r="H11895" i="8"/>
  <c r="I11894" i="8"/>
  <c r="M11894" i="8" s="1"/>
  <c r="H11894" i="8"/>
  <c r="I11893" i="8"/>
  <c r="M11893" i="8" s="1"/>
  <c r="H11893" i="8"/>
  <c r="I11892" i="8"/>
  <c r="M11892" i="8" s="1"/>
  <c r="H11892" i="8"/>
  <c r="I11891" i="8"/>
  <c r="M11891" i="8" s="1"/>
  <c r="H11891" i="8"/>
  <c r="I11890" i="8"/>
  <c r="M11890" i="8" s="1"/>
  <c r="H11890" i="8"/>
  <c r="I11889" i="8"/>
  <c r="M11889" i="8" s="1"/>
  <c r="H11889" i="8"/>
  <c r="I11888" i="8"/>
  <c r="M11888" i="8" s="1"/>
  <c r="H11888" i="8"/>
  <c r="B11884" i="8"/>
  <c r="M11878" i="8"/>
  <c r="K11878" i="8"/>
  <c r="I11878" i="8"/>
  <c r="H11878" i="8"/>
  <c r="M11877" i="8"/>
  <c r="K11877" i="8"/>
  <c r="I11877" i="8"/>
  <c r="H11877" i="8"/>
  <c r="M11876" i="8"/>
  <c r="K11876" i="8"/>
  <c r="I11876" i="8"/>
  <c r="H11876" i="8"/>
  <c r="M11875" i="8"/>
  <c r="K11875" i="8"/>
  <c r="I11875" i="8"/>
  <c r="H11875" i="8"/>
  <c r="I11874" i="8"/>
  <c r="H11874" i="8"/>
  <c r="M11869" i="8"/>
  <c r="M11868" i="8"/>
  <c r="M11867" i="8"/>
  <c r="I11865" i="8"/>
  <c r="M11865" i="8" s="1"/>
  <c r="H11865" i="8"/>
  <c r="M11860" i="8"/>
  <c r="I11860" i="8"/>
  <c r="H11860" i="8"/>
  <c r="M11859" i="8"/>
  <c r="I11859" i="8"/>
  <c r="H11859" i="8"/>
  <c r="M11858" i="8"/>
  <c r="I11858" i="8"/>
  <c r="H11858" i="8"/>
  <c r="M11857" i="8"/>
  <c r="I11857" i="8"/>
  <c r="H11857" i="8"/>
  <c r="H11856" i="8"/>
  <c r="M11851" i="8"/>
  <c r="I11851" i="8"/>
  <c r="H11851" i="8"/>
  <c r="M11850" i="8"/>
  <c r="I11850" i="8"/>
  <c r="H11850" i="8"/>
  <c r="M11849" i="8"/>
  <c r="I11849" i="8"/>
  <c r="H11849" i="8"/>
  <c r="M11848" i="8"/>
  <c r="I11848" i="8"/>
  <c r="H11848" i="8"/>
  <c r="M11847" i="8"/>
  <c r="I11847" i="8"/>
  <c r="H11847" i="8"/>
  <c r="M11846" i="8"/>
  <c r="I11846" i="8"/>
  <c r="H11846" i="8"/>
  <c r="I11845" i="8"/>
  <c r="H11844" i="8"/>
  <c r="I11844" i="8"/>
  <c r="M11844" i="8" s="1"/>
  <c r="I11843" i="8"/>
  <c r="I11841" i="8"/>
  <c r="I11840" i="8"/>
  <c r="M11840" i="8" s="1"/>
  <c r="H11840" i="8"/>
  <c r="H11839" i="8"/>
  <c r="I11839" i="8"/>
  <c r="M11839" i="8" s="1"/>
  <c r="K11838" i="8"/>
  <c r="I11838" i="8"/>
  <c r="H11838" i="8"/>
  <c r="I11837" i="8"/>
  <c r="B11832" i="8"/>
  <c r="M11826" i="8"/>
  <c r="K11826" i="8"/>
  <c r="I11826" i="8"/>
  <c r="H11826" i="8"/>
  <c r="M11825" i="8"/>
  <c r="K11825" i="8"/>
  <c r="I11825" i="8"/>
  <c r="H11825" i="8"/>
  <c r="M11824" i="8"/>
  <c r="K11824" i="8"/>
  <c r="I11824" i="8"/>
  <c r="H11824" i="8"/>
  <c r="M11823" i="8"/>
  <c r="K11823" i="8"/>
  <c r="I11823" i="8"/>
  <c r="H11823" i="8"/>
  <c r="M11818" i="8"/>
  <c r="M11817" i="8"/>
  <c r="M11816" i="8"/>
  <c r="M11815" i="8"/>
  <c r="M11810" i="8"/>
  <c r="I11810" i="8"/>
  <c r="H11810" i="8"/>
  <c r="M11809" i="8"/>
  <c r="I11809" i="8"/>
  <c r="H11809" i="8"/>
  <c r="M11808" i="8"/>
  <c r="I11808" i="8"/>
  <c r="H11808" i="8"/>
  <c r="M11807" i="8"/>
  <c r="I11807" i="8"/>
  <c r="H11807" i="8"/>
  <c r="M11802" i="8"/>
  <c r="I11802" i="8"/>
  <c r="H11802" i="8"/>
  <c r="M11801" i="8"/>
  <c r="I11801" i="8"/>
  <c r="H11801" i="8"/>
  <c r="M11800" i="8"/>
  <c r="I11800" i="8"/>
  <c r="H11800" i="8"/>
  <c r="M11799" i="8"/>
  <c r="I11799" i="8"/>
  <c r="H11799" i="8"/>
  <c r="M11798" i="8"/>
  <c r="I11798" i="8"/>
  <c r="H11798" i="8"/>
  <c r="M11797" i="8"/>
  <c r="I11797" i="8"/>
  <c r="H11797" i="8"/>
  <c r="M11796" i="8"/>
  <c r="I11796" i="8"/>
  <c r="H11796" i="8"/>
  <c r="M11795" i="8"/>
  <c r="I11795" i="8"/>
  <c r="H11795" i="8"/>
  <c r="M11794" i="8"/>
  <c r="I11794" i="8"/>
  <c r="H11794" i="8"/>
  <c r="M11793" i="8"/>
  <c r="I11793" i="8"/>
  <c r="H11793" i="8"/>
  <c r="M11792" i="8"/>
  <c r="I11792" i="8"/>
  <c r="H11792" i="8"/>
  <c r="M11791" i="8"/>
  <c r="I11791" i="8"/>
  <c r="H11791" i="8"/>
  <c r="M11790" i="8"/>
  <c r="I11790" i="8"/>
  <c r="H11790" i="8"/>
  <c r="M11789" i="8"/>
  <c r="I11789" i="8"/>
  <c r="H11789" i="8"/>
  <c r="M11788" i="8"/>
  <c r="I11788" i="8"/>
  <c r="H11788" i="8"/>
  <c r="I11787" i="8"/>
  <c r="M11787" i="8" s="1"/>
  <c r="H11787" i="8"/>
  <c r="B11783" i="8"/>
  <c r="M11777" i="8"/>
  <c r="K11777" i="8"/>
  <c r="I11777" i="8"/>
  <c r="H11777" i="8"/>
  <c r="M11776" i="8"/>
  <c r="K11776" i="8"/>
  <c r="I11776" i="8"/>
  <c r="H11776" i="8"/>
  <c r="M11775" i="8"/>
  <c r="K11775" i="8"/>
  <c r="I11775" i="8"/>
  <c r="H11775" i="8"/>
  <c r="M11774" i="8"/>
  <c r="K11774" i="8"/>
  <c r="I11774" i="8"/>
  <c r="H11774" i="8"/>
  <c r="I11773" i="8"/>
  <c r="H11773" i="8"/>
  <c r="M11768" i="8"/>
  <c r="M11767" i="8"/>
  <c r="M11766" i="8"/>
  <c r="M11765" i="8"/>
  <c r="I11764" i="8"/>
  <c r="M11764" i="8" s="1"/>
  <c r="H11764" i="8"/>
  <c r="M11759" i="8"/>
  <c r="I11759" i="8"/>
  <c r="H11759" i="8"/>
  <c r="M11758" i="8"/>
  <c r="I11758" i="8"/>
  <c r="H11758" i="8"/>
  <c r="M11757" i="8"/>
  <c r="I11757" i="8"/>
  <c r="H11757" i="8"/>
  <c r="M11756" i="8"/>
  <c r="I11756" i="8"/>
  <c r="H11756" i="8"/>
  <c r="H11755" i="8"/>
  <c r="M11750" i="8"/>
  <c r="I11750" i="8"/>
  <c r="H11750" i="8"/>
  <c r="M11749" i="8"/>
  <c r="I11749" i="8"/>
  <c r="H11749" i="8"/>
  <c r="A11748" i="8"/>
  <c r="A11747" i="8"/>
  <c r="I11747" i="8" s="1"/>
  <c r="A11746" i="8"/>
  <c r="I11746" i="8" s="1"/>
  <c r="M11746" i="8" s="1"/>
  <c r="A11745" i="8"/>
  <c r="A11744" i="8"/>
  <c r="I11744" i="8" s="1"/>
  <c r="M11744" i="8" s="1"/>
  <c r="A11743" i="8"/>
  <c r="A11742" i="8"/>
  <c r="H11742" i="8" s="1"/>
  <c r="A11741" i="8"/>
  <c r="A11740" i="8"/>
  <c r="A11739" i="8"/>
  <c r="A11738" i="8"/>
  <c r="I11738" i="8" s="1"/>
  <c r="M11738" i="8" s="1"/>
  <c r="A11737" i="8"/>
  <c r="I11737" i="8" s="1"/>
  <c r="A11736" i="8"/>
  <c r="A11735" i="8"/>
  <c r="H11735" i="8" s="1"/>
  <c r="B11731" i="8"/>
  <c r="M11725" i="8"/>
  <c r="K11725" i="8"/>
  <c r="I11725" i="8"/>
  <c r="H11725" i="8"/>
  <c r="M11724" i="8"/>
  <c r="K11724" i="8"/>
  <c r="I11724" i="8"/>
  <c r="H11724" i="8"/>
  <c r="M11723" i="8"/>
  <c r="K11723" i="8"/>
  <c r="I11723" i="8"/>
  <c r="H11723" i="8"/>
  <c r="M11722" i="8"/>
  <c r="K11722" i="8"/>
  <c r="I11722" i="8"/>
  <c r="H11722" i="8"/>
  <c r="I11721" i="8"/>
  <c r="H11721" i="8"/>
  <c r="M11716" i="8"/>
  <c r="M11715" i="8"/>
  <c r="M11714" i="8"/>
  <c r="M11713" i="8"/>
  <c r="I11712" i="8"/>
  <c r="M11712" i="8" s="1"/>
  <c r="H11712" i="8"/>
  <c r="M11707" i="8"/>
  <c r="I11707" i="8"/>
  <c r="H11707" i="8"/>
  <c r="M11706" i="8"/>
  <c r="I11706" i="8"/>
  <c r="H11706" i="8"/>
  <c r="M11705" i="8"/>
  <c r="I11705" i="8"/>
  <c r="H11705" i="8"/>
  <c r="M11704" i="8"/>
  <c r="I11704" i="8"/>
  <c r="H11704" i="8"/>
  <c r="H11703" i="8"/>
  <c r="M11698" i="8"/>
  <c r="I11698" i="8"/>
  <c r="H11698" i="8"/>
  <c r="M11697" i="8"/>
  <c r="I11697" i="8"/>
  <c r="H11697" i="8"/>
  <c r="M11696" i="8"/>
  <c r="I11696" i="8"/>
  <c r="H11696" i="8"/>
  <c r="M11695" i="8"/>
  <c r="I11695" i="8"/>
  <c r="H11695" i="8"/>
  <c r="M11694" i="8"/>
  <c r="I11694" i="8"/>
  <c r="H11694" i="8"/>
  <c r="M11693" i="8"/>
  <c r="I11693" i="8"/>
  <c r="H11693" i="8"/>
  <c r="M11692" i="8"/>
  <c r="I11692" i="8"/>
  <c r="H11692" i="8"/>
  <c r="M11691" i="8"/>
  <c r="I11691" i="8"/>
  <c r="H11691" i="8"/>
  <c r="M11690" i="8"/>
  <c r="I11690" i="8"/>
  <c r="H11690" i="8"/>
  <c r="M11689" i="8"/>
  <c r="I11689" i="8"/>
  <c r="H11689" i="8"/>
  <c r="M11688" i="8"/>
  <c r="I11688" i="8"/>
  <c r="H11688" i="8"/>
  <c r="M11687" i="8"/>
  <c r="I11687" i="8"/>
  <c r="H11687" i="8"/>
  <c r="I11686" i="8"/>
  <c r="M11686" i="8" s="1"/>
  <c r="H11686" i="8"/>
  <c r="I11685" i="8"/>
  <c r="M11685" i="8" s="1"/>
  <c r="H11685" i="8"/>
  <c r="I11684" i="8"/>
  <c r="M11684" i="8" s="1"/>
  <c r="H11684" i="8"/>
  <c r="I11683" i="8"/>
  <c r="M11683" i="8" s="1"/>
  <c r="H11683" i="8"/>
  <c r="B11679" i="8"/>
  <c r="M11673" i="8"/>
  <c r="K11673" i="8"/>
  <c r="I11673" i="8"/>
  <c r="H11673" i="8"/>
  <c r="M11672" i="8"/>
  <c r="K11672" i="8"/>
  <c r="I11672" i="8"/>
  <c r="H11672" i="8"/>
  <c r="M11671" i="8"/>
  <c r="K11671" i="8"/>
  <c r="I11671" i="8"/>
  <c r="H11671" i="8"/>
  <c r="M11670" i="8"/>
  <c r="K11670" i="8"/>
  <c r="I11670" i="8"/>
  <c r="H11670" i="8"/>
  <c r="M11665" i="8"/>
  <c r="M11664" i="8"/>
  <c r="M11663" i="8"/>
  <c r="M11662" i="8"/>
  <c r="M11657" i="8"/>
  <c r="I11657" i="8"/>
  <c r="H11657" i="8"/>
  <c r="M11656" i="8"/>
  <c r="I11656" i="8"/>
  <c r="H11656" i="8"/>
  <c r="M11655" i="8"/>
  <c r="I11655" i="8"/>
  <c r="H11655" i="8"/>
  <c r="M11654" i="8"/>
  <c r="I11654" i="8"/>
  <c r="H11654" i="8"/>
  <c r="M11649" i="8"/>
  <c r="I11649" i="8"/>
  <c r="H11649" i="8"/>
  <c r="M11648" i="8"/>
  <c r="I11648" i="8"/>
  <c r="H11648" i="8"/>
  <c r="M11647" i="8"/>
  <c r="I11647" i="8"/>
  <c r="H11647" i="8"/>
  <c r="M11646" i="8"/>
  <c r="I11646" i="8"/>
  <c r="H11646" i="8"/>
  <c r="M11645" i="8"/>
  <c r="I11645" i="8"/>
  <c r="H11645" i="8"/>
  <c r="M11644" i="8"/>
  <c r="I11644" i="8"/>
  <c r="H11644" i="8"/>
  <c r="M11643" i="8"/>
  <c r="I11643" i="8"/>
  <c r="H11643" i="8"/>
  <c r="M11642" i="8"/>
  <c r="I11642" i="8"/>
  <c r="H11642" i="8"/>
  <c r="M11641" i="8"/>
  <c r="I11641" i="8"/>
  <c r="H11641" i="8"/>
  <c r="M11640" i="8"/>
  <c r="I11640" i="8"/>
  <c r="H11640" i="8"/>
  <c r="M11639" i="8"/>
  <c r="I11639" i="8"/>
  <c r="H11639" i="8"/>
  <c r="M11638" i="8"/>
  <c r="I11638" i="8"/>
  <c r="H11638" i="8"/>
  <c r="M11637" i="8"/>
  <c r="I11637" i="8"/>
  <c r="H11637" i="8"/>
  <c r="M11636" i="8"/>
  <c r="I11636" i="8"/>
  <c r="H11636" i="8"/>
  <c r="M11635" i="8"/>
  <c r="I11635" i="8"/>
  <c r="H11635" i="8"/>
  <c r="I11634" i="8"/>
  <c r="M11634" i="8" s="1"/>
  <c r="H11634" i="8"/>
  <c r="B11630" i="8"/>
  <c r="M11624" i="8"/>
  <c r="K11624" i="8"/>
  <c r="I11624" i="8"/>
  <c r="H11624" i="8"/>
  <c r="M11623" i="8"/>
  <c r="K11623" i="8"/>
  <c r="I11623" i="8"/>
  <c r="H11623" i="8"/>
  <c r="M11622" i="8"/>
  <c r="K11622" i="8"/>
  <c r="I11622" i="8"/>
  <c r="H11622" i="8"/>
  <c r="M11621" i="8"/>
  <c r="K11621" i="8"/>
  <c r="I11621" i="8"/>
  <c r="H11621" i="8"/>
  <c r="I11620" i="8"/>
  <c r="H11620" i="8"/>
  <c r="M11615" i="8"/>
  <c r="M11614" i="8"/>
  <c r="M11613" i="8"/>
  <c r="I11611" i="8"/>
  <c r="M11611" i="8" s="1"/>
  <c r="H11611" i="8"/>
  <c r="M11606" i="8"/>
  <c r="I11606" i="8"/>
  <c r="H11606" i="8"/>
  <c r="M11605" i="8"/>
  <c r="I11605" i="8"/>
  <c r="H11605" i="8"/>
  <c r="M11604" i="8"/>
  <c r="I11604" i="8"/>
  <c r="H11604" i="8"/>
  <c r="M11603" i="8"/>
  <c r="I11603" i="8"/>
  <c r="H11603" i="8"/>
  <c r="H11602" i="8"/>
  <c r="M11597" i="8"/>
  <c r="I11597" i="8"/>
  <c r="H11597" i="8"/>
  <c r="M11596" i="8"/>
  <c r="I11596" i="8"/>
  <c r="H11596" i="8"/>
  <c r="M11595" i="8"/>
  <c r="I11595" i="8"/>
  <c r="H11595" i="8"/>
  <c r="M11594" i="8"/>
  <c r="I11594" i="8"/>
  <c r="H11594" i="8"/>
  <c r="M11593" i="8"/>
  <c r="I11593" i="8"/>
  <c r="H11593" i="8"/>
  <c r="I11592" i="8"/>
  <c r="M11592" i="8" s="1"/>
  <c r="H11592" i="8"/>
  <c r="I11591" i="8"/>
  <c r="M11591" i="8" s="1"/>
  <c r="H11591" i="8"/>
  <c r="I11590" i="8"/>
  <c r="M11590" i="8" s="1"/>
  <c r="H11590" i="8"/>
  <c r="I11589" i="8"/>
  <c r="M11589" i="8" s="1"/>
  <c r="H11589" i="8"/>
  <c r="I11588" i="8"/>
  <c r="M11588" i="8" s="1"/>
  <c r="H11588" i="8"/>
  <c r="I11587" i="8"/>
  <c r="M11587" i="8" s="1"/>
  <c r="H11587" i="8"/>
  <c r="I11586" i="8"/>
  <c r="M11586" i="8" s="1"/>
  <c r="H11586" i="8"/>
  <c r="I11585" i="8"/>
  <c r="M11585" i="8" s="1"/>
  <c r="H11585" i="8"/>
  <c r="I11584" i="8"/>
  <c r="M11584" i="8" s="1"/>
  <c r="H11584" i="8"/>
  <c r="I11583" i="8"/>
  <c r="M11583" i="8" s="1"/>
  <c r="H11583" i="8"/>
  <c r="I11582" i="8"/>
  <c r="M11582" i="8" s="1"/>
  <c r="H11582" i="8"/>
  <c r="B11578" i="8"/>
  <c r="M11572" i="8"/>
  <c r="K11572" i="8"/>
  <c r="I11572" i="8"/>
  <c r="H11572" i="8"/>
  <c r="M11571" i="8"/>
  <c r="K11571" i="8"/>
  <c r="I11571" i="8"/>
  <c r="H11571" i="8"/>
  <c r="M11570" i="8"/>
  <c r="K11570" i="8"/>
  <c r="I11570" i="8"/>
  <c r="H11570" i="8"/>
  <c r="M11569" i="8"/>
  <c r="K11569" i="8"/>
  <c r="I11569" i="8"/>
  <c r="H11569" i="8"/>
  <c r="H11568" i="8"/>
  <c r="M11563" i="8"/>
  <c r="M11562" i="8"/>
  <c r="M11561" i="8"/>
  <c r="M11560" i="8"/>
  <c r="M11559" i="8"/>
  <c r="M11554" i="8"/>
  <c r="I11554" i="8"/>
  <c r="H11554" i="8"/>
  <c r="M11553" i="8"/>
  <c r="I11553" i="8"/>
  <c r="H11553" i="8"/>
  <c r="M11552" i="8"/>
  <c r="I11552" i="8"/>
  <c r="H11552" i="8"/>
  <c r="M11551" i="8"/>
  <c r="I11551" i="8"/>
  <c r="H11551" i="8"/>
  <c r="H11550" i="8"/>
  <c r="M11545" i="8"/>
  <c r="I11545" i="8"/>
  <c r="H11545" i="8"/>
  <c r="M11544" i="8"/>
  <c r="I11544" i="8"/>
  <c r="H11544" i="8"/>
  <c r="M11543" i="8"/>
  <c r="I11543" i="8"/>
  <c r="H11543" i="8"/>
  <c r="M11542" i="8"/>
  <c r="I11542" i="8"/>
  <c r="H11542" i="8"/>
  <c r="H11541" i="8"/>
  <c r="I11540" i="8"/>
  <c r="M11540" i="8" s="1"/>
  <c r="H11540" i="8"/>
  <c r="K11539" i="8"/>
  <c r="H11539" i="8"/>
  <c r="K11538" i="8"/>
  <c r="H11538" i="8"/>
  <c r="K11537" i="8"/>
  <c r="H11537" i="8"/>
  <c r="K11536" i="8"/>
  <c r="H11536" i="8"/>
  <c r="K11535" i="8"/>
  <c r="H11535" i="8"/>
  <c r="K11534" i="8"/>
  <c r="H11534" i="8"/>
  <c r="H11533" i="8"/>
  <c r="K11532" i="8"/>
  <c r="H11532" i="8"/>
  <c r="K11531" i="8"/>
  <c r="K11533" i="8" s="1"/>
  <c r="H11531" i="8"/>
  <c r="K11530" i="8"/>
  <c r="H11530" i="8"/>
  <c r="B11526" i="8"/>
  <c r="M11520" i="8"/>
  <c r="K11520" i="8"/>
  <c r="I11520" i="8"/>
  <c r="H11520" i="8"/>
  <c r="M11519" i="8"/>
  <c r="K11519" i="8"/>
  <c r="I11519" i="8"/>
  <c r="H11519" i="8"/>
  <c r="M11518" i="8"/>
  <c r="K11518" i="8"/>
  <c r="I11518" i="8"/>
  <c r="H11518" i="8"/>
  <c r="M11517" i="8"/>
  <c r="K11517" i="8"/>
  <c r="I11517" i="8"/>
  <c r="H11517" i="8"/>
  <c r="H11516" i="8"/>
  <c r="M11511" i="8"/>
  <c r="M11510" i="8"/>
  <c r="M11509" i="8"/>
  <c r="M11508" i="8"/>
  <c r="M11507" i="8"/>
  <c r="M11502" i="8"/>
  <c r="I11502" i="8"/>
  <c r="H11502" i="8"/>
  <c r="M11501" i="8"/>
  <c r="I11501" i="8"/>
  <c r="H11501" i="8"/>
  <c r="M11500" i="8"/>
  <c r="I11500" i="8"/>
  <c r="H11500" i="8"/>
  <c r="M11499" i="8"/>
  <c r="I11499" i="8"/>
  <c r="H11499" i="8"/>
  <c r="H11498" i="8"/>
  <c r="M11493" i="8"/>
  <c r="I11493" i="8"/>
  <c r="H11493" i="8"/>
  <c r="M11492" i="8"/>
  <c r="I11492" i="8"/>
  <c r="H11492" i="8"/>
  <c r="M11491" i="8"/>
  <c r="I11491" i="8"/>
  <c r="H11491" i="8"/>
  <c r="M11490" i="8"/>
  <c r="I11490" i="8"/>
  <c r="H11490" i="8"/>
  <c r="H11489" i="8"/>
  <c r="I11488" i="8"/>
  <c r="M11488" i="8" s="1"/>
  <c r="H11488" i="8"/>
  <c r="K11487" i="8"/>
  <c r="H11487" i="8"/>
  <c r="K11486" i="8"/>
  <c r="H11486" i="8"/>
  <c r="K11485" i="8"/>
  <c r="H11485" i="8"/>
  <c r="K11484" i="8"/>
  <c r="H11484" i="8"/>
  <c r="K11483" i="8"/>
  <c r="H11483" i="8"/>
  <c r="K11482" i="8"/>
  <c r="H11482" i="8"/>
  <c r="H11481" i="8"/>
  <c r="K11480" i="8"/>
  <c r="H11480" i="8"/>
  <c r="K11479" i="8"/>
  <c r="K11481" i="8" s="1"/>
  <c r="H11479" i="8"/>
  <c r="K11478" i="8"/>
  <c r="H11478" i="8"/>
  <c r="B11474" i="8"/>
  <c r="M11468" i="8"/>
  <c r="K11468" i="8"/>
  <c r="I11468" i="8"/>
  <c r="H11468" i="8"/>
  <c r="M11467" i="8"/>
  <c r="K11467" i="8"/>
  <c r="I11467" i="8"/>
  <c r="H11467" i="8"/>
  <c r="M11466" i="8"/>
  <c r="K11466" i="8"/>
  <c r="I11466" i="8"/>
  <c r="H11466" i="8"/>
  <c r="M11465" i="8"/>
  <c r="K11465" i="8"/>
  <c r="I11465" i="8"/>
  <c r="H11465" i="8"/>
  <c r="H11464" i="8"/>
  <c r="M11459" i="8"/>
  <c r="M11458" i="8"/>
  <c r="M11457" i="8"/>
  <c r="M11456" i="8"/>
  <c r="M11455" i="8"/>
  <c r="M11460" i="8" s="1"/>
  <c r="L11432" i="8" s="1"/>
  <c r="M11450" i="8"/>
  <c r="I11450" i="8"/>
  <c r="H11450" i="8"/>
  <c r="M11449" i="8"/>
  <c r="I11449" i="8"/>
  <c r="H11449" i="8"/>
  <c r="M11448" i="8"/>
  <c r="I11448" i="8"/>
  <c r="H11448" i="8"/>
  <c r="M11447" i="8"/>
  <c r="I11447" i="8"/>
  <c r="H11447" i="8"/>
  <c r="H11446" i="8"/>
  <c r="M11441" i="8"/>
  <c r="I11441" i="8"/>
  <c r="H11441" i="8"/>
  <c r="M11440" i="8"/>
  <c r="I11440" i="8"/>
  <c r="H11440" i="8"/>
  <c r="M11439" i="8"/>
  <c r="I11439" i="8"/>
  <c r="H11439" i="8"/>
  <c r="M11438" i="8"/>
  <c r="I11438" i="8"/>
  <c r="H11438" i="8"/>
  <c r="I11437" i="8"/>
  <c r="M11437" i="8" s="1"/>
  <c r="H11437" i="8"/>
  <c r="I11436" i="8"/>
  <c r="M11436" i="8" s="1"/>
  <c r="H11436" i="8"/>
  <c r="B11432" i="8"/>
  <c r="M11426" i="8"/>
  <c r="K11426" i="8"/>
  <c r="I11426" i="8"/>
  <c r="H11426" i="8"/>
  <c r="M11425" i="8"/>
  <c r="K11425" i="8"/>
  <c r="I11425" i="8"/>
  <c r="H11425" i="8"/>
  <c r="M11424" i="8"/>
  <c r="K11424" i="8"/>
  <c r="I11424" i="8"/>
  <c r="H11424" i="8"/>
  <c r="M11423" i="8"/>
  <c r="K11423" i="8"/>
  <c r="I11423" i="8"/>
  <c r="H11423" i="8"/>
  <c r="H11422" i="8"/>
  <c r="M11417" i="8"/>
  <c r="M11418" i="8" s="1"/>
  <c r="L11390" i="8" s="1"/>
  <c r="M11416" i="8"/>
  <c r="M11415" i="8"/>
  <c r="M11414" i="8"/>
  <c r="M11413" i="8"/>
  <c r="M11408" i="8"/>
  <c r="I11408" i="8"/>
  <c r="H11408" i="8"/>
  <c r="M11407" i="8"/>
  <c r="I11407" i="8"/>
  <c r="H11407" i="8"/>
  <c r="M11406" i="8"/>
  <c r="I11406" i="8"/>
  <c r="H11406" i="8"/>
  <c r="M11405" i="8"/>
  <c r="I11405" i="8"/>
  <c r="H11405" i="8"/>
  <c r="H11404" i="8"/>
  <c r="M11399" i="8"/>
  <c r="I11399" i="8"/>
  <c r="H11399" i="8"/>
  <c r="M11398" i="8"/>
  <c r="I11398" i="8"/>
  <c r="H11398" i="8"/>
  <c r="M11397" i="8"/>
  <c r="I11397" i="8"/>
  <c r="H11397" i="8"/>
  <c r="M11396" i="8"/>
  <c r="I11396" i="8"/>
  <c r="H11396" i="8"/>
  <c r="I11395" i="8"/>
  <c r="M11395" i="8" s="1"/>
  <c r="H11395" i="8"/>
  <c r="I11394" i="8"/>
  <c r="M11394" i="8" s="1"/>
  <c r="H11394" i="8"/>
  <c r="B11390" i="8"/>
  <c r="M11384" i="8"/>
  <c r="K11384" i="8"/>
  <c r="I11384" i="8"/>
  <c r="H11384" i="8"/>
  <c r="M11383" i="8"/>
  <c r="K11383" i="8"/>
  <c r="I11383" i="8"/>
  <c r="H11383" i="8"/>
  <c r="M11382" i="8"/>
  <c r="K11382" i="8"/>
  <c r="I11382" i="8"/>
  <c r="H11382" i="8"/>
  <c r="M11381" i="8"/>
  <c r="K11381" i="8"/>
  <c r="I11381" i="8"/>
  <c r="H11381" i="8"/>
  <c r="L11380" i="8"/>
  <c r="H11380" i="8"/>
  <c r="M11375" i="8"/>
  <c r="M11374" i="8"/>
  <c r="M11373" i="8"/>
  <c r="M11372" i="8"/>
  <c r="M11366" i="8"/>
  <c r="I11366" i="8"/>
  <c r="H11366" i="8"/>
  <c r="M11365" i="8"/>
  <c r="I11365" i="8"/>
  <c r="H11365" i="8"/>
  <c r="M11364" i="8"/>
  <c r="I11364" i="8"/>
  <c r="H11364" i="8"/>
  <c r="M11363" i="8"/>
  <c r="I11363" i="8"/>
  <c r="H11363" i="8"/>
  <c r="H11362" i="8"/>
  <c r="M11357" i="8"/>
  <c r="I11357" i="8"/>
  <c r="H11357" i="8"/>
  <c r="M11356" i="8"/>
  <c r="I11356" i="8"/>
  <c r="H11356" i="8"/>
  <c r="I11355" i="8"/>
  <c r="M11355" i="8" s="1"/>
  <c r="H11355" i="8"/>
  <c r="I11354" i="8"/>
  <c r="M11354" i="8" s="1"/>
  <c r="H11354" i="8"/>
  <c r="I11353" i="8"/>
  <c r="M11353" i="8" s="1"/>
  <c r="H11353" i="8"/>
  <c r="B11349" i="8"/>
  <c r="M11343" i="8"/>
  <c r="K11343" i="8"/>
  <c r="I11343" i="8"/>
  <c r="H11343" i="8"/>
  <c r="M11342" i="8"/>
  <c r="K11342" i="8"/>
  <c r="I11342" i="8"/>
  <c r="H11342" i="8"/>
  <c r="M11341" i="8"/>
  <c r="K11341" i="8"/>
  <c r="I11341" i="8"/>
  <c r="H11341" i="8"/>
  <c r="M11340" i="8"/>
  <c r="K11340" i="8"/>
  <c r="I11340" i="8"/>
  <c r="H11340" i="8"/>
  <c r="L11339" i="8"/>
  <c r="H11339" i="8"/>
  <c r="M11334" i="8"/>
  <c r="M11333" i="8"/>
  <c r="M11332" i="8"/>
  <c r="M11331" i="8"/>
  <c r="M11325" i="8"/>
  <c r="I11325" i="8"/>
  <c r="H11325" i="8"/>
  <c r="M11324" i="8"/>
  <c r="I11324" i="8"/>
  <c r="H11324" i="8"/>
  <c r="M11323" i="8"/>
  <c r="I11323" i="8"/>
  <c r="H11323" i="8"/>
  <c r="M11322" i="8"/>
  <c r="I11322" i="8"/>
  <c r="H11322" i="8"/>
  <c r="H11321" i="8"/>
  <c r="M11316" i="8"/>
  <c r="I11316" i="8"/>
  <c r="H11316" i="8"/>
  <c r="M11315" i="8"/>
  <c r="I11315" i="8"/>
  <c r="H11315" i="8"/>
  <c r="I11314" i="8"/>
  <c r="M11314" i="8" s="1"/>
  <c r="H11314" i="8"/>
  <c r="I11313" i="8"/>
  <c r="M11313" i="8" s="1"/>
  <c r="H11313" i="8"/>
  <c r="I11312" i="8"/>
  <c r="M11312" i="8" s="1"/>
  <c r="H11312" i="8"/>
  <c r="B11308" i="8"/>
  <c r="M11302" i="8"/>
  <c r="K11302" i="8"/>
  <c r="I11302" i="8"/>
  <c r="H11302" i="8"/>
  <c r="M11301" i="8"/>
  <c r="K11301" i="8"/>
  <c r="I11301" i="8"/>
  <c r="H11301" i="8"/>
  <c r="M11300" i="8"/>
  <c r="K11300" i="8"/>
  <c r="I11300" i="8"/>
  <c r="H11300" i="8"/>
  <c r="M11299" i="8"/>
  <c r="K11299" i="8"/>
  <c r="I11299" i="8"/>
  <c r="H11299" i="8"/>
  <c r="L11298" i="8"/>
  <c r="H11298" i="8"/>
  <c r="M11293" i="8"/>
  <c r="M11292" i="8"/>
  <c r="M11291" i="8"/>
  <c r="M11290" i="8"/>
  <c r="M11284" i="8"/>
  <c r="I11284" i="8"/>
  <c r="H11284" i="8"/>
  <c r="M11283" i="8"/>
  <c r="I11283" i="8"/>
  <c r="H11283" i="8"/>
  <c r="M11282" i="8"/>
  <c r="I11282" i="8"/>
  <c r="H11282" i="8"/>
  <c r="M11281" i="8"/>
  <c r="I11281" i="8"/>
  <c r="H11281" i="8"/>
  <c r="H11280" i="8"/>
  <c r="M11275" i="8"/>
  <c r="I11275" i="8"/>
  <c r="H11275" i="8"/>
  <c r="M11274" i="8"/>
  <c r="I11274" i="8"/>
  <c r="H11274" i="8"/>
  <c r="I11273" i="8"/>
  <c r="M11273" i="8" s="1"/>
  <c r="H11273" i="8"/>
  <c r="I11272" i="8"/>
  <c r="M11272" i="8" s="1"/>
  <c r="H11272" i="8"/>
  <c r="I11271" i="8"/>
  <c r="M11271" i="8" s="1"/>
  <c r="H11271" i="8"/>
  <c r="B11267" i="8"/>
  <c r="M11261" i="8"/>
  <c r="K11261" i="8"/>
  <c r="I11261" i="8"/>
  <c r="H11261" i="8"/>
  <c r="M11260" i="8"/>
  <c r="K11260" i="8"/>
  <c r="I11260" i="8"/>
  <c r="H11260" i="8"/>
  <c r="M11259" i="8"/>
  <c r="K11259" i="8"/>
  <c r="I11259" i="8"/>
  <c r="H11259" i="8"/>
  <c r="M11258" i="8"/>
  <c r="K11258" i="8"/>
  <c r="I11258" i="8"/>
  <c r="H11258" i="8"/>
  <c r="L11257" i="8"/>
  <c r="H11257" i="8"/>
  <c r="M11252" i="8"/>
  <c r="M11251" i="8"/>
  <c r="M11250" i="8"/>
  <c r="M11243" i="8"/>
  <c r="I11243" i="8"/>
  <c r="H11243" i="8"/>
  <c r="M11242" i="8"/>
  <c r="I11242" i="8"/>
  <c r="H11242" i="8"/>
  <c r="M11241" i="8"/>
  <c r="I11241" i="8"/>
  <c r="H11241" i="8"/>
  <c r="M11240" i="8"/>
  <c r="I11240" i="8"/>
  <c r="H11240" i="8"/>
  <c r="H11239" i="8"/>
  <c r="M11234" i="8"/>
  <c r="I11234" i="8"/>
  <c r="H11234" i="8"/>
  <c r="M11233" i="8"/>
  <c r="I11233" i="8"/>
  <c r="H11233" i="8"/>
  <c r="I11232" i="8"/>
  <c r="M11232" i="8" s="1"/>
  <c r="H11232" i="8"/>
  <c r="I11231" i="8"/>
  <c r="M11231" i="8" s="1"/>
  <c r="H11231" i="8"/>
  <c r="I11230" i="8"/>
  <c r="M11230" i="8" s="1"/>
  <c r="H11230" i="8"/>
  <c r="B11226" i="8"/>
  <c r="M11220" i="8"/>
  <c r="K11220" i="8"/>
  <c r="I11220" i="8"/>
  <c r="H11220" i="8"/>
  <c r="M11219" i="8"/>
  <c r="K11219" i="8"/>
  <c r="I11219" i="8"/>
  <c r="H11219" i="8"/>
  <c r="M11218" i="8"/>
  <c r="K11218" i="8"/>
  <c r="I11218" i="8"/>
  <c r="H11218" i="8"/>
  <c r="M11217" i="8"/>
  <c r="K11217" i="8"/>
  <c r="I11217" i="8"/>
  <c r="H11217" i="8"/>
  <c r="L11216" i="8"/>
  <c r="H11216" i="8"/>
  <c r="M11211" i="8"/>
  <c r="M11210" i="8"/>
  <c r="M11209" i="8"/>
  <c r="M11208" i="8"/>
  <c r="M11202" i="8"/>
  <c r="I11202" i="8"/>
  <c r="H11202" i="8"/>
  <c r="M11201" i="8"/>
  <c r="I11201" i="8"/>
  <c r="H11201" i="8"/>
  <c r="M11200" i="8"/>
  <c r="I11200" i="8"/>
  <c r="H11200" i="8"/>
  <c r="M11199" i="8"/>
  <c r="I11199" i="8"/>
  <c r="H11199" i="8"/>
  <c r="H11198" i="8"/>
  <c r="M11193" i="8"/>
  <c r="I11193" i="8"/>
  <c r="H11193" i="8"/>
  <c r="M11192" i="8"/>
  <c r="I11192" i="8"/>
  <c r="H11192" i="8"/>
  <c r="I11191" i="8"/>
  <c r="M11191" i="8" s="1"/>
  <c r="H11191" i="8"/>
  <c r="I11190" i="8"/>
  <c r="M11190" i="8" s="1"/>
  <c r="H11190" i="8"/>
  <c r="I11189" i="8"/>
  <c r="M11189" i="8" s="1"/>
  <c r="H11189" i="8"/>
  <c r="B11185" i="8"/>
  <c r="M11179" i="8"/>
  <c r="K11179" i="8"/>
  <c r="I11179" i="8"/>
  <c r="H11179" i="8"/>
  <c r="M11178" i="8"/>
  <c r="K11178" i="8"/>
  <c r="I11178" i="8"/>
  <c r="H11178" i="8"/>
  <c r="M11177" i="8"/>
  <c r="K11177" i="8"/>
  <c r="I11177" i="8"/>
  <c r="H11177" i="8"/>
  <c r="M11176" i="8"/>
  <c r="K11176" i="8"/>
  <c r="I11176" i="8"/>
  <c r="H11176" i="8"/>
  <c r="L11175" i="8"/>
  <c r="H11175" i="8"/>
  <c r="M11170" i="8"/>
  <c r="M11169" i="8"/>
  <c r="M11168" i="8"/>
  <c r="M11161" i="8"/>
  <c r="I11161" i="8"/>
  <c r="H11161" i="8"/>
  <c r="M11160" i="8"/>
  <c r="I11160" i="8"/>
  <c r="H11160" i="8"/>
  <c r="M11159" i="8"/>
  <c r="I11159" i="8"/>
  <c r="H11159" i="8"/>
  <c r="M11158" i="8"/>
  <c r="I11158" i="8"/>
  <c r="H11158" i="8"/>
  <c r="H11157" i="8"/>
  <c r="M11152" i="8"/>
  <c r="I11152" i="8"/>
  <c r="H11152" i="8"/>
  <c r="M11151" i="8"/>
  <c r="I11151" i="8"/>
  <c r="H11151" i="8"/>
  <c r="I11150" i="8"/>
  <c r="M11150" i="8" s="1"/>
  <c r="H11150" i="8"/>
  <c r="I11149" i="8"/>
  <c r="M11149" i="8" s="1"/>
  <c r="H11149" i="8"/>
  <c r="I11148" i="8"/>
  <c r="M11148" i="8" s="1"/>
  <c r="H11148" i="8"/>
  <c r="B11144" i="8"/>
  <c r="M11138" i="8"/>
  <c r="K11138" i="8"/>
  <c r="I11138" i="8"/>
  <c r="H11138" i="8"/>
  <c r="M11137" i="8"/>
  <c r="K11137" i="8"/>
  <c r="I11137" i="8"/>
  <c r="H11137" i="8"/>
  <c r="M11136" i="8"/>
  <c r="K11136" i="8"/>
  <c r="I11136" i="8"/>
  <c r="H11136" i="8"/>
  <c r="M11135" i="8"/>
  <c r="K11135" i="8"/>
  <c r="I11135" i="8"/>
  <c r="H11135" i="8"/>
  <c r="H11134" i="8"/>
  <c r="M11129" i="8"/>
  <c r="M11128" i="8"/>
  <c r="M11127" i="8"/>
  <c r="M11126" i="8"/>
  <c r="M11125" i="8"/>
  <c r="M11120" i="8"/>
  <c r="I11120" i="8"/>
  <c r="H11120" i="8"/>
  <c r="M11119" i="8"/>
  <c r="I11119" i="8"/>
  <c r="H11119" i="8"/>
  <c r="M11118" i="8"/>
  <c r="I11118" i="8"/>
  <c r="H11118" i="8"/>
  <c r="M11117" i="8"/>
  <c r="I11117" i="8"/>
  <c r="H11117" i="8"/>
  <c r="H11116" i="8"/>
  <c r="M11111" i="8"/>
  <c r="I11111" i="8"/>
  <c r="H11111" i="8"/>
  <c r="M11110" i="8"/>
  <c r="I11110" i="8"/>
  <c r="H11110" i="8"/>
  <c r="M11109" i="8"/>
  <c r="I11109" i="8"/>
  <c r="H11109" i="8"/>
  <c r="M11108" i="8"/>
  <c r="I11108" i="8"/>
  <c r="H11108" i="8"/>
  <c r="I11107" i="8"/>
  <c r="M11107" i="8" s="1"/>
  <c r="H11107" i="8"/>
  <c r="I11106" i="8"/>
  <c r="M11106" i="8" s="1"/>
  <c r="H11106" i="8"/>
  <c r="B11102" i="8"/>
  <c r="M11096" i="8"/>
  <c r="K11096" i="8"/>
  <c r="I11096" i="8"/>
  <c r="H11096" i="8"/>
  <c r="M11095" i="8"/>
  <c r="K11095" i="8"/>
  <c r="I11095" i="8"/>
  <c r="H11095" i="8"/>
  <c r="M11094" i="8"/>
  <c r="K11094" i="8"/>
  <c r="I11094" i="8"/>
  <c r="H11094" i="8"/>
  <c r="M11093" i="8"/>
  <c r="K11093" i="8"/>
  <c r="I11093" i="8"/>
  <c r="H11093" i="8"/>
  <c r="H11092" i="8"/>
  <c r="M11087" i="8"/>
  <c r="M11086" i="8"/>
  <c r="M11085" i="8"/>
  <c r="M11084" i="8"/>
  <c r="M11083" i="8"/>
  <c r="M11078" i="8"/>
  <c r="I11078" i="8"/>
  <c r="H11078" i="8"/>
  <c r="M11077" i="8"/>
  <c r="I11077" i="8"/>
  <c r="H11077" i="8"/>
  <c r="M11076" i="8"/>
  <c r="I11076" i="8"/>
  <c r="H11076" i="8"/>
  <c r="M11075" i="8"/>
  <c r="I11075" i="8"/>
  <c r="H11075" i="8"/>
  <c r="H11074" i="8"/>
  <c r="M11069" i="8"/>
  <c r="I11069" i="8"/>
  <c r="H11069" i="8"/>
  <c r="M11068" i="8"/>
  <c r="I11068" i="8"/>
  <c r="H11068" i="8"/>
  <c r="M11067" i="8"/>
  <c r="I11067" i="8"/>
  <c r="H11067" i="8"/>
  <c r="M11066" i="8"/>
  <c r="I11066" i="8"/>
  <c r="H11066" i="8"/>
  <c r="I11065" i="8"/>
  <c r="M11065" i="8" s="1"/>
  <c r="H11065" i="8"/>
  <c r="H11064" i="8"/>
  <c r="B11060" i="8"/>
  <c r="M11054" i="8"/>
  <c r="K11054" i="8"/>
  <c r="I11054" i="8"/>
  <c r="H11054" i="8"/>
  <c r="M11053" i="8"/>
  <c r="K11053" i="8"/>
  <c r="I11053" i="8"/>
  <c r="H11053" i="8"/>
  <c r="M11052" i="8"/>
  <c r="K11052" i="8"/>
  <c r="I11052" i="8"/>
  <c r="H11052" i="8"/>
  <c r="M11051" i="8"/>
  <c r="K11051" i="8"/>
  <c r="I11051" i="8"/>
  <c r="H11051" i="8"/>
  <c r="I11050" i="8"/>
  <c r="H11050" i="8"/>
  <c r="M11045" i="8"/>
  <c r="M11044" i="8"/>
  <c r="M11043" i="8"/>
  <c r="M11036" i="8"/>
  <c r="I11036" i="8"/>
  <c r="H11036" i="8"/>
  <c r="M11035" i="8"/>
  <c r="I11035" i="8"/>
  <c r="H11035" i="8"/>
  <c r="M11034" i="8"/>
  <c r="I11034" i="8"/>
  <c r="H11034" i="8"/>
  <c r="I11033" i="8"/>
  <c r="M11033" i="8" s="1"/>
  <c r="H11033" i="8"/>
  <c r="H11032" i="8"/>
  <c r="M11027" i="8"/>
  <c r="I11027" i="8"/>
  <c r="H11027" i="8"/>
  <c r="M11026" i="8"/>
  <c r="I11026" i="8"/>
  <c r="H11026" i="8"/>
  <c r="H11025" i="8"/>
  <c r="H11024" i="8"/>
  <c r="I11023" i="8"/>
  <c r="M11023" i="8" s="1"/>
  <c r="H11023" i="8"/>
  <c r="I11022" i="8"/>
  <c r="M11022" i="8" s="1"/>
  <c r="H11022" i="8"/>
  <c r="I11021" i="8"/>
  <c r="M11021" i="8" s="1"/>
  <c r="H11021" i="8"/>
  <c r="B11017" i="8"/>
  <c r="M11011" i="8"/>
  <c r="K11011" i="8"/>
  <c r="I11011" i="8"/>
  <c r="H11011" i="8"/>
  <c r="M11010" i="8"/>
  <c r="K11010" i="8"/>
  <c r="I11010" i="8"/>
  <c r="H11010" i="8"/>
  <c r="M11009" i="8"/>
  <c r="K11009" i="8"/>
  <c r="I11009" i="8"/>
  <c r="H11009" i="8"/>
  <c r="M11008" i="8"/>
  <c r="K11008" i="8"/>
  <c r="I11008" i="8"/>
  <c r="H11008" i="8"/>
  <c r="H11007" i="8"/>
  <c r="M11002" i="8"/>
  <c r="M11001" i="8"/>
  <c r="M11000" i="8"/>
  <c r="M10999" i="8"/>
  <c r="M10993" i="8"/>
  <c r="I10993" i="8"/>
  <c r="H10993" i="8"/>
  <c r="M10992" i="8"/>
  <c r="I10992" i="8"/>
  <c r="H10992" i="8"/>
  <c r="M10991" i="8"/>
  <c r="I10991" i="8"/>
  <c r="H10991" i="8"/>
  <c r="M10990" i="8"/>
  <c r="I10990" i="8"/>
  <c r="H10990" i="8"/>
  <c r="H10989" i="8"/>
  <c r="I10984" i="8"/>
  <c r="M10984" i="8" s="1"/>
  <c r="H10984" i="8"/>
  <c r="I10983" i="8"/>
  <c r="M10983" i="8" s="1"/>
  <c r="H10983" i="8"/>
  <c r="I10982" i="8"/>
  <c r="M10982" i="8" s="1"/>
  <c r="H10982" i="8"/>
  <c r="I10981" i="8"/>
  <c r="M10981" i="8" s="1"/>
  <c r="H10981" i="8"/>
  <c r="I10980" i="8"/>
  <c r="M10980" i="8" s="1"/>
  <c r="H10980" i="8"/>
  <c r="I10979" i="8"/>
  <c r="M10979" i="8" s="1"/>
  <c r="H10979" i="8"/>
  <c r="I10978" i="8"/>
  <c r="M10978" i="8" s="1"/>
  <c r="H10978" i="8"/>
  <c r="I10977" i="8"/>
  <c r="M10977" i="8" s="1"/>
  <c r="H10977" i="8"/>
  <c r="B10973" i="8"/>
  <c r="M10967" i="8"/>
  <c r="K10967" i="8"/>
  <c r="I10967" i="8"/>
  <c r="H10967" i="8"/>
  <c r="M10966" i="8"/>
  <c r="K10966" i="8"/>
  <c r="I10966" i="8"/>
  <c r="H10966" i="8"/>
  <c r="M10965" i="8"/>
  <c r="K10965" i="8"/>
  <c r="I10965" i="8"/>
  <c r="H10965" i="8"/>
  <c r="M10964" i="8"/>
  <c r="K10964" i="8"/>
  <c r="I10964" i="8"/>
  <c r="H10964" i="8"/>
  <c r="H10963" i="8"/>
  <c r="M10958" i="8"/>
  <c r="M10957" i="8"/>
  <c r="M10956" i="8"/>
  <c r="M10949" i="8"/>
  <c r="I10949" i="8"/>
  <c r="H10949" i="8"/>
  <c r="M10948" i="8"/>
  <c r="I10948" i="8"/>
  <c r="H10948" i="8"/>
  <c r="M10947" i="8"/>
  <c r="I10947" i="8"/>
  <c r="H10947" i="8"/>
  <c r="M10946" i="8"/>
  <c r="I10946" i="8"/>
  <c r="H10946" i="8"/>
  <c r="H10945" i="8"/>
  <c r="I10940" i="8"/>
  <c r="M10940" i="8" s="1"/>
  <c r="H10940" i="8"/>
  <c r="I10939" i="8"/>
  <c r="M10939" i="8" s="1"/>
  <c r="H10939" i="8"/>
  <c r="I10938" i="8"/>
  <c r="M10938" i="8" s="1"/>
  <c r="H10938" i="8"/>
  <c r="K10937" i="8"/>
  <c r="I10937" i="8"/>
  <c r="H10937" i="8"/>
  <c r="I10936" i="8"/>
  <c r="M10936" i="8" s="1"/>
  <c r="H10936" i="8"/>
  <c r="I10935" i="8"/>
  <c r="M10935" i="8" s="1"/>
  <c r="H10935" i="8"/>
  <c r="K10934" i="8"/>
  <c r="I10934" i="8"/>
  <c r="H10934" i="8"/>
  <c r="B10930" i="8"/>
  <c r="M10924" i="8"/>
  <c r="K10924" i="8"/>
  <c r="I10924" i="8"/>
  <c r="H10924" i="8"/>
  <c r="M10923" i="8"/>
  <c r="K10923" i="8"/>
  <c r="I10923" i="8"/>
  <c r="H10923" i="8"/>
  <c r="M10922" i="8"/>
  <c r="K10922" i="8"/>
  <c r="I10922" i="8"/>
  <c r="H10922" i="8"/>
  <c r="M10921" i="8"/>
  <c r="K10921" i="8"/>
  <c r="I10921" i="8"/>
  <c r="H10921" i="8"/>
  <c r="H10920" i="8"/>
  <c r="M10915" i="8"/>
  <c r="M10914" i="8"/>
  <c r="M10913" i="8"/>
  <c r="M10912" i="8"/>
  <c r="M10906" i="8"/>
  <c r="I10906" i="8"/>
  <c r="H10906" i="8"/>
  <c r="M10905" i="8"/>
  <c r="I10905" i="8"/>
  <c r="H10905" i="8"/>
  <c r="M10904" i="8"/>
  <c r="I10904" i="8"/>
  <c r="H10904" i="8"/>
  <c r="M10903" i="8"/>
  <c r="I10903" i="8"/>
  <c r="H10903" i="8"/>
  <c r="H10902" i="8"/>
  <c r="M10897" i="8"/>
  <c r="I10897" i="8"/>
  <c r="H10897" i="8"/>
  <c r="M10896" i="8"/>
  <c r="I10896" i="8"/>
  <c r="H10896" i="8"/>
  <c r="M10895" i="8"/>
  <c r="I10895" i="8"/>
  <c r="H10895" i="8"/>
  <c r="M10894" i="8"/>
  <c r="I10894" i="8"/>
  <c r="H10894" i="8"/>
  <c r="M10893" i="8"/>
  <c r="I10893" i="8"/>
  <c r="H10893" i="8"/>
  <c r="M10892" i="8"/>
  <c r="I10892" i="8"/>
  <c r="H10892" i="8"/>
  <c r="M10891" i="8"/>
  <c r="I10891" i="8"/>
  <c r="H10891" i="8"/>
  <c r="B10887" i="8"/>
  <c r="M10881" i="8"/>
  <c r="K10881" i="8"/>
  <c r="I10881" i="8"/>
  <c r="H10881" i="8"/>
  <c r="M10880" i="8"/>
  <c r="K10880" i="8"/>
  <c r="I10880" i="8"/>
  <c r="H10880" i="8"/>
  <c r="M10879" i="8"/>
  <c r="K10879" i="8"/>
  <c r="I10879" i="8"/>
  <c r="H10879" i="8"/>
  <c r="M10878" i="8"/>
  <c r="K10878" i="8"/>
  <c r="I10878" i="8"/>
  <c r="H10878" i="8"/>
  <c r="H10877" i="8"/>
  <c r="M10872" i="8"/>
  <c r="M10871" i="8"/>
  <c r="M10870" i="8"/>
  <c r="M10869" i="8"/>
  <c r="M10863" i="8"/>
  <c r="I10863" i="8"/>
  <c r="H10863" i="8"/>
  <c r="M10862" i="8"/>
  <c r="I10862" i="8"/>
  <c r="H10862" i="8"/>
  <c r="M10861" i="8"/>
  <c r="I10861" i="8"/>
  <c r="H10861" i="8"/>
  <c r="M10860" i="8"/>
  <c r="I10860" i="8"/>
  <c r="H10860" i="8"/>
  <c r="H10859" i="8"/>
  <c r="M10854" i="8"/>
  <c r="I10854" i="8"/>
  <c r="H10854" i="8"/>
  <c r="M10853" i="8"/>
  <c r="I10853" i="8"/>
  <c r="H10853" i="8"/>
  <c r="I10852" i="8"/>
  <c r="M10852" i="8" s="1"/>
  <c r="H10852" i="8"/>
  <c r="I10851" i="8"/>
  <c r="M10851" i="8" s="1"/>
  <c r="H10851" i="8"/>
  <c r="I10850" i="8"/>
  <c r="M10850" i="8" s="1"/>
  <c r="H10850" i="8"/>
  <c r="I10849" i="8"/>
  <c r="M10849" i="8" s="1"/>
  <c r="H10849" i="8"/>
  <c r="I10848" i="8"/>
  <c r="M10848" i="8" s="1"/>
  <c r="H10848" i="8"/>
  <c r="B10844" i="8"/>
  <c r="M10838" i="8"/>
  <c r="K10838" i="8"/>
  <c r="I10838" i="8"/>
  <c r="H10838" i="8"/>
  <c r="M10837" i="8"/>
  <c r="K10837" i="8"/>
  <c r="I10837" i="8"/>
  <c r="H10837" i="8"/>
  <c r="M10836" i="8"/>
  <c r="K10836" i="8"/>
  <c r="I10836" i="8"/>
  <c r="H10836" i="8"/>
  <c r="M10835" i="8"/>
  <c r="K10835" i="8"/>
  <c r="I10835" i="8"/>
  <c r="H10835" i="8"/>
  <c r="M10834" i="8"/>
  <c r="K10834" i="8"/>
  <c r="I10834" i="8"/>
  <c r="H10834" i="8"/>
  <c r="M10829" i="8"/>
  <c r="M10828" i="8"/>
  <c r="M10827" i="8"/>
  <c r="M10826" i="8"/>
  <c r="M10820" i="8"/>
  <c r="I10820" i="8"/>
  <c r="H10820" i="8"/>
  <c r="M10819" i="8"/>
  <c r="I10819" i="8"/>
  <c r="H10819" i="8"/>
  <c r="M10818" i="8"/>
  <c r="I10818" i="8"/>
  <c r="H10818" i="8"/>
  <c r="M10817" i="8"/>
  <c r="I10817" i="8"/>
  <c r="H10817" i="8"/>
  <c r="M10816" i="8"/>
  <c r="H10816" i="8"/>
  <c r="M10811" i="8"/>
  <c r="I10811" i="8"/>
  <c r="H10811" i="8"/>
  <c r="M10810" i="8"/>
  <c r="I10810" i="8"/>
  <c r="H10810" i="8"/>
  <c r="M10809" i="8"/>
  <c r="I10809" i="8"/>
  <c r="H10809" i="8"/>
  <c r="M10808" i="8"/>
  <c r="I10808" i="8"/>
  <c r="H10808" i="8"/>
  <c r="M10807" i="8"/>
  <c r="I10807" i="8"/>
  <c r="H10807" i="8"/>
  <c r="M10806" i="8"/>
  <c r="I10806" i="8"/>
  <c r="H10806" i="8"/>
  <c r="I10805" i="8"/>
  <c r="M10805" i="8" s="1"/>
  <c r="H10805" i="8"/>
  <c r="B10801" i="8"/>
  <c r="M10795" i="8"/>
  <c r="K10795" i="8"/>
  <c r="I10795" i="8"/>
  <c r="H10795" i="8"/>
  <c r="M10794" i="8"/>
  <c r="K10794" i="8"/>
  <c r="I10794" i="8"/>
  <c r="H10794" i="8"/>
  <c r="M10793" i="8"/>
  <c r="K10793" i="8"/>
  <c r="I10793" i="8"/>
  <c r="H10793" i="8"/>
  <c r="M10792" i="8"/>
  <c r="K10792" i="8"/>
  <c r="I10792" i="8"/>
  <c r="H10792" i="8"/>
  <c r="M10791" i="8"/>
  <c r="K10791" i="8"/>
  <c r="I10791" i="8"/>
  <c r="H10791" i="8"/>
  <c r="M10786" i="8"/>
  <c r="M10785" i="8"/>
  <c r="M10784" i="8"/>
  <c r="M10783" i="8"/>
  <c r="M10777" i="8"/>
  <c r="I10777" i="8"/>
  <c r="H10777" i="8"/>
  <c r="M10776" i="8"/>
  <c r="I10776" i="8"/>
  <c r="H10776" i="8"/>
  <c r="M10775" i="8"/>
  <c r="I10775" i="8"/>
  <c r="H10775" i="8"/>
  <c r="M10774" i="8"/>
  <c r="I10774" i="8"/>
  <c r="H10774" i="8"/>
  <c r="M10773" i="8"/>
  <c r="H10773" i="8"/>
  <c r="M10768" i="8"/>
  <c r="I10768" i="8"/>
  <c r="H10768" i="8"/>
  <c r="M10767" i="8"/>
  <c r="I10767" i="8"/>
  <c r="H10767" i="8"/>
  <c r="M10766" i="8"/>
  <c r="I10766" i="8"/>
  <c r="H10766" i="8"/>
  <c r="M10765" i="8"/>
  <c r="I10765" i="8"/>
  <c r="H10765" i="8"/>
  <c r="M10764" i="8"/>
  <c r="I10764" i="8"/>
  <c r="H10764" i="8"/>
  <c r="I10763" i="8"/>
  <c r="M10763" i="8" s="1"/>
  <c r="H10763" i="8"/>
  <c r="B10759" i="8"/>
  <c r="M10753" i="8"/>
  <c r="K10753" i="8"/>
  <c r="I10753" i="8"/>
  <c r="H10753" i="8"/>
  <c r="M10752" i="8"/>
  <c r="K10752" i="8"/>
  <c r="I10752" i="8"/>
  <c r="H10752" i="8"/>
  <c r="M10751" i="8"/>
  <c r="K10751" i="8"/>
  <c r="I10751" i="8"/>
  <c r="H10751" i="8"/>
  <c r="M10750" i="8"/>
  <c r="K10750" i="8"/>
  <c r="I10750" i="8"/>
  <c r="H10750" i="8"/>
  <c r="M10749" i="8"/>
  <c r="K10749" i="8"/>
  <c r="I10749" i="8"/>
  <c r="H10749" i="8"/>
  <c r="M10744" i="8"/>
  <c r="M10743" i="8"/>
  <c r="M10742" i="8"/>
  <c r="M10741" i="8"/>
  <c r="M10735" i="8"/>
  <c r="I10735" i="8"/>
  <c r="H10735" i="8"/>
  <c r="M10734" i="8"/>
  <c r="I10734" i="8"/>
  <c r="H10734" i="8"/>
  <c r="M10733" i="8"/>
  <c r="I10733" i="8"/>
  <c r="H10733" i="8"/>
  <c r="M10732" i="8"/>
  <c r="I10732" i="8"/>
  <c r="H10732" i="8"/>
  <c r="M10731" i="8"/>
  <c r="H10731" i="8"/>
  <c r="M10726" i="8"/>
  <c r="I10726" i="8"/>
  <c r="H10726" i="8"/>
  <c r="M10725" i="8"/>
  <c r="I10725" i="8"/>
  <c r="H10725" i="8"/>
  <c r="M10724" i="8"/>
  <c r="I10724" i="8"/>
  <c r="H10724" i="8"/>
  <c r="M10723" i="8"/>
  <c r="I10723" i="8"/>
  <c r="H10723" i="8"/>
  <c r="M10722" i="8"/>
  <c r="I10722" i="8"/>
  <c r="H10722" i="8"/>
  <c r="I10721" i="8"/>
  <c r="M10721" i="8" s="1"/>
  <c r="H10721" i="8"/>
  <c r="B10717" i="8"/>
  <c r="M10711" i="8"/>
  <c r="K10711" i="8"/>
  <c r="I10711" i="8"/>
  <c r="H10711" i="8"/>
  <c r="M10710" i="8"/>
  <c r="K10710" i="8"/>
  <c r="I10710" i="8"/>
  <c r="H10710" i="8"/>
  <c r="M10709" i="8"/>
  <c r="K10709" i="8"/>
  <c r="I10709" i="8"/>
  <c r="H10709" i="8"/>
  <c r="M10708" i="8"/>
  <c r="K10708" i="8"/>
  <c r="I10708" i="8"/>
  <c r="H10708" i="8"/>
  <c r="M10707" i="8"/>
  <c r="K10707" i="8"/>
  <c r="I10707" i="8"/>
  <c r="H10707" i="8"/>
  <c r="M10702" i="8"/>
  <c r="M10701" i="8"/>
  <c r="M10700" i="8"/>
  <c r="M10699" i="8"/>
  <c r="M10698" i="8"/>
  <c r="M10693" i="8"/>
  <c r="I10693" i="8"/>
  <c r="H10693" i="8"/>
  <c r="M10692" i="8"/>
  <c r="I10692" i="8"/>
  <c r="H10692" i="8"/>
  <c r="M10691" i="8"/>
  <c r="I10691" i="8"/>
  <c r="H10691" i="8"/>
  <c r="M10690" i="8"/>
  <c r="I10690" i="8"/>
  <c r="H10690" i="8"/>
  <c r="M10689" i="8"/>
  <c r="H10689" i="8"/>
  <c r="M10684" i="8"/>
  <c r="I10684" i="8"/>
  <c r="H10684" i="8"/>
  <c r="M10683" i="8"/>
  <c r="I10683" i="8"/>
  <c r="H10683" i="8"/>
  <c r="M10682" i="8"/>
  <c r="I10682" i="8"/>
  <c r="H10682" i="8"/>
  <c r="M10681" i="8"/>
  <c r="I10681" i="8"/>
  <c r="H10681" i="8"/>
  <c r="M10680" i="8"/>
  <c r="I10680" i="8"/>
  <c r="H10680" i="8"/>
  <c r="I10679" i="8"/>
  <c r="M10679" i="8" s="1"/>
  <c r="H10679" i="8"/>
  <c r="B10675" i="8"/>
  <c r="M10669" i="8"/>
  <c r="K10669" i="8"/>
  <c r="I10669" i="8"/>
  <c r="H10669" i="8"/>
  <c r="M10668" i="8"/>
  <c r="K10668" i="8"/>
  <c r="I10668" i="8"/>
  <c r="H10668" i="8"/>
  <c r="M10667" i="8"/>
  <c r="K10667" i="8"/>
  <c r="I10667" i="8"/>
  <c r="H10667" i="8"/>
  <c r="M10666" i="8"/>
  <c r="K10666" i="8"/>
  <c r="I10666" i="8"/>
  <c r="H10666" i="8"/>
  <c r="M10665" i="8"/>
  <c r="K10665" i="8"/>
  <c r="I10665" i="8"/>
  <c r="H10665" i="8"/>
  <c r="M10660" i="8"/>
  <c r="M10659" i="8"/>
  <c r="M10658" i="8"/>
  <c r="M10657" i="8"/>
  <c r="M10656" i="8"/>
  <c r="M10651" i="8"/>
  <c r="I10651" i="8"/>
  <c r="H10651" i="8"/>
  <c r="M10650" i="8"/>
  <c r="I10650" i="8"/>
  <c r="H10650" i="8"/>
  <c r="M10649" i="8"/>
  <c r="I10649" i="8"/>
  <c r="H10649" i="8"/>
  <c r="M10648" i="8"/>
  <c r="I10648" i="8"/>
  <c r="H10648" i="8"/>
  <c r="M10647" i="8"/>
  <c r="H10647" i="8"/>
  <c r="M10642" i="8"/>
  <c r="I10642" i="8"/>
  <c r="H10642" i="8"/>
  <c r="M10641" i="8"/>
  <c r="I10641" i="8"/>
  <c r="H10641" i="8"/>
  <c r="M10640" i="8"/>
  <c r="I10640" i="8"/>
  <c r="H10640" i="8"/>
  <c r="M10639" i="8"/>
  <c r="I10639" i="8"/>
  <c r="H10639" i="8"/>
  <c r="M10638" i="8"/>
  <c r="I10638" i="8"/>
  <c r="H10638" i="8"/>
  <c r="I10637" i="8"/>
  <c r="M10637" i="8" s="1"/>
  <c r="H10637" i="8"/>
  <c r="B10633" i="8"/>
  <c r="M10627" i="8"/>
  <c r="K10627" i="8"/>
  <c r="I10627" i="8"/>
  <c r="H10627" i="8"/>
  <c r="M10626" i="8"/>
  <c r="K10626" i="8"/>
  <c r="I10626" i="8"/>
  <c r="H10626" i="8"/>
  <c r="M10625" i="8"/>
  <c r="K10625" i="8"/>
  <c r="I10625" i="8"/>
  <c r="H10625" i="8"/>
  <c r="M10624" i="8"/>
  <c r="K10624" i="8"/>
  <c r="I10624" i="8"/>
  <c r="H10624" i="8"/>
  <c r="L10623" i="8"/>
  <c r="H10623" i="8"/>
  <c r="M10618" i="8"/>
  <c r="M10617" i="8"/>
  <c r="M10616" i="8"/>
  <c r="M10615" i="8"/>
  <c r="M10609" i="8"/>
  <c r="I10609" i="8"/>
  <c r="H10609" i="8"/>
  <c r="M10608" i="8"/>
  <c r="I10608" i="8"/>
  <c r="H10608" i="8"/>
  <c r="M10607" i="8"/>
  <c r="I10607" i="8"/>
  <c r="H10607" i="8"/>
  <c r="M10606" i="8"/>
  <c r="I10606" i="8"/>
  <c r="H10606" i="8"/>
  <c r="H10605" i="8"/>
  <c r="M10600" i="8"/>
  <c r="I10600" i="8"/>
  <c r="H10600" i="8"/>
  <c r="M10599" i="8"/>
  <c r="I10599" i="8"/>
  <c r="H10599" i="8"/>
  <c r="M10598" i="8"/>
  <c r="I10598" i="8"/>
  <c r="H10598" i="8"/>
  <c r="M10597" i="8"/>
  <c r="I10597" i="8"/>
  <c r="H10597" i="8"/>
  <c r="M10596" i="8"/>
  <c r="I10596" i="8"/>
  <c r="H10596" i="8"/>
  <c r="I10595" i="8"/>
  <c r="M10595" i="8" s="1"/>
  <c r="H10595" i="8"/>
  <c r="B10591" i="8"/>
  <c r="M10585" i="8"/>
  <c r="K10585" i="8"/>
  <c r="I10585" i="8"/>
  <c r="H10585" i="8"/>
  <c r="M10584" i="8"/>
  <c r="K10584" i="8"/>
  <c r="I10584" i="8"/>
  <c r="H10584" i="8"/>
  <c r="M10583" i="8"/>
  <c r="K10583" i="8"/>
  <c r="I10583" i="8"/>
  <c r="H10583" i="8"/>
  <c r="M10582" i="8"/>
  <c r="K10582" i="8"/>
  <c r="I10582" i="8"/>
  <c r="H10582" i="8"/>
  <c r="L10581" i="8"/>
  <c r="H10581" i="8"/>
  <c r="M10576" i="8"/>
  <c r="M10575" i="8"/>
  <c r="M10574" i="8"/>
  <c r="M10567" i="8"/>
  <c r="I10567" i="8"/>
  <c r="H10567" i="8"/>
  <c r="M10566" i="8"/>
  <c r="I10566" i="8"/>
  <c r="H10566" i="8"/>
  <c r="M10565" i="8"/>
  <c r="I10565" i="8"/>
  <c r="H10565" i="8"/>
  <c r="M10564" i="8"/>
  <c r="I10564" i="8"/>
  <c r="H10564" i="8"/>
  <c r="H10563" i="8"/>
  <c r="M10558" i="8"/>
  <c r="I10558" i="8"/>
  <c r="H10558" i="8"/>
  <c r="M10557" i="8"/>
  <c r="I10557" i="8"/>
  <c r="H10557" i="8"/>
  <c r="M10556" i="8"/>
  <c r="I10556" i="8"/>
  <c r="H10556" i="8"/>
  <c r="I10555" i="8"/>
  <c r="M10555" i="8" s="1"/>
  <c r="H10555" i="8"/>
  <c r="I10554" i="8"/>
  <c r="M10554" i="8" s="1"/>
  <c r="H10554" i="8"/>
  <c r="B10550" i="8"/>
  <c r="M10544" i="8"/>
  <c r="K10544" i="8"/>
  <c r="I10544" i="8"/>
  <c r="H10544" i="8"/>
  <c r="M10543" i="8"/>
  <c r="K10543" i="8"/>
  <c r="I10543" i="8"/>
  <c r="H10543" i="8"/>
  <c r="M10542" i="8"/>
  <c r="K10542" i="8"/>
  <c r="I10542" i="8"/>
  <c r="H10542" i="8"/>
  <c r="M10541" i="8"/>
  <c r="K10541" i="8"/>
  <c r="I10541" i="8"/>
  <c r="H10541" i="8"/>
  <c r="L10540" i="8"/>
  <c r="H10540" i="8"/>
  <c r="M10535" i="8"/>
  <c r="M10534" i="8"/>
  <c r="M10533" i="8"/>
  <c r="M10532" i="8"/>
  <c r="K10531" i="8"/>
  <c r="M10526" i="8"/>
  <c r="I10526" i="8"/>
  <c r="H10526" i="8"/>
  <c r="M10525" i="8"/>
  <c r="I10525" i="8"/>
  <c r="H10525" i="8"/>
  <c r="M10524" i="8"/>
  <c r="I10524" i="8"/>
  <c r="H10524" i="8"/>
  <c r="M10523" i="8"/>
  <c r="I10523" i="8"/>
  <c r="H10523" i="8"/>
  <c r="H10522" i="8"/>
  <c r="M10517" i="8"/>
  <c r="I10517" i="8"/>
  <c r="H10517" i="8"/>
  <c r="M10516" i="8"/>
  <c r="I10516" i="8"/>
  <c r="H10516" i="8"/>
  <c r="M10515" i="8"/>
  <c r="I10515" i="8"/>
  <c r="H10515" i="8"/>
  <c r="M10514" i="8"/>
  <c r="I10514" i="8"/>
  <c r="H10514" i="8"/>
  <c r="M10513" i="8"/>
  <c r="I10513" i="8"/>
  <c r="H10513" i="8"/>
  <c r="I10512" i="8"/>
  <c r="M10512" i="8" s="1"/>
  <c r="H10512" i="8"/>
  <c r="B10508" i="8"/>
  <c r="M10502" i="8"/>
  <c r="K10502" i="8"/>
  <c r="I10502" i="8"/>
  <c r="H10502" i="8"/>
  <c r="M10501" i="8"/>
  <c r="K10501" i="8"/>
  <c r="I10501" i="8"/>
  <c r="H10501" i="8"/>
  <c r="M10500" i="8"/>
  <c r="K10500" i="8"/>
  <c r="I10500" i="8"/>
  <c r="H10500" i="8"/>
  <c r="M10499" i="8"/>
  <c r="K10499" i="8"/>
  <c r="I10499" i="8"/>
  <c r="H10499" i="8"/>
  <c r="H10498" i="8"/>
  <c r="M10493" i="8"/>
  <c r="M10492" i="8"/>
  <c r="M10491" i="8"/>
  <c r="M10489" i="8"/>
  <c r="M10484" i="8"/>
  <c r="I10484" i="8"/>
  <c r="H10484" i="8"/>
  <c r="M10483" i="8"/>
  <c r="I10483" i="8"/>
  <c r="H10483" i="8"/>
  <c r="M10482" i="8"/>
  <c r="I10482" i="8"/>
  <c r="H10482" i="8"/>
  <c r="M10481" i="8"/>
  <c r="I10481" i="8"/>
  <c r="H10481" i="8"/>
  <c r="H10480" i="8"/>
  <c r="M10475" i="8"/>
  <c r="I10475" i="8"/>
  <c r="H10475" i="8"/>
  <c r="M10474" i="8"/>
  <c r="I10474" i="8"/>
  <c r="H10474" i="8"/>
  <c r="M10473" i="8"/>
  <c r="I10473" i="8"/>
  <c r="H10473" i="8"/>
  <c r="M10472" i="8"/>
  <c r="I10472" i="8"/>
  <c r="H10472" i="8"/>
  <c r="M10471" i="8"/>
  <c r="I10471" i="8"/>
  <c r="H10471" i="8"/>
  <c r="M10470" i="8"/>
  <c r="I10470" i="8"/>
  <c r="H10470" i="8"/>
  <c r="M10469" i="8"/>
  <c r="I10469" i="8"/>
  <c r="H10469" i="8"/>
  <c r="M10468" i="8"/>
  <c r="I10468" i="8"/>
  <c r="H10468" i="8"/>
  <c r="M10467" i="8"/>
  <c r="I10467" i="8"/>
  <c r="H10467" i="8"/>
  <c r="M10466" i="8"/>
  <c r="I10466" i="8"/>
  <c r="H10466" i="8"/>
  <c r="M10465" i="8"/>
  <c r="I10465" i="8"/>
  <c r="H10465" i="8"/>
  <c r="B10461" i="8"/>
  <c r="M10455" i="8"/>
  <c r="K10455" i="8"/>
  <c r="I10455" i="8"/>
  <c r="H10455" i="8"/>
  <c r="M10454" i="8"/>
  <c r="K10454" i="8"/>
  <c r="I10454" i="8"/>
  <c r="H10454" i="8"/>
  <c r="M10453" i="8"/>
  <c r="K10453" i="8"/>
  <c r="I10453" i="8"/>
  <c r="H10453" i="8"/>
  <c r="M10452" i="8"/>
  <c r="K10452" i="8"/>
  <c r="I10452" i="8"/>
  <c r="H10452" i="8"/>
  <c r="H10451" i="8"/>
  <c r="M10446" i="8"/>
  <c r="M10445" i="8"/>
  <c r="M10444" i="8"/>
  <c r="M10437" i="8"/>
  <c r="I10437" i="8"/>
  <c r="H10437" i="8"/>
  <c r="M10436" i="8"/>
  <c r="I10436" i="8"/>
  <c r="H10436" i="8"/>
  <c r="M10435" i="8"/>
  <c r="I10435" i="8"/>
  <c r="H10435" i="8"/>
  <c r="M10434" i="8"/>
  <c r="I10434" i="8"/>
  <c r="H10434" i="8"/>
  <c r="H10433" i="8"/>
  <c r="M10428" i="8"/>
  <c r="I10428" i="8"/>
  <c r="H10428" i="8"/>
  <c r="M10427" i="8"/>
  <c r="I10427" i="8"/>
  <c r="H10427" i="8"/>
  <c r="I10426" i="8"/>
  <c r="M10426" i="8" s="1"/>
  <c r="I10443" i="8" s="1"/>
  <c r="H10426" i="8"/>
  <c r="K10425" i="8"/>
  <c r="H10425" i="8"/>
  <c r="K10424" i="8"/>
  <c r="H10424" i="8"/>
  <c r="H10423" i="8"/>
  <c r="K10422" i="8"/>
  <c r="H10422" i="8"/>
  <c r="H10421" i="8"/>
  <c r="H10420" i="8"/>
  <c r="K10419" i="8"/>
  <c r="H10419" i="8"/>
  <c r="K10418" i="8"/>
  <c r="K10423" i="8" s="1"/>
  <c r="H10418" i="8"/>
  <c r="B10414" i="8"/>
  <c r="M10408" i="8"/>
  <c r="K10408" i="8"/>
  <c r="I10408" i="8"/>
  <c r="H10408" i="8"/>
  <c r="M10407" i="8"/>
  <c r="K10407" i="8"/>
  <c r="I10407" i="8"/>
  <c r="H10407" i="8"/>
  <c r="M10406" i="8"/>
  <c r="K10406" i="8"/>
  <c r="I10406" i="8"/>
  <c r="H10406" i="8"/>
  <c r="M10405" i="8"/>
  <c r="K10405" i="8"/>
  <c r="I10405" i="8"/>
  <c r="H10405" i="8"/>
  <c r="L10404" i="8"/>
  <c r="H10404" i="8"/>
  <c r="M10399" i="8"/>
  <c r="M10398" i="8"/>
  <c r="M10397" i="8"/>
  <c r="M10390" i="8"/>
  <c r="I10390" i="8"/>
  <c r="H10390" i="8"/>
  <c r="M10389" i="8"/>
  <c r="I10389" i="8"/>
  <c r="H10389" i="8"/>
  <c r="M10388" i="8"/>
  <c r="I10388" i="8"/>
  <c r="H10388" i="8"/>
  <c r="I10387" i="8"/>
  <c r="M10387" i="8" s="1"/>
  <c r="H10387" i="8"/>
  <c r="H10386" i="8"/>
  <c r="M10381" i="8"/>
  <c r="I10381" i="8"/>
  <c r="H10381" i="8"/>
  <c r="M10380" i="8"/>
  <c r="I10380" i="8"/>
  <c r="H10380" i="8"/>
  <c r="M10379" i="8"/>
  <c r="I10379" i="8"/>
  <c r="H10379" i="8"/>
  <c r="M10378" i="8"/>
  <c r="I10378" i="8"/>
  <c r="H10378" i="8"/>
  <c r="I10377" i="8"/>
  <c r="M10377" i="8" s="1"/>
  <c r="H10377" i="8"/>
  <c r="I10376" i="8"/>
  <c r="M10376" i="8" s="1"/>
  <c r="H10376" i="8"/>
  <c r="I10375" i="8"/>
  <c r="M10375" i="8" s="1"/>
  <c r="H10375" i="8"/>
  <c r="I10374" i="8"/>
  <c r="M10374" i="8" s="1"/>
  <c r="H10374" i="8"/>
  <c r="B10370" i="8"/>
  <c r="M10364" i="8"/>
  <c r="K10364" i="8"/>
  <c r="I10364" i="8"/>
  <c r="H10364" i="8"/>
  <c r="M10363" i="8"/>
  <c r="K10363" i="8"/>
  <c r="I10363" i="8"/>
  <c r="H10363" i="8"/>
  <c r="M10362" i="8"/>
  <c r="K10362" i="8"/>
  <c r="I10362" i="8"/>
  <c r="H10362" i="8"/>
  <c r="M10361" i="8"/>
  <c r="K10361" i="8"/>
  <c r="I10361" i="8"/>
  <c r="H10361" i="8"/>
  <c r="L10360" i="8"/>
  <c r="H10360" i="8"/>
  <c r="M10355" i="8"/>
  <c r="M10354" i="8"/>
  <c r="M10353" i="8"/>
  <c r="M10346" i="8"/>
  <c r="I10346" i="8"/>
  <c r="H10346" i="8"/>
  <c r="M10345" i="8"/>
  <c r="I10345" i="8"/>
  <c r="H10345" i="8"/>
  <c r="M10344" i="8"/>
  <c r="I10344" i="8"/>
  <c r="H10344" i="8"/>
  <c r="K10343" i="8"/>
  <c r="I10343" i="8"/>
  <c r="H10343" i="8"/>
  <c r="H10342" i="8"/>
  <c r="M10337" i="8"/>
  <c r="I10337" i="8"/>
  <c r="H10337" i="8"/>
  <c r="M10336" i="8"/>
  <c r="I10336" i="8"/>
  <c r="H10336" i="8"/>
  <c r="M10335" i="8"/>
  <c r="I10335" i="8"/>
  <c r="H10335" i="8"/>
  <c r="M10334" i="8"/>
  <c r="I10334" i="8"/>
  <c r="H10334" i="8"/>
  <c r="I10333" i="8"/>
  <c r="M10333" i="8" s="1"/>
  <c r="H10333" i="8"/>
  <c r="I10332" i="8"/>
  <c r="M10332" i="8" s="1"/>
  <c r="H10332" i="8"/>
  <c r="I10331" i="8"/>
  <c r="M10331" i="8" s="1"/>
  <c r="H10331" i="8"/>
  <c r="I10330" i="8"/>
  <c r="M10330" i="8" s="1"/>
  <c r="H10330" i="8"/>
  <c r="B10326" i="8"/>
  <c r="M10320" i="8"/>
  <c r="K10320" i="8"/>
  <c r="I10320" i="8"/>
  <c r="H10320" i="8"/>
  <c r="M10319" i="8"/>
  <c r="K10319" i="8"/>
  <c r="I10319" i="8"/>
  <c r="H10319" i="8"/>
  <c r="M10318" i="8"/>
  <c r="K10318" i="8"/>
  <c r="I10318" i="8"/>
  <c r="H10318" i="8"/>
  <c r="M10317" i="8"/>
  <c r="K10317" i="8"/>
  <c r="I10317" i="8"/>
  <c r="H10317" i="8"/>
  <c r="L10316" i="8"/>
  <c r="H10316" i="8"/>
  <c r="M10311" i="8"/>
  <c r="M10310" i="8"/>
  <c r="M10309" i="8"/>
  <c r="M10302" i="8"/>
  <c r="I10302" i="8"/>
  <c r="H10302" i="8"/>
  <c r="M10301" i="8"/>
  <c r="I10301" i="8"/>
  <c r="H10301" i="8"/>
  <c r="M10300" i="8"/>
  <c r="I10300" i="8"/>
  <c r="H10300" i="8"/>
  <c r="K10299" i="8"/>
  <c r="I10299" i="8"/>
  <c r="H10299" i="8"/>
  <c r="H10298" i="8"/>
  <c r="M10293" i="8"/>
  <c r="I10293" i="8"/>
  <c r="H10293" i="8"/>
  <c r="M10292" i="8"/>
  <c r="I10292" i="8"/>
  <c r="H10292" i="8"/>
  <c r="M10291" i="8"/>
  <c r="I10291" i="8"/>
  <c r="H10291" i="8"/>
  <c r="M10290" i="8"/>
  <c r="I10290" i="8"/>
  <c r="H10290" i="8"/>
  <c r="I10289" i="8"/>
  <c r="M10289" i="8" s="1"/>
  <c r="H10289" i="8"/>
  <c r="I10288" i="8"/>
  <c r="M10288" i="8" s="1"/>
  <c r="H10288" i="8"/>
  <c r="I10287" i="8"/>
  <c r="M10287" i="8" s="1"/>
  <c r="H10287" i="8"/>
  <c r="I10286" i="8"/>
  <c r="M10286" i="8" s="1"/>
  <c r="H10286" i="8"/>
  <c r="B10282" i="8"/>
  <c r="M10276" i="8"/>
  <c r="K10276" i="8"/>
  <c r="I10276" i="8"/>
  <c r="H10276" i="8"/>
  <c r="M10275" i="8"/>
  <c r="K10275" i="8"/>
  <c r="I10275" i="8"/>
  <c r="H10275" i="8"/>
  <c r="M10274" i="8"/>
  <c r="K10274" i="8"/>
  <c r="I10274" i="8"/>
  <c r="H10274" i="8"/>
  <c r="M10273" i="8"/>
  <c r="K10273" i="8"/>
  <c r="I10273" i="8"/>
  <c r="H10273" i="8"/>
  <c r="L10272" i="8"/>
  <c r="H10272" i="8"/>
  <c r="M10267" i="8"/>
  <c r="M10266" i="8"/>
  <c r="M10265" i="8"/>
  <c r="K10264" i="8"/>
  <c r="M10258" i="8"/>
  <c r="I10258" i="8"/>
  <c r="H10258" i="8"/>
  <c r="M10257" i="8"/>
  <c r="I10257" i="8"/>
  <c r="H10257" i="8"/>
  <c r="M10256" i="8"/>
  <c r="I10256" i="8"/>
  <c r="H10256" i="8"/>
  <c r="M10255" i="8"/>
  <c r="I10255" i="8"/>
  <c r="H10255" i="8"/>
  <c r="H10254" i="8"/>
  <c r="M10249" i="8"/>
  <c r="I10249" i="8"/>
  <c r="H10249" i="8"/>
  <c r="M10248" i="8"/>
  <c r="I10248" i="8"/>
  <c r="H10248" i="8"/>
  <c r="I10247" i="8"/>
  <c r="M10247" i="8" s="1"/>
  <c r="H10247" i="8"/>
  <c r="K10246" i="8"/>
  <c r="H10246" i="8"/>
  <c r="I10245" i="8"/>
  <c r="M10245" i="8" s="1"/>
  <c r="H10245" i="8"/>
  <c r="I10244" i="8"/>
  <c r="M10244" i="8" s="1"/>
  <c r="H10244" i="8"/>
  <c r="I10243" i="8"/>
  <c r="M10243" i="8" s="1"/>
  <c r="H10243" i="8"/>
  <c r="I10242" i="8"/>
  <c r="M10242" i="8" s="1"/>
  <c r="H10242" i="8"/>
  <c r="B10238" i="8"/>
  <c r="M10232" i="8"/>
  <c r="K10232" i="8"/>
  <c r="I10232" i="8"/>
  <c r="H10232" i="8"/>
  <c r="M10231" i="8"/>
  <c r="K10231" i="8"/>
  <c r="I10231" i="8"/>
  <c r="H10231" i="8"/>
  <c r="M10230" i="8"/>
  <c r="K10230" i="8"/>
  <c r="I10230" i="8"/>
  <c r="H10230" i="8"/>
  <c r="M10229" i="8"/>
  <c r="K10229" i="8"/>
  <c r="I10229" i="8"/>
  <c r="H10229" i="8"/>
  <c r="H10228" i="8"/>
  <c r="M10223" i="8"/>
  <c r="M10222" i="8"/>
  <c r="M10221" i="8"/>
  <c r="M10220" i="8"/>
  <c r="M10214" i="8"/>
  <c r="I10214" i="8"/>
  <c r="H10214" i="8"/>
  <c r="M10213" i="8"/>
  <c r="I10213" i="8"/>
  <c r="H10213" i="8"/>
  <c r="I10212" i="8"/>
  <c r="M10212" i="8" s="1"/>
  <c r="H10212" i="8"/>
  <c r="I10211" i="8"/>
  <c r="M10211" i="8" s="1"/>
  <c r="H10211" i="8"/>
  <c r="H10210" i="8"/>
  <c r="M10205" i="8"/>
  <c r="I10205" i="8"/>
  <c r="H10205" i="8"/>
  <c r="K10204" i="8"/>
  <c r="I10204" i="8"/>
  <c r="H10204" i="8"/>
  <c r="K10203" i="8"/>
  <c r="I10203" i="8"/>
  <c r="M10203" i="8" s="1"/>
  <c r="H10203" i="8"/>
  <c r="K10202" i="8"/>
  <c r="I10202" i="8"/>
  <c r="H10202" i="8"/>
  <c r="I10201" i="8"/>
  <c r="M10201" i="8" s="1"/>
  <c r="H10201" i="8"/>
  <c r="I10200" i="8"/>
  <c r="M10200" i="8" s="1"/>
  <c r="H10200" i="8"/>
  <c r="I10199" i="8"/>
  <c r="M10199" i="8" s="1"/>
  <c r="H10199" i="8"/>
  <c r="I10198" i="8"/>
  <c r="M10198" i="8" s="1"/>
  <c r="H10198" i="8"/>
  <c r="I10197" i="8"/>
  <c r="M10197" i="8" s="1"/>
  <c r="H10197" i="8"/>
  <c r="B10193" i="8"/>
  <c r="M10187" i="8"/>
  <c r="K10187" i="8"/>
  <c r="I10187" i="8"/>
  <c r="H10187" i="8"/>
  <c r="M10186" i="8"/>
  <c r="K10186" i="8"/>
  <c r="I10186" i="8"/>
  <c r="H10186" i="8"/>
  <c r="M10185" i="8"/>
  <c r="K10185" i="8"/>
  <c r="I10185" i="8"/>
  <c r="H10185" i="8"/>
  <c r="M10184" i="8"/>
  <c r="K10184" i="8"/>
  <c r="I10184" i="8"/>
  <c r="H10184" i="8"/>
  <c r="H10183" i="8"/>
  <c r="M10178" i="8"/>
  <c r="M10177" i="8"/>
  <c r="M10176" i="8"/>
  <c r="K10175" i="8"/>
  <c r="M10169" i="8"/>
  <c r="I10169" i="8"/>
  <c r="H10169" i="8"/>
  <c r="M10168" i="8"/>
  <c r="I10168" i="8"/>
  <c r="H10168" i="8"/>
  <c r="I10167" i="8"/>
  <c r="M10167" i="8" s="1"/>
  <c r="H10167" i="8"/>
  <c r="I10166" i="8"/>
  <c r="M10166" i="8" s="1"/>
  <c r="H10166" i="8"/>
  <c r="H10165" i="8"/>
  <c r="M10160" i="8"/>
  <c r="I10160" i="8"/>
  <c r="H10160" i="8"/>
  <c r="I10159" i="8"/>
  <c r="M10159" i="8" s="1"/>
  <c r="H10159" i="8"/>
  <c r="I10158" i="8"/>
  <c r="M10158" i="8" s="1"/>
  <c r="H10158" i="8"/>
  <c r="K10157" i="8"/>
  <c r="I10157" i="8"/>
  <c r="H10157" i="8"/>
  <c r="I10156" i="8"/>
  <c r="M10156" i="8" s="1"/>
  <c r="H10156" i="8"/>
  <c r="I10155" i="8"/>
  <c r="M10155" i="8" s="1"/>
  <c r="H10155" i="8"/>
  <c r="I10154" i="8"/>
  <c r="M10154" i="8" s="1"/>
  <c r="H10154" i="8"/>
  <c r="I10153" i="8"/>
  <c r="M10153" i="8" s="1"/>
  <c r="H10153" i="8"/>
  <c r="B10149" i="8"/>
  <c r="M10143" i="8"/>
  <c r="K10143" i="8"/>
  <c r="I10143" i="8"/>
  <c r="H10143" i="8"/>
  <c r="M10142" i="8"/>
  <c r="K10142" i="8"/>
  <c r="I10142" i="8"/>
  <c r="H10142" i="8"/>
  <c r="M10141" i="8"/>
  <c r="K10141" i="8"/>
  <c r="I10141" i="8"/>
  <c r="H10141" i="8"/>
  <c r="M10140" i="8"/>
  <c r="K10140" i="8"/>
  <c r="I10140" i="8"/>
  <c r="H10140" i="8"/>
  <c r="L10139" i="8"/>
  <c r="H10139" i="8"/>
  <c r="M10134" i="8"/>
  <c r="M10133" i="8"/>
  <c r="M10132" i="8"/>
  <c r="K10130" i="8"/>
  <c r="M10125" i="8"/>
  <c r="I10125" i="8"/>
  <c r="H10125" i="8"/>
  <c r="M10124" i="8"/>
  <c r="I10124" i="8"/>
  <c r="H10124" i="8"/>
  <c r="M10123" i="8"/>
  <c r="I10123" i="8"/>
  <c r="H10123" i="8"/>
  <c r="M10122" i="8"/>
  <c r="I10122" i="8"/>
  <c r="H10122" i="8"/>
  <c r="H10121" i="8"/>
  <c r="M10116" i="8"/>
  <c r="I10116" i="8"/>
  <c r="H10116" i="8"/>
  <c r="M10115" i="8"/>
  <c r="I10115" i="8"/>
  <c r="H10115" i="8"/>
  <c r="M10114" i="8"/>
  <c r="I10114" i="8"/>
  <c r="H10114" i="8"/>
  <c r="M10113" i="8"/>
  <c r="I10113" i="8"/>
  <c r="H10113" i="8"/>
  <c r="M10112" i="8"/>
  <c r="I10112" i="8"/>
  <c r="H10112" i="8"/>
  <c r="I10111" i="8"/>
  <c r="M10111" i="8" s="1"/>
  <c r="H10111" i="8"/>
  <c r="B10107" i="8"/>
  <c r="M10101" i="8"/>
  <c r="K10101" i="8"/>
  <c r="I10101" i="8"/>
  <c r="H10101" i="8"/>
  <c r="M10100" i="8"/>
  <c r="K10100" i="8"/>
  <c r="I10100" i="8"/>
  <c r="H10100" i="8"/>
  <c r="M10099" i="8"/>
  <c r="K10099" i="8"/>
  <c r="I10099" i="8"/>
  <c r="H10099" i="8"/>
  <c r="M10098" i="8"/>
  <c r="K10098" i="8"/>
  <c r="I10098" i="8"/>
  <c r="H10098" i="8"/>
  <c r="H10097" i="8"/>
  <c r="M10092" i="8"/>
  <c r="M10091" i="8"/>
  <c r="M10083" i="8"/>
  <c r="I10083" i="8"/>
  <c r="H10083" i="8"/>
  <c r="M10082" i="8"/>
  <c r="I10082" i="8"/>
  <c r="H10082" i="8"/>
  <c r="M10081" i="8"/>
  <c r="I10081" i="8"/>
  <c r="H10081" i="8"/>
  <c r="K10080" i="8"/>
  <c r="I10080" i="8"/>
  <c r="H10080" i="8"/>
  <c r="H10079" i="8"/>
  <c r="M10074" i="8"/>
  <c r="I10074" i="8"/>
  <c r="H10074" i="8"/>
  <c r="M10073" i="8"/>
  <c r="I10073" i="8"/>
  <c r="H10073" i="8"/>
  <c r="I10072" i="8"/>
  <c r="M10072" i="8" s="1"/>
  <c r="I10090" i="8" s="1"/>
  <c r="M10090" i="8" s="1"/>
  <c r="H10072" i="8"/>
  <c r="I10071" i="8"/>
  <c r="M10071" i="8" s="1"/>
  <c r="H10071" i="8"/>
  <c r="B10067" i="8"/>
  <c r="M10061" i="8"/>
  <c r="K10061" i="8"/>
  <c r="I10061" i="8"/>
  <c r="H10061" i="8"/>
  <c r="M10060" i="8"/>
  <c r="K10060" i="8"/>
  <c r="I10060" i="8"/>
  <c r="H10060" i="8"/>
  <c r="M10059" i="8"/>
  <c r="K10059" i="8"/>
  <c r="I10059" i="8"/>
  <c r="H10059" i="8"/>
  <c r="M10058" i="8"/>
  <c r="K10058" i="8"/>
  <c r="I10058" i="8"/>
  <c r="H10058" i="8"/>
  <c r="L10057" i="8"/>
  <c r="H10057" i="8"/>
  <c r="M10052" i="8"/>
  <c r="M10051" i="8"/>
  <c r="M10050" i="8"/>
  <c r="M10043" i="8"/>
  <c r="I10043" i="8"/>
  <c r="H10043" i="8"/>
  <c r="M10042" i="8"/>
  <c r="I10042" i="8"/>
  <c r="H10042" i="8"/>
  <c r="M10041" i="8"/>
  <c r="I10041" i="8"/>
  <c r="H10041" i="8"/>
  <c r="M10040" i="8"/>
  <c r="I10040" i="8"/>
  <c r="H10040" i="8"/>
  <c r="H10039" i="8"/>
  <c r="M10034" i="8"/>
  <c r="I10034" i="8"/>
  <c r="H10034" i="8"/>
  <c r="I10032" i="8"/>
  <c r="M10032" i="8" s="1"/>
  <c r="H10032" i="8"/>
  <c r="I10031" i="8"/>
  <c r="M10031" i="8" s="1"/>
  <c r="H10031" i="8"/>
  <c r="K10030" i="8"/>
  <c r="I10030" i="8"/>
  <c r="H10030" i="8"/>
  <c r="K10029" i="8"/>
  <c r="I10029" i="8"/>
  <c r="H10029" i="8"/>
  <c r="K10028" i="8"/>
  <c r="I10028" i="8"/>
  <c r="H10028" i="8"/>
  <c r="K10027" i="8"/>
  <c r="I10027" i="8"/>
  <c r="H10027" i="8"/>
  <c r="K10026" i="8"/>
  <c r="I10026" i="8"/>
  <c r="H10026" i="8"/>
  <c r="K10025" i="8"/>
  <c r="I10025" i="8"/>
  <c r="H10025" i="8"/>
  <c r="K10024" i="8"/>
  <c r="I10024" i="8"/>
  <c r="H10024" i="8"/>
  <c r="K10023" i="8"/>
  <c r="I10023" i="8"/>
  <c r="H10023" i="8"/>
  <c r="K10022" i="8"/>
  <c r="I10022" i="8"/>
  <c r="H10022" i="8"/>
  <c r="K10021" i="8"/>
  <c r="I10021" i="8"/>
  <c r="H10021" i="8"/>
  <c r="K10020" i="8"/>
  <c r="I10020" i="8"/>
  <c r="H10020" i="8"/>
  <c r="B10016" i="8"/>
  <c r="M10010" i="8"/>
  <c r="K10010" i="8"/>
  <c r="I10010" i="8"/>
  <c r="H10010" i="8"/>
  <c r="M10009" i="8"/>
  <c r="K10009" i="8"/>
  <c r="I10009" i="8"/>
  <c r="H10009" i="8"/>
  <c r="M10008" i="8"/>
  <c r="K10008" i="8"/>
  <c r="I10008" i="8"/>
  <c r="H10008" i="8"/>
  <c r="M10007" i="8"/>
  <c r="K10007" i="8"/>
  <c r="I10007" i="8"/>
  <c r="H10007" i="8"/>
  <c r="H10006" i="8"/>
  <c r="M10001" i="8"/>
  <c r="M10000" i="8"/>
  <c r="M9999" i="8"/>
  <c r="M9992" i="8"/>
  <c r="I9992" i="8"/>
  <c r="H9992" i="8"/>
  <c r="M9991" i="8"/>
  <c r="I9991" i="8"/>
  <c r="H9991" i="8"/>
  <c r="M9990" i="8"/>
  <c r="I9990" i="8"/>
  <c r="H9990" i="8"/>
  <c r="M9989" i="8"/>
  <c r="I9989" i="8"/>
  <c r="H9989" i="8"/>
  <c r="H9988" i="8"/>
  <c r="M9983" i="8"/>
  <c r="I9983" i="8"/>
  <c r="H9983" i="8"/>
  <c r="M9981" i="8"/>
  <c r="I9981" i="8"/>
  <c r="H9981" i="8"/>
  <c r="I9980" i="8"/>
  <c r="M9980" i="8" s="1"/>
  <c r="H9980" i="8"/>
  <c r="B9976" i="8"/>
  <c r="M9970" i="8"/>
  <c r="K9970" i="8"/>
  <c r="I9970" i="8"/>
  <c r="H9970" i="8"/>
  <c r="M9969" i="8"/>
  <c r="K9969" i="8"/>
  <c r="I9969" i="8"/>
  <c r="H9969" i="8"/>
  <c r="M9968" i="8"/>
  <c r="K9968" i="8"/>
  <c r="I9968" i="8"/>
  <c r="H9968" i="8"/>
  <c r="M9967" i="8"/>
  <c r="K9967" i="8"/>
  <c r="I9967" i="8"/>
  <c r="H9967" i="8"/>
  <c r="M9966" i="8"/>
  <c r="K9966" i="8"/>
  <c r="I9966" i="8"/>
  <c r="H9966" i="8"/>
  <c r="M9961" i="8"/>
  <c r="M9960" i="8"/>
  <c r="M9959" i="8"/>
  <c r="M9958" i="8"/>
  <c r="M9952" i="8"/>
  <c r="I9952" i="8"/>
  <c r="H9952" i="8"/>
  <c r="M9951" i="8"/>
  <c r="I9951" i="8"/>
  <c r="H9951" i="8"/>
  <c r="M9950" i="8"/>
  <c r="I9950" i="8"/>
  <c r="H9950" i="8"/>
  <c r="M9949" i="8"/>
  <c r="I9949" i="8"/>
  <c r="H9949" i="8"/>
  <c r="M9948" i="8"/>
  <c r="H9948" i="8"/>
  <c r="M9943" i="8"/>
  <c r="I9943" i="8"/>
  <c r="H9943" i="8"/>
  <c r="I9939" i="8"/>
  <c r="M9939" i="8" s="1"/>
  <c r="H9939" i="8"/>
  <c r="B9935" i="8"/>
  <c r="M9929" i="8"/>
  <c r="K9929" i="8"/>
  <c r="I9929" i="8"/>
  <c r="H9929" i="8"/>
  <c r="M9928" i="8"/>
  <c r="K9928" i="8"/>
  <c r="I9928" i="8"/>
  <c r="H9928" i="8"/>
  <c r="M9927" i="8"/>
  <c r="K9927" i="8"/>
  <c r="I9927" i="8"/>
  <c r="H9927" i="8"/>
  <c r="M9926" i="8"/>
  <c r="K9926" i="8"/>
  <c r="I9926" i="8"/>
  <c r="H9926" i="8"/>
  <c r="L9925" i="8"/>
  <c r="H9925" i="8"/>
  <c r="M9920" i="8"/>
  <c r="M9919" i="8"/>
  <c r="M9918" i="8"/>
  <c r="K9916" i="8"/>
  <c r="M9911" i="8"/>
  <c r="I9911" i="8"/>
  <c r="H9911" i="8"/>
  <c r="M9910" i="8"/>
  <c r="I9910" i="8"/>
  <c r="H9910" i="8"/>
  <c r="M9909" i="8"/>
  <c r="I9909" i="8"/>
  <c r="H9909" i="8"/>
  <c r="M9908" i="8"/>
  <c r="I9908" i="8"/>
  <c r="H9908" i="8"/>
  <c r="H9907" i="8"/>
  <c r="M9902" i="8"/>
  <c r="I9902" i="8"/>
  <c r="H9902" i="8"/>
  <c r="M9901" i="8"/>
  <c r="I9901" i="8"/>
  <c r="H9901" i="8"/>
  <c r="M9900" i="8"/>
  <c r="I9900" i="8"/>
  <c r="H9900" i="8"/>
  <c r="M9899" i="8"/>
  <c r="I9899" i="8"/>
  <c r="H9899" i="8"/>
  <c r="M9898" i="8"/>
  <c r="I9898" i="8"/>
  <c r="H9898" i="8"/>
  <c r="I9897" i="8"/>
  <c r="M9897" i="8" s="1"/>
  <c r="H9897" i="8"/>
  <c r="B9893" i="8"/>
  <c r="M9887" i="8"/>
  <c r="K9887" i="8"/>
  <c r="I9887" i="8"/>
  <c r="H9887" i="8"/>
  <c r="M9886" i="8"/>
  <c r="K9886" i="8"/>
  <c r="I9886" i="8"/>
  <c r="H9886" i="8"/>
  <c r="M9885" i="8"/>
  <c r="K9885" i="8"/>
  <c r="I9885" i="8"/>
  <c r="H9885" i="8"/>
  <c r="M9884" i="8"/>
  <c r="K9884" i="8"/>
  <c r="I9884" i="8"/>
  <c r="H9884" i="8"/>
  <c r="M9883" i="8"/>
  <c r="K9883" i="8"/>
  <c r="I9883" i="8"/>
  <c r="H9883" i="8"/>
  <c r="M9878" i="8"/>
  <c r="M9877" i="8"/>
  <c r="M9876" i="8"/>
  <c r="M9875" i="8"/>
  <c r="M9874" i="8"/>
  <c r="M9869" i="8"/>
  <c r="I9869" i="8"/>
  <c r="H9869" i="8"/>
  <c r="M9868" i="8"/>
  <c r="I9868" i="8"/>
  <c r="H9868" i="8"/>
  <c r="M9867" i="8"/>
  <c r="I9867" i="8"/>
  <c r="H9867" i="8"/>
  <c r="M9866" i="8"/>
  <c r="I9866" i="8"/>
  <c r="H9866" i="8"/>
  <c r="M9865" i="8"/>
  <c r="H9865" i="8"/>
  <c r="M9860" i="8"/>
  <c r="I9860" i="8"/>
  <c r="H9860" i="8"/>
  <c r="K9859" i="8"/>
  <c r="I9859" i="8"/>
  <c r="H9859" i="8"/>
  <c r="K9858" i="8"/>
  <c r="I9858" i="8"/>
  <c r="H9858" i="8"/>
  <c r="K9857" i="8"/>
  <c r="H9857" i="8"/>
  <c r="K9856" i="8"/>
  <c r="H9856" i="8"/>
  <c r="K9855" i="8"/>
  <c r="H9855" i="8"/>
  <c r="K9854" i="8"/>
  <c r="H9854" i="8"/>
  <c r="K9853" i="8"/>
  <c r="H9853" i="8"/>
  <c r="I9852" i="8"/>
  <c r="H9852" i="8"/>
  <c r="K9851" i="8"/>
  <c r="H9851" i="8"/>
  <c r="K9850" i="8"/>
  <c r="H9850" i="8"/>
  <c r="K9849" i="8"/>
  <c r="H9849" i="8"/>
  <c r="B9845" i="8"/>
  <c r="M9839" i="8"/>
  <c r="K9839" i="8"/>
  <c r="I9839" i="8"/>
  <c r="H9839" i="8"/>
  <c r="M9838" i="8"/>
  <c r="K9838" i="8"/>
  <c r="I9838" i="8"/>
  <c r="H9838" i="8"/>
  <c r="M9837" i="8"/>
  <c r="K9837" i="8"/>
  <c r="I9837" i="8"/>
  <c r="H9837" i="8"/>
  <c r="M9836" i="8"/>
  <c r="K9836" i="8"/>
  <c r="I9836" i="8"/>
  <c r="H9836" i="8"/>
  <c r="L9835" i="8"/>
  <c r="H9835" i="8"/>
  <c r="M9830" i="8"/>
  <c r="M9829" i="8"/>
  <c r="M9828" i="8"/>
  <c r="M9827" i="8"/>
  <c r="M9826" i="8"/>
  <c r="M9821" i="8"/>
  <c r="I9821" i="8"/>
  <c r="H9821" i="8"/>
  <c r="M9820" i="8"/>
  <c r="I9820" i="8"/>
  <c r="H9820" i="8"/>
  <c r="M9819" i="8"/>
  <c r="I9819" i="8"/>
  <c r="H9819" i="8"/>
  <c r="M9818" i="8"/>
  <c r="I9818" i="8"/>
  <c r="H9818" i="8"/>
  <c r="H9817" i="8"/>
  <c r="M9812" i="8"/>
  <c r="I9812" i="8"/>
  <c r="H9812" i="8"/>
  <c r="I9810" i="8"/>
  <c r="M9810" i="8" s="1"/>
  <c r="H9810" i="8"/>
  <c r="I9809" i="8"/>
  <c r="M9809" i="8" s="1"/>
  <c r="H9809" i="8"/>
  <c r="B9805" i="8"/>
  <c r="M9799" i="8"/>
  <c r="K9799" i="8"/>
  <c r="I9799" i="8"/>
  <c r="H9799" i="8"/>
  <c r="M9798" i="8"/>
  <c r="K9798" i="8"/>
  <c r="I9798" i="8"/>
  <c r="H9798" i="8"/>
  <c r="M9797" i="8"/>
  <c r="K9797" i="8"/>
  <c r="I9797" i="8"/>
  <c r="H9797" i="8"/>
  <c r="M9796" i="8"/>
  <c r="K9796" i="8"/>
  <c r="I9796" i="8"/>
  <c r="H9796" i="8"/>
  <c r="M9795" i="8"/>
  <c r="K9795" i="8"/>
  <c r="I9795" i="8"/>
  <c r="H9795" i="8"/>
  <c r="M9790" i="8"/>
  <c r="M9789" i="8"/>
  <c r="M9788" i="8"/>
  <c r="M9787" i="8"/>
  <c r="M9781" i="8"/>
  <c r="I9781" i="8"/>
  <c r="H9781" i="8"/>
  <c r="M9780" i="8"/>
  <c r="I9780" i="8"/>
  <c r="H9780" i="8"/>
  <c r="M9779" i="8"/>
  <c r="I9779" i="8"/>
  <c r="H9779" i="8"/>
  <c r="M9778" i="8"/>
  <c r="I9778" i="8"/>
  <c r="H9778" i="8"/>
  <c r="M9777" i="8"/>
  <c r="H9777" i="8"/>
  <c r="M9772" i="8"/>
  <c r="I9772" i="8"/>
  <c r="H9772" i="8"/>
  <c r="I9768" i="8"/>
  <c r="M9768" i="8" s="1"/>
  <c r="H9768" i="8"/>
  <c r="B9764" i="8"/>
  <c r="M9758" i="8"/>
  <c r="K9758" i="8"/>
  <c r="I9758" i="8"/>
  <c r="H9758" i="8"/>
  <c r="M9757" i="8"/>
  <c r="K9757" i="8"/>
  <c r="I9757" i="8"/>
  <c r="H9757" i="8"/>
  <c r="M9756" i="8"/>
  <c r="K9756" i="8"/>
  <c r="I9756" i="8"/>
  <c r="H9756" i="8"/>
  <c r="M9755" i="8"/>
  <c r="K9755" i="8"/>
  <c r="I9755" i="8"/>
  <c r="H9755" i="8"/>
  <c r="L9754" i="8"/>
  <c r="H9754" i="8"/>
  <c r="M9749" i="8"/>
  <c r="M9748" i="8"/>
  <c r="M9747" i="8"/>
  <c r="M9746" i="8"/>
  <c r="M9740" i="8"/>
  <c r="I9740" i="8"/>
  <c r="H9740" i="8"/>
  <c r="M9739" i="8"/>
  <c r="I9739" i="8"/>
  <c r="H9739" i="8"/>
  <c r="M9738" i="8"/>
  <c r="I9738" i="8"/>
  <c r="H9738" i="8"/>
  <c r="M9737" i="8"/>
  <c r="I9737" i="8"/>
  <c r="H9737" i="8"/>
  <c r="H9736" i="8"/>
  <c r="M9731" i="8"/>
  <c r="I9731" i="8"/>
  <c r="H9731" i="8"/>
  <c r="I9729" i="8"/>
  <c r="M9729" i="8" s="1"/>
  <c r="H9729" i="8"/>
  <c r="I9728" i="8"/>
  <c r="M9728" i="8" s="1"/>
  <c r="H9728" i="8"/>
  <c r="B9724" i="8"/>
  <c r="M9718" i="8"/>
  <c r="K9718" i="8"/>
  <c r="I9718" i="8"/>
  <c r="H9718" i="8"/>
  <c r="M9717" i="8"/>
  <c r="K9717" i="8"/>
  <c r="I9717" i="8"/>
  <c r="H9717" i="8"/>
  <c r="M9716" i="8"/>
  <c r="K9716" i="8"/>
  <c r="I9716" i="8"/>
  <c r="H9716" i="8"/>
  <c r="M9715" i="8"/>
  <c r="K9715" i="8"/>
  <c r="I9715" i="8"/>
  <c r="H9715" i="8"/>
  <c r="M9714" i="8"/>
  <c r="K9714" i="8"/>
  <c r="I9714" i="8"/>
  <c r="H9714" i="8"/>
  <c r="M9709" i="8"/>
  <c r="M9708" i="8"/>
  <c r="M9707" i="8"/>
  <c r="M9706" i="8"/>
  <c r="M9700" i="8"/>
  <c r="I9700" i="8"/>
  <c r="H9700" i="8"/>
  <c r="M9699" i="8"/>
  <c r="I9699" i="8"/>
  <c r="H9699" i="8"/>
  <c r="M9698" i="8"/>
  <c r="I9698" i="8"/>
  <c r="H9698" i="8"/>
  <c r="M9697" i="8"/>
  <c r="I9697" i="8"/>
  <c r="H9697" i="8"/>
  <c r="M9696" i="8"/>
  <c r="H9696" i="8"/>
  <c r="M9691" i="8"/>
  <c r="I9691" i="8"/>
  <c r="H9691" i="8"/>
  <c r="I9687" i="8"/>
  <c r="M9687" i="8" s="1"/>
  <c r="H9687" i="8"/>
  <c r="B9683" i="8"/>
  <c r="M9677" i="8"/>
  <c r="K9677" i="8"/>
  <c r="I9677" i="8"/>
  <c r="H9677" i="8"/>
  <c r="M9676" i="8"/>
  <c r="K9676" i="8"/>
  <c r="I9676" i="8"/>
  <c r="H9676" i="8"/>
  <c r="M9675" i="8"/>
  <c r="K9675" i="8"/>
  <c r="I9675" i="8"/>
  <c r="H9675" i="8"/>
  <c r="M9674" i="8"/>
  <c r="K9674" i="8"/>
  <c r="I9674" i="8"/>
  <c r="H9674" i="8"/>
  <c r="L9673" i="8"/>
  <c r="H9673" i="8"/>
  <c r="M9668" i="8"/>
  <c r="M9667" i="8"/>
  <c r="M9666" i="8"/>
  <c r="M9659" i="8"/>
  <c r="I9659" i="8"/>
  <c r="H9659" i="8"/>
  <c r="M9658" i="8"/>
  <c r="I9658" i="8"/>
  <c r="H9658" i="8"/>
  <c r="M9657" i="8"/>
  <c r="I9657" i="8"/>
  <c r="H9657" i="8"/>
  <c r="M9656" i="8"/>
  <c r="I9656" i="8"/>
  <c r="H9656" i="8"/>
  <c r="H9655" i="8"/>
  <c r="M9650" i="8"/>
  <c r="I9650" i="8"/>
  <c r="H9650" i="8"/>
  <c r="I9648" i="8"/>
  <c r="M9648" i="8" s="1"/>
  <c r="H9648" i="8"/>
  <c r="I9647" i="8"/>
  <c r="M9647" i="8" s="1"/>
  <c r="H9647" i="8"/>
  <c r="B9643" i="8"/>
  <c r="M9637" i="8"/>
  <c r="K9637" i="8"/>
  <c r="I9637" i="8"/>
  <c r="H9637" i="8"/>
  <c r="M9636" i="8"/>
  <c r="K9636" i="8"/>
  <c r="I9636" i="8"/>
  <c r="H9636" i="8"/>
  <c r="M9635" i="8"/>
  <c r="K9635" i="8"/>
  <c r="I9635" i="8"/>
  <c r="H9635" i="8"/>
  <c r="M9634" i="8"/>
  <c r="K9634" i="8"/>
  <c r="I9634" i="8"/>
  <c r="H9634" i="8"/>
  <c r="M9633" i="8"/>
  <c r="K9633" i="8"/>
  <c r="I9633" i="8"/>
  <c r="H9633" i="8"/>
  <c r="M9628" i="8"/>
  <c r="M9627" i="8"/>
  <c r="M9626" i="8"/>
  <c r="M9625" i="8"/>
  <c r="M9619" i="8"/>
  <c r="I9619" i="8"/>
  <c r="H9619" i="8"/>
  <c r="M9618" i="8"/>
  <c r="I9618" i="8"/>
  <c r="H9618" i="8"/>
  <c r="M9617" i="8"/>
  <c r="I9617" i="8"/>
  <c r="H9617" i="8"/>
  <c r="M9616" i="8"/>
  <c r="I9616" i="8"/>
  <c r="H9616" i="8"/>
  <c r="M9615" i="8"/>
  <c r="H9615" i="8"/>
  <c r="M9610" i="8"/>
  <c r="I9610" i="8"/>
  <c r="H9610" i="8"/>
  <c r="I9606" i="8"/>
  <c r="M9606" i="8" s="1"/>
  <c r="H9606" i="8"/>
  <c r="B9602" i="8"/>
  <c r="M9596" i="8"/>
  <c r="K9596" i="8"/>
  <c r="I9596" i="8"/>
  <c r="H9596" i="8"/>
  <c r="M9595" i="8"/>
  <c r="K9595" i="8"/>
  <c r="I9595" i="8"/>
  <c r="H9595" i="8"/>
  <c r="M9594" i="8"/>
  <c r="K9594" i="8"/>
  <c r="I9594" i="8"/>
  <c r="H9594" i="8"/>
  <c r="H9593" i="8"/>
  <c r="H9592" i="8"/>
  <c r="M9587" i="8"/>
  <c r="M9586" i="8"/>
  <c r="M9585" i="8"/>
  <c r="M9584" i="8"/>
  <c r="M9578" i="8"/>
  <c r="I9578" i="8"/>
  <c r="H9578" i="8"/>
  <c r="M9577" i="8"/>
  <c r="I9577" i="8"/>
  <c r="H9577" i="8"/>
  <c r="M9576" i="8"/>
  <c r="I9576" i="8"/>
  <c r="H9576" i="8"/>
  <c r="M9575" i="8"/>
  <c r="I9575" i="8"/>
  <c r="H9575" i="8"/>
  <c r="H9574" i="8"/>
  <c r="M9569" i="8"/>
  <c r="I9569" i="8"/>
  <c r="H9569" i="8"/>
  <c r="K9568" i="8"/>
  <c r="I9568" i="8"/>
  <c r="H9568" i="8"/>
  <c r="K9567" i="8"/>
  <c r="I9567" i="8"/>
  <c r="H9567" i="8"/>
  <c r="K9566" i="8"/>
  <c r="I9566" i="8"/>
  <c r="H9566" i="8"/>
  <c r="K9565" i="8"/>
  <c r="H9565" i="8"/>
  <c r="K9564" i="8"/>
  <c r="I9564" i="8"/>
  <c r="H9564" i="8"/>
  <c r="K9563" i="8"/>
  <c r="H9563" i="8"/>
  <c r="K9562" i="8"/>
  <c r="I9562" i="8"/>
  <c r="H9562" i="8"/>
  <c r="K9561" i="8"/>
  <c r="H9561" i="8"/>
  <c r="K9560" i="8"/>
  <c r="I9560" i="8"/>
  <c r="H9560" i="8"/>
  <c r="K9559" i="8"/>
  <c r="I9559" i="8"/>
  <c r="H9559" i="8"/>
  <c r="K9558" i="8"/>
  <c r="H9558" i="8"/>
  <c r="K9557" i="8"/>
  <c r="H9557" i="8"/>
  <c r="K9556" i="8"/>
  <c r="H9556" i="8"/>
  <c r="K9555" i="8"/>
  <c r="H9555" i="8"/>
  <c r="K9554" i="8"/>
  <c r="H9554" i="8"/>
  <c r="I9553" i="8"/>
  <c r="H9553" i="8"/>
  <c r="H9552" i="8"/>
  <c r="K9551" i="8"/>
  <c r="H9551" i="8"/>
  <c r="K9550" i="8"/>
  <c r="H9550" i="8"/>
  <c r="B9546" i="8"/>
  <c r="M9540" i="8"/>
  <c r="K9540" i="8"/>
  <c r="I9540" i="8"/>
  <c r="H9540" i="8"/>
  <c r="M9539" i="8"/>
  <c r="K9539" i="8"/>
  <c r="I9539" i="8"/>
  <c r="H9539" i="8"/>
  <c r="M9538" i="8"/>
  <c r="K9538" i="8"/>
  <c r="I9538" i="8"/>
  <c r="H9538" i="8"/>
  <c r="H9537" i="8"/>
  <c r="H9536" i="8"/>
  <c r="M9531" i="8"/>
  <c r="M9530" i="8"/>
  <c r="M9529" i="8"/>
  <c r="M9528" i="8"/>
  <c r="M9522" i="8"/>
  <c r="I9522" i="8"/>
  <c r="H9522" i="8"/>
  <c r="M9521" i="8"/>
  <c r="I9521" i="8"/>
  <c r="H9521" i="8"/>
  <c r="M9520" i="8"/>
  <c r="I9520" i="8"/>
  <c r="H9520" i="8"/>
  <c r="M9519" i="8"/>
  <c r="I9519" i="8"/>
  <c r="H9519" i="8"/>
  <c r="H9518" i="8"/>
  <c r="M9513" i="8"/>
  <c r="I9513" i="8"/>
  <c r="H9513" i="8"/>
  <c r="K9512" i="8"/>
  <c r="I9512" i="8"/>
  <c r="H9512" i="8"/>
  <c r="K9511" i="8"/>
  <c r="I9511" i="8"/>
  <c r="H9511" i="8"/>
  <c r="K9510" i="8"/>
  <c r="I9510" i="8"/>
  <c r="H9510" i="8"/>
  <c r="K9509" i="8"/>
  <c r="H9509" i="8"/>
  <c r="K9508" i="8"/>
  <c r="I9508" i="8"/>
  <c r="H9508" i="8"/>
  <c r="K9507" i="8"/>
  <c r="H9507" i="8"/>
  <c r="K9506" i="8"/>
  <c r="I9506" i="8"/>
  <c r="H9506" i="8"/>
  <c r="K9505" i="8"/>
  <c r="H9505" i="8"/>
  <c r="K9504" i="8"/>
  <c r="I9504" i="8"/>
  <c r="H9504" i="8"/>
  <c r="K9503" i="8"/>
  <c r="I9503" i="8"/>
  <c r="H9503" i="8"/>
  <c r="K9502" i="8"/>
  <c r="H9502" i="8"/>
  <c r="K9501" i="8"/>
  <c r="H9501" i="8"/>
  <c r="K9500" i="8"/>
  <c r="H9500" i="8"/>
  <c r="K9499" i="8"/>
  <c r="H9499" i="8"/>
  <c r="K9498" i="8"/>
  <c r="H9498" i="8"/>
  <c r="I9497" i="8"/>
  <c r="H9497" i="8"/>
  <c r="H9496" i="8"/>
  <c r="K9495" i="8"/>
  <c r="H9495" i="8"/>
  <c r="K9494" i="8"/>
  <c r="H9494" i="8"/>
  <c r="B9490" i="8"/>
  <c r="M9484" i="8"/>
  <c r="K9484" i="8"/>
  <c r="I9484" i="8"/>
  <c r="H9484" i="8"/>
  <c r="M9483" i="8"/>
  <c r="K9483" i="8"/>
  <c r="I9483" i="8"/>
  <c r="H9483" i="8"/>
  <c r="M9482" i="8"/>
  <c r="K9482" i="8"/>
  <c r="I9482" i="8"/>
  <c r="H9482" i="8"/>
  <c r="H9481" i="8"/>
  <c r="H9480" i="8"/>
  <c r="M9475" i="8"/>
  <c r="M9474" i="8"/>
  <c r="M9473" i="8"/>
  <c r="M9472" i="8"/>
  <c r="M9466" i="8"/>
  <c r="I9466" i="8"/>
  <c r="H9466" i="8"/>
  <c r="M9465" i="8"/>
  <c r="I9465" i="8"/>
  <c r="H9465" i="8"/>
  <c r="M9464" i="8"/>
  <c r="I9464" i="8"/>
  <c r="H9464" i="8"/>
  <c r="M9463" i="8"/>
  <c r="I9463" i="8"/>
  <c r="H9463" i="8"/>
  <c r="H9462" i="8"/>
  <c r="M9457" i="8"/>
  <c r="I9457" i="8"/>
  <c r="H9457" i="8"/>
  <c r="K9456" i="8"/>
  <c r="I9456" i="8"/>
  <c r="H9456" i="8"/>
  <c r="K9455" i="8"/>
  <c r="I9455" i="8"/>
  <c r="H9455" i="8"/>
  <c r="K9454" i="8"/>
  <c r="I9454" i="8"/>
  <c r="H9454" i="8"/>
  <c r="K9453" i="8"/>
  <c r="H9453" i="8"/>
  <c r="K9452" i="8"/>
  <c r="H9452" i="8"/>
  <c r="K9451" i="8"/>
  <c r="H9451" i="8"/>
  <c r="K9450" i="8"/>
  <c r="I9450" i="8"/>
  <c r="H9450" i="8"/>
  <c r="K9449" i="8"/>
  <c r="H9449" i="8"/>
  <c r="K9448" i="8"/>
  <c r="I9448" i="8"/>
  <c r="H9448" i="8"/>
  <c r="K9447" i="8"/>
  <c r="I9447" i="8"/>
  <c r="H9447" i="8"/>
  <c r="K9446" i="8"/>
  <c r="H9446" i="8"/>
  <c r="K9445" i="8"/>
  <c r="H9445" i="8"/>
  <c r="K9444" i="8"/>
  <c r="H9444" i="8"/>
  <c r="K9443" i="8"/>
  <c r="H9443" i="8"/>
  <c r="K9442" i="8"/>
  <c r="H9442" i="8"/>
  <c r="I9441" i="8"/>
  <c r="H9441" i="8"/>
  <c r="H9440" i="8"/>
  <c r="K9439" i="8"/>
  <c r="H9439" i="8"/>
  <c r="K9438" i="8"/>
  <c r="H9438" i="8"/>
  <c r="B9434" i="8"/>
  <c r="M9428" i="8"/>
  <c r="K9428" i="8"/>
  <c r="I9428" i="8"/>
  <c r="H9428" i="8"/>
  <c r="M9427" i="8"/>
  <c r="K9427" i="8"/>
  <c r="I9427" i="8"/>
  <c r="H9427" i="8"/>
  <c r="M9426" i="8"/>
  <c r="K9426" i="8"/>
  <c r="I9426" i="8"/>
  <c r="H9426" i="8"/>
  <c r="M9425" i="8"/>
  <c r="K9425" i="8"/>
  <c r="I9425" i="8"/>
  <c r="H9425" i="8"/>
  <c r="L9424" i="8"/>
  <c r="H9424" i="8"/>
  <c r="M9419" i="8"/>
  <c r="M9418" i="8"/>
  <c r="M9417" i="8"/>
  <c r="M9416" i="8"/>
  <c r="M9415" i="8"/>
  <c r="M9410" i="8"/>
  <c r="I9410" i="8"/>
  <c r="H9410" i="8"/>
  <c r="M9409" i="8"/>
  <c r="I9409" i="8"/>
  <c r="H9409" i="8"/>
  <c r="M9408" i="8"/>
  <c r="H9408" i="8"/>
  <c r="M9407" i="8"/>
  <c r="I9407" i="8"/>
  <c r="H9407" i="8"/>
  <c r="H9406" i="8"/>
  <c r="M9401" i="8"/>
  <c r="I9401" i="8"/>
  <c r="H9401" i="8"/>
  <c r="I9400" i="8"/>
  <c r="M9400" i="8" s="1"/>
  <c r="H9400" i="8"/>
  <c r="I9399" i="8"/>
  <c r="M9399" i="8" s="1"/>
  <c r="H9399" i="8"/>
  <c r="I9398" i="8"/>
  <c r="M9398" i="8" s="1"/>
  <c r="H9398" i="8"/>
  <c r="I9397" i="8"/>
  <c r="M9397" i="8" s="1"/>
  <c r="H9397" i="8"/>
  <c r="H9396" i="8"/>
  <c r="I9395" i="8"/>
  <c r="M9395" i="8" s="1"/>
  <c r="H9395" i="8"/>
  <c r="I9394" i="8"/>
  <c r="M9394" i="8" s="1"/>
  <c r="H9394" i="8"/>
  <c r="B9390" i="8"/>
  <c r="M9384" i="8"/>
  <c r="K9384" i="8"/>
  <c r="I9384" i="8"/>
  <c r="H9384" i="8"/>
  <c r="M9383" i="8"/>
  <c r="K9383" i="8"/>
  <c r="I9383" i="8"/>
  <c r="H9383" i="8"/>
  <c r="M9382" i="8"/>
  <c r="K9382" i="8"/>
  <c r="I9382" i="8"/>
  <c r="H9382" i="8"/>
  <c r="M9381" i="8"/>
  <c r="K9381" i="8"/>
  <c r="I9381" i="8"/>
  <c r="H9381" i="8"/>
  <c r="L9380" i="8"/>
  <c r="H9380" i="8"/>
  <c r="M9375" i="8"/>
  <c r="M9374" i="8"/>
  <c r="M9373" i="8"/>
  <c r="M9372" i="8"/>
  <c r="M9371" i="8"/>
  <c r="M9366" i="8"/>
  <c r="I9366" i="8"/>
  <c r="H9366" i="8"/>
  <c r="M9365" i="8"/>
  <c r="I9365" i="8"/>
  <c r="H9365" i="8"/>
  <c r="M9364" i="8"/>
  <c r="I9364" i="8"/>
  <c r="H9364" i="8"/>
  <c r="M9363" i="8"/>
  <c r="I9363" i="8"/>
  <c r="H9363" i="8"/>
  <c r="H9362" i="8"/>
  <c r="M9357" i="8"/>
  <c r="I9357" i="8"/>
  <c r="H9357" i="8"/>
  <c r="M9356" i="8"/>
  <c r="I9356" i="8"/>
  <c r="H9356" i="8"/>
  <c r="M9355" i="8"/>
  <c r="I9355" i="8"/>
  <c r="H9355" i="8"/>
  <c r="M9354" i="8"/>
  <c r="I9354" i="8"/>
  <c r="H9354" i="8"/>
  <c r="I9353" i="8"/>
  <c r="M9353" i="8" s="1"/>
  <c r="H9353" i="8"/>
  <c r="I9352" i="8"/>
  <c r="M9352" i="8" s="1"/>
  <c r="H9352" i="8"/>
  <c r="I9351" i="8"/>
  <c r="M9351" i="8" s="1"/>
  <c r="H9351" i="8"/>
  <c r="I9350" i="8"/>
  <c r="M9350" i="8" s="1"/>
  <c r="H9350" i="8"/>
  <c r="I9349" i="8"/>
  <c r="M9349" i="8" s="1"/>
  <c r="H9349" i="8"/>
  <c r="K9348" i="8"/>
  <c r="H9348" i="8"/>
  <c r="H9347" i="8"/>
  <c r="K9346" i="8"/>
  <c r="H9346" i="8"/>
  <c r="K9345" i="8"/>
  <c r="H9345" i="8"/>
  <c r="B9341" i="8"/>
  <c r="M9335" i="8"/>
  <c r="K9335" i="8"/>
  <c r="I9335" i="8"/>
  <c r="H9335" i="8"/>
  <c r="M9334" i="8"/>
  <c r="K9334" i="8"/>
  <c r="I9334" i="8"/>
  <c r="H9334" i="8"/>
  <c r="M9333" i="8"/>
  <c r="K9333" i="8"/>
  <c r="I9333" i="8"/>
  <c r="H9333" i="8"/>
  <c r="M9332" i="8"/>
  <c r="K9332" i="8"/>
  <c r="I9332" i="8"/>
  <c r="H9332" i="8"/>
  <c r="L9331" i="8"/>
  <c r="H9331" i="8"/>
  <c r="M9326" i="8"/>
  <c r="M9325" i="8"/>
  <c r="M9324" i="8"/>
  <c r="M9317" i="8"/>
  <c r="I9317" i="8"/>
  <c r="H9317" i="8"/>
  <c r="M9316" i="8"/>
  <c r="I9316" i="8"/>
  <c r="H9316" i="8"/>
  <c r="M9315" i="8"/>
  <c r="I9315" i="8"/>
  <c r="H9315" i="8"/>
  <c r="M9314" i="8"/>
  <c r="I9314" i="8"/>
  <c r="H9314" i="8"/>
  <c r="H9313" i="8"/>
  <c r="M9308" i="8"/>
  <c r="I9308" i="8"/>
  <c r="H9308" i="8"/>
  <c r="M9307" i="8"/>
  <c r="I9307" i="8"/>
  <c r="H9307" i="8"/>
  <c r="M9306" i="8"/>
  <c r="I9306" i="8"/>
  <c r="H9306" i="8"/>
  <c r="M9305" i="8"/>
  <c r="I9305" i="8"/>
  <c r="H9305" i="8"/>
  <c r="I9304" i="8"/>
  <c r="M9304" i="8" s="1"/>
  <c r="H9304" i="8"/>
  <c r="I9303" i="8"/>
  <c r="M9303" i="8" s="1"/>
  <c r="H9303" i="8"/>
  <c r="I9302" i="8"/>
  <c r="M9302" i="8" s="1"/>
  <c r="H9302" i="8"/>
  <c r="I9301" i="8"/>
  <c r="M9301" i="8" s="1"/>
  <c r="H9301" i="8"/>
  <c r="I9300" i="8"/>
  <c r="M9300" i="8" s="1"/>
  <c r="H9300" i="8"/>
  <c r="K9299" i="8"/>
  <c r="H9299" i="8"/>
  <c r="H9298" i="8"/>
  <c r="K9297" i="8"/>
  <c r="H9297" i="8"/>
  <c r="K9296" i="8"/>
  <c r="H9296" i="8"/>
  <c r="B9292" i="8"/>
  <c r="M9286" i="8"/>
  <c r="K9286" i="8"/>
  <c r="I9286" i="8"/>
  <c r="H9286" i="8"/>
  <c r="M9285" i="8"/>
  <c r="K9285" i="8"/>
  <c r="I9285" i="8"/>
  <c r="H9285" i="8"/>
  <c r="M9284" i="8"/>
  <c r="K9284" i="8"/>
  <c r="I9284" i="8"/>
  <c r="H9284" i="8"/>
  <c r="M9283" i="8"/>
  <c r="K9283" i="8"/>
  <c r="I9283" i="8"/>
  <c r="H9283" i="8"/>
  <c r="L9282" i="8"/>
  <c r="H9282" i="8"/>
  <c r="M9277" i="8"/>
  <c r="M9276" i="8"/>
  <c r="M9275" i="8"/>
  <c r="M9274" i="8"/>
  <c r="M9268" i="8"/>
  <c r="I9268" i="8"/>
  <c r="H9268" i="8"/>
  <c r="M9267" i="8"/>
  <c r="I9267" i="8"/>
  <c r="H9267" i="8"/>
  <c r="M9266" i="8"/>
  <c r="I9266" i="8"/>
  <c r="H9266" i="8"/>
  <c r="M9265" i="8"/>
  <c r="I9265" i="8"/>
  <c r="H9265" i="8"/>
  <c r="H9264" i="8"/>
  <c r="M9259" i="8"/>
  <c r="I9259" i="8"/>
  <c r="H9259" i="8"/>
  <c r="M9258" i="8"/>
  <c r="I9258" i="8"/>
  <c r="H9258" i="8"/>
  <c r="M9257" i="8"/>
  <c r="I9257" i="8"/>
  <c r="H9257" i="8"/>
  <c r="M9256" i="8"/>
  <c r="I9256" i="8"/>
  <c r="H9256" i="8"/>
  <c r="I9255" i="8"/>
  <c r="M9255" i="8" s="1"/>
  <c r="H9255" i="8"/>
  <c r="I9254" i="8"/>
  <c r="M9254" i="8" s="1"/>
  <c r="H9254" i="8"/>
  <c r="I9253" i="8"/>
  <c r="M9253" i="8" s="1"/>
  <c r="H9253" i="8"/>
  <c r="I9252" i="8"/>
  <c r="M9252" i="8" s="1"/>
  <c r="H9252" i="8"/>
  <c r="I9251" i="8"/>
  <c r="M9251" i="8" s="1"/>
  <c r="H9251" i="8"/>
  <c r="K9250" i="8"/>
  <c r="H9250" i="8"/>
  <c r="H9249" i="8"/>
  <c r="K9248" i="8"/>
  <c r="H9248" i="8"/>
  <c r="K9247" i="8"/>
  <c r="H9247" i="8"/>
  <c r="B9243" i="8"/>
  <c r="M9237" i="8"/>
  <c r="K9237" i="8"/>
  <c r="I9237" i="8"/>
  <c r="H9237" i="8"/>
  <c r="M9236" i="8"/>
  <c r="K9236" i="8"/>
  <c r="I9236" i="8"/>
  <c r="H9236" i="8"/>
  <c r="M9235" i="8"/>
  <c r="K9235" i="8"/>
  <c r="I9235" i="8"/>
  <c r="H9235" i="8"/>
  <c r="M9234" i="8"/>
  <c r="K9234" i="8"/>
  <c r="I9234" i="8"/>
  <c r="H9234" i="8"/>
  <c r="L9233" i="8"/>
  <c r="H9233" i="8"/>
  <c r="M9228" i="8"/>
  <c r="M9227" i="8"/>
  <c r="M9226" i="8"/>
  <c r="M9225" i="8"/>
  <c r="M9219" i="8"/>
  <c r="I9219" i="8"/>
  <c r="H9219" i="8"/>
  <c r="M9218" i="8"/>
  <c r="I9218" i="8"/>
  <c r="H9218" i="8"/>
  <c r="M9217" i="8"/>
  <c r="I9217" i="8"/>
  <c r="H9217" i="8"/>
  <c r="M9216" i="8"/>
  <c r="I9216" i="8"/>
  <c r="H9216" i="8"/>
  <c r="H9215" i="8"/>
  <c r="M9210" i="8"/>
  <c r="I9210" i="8"/>
  <c r="H9210" i="8"/>
  <c r="M9209" i="8"/>
  <c r="I9209" i="8"/>
  <c r="H9209" i="8"/>
  <c r="M9208" i="8"/>
  <c r="I9208" i="8"/>
  <c r="H9208" i="8"/>
  <c r="M9207" i="8"/>
  <c r="I9207" i="8"/>
  <c r="H9207" i="8"/>
  <c r="M9206" i="8"/>
  <c r="I9206" i="8"/>
  <c r="H9206" i="8"/>
  <c r="M9205" i="8"/>
  <c r="I9205" i="8"/>
  <c r="H9205" i="8"/>
  <c r="M9204" i="8"/>
  <c r="I9204" i="8"/>
  <c r="H9204" i="8"/>
  <c r="I9203" i="8"/>
  <c r="M9203" i="8" s="1"/>
  <c r="H9203" i="8"/>
  <c r="B9199" i="8"/>
  <c r="M9193" i="8"/>
  <c r="K9193" i="8"/>
  <c r="I9193" i="8"/>
  <c r="H9193" i="8"/>
  <c r="M9192" i="8"/>
  <c r="K9192" i="8"/>
  <c r="I9192" i="8"/>
  <c r="H9192" i="8"/>
  <c r="M9191" i="8"/>
  <c r="K9191" i="8"/>
  <c r="I9191" i="8"/>
  <c r="H9191" i="8"/>
  <c r="M9190" i="8"/>
  <c r="K9190" i="8"/>
  <c r="I9190" i="8"/>
  <c r="H9190" i="8"/>
  <c r="L9189" i="8"/>
  <c r="H9189" i="8"/>
  <c r="M9184" i="8"/>
  <c r="M9183" i="8"/>
  <c r="M9182" i="8"/>
  <c r="M9175" i="8"/>
  <c r="I9175" i="8"/>
  <c r="H9175" i="8"/>
  <c r="M9174" i="8"/>
  <c r="I9174" i="8"/>
  <c r="H9174" i="8"/>
  <c r="M9173" i="8"/>
  <c r="I9173" i="8"/>
  <c r="H9173" i="8"/>
  <c r="M9172" i="8"/>
  <c r="I9172" i="8"/>
  <c r="H9172" i="8"/>
  <c r="H9171" i="8"/>
  <c r="M9166" i="8"/>
  <c r="I9166" i="8"/>
  <c r="H9166" i="8"/>
  <c r="M9165" i="8"/>
  <c r="I9165" i="8"/>
  <c r="H9165" i="8"/>
  <c r="M9164" i="8"/>
  <c r="I9164" i="8"/>
  <c r="H9164" i="8"/>
  <c r="M9163" i="8"/>
  <c r="I9163" i="8"/>
  <c r="H9163" i="8"/>
  <c r="M9162" i="8"/>
  <c r="I9162" i="8"/>
  <c r="H9162" i="8"/>
  <c r="M9161" i="8"/>
  <c r="I9161" i="8"/>
  <c r="H9161" i="8"/>
  <c r="M9160" i="8"/>
  <c r="I9160" i="8"/>
  <c r="H9160" i="8"/>
  <c r="I9159" i="8"/>
  <c r="M9159" i="8" s="1"/>
  <c r="H9159" i="8"/>
  <c r="B9155" i="8"/>
  <c r="M9149" i="8"/>
  <c r="K9149" i="8"/>
  <c r="I9149" i="8"/>
  <c r="H9149" i="8"/>
  <c r="M9148" i="8"/>
  <c r="K9148" i="8"/>
  <c r="I9148" i="8"/>
  <c r="H9148" i="8"/>
  <c r="M9147" i="8"/>
  <c r="K9147" i="8"/>
  <c r="I9147" i="8"/>
  <c r="H9147" i="8"/>
  <c r="M9146" i="8"/>
  <c r="K9146" i="8"/>
  <c r="I9146" i="8"/>
  <c r="H9146" i="8"/>
  <c r="L9145" i="8"/>
  <c r="H9145" i="8"/>
  <c r="M9140" i="8"/>
  <c r="M9139" i="8"/>
  <c r="M9138" i="8"/>
  <c r="M9137" i="8"/>
  <c r="M9131" i="8"/>
  <c r="I9131" i="8"/>
  <c r="H9131" i="8"/>
  <c r="M9130" i="8"/>
  <c r="I9130" i="8"/>
  <c r="H9130" i="8"/>
  <c r="M9129" i="8"/>
  <c r="I9129" i="8"/>
  <c r="H9129" i="8"/>
  <c r="M9128" i="8"/>
  <c r="I9128" i="8"/>
  <c r="H9128" i="8"/>
  <c r="H9127" i="8"/>
  <c r="M9122" i="8"/>
  <c r="I9122" i="8"/>
  <c r="H9122" i="8"/>
  <c r="M9121" i="8"/>
  <c r="I9121" i="8"/>
  <c r="H9121" i="8"/>
  <c r="M9120" i="8"/>
  <c r="I9120" i="8"/>
  <c r="H9120" i="8"/>
  <c r="M9119" i="8"/>
  <c r="I9119" i="8"/>
  <c r="H9119" i="8"/>
  <c r="M9118" i="8"/>
  <c r="I9118" i="8"/>
  <c r="H9118" i="8"/>
  <c r="M9117" i="8"/>
  <c r="I9117" i="8"/>
  <c r="H9117" i="8"/>
  <c r="M9116" i="8"/>
  <c r="I9116" i="8"/>
  <c r="H9116" i="8"/>
  <c r="I9115" i="8"/>
  <c r="M9115" i="8" s="1"/>
  <c r="H9115" i="8"/>
  <c r="B9111" i="8"/>
  <c r="M9105" i="8"/>
  <c r="K9105" i="8"/>
  <c r="I9105" i="8"/>
  <c r="H9105" i="8"/>
  <c r="M9104" i="8"/>
  <c r="K9104" i="8"/>
  <c r="I9104" i="8"/>
  <c r="H9104" i="8"/>
  <c r="M9103" i="8"/>
  <c r="K9103" i="8"/>
  <c r="I9103" i="8"/>
  <c r="H9103" i="8"/>
  <c r="M9102" i="8"/>
  <c r="K9102" i="8"/>
  <c r="I9102" i="8"/>
  <c r="H9102" i="8"/>
  <c r="L9101" i="8"/>
  <c r="H9101" i="8"/>
  <c r="M9096" i="8"/>
  <c r="M9095" i="8"/>
  <c r="M9094" i="8"/>
  <c r="M9093" i="8"/>
  <c r="M9087" i="8"/>
  <c r="I9087" i="8"/>
  <c r="H9087" i="8"/>
  <c r="M9086" i="8"/>
  <c r="I9086" i="8"/>
  <c r="H9086" i="8"/>
  <c r="M9085" i="8"/>
  <c r="I9085" i="8"/>
  <c r="H9085" i="8"/>
  <c r="M9084" i="8"/>
  <c r="I9084" i="8"/>
  <c r="H9084" i="8"/>
  <c r="H9083" i="8"/>
  <c r="M9078" i="8"/>
  <c r="I9078" i="8"/>
  <c r="H9078" i="8"/>
  <c r="M9077" i="8"/>
  <c r="I9077" i="8"/>
  <c r="H9077" i="8"/>
  <c r="M9076" i="8"/>
  <c r="I9076" i="8"/>
  <c r="H9076" i="8"/>
  <c r="M9075" i="8"/>
  <c r="I9075" i="8"/>
  <c r="H9075" i="8"/>
  <c r="M9074" i="8"/>
  <c r="I9074" i="8"/>
  <c r="H9074" i="8"/>
  <c r="M9073" i="8"/>
  <c r="I9073" i="8"/>
  <c r="H9073" i="8"/>
  <c r="M9072" i="8"/>
  <c r="I9072" i="8"/>
  <c r="H9072" i="8"/>
  <c r="I9071" i="8"/>
  <c r="M9071" i="8" s="1"/>
  <c r="H9071" i="8"/>
  <c r="B9067" i="8"/>
  <c r="M9061" i="8"/>
  <c r="K9061" i="8"/>
  <c r="I9061" i="8"/>
  <c r="H9061" i="8"/>
  <c r="M9060" i="8"/>
  <c r="K9060" i="8"/>
  <c r="I9060" i="8"/>
  <c r="H9060" i="8"/>
  <c r="M9059" i="8"/>
  <c r="K9059" i="8"/>
  <c r="I9059" i="8"/>
  <c r="H9059" i="8"/>
  <c r="M9058" i="8"/>
  <c r="K9058" i="8"/>
  <c r="I9058" i="8"/>
  <c r="H9058" i="8"/>
  <c r="L9057" i="8"/>
  <c r="H9057" i="8"/>
  <c r="M9052" i="8"/>
  <c r="M9051" i="8"/>
  <c r="M9050" i="8"/>
  <c r="M9043" i="8"/>
  <c r="I9043" i="8"/>
  <c r="H9043" i="8"/>
  <c r="M9042" i="8"/>
  <c r="I9042" i="8"/>
  <c r="H9042" i="8"/>
  <c r="M9041" i="8"/>
  <c r="I9041" i="8"/>
  <c r="H9041" i="8"/>
  <c r="M9040" i="8"/>
  <c r="I9040" i="8"/>
  <c r="H9040" i="8"/>
  <c r="H9039" i="8"/>
  <c r="M9034" i="8"/>
  <c r="I9034" i="8"/>
  <c r="H9034" i="8"/>
  <c r="M9033" i="8"/>
  <c r="I9033" i="8"/>
  <c r="H9033" i="8"/>
  <c r="M9032" i="8"/>
  <c r="I9032" i="8"/>
  <c r="H9032" i="8"/>
  <c r="M9031" i="8"/>
  <c r="I9031" i="8"/>
  <c r="H9031" i="8"/>
  <c r="M9030" i="8"/>
  <c r="I9030" i="8"/>
  <c r="H9030" i="8"/>
  <c r="M9029" i="8"/>
  <c r="I9029" i="8"/>
  <c r="H9029" i="8"/>
  <c r="M9028" i="8"/>
  <c r="I9028" i="8"/>
  <c r="H9028" i="8"/>
  <c r="I9027" i="8"/>
  <c r="M9027" i="8" s="1"/>
  <c r="H9027" i="8"/>
  <c r="B9023" i="8"/>
  <c r="M9017" i="8"/>
  <c r="K9017" i="8"/>
  <c r="I9017" i="8"/>
  <c r="H9017" i="8"/>
  <c r="M9016" i="8"/>
  <c r="K9016" i="8"/>
  <c r="I9016" i="8"/>
  <c r="H9016" i="8"/>
  <c r="M9015" i="8"/>
  <c r="K9015" i="8"/>
  <c r="I9015" i="8"/>
  <c r="H9015" i="8"/>
  <c r="M9014" i="8"/>
  <c r="K9014" i="8"/>
  <c r="I9014" i="8"/>
  <c r="H9014" i="8"/>
  <c r="L9013" i="8"/>
  <c r="H9013" i="8"/>
  <c r="M9008" i="8"/>
  <c r="M9007" i="8"/>
  <c r="M9006" i="8"/>
  <c r="M9005" i="8"/>
  <c r="M8999" i="8"/>
  <c r="I8999" i="8"/>
  <c r="H8999" i="8"/>
  <c r="M8998" i="8"/>
  <c r="I8998" i="8"/>
  <c r="H8998" i="8"/>
  <c r="M8997" i="8"/>
  <c r="I8997" i="8"/>
  <c r="H8997" i="8"/>
  <c r="M8996" i="8"/>
  <c r="I8996" i="8"/>
  <c r="H8996" i="8"/>
  <c r="H8995" i="8"/>
  <c r="M8990" i="8"/>
  <c r="I8990" i="8"/>
  <c r="H8990" i="8"/>
  <c r="M8989" i="8"/>
  <c r="I8989" i="8"/>
  <c r="H8989" i="8"/>
  <c r="M8988" i="8"/>
  <c r="I8988" i="8"/>
  <c r="H8988" i="8"/>
  <c r="M8987" i="8"/>
  <c r="I8987" i="8"/>
  <c r="H8987" i="8"/>
  <c r="M8986" i="8"/>
  <c r="I8986" i="8"/>
  <c r="H8986" i="8"/>
  <c r="M8985" i="8"/>
  <c r="I8985" i="8"/>
  <c r="H8985" i="8"/>
  <c r="M8984" i="8"/>
  <c r="I8984" i="8"/>
  <c r="H8984" i="8"/>
  <c r="I8983" i="8"/>
  <c r="M8983" i="8" s="1"/>
  <c r="H8983" i="8"/>
  <c r="B8979" i="8"/>
  <c r="M8973" i="8"/>
  <c r="K8973" i="8"/>
  <c r="I8973" i="8"/>
  <c r="H8973" i="8"/>
  <c r="M8972" i="8"/>
  <c r="K8972" i="8"/>
  <c r="I8972" i="8"/>
  <c r="H8972" i="8"/>
  <c r="M8971" i="8"/>
  <c r="K8971" i="8"/>
  <c r="I8971" i="8"/>
  <c r="H8971" i="8"/>
  <c r="M8970" i="8"/>
  <c r="K8970" i="8"/>
  <c r="I8970" i="8"/>
  <c r="H8970" i="8"/>
  <c r="L8969" i="8"/>
  <c r="H8969" i="8"/>
  <c r="M8964" i="8"/>
  <c r="M8963" i="8"/>
  <c r="M8962" i="8"/>
  <c r="M8961" i="8"/>
  <c r="M8955" i="8"/>
  <c r="I8955" i="8"/>
  <c r="H8955" i="8"/>
  <c r="M8954" i="8"/>
  <c r="I8954" i="8"/>
  <c r="H8954" i="8"/>
  <c r="M8953" i="8"/>
  <c r="I8953" i="8"/>
  <c r="H8953" i="8"/>
  <c r="M8952" i="8"/>
  <c r="I8952" i="8"/>
  <c r="H8952" i="8"/>
  <c r="H8951" i="8"/>
  <c r="M8946" i="8"/>
  <c r="I8946" i="8"/>
  <c r="H8946" i="8"/>
  <c r="M8945" i="8"/>
  <c r="I8945" i="8"/>
  <c r="H8945" i="8"/>
  <c r="M8944" i="8"/>
  <c r="I8944" i="8"/>
  <c r="H8944" i="8"/>
  <c r="M8943" i="8"/>
  <c r="I8943" i="8"/>
  <c r="H8943" i="8"/>
  <c r="M8942" i="8"/>
  <c r="I8942" i="8"/>
  <c r="H8942" i="8"/>
  <c r="M8941" i="8"/>
  <c r="I8941" i="8"/>
  <c r="H8941" i="8"/>
  <c r="M8940" i="8"/>
  <c r="I8940" i="8"/>
  <c r="H8940" i="8"/>
  <c r="I8939" i="8"/>
  <c r="M8939" i="8" s="1"/>
  <c r="H8939" i="8"/>
  <c r="B8935" i="8"/>
  <c r="M8929" i="8"/>
  <c r="K8929" i="8"/>
  <c r="I8929" i="8"/>
  <c r="H8929" i="8"/>
  <c r="M8928" i="8"/>
  <c r="K8928" i="8"/>
  <c r="I8928" i="8"/>
  <c r="H8928" i="8"/>
  <c r="M8927" i="8"/>
  <c r="K8927" i="8"/>
  <c r="I8927" i="8"/>
  <c r="H8927" i="8"/>
  <c r="M8926" i="8"/>
  <c r="K8926" i="8"/>
  <c r="I8926" i="8"/>
  <c r="H8926" i="8"/>
  <c r="L8925" i="8"/>
  <c r="H8925" i="8"/>
  <c r="M8920" i="8"/>
  <c r="M8919" i="8"/>
  <c r="M8918" i="8"/>
  <c r="M8917" i="8"/>
  <c r="M8911" i="8"/>
  <c r="I8911" i="8"/>
  <c r="H8911" i="8"/>
  <c r="M8910" i="8"/>
  <c r="I8910" i="8"/>
  <c r="H8910" i="8"/>
  <c r="M8909" i="8"/>
  <c r="I8909" i="8"/>
  <c r="H8909" i="8"/>
  <c r="M8908" i="8"/>
  <c r="I8908" i="8"/>
  <c r="H8908" i="8"/>
  <c r="H8907" i="8"/>
  <c r="M8902" i="8"/>
  <c r="I8902" i="8"/>
  <c r="H8902" i="8"/>
  <c r="M8901" i="8"/>
  <c r="I8901" i="8"/>
  <c r="H8901" i="8"/>
  <c r="M8900" i="8"/>
  <c r="I8900" i="8"/>
  <c r="H8900" i="8"/>
  <c r="M8899" i="8"/>
  <c r="I8899" i="8"/>
  <c r="H8899" i="8"/>
  <c r="M8898" i="8"/>
  <c r="I8898" i="8"/>
  <c r="H8898" i="8"/>
  <c r="M8897" i="8"/>
  <c r="I8897" i="8"/>
  <c r="H8897" i="8"/>
  <c r="M8896" i="8"/>
  <c r="I8896" i="8"/>
  <c r="H8896" i="8"/>
  <c r="I8895" i="8"/>
  <c r="M8895" i="8" s="1"/>
  <c r="H8895" i="8"/>
  <c r="B8891" i="8"/>
  <c r="M8885" i="8"/>
  <c r="K8885" i="8"/>
  <c r="I8885" i="8"/>
  <c r="H8885" i="8"/>
  <c r="M8884" i="8"/>
  <c r="K8884" i="8"/>
  <c r="I8884" i="8"/>
  <c r="H8884" i="8"/>
  <c r="M8883" i="8"/>
  <c r="K8883" i="8"/>
  <c r="I8883" i="8"/>
  <c r="H8883" i="8"/>
  <c r="M8882" i="8"/>
  <c r="K8882" i="8"/>
  <c r="I8882" i="8"/>
  <c r="H8882" i="8"/>
  <c r="L8881" i="8"/>
  <c r="H8881" i="8"/>
  <c r="M8876" i="8"/>
  <c r="M8875" i="8"/>
  <c r="M8874" i="8"/>
  <c r="M8873" i="8"/>
  <c r="M8867" i="8"/>
  <c r="I8867" i="8"/>
  <c r="H8867" i="8"/>
  <c r="M8866" i="8"/>
  <c r="I8866" i="8"/>
  <c r="H8866" i="8"/>
  <c r="M8865" i="8"/>
  <c r="I8865" i="8"/>
  <c r="H8865" i="8"/>
  <c r="M8864" i="8"/>
  <c r="I8864" i="8"/>
  <c r="H8864" i="8"/>
  <c r="H8863" i="8"/>
  <c r="M8858" i="8"/>
  <c r="I8858" i="8"/>
  <c r="H8858" i="8"/>
  <c r="M8857" i="8"/>
  <c r="I8857" i="8"/>
  <c r="H8857" i="8"/>
  <c r="M8856" i="8"/>
  <c r="I8856" i="8"/>
  <c r="H8856" i="8"/>
  <c r="M8855" i="8"/>
  <c r="I8855" i="8"/>
  <c r="H8855" i="8"/>
  <c r="M8854" i="8"/>
  <c r="I8854" i="8"/>
  <c r="H8854" i="8"/>
  <c r="M8853" i="8"/>
  <c r="I8853" i="8"/>
  <c r="H8853" i="8"/>
  <c r="M8852" i="8"/>
  <c r="I8852" i="8"/>
  <c r="H8852" i="8"/>
  <c r="I8851" i="8"/>
  <c r="M8851" i="8" s="1"/>
  <c r="H8851" i="8"/>
  <c r="B8847" i="8"/>
  <c r="M8841" i="8"/>
  <c r="K8841" i="8"/>
  <c r="I8841" i="8"/>
  <c r="H8841" i="8"/>
  <c r="M8840" i="8"/>
  <c r="K8840" i="8"/>
  <c r="I8840" i="8"/>
  <c r="H8840" i="8"/>
  <c r="M8839" i="8"/>
  <c r="K8839" i="8"/>
  <c r="I8839" i="8"/>
  <c r="H8839" i="8"/>
  <c r="M8838" i="8"/>
  <c r="K8838" i="8"/>
  <c r="I8838" i="8"/>
  <c r="H8838" i="8"/>
  <c r="L8837" i="8"/>
  <c r="H8837" i="8"/>
  <c r="M8832" i="8"/>
  <c r="M8831" i="8"/>
  <c r="M8830" i="8"/>
  <c r="M8829" i="8"/>
  <c r="M8823" i="8"/>
  <c r="I8823" i="8"/>
  <c r="H8823" i="8"/>
  <c r="M8822" i="8"/>
  <c r="I8822" i="8"/>
  <c r="H8822" i="8"/>
  <c r="M8821" i="8"/>
  <c r="I8821" i="8"/>
  <c r="H8821" i="8"/>
  <c r="M8820" i="8"/>
  <c r="I8820" i="8"/>
  <c r="H8820" i="8"/>
  <c r="H8819" i="8"/>
  <c r="M8814" i="8"/>
  <c r="I8814" i="8"/>
  <c r="H8814" i="8"/>
  <c r="M8813" i="8"/>
  <c r="I8813" i="8"/>
  <c r="H8813" i="8"/>
  <c r="M8812" i="8"/>
  <c r="I8812" i="8"/>
  <c r="H8812" i="8"/>
  <c r="M8811" i="8"/>
  <c r="I8811" i="8"/>
  <c r="H8811" i="8"/>
  <c r="M8810" i="8"/>
  <c r="I8810" i="8"/>
  <c r="H8810" i="8"/>
  <c r="M8809" i="8"/>
  <c r="I8809" i="8"/>
  <c r="H8809" i="8"/>
  <c r="M8808" i="8"/>
  <c r="I8808" i="8"/>
  <c r="H8808" i="8"/>
  <c r="I8807" i="8"/>
  <c r="M8807" i="8" s="1"/>
  <c r="H8807" i="8"/>
  <c r="B8803" i="8"/>
  <c r="M8797" i="8"/>
  <c r="K8797" i="8"/>
  <c r="I8797" i="8"/>
  <c r="H8797" i="8"/>
  <c r="M8796" i="8"/>
  <c r="K8796" i="8"/>
  <c r="I8796" i="8"/>
  <c r="H8796" i="8"/>
  <c r="M8795" i="8"/>
  <c r="K8795" i="8"/>
  <c r="I8795" i="8"/>
  <c r="H8795" i="8"/>
  <c r="M8794" i="8"/>
  <c r="K8794" i="8"/>
  <c r="I8794" i="8"/>
  <c r="H8794" i="8"/>
  <c r="L8793" i="8"/>
  <c r="H8793" i="8"/>
  <c r="M8788" i="8"/>
  <c r="M8787" i="8"/>
  <c r="M8786" i="8"/>
  <c r="M8779" i="8"/>
  <c r="I8779" i="8"/>
  <c r="H8779" i="8"/>
  <c r="M8778" i="8"/>
  <c r="I8778" i="8"/>
  <c r="H8778" i="8"/>
  <c r="M8777" i="8"/>
  <c r="I8777" i="8"/>
  <c r="H8777" i="8"/>
  <c r="M8776" i="8"/>
  <c r="I8776" i="8"/>
  <c r="H8776" i="8"/>
  <c r="H8775" i="8"/>
  <c r="M8770" i="8"/>
  <c r="I8770" i="8"/>
  <c r="H8770" i="8"/>
  <c r="M8769" i="8"/>
  <c r="I8769" i="8"/>
  <c r="H8769" i="8"/>
  <c r="M8768" i="8"/>
  <c r="I8768" i="8"/>
  <c r="H8768" i="8"/>
  <c r="M8767" i="8"/>
  <c r="I8767" i="8"/>
  <c r="H8767" i="8"/>
  <c r="M8766" i="8"/>
  <c r="I8766" i="8"/>
  <c r="H8766" i="8"/>
  <c r="M8765" i="8"/>
  <c r="I8765" i="8"/>
  <c r="H8765" i="8"/>
  <c r="M8764" i="8"/>
  <c r="I8764" i="8"/>
  <c r="H8764" i="8"/>
  <c r="I8763" i="8"/>
  <c r="M8763" i="8" s="1"/>
  <c r="H8763" i="8"/>
  <c r="B8759" i="8"/>
  <c r="M8753" i="8"/>
  <c r="K8753" i="8"/>
  <c r="I8753" i="8"/>
  <c r="H8753" i="8"/>
  <c r="M8752" i="8"/>
  <c r="K8752" i="8"/>
  <c r="I8752" i="8"/>
  <c r="H8752" i="8"/>
  <c r="M8751" i="8"/>
  <c r="K8751" i="8"/>
  <c r="I8751" i="8"/>
  <c r="H8751" i="8"/>
  <c r="M8750" i="8"/>
  <c r="K8750" i="8"/>
  <c r="I8750" i="8"/>
  <c r="H8750" i="8"/>
  <c r="L8749" i="8"/>
  <c r="H8749" i="8"/>
  <c r="M8744" i="8"/>
  <c r="M8743" i="8"/>
  <c r="M8742" i="8"/>
  <c r="M8741" i="8"/>
  <c r="M8735" i="8"/>
  <c r="I8735" i="8"/>
  <c r="H8735" i="8"/>
  <c r="M8734" i="8"/>
  <c r="I8734" i="8"/>
  <c r="H8734" i="8"/>
  <c r="M8733" i="8"/>
  <c r="I8733" i="8"/>
  <c r="H8733" i="8"/>
  <c r="M8732" i="8"/>
  <c r="I8732" i="8"/>
  <c r="H8732" i="8"/>
  <c r="H8731" i="8"/>
  <c r="M8726" i="8"/>
  <c r="I8726" i="8"/>
  <c r="H8726" i="8"/>
  <c r="M8725" i="8"/>
  <c r="I8725" i="8"/>
  <c r="H8725" i="8"/>
  <c r="M8724" i="8"/>
  <c r="I8724" i="8"/>
  <c r="H8724" i="8"/>
  <c r="M8723" i="8"/>
  <c r="I8723" i="8"/>
  <c r="H8723" i="8"/>
  <c r="M8722" i="8"/>
  <c r="I8722" i="8"/>
  <c r="H8722" i="8"/>
  <c r="M8721" i="8"/>
  <c r="I8721" i="8"/>
  <c r="H8721" i="8"/>
  <c r="M8720" i="8"/>
  <c r="I8720" i="8"/>
  <c r="H8720" i="8"/>
  <c r="I8719" i="8"/>
  <c r="M8719" i="8" s="1"/>
  <c r="H8719" i="8"/>
  <c r="B8715" i="8"/>
  <c r="M8709" i="8"/>
  <c r="K8709" i="8"/>
  <c r="I8709" i="8"/>
  <c r="H8709" i="8"/>
  <c r="M8708" i="8"/>
  <c r="K8708" i="8"/>
  <c r="I8708" i="8"/>
  <c r="H8708" i="8"/>
  <c r="M8707" i="8"/>
  <c r="K8707" i="8"/>
  <c r="I8707" i="8"/>
  <c r="H8707" i="8"/>
  <c r="M8706" i="8"/>
  <c r="K8706" i="8"/>
  <c r="I8706" i="8"/>
  <c r="H8706" i="8"/>
  <c r="L8705" i="8"/>
  <c r="H8705" i="8"/>
  <c r="M8700" i="8"/>
  <c r="M8699" i="8"/>
  <c r="M8698" i="8"/>
  <c r="M8697" i="8"/>
  <c r="M8691" i="8"/>
  <c r="I8691" i="8"/>
  <c r="H8691" i="8"/>
  <c r="M8690" i="8"/>
  <c r="I8690" i="8"/>
  <c r="H8690" i="8"/>
  <c r="M8689" i="8"/>
  <c r="I8689" i="8"/>
  <c r="H8689" i="8"/>
  <c r="M8688" i="8"/>
  <c r="I8688" i="8"/>
  <c r="H8688" i="8"/>
  <c r="H8687" i="8"/>
  <c r="M8682" i="8"/>
  <c r="I8682" i="8"/>
  <c r="H8682" i="8"/>
  <c r="M8681" i="8"/>
  <c r="I8681" i="8"/>
  <c r="H8681" i="8"/>
  <c r="M8680" i="8"/>
  <c r="I8680" i="8"/>
  <c r="H8680" i="8"/>
  <c r="M8679" i="8"/>
  <c r="I8679" i="8"/>
  <c r="H8679" i="8"/>
  <c r="M8678" i="8"/>
  <c r="I8678" i="8"/>
  <c r="H8678" i="8"/>
  <c r="M8677" i="8"/>
  <c r="I8677" i="8"/>
  <c r="H8677" i="8"/>
  <c r="M8676" i="8"/>
  <c r="I8676" i="8"/>
  <c r="H8676" i="8"/>
  <c r="I8675" i="8"/>
  <c r="M8675" i="8" s="1"/>
  <c r="H8675" i="8"/>
  <c r="B8671" i="8"/>
  <c r="M8665" i="8"/>
  <c r="K8665" i="8"/>
  <c r="I8665" i="8"/>
  <c r="H8665" i="8"/>
  <c r="M8664" i="8"/>
  <c r="K8664" i="8"/>
  <c r="I8664" i="8"/>
  <c r="H8664" i="8"/>
  <c r="M8663" i="8"/>
  <c r="K8663" i="8"/>
  <c r="I8663" i="8"/>
  <c r="H8663" i="8"/>
  <c r="M8662" i="8"/>
  <c r="K8662" i="8"/>
  <c r="I8662" i="8"/>
  <c r="H8662" i="8"/>
  <c r="L8661" i="8"/>
  <c r="H8661" i="8"/>
  <c r="M8656" i="8"/>
  <c r="M8655" i="8"/>
  <c r="M8654" i="8"/>
  <c r="M8653" i="8"/>
  <c r="M8647" i="8"/>
  <c r="I8647" i="8"/>
  <c r="H8647" i="8"/>
  <c r="M8646" i="8"/>
  <c r="I8646" i="8"/>
  <c r="H8646" i="8"/>
  <c r="M8645" i="8"/>
  <c r="I8645" i="8"/>
  <c r="H8645" i="8"/>
  <c r="M8644" i="8"/>
  <c r="I8644" i="8"/>
  <c r="H8644" i="8"/>
  <c r="H8643" i="8"/>
  <c r="M8638" i="8"/>
  <c r="I8638" i="8"/>
  <c r="H8638" i="8"/>
  <c r="M8637" i="8"/>
  <c r="I8637" i="8"/>
  <c r="H8637" i="8"/>
  <c r="M8636" i="8"/>
  <c r="I8636" i="8"/>
  <c r="H8636" i="8"/>
  <c r="M8635" i="8"/>
  <c r="I8635" i="8"/>
  <c r="H8635" i="8"/>
  <c r="M8634" i="8"/>
  <c r="I8634" i="8"/>
  <c r="H8634" i="8"/>
  <c r="M8633" i="8"/>
  <c r="I8633" i="8"/>
  <c r="H8633" i="8"/>
  <c r="M8632" i="8"/>
  <c r="I8632" i="8"/>
  <c r="H8632" i="8"/>
  <c r="I8631" i="8"/>
  <c r="M8631" i="8" s="1"/>
  <c r="H8631" i="8"/>
  <c r="B8627" i="8"/>
  <c r="M8621" i="8"/>
  <c r="K8621" i="8"/>
  <c r="I8621" i="8"/>
  <c r="H8621" i="8"/>
  <c r="M8620" i="8"/>
  <c r="K8620" i="8"/>
  <c r="I8620" i="8"/>
  <c r="H8620" i="8"/>
  <c r="M8619" i="8"/>
  <c r="K8619" i="8"/>
  <c r="I8619" i="8"/>
  <c r="H8619" i="8"/>
  <c r="M8618" i="8"/>
  <c r="K8618" i="8"/>
  <c r="I8618" i="8"/>
  <c r="H8618" i="8"/>
  <c r="L8617" i="8"/>
  <c r="H8617" i="8"/>
  <c r="M8612" i="8"/>
  <c r="M8611" i="8"/>
  <c r="M8610" i="8"/>
  <c r="M8609" i="8"/>
  <c r="M8603" i="8"/>
  <c r="I8603" i="8"/>
  <c r="H8603" i="8"/>
  <c r="M8602" i="8"/>
  <c r="I8602" i="8"/>
  <c r="H8602" i="8"/>
  <c r="M8601" i="8"/>
  <c r="I8601" i="8"/>
  <c r="H8601" i="8"/>
  <c r="M8600" i="8"/>
  <c r="I8600" i="8"/>
  <c r="H8600" i="8"/>
  <c r="H8599" i="8"/>
  <c r="M8594" i="8"/>
  <c r="I8594" i="8"/>
  <c r="H8594" i="8"/>
  <c r="M8593" i="8"/>
  <c r="I8593" i="8"/>
  <c r="H8593" i="8"/>
  <c r="M8592" i="8"/>
  <c r="I8592" i="8"/>
  <c r="H8592" i="8"/>
  <c r="M8591" i="8"/>
  <c r="I8591" i="8"/>
  <c r="H8591" i="8"/>
  <c r="M8590" i="8"/>
  <c r="I8590" i="8"/>
  <c r="H8590" i="8"/>
  <c r="M8589" i="8"/>
  <c r="I8589" i="8"/>
  <c r="H8589" i="8"/>
  <c r="M8588" i="8"/>
  <c r="I8588" i="8"/>
  <c r="H8588" i="8"/>
  <c r="I8587" i="8"/>
  <c r="M8587" i="8" s="1"/>
  <c r="H8587" i="8"/>
  <c r="B8583" i="8"/>
  <c r="M8577" i="8"/>
  <c r="K8577" i="8"/>
  <c r="I8577" i="8"/>
  <c r="H8577" i="8"/>
  <c r="M8576" i="8"/>
  <c r="K8576" i="8"/>
  <c r="I8576" i="8"/>
  <c r="H8576" i="8"/>
  <c r="M8575" i="8"/>
  <c r="K8575" i="8"/>
  <c r="I8575" i="8"/>
  <c r="H8575" i="8"/>
  <c r="M8574" i="8"/>
  <c r="K8574" i="8"/>
  <c r="I8574" i="8"/>
  <c r="H8574" i="8"/>
  <c r="L8573" i="8"/>
  <c r="H8573" i="8"/>
  <c r="M8568" i="8"/>
  <c r="M8567" i="8"/>
  <c r="M8566" i="8"/>
  <c r="K8564" i="8"/>
  <c r="M8559" i="8"/>
  <c r="I8559" i="8"/>
  <c r="H8559" i="8"/>
  <c r="M8558" i="8"/>
  <c r="I8558" i="8"/>
  <c r="H8558" i="8"/>
  <c r="M8557" i="8"/>
  <c r="I8557" i="8"/>
  <c r="H8557" i="8"/>
  <c r="M8556" i="8"/>
  <c r="I8556" i="8"/>
  <c r="H8556" i="8"/>
  <c r="H8555" i="8"/>
  <c r="M8550" i="8"/>
  <c r="I8550" i="8"/>
  <c r="H8550" i="8"/>
  <c r="M8549" i="8"/>
  <c r="I8549" i="8"/>
  <c r="H8549" i="8"/>
  <c r="M8548" i="8"/>
  <c r="I8548" i="8"/>
  <c r="H8548" i="8"/>
  <c r="I8547" i="8"/>
  <c r="M8547" i="8" s="1"/>
  <c r="H8547" i="8"/>
  <c r="H8546" i="8"/>
  <c r="B8542" i="8"/>
  <c r="M8536" i="8"/>
  <c r="K8536" i="8"/>
  <c r="I8536" i="8"/>
  <c r="H8536" i="8"/>
  <c r="M8535" i="8"/>
  <c r="K8535" i="8"/>
  <c r="I8535" i="8"/>
  <c r="H8535" i="8"/>
  <c r="M8534" i="8"/>
  <c r="K8534" i="8"/>
  <c r="I8534" i="8"/>
  <c r="H8534" i="8"/>
  <c r="M8533" i="8"/>
  <c r="K8533" i="8"/>
  <c r="I8533" i="8"/>
  <c r="H8533" i="8"/>
  <c r="H8532" i="8"/>
  <c r="M8527" i="8"/>
  <c r="M8526" i="8"/>
  <c r="M8525" i="8"/>
  <c r="K8524" i="8"/>
  <c r="M8518" i="8"/>
  <c r="I8518" i="8"/>
  <c r="H8518" i="8"/>
  <c r="K8517" i="8"/>
  <c r="I8517" i="8"/>
  <c r="H8517" i="8"/>
  <c r="K8516" i="8"/>
  <c r="I8516" i="8"/>
  <c r="H8516" i="8"/>
  <c r="K8515" i="8"/>
  <c r="I8515" i="8"/>
  <c r="M8515" i="8" s="1"/>
  <c r="H8515" i="8"/>
  <c r="H8514" i="8"/>
  <c r="M8509" i="8"/>
  <c r="I8509" i="8"/>
  <c r="H8509" i="8"/>
  <c r="M8508" i="8"/>
  <c r="I8508" i="8"/>
  <c r="H8508" i="8"/>
  <c r="M8507" i="8"/>
  <c r="I8507" i="8"/>
  <c r="H8507" i="8"/>
  <c r="I8506" i="8"/>
  <c r="M8506" i="8" s="1"/>
  <c r="H8506" i="8"/>
  <c r="I8505" i="8"/>
  <c r="M8505" i="8" s="1"/>
  <c r="H8505" i="8"/>
  <c r="B8501" i="8"/>
  <c r="M8495" i="8"/>
  <c r="K8495" i="8"/>
  <c r="I8495" i="8"/>
  <c r="H8495" i="8"/>
  <c r="M8494" i="8"/>
  <c r="K8494" i="8"/>
  <c r="I8494" i="8"/>
  <c r="H8494" i="8"/>
  <c r="M8493" i="8"/>
  <c r="K8493" i="8"/>
  <c r="I8493" i="8"/>
  <c r="H8493" i="8"/>
  <c r="M8492" i="8"/>
  <c r="K8492" i="8"/>
  <c r="I8492" i="8"/>
  <c r="H8492" i="8"/>
  <c r="M8491" i="8"/>
  <c r="K8491" i="8"/>
  <c r="I8491" i="8"/>
  <c r="H8491" i="8"/>
  <c r="M8486" i="8"/>
  <c r="M8485" i="8"/>
  <c r="M8484" i="8"/>
  <c r="M8483" i="8"/>
  <c r="M8477" i="8"/>
  <c r="I8477" i="8"/>
  <c r="H8477" i="8"/>
  <c r="M8476" i="8"/>
  <c r="I8476" i="8"/>
  <c r="H8476" i="8"/>
  <c r="M8475" i="8"/>
  <c r="I8475" i="8"/>
  <c r="H8475" i="8"/>
  <c r="M8474" i="8"/>
  <c r="I8474" i="8"/>
  <c r="H8474" i="8"/>
  <c r="I8473" i="8"/>
  <c r="H8473" i="8"/>
  <c r="M8468" i="8"/>
  <c r="I8468" i="8"/>
  <c r="H8468" i="8"/>
  <c r="M8467" i="8"/>
  <c r="I8467" i="8"/>
  <c r="H8467" i="8"/>
  <c r="M8466" i="8"/>
  <c r="I8466" i="8"/>
  <c r="H8466" i="8"/>
  <c r="M8465" i="8"/>
  <c r="I8465" i="8"/>
  <c r="H8465" i="8"/>
  <c r="M8464" i="8"/>
  <c r="I8464" i="8"/>
  <c r="H8464" i="8"/>
  <c r="M8463" i="8"/>
  <c r="I8463" i="8"/>
  <c r="H8463" i="8"/>
  <c r="B8459" i="8"/>
  <c r="M8453" i="8"/>
  <c r="I8453" i="8"/>
  <c r="H8453" i="8"/>
  <c r="M8452" i="8"/>
  <c r="I8452" i="8"/>
  <c r="H8452" i="8"/>
  <c r="M8451" i="8"/>
  <c r="I8451" i="8"/>
  <c r="H8451" i="8"/>
  <c r="M8450" i="8"/>
  <c r="I8450" i="8"/>
  <c r="H8450" i="8"/>
  <c r="M8444" i="8"/>
  <c r="M8443" i="8"/>
  <c r="M8442" i="8"/>
  <c r="I8432" i="8"/>
  <c r="K8428" i="8"/>
  <c r="I8425" i="8"/>
  <c r="K8419" i="8"/>
  <c r="K8415" i="8"/>
  <c r="K8426" i="8" s="1"/>
  <c r="K8427" i="8" s="1"/>
  <c r="M8407" i="8"/>
  <c r="I8407" i="8"/>
  <c r="H8407" i="8"/>
  <c r="M8406" i="8"/>
  <c r="I8406" i="8"/>
  <c r="H8406" i="8"/>
  <c r="M8405" i="8"/>
  <c r="I8405" i="8"/>
  <c r="H8405" i="8"/>
  <c r="M8404" i="8"/>
  <c r="I8404" i="8"/>
  <c r="H8404" i="8"/>
  <c r="M8403" i="8"/>
  <c r="I8403" i="8"/>
  <c r="H8403" i="8"/>
  <c r="B8396" i="8"/>
  <c r="M8390" i="8"/>
  <c r="K8390" i="8"/>
  <c r="I8390" i="8"/>
  <c r="H8390" i="8"/>
  <c r="M8389" i="8"/>
  <c r="K8389" i="8"/>
  <c r="I8389" i="8"/>
  <c r="H8389" i="8"/>
  <c r="M8388" i="8"/>
  <c r="K8388" i="8"/>
  <c r="I8388" i="8"/>
  <c r="H8388" i="8"/>
  <c r="M8387" i="8"/>
  <c r="K8387" i="8"/>
  <c r="I8387" i="8"/>
  <c r="H8387" i="8"/>
  <c r="L8386" i="8"/>
  <c r="I8386" i="8"/>
  <c r="H8386" i="8"/>
  <c r="M8381" i="8"/>
  <c r="M8380" i="8"/>
  <c r="M8373" i="8"/>
  <c r="I8373" i="8"/>
  <c r="H8373" i="8"/>
  <c r="M8372" i="8"/>
  <c r="I8372" i="8"/>
  <c r="H8372" i="8"/>
  <c r="M8371" i="8"/>
  <c r="I8371" i="8"/>
  <c r="H8371" i="8"/>
  <c r="M8370" i="8"/>
  <c r="I8370" i="8"/>
  <c r="H8370" i="8"/>
  <c r="K8369" i="8"/>
  <c r="I8369" i="8"/>
  <c r="H8369" i="8"/>
  <c r="M8364" i="8"/>
  <c r="I8364" i="8"/>
  <c r="H8364" i="8"/>
  <c r="M8363" i="8"/>
  <c r="I8363" i="8"/>
  <c r="H8363" i="8"/>
  <c r="I8362" i="8"/>
  <c r="M8362" i="8" s="1"/>
  <c r="H8362" i="8"/>
  <c r="I8361" i="8"/>
  <c r="M8361" i="8" s="1"/>
  <c r="H8361" i="8"/>
  <c r="I8360" i="8"/>
  <c r="M8360" i="8" s="1"/>
  <c r="H8360" i="8"/>
  <c r="B8356" i="8"/>
  <c r="M8350" i="8"/>
  <c r="K8350" i="8"/>
  <c r="I8350" i="8"/>
  <c r="H8350" i="8"/>
  <c r="M8349" i="8"/>
  <c r="K8349" i="8"/>
  <c r="I8349" i="8"/>
  <c r="H8349" i="8"/>
  <c r="M8348" i="8"/>
  <c r="K8348" i="8"/>
  <c r="I8348" i="8"/>
  <c r="H8348" i="8"/>
  <c r="M8347" i="8"/>
  <c r="K8347" i="8"/>
  <c r="I8347" i="8"/>
  <c r="H8347" i="8"/>
  <c r="M8346" i="8"/>
  <c r="K8346" i="8"/>
  <c r="I8346" i="8"/>
  <c r="H8346" i="8"/>
  <c r="M8341" i="8"/>
  <c r="M8340" i="8"/>
  <c r="M8339" i="8"/>
  <c r="M8338" i="8"/>
  <c r="M8337" i="8"/>
  <c r="M8332" i="8"/>
  <c r="I8332" i="8"/>
  <c r="H8332" i="8"/>
  <c r="M8331" i="8"/>
  <c r="I8331" i="8"/>
  <c r="H8331" i="8"/>
  <c r="M8330" i="8"/>
  <c r="I8330" i="8"/>
  <c r="H8330" i="8"/>
  <c r="M8329" i="8"/>
  <c r="I8329" i="8"/>
  <c r="H8329" i="8"/>
  <c r="M8328" i="8"/>
  <c r="H8328" i="8"/>
  <c r="M8323" i="8"/>
  <c r="I8323" i="8"/>
  <c r="H8323" i="8"/>
  <c r="M8322" i="8"/>
  <c r="I8322" i="8"/>
  <c r="H8322" i="8"/>
  <c r="K8321" i="8"/>
  <c r="H8321" i="8"/>
  <c r="H8320" i="8"/>
  <c r="H8319" i="8"/>
  <c r="H8318" i="8"/>
  <c r="H8317" i="8"/>
  <c r="H8316" i="8"/>
  <c r="H8315" i="8"/>
  <c r="B8311" i="8"/>
  <c r="M8305" i="8"/>
  <c r="K8305" i="8"/>
  <c r="I8305" i="8"/>
  <c r="H8305" i="8"/>
  <c r="M8304" i="8"/>
  <c r="K8304" i="8"/>
  <c r="I8304" i="8"/>
  <c r="H8304" i="8"/>
  <c r="M8303" i="8"/>
  <c r="K8303" i="8"/>
  <c r="I8303" i="8"/>
  <c r="H8303" i="8"/>
  <c r="M8302" i="8"/>
  <c r="K8302" i="8"/>
  <c r="I8302" i="8"/>
  <c r="H8302" i="8"/>
  <c r="H8301" i="8"/>
  <c r="M8296" i="8"/>
  <c r="M8295" i="8"/>
  <c r="M8294" i="8"/>
  <c r="M8287" i="8"/>
  <c r="I8287" i="8"/>
  <c r="H8287" i="8"/>
  <c r="M8286" i="8"/>
  <c r="I8286" i="8"/>
  <c r="H8286" i="8"/>
  <c r="M8285" i="8"/>
  <c r="I8285" i="8"/>
  <c r="H8285" i="8"/>
  <c r="M8284" i="8"/>
  <c r="I8284" i="8"/>
  <c r="H8284" i="8"/>
  <c r="H8283" i="8"/>
  <c r="M8278" i="8"/>
  <c r="I8278" i="8"/>
  <c r="H8278" i="8"/>
  <c r="M8277" i="8"/>
  <c r="I8277" i="8"/>
  <c r="H8277" i="8"/>
  <c r="M8276" i="8"/>
  <c r="I8276" i="8"/>
  <c r="H8276" i="8"/>
  <c r="M8275" i="8"/>
  <c r="I8275" i="8"/>
  <c r="H8275" i="8"/>
  <c r="I8274" i="8"/>
  <c r="M8274" i="8" s="1"/>
  <c r="H8274" i="8"/>
  <c r="I8273" i="8"/>
  <c r="M8273" i="8" s="1"/>
  <c r="H8273" i="8"/>
  <c r="B8269" i="8"/>
  <c r="M8263" i="8"/>
  <c r="K8263" i="8"/>
  <c r="I8263" i="8"/>
  <c r="H8263" i="8"/>
  <c r="M8262" i="8"/>
  <c r="K8262" i="8"/>
  <c r="I8262" i="8"/>
  <c r="H8262" i="8"/>
  <c r="M8261" i="8"/>
  <c r="K8261" i="8"/>
  <c r="I8261" i="8"/>
  <c r="H8261" i="8"/>
  <c r="M8260" i="8"/>
  <c r="K8260" i="8"/>
  <c r="I8260" i="8"/>
  <c r="H8260" i="8"/>
  <c r="H8259" i="8"/>
  <c r="M8254" i="8"/>
  <c r="M8253" i="8"/>
  <c r="M8252" i="8"/>
  <c r="M8251" i="8"/>
  <c r="M8245" i="8"/>
  <c r="I8245" i="8"/>
  <c r="H8245" i="8"/>
  <c r="M8244" i="8"/>
  <c r="I8244" i="8"/>
  <c r="H8244" i="8"/>
  <c r="M8243" i="8"/>
  <c r="I8243" i="8"/>
  <c r="H8243" i="8"/>
  <c r="M8242" i="8"/>
  <c r="I8242" i="8"/>
  <c r="H8242" i="8"/>
  <c r="H8241" i="8"/>
  <c r="M8236" i="8"/>
  <c r="I8236" i="8"/>
  <c r="H8236" i="8"/>
  <c r="M8235" i="8"/>
  <c r="I8235" i="8"/>
  <c r="H8235" i="8"/>
  <c r="M8234" i="8"/>
  <c r="I8234" i="8"/>
  <c r="H8234" i="8"/>
  <c r="M8233" i="8"/>
  <c r="I8233" i="8"/>
  <c r="H8233" i="8"/>
  <c r="M8232" i="8"/>
  <c r="I8232" i="8"/>
  <c r="H8232" i="8"/>
  <c r="H8231" i="8"/>
  <c r="B8227" i="8"/>
  <c r="M8221" i="8"/>
  <c r="K8221" i="8"/>
  <c r="I8221" i="8"/>
  <c r="H8221" i="8"/>
  <c r="M8220" i="8"/>
  <c r="K8220" i="8"/>
  <c r="I8220" i="8"/>
  <c r="H8220" i="8"/>
  <c r="M8219" i="8"/>
  <c r="K8219" i="8"/>
  <c r="I8219" i="8"/>
  <c r="H8219" i="8"/>
  <c r="M8218" i="8"/>
  <c r="K8218" i="8"/>
  <c r="I8218" i="8"/>
  <c r="H8218" i="8"/>
  <c r="H8217" i="8"/>
  <c r="M8212" i="8"/>
  <c r="M8211" i="8"/>
  <c r="M8210" i="8"/>
  <c r="M8203" i="8"/>
  <c r="I8203" i="8"/>
  <c r="H8203" i="8"/>
  <c r="M8202" i="8"/>
  <c r="I8202" i="8"/>
  <c r="H8202" i="8"/>
  <c r="M8201" i="8"/>
  <c r="I8201" i="8"/>
  <c r="H8201" i="8"/>
  <c r="M8200" i="8"/>
  <c r="I8200" i="8"/>
  <c r="H8200" i="8"/>
  <c r="H8199" i="8"/>
  <c r="M8194" i="8"/>
  <c r="I8194" i="8"/>
  <c r="H8194" i="8"/>
  <c r="M8193" i="8"/>
  <c r="I8193" i="8"/>
  <c r="H8193" i="8"/>
  <c r="M8192" i="8"/>
  <c r="I8192" i="8"/>
  <c r="H8192" i="8"/>
  <c r="M8191" i="8"/>
  <c r="I8191" i="8"/>
  <c r="H8191" i="8"/>
  <c r="M8190" i="8"/>
  <c r="I8190" i="8"/>
  <c r="H8190" i="8"/>
  <c r="I8189" i="8"/>
  <c r="M8189" i="8" s="1"/>
  <c r="H8189" i="8"/>
  <c r="B8185" i="8"/>
  <c r="M8179" i="8"/>
  <c r="K8179" i="8"/>
  <c r="I8179" i="8"/>
  <c r="H8179" i="8"/>
  <c r="M8178" i="8"/>
  <c r="K8178" i="8"/>
  <c r="I8178" i="8"/>
  <c r="H8178" i="8"/>
  <c r="M8177" i="8"/>
  <c r="K8177" i="8"/>
  <c r="I8177" i="8"/>
  <c r="H8177" i="8"/>
  <c r="M8176" i="8"/>
  <c r="K8176" i="8"/>
  <c r="I8176" i="8"/>
  <c r="H8176" i="8"/>
  <c r="H8175" i="8"/>
  <c r="M8170" i="8"/>
  <c r="M8169" i="8"/>
  <c r="M8168" i="8"/>
  <c r="M8167" i="8"/>
  <c r="M8161" i="8"/>
  <c r="I8161" i="8"/>
  <c r="H8161" i="8"/>
  <c r="M8160" i="8"/>
  <c r="I8160" i="8"/>
  <c r="H8160" i="8"/>
  <c r="M8159" i="8"/>
  <c r="I8159" i="8"/>
  <c r="H8159" i="8"/>
  <c r="M8158" i="8"/>
  <c r="I8158" i="8"/>
  <c r="H8158" i="8"/>
  <c r="H8157" i="8"/>
  <c r="M8152" i="8"/>
  <c r="I8152" i="8"/>
  <c r="H8152" i="8"/>
  <c r="M8151" i="8"/>
  <c r="I8151" i="8"/>
  <c r="H8151" i="8"/>
  <c r="M8150" i="8"/>
  <c r="I8150" i="8"/>
  <c r="H8150" i="8"/>
  <c r="M8149" i="8"/>
  <c r="I8149" i="8"/>
  <c r="H8149" i="8"/>
  <c r="M8148" i="8"/>
  <c r="I8148" i="8"/>
  <c r="H8148" i="8"/>
  <c r="I8147" i="8"/>
  <c r="M8147" i="8" s="1"/>
  <c r="H8147" i="8"/>
  <c r="B8143" i="8"/>
  <c r="M8137" i="8"/>
  <c r="K8137" i="8"/>
  <c r="I8137" i="8"/>
  <c r="H8137" i="8"/>
  <c r="M8136" i="8"/>
  <c r="K8136" i="8"/>
  <c r="I8136" i="8"/>
  <c r="H8136" i="8"/>
  <c r="M8135" i="8"/>
  <c r="K8135" i="8"/>
  <c r="I8135" i="8"/>
  <c r="H8135" i="8"/>
  <c r="M8134" i="8"/>
  <c r="K8134" i="8"/>
  <c r="I8134" i="8"/>
  <c r="H8134" i="8"/>
  <c r="H8133" i="8"/>
  <c r="M8128" i="8"/>
  <c r="M8127" i="8"/>
  <c r="M8126" i="8"/>
  <c r="M8125" i="8"/>
  <c r="M8119" i="8"/>
  <c r="I8119" i="8"/>
  <c r="H8119" i="8"/>
  <c r="M8118" i="8"/>
  <c r="I8118" i="8"/>
  <c r="H8118" i="8"/>
  <c r="M8117" i="8"/>
  <c r="I8117" i="8"/>
  <c r="H8117" i="8"/>
  <c r="M8116" i="8"/>
  <c r="I8116" i="8"/>
  <c r="H8116" i="8"/>
  <c r="H8115" i="8"/>
  <c r="M8110" i="8"/>
  <c r="I8110" i="8"/>
  <c r="H8110" i="8"/>
  <c r="M8109" i="8"/>
  <c r="I8109" i="8"/>
  <c r="H8109" i="8"/>
  <c r="M8108" i="8"/>
  <c r="I8108" i="8"/>
  <c r="H8108" i="8"/>
  <c r="M8107" i="8"/>
  <c r="I8107" i="8"/>
  <c r="H8107" i="8"/>
  <c r="M8106" i="8"/>
  <c r="I8106" i="8"/>
  <c r="H8106" i="8"/>
  <c r="I8105" i="8"/>
  <c r="M8105" i="8" s="1"/>
  <c r="H8105" i="8"/>
  <c r="B8101" i="8"/>
  <c r="M8095" i="8"/>
  <c r="K8095" i="8"/>
  <c r="I8095" i="8"/>
  <c r="H8095" i="8"/>
  <c r="M8094" i="8"/>
  <c r="K8094" i="8"/>
  <c r="I8094" i="8"/>
  <c r="H8094" i="8"/>
  <c r="M8093" i="8"/>
  <c r="K8093" i="8"/>
  <c r="I8093" i="8"/>
  <c r="H8093" i="8"/>
  <c r="M8092" i="8"/>
  <c r="K8092" i="8"/>
  <c r="I8092" i="8"/>
  <c r="H8092" i="8"/>
  <c r="H8091" i="8"/>
  <c r="M8086" i="8"/>
  <c r="M8085" i="8"/>
  <c r="M8084" i="8"/>
  <c r="M8077" i="8"/>
  <c r="I8077" i="8"/>
  <c r="H8077" i="8"/>
  <c r="M8076" i="8"/>
  <c r="I8076" i="8"/>
  <c r="H8076" i="8"/>
  <c r="M8075" i="8"/>
  <c r="I8075" i="8"/>
  <c r="H8075" i="8"/>
  <c r="M8074" i="8"/>
  <c r="I8074" i="8"/>
  <c r="H8074" i="8"/>
  <c r="H8073" i="8"/>
  <c r="M8068" i="8"/>
  <c r="I8068" i="8"/>
  <c r="H8068" i="8"/>
  <c r="M8067" i="8"/>
  <c r="I8067" i="8"/>
  <c r="H8067" i="8"/>
  <c r="M8066" i="8"/>
  <c r="I8066" i="8"/>
  <c r="H8066" i="8"/>
  <c r="M8065" i="8"/>
  <c r="I8065" i="8"/>
  <c r="H8065" i="8"/>
  <c r="M8064" i="8"/>
  <c r="I8064" i="8"/>
  <c r="H8064" i="8"/>
  <c r="I8063" i="8"/>
  <c r="M8063" i="8" s="1"/>
  <c r="H8063" i="8"/>
  <c r="B8059" i="8"/>
  <c r="M8053" i="8"/>
  <c r="K8053" i="8"/>
  <c r="I8053" i="8"/>
  <c r="H8053" i="8"/>
  <c r="M8052" i="8"/>
  <c r="K8052" i="8"/>
  <c r="I8052" i="8"/>
  <c r="H8052" i="8"/>
  <c r="M8051" i="8"/>
  <c r="K8051" i="8"/>
  <c r="I8051" i="8"/>
  <c r="H8051" i="8"/>
  <c r="M8050" i="8"/>
  <c r="K8050" i="8"/>
  <c r="I8050" i="8"/>
  <c r="H8050" i="8"/>
  <c r="H8049" i="8"/>
  <c r="M8044" i="8"/>
  <c r="M8043" i="8"/>
  <c r="M8042" i="8"/>
  <c r="M8035" i="8"/>
  <c r="I8035" i="8"/>
  <c r="H8035" i="8"/>
  <c r="M8034" i="8"/>
  <c r="I8034" i="8"/>
  <c r="H8034" i="8"/>
  <c r="I8033" i="8"/>
  <c r="M8033" i="8" s="1"/>
  <c r="H8033" i="8"/>
  <c r="I8032" i="8"/>
  <c r="M8032" i="8" s="1"/>
  <c r="H8032" i="8"/>
  <c r="H8031" i="8"/>
  <c r="M8026" i="8"/>
  <c r="I8026" i="8"/>
  <c r="H8026" i="8"/>
  <c r="M8025" i="8"/>
  <c r="I8025" i="8"/>
  <c r="H8025" i="8"/>
  <c r="M8024" i="8"/>
  <c r="I8024" i="8"/>
  <c r="H8024" i="8"/>
  <c r="M8023" i="8"/>
  <c r="I8023" i="8"/>
  <c r="H8023" i="8"/>
  <c r="M8022" i="8"/>
  <c r="I8022" i="8"/>
  <c r="H8022" i="8"/>
  <c r="I8021" i="8"/>
  <c r="M8021" i="8" s="1"/>
  <c r="H8021" i="8"/>
  <c r="B8017" i="8"/>
  <c r="M8011" i="8"/>
  <c r="K8011" i="8"/>
  <c r="I8011" i="8"/>
  <c r="H8011" i="8"/>
  <c r="M8010" i="8"/>
  <c r="K8010" i="8"/>
  <c r="I8010" i="8"/>
  <c r="H8010" i="8"/>
  <c r="H8009" i="8"/>
  <c r="I8008" i="8"/>
  <c r="H8008" i="8"/>
  <c r="L8007" i="8"/>
  <c r="H8007" i="8"/>
  <c r="M8002" i="8"/>
  <c r="M8001" i="8"/>
  <c r="M8000" i="8"/>
  <c r="M7999" i="8"/>
  <c r="M7993" i="8"/>
  <c r="I7993" i="8"/>
  <c r="H7993" i="8"/>
  <c r="I7992" i="8"/>
  <c r="M7992" i="8" s="1"/>
  <c r="H7992" i="8"/>
  <c r="I7991" i="8"/>
  <c r="M7991" i="8" s="1"/>
  <c r="H7991" i="8"/>
  <c r="I7990" i="8"/>
  <c r="M7990" i="8" s="1"/>
  <c r="H7990" i="8"/>
  <c r="H7989" i="8"/>
  <c r="I7984" i="8"/>
  <c r="M7984" i="8" s="1"/>
  <c r="H7984" i="8"/>
  <c r="K7983" i="8"/>
  <c r="I7983" i="8"/>
  <c r="H7983" i="8"/>
  <c r="K7982" i="8"/>
  <c r="I7982" i="8"/>
  <c r="H7982" i="8"/>
  <c r="H7981" i="8"/>
  <c r="K7980" i="8"/>
  <c r="H7980" i="8"/>
  <c r="I7979" i="8"/>
  <c r="H7979" i="8"/>
  <c r="I7978" i="8"/>
  <c r="H7978" i="8"/>
  <c r="K7977" i="8"/>
  <c r="I7977" i="8"/>
  <c r="H7977" i="8"/>
  <c r="H7976" i="8"/>
  <c r="K7975" i="8"/>
  <c r="H7975" i="8"/>
  <c r="K7974" i="8"/>
  <c r="H7974" i="8"/>
  <c r="K7973" i="8"/>
  <c r="H7973" i="8"/>
  <c r="H7972" i="8"/>
  <c r="B7968" i="8"/>
  <c r="M7962" i="8"/>
  <c r="K7962" i="8"/>
  <c r="I7962" i="8"/>
  <c r="H7962" i="8"/>
  <c r="M7961" i="8"/>
  <c r="K7961" i="8"/>
  <c r="I7961" i="8"/>
  <c r="H7961" i="8"/>
  <c r="M7960" i="8"/>
  <c r="K7960" i="8"/>
  <c r="I7960" i="8"/>
  <c r="H7960" i="8"/>
  <c r="M7959" i="8"/>
  <c r="K7959" i="8"/>
  <c r="I7959" i="8"/>
  <c r="H7959" i="8"/>
  <c r="H7958" i="8"/>
  <c r="M7953" i="8"/>
  <c r="M7952" i="8"/>
  <c r="M7951" i="8"/>
  <c r="M7944" i="8"/>
  <c r="I7944" i="8"/>
  <c r="H7944" i="8"/>
  <c r="M7943" i="8"/>
  <c r="I7943" i="8"/>
  <c r="H7943" i="8"/>
  <c r="M7942" i="8"/>
  <c r="I7942" i="8"/>
  <c r="H7942" i="8"/>
  <c r="M7941" i="8"/>
  <c r="I7941" i="8"/>
  <c r="H7941" i="8"/>
  <c r="H7940" i="8"/>
  <c r="M7935" i="8"/>
  <c r="I7935" i="8"/>
  <c r="H7935" i="8"/>
  <c r="M7934" i="8"/>
  <c r="I7934" i="8"/>
  <c r="H7934" i="8"/>
  <c r="M7933" i="8"/>
  <c r="I7933" i="8"/>
  <c r="H7933" i="8"/>
  <c r="M7932" i="8"/>
  <c r="I7932" i="8"/>
  <c r="H7932" i="8"/>
  <c r="M7931" i="8"/>
  <c r="I7931" i="8"/>
  <c r="H7931" i="8"/>
  <c r="I7930" i="8"/>
  <c r="M7930" i="8" s="1"/>
  <c r="H7930" i="8"/>
  <c r="B7926" i="8"/>
  <c r="M7920" i="8"/>
  <c r="K7920" i="8"/>
  <c r="I7920" i="8"/>
  <c r="H7920" i="8"/>
  <c r="M7919" i="8"/>
  <c r="K7919" i="8"/>
  <c r="I7919" i="8"/>
  <c r="H7919" i="8"/>
  <c r="M7918" i="8"/>
  <c r="K7918" i="8"/>
  <c r="I7918" i="8"/>
  <c r="H7918" i="8"/>
  <c r="M7917" i="8"/>
  <c r="K7917" i="8"/>
  <c r="I7917" i="8"/>
  <c r="H7917" i="8"/>
  <c r="H7916" i="8"/>
  <c r="M7911" i="8"/>
  <c r="M7910" i="8"/>
  <c r="M7909" i="8"/>
  <c r="M7908" i="8"/>
  <c r="M7902" i="8"/>
  <c r="I7902" i="8"/>
  <c r="H7902" i="8"/>
  <c r="M7901" i="8"/>
  <c r="I7901" i="8"/>
  <c r="H7901" i="8"/>
  <c r="M7900" i="8"/>
  <c r="I7900" i="8"/>
  <c r="H7900" i="8"/>
  <c r="M7899" i="8"/>
  <c r="I7899" i="8"/>
  <c r="H7899" i="8"/>
  <c r="H7898" i="8"/>
  <c r="M7893" i="8"/>
  <c r="I7893" i="8"/>
  <c r="H7893" i="8"/>
  <c r="M7892" i="8"/>
  <c r="I7892" i="8"/>
  <c r="H7892" i="8"/>
  <c r="M7891" i="8"/>
  <c r="I7891" i="8"/>
  <c r="H7891" i="8"/>
  <c r="M7890" i="8"/>
  <c r="I7890" i="8"/>
  <c r="H7890" i="8"/>
  <c r="M7889" i="8"/>
  <c r="I7889" i="8"/>
  <c r="H7889" i="8"/>
  <c r="I7888" i="8"/>
  <c r="M7888" i="8" s="1"/>
  <c r="H7888" i="8"/>
  <c r="B7884" i="8"/>
  <c r="M7878" i="8"/>
  <c r="K7878" i="8"/>
  <c r="I7878" i="8"/>
  <c r="H7878" i="8"/>
  <c r="M7877" i="8"/>
  <c r="K7877" i="8"/>
  <c r="I7877" i="8"/>
  <c r="H7877" i="8"/>
  <c r="M7876" i="8"/>
  <c r="K7876" i="8"/>
  <c r="I7876" i="8"/>
  <c r="H7876" i="8"/>
  <c r="M7875" i="8"/>
  <c r="K7875" i="8"/>
  <c r="I7875" i="8"/>
  <c r="H7875" i="8"/>
  <c r="H7874" i="8"/>
  <c r="M7869" i="8"/>
  <c r="M7868" i="8"/>
  <c r="M7867" i="8"/>
  <c r="M7866" i="8"/>
  <c r="M7860" i="8"/>
  <c r="I7860" i="8"/>
  <c r="H7860" i="8"/>
  <c r="M7859" i="8"/>
  <c r="I7859" i="8"/>
  <c r="H7859" i="8"/>
  <c r="M7858" i="8"/>
  <c r="I7858" i="8"/>
  <c r="H7858" i="8"/>
  <c r="M7857" i="8"/>
  <c r="I7857" i="8"/>
  <c r="H7857" i="8"/>
  <c r="H7856" i="8"/>
  <c r="M7851" i="8"/>
  <c r="I7851" i="8"/>
  <c r="H7851" i="8"/>
  <c r="M7850" i="8"/>
  <c r="I7850" i="8"/>
  <c r="H7850" i="8"/>
  <c r="M7849" i="8"/>
  <c r="I7849" i="8"/>
  <c r="H7849" i="8"/>
  <c r="M7848" i="8"/>
  <c r="I7848" i="8"/>
  <c r="H7848" i="8"/>
  <c r="M7847" i="8"/>
  <c r="I7847" i="8"/>
  <c r="H7847" i="8"/>
  <c r="I7846" i="8"/>
  <c r="M7846" i="8" s="1"/>
  <c r="H7846" i="8"/>
  <c r="B7842" i="8"/>
  <c r="M7836" i="8"/>
  <c r="K7836" i="8"/>
  <c r="I7836" i="8"/>
  <c r="H7836" i="8"/>
  <c r="M7835" i="8"/>
  <c r="K7835" i="8"/>
  <c r="I7835" i="8"/>
  <c r="H7835" i="8"/>
  <c r="M7834" i="8"/>
  <c r="K7834" i="8"/>
  <c r="I7834" i="8"/>
  <c r="H7834" i="8"/>
  <c r="M7833" i="8"/>
  <c r="K7833" i="8"/>
  <c r="I7833" i="8"/>
  <c r="H7833" i="8"/>
  <c r="H7832" i="8"/>
  <c r="M7827" i="8"/>
  <c r="M7826" i="8"/>
  <c r="M7825" i="8"/>
  <c r="M7824" i="8"/>
  <c r="M7818" i="8"/>
  <c r="I7818" i="8"/>
  <c r="H7818" i="8"/>
  <c r="M7817" i="8"/>
  <c r="I7817" i="8"/>
  <c r="H7817" i="8"/>
  <c r="M7816" i="8"/>
  <c r="I7816" i="8"/>
  <c r="H7816" i="8"/>
  <c r="M7815" i="8"/>
  <c r="I7815" i="8"/>
  <c r="H7815" i="8"/>
  <c r="H7814" i="8"/>
  <c r="M7809" i="8"/>
  <c r="I7809" i="8"/>
  <c r="H7809" i="8"/>
  <c r="M7808" i="8"/>
  <c r="I7808" i="8"/>
  <c r="H7808" i="8"/>
  <c r="M7807" i="8"/>
  <c r="I7807" i="8"/>
  <c r="H7807" i="8"/>
  <c r="M7806" i="8"/>
  <c r="I7806" i="8"/>
  <c r="H7806" i="8"/>
  <c r="M7805" i="8"/>
  <c r="I7805" i="8"/>
  <c r="H7805" i="8"/>
  <c r="I7804" i="8"/>
  <c r="M7804" i="8" s="1"/>
  <c r="H7804" i="8"/>
  <c r="B7800" i="8"/>
  <c r="M7794" i="8"/>
  <c r="K7794" i="8"/>
  <c r="I7794" i="8"/>
  <c r="H7794" i="8"/>
  <c r="M7793" i="8"/>
  <c r="K7793" i="8"/>
  <c r="I7793" i="8"/>
  <c r="H7793" i="8"/>
  <c r="M7792" i="8"/>
  <c r="K7792" i="8"/>
  <c r="I7792" i="8"/>
  <c r="H7792" i="8"/>
  <c r="M7791" i="8"/>
  <c r="K7791" i="8"/>
  <c r="I7791" i="8"/>
  <c r="H7791" i="8"/>
  <c r="M7790" i="8"/>
  <c r="K7790" i="8"/>
  <c r="I7790" i="8"/>
  <c r="H7790" i="8"/>
  <c r="M7785" i="8"/>
  <c r="M7784" i="8"/>
  <c r="M7783" i="8"/>
  <c r="M7782" i="8"/>
  <c r="M7781" i="8"/>
  <c r="M7776" i="8"/>
  <c r="I7776" i="8"/>
  <c r="H7776" i="8"/>
  <c r="M7775" i="8"/>
  <c r="I7775" i="8"/>
  <c r="H7775" i="8"/>
  <c r="M7774" i="8"/>
  <c r="I7774" i="8"/>
  <c r="H7774" i="8"/>
  <c r="M7773" i="8"/>
  <c r="I7773" i="8"/>
  <c r="H7773" i="8"/>
  <c r="M7772" i="8"/>
  <c r="H7772" i="8"/>
  <c r="M7767" i="8"/>
  <c r="I7767" i="8"/>
  <c r="H7767" i="8"/>
  <c r="H7766" i="8"/>
  <c r="K7765" i="8"/>
  <c r="H7765" i="8"/>
  <c r="H7764" i="8"/>
  <c r="H7763" i="8"/>
  <c r="K7762" i="8"/>
  <c r="H7762" i="8"/>
  <c r="I7761" i="8"/>
  <c r="H7761" i="8"/>
  <c r="K7760" i="8"/>
  <c r="H7760" i="8"/>
  <c r="K7759" i="8"/>
  <c r="H7759" i="8"/>
  <c r="H7758" i="8"/>
  <c r="I7757" i="8"/>
  <c r="H7757" i="8"/>
  <c r="K7756" i="8"/>
  <c r="H7756" i="8"/>
  <c r="H7755" i="8"/>
  <c r="K7754" i="8"/>
  <c r="H7754" i="8"/>
  <c r="H7753" i="8"/>
  <c r="K7752" i="8"/>
  <c r="H7752" i="8"/>
  <c r="K7751" i="8"/>
  <c r="H7751" i="8"/>
  <c r="H7750" i="8"/>
  <c r="I7749" i="8"/>
  <c r="H7749" i="8"/>
  <c r="K7748" i="8"/>
  <c r="H7748" i="8"/>
  <c r="K7747" i="8"/>
  <c r="H7747" i="8"/>
  <c r="K7746" i="8"/>
  <c r="H7746" i="8"/>
  <c r="B7742" i="8"/>
  <c r="M7736" i="8"/>
  <c r="K7736" i="8"/>
  <c r="I7736" i="8"/>
  <c r="H7736" i="8"/>
  <c r="M7735" i="8"/>
  <c r="K7735" i="8"/>
  <c r="I7735" i="8"/>
  <c r="H7735" i="8"/>
  <c r="M7734" i="8"/>
  <c r="K7734" i="8"/>
  <c r="I7734" i="8"/>
  <c r="H7734" i="8"/>
  <c r="M7733" i="8"/>
  <c r="K7733" i="8"/>
  <c r="I7733" i="8"/>
  <c r="H7733" i="8"/>
  <c r="H7732" i="8"/>
  <c r="M7727" i="8"/>
  <c r="M7726" i="8"/>
  <c r="M7719" i="8"/>
  <c r="I7719" i="8"/>
  <c r="H7719" i="8"/>
  <c r="M7718" i="8"/>
  <c r="I7718" i="8"/>
  <c r="H7718" i="8"/>
  <c r="M7717" i="8"/>
  <c r="I7717" i="8"/>
  <c r="H7717" i="8"/>
  <c r="M7716" i="8"/>
  <c r="I7716" i="8"/>
  <c r="H7716" i="8"/>
  <c r="H7715" i="8"/>
  <c r="M7710" i="8"/>
  <c r="I7710" i="8"/>
  <c r="H7710" i="8"/>
  <c r="M7709" i="8"/>
  <c r="I7709" i="8"/>
  <c r="H7709" i="8"/>
  <c r="M7708" i="8"/>
  <c r="I7708" i="8"/>
  <c r="H7708" i="8"/>
  <c r="M7707" i="8"/>
  <c r="I7707" i="8"/>
  <c r="H7707" i="8"/>
  <c r="M7706" i="8"/>
  <c r="I7706" i="8"/>
  <c r="H7706" i="8"/>
  <c r="M7705" i="8"/>
  <c r="I7705" i="8"/>
  <c r="H7705" i="8"/>
  <c r="M7704" i="8"/>
  <c r="I7704" i="8"/>
  <c r="H7704" i="8"/>
  <c r="H7703" i="8"/>
  <c r="B7699" i="8"/>
  <c r="M7693" i="8"/>
  <c r="K7693" i="8"/>
  <c r="I7693" i="8"/>
  <c r="H7693" i="8"/>
  <c r="M7692" i="8"/>
  <c r="K7692" i="8"/>
  <c r="I7692" i="8"/>
  <c r="H7692" i="8"/>
  <c r="M7691" i="8"/>
  <c r="K7691" i="8"/>
  <c r="I7691" i="8"/>
  <c r="H7691" i="8"/>
  <c r="M7690" i="8"/>
  <c r="K7690" i="8"/>
  <c r="I7690" i="8"/>
  <c r="H7690" i="8"/>
  <c r="L7689" i="8"/>
  <c r="H7689" i="8"/>
  <c r="M7684" i="8"/>
  <c r="M7683" i="8"/>
  <c r="M7682" i="8"/>
  <c r="K7681" i="8"/>
  <c r="I7681" i="8"/>
  <c r="M7681" i="8" s="1"/>
  <c r="M7675" i="8"/>
  <c r="I7675" i="8"/>
  <c r="H7675" i="8"/>
  <c r="M7674" i="8"/>
  <c r="I7674" i="8"/>
  <c r="H7674" i="8"/>
  <c r="K7673" i="8"/>
  <c r="I7673" i="8"/>
  <c r="H7673" i="8"/>
  <c r="K7672" i="8"/>
  <c r="I7672" i="8"/>
  <c r="H7672" i="8"/>
  <c r="H7671" i="8"/>
  <c r="M7666" i="8"/>
  <c r="I7666" i="8"/>
  <c r="H7666" i="8"/>
  <c r="M7665" i="8"/>
  <c r="I7665" i="8"/>
  <c r="H7665" i="8"/>
  <c r="M7664" i="8"/>
  <c r="I7664" i="8"/>
  <c r="H7664" i="8"/>
  <c r="I7663" i="8"/>
  <c r="M7663" i="8" s="1"/>
  <c r="H7663" i="8"/>
  <c r="I7662" i="8"/>
  <c r="M7662" i="8" s="1"/>
  <c r="H7662" i="8"/>
  <c r="I7661" i="8"/>
  <c r="M7661" i="8" s="1"/>
  <c r="H7661" i="8"/>
  <c r="I7660" i="8"/>
  <c r="M7660" i="8" s="1"/>
  <c r="H7660" i="8"/>
  <c r="I7659" i="8"/>
  <c r="M7659" i="8" s="1"/>
  <c r="H7659" i="8"/>
  <c r="B7655" i="8"/>
  <c r="M7649" i="8"/>
  <c r="K7649" i="8"/>
  <c r="I7649" i="8"/>
  <c r="H7649" i="8"/>
  <c r="M7648" i="8"/>
  <c r="K7648" i="8"/>
  <c r="I7648" i="8"/>
  <c r="H7648" i="8"/>
  <c r="M7647" i="8"/>
  <c r="K7647" i="8"/>
  <c r="I7647" i="8"/>
  <c r="H7647" i="8"/>
  <c r="M7646" i="8"/>
  <c r="K7646" i="8"/>
  <c r="I7646" i="8"/>
  <c r="H7646" i="8"/>
  <c r="H7645" i="8"/>
  <c r="M7640" i="8"/>
  <c r="M7639" i="8"/>
  <c r="M7638" i="8"/>
  <c r="M7631" i="8"/>
  <c r="I7631" i="8"/>
  <c r="H7631" i="8"/>
  <c r="M7630" i="8"/>
  <c r="I7630" i="8"/>
  <c r="H7630" i="8"/>
  <c r="M7629" i="8"/>
  <c r="I7629" i="8"/>
  <c r="H7629" i="8"/>
  <c r="M7628" i="8"/>
  <c r="I7628" i="8"/>
  <c r="H7628" i="8"/>
  <c r="H7627" i="8"/>
  <c r="M7622" i="8"/>
  <c r="I7622" i="8"/>
  <c r="H7622" i="8"/>
  <c r="M7621" i="8"/>
  <c r="I7621" i="8"/>
  <c r="H7621" i="8"/>
  <c r="M7620" i="8"/>
  <c r="I7620" i="8"/>
  <c r="H7620" i="8"/>
  <c r="M7619" i="8"/>
  <c r="I7619" i="8"/>
  <c r="H7619" i="8"/>
  <c r="M7618" i="8"/>
  <c r="I7618" i="8"/>
  <c r="H7618" i="8"/>
  <c r="I7617" i="8"/>
  <c r="M7617" i="8" s="1"/>
  <c r="H7617" i="8"/>
  <c r="B7613" i="8"/>
  <c r="M7607" i="8"/>
  <c r="K7607" i="8"/>
  <c r="I7607" i="8"/>
  <c r="H7607" i="8"/>
  <c r="M7606" i="8"/>
  <c r="K7606" i="8"/>
  <c r="I7606" i="8"/>
  <c r="H7606" i="8"/>
  <c r="M7605" i="8"/>
  <c r="K7605" i="8"/>
  <c r="I7605" i="8"/>
  <c r="H7605" i="8"/>
  <c r="M7604" i="8"/>
  <c r="K7604" i="8"/>
  <c r="I7604" i="8"/>
  <c r="H7604" i="8"/>
  <c r="H7603" i="8"/>
  <c r="M7598" i="8"/>
  <c r="M7597" i="8"/>
  <c r="M7596" i="8"/>
  <c r="M7589" i="8"/>
  <c r="I7589" i="8"/>
  <c r="H7589" i="8"/>
  <c r="M7588" i="8"/>
  <c r="I7588" i="8"/>
  <c r="H7588" i="8"/>
  <c r="M7587" i="8"/>
  <c r="I7587" i="8"/>
  <c r="H7587" i="8"/>
  <c r="M7586" i="8"/>
  <c r="I7586" i="8"/>
  <c r="H7586" i="8"/>
  <c r="H7585" i="8"/>
  <c r="M7580" i="8"/>
  <c r="I7580" i="8"/>
  <c r="H7580" i="8"/>
  <c r="M7579" i="8"/>
  <c r="I7579" i="8"/>
  <c r="H7579" i="8"/>
  <c r="M7578" i="8"/>
  <c r="I7578" i="8"/>
  <c r="H7578" i="8"/>
  <c r="M7577" i="8"/>
  <c r="I7577" i="8"/>
  <c r="H7577" i="8"/>
  <c r="M7576" i="8"/>
  <c r="I7576" i="8"/>
  <c r="H7576" i="8"/>
  <c r="I7575" i="8"/>
  <c r="M7575" i="8" s="1"/>
  <c r="H7575" i="8"/>
  <c r="B7571" i="8"/>
  <c r="M7565" i="8"/>
  <c r="K7565" i="8"/>
  <c r="I7565" i="8"/>
  <c r="H7565" i="8"/>
  <c r="M7564" i="8"/>
  <c r="K7564" i="8"/>
  <c r="I7564" i="8"/>
  <c r="H7564" i="8"/>
  <c r="M7563" i="8"/>
  <c r="K7563" i="8"/>
  <c r="I7563" i="8"/>
  <c r="H7563" i="8"/>
  <c r="M7562" i="8"/>
  <c r="K7562" i="8"/>
  <c r="I7562" i="8"/>
  <c r="H7562" i="8"/>
  <c r="H7561" i="8"/>
  <c r="M7556" i="8"/>
  <c r="M7555" i="8"/>
  <c r="M7554" i="8"/>
  <c r="M7547" i="8"/>
  <c r="I7547" i="8"/>
  <c r="H7547" i="8"/>
  <c r="M7546" i="8"/>
  <c r="I7546" i="8"/>
  <c r="H7546" i="8"/>
  <c r="M7545" i="8"/>
  <c r="I7545" i="8"/>
  <c r="H7545" i="8"/>
  <c r="M7544" i="8"/>
  <c r="I7544" i="8"/>
  <c r="H7544" i="8"/>
  <c r="H7543" i="8"/>
  <c r="M7538" i="8"/>
  <c r="I7538" i="8"/>
  <c r="H7538" i="8"/>
  <c r="M7537" i="8"/>
  <c r="I7537" i="8"/>
  <c r="H7537" i="8"/>
  <c r="M7536" i="8"/>
  <c r="I7536" i="8"/>
  <c r="H7536" i="8"/>
  <c r="M7535" i="8"/>
  <c r="I7535" i="8"/>
  <c r="H7535" i="8"/>
  <c r="M7534" i="8"/>
  <c r="I7534" i="8"/>
  <c r="H7534" i="8"/>
  <c r="I7533" i="8"/>
  <c r="M7533" i="8" s="1"/>
  <c r="H7533" i="8"/>
  <c r="B7529" i="8"/>
  <c r="M7523" i="8"/>
  <c r="K7523" i="8"/>
  <c r="I7523" i="8"/>
  <c r="H7523" i="8"/>
  <c r="M7522" i="8"/>
  <c r="K7522" i="8"/>
  <c r="I7522" i="8"/>
  <c r="H7522" i="8"/>
  <c r="M7521" i="8"/>
  <c r="K7521" i="8"/>
  <c r="I7521" i="8"/>
  <c r="H7521" i="8"/>
  <c r="M7520" i="8"/>
  <c r="K7520" i="8"/>
  <c r="I7520" i="8"/>
  <c r="H7520" i="8"/>
  <c r="L7519" i="8"/>
  <c r="H7519" i="8"/>
  <c r="M7514" i="8"/>
  <c r="M7513" i="8"/>
  <c r="M7512" i="8"/>
  <c r="M7505" i="8"/>
  <c r="I7505" i="8"/>
  <c r="H7505" i="8"/>
  <c r="M7504" i="8"/>
  <c r="I7504" i="8"/>
  <c r="H7504" i="8"/>
  <c r="M7503" i="8"/>
  <c r="I7503" i="8"/>
  <c r="H7503" i="8"/>
  <c r="M7502" i="8"/>
  <c r="I7502" i="8"/>
  <c r="H7502" i="8"/>
  <c r="H7501" i="8"/>
  <c r="M7496" i="8"/>
  <c r="I7496" i="8"/>
  <c r="H7496" i="8"/>
  <c r="M7495" i="8"/>
  <c r="I7495" i="8"/>
  <c r="H7495" i="8"/>
  <c r="M7494" i="8"/>
  <c r="I7494" i="8"/>
  <c r="H7494" i="8"/>
  <c r="M7493" i="8"/>
  <c r="I7493" i="8"/>
  <c r="H7493" i="8"/>
  <c r="I7492" i="8"/>
  <c r="M7492" i="8" s="1"/>
  <c r="H7492" i="8"/>
  <c r="B7488" i="8"/>
  <c r="M7482" i="8"/>
  <c r="K7482" i="8"/>
  <c r="I7482" i="8"/>
  <c r="H7482" i="8"/>
  <c r="M7481" i="8"/>
  <c r="K7481" i="8"/>
  <c r="I7481" i="8"/>
  <c r="H7481" i="8"/>
  <c r="M7480" i="8"/>
  <c r="K7480" i="8"/>
  <c r="I7480" i="8"/>
  <c r="H7480" i="8"/>
  <c r="M7479" i="8"/>
  <c r="K7479" i="8"/>
  <c r="I7479" i="8"/>
  <c r="H7479" i="8"/>
  <c r="L7478" i="8"/>
  <c r="H7478" i="8"/>
  <c r="M7473" i="8"/>
  <c r="M7472" i="8"/>
  <c r="M7471" i="8"/>
  <c r="M7470" i="8"/>
  <c r="M7464" i="8"/>
  <c r="I7464" i="8"/>
  <c r="H7464" i="8"/>
  <c r="M7463" i="8"/>
  <c r="I7463" i="8"/>
  <c r="H7463" i="8"/>
  <c r="M7462" i="8"/>
  <c r="I7462" i="8"/>
  <c r="H7462" i="8"/>
  <c r="M7461" i="8"/>
  <c r="I7461" i="8"/>
  <c r="H7461" i="8"/>
  <c r="H7460" i="8"/>
  <c r="M7455" i="8"/>
  <c r="I7455" i="8"/>
  <c r="H7455" i="8"/>
  <c r="I7454" i="8"/>
  <c r="M7454" i="8" s="1"/>
  <c r="H7454" i="8"/>
  <c r="I7453" i="8"/>
  <c r="M7453" i="8" s="1"/>
  <c r="H7453" i="8"/>
  <c r="I7452" i="8"/>
  <c r="M7452" i="8" s="1"/>
  <c r="H7452" i="8"/>
  <c r="I7451" i="8"/>
  <c r="M7451" i="8" s="1"/>
  <c r="H7451" i="8"/>
  <c r="B7447" i="8"/>
  <c r="M7441" i="8"/>
  <c r="K7441" i="8"/>
  <c r="I7441" i="8"/>
  <c r="H7441" i="8"/>
  <c r="M7440" i="8"/>
  <c r="K7440" i="8"/>
  <c r="I7440" i="8"/>
  <c r="H7440" i="8"/>
  <c r="M7439" i="8"/>
  <c r="K7439" i="8"/>
  <c r="I7439" i="8"/>
  <c r="H7439" i="8"/>
  <c r="M7438" i="8"/>
  <c r="K7438" i="8"/>
  <c r="I7438" i="8"/>
  <c r="H7438" i="8"/>
  <c r="M7437" i="8"/>
  <c r="K7437" i="8"/>
  <c r="I7437" i="8"/>
  <c r="H7437" i="8"/>
  <c r="M7432" i="8"/>
  <c r="M7431" i="8"/>
  <c r="M7430" i="8"/>
  <c r="M7429" i="8"/>
  <c r="M7428" i="8"/>
  <c r="M7423" i="8"/>
  <c r="I7423" i="8"/>
  <c r="H7423" i="8"/>
  <c r="M7422" i="8"/>
  <c r="I7422" i="8"/>
  <c r="H7422" i="8"/>
  <c r="M7421" i="8"/>
  <c r="I7421" i="8"/>
  <c r="H7421" i="8"/>
  <c r="M7420" i="8"/>
  <c r="I7420" i="8"/>
  <c r="H7420" i="8"/>
  <c r="M7419" i="8"/>
  <c r="H7419" i="8"/>
  <c r="H7414" i="8"/>
  <c r="I7413" i="8"/>
  <c r="H7413" i="8"/>
  <c r="K7412" i="8"/>
  <c r="H7412" i="8"/>
  <c r="K7411" i="8"/>
  <c r="H7411" i="8"/>
  <c r="K7410" i="8"/>
  <c r="H7410" i="8"/>
  <c r="K7409" i="8"/>
  <c r="I7409" i="8"/>
  <c r="H7409" i="8"/>
  <c r="K7408" i="8"/>
  <c r="H7408" i="8"/>
  <c r="I7407" i="8"/>
  <c r="H7407" i="8"/>
  <c r="K7406" i="8"/>
  <c r="H7406" i="8"/>
  <c r="K7405" i="8"/>
  <c r="H7405" i="8"/>
  <c r="K7404" i="8"/>
  <c r="H7404" i="8"/>
  <c r="K7403" i="8"/>
  <c r="H7403" i="8"/>
  <c r="K7402" i="8"/>
  <c r="H7402" i="8"/>
  <c r="H7401" i="8"/>
  <c r="K7400" i="8"/>
  <c r="H7400" i="8"/>
  <c r="K7399" i="8"/>
  <c r="H7399" i="8"/>
  <c r="K7398" i="8"/>
  <c r="H7398" i="8"/>
  <c r="B7394" i="8"/>
  <c r="M7388" i="8"/>
  <c r="K7388" i="8"/>
  <c r="I7388" i="8"/>
  <c r="H7388" i="8"/>
  <c r="M7387" i="8"/>
  <c r="K7387" i="8"/>
  <c r="I7387" i="8"/>
  <c r="H7387" i="8"/>
  <c r="M7386" i="8"/>
  <c r="K7386" i="8"/>
  <c r="I7386" i="8"/>
  <c r="H7386" i="8"/>
  <c r="M7385" i="8"/>
  <c r="K7385" i="8"/>
  <c r="I7385" i="8"/>
  <c r="H7385" i="8"/>
  <c r="L7384" i="8"/>
  <c r="H7384" i="8"/>
  <c r="M7379" i="8"/>
  <c r="M7378" i="8"/>
  <c r="K7376" i="8"/>
  <c r="M7370" i="8"/>
  <c r="I7370" i="8"/>
  <c r="H7370" i="8"/>
  <c r="M7369" i="8"/>
  <c r="I7369" i="8"/>
  <c r="H7369" i="8"/>
  <c r="K7368" i="8"/>
  <c r="I7368" i="8"/>
  <c r="H7368" i="8"/>
  <c r="K7367" i="8"/>
  <c r="I7367" i="8"/>
  <c r="H7367" i="8"/>
  <c r="H7366" i="8"/>
  <c r="M7361" i="8"/>
  <c r="I7361" i="8"/>
  <c r="H7361" i="8"/>
  <c r="M7360" i="8"/>
  <c r="I7360" i="8"/>
  <c r="H7360" i="8"/>
  <c r="M7359" i="8"/>
  <c r="I7359" i="8"/>
  <c r="H7359" i="8"/>
  <c r="I7358" i="8"/>
  <c r="M7358" i="8" s="1"/>
  <c r="H7358" i="8"/>
  <c r="I7357" i="8"/>
  <c r="M7357" i="8" s="1"/>
  <c r="H7357" i="8"/>
  <c r="I7356" i="8"/>
  <c r="M7356" i="8" s="1"/>
  <c r="H7356" i="8"/>
  <c r="I7355" i="8"/>
  <c r="M7355" i="8" s="1"/>
  <c r="H7355" i="8"/>
  <c r="I7354" i="8"/>
  <c r="M7354" i="8" s="1"/>
  <c r="I7377" i="8" s="1"/>
  <c r="M7377" i="8" s="1"/>
  <c r="H7354" i="8"/>
  <c r="B7350" i="8"/>
  <c r="M7344" i="8"/>
  <c r="K7344" i="8"/>
  <c r="I7344" i="8"/>
  <c r="H7344" i="8"/>
  <c r="M7343" i="8"/>
  <c r="K7343" i="8"/>
  <c r="I7343" i="8"/>
  <c r="H7343" i="8"/>
  <c r="M7342" i="8"/>
  <c r="K7342" i="8"/>
  <c r="I7342" i="8"/>
  <c r="H7342" i="8"/>
  <c r="M7341" i="8"/>
  <c r="K7341" i="8"/>
  <c r="I7341" i="8"/>
  <c r="H7341" i="8"/>
  <c r="H7340" i="8"/>
  <c r="M7335" i="8"/>
  <c r="M7334" i="8"/>
  <c r="M7333" i="8"/>
  <c r="M7332" i="8"/>
  <c r="M7326" i="8"/>
  <c r="I7326" i="8"/>
  <c r="H7326" i="8"/>
  <c r="M7325" i="8"/>
  <c r="I7325" i="8"/>
  <c r="H7325" i="8"/>
  <c r="M7324" i="8"/>
  <c r="I7324" i="8"/>
  <c r="H7324" i="8"/>
  <c r="M7323" i="8"/>
  <c r="I7323" i="8"/>
  <c r="H7323" i="8"/>
  <c r="H7322" i="8"/>
  <c r="M7317" i="8"/>
  <c r="I7317" i="8"/>
  <c r="H7317" i="8"/>
  <c r="M7316" i="8"/>
  <c r="I7316" i="8"/>
  <c r="H7316" i="8"/>
  <c r="M7315" i="8"/>
  <c r="I7315" i="8"/>
  <c r="H7315" i="8"/>
  <c r="M7314" i="8"/>
  <c r="I7314" i="8"/>
  <c r="H7314" i="8"/>
  <c r="M7313" i="8"/>
  <c r="I7313" i="8"/>
  <c r="H7313" i="8"/>
  <c r="M7312" i="8"/>
  <c r="I7312" i="8"/>
  <c r="H7312" i="8"/>
  <c r="B7308" i="8"/>
  <c r="M7302" i="8"/>
  <c r="K7302" i="8"/>
  <c r="I7302" i="8"/>
  <c r="H7302" i="8"/>
  <c r="M7301" i="8"/>
  <c r="K7301" i="8"/>
  <c r="I7301" i="8"/>
  <c r="H7301" i="8"/>
  <c r="M7300" i="8"/>
  <c r="K7300" i="8"/>
  <c r="I7300" i="8"/>
  <c r="H7300" i="8"/>
  <c r="M7299" i="8"/>
  <c r="K7299" i="8"/>
  <c r="I7299" i="8"/>
  <c r="H7299" i="8"/>
  <c r="H7298" i="8"/>
  <c r="M7293" i="8"/>
  <c r="M7292" i="8"/>
  <c r="M7291" i="8"/>
  <c r="M7290" i="8"/>
  <c r="M7289" i="8"/>
  <c r="M7284" i="8"/>
  <c r="I7284" i="8"/>
  <c r="H7284" i="8"/>
  <c r="M7283" i="8"/>
  <c r="I7283" i="8"/>
  <c r="H7283" i="8"/>
  <c r="M7282" i="8"/>
  <c r="I7282" i="8"/>
  <c r="H7282" i="8"/>
  <c r="I7281" i="8"/>
  <c r="M7281" i="8" s="1"/>
  <c r="H7281" i="8"/>
  <c r="M7280" i="8"/>
  <c r="H7280" i="8"/>
  <c r="M7275" i="8"/>
  <c r="I7275" i="8"/>
  <c r="H7275" i="8"/>
  <c r="M7274" i="8"/>
  <c r="I7274" i="8"/>
  <c r="H7274" i="8"/>
  <c r="M7273" i="8"/>
  <c r="I7273" i="8"/>
  <c r="H7273" i="8"/>
  <c r="M7272" i="8"/>
  <c r="I7272" i="8"/>
  <c r="H7272" i="8"/>
  <c r="M7271" i="8"/>
  <c r="I7271" i="8"/>
  <c r="H7271" i="8"/>
  <c r="M7270" i="8"/>
  <c r="I7270" i="8"/>
  <c r="H7270" i="8"/>
  <c r="B7266" i="8"/>
  <c r="M7260" i="8"/>
  <c r="K7260" i="8"/>
  <c r="I7260" i="8"/>
  <c r="H7260" i="8"/>
  <c r="M7259" i="8"/>
  <c r="K7259" i="8"/>
  <c r="I7259" i="8"/>
  <c r="H7259" i="8"/>
  <c r="M7258" i="8"/>
  <c r="K7258" i="8"/>
  <c r="I7258" i="8"/>
  <c r="H7258" i="8"/>
  <c r="M7257" i="8"/>
  <c r="K7257" i="8"/>
  <c r="I7257" i="8"/>
  <c r="H7257" i="8"/>
  <c r="H7256" i="8"/>
  <c r="M7251" i="8"/>
  <c r="M7250" i="8"/>
  <c r="M7249" i="8"/>
  <c r="M7248" i="8"/>
  <c r="M7242" i="8"/>
  <c r="I7242" i="8"/>
  <c r="H7242" i="8"/>
  <c r="M7241" i="8"/>
  <c r="I7241" i="8"/>
  <c r="H7241" i="8"/>
  <c r="M7240" i="8"/>
  <c r="I7240" i="8"/>
  <c r="H7240" i="8"/>
  <c r="M7239" i="8"/>
  <c r="I7239" i="8"/>
  <c r="H7239" i="8"/>
  <c r="H7238" i="8"/>
  <c r="M7233" i="8"/>
  <c r="I7233" i="8"/>
  <c r="H7233" i="8"/>
  <c r="M7232" i="8"/>
  <c r="I7232" i="8"/>
  <c r="H7232" i="8"/>
  <c r="I7231" i="8"/>
  <c r="M7231" i="8" s="1"/>
  <c r="H7231" i="8"/>
  <c r="I7230" i="8"/>
  <c r="M7230" i="8" s="1"/>
  <c r="H7230" i="8"/>
  <c r="I7229" i="8"/>
  <c r="M7229" i="8" s="1"/>
  <c r="H7229" i="8"/>
  <c r="I7228" i="8"/>
  <c r="M7228" i="8" s="1"/>
  <c r="H7228" i="8"/>
  <c r="I7227" i="8"/>
  <c r="M7227" i="8" s="1"/>
  <c r="H7227" i="8"/>
  <c r="B7223" i="8"/>
  <c r="M7217" i="8"/>
  <c r="K7217" i="8"/>
  <c r="I7217" i="8"/>
  <c r="H7217" i="8"/>
  <c r="M7216" i="8"/>
  <c r="K7216" i="8"/>
  <c r="I7216" i="8"/>
  <c r="H7216" i="8"/>
  <c r="M7215" i="8"/>
  <c r="K7215" i="8"/>
  <c r="I7215" i="8"/>
  <c r="H7215" i="8"/>
  <c r="M7214" i="8"/>
  <c r="K7214" i="8"/>
  <c r="I7214" i="8"/>
  <c r="H7214" i="8"/>
  <c r="H7213" i="8"/>
  <c r="M7208" i="8"/>
  <c r="M7207" i="8"/>
  <c r="M7206" i="8"/>
  <c r="M7199" i="8"/>
  <c r="I7199" i="8"/>
  <c r="H7199" i="8"/>
  <c r="M7198" i="8"/>
  <c r="I7198" i="8"/>
  <c r="H7198" i="8"/>
  <c r="M7197" i="8"/>
  <c r="I7197" i="8"/>
  <c r="H7197" i="8"/>
  <c r="M7196" i="8"/>
  <c r="I7196" i="8"/>
  <c r="H7196" i="8"/>
  <c r="H7195" i="8"/>
  <c r="M7190" i="8"/>
  <c r="I7190" i="8"/>
  <c r="H7190" i="8"/>
  <c r="M7189" i="8"/>
  <c r="I7189" i="8"/>
  <c r="H7189" i="8"/>
  <c r="M7188" i="8"/>
  <c r="I7188" i="8"/>
  <c r="H7188" i="8"/>
  <c r="I7187" i="8"/>
  <c r="M7187" i="8" s="1"/>
  <c r="H7187" i="8"/>
  <c r="I7186" i="8"/>
  <c r="M7186" i="8" s="1"/>
  <c r="H7186" i="8"/>
  <c r="I7185" i="8"/>
  <c r="M7185" i="8" s="1"/>
  <c r="H7185" i="8"/>
  <c r="I7184" i="8"/>
  <c r="M7184" i="8" s="1"/>
  <c r="H7184" i="8"/>
  <c r="B7180" i="8"/>
  <c r="M7174" i="8"/>
  <c r="K7174" i="8"/>
  <c r="I7174" i="8"/>
  <c r="H7174" i="8"/>
  <c r="M7173" i="8"/>
  <c r="K7173" i="8"/>
  <c r="I7173" i="8"/>
  <c r="H7173" i="8"/>
  <c r="M7172" i="8"/>
  <c r="K7172" i="8"/>
  <c r="I7172" i="8"/>
  <c r="H7172" i="8"/>
  <c r="M7171" i="8"/>
  <c r="K7171" i="8"/>
  <c r="I7171" i="8"/>
  <c r="H7171" i="8"/>
  <c r="H7170" i="8"/>
  <c r="M7165" i="8"/>
  <c r="M7164" i="8"/>
  <c r="M7163" i="8"/>
  <c r="M7162" i="8"/>
  <c r="M7156" i="8"/>
  <c r="I7156" i="8"/>
  <c r="H7156" i="8"/>
  <c r="M7155" i="8"/>
  <c r="I7155" i="8"/>
  <c r="H7155" i="8"/>
  <c r="M7154" i="8"/>
  <c r="I7154" i="8"/>
  <c r="H7154" i="8"/>
  <c r="M7153" i="8"/>
  <c r="I7153" i="8"/>
  <c r="H7153" i="8"/>
  <c r="H7152" i="8"/>
  <c r="M7147" i="8"/>
  <c r="I7147" i="8"/>
  <c r="H7147" i="8"/>
  <c r="M7146" i="8"/>
  <c r="I7146" i="8"/>
  <c r="H7146" i="8"/>
  <c r="M7145" i="8"/>
  <c r="I7145" i="8"/>
  <c r="H7145" i="8"/>
  <c r="I7144" i="8"/>
  <c r="M7144" i="8" s="1"/>
  <c r="H7144" i="8"/>
  <c r="I7143" i="8"/>
  <c r="M7143" i="8" s="1"/>
  <c r="H7143" i="8"/>
  <c r="I7142" i="8"/>
  <c r="M7142" i="8" s="1"/>
  <c r="H7142" i="8"/>
  <c r="I7141" i="8"/>
  <c r="M7141" i="8" s="1"/>
  <c r="H7141" i="8"/>
  <c r="B7137" i="8"/>
  <c r="M7131" i="8"/>
  <c r="K7131" i="8"/>
  <c r="I7131" i="8"/>
  <c r="H7131" i="8"/>
  <c r="M7130" i="8"/>
  <c r="K7130" i="8"/>
  <c r="I7130" i="8"/>
  <c r="H7130" i="8"/>
  <c r="M7129" i="8"/>
  <c r="K7129" i="8"/>
  <c r="I7129" i="8"/>
  <c r="H7129" i="8"/>
  <c r="I7128" i="8"/>
  <c r="H7128" i="8"/>
  <c r="H7127" i="8"/>
  <c r="M7122" i="8"/>
  <c r="M7121" i="8"/>
  <c r="M7120" i="8"/>
  <c r="M7119" i="8"/>
  <c r="M7113" i="8"/>
  <c r="I7113" i="8"/>
  <c r="H7113" i="8"/>
  <c r="M7112" i="8"/>
  <c r="I7112" i="8"/>
  <c r="H7112" i="8"/>
  <c r="M7111" i="8"/>
  <c r="I7111" i="8"/>
  <c r="H7111" i="8"/>
  <c r="M7110" i="8"/>
  <c r="I7110" i="8"/>
  <c r="H7110" i="8"/>
  <c r="H7109" i="8"/>
  <c r="I7104" i="8"/>
  <c r="M7104" i="8" s="1"/>
  <c r="H7104" i="8"/>
  <c r="I7103" i="8"/>
  <c r="M7103" i="8" s="1"/>
  <c r="H7103" i="8"/>
  <c r="I7102" i="8"/>
  <c r="M7102" i="8" s="1"/>
  <c r="H7102" i="8"/>
  <c r="I7101" i="8"/>
  <c r="M7101" i="8" s="1"/>
  <c r="H7101" i="8"/>
  <c r="I7100" i="8"/>
  <c r="M7100" i="8" s="1"/>
  <c r="H7100" i="8"/>
  <c r="I7099" i="8"/>
  <c r="M7099" i="8" s="1"/>
  <c r="H7099" i="8"/>
  <c r="I7098" i="8"/>
  <c r="M7098" i="8" s="1"/>
  <c r="H7098" i="8"/>
  <c r="I7097" i="8"/>
  <c r="M7097" i="8" s="1"/>
  <c r="H7097" i="8"/>
  <c r="B7093" i="8"/>
  <c r="M7087" i="8"/>
  <c r="K7087" i="8"/>
  <c r="I7087" i="8"/>
  <c r="H7087" i="8"/>
  <c r="M7086" i="8"/>
  <c r="K7086" i="8"/>
  <c r="I7086" i="8"/>
  <c r="H7086" i="8"/>
  <c r="M7085" i="8"/>
  <c r="K7085" i="8"/>
  <c r="I7085" i="8"/>
  <c r="H7085" i="8"/>
  <c r="M7084" i="8"/>
  <c r="K7084" i="8"/>
  <c r="I7084" i="8"/>
  <c r="H7084" i="8"/>
  <c r="H7083" i="8"/>
  <c r="M7078" i="8"/>
  <c r="M7077" i="8"/>
  <c r="M7076" i="8"/>
  <c r="M7075" i="8"/>
  <c r="M7069" i="8"/>
  <c r="I7069" i="8"/>
  <c r="H7069" i="8"/>
  <c r="M7068" i="8"/>
  <c r="I7068" i="8"/>
  <c r="H7068" i="8"/>
  <c r="K7067" i="8"/>
  <c r="I7067" i="8"/>
  <c r="H7067" i="8"/>
  <c r="K7066" i="8"/>
  <c r="I7066" i="8"/>
  <c r="M7066" i="8" s="1"/>
  <c r="H7066" i="8"/>
  <c r="H7065" i="8"/>
  <c r="M7060" i="8"/>
  <c r="I7060" i="8"/>
  <c r="H7060" i="8"/>
  <c r="M7059" i="8"/>
  <c r="I7059" i="8"/>
  <c r="H7059" i="8"/>
  <c r="M7058" i="8"/>
  <c r="I7058" i="8"/>
  <c r="H7058" i="8"/>
  <c r="M7057" i="8"/>
  <c r="I7057" i="8"/>
  <c r="H7057" i="8"/>
  <c r="I7056" i="8"/>
  <c r="M7056" i="8" s="1"/>
  <c r="H7056" i="8"/>
  <c r="I7055" i="8"/>
  <c r="M7055" i="8" s="1"/>
  <c r="H7055" i="8"/>
  <c r="I7054" i="8"/>
  <c r="M7054" i="8" s="1"/>
  <c r="H7054" i="8"/>
  <c r="I7053" i="8"/>
  <c r="M7053" i="8" s="1"/>
  <c r="H7053" i="8"/>
  <c r="B7049" i="8"/>
  <c r="M7043" i="8"/>
  <c r="K7043" i="8"/>
  <c r="I7043" i="8"/>
  <c r="H7043" i="8"/>
  <c r="M7042" i="8"/>
  <c r="K7042" i="8"/>
  <c r="I7042" i="8"/>
  <c r="H7042" i="8"/>
  <c r="M7041" i="8"/>
  <c r="K7041" i="8"/>
  <c r="I7041" i="8"/>
  <c r="H7041" i="8"/>
  <c r="M7040" i="8"/>
  <c r="K7040" i="8"/>
  <c r="I7040" i="8"/>
  <c r="H7040" i="8"/>
  <c r="H7039" i="8"/>
  <c r="M7034" i="8"/>
  <c r="M7033" i="8"/>
  <c r="K7031" i="8"/>
  <c r="M7025" i="8"/>
  <c r="I7025" i="8"/>
  <c r="H7025" i="8"/>
  <c r="M7024" i="8"/>
  <c r="I7024" i="8"/>
  <c r="H7024" i="8"/>
  <c r="M7023" i="8"/>
  <c r="I7023" i="8"/>
  <c r="H7023" i="8"/>
  <c r="I7022" i="8"/>
  <c r="M7022" i="8" s="1"/>
  <c r="H7022" i="8"/>
  <c r="H7021" i="8"/>
  <c r="M7016" i="8"/>
  <c r="I7016" i="8"/>
  <c r="H7016" i="8"/>
  <c r="I7015" i="8"/>
  <c r="M7015" i="8" s="1"/>
  <c r="H7015" i="8"/>
  <c r="I7014" i="8"/>
  <c r="M7014" i="8" s="1"/>
  <c r="H7014" i="8"/>
  <c r="I7013" i="8"/>
  <c r="M7013" i="8" s="1"/>
  <c r="H7013" i="8"/>
  <c r="I7012" i="8"/>
  <c r="M7012" i="8" s="1"/>
  <c r="I7032" i="8" s="1"/>
  <c r="M7032" i="8" s="1"/>
  <c r="H7012" i="8"/>
  <c r="B7008" i="8"/>
  <c r="M7002" i="8"/>
  <c r="K7002" i="8"/>
  <c r="I7002" i="8"/>
  <c r="H7002" i="8"/>
  <c r="M7001" i="8"/>
  <c r="K7001" i="8"/>
  <c r="I7001" i="8"/>
  <c r="H7001" i="8"/>
  <c r="M7000" i="8"/>
  <c r="K7000" i="8"/>
  <c r="I7000" i="8"/>
  <c r="H7000" i="8"/>
  <c r="M6999" i="8"/>
  <c r="K6999" i="8"/>
  <c r="I6999" i="8"/>
  <c r="H6999" i="8"/>
  <c r="H6998" i="8"/>
  <c r="M6993" i="8"/>
  <c r="M6992" i="8"/>
  <c r="M6991" i="8"/>
  <c r="M6990" i="8"/>
  <c r="M6984" i="8"/>
  <c r="I6984" i="8"/>
  <c r="H6984" i="8"/>
  <c r="M6983" i="8"/>
  <c r="I6983" i="8"/>
  <c r="H6983" i="8"/>
  <c r="M6982" i="8"/>
  <c r="I6982" i="8"/>
  <c r="H6982" i="8"/>
  <c r="M6981" i="8"/>
  <c r="I6981" i="8"/>
  <c r="H6981" i="8"/>
  <c r="H6980" i="8"/>
  <c r="M6975" i="8"/>
  <c r="I6975" i="8"/>
  <c r="H6975" i="8"/>
  <c r="M6974" i="8"/>
  <c r="I6974" i="8"/>
  <c r="H6974" i="8"/>
  <c r="M6973" i="8"/>
  <c r="I6973" i="8"/>
  <c r="H6973" i="8"/>
  <c r="M6972" i="8"/>
  <c r="I6972" i="8"/>
  <c r="H6972" i="8"/>
  <c r="M6971" i="8"/>
  <c r="I6971" i="8"/>
  <c r="H6971" i="8"/>
  <c r="M6970" i="8"/>
  <c r="I6970" i="8"/>
  <c r="H6970" i="8"/>
  <c r="I6969" i="8"/>
  <c r="M6969" i="8" s="1"/>
  <c r="H6969" i="8"/>
  <c r="I6968" i="8"/>
  <c r="M6968" i="8" s="1"/>
  <c r="H6968" i="8"/>
  <c r="I6967" i="8"/>
  <c r="M6967" i="8" s="1"/>
  <c r="H6967" i="8"/>
  <c r="B6963" i="8"/>
  <c r="M6957" i="8"/>
  <c r="K6957" i="8"/>
  <c r="I6957" i="8"/>
  <c r="H6957" i="8"/>
  <c r="M6956" i="8"/>
  <c r="K6956" i="8"/>
  <c r="I6956" i="8"/>
  <c r="H6956" i="8"/>
  <c r="M6955" i="8"/>
  <c r="K6955" i="8"/>
  <c r="I6955" i="8"/>
  <c r="H6955" i="8"/>
  <c r="M6954" i="8"/>
  <c r="K6954" i="8"/>
  <c r="I6954" i="8"/>
  <c r="H6954" i="8"/>
  <c r="H6953" i="8"/>
  <c r="M6948" i="8"/>
  <c r="M6947" i="8"/>
  <c r="M6946" i="8"/>
  <c r="M6945" i="8"/>
  <c r="M6944" i="8"/>
  <c r="M6939" i="8"/>
  <c r="I6939" i="8"/>
  <c r="H6939" i="8"/>
  <c r="M6938" i="8"/>
  <c r="I6938" i="8"/>
  <c r="H6938" i="8"/>
  <c r="M6937" i="8"/>
  <c r="H6937" i="8"/>
  <c r="M6936" i="8"/>
  <c r="I6936" i="8"/>
  <c r="H6936" i="8"/>
  <c r="H6935" i="8"/>
  <c r="M6930" i="8"/>
  <c r="I6930" i="8"/>
  <c r="H6930" i="8"/>
  <c r="I6929" i="8"/>
  <c r="M6929" i="8" s="1"/>
  <c r="H6929" i="8"/>
  <c r="I6928" i="8"/>
  <c r="M6928" i="8" s="1"/>
  <c r="H6928" i="8"/>
  <c r="I6927" i="8"/>
  <c r="M6927" i="8" s="1"/>
  <c r="H6927" i="8"/>
  <c r="I6926" i="8"/>
  <c r="M6926" i="8" s="1"/>
  <c r="H6926" i="8"/>
  <c r="H6925" i="8"/>
  <c r="I6924" i="8"/>
  <c r="M6924" i="8" s="1"/>
  <c r="H6924" i="8"/>
  <c r="I6923" i="8"/>
  <c r="M6923" i="8" s="1"/>
  <c r="H6923" i="8"/>
  <c r="B6919" i="8"/>
  <c r="M6913" i="8"/>
  <c r="K6913" i="8"/>
  <c r="I6913" i="8"/>
  <c r="H6913" i="8"/>
  <c r="M6912" i="8"/>
  <c r="K6912" i="8"/>
  <c r="I6912" i="8"/>
  <c r="H6912" i="8"/>
  <c r="M6911" i="8"/>
  <c r="K6911" i="8"/>
  <c r="I6911" i="8"/>
  <c r="H6911" i="8"/>
  <c r="M6910" i="8"/>
  <c r="K6910" i="8"/>
  <c r="I6910" i="8"/>
  <c r="H6910" i="8"/>
  <c r="L6909" i="8"/>
  <c r="H6909" i="8"/>
  <c r="M6904" i="8"/>
  <c r="M6903" i="8"/>
  <c r="M6902" i="8"/>
  <c r="M6901" i="8"/>
  <c r="K6900" i="8"/>
  <c r="M6895" i="8"/>
  <c r="I6895" i="8"/>
  <c r="H6895" i="8"/>
  <c r="M6894" i="8"/>
  <c r="I6894" i="8"/>
  <c r="H6894" i="8"/>
  <c r="M6893" i="8"/>
  <c r="I6893" i="8"/>
  <c r="H6893" i="8"/>
  <c r="M6892" i="8"/>
  <c r="I6892" i="8"/>
  <c r="H6892" i="8"/>
  <c r="H6891" i="8"/>
  <c r="M6886" i="8"/>
  <c r="I6886" i="8"/>
  <c r="H6886" i="8"/>
  <c r="M6885" i="8"/>
  <c r="I6885" i="8"/>
  <c r="H6885" i="8"/>
  <c r="M6884" i="8"/>
  <c r="I6884" i="8"/>
  <c r="H6884" i="8"/>
  <c r="M6883" i="8"/>
  <c r="I6883" i="8"/>
  <c r="H6883" i="8"/>
  <c r="M6882" i="8"/>
  <c r="I6882" i="8"/>
  <c r="H6882" i="8"/>
  <c r="M6881" i="8"/>
  <c r="I6881" i="8"/>
  <c r="H6881" i="8"/>
  <c r="M6880" i="8"/>
  <c r="I6880" i="8"/>
  <c r="H6880" i="8"/>
  <c r="M6879" i="8"/>
  <c r="I6879" i="8"/>
  <c r="H6879" i="8"/>
  <c r="I6878" i="8"/>
  <c r="M6878" i="8" s="1"/>
  <c r="H6878" i="8"/>
  <c r="B6874" i="8"/>
  <c r="M6868" i="8"/>
  <c r="K6868" i="8"/>
  <c r="I6868" i="8"/>
  <c r="H6868" i="8"/>
  <c r="M6867" i="8"/>
  <c r="K6867" i="8"/>
  <c r="I6867" i="8"/>
  <c r="H6867" i="8"/>
  <c r="M6866" i="8"/>
  <c r="K6866" i="8"/>
  <c r="I6866" i="8"/>
  <c r="H6866" i="8"/>
  <c r="M6865" i="8"/>
  <c r="K6865" i="8"/>
  <c r="I6865" i="8"/>
  <c r="H6865" i="8"/>
  <c r="L6864" i="8"/>
  <c r="H6864" i="8"/>
  <c r="M6859" i="8"/>
  <c r="M6858" i="8"/>
  <c r="M6857" i="8"/>
  <c r="M6856" i="8"/>
  <c r="M6850" i="8"/>
  <c r="I6850" i="8"/>
  <c r="H6850" i="8"/>
  <c r="M6849" i="8"/>
  <c r="I6849" i="8"/>
  <c r="H6849" i="8"/>
  <c r="K6848" i="8"/>
  <c r="I6848" i="8"/>
  <c r="M6848" i="8" s="1"/>
  <c r="H6848" i="8"/>
  <c r="I6847" i="8"/>
  <c r="M6847" i="8" s="1"/>
  <c r="H6847" i="8"/>
  <c r="H6846" i="8"/>
  <c r="M6841" i="8"/>
  <c r="I6841" i="8"/>
  <c r="H6841" i="8"/>
  <c r="M6840" i="8"/>
  <c r="I6840" i="8"/>
  <c r="H6840" i="8"/>
  <c r="M6839" i="8"/>
  <c r="I6839" i="8"/>
  <c r="H6839" i="8"/>
  <c r="M6838" i="8"/>
  <c r="I6838" i="8"/>
  <c r="H6838" i="8"/>
  <c r="M6837" i="8"/>
  <c r="I6837" i="8"/>
  <c r="H6837" i="8"/>
  <c r="M6836" i="8"/>
  <c r="I6836" i="8"/>
  <c r="H6836" i="8"/>
  <c r="M6835" i="8"/>
  <c r="I6835" i="8"/>
  <c r="H6835" i="8"/>
  <c r="M6834" i="8"/>
  <c r="I6834" i="8"/>
  <c r="H6834" i="8"/>
  <c r="M6833" i="8"/>
  <c r="I6833" i="8"/>
  <c r="H6833" i="8"/>
  <c r="B6829" i="8"/>
  <c r="M6823" i="8"/>
  <c r="K6823" i="8"/>
  <c r="I6823" i="8"/>
  <c r="H6823" i="8"/>
  <c r="M6822" i="8"/>
  <c r="K6822" i="8"/>
  <c r="I6822" i="8"/>
  <c r="H6822" i="8"/>
  <c r="M6821" i="8"/>
  <c r="K6821" i="8"/>
  <c r="I6821" i="8"/>
  <c r="H6821" i="8"/>
  <c r="M6820" i="8"/>
  <c r="K6820" i="8"/>
  <c r="I6820" i="8"/>
  <c r="H6820" i="8"/>
  <c r="L6819" i="8"/>
  <c r="H6819" i="8"/>
  <c r="M6814" i="8"/>
  <c r="M6813" i="8"/>
  <c r="K6811" i="8"/>
  <c r="M6805" i="8"/>
  <c r="I6805" i="8"/>
  <c r="H6805" i="8"/>
  <c r="M6804" i="8"/>
  <c r="I6804" i="8"/>
  <c r="H6804" i="8"/>
  <c r="K6803" i="8"/>
  <c r="I6803" i="8"/>
  <c r="H6803" i="8"/>
  <c r="K6802" i="8"/>
  <c r="I6802" i="8"/>
  <c r="H6802" i="8"/>
  <c r="H6801" i="8"/>
  <c r="M6796" i="8"/>
  <c r="I6796" i="8"/>
  <c r="H6796" i="8"/>
  <c r="M6795" i="8"/>
  <c r="I6795" i="8"/>
  <c r="H6795" i="8"/>
  <c r="M6794" i="8"/>
  <c r="I6794" i="8"/>
  <c r="H6794" i="8"/>
  <c r="M6793" i="8"/>
  <c r="I6793" i="8"/>
  <c r="H6793" i="8"/>
  <c r="I6792" i="8"/>
  <c r="M6792" i="8" s="1"/>
  <c r="H6792" i="8"/>
  <c r="I6791" i="8"/>
  <c r="M6791" i="8" s="1"/>
  <c r="H6791" i="8"/>
  <c r="I6790" i="8"/>
  <c r="M6790" i="8" s="1"/>
  <c r="H6790" i="8"/>
  <c r="I6789" i="8"/>
  <c r="M6789" i="8" s="1"/>
  <c r="H6789" i="8"/>
  <c r="I6788" i="8"/>
  <c r="M6788" i="8" s="1"/>
  <c r="I6812" i="8" s="1"/>
  <c r="H6788" i="8"/>
  <c r="B6784" i="8"/>
  <c r="M6778" i="8"/>
  <c r="K6778" i="8"/>
  <c r="I6778" i="8"/>
  <c r="H6778" i="8"/>
  <c r="M6777" i="8"/>
  <c r="K6777" i="8"/>
  <c r="I6777" i="8"/>
  <c r="H6777" i="8"/>
  <c r="M6776" i="8"/>
  <c r="K6776" i="8"/>
  <c r="I6776" i="8"/>
  <c r="H6776" i="8"/>
  <c r="M6775" i="8"/>
  <c r="K6775" i="8"/>
  <c r="I6775" i="8"/>
  <c r="H6775" i="8"/>
  <c r="H6774" i="8"/>
  <c r="M6769" i="8"/>
  <c r="M6768" i="8"/>
  <c r="K6766" i="8"/>
  <c r="M6760" i="8"/>
  <c r="I6760" i="8"/>
  <c r="H6760" i="8"/>
  <c r="M6759" i="8"/>
  <c r="I6759" i="8"/>
  <c r="H6759" i="8"/>
  <c r="I6758" i="8"/>
  <c r="M6758" i="8" s="1"/>
  <c r="H6758" i="8"/>
  <c r="I6757" i="8"/>
  <c r="M6757" i="8" s="1"/>
  <c r="H6757" i="8"/>
  <c r="H6756" i="8"/>
  <c r="M6751" i="8"/>
  <c r="I6751" i="8"/>
  <c r="H6751" i="8"/>
  <c r="K6750" i="8"/>
  <c r="I6750" i="8"/>
  <c r="H6750" i="8"/>
  <c r="K6749" i="8"/>
  <c r="I6749" i="8"/>
  <c r="H6749" i="8"/>
  <c r="K6748" i="8"/>
  <c r="I6748" i="8"/>
  <c r="H6748" i="8"/>
  <c r="I6747" i="8"/>
  <c r="M6747" i="8" s="1"/>
  <c r="H6747" i="8"/>
  <c r="I6746" i="8"/>
  <c r="M6746" i="8" s="1"/>
  <c r="H6746" i="8"/>
  <c r="I6745" i="8"/>
  <c r="M6745" i="8" s="1"/>
  <c r="H6745" i="8"/>
  <c r="I6744" i="8"/>
  <c r="M6744" i="8" s="1"/>
  <c r="H6744" i="8"/>
  <c r="I6743" i="8"/>
  <c r="M6743" i="8" s="1"/>
  <c r="H6743" i="8"/>
  <c r="B6739" i="8"/>
  <c r="M6733" i="8"/>
  <c r="K6733" i="8"/>
  <c r="I6733" i="8"/>
  <c r="H6733" i="8"/>
  <c r="M6732" i="8"/>
  <c r="K6732" i="8"/>
  <c r="I6732" i="8"/>
  <c r="H6732" i="8"/>
  <c r="M6731" i="8"/>
  <c r="K6731" i="8"/>
  <c r="I6731" i="8"/>
  <c r="H6731" i="8"/>
  <c r="M6730" i="8"/>
  <c r="K6730" i="8"/>
  <c r="I6730" i="8"/>
  <c r="H6730" i="8"/>
  <c r="H6729" i="8"/>
  <c r="M6724" i="8"/>
  <c r="M6723" i="8"/>
  <c r="K6721" i="8"/>
  <c r="M6715" i="8"/>
  <c r="I6715" i="8"/>
  <c r="H6715" i="8"/>
  <c r="M6714" i="8"/>
  <c r="I6714" i="8"/>
  <c r="H6714" i="8"/>
  <c r="I6713" i="8"/>
  <c r="M6713" i="8" s="1"/>
  <c r="H6713" i="8"/>
  <c r="I6712" i="8"/>
  <c r="M6712" i="8" s="1"/>
  <c r="H6712" i="8"/>
  <c r="H6711" i="8"/>
  <c r="M6706" i="8"/>
  <c r="I6706" i="8"/>
  <c r="H6706" i="8"/>
  <c r="I6705" i="8"/>
  <c r="M6705" i="8" s="1"/>
  <c r="H6705" i="8"/>
  <c r="I6704" i="8"/>
  <c r="M6704" i="8" s="1"/>
  <c r="H6704" i="8"/>
  <c r="I6703" i="8"/>
  <c r="M6703" i="8" s="1"/>
  <c r="H6703" i="8"/>
  <c r="I6702" i="8"/>
  <c r="M6702" i="8" s="1"/>
  <c r="H6702" i="8"/>
  <c r="I6701" i="8"/>
  <c r="M6701" i="8" s="1"/>
  <c r="H6701" i="8"/>
  <c r="I6700" i="8"/>
  <c r="M6700" i="8" s="1"/>
  <c r="H6700" i="8"/>
  <c r="I6699" i="8"/>
  <c r="M6699" i="8" s="1"/>
  <c r="H6699" i="8"/>
  <c r="I6698" i="8"/>
  <c r="M6698" i="8" s="1"/>
  <c r="H6698" i="8"/>
  <c r="B6694" i="8"/>
  <c r="B62" i="7" s="1"/>
  <c r="M6688" i="8"/>
  <c r="K6688" i="8"/>
  <c r="I6688" i="8"/>
  <c r="H6688" i="8"/>
  <c r="M6687" i="8"/>
  <c r="K6687" i="8"/>
  <c r="I6687" i="8"/>
  <c r="H6687" i="8"/>
  <c r="H6686" i="8"/>
  <c r="H6685" i="8"/>
  <c r="H6684" i="8"/>
  <c r="M6679" i="8"/>
  <c r="M6678" i="8"/>
  <c r="M6677" i="8"/>
  <c r="M6676" i="8"/>
  <c r="I6670" i="8"/>
  <c r="M6670" i="8" s="1"/>
  <c r="H6670" i="8"/>
  <c r="I6669" i="8"/>
  <c r="M6669" i="8" s="1"/>
  <c r="H6669" i="8"/>
  <c r="I6668" i="8"/>
  <c r="M6668" i="8" s="1"/>
  <c r="H6668" i="8"/>
  <c r="I6667" i="8"/>
  <c r="M6667" i="8" s="1"/>
  <c r="H6667" i="8"/>
  <c r="H6666" i="8"/>
  <c r="M6661" i="8"/>
  <c r="I6661" i="8"/>
  <c r="H6661" i="8"/>
  <c r="I6660" i="8"/>
  <c r="M6660" i="8" s="1"/>
  <c r="H6660" i="8"/>
  <c r="I6659" i="8"/>
  <c r="M6659" i="8" s="1"/>
  <c r="H6659" i="8"/>
  <c r="I6658" i="8"/>
  <c r="M6658" i="8" s="1"/>
  <c r="H6658" i="8"/>
  <c r="I6657" i="8"/>
  <c r="M6657" i="8" s="1"/>
  <c r="H6657" i="8"/>
  <c r="H6656" i="8"/>
  <c r="I6655" i="8"/>
  <c r="M6655" i="8" s="1"/>
  <c r="H6655" i="8"/>
  <c r="I6654" i="8"/>
  <c r="M6654" i="8" s="1"/>
  <c r="H6654" i="8"/>
  <c r="I6653" i="8"/>
  <c r="M6653" i="8" s="1"/>
  <c r="H6653" i="8"/>
  <c r="I6652" i="8"/>
  <c r="M6652" i="8" s="1"/>
  <c r="H6652" i="8"/>
  <c r="I6651" i="8"/>
  <c r="M6651" i="8" s="1"/>
  <c r="H6651" i="8"/>
  <c r="B6647" i="8"/>
  <c r="M6641" i="8"/>
  <c r="K6641" i="8"/>
  <c r="I6641" i="8"/>
  <c r="H6641" i="8"/>
  <c r="M6640" i="8"/>
  <c r="K6640" i="8"/>
  <c r="I6640" i="8"/>
  <c r="H6640" i="8"/>
  <c r="M6639" i="8"/>
  <c r="K6639" i="8"/>
  <c r="I6639" i="8"/>
  <c r="H6639" i="8"/>
  <c r="M6638" i="8"/>
  <c r="K6638" i="8"/>
  <c r="I6638" i="8"/>
  <c r="H6638" i="8"/>
  <c r="H6637" i="8"/>
  <c r="M6632" i="8"/>
  <c r="M6631" i="8"/>
  <c r="M6630" i="8"/>
  <c r="M6629" i="8"/>
  <c r="M6623" i="8"/>
  <c r="I6623" i="8"/>
  <c r="H6623" i="8"/>
  <c r="M6622" i="8"/>
  <c r="I6622" i="8"/>
  <c r="H6622" i="8"/>
  <c r="M6621" i="8"/>
  <c r="I6621" i="8"/>
  <c r="H6621" i="8"/>
  <c r="I6620" i="8"/>
  <c r="M6620" i="8" s="1"/>
  <c r="H6620" i="8"/>
  <c r="H6619" i="8"/>
  <c r="M6614" i="8"/>
  <c r="I6614" i="8"/>
  <c r="H6614" i="8"/>
  <c r="M6613" i="8"/>
  <c r="I6613" i="8"/>
  <c r="M6612" i="8"/>
  <c r="I6612" i="8"/>
  <c r="H6612" i="8"/>
  <c r="M6611" i="8"/>
  <c r="I6611" i="8"/>
  <c r="H6611" i="8"/>
  <c r="M6610" i="8"/>
  <c r="I6610" i="8"/>
  <c r="H6610" i="8"/>
  <c r="M6609" i="8"/>
  <c r="I6609" i="8"/>
  <c r="H6609" i="8"/>
  <c r="I6608" i="8"/>
  <c r="M6608" i="8" s="1"/>
  <c r="H6608" i="8"/>
  <c r="I6607" i="8"/>
  <c r="M6607" i="8" s="1"/>
  <c r="H6607" i="8"/>
  <c r="B6603" i="8"/>
  <c r="M6597" i="8"/>
  <c r="K6597" i="8"/>
  <c r="I6597" i="8"/>
  <c r="H6597" i="8"/>
  <c r="M6596" i="8"/>
  <c r="K6596" i="8"/>
  <c r="I6596" i="8"/>
  <c r="H6596" i="8"/>
  <c r="M6595" i="8"/>
  <c r="K6595" i="8"/>
  <c r="I6595" i="8"/>
  <c r="H6595" i="8"/>
  <c r="M6594" i="8"/>
  <c r="K6594" i="8"/>
  <c r="I6594" i="8"/>
  <c r="H6594" i="8"/>
  <c r="H6593" i="8"/>
  <c r="M6588" i="8"/>
  <c r="M6587" i="8"/>
  <c r="M6586" i="8"/>
  <c r="M6585" i="8"/>
  <c r="M6579" i="8"/>
  <c r="I6579" i="8"/>
  <c r="H6579" i="8"/>
  <c r="M6578" i="8"/>
  <c r="I6578" i="8"/>
  <c r="H6578" i="8"/>
  <c r="M6577" i="8"/>
  <c r="I6577" i="8"/>
  <c r="H6577" i="8"/>
  <c r="I6576" i="8"/>
  <c r="M6576" i="8" s="1"/>
  <c r="H6576" i="8"/>
  <c r="H6575" i="8"/>
  <c r="M6570" i="8"/>
  <c r="I6570" i="8"/>
  <c r="H6570" i="8"/>
  <c r="M6569" i="8"/>
  <c r="I6569" i="8"/>
  <c r="M6568" i="8"/>
  <c r="I6568" i="8"/>
  <c r="H6568" i="8"/>
  <c r="M6567" i="8"/>
  <c r="I6567" i="8"/>
  <c r="H6567" i="8"/>
  <c r="M6566" i="8"/>
  <c r="I6566" i="8"/>
  <c r="H6566" i="8"/>
  <c r="H6565" i="8"/>
  <c r="I6564" i="8"/>
  <c r="M6564" i="8" s="1"/>
  <c r="H6564" i="8"/>
  <c r="I6563" i="8"/>
  <c r="M6563" i="8" s="1"/>
  <c r="H6563" i="8"/>
  <c r="B6559" i="8"/>
  <c r="M6553" i="8"/>
  <c r="K6553" i="8"/>
  <c r="I6553" i="8"/>
  <c r="H6553" i="8"/>
  <c r="M6552" i="8"/>
  <c r="K6552" i="8"/>
  <c r="I6552" i="8"/>
  <c r="H6552" i="8"/>
  <c r="M6551" i="8"/>
  <c r="K6551" i="8"/>
  <c r="I6551" i="8"/>
  <c r="H6551" i="8"/>
  <c r="M6550" i="8"/>
  <c r="K6550" i="8"/>
  <c r="I6550" i="8"/>
  <c r="H6550" i="8"/>
  <c r="H6549" i="8"/>
  <c r="M6544" i="8"/>
  <c r="M6543" i="8"/>
  <c r="M6542" i="8"/>
  <c r="M6541" i="8"/>
  <c r="M6535" i="8"/>
  <c r="I6535" i="8"/>
  <c r="H6535" i="8"/>
  <c r="M6534" i="8"/>
  <c r="I6534" i="8"/>
  <c r="H6534" i="8"/>
  <c r="M6533" i="8"/>
  <c r="I6533" i="8"/>
  <c r="H6533" i="8"/>
  <c r="M6532" i="8"/>
  <c r="I6532" i="8"/>
  <c r="H6532" i="8"/>
  <c r="H6531" i="8"/>
  <c r="M6526" i="8"/>
  <c r="I6526" i="8"/>
  <c r="H6526" i="8"/>
  <c r="M6525" i="8"/>
  <c r="I6525" i="8"/>
  <c r="M6524" i="8"/>
  <c r="I6524" i="8"/>
  <c r="H6524" i="8"/>
  <c r="M6523" i="8"/>
  <c r="I6523" i="8"/>
  <c r="H6523" i="8"/>
  <c r="M6522" i="8"/>
  <c r="I6522" i="8"/>
  <c r="H6522" i="8"/>
  <c r="M6521" i="8"/>
  <c r="I6521" i="8"/>
  <c r="H6521" i="8"/>
  <c r="I6520" i="8"/>
  <c r="M6520" i="8" s="1"/>
  <c r="H6520" i="8"/>
  <c r="I6519" i="8"/>
  <c r="M6519" i="8" s="1"/>
  <c r="H6519" i="8"/>
  <c r="B6515" i="8"/>
  <c r="M6509" i="8"/>
  <c r="K6509" i="8"/>
  <c r="I6509" i="8"/>
  <c r="H6509" i="8"/>
  <c r="M6508" i="8"/>
  <c r="K6508" i="8"/>
  <c r="I6508" i="8"/>
  <c r="H6508" i="8"/>
  <c r="M6507" i="8"/>
  <c r="K6507" i="8"/>
  <c r="I6507" i="8"/>
  <c r="H6507" i="8"/>
  <c r="M6506" i="8"/>
  <c r="K6506" i="8"/>
  <c r="I6506" i="8"/>
  <c r="H6506" i="8"/>
  <c r="H6505" i="8"/>
  <c r="M6500" i="8"/>
  <c r="M6499" i="8"/>
  <c r="M6498" i="8"/>
  <c r="M6497" i="8"/>
  <c r="M6491" i="8"/>
  <c r="I6491" i="8"/>
  <c r="H6491" i="8"/>
  <c r="M6490" i="8"/>
  <c r="I6490" i="8"/>
  <c r="H6490" i="8"/>
  <c r="M6489" i="8"/>
  <c r="I6489" i="8"/>
  <c r="H6489" i="8"/>
  <c r="M6488" i="8"/>
  <c r="I6488" i="8"/>
  <c r="H6488" i="8"/>
  <c r="H6487" i="8"/>
  <c r="M6482" i="8"/>
  <c r="I6482" i="8"/>
  <c r="H6482" i="8"/>
  <c r="M6481" i="8"/>
  <c r="I6481" i="8"/>
  <c r="M6480" i="8"/>
  <c r="I6480" i="8"/>
  <c r="H6480" i="8"/>
  <c r="I6479" i="8"/>
  <c r="M6479" i="8" s="1"/>
  <c r="H6479" i="8"/>
  <c r="I6478" i="8"/>
  <c r="M6478" i="8" s="1"/>
  <c r="H6478" i="8"/>
  <c r="I6477" i="8"/>
  <c r="M6477" i="8" s="1"/>
  <c r="H6477" i="8"/>
  <c r="I6476" i="8"/>
  <c r="M6476" i="8" s="1"/>
  <c r="H6476" i="8"/>
  <c r="I6475" i="8"/>
  <c r="M6475" i="8" s="1"/>
  <c r="M6483" i="8" s="1"/>
  <c r="H6471" i="8" s="1"/>
  <c r="H6475" i="8"/>
  <c r="B6471" i="8"/>
  <c r="M6465" i="8"/>
  <c r="K6465" i="8"/>
  <c r="I6465" i="8"/>
  <c r="H6465" i="8"/>
  <c r="M6464" i="8"/>
  <c r="K6464" i="8"/>
  <c r="I6464" i="8"/>
  <c r="H6464" i="8"/>
  <c r="M6463" i="8"/>
  <c r="K6463" i="8"/>
  <c r="I6463" i="8"/>
  <c r="H6463" i="8"/>
  <c r="M6462" i="8"/>
  <c r="K6462" i="8"/>
  <c r="I6462" i="8"/>
  <c r="H6462" i="8"/>
  <c r="H6461" i="8"/>
  <c r="M6456" i="8"/>
  <c r="M6455" i="8"/>
  <c r="M6454" i="8"/>
  <c r="M6453" i="8"/>
  <c r="M6447" i="8"/>
  <c r="I6447" i="8"/>
  <c r="H6447" i="8"/>
  <c r="M6446" i="8"/>
  <c r="I6446" i="8"/>
  <c r="H6446" i="8"/>
  <c r="M6445" i="8"/>
  <c r="I6445" i="8"/>
  <c r="H6445" i="8"/>
  <c r="M6444" i="8"/>
  <c r="I6444" i="8"/>
  <c r="H6444" i="8"/>
  <c r="H6443" i="8"/>
  <c r="M6438" i="8"/>
  <c r="I6438" i="8"/>
  <c r="H6438" i="8"/>
  <c r="M6437" i="8"/>
  <c r="I6437" i="8"/>
  <c r="M6436" i="8"/>
  <c r="I6436" i="8"/>
  <c r="H6436" i="8"/>
  <c r="M6435" i="8"/>
  <c r="I6435" i="8"/>
  <c r="H6435" i="8"/>
  <c r="H6434" i="8"/>
  <c r="I6433" i="8"/>
  <c r="M6433" i="8" s="1"/>
  <c r="H6433" i="8"/>
  <c r="I6432" i="8"/>
  <c r="M6432" i="8" s="1"/>
  <c r="H6432" i="8"/>
  <c r="I6431" i="8"/>
  <c r="M6431" i="8" s="1"/>
  <c r="H6431" i="8"/>
  <c r="B6427" i="8"/>
  <c r="M6421" i="8"/>
  <c r="K6421" i="8"/>
  <c r="I6421" i="8"/>
  <c r="H6421" i="8"/>
  <c r="M6420" i="8"/>
  <c r="K6420" i="8"/>
  <c r="I6420" i="8"/>
  <c r="H6420" i="8"/>
  <c r="M6419" i="8"/>
  <c r="K6419" i="8"/>
  <c r="I6419" i="8"/>
  <c r="H6419" i="8"/>
  <c r="M6418" i="8"/>
  <c r="K6418" i="8"/>
  <c r="I6418" i="8"/>
  <c r="H6418" i="8"/>
  <c r="H6417" i="8"/>
  <c r="M6412" i="8"/>
  <c r="M6411" i="8"/>
  <c r="M6410" i="8"/>
  <c r="M6409" i="8"/>
  <c r="M6408" i="8"/>
  <c r="M6403" i="8"/>
  <c r="I6403" i="8"/>
  <c r="H6403" i="8"/>
  <c r="M6402" i="8"/>
  <c r="I6402" i="8"/>
  <c r="H6402" i="8"/>
  <c r="M6401" i="8"/>
  <c r="I6401" i="8"/>
  <c r="H6401" i="8"/>
  <c r="M6400" i="8"/>
  <c r="I6400" i="8"/>
  <c r="H6400" i="8"/>
  <c r="H6399" i="8"/>
  <c r="M6394" i="8"/>
  <c r="I6394" i="8"/>
  <c r="H6394" i="8"/>
  <c r="M6393" i="8"/>
  <c r="I6393" i="8"/>
  <c r="M6392" i="8"/>
  <c r="I6392" i="8"/>
  <c r="H6392" i="8"/>
  <c r="M6391" i="8"/>
  <c r="I6391" i="8"/>
  <c r="H6391" i="8"/>
  <c r="M6390" i="8"/>
  <c r="I6390" i="8"/>
  <c r="H6390" i="8"/>
  <c r="M6389" i="8"/>
  <c r="I6389" i="8"/>
  <c r="H6389" i="8"/>
  <c r="I6388" i="8"/>
  <c r="M6388" i="8" s="1"/>
  <c r="H6388" i="8"/>
  <c r="I6387" i="8"/>
  <c r="M6387" i="8" s="1"/>
  <c r="H6387" i="8"/>
  <c r="B6383" i="8"/>
  <c r="M6377" i="8"/>
  <c r="K6377" i="8"/>
  <c r="I6377" i="8"/>
  <c r="H6377" i="8"/>
  <c r="M6376" i="8"/>
  <c r="K6376" i="8"/>
  <c r="I6376" i="8"/>
  <c r="H6376" i="8"/>
  <c r="M6375" i="8"/>
  <c r="K6375" i="8"/>
  <c r="I6375" i="8"/>
  <c r="H6375" i="8"/>
  <c r="M6374" i="8"/>
  <c r="K6374" i="8"/>
  <c r="I6374" i="8"/>
  <c r="H6374" i="8"/>
  <c r="H6373" i="8"/>
  <c r="M6368" i="8"/>
  <c r="M6367" i="8"/>
  <c r="M6366" i="8"/>
  <c r="M6365" i="8"/>
  <c r="M6364" i="8"/>
  <c r="M6359" i="8"/>
  <c r="I6359" i="8"/>
  <c r="H6359" i="8"/>
  <c r="M6358" i="8"/>
  <c r="I6358" i="8"/>
  <c r="H6358" i="8"/>
  <c r="M6357" i="8"/>
  <c r="I6357" i="8"/>
  <c r="H6357" i="8"/>
  <c r="M6356" i="8"/>
  <c r="I6356" i="8"/>
  <c r="H6356" i="8"/>
  <c r="H6355" i="8"/>
  <c r="M6350" i="8"/>
  <c r="I6350" i="8"/>
  <c r="H6350" i="8"/>
  <c r="M6349" i="8"/>
  <c r="I6349" i="8"/>
  <c r="M6348" i="8"/>
  <c r="I6348" i="8"/>
  <c r="H6348" i="8"/>
  <c r="M6347" i="8"/>
  <c r="I6347" i="8"/>
  <c r="H6347" i="8"/>
  <c r="M6346" i="8"/>
  <c r="I6346" i="8"/>
  <c r="H6346" i="8"/>
  <c r="M6345" i="8"/>
  <c r="I6345" i="8"/>
  <c r="H6345" i="8"/>
  <c r="M6344" i="8"/>
  <c r="I6344" i="8"/>
  <c r="H6344" i="8"/>
  <c r="I6343" i="8"/>
  <c r="M6343" i="8" s="1"/>
  <c r="H6343" i="8"/>
  <c r="B6339" i="8"/>
  <c r="M6333" i="8"/>
  <c r="K6333" i="8"/>
  <c r="I6333" i="8"/>
  <c r="H6333" i="8"/>
  <c r="M6332" i="8"/>
  <c r="K6332" i="8"/>
  <c r="I6332" i="8"/>
  <c r="H6332" i="8"/>
  <c r="M6331" i="8"/>
  <c r="K6331" i="8"/>
  <c r="I6331" i="8"/>
  <c r="H6331" i="8"/>
  <c r="M6330" i="8"/>
  <c r="K6330" i="8"/>
  <c r="I6330" i="8"/>
  <c r="H6330" i="8"/>
  <c r="H6329" i="8"/>
  <c r="M6324" i="8"/>
  <c r="M6323" i="8"/>
  <c r="M6322" i="8"/>
  <c r="M6321" i="8"/>
  <c r="M6320" i="8"/>
  <c r="M6315" i="8"/>
  <c r="I6315" i="8"/>
  <c r="H6315" i="8"/>
  <c r="M6314" i="8"/>
  <c r="I6314" i="8"/>
  <c r="H6314" i="8"/>
  <c r="M6313" i="8"/>
  <c r="I6313" i="8"/>
  <c r="H6313" i="8"/>
  <c r="M6312" i="8"/>
  <c r="I6312" i="8"/>
  <c r="H6312" i="8"/>
  <c r="H6311" i="8"/>
  <c r="M6306" i="8"/>
  <c r="I6306" i="8"/>
  <c r="H6306" i="8"/>
  <c r="M6305" i="8"/>
  <c r="I6305" i="8"/>
  <c r="M6304" i="8"/>
  <c r="I6304" i="8"/>
  <c r="H6304" i="8"/>
  <c r="M6303" i="8"/>
  <c r="I6303" i="8"/>
  <c r="H6303" i="8"/>
  <c r="M6302" i="8"/>
  <c r="I6302" i="8"/>
  <c r="H6302" i="8"/>
  <c r="M6301" i="8"/>
  <c r="I6301" i="8"/>
  <c r="H6301" i="8"/>
  <c r="M6300" i="8"/>
  <c r="I6300" i="8"/>
  <c r="H6300" i="8"/>
  <c r="I6299" i="8"/>
  <c r="M6299" i="8" s="1"/>
  <c r="H6299" i="8"/>
  <c r="B6295" i="8"/>
  <c r="M6289" i="8"/>
  <c r="K6289" i="8"/>
  <c r="I6289" i="8"/>
  <c r="H6289" i="8"/>
  <c r="M6288" i="8"/>
  <c r="K6288" i="8"/>
  <c r="I6288" i="8"/>
  <c r="H6288" i="8"/>
  <c r="M6287" i="8"/>
  <c r="K6287" i="8"/>
  <c r="I6287" i="8"/>
  <c r="H6287" i="8"/>
  <c r="M6286" i="8"/>
  <c r="K6286" i="8"/>
  <c r="I6286" i="8"/>
  <c r="H6286" i="8"/>
  <c r="H6285" i="8"/>
  <c r="M6280" i="8"/>
  <c r="M6279" i="8"/>
  <c r="M6278" i="8"/>
  <c r="M6277" i="8"/>
  <c r="M6276" i="8"/>
  <c r="M6271" i="8"/>
  <c r="I6271" i="8"/>
  <c r="H6271" i="8"/>
  <c r="M6270" i="8"/>
  <c r="I6270" i="8"/>
  <c r="H6270" i="8"/>
  <c r="M6269" i="8"/>
  <c r="I6269" i="8"/>
  <c r="H6269" i="8"/>
  <c r="M6268" i="8"/>
  <c r="I6268" i="8"/>
  <c r="H6268" i="8"/>
  <c r="H6267" i="8"/>
  <c r="M6262" i="8"/>
  <c r="I6262" i="8"/>
  <c r="H6262" i="8"/>
  <c r="M6261" i="8"/>
  <c r="I6261" i="8"/>
  <c r="M6260" i="8"/>
  <c r="I6260" i="8"/>
  <c r="H6260" i="8"/>
  <c r="M6259" i="8"/>
  <c r="I6259" i="8"/>
  <c r="H6259" i="8"/>
  <c r="M6258" i="8"/>
  <c r="I6258" i="8"/>
  <c r="H6258" i="8"/>
  <c r="M6257" i="8"/>
  <c r="I6257" i="8"/>
  <c r="H6257" i="8"/>
  <c r="M6256" i="8"/>
  <c r="I6256" i="8"/>
  <c r="H6256" i="8"/>
  <c r="I6255" i="8"/>
  <c r="M6255" i="8" s="1"/>
  <c r="H6255" i="8"/>
  <c r="B6251" i="8"/>
  <c r="M6245" i="8"/>
  <c r="K6245" i="8"/>
  <c r="I6245" i="8"/>
  <c r="H6245" i="8"/>
  <c r="M6244" i="8"/>
  <c r="K6244" i="8"/>
  <c r="I6244" i="8"/>
  <c r="H6244" i="8"/>
  <c r="M6243" i="8"/>
  <c r="K6243" i="8"/>
  <c r="I6243" i="8"/>
  <c r="H6243" i="8"/>
  <c r="M6242" i="8"/>
  <c r="K6242" i="8"/>
  <c r="I6242" i="8"/>
  <c r="H6242" i="8"/>
  <c r="H6241" i="8"/>
  <c r="M6236" i="8"/>
  <c r="M6235" i="8"/>
  <c r="M6234" i="8"/>
  <c r="M6233" i="8"/>
  <c r="M6227" i="8"/>
  <c r="I6227" i="8"/>
  <c r="H6227" i="8"/>
  <c r="M6226" i="8"/>
  <c r="I6226" i="8"/>
  <c r="H6226" i="8"/>
  <c r="M6225" i="8"/>
  <c r="I6225" i="8"/>
  <c r="H6225" i="8"/>
  <c r="M6224" i="8"/>
  <c r="I6224" i="8"/>
  <c r="H6224" i="8"/>
  <c r="H6223" i="8"/>
  <c r="M6218" i="8"/>
  <c r="I6218" i="8"/>
  <c r="H6218" i="8"/>
  <c r="M6217" i="8"/>
  <c r="I6217" i="8"/>
  <c r="M6216" i="8"/>
  <c r="I6216" i="8"/>
  <c r="H6216" i="8"/>
  <c r="M6215" i="8"/>
  <c r="I6215" i="8"/>
  <c r="H6215" i="8"/>
  <c r="M6214" i="8"/>
  <c r="I6214" i="8"/>
  <c r="H6214" i="8"/>
  <c r="I6213" i="8"/>
  <c r="M6213" i="8" s="1"/>
  <c r="H6213" i="8"/>
  <c r="I6212" i="8"/>
  <c r="M6212" i="8" s="1"/>
  <c r="H6212" i="8"/>
  <c r="I6211" i="8"/>
  <c r="M6211" i="8" s="1"/>
  <c r="H6211" i="8"/>
  <c r="B6207" i="8"/>
  <c r="M6201" i="8"/>
  <c r="K6201" i="8"/>
  <c r="I6201" i="8"/>
  <c r="H6201" i="8"/>
  <c r="M6200" i="8"/>
  <c r="K6200" i="8"/>
  <c r="I6200" i="8"/>
  <c r="H6200" i="8"/>
  <c r="M6199" i="8"/>
  <c r="K6199" i="8"/>
  <c r="I6199" i="8"/>
  <c r="H6199" i="8"/>
  <c r="M6198" i="8"/>
  <c r="K6198" i="8"/>
  <c r="I6198" i="8"/>
  <c r="H6198" i="8"/>
  <c r="H6197" i="8"/>
  <c r="M6192" i="8"/>
  <c r="M6191" i="8"/>
  <c r="M6190" i="8"/>
  <c r="M6189" i="8"/>
  <c r="M6183" i="8"/>
  <c r="I6183" i="8"/>
  <c r="H6183" i="8"/>
  <c r="M6182" i="8"/>
  <c r="I6182" i="8"/>
  <c r="H6182" i="8"/>
  <c r="M6181" i="8"/>
  <c r="I6181" i="8"/>
  <c r="H6181" i="8"/>
  <c r="M6180" i="8"/>
  <c r="I6180" i="8"/>
  <c r="H6180" i="8"/>
  <c r="H6179" i="8"/>
  <c r="M6174" i="8"/>
  <c r="I6174" i="8"/>
  <c r="H6174" i="8"/>
  <c r="M6173" i="8"/>
  <c r="I6173" i="8"/>
  <c r="M6172" i="8"/>
  <c r="I6172" i="8"/>
  <c r="H6172" i="8"/>
  <c r="M6171" i="8"/>
  <c r="I6171" i="8"/>
  <c r="H6171" i="8"/>
  <c r="M6170" i="8"/>
  <c r="I6170" i="8"/>
  <c r="H6170" i="8"/>
  <c r="M6169" i="8"/>
  <c r="I6169" i="8"/>
  <c r="H6169" i="8"/>
  <c r="I6168" i="8"/>
  <c r="M6168" i="8" s="1"/>
  <c r="H6168" i="8"/>
  <c r="I6167" i="8"/>
  <c r="M6167" i="8" s="1"/>
  <c r="H6167" i="8"/>
  <c r="B6163" i="8"/>
  <c r="M6157" i="8"/>
  <c r="K6157" i="8"/>
  <c r="I6157" i="8"/>
  <c r="H6157" i="8"/>
  <c r="M6156" i="8"/>
  <c r="K6156" i="8"/>
  <c r="I6156" i="8"/>
  <c r="H6156" i="8"/>
  <c r="M6155" i="8"/>
  <c r="K6155" i="8"/>
  <c r="I6155" i="8"/>
  <c r="H6155" i="8"/>
  <c r="M6154" i="8"/>
  <c r="K6154" i="8"/>
  <c r="I6154" i="8"/>
  <c r="H6154" i="8"/>
  <c r="H6153" i="8"/>
  <c r="M6148" i="8"/>
  <c r="M6147" i="8"/>
  <c r="M6146" i="8"/>
  <c r="M6139" i="8"/>
  <c r="I6139" i="8"/>
  <c r="H6139" i="8"/>
  <c r="M6138" i="8"/>
  <c r="I6138" i="8"/>
  <c r="H6138" i="8"/>
  <c r="M6137" i="8"/>
  <c r="I6137" i="8"/>
  <c r="H6137" i="8"/>
  <c r="M6136" i="8"/>
  <c r="I6136" i="8"/>
  <c r="H6136" i="8"/>
  <c r="H6135" i="8"/>
  <c r="M6130" i="8"/>
  <c r="I6130" i="8"/>
  <c r="H6130" i="8"/>
  <c r="M6129" i="8"/>
  <c r="I6129" i="8"/>
  <c r="M6128" i="8"/>
  <c r="I6128" i="8"/>
  <c r="H6128" i="8"/>
  <c r="M6127" i="8"/>
  <c r="I6127" i="8"/>
  <c r="H6127" i="8"/>
  <c r="M6126" i="8"/>
  <c r="I6126" i="8"/>
  <c r="H6126" i="8"/>
  <c r="M6125" i="8"/>
  <c r="I6125" i="8"/>
  <c r="H6125" i="8"/>
  <c r="M6124" i="8"/>
  <c r="I6124" i="8"/>
  <c r="H6124" i="8"/>
  <c r="I6123" i="8"/>
  <c r="M6123" i="8" s="1"/>
  <c r="H6123" i="8"/>
  <c r="B6119" i="8"/>
  <c r="M6113" i="8"/>
  <c r="K6113" i="8"/>
  <c r="I6113" i="8"/>
  <c r="H6113" i="8"/>
  <c r="M6112" i="8"/>
  <c r="K6112" i="8"/>
  <c r="I6112" i="8"/>
  <c r="H6112" i="8"/>
  <c r="M6111" i="8"/>
  <c r="K6111" i="8"/>
  <c r="I6111" i="8"/>
  <c r="H6111" i="8"/>
  <c r="M6110" i="8"/>
  <c r="K6110" i="8"/>
  <c r="I6110" i="8"/>
  <c r="H6110" i="8"/>
  <c r="M6109" i="8"/>
  <c r="H6109" i="8"/>
  <c r="M6104" i="8"/>
  <c r="M6103" i="8"/>
  <c r="M6102" i="8"/>
  <c r="M6101" i="8"/>
  <c r="M6100" i="8"/>
  <c r="M6095" i="8"/>
  <c r="I6095" i="8"/>
  <c r="H6095" i="8"/>
  <c r="M6094" i="8"/>
  <c r="I6094" i="8"/>
  <c r="H6094" i="8"/>
  <c r="M6093" i="8"/>
  <c r="I6093" i="8"/>
  <c r="H6093" i="8"/>
  <c r="M6092" i="8"/>
  <c r="I6092" i="8"/>
  <c r="H6092" i="8"/>
  <c r="M6091" i="8"/>
  <c r="H6091" i="8"/>
  <c r="M6086" i="8"/>
  <c r="I6086" i="8"/>
  <c r="H6086" i="8"/>
  <c r="M6085" i="8"/>
  <c r="I6085" i="8"/>
  <c r="M6084" i="8"/>
  <c r="I6084" i="8"/>
  <c r="H6084" i="8"/>
  <c r="M6083" i="8"/>
  <c r="I6083" i="8"/>
  <c r="H6083" i="8"/>
  <c r="M6082" i="8"/>
  <c r="I6082" i="8"/>
  <c r="H6082" i="8"/>
  <c r="M6081" i="8"/>
  <c r="I6081" i="8"/>
  <c r="H6081" i="8"/>
  <c r="M6080" i="8"/>
  <c r="I6080" i="8"/>
  <c r="H6080" i="8"/>
  <c r="I6079" i="8"/>
  <c r="M6079" i="8" s="1"/>
  <c r="M6087" i="8" s="1"/>
  <c r="H6075" i="8" s="1"/>
  <c r="H6079" i="8"/>
  <c r="B6075" i="8"/>
  <c r="M6069" i="8"/>
  <c r="K6069" i="8"/>
  <c r="I6069" i="8"/>
  <c r="H6069" i="8"/>
  <c r="M6068" i="8"/>
  <c r="K6068" i="8"/>
  <c r="I6068" i="8"/>
  <c r="H6068" i="8"/>
  <c r="M6067" i="8"/>
  <c r="K6067" i="8"/>
  <c r="I6067" i="8"/>
  <c r="H6067" i="8"/>
  <c r="M6066" i="8"/>
  <c r="K6066" i="8"/>
  <c r="I6066" i="8"/>
  <c r="H6066" i="8"/>
  <c r="L6065" i="8"/>
  <c r="H6065" i="8"/>
  <c r="M6060" i="8"/>
  <c r="M6059" i="8"/>
  <c r="M6058" i="8"/>
  <c r="M6057" i="8"/>
  <c r="M6051" i="8"/>
  <c r="I6051" i="8"/>
  <c r="H6051" i="8"/>
  <c r="M6050" i="8"/>
  <c r="I6050" i="8"/>
  <c r="H6050" i="8"/>
  <c r="M6049" i="8"/>
  <c r="I6049" i="8"/>
  <c r="H6049" i="8"/>
  <c r="M6048" i="8"/>
  <c r="I6048" i="8"/>
  <c r="H6048" i="8"/>
  <c r="H6047" i="8"/>
  <c r="M6042" i="8"/>
  <c r="I6042" i="8"/>
  <c r="H6042" i="8"/>
  <c r="M6041" i="8"/>
  <c r="I6041" i="8"/>
  <c r="M6040" i="8"/>
  <c r="I6040" i="8"/>
  <c r="H6040" i="8"/>
  <c r="M6039" i="8"/>
  <c r="I6039" i="8"/>
  <c r="H6039" i="8"/>
  <c r="M6038" i="8"/>
  <c r="I6038" i="8"/>
  <c r="H6038" i="8"/>
  <c r="M6037" i="8"/>
  <c r="I6037" i="8"/>
  <c r="H6037" i="8"/>
  <c r="M6036" i="8"/>
  <c r="I6036" i="8"/>
  <c r="H6036" i="8"/>
  <c r="I6035" i="8"/>
  <c r="M6035" i="8" s="1"/>
  <c r="H6035" i="8"/>
  <c r="B6031" i="8"/>
  <c r="M6025" i="8"/>
  <c r="K6025" i="8"/>
  <c r="I6025" i="8"/>
  <c r="H6025" i="8"/>
  <c r="M6024" i="8"/>
  <c r="K6024" i="8"/>
  <c r="I6024" i="8"/>
  <c r="H6024" i="8"/>
  <c r="M6023" i="8"/>
  <c r="K6023" i="8"/>
  <c r="I6023" i="8"/>
  <c r="H6023" i="8"/>
  <c r="M6022" i="8"/>
  <c r="K6022" i="8"/>
  <c r="I6022" i="8"/>
  <c r="H6022" i="8"/>
  <c r="H6021" i="8"/>
  <c r="M6016" i="8"/>
  <c r="M6015" i="8"/>
  <c r="M6014" i="8"/>
  <c r="M6013" i="8"/>
  <c r="M6007" i="8"/>
  <c r="I6007" i="8"/>
  <c r="H6007" i="8"/>
  <c r="M6006" i="8"/>
  <c r="I6006" i="8"/>
  <c r="H6006" i="8"/>
  <c r="M6005" i="8"/>
  <c r="I6005" i="8"/>
  <c r="H6005" i="8"/>
  <c r="M6004" i="8"/>
  <c r="I6004" i="8"/>
  <c r="H6004" i="8"/>
  <c r="H6003" i="8"/>
  <c r="M5998" i="8"/>
  <c r="I5998" i="8"/>
  <c r="H5998" i="8"/>
  <c r="M5997" i="8"/>
  <c r="I5997" i="8"/>
  <c r="M5996" i="8"/>
  <c r="I5996" i="8"/>
  <c r="H5996" i="8"/>
  <c r="M5995" i="8"/>
  <c r="I5995" i="8"/>
  <c r="H5995" i="8"/>
  <c r="M5994" i="8"/>
  <c r="I5994" i="8"/>
  <c r="H5994" i="8"/>
  <c r="M5993" i="8"/>
  <c r="I5993" i="8"/>
  <c r="H5993" i="8"/>
  <c r="M5992" i="8"/>
  <c r="I5992" i="8"/>
  <c r="H5992" i="8"/>
  <c r="I5991" i="8"/>
  <c r="M5991" i="8" s="1"/>
  <c r="H5991" i="8"/>
  <c r="B5987" i="8"/>
  <c r="M5981" i="8"/>
  <c r="K5981" i="8"/>
  <c r="I5981" i="8"/>
  <c r="H5981" i="8"/>
  <c r="M5980" i="8"/>
  <c r="K5980" i="8"/>
  <c r="I5980" i="8"/>
  <c r="H5980" i="8"/>
  <c r="M5979" i="8"/>
  <c r="K5979" i="8"/>
  <c r="I5979" i="8"/>
  <c r="H5979" i="8"/>
  <c r="M5978" i="8"/>
  <c r="K5978" i="8"/>
  <c r="I5978" i="8"/>
  <c r="H5978" i="8"/>
  <c r="L5977" i="8"/>
  <c r="H5977" i="8"/>
  <c r="M5972" i="8"/>
  <c r="M5971" i="8"/>
  <c r="M5970" i="8"/>
  <c r="M5969" i="8"/>
  <c r="M5963" i="8"/>
  <c r="I5963" i="8"/>
  <c r="H5963" i="8"/>
  <c r="M5962" i="8"/>
  <c r="I5962" i="8"/>
  <c r="H5962" i="8"/>
  <c r="M5961" i="8"/>
  <c r="I5961" i="8"/>
  <c r="H5961" i="8"/>
  <c r="M5960" i="8"/>
  <c r="I5960" i="8"/>
  <c r="H5960" i="8"/>
  <c r="H5959" i="8"/>
  <c r="M5954" i="8"/>
  <c r="I5954" i="8"/>
  <c r="H5954" i="8"/>
  <c r="M5953" i="8"/>
  <c r="I5953" i="8"/>
  <c r="M5952" i="8"/>
  <c r="I5952" i="8"/>
  <c r="H5952" i="8"/>
  <c r="M5951" i="8"/>
  <c r="I5951" i="8"/>
  <c r="H5951" i="8"/>
  <c r="M5950" i="8"/>
  <c r="I5950" i="8"/>
  <c r="H5950" i="8"/>
  <c r="M5949" i="8"/>
  <c r="I5949" i="8"/>
  <c r="H5949" i="8"/>
  <c r="M5948" i="8"/>
  <c r="I5948" i="8"/>
  <c r="H5948" i="8"/>
  <c r="I5947" i="8"/>
  <c r="M5947" i="8" s="1"/>
  <c r="H5947" i="8"/>
  <c r="B5943" i="8"/>
  <c r="M5937" i="8"/>
  <c r="K5937" i="8"/>
  <c r="I5937" i="8"/>
  <c r="H5937" i="8"/>
  <c r="M5936" i="8"/>
  <c r="K5936" i="8"/>
  <c r="I5936" i="8"/>
  <c r="H5936" i="8"/>
  <c r="M5935" i="8"/>
  <c r="K5935" i="8"/>
  <c r="I5935" i="8"/>
  <c r="H5935" i="8"/>
  <c r="M5934" i="8"/>
  <c r="K5934" i="8"/>
  <c r="I5934" i="8"/>
  <c r="H5934" i="8"/>
  <c r="L5933" i="8"/>
  <c r="H5933" i="8"/>
  <c r="M5928" i="8"/>
  <c r="M5927" i="8"/>
  <c r="M5926" i="8"/>
  <c r="M5925" i="8"/>
  <c r="M5919" i="8"/>
  <c r="I5919" i="8"/>
  <c r="H5919" i="8"/>
  <c r="M5918" i="8"/>
  <c r="I5918" i="8"/>
  <c r="H5918" i="8"/>
  <c r="M5917" i="8"/>
  <c r="I5917" i="8"/>
  <c r="H5917" i="8"/>
  <c r="M5916" i="8"/>
  <c r="I5916" i="8"/>
  <c r="H5916" i="8"/>
  <c r="H5915" i="8"/>
  <c r="M5910" i="8"/>
  <c r="I5910" i="8"/>
  <c r="H5910" i="8"/>
  <c r="M5909" i="8"/>
  <c r="I5909" i="8"/>
  <c r="M5908" i="8"/>
  <c r="I5908" i="8"/>
  <c r="H5908" i="8"/>
  <c r="M5907" i="8"/>
  <c r="I5907" i="8"/>
  <c r="H5907" i="8"/>
  <c r="M5906" i="8"/>
  <c r="I5906" i="8"/>
  <c r="H5906" i="8"/>
  <c r="M5905" i="8"/>
  <c r="I5905" i="8"/>
  <c r="H5905" i="8"/>
  <c r="M5904" i="8"/>
  <c r="I5904" i="8"/>
  <c r="H5904" i="8"/>
  <c r="I5903" i="8"/>
  <c r="M5903" i="8" s="1"/>
  <c r="M5911" i="8" s="1"/>
  <c r="I5924" i="8" s="1"/>
  <c r="M5924" i="8" s="1"/>
  <c r="M5929" i="8" s="1"/>
  <c r="L5899" i="8" s="1"/>
  <c r="H5903" i="8"/>
  <c r="B5899" i="8"/>
  <c r="M5893" i="8"/>
  <c r="K5893" i="8"/>
  <c r="I5893" i="8"/>
  <c r="H5893" i="8"/>
  <c r="M5892" i="8"/>
  <c r="K5892" i="8"/>
  <c r="I5892" i="8"/>
  <c r="H5892" i="8"/>
  <c r="M5891" i="8"/>
  <c r="K5891" i="8"/>
  <c r="I5891" i="8"/>
  <c r="H5891" i="8"/>
  <c r="M5890" i="8"/>
  <c r="K5890" i="8"/>
  <c r="I5890" i="8"/>
  <c r="H5890" i="8"/>
  <c r="M5889" i="8"/>
  <c r="K5889" i="8"/>
  <c r="I5889" i="8"/>
  <c r="H5889" i="8"/>
  <c r="M5884" i="8"/>
  <c r="M5883" i="8"/>
  <c r="M5882" i="8"/>
  <c r="M5881" i="8"/>
  <c r="M5880" i="8"/>
  <c r="M5875" i="8"/>
  <c r="I5875" i="8"/>
  <c r="H5875" i="8"/>
  <c r="M5874" i="8"/>
  <c r="I5874" i="8"/>
  <c r="H5874" i="8"/>
  <c r="M5873" i="8"/>
  <c r="I5873" i="8"/>
  <c r="H5873" i="8"/>
  <c r="M5872" i="8"/>
  <c r="I5872" i="8"/>
  <c r="H5872" i="8"/>
  <c r="H5871" i="8"/>
  <c r="M5866" i="8"/>
  <c r="I5866" i="8"/>
  <c r="H5866" i="8"/>
  <c r="M5865" i="8"/>
  <c r="I5865" i="8"/>
  <c r="M5864" i="8"/>
  <c r="I5864" i="8"/>
  <c r="H5864" i="8"/>
  <c r="M5863" i="8"/>
  <c r="I5863" i="8"/>
  <c r="H5863" i="8"/>
  <c r="M5862" i="8"/>
  <c r="I5862" i="8"/>
  <c r="H5862" i="8"/>
  <c r="M5861" i="8"/>
  <c r="I5861" i="8"/>
  <c r="H5861" i="8"/>
  <c r="M5860" i="8"/>
  <c r="I5860" i="8"/>
  <c r="H5860" i="8"/>
  <c r="I5859" i="8"/>
  <c r="M5859" i="8" s="1"/>
  <c r="H5859" i="8"/>
  <c r="B5855" i="8"/>
  <c r="M5849" i="8"/>
  <c r="K5849" i="8"/>
  <c r="I5849" i="8"/>
  <c r="H5849" i="8"/>
  <c r="M5848" i="8"/>
  <c r="K5848" i="8"/>
  <c r="I5848" i="8"/>
  <c r="H5848" i="8"/>
  <c r="M5847" i="8"/>
  <c r="K5847" i="8"/>
  <c r="I5847" i="8"/>
  <c r="H5847" i="8"/>
  <c r="M5846" i="8"/>
  <c r="K5846" i="8"/>
  <c r="I5846" i="8"/>
  <c r="H5846" i="8"/>
  <c r="M5845" i="8"/>
  <c r="K5845" i="8"/>
  <c r="I5845" i="8"/>
  <c r="H5845" i="8"/>
  <c r="M5840" i="8"/>
  <c r="M5839" i="8"/>
  <c r="M5838" i="8"/>
  <c r="M5837" i="8"/>
  <c r="M5831" i="8"/>
  <c r="I5831" i="8"/>
  <c r="H5831" i="8"/>
  <c r="M5830" i="8"/>
  <c r="I5830" i="8"/>
  <c r="H5830" i="8"/>
  <c r="M5829" i="8"/>
  <c r="I5829" i="8"/>
  <c r="H5829" i="8"/>
  <c r="M5828" i="8"/>
  <c r="I5828" i="8"/>
  <c r="H5828" i="8"/>
  <c r="I5827" i="8"/>
  <c r="M5827" i="8" s="1"/>
  <c r="H5827" i="8"/>
  <c r="M5822" i="8"/>
  <c r="I5822" i="8"/>
  <c r="H5822" i="8"/>
  <c r="M5821" i="8"/>
  <c r="I5821" i="8"/>
  <c r="M5820" i="8"/>
  <c r="I5820" i="8"/>
  <c r="H5820" i="8"/>
  <c r="M5819" i="8"/>
  <c r="I5819" i="8"/>
  <c r="H5819" i="8"/>
  <c r="M5818" i="8"/>
  <c r="I5818" i="8"/>
  <c r="H5818" i="8"/>
  <c r="M5817" i="8"/>
  <c r="I5817" i="8"/>
  <c r="H5817" i="8"/>
  <c r="M5816" i="8"/>
  <c r="I5816" i="8"/>
  <c r="H5816" i="8"/>
  <c r="M5815" i="8"/>
  <c r="I5815" i="8"/>
  <c r="H5815" i="8"/>
  <c r="B5811" i="8"/>
  <c r="M5805" i="8"/>
  <c r="K5805" i="8"/>
  <c r="I5805" i="8"/>
  <c r="H5805" i="8"/>
  <c r="M5804" i="8"/>
  <c r="K5804" i="8"/>
  <c r="I5804" i="8"/>
  <c r="H5804" i="8"/>
  <c r="M5803" i="8"/>
  <c r="K5803" i="8"/>
  <c r="I5803" i="8"/>
  <c r="H5803" i="8"/>
  <c r="M5802" i="8"/>
  <c r="K5802" i="8"/>
  <c r="I5802" i="8"/>
  <c r="H5802" i="8"/>
  <c r="H5801" i="8"/>
  <c r="M5796" i="8"/>
  <c r="M5795" i="8"/>
  <c r="M5794" i="8"/>
  <c r="M5793" i="8"/>
  <c r="M5787" i="8"/>
  <c r="I5787" i="8"/>
  <c r="H5787" i="8"/>
  <c r="M5786" i="8"/>
  <c r="I5786" i="8"/>
  <c r="H5786" i="8"/>
  <c r="M5785" i="8"/>
  <c r="I5785" i="8"/>
  <c r="H5785" i="8"/>
  <c r="M5784" i="8"/>
  <c r="I5784" i="8"/>
  <c r="H5784" i="8"/>
  <c r="H5783" i="8"/>
  <c r="M5778" i="8"/>
  <c r="I5778" i="8"/>
  <c r="H5778" i="8"/>
  <c r="M5777" i="8"/>
  <c r="I5777" i="8"/>
  <c r="M5776" i="8"/>
  <c r="I5776" i="8"/>
  <c r="H5776" i="8"/>
  <c r="M5775" i="8"/>
  <c r="I5775" i="8"/>
  <c r="H5775" i="8"/>
  <c r="I5774" i="8"/>
  <c r="M5774" i="8" s="1"/>
  <c r="H5774" i="8"/>
  <c r="I5773" i="8"/>
  <c r="M5773" i="8" s="1"/>
  <c r="H5773" i="8"/>
  <c r="I5772" i="8"/>
  <c r="M5772" i="8" s="1"/>
  <c r="H5772" i="8"/>
  <c r="I5771" i="8"/>
  <c r="M5771" i="8" s="1"/>
  <c r="M5779" i="8" s="1"/>
  <c r="H5771" i="8"/>
  <c r="B5767" i="8"/>
  <c r="M5761" i="8"/>
  <c r="K5761" i="8"/>
  <c r="I5761" i="8"/>
  <c r="H5761" i="8"/>
  <c r="M5760" i="8"/>
  <c r="K5760" i="8"/>
  <c r="I5760" i="8"/>
  <c r="H5760" i="8"/>
  <c r="M5759" i="8"/>
  <c r="K5759" i="8"/>
  <c r="I5759" i="8"/>
  <c r="H5759" i="8"/>
  <c r="M5758" i="8"/>
  <c r="K5758" i="8"/>
  <c r="I5758" i="8"/>
  <c r="H5758" i="8"/>
  <c r="H5757" i="8"/>
  <c r="M5752" i="8"/>
  <c r="M5751" i="8"/>
  <c r="M5750" i="8"/>
  <c r="M5749" i="8"/>
  <c r="M5743" i="8"/>
  <c r="I5743" i="8"/>
  <c r="H5743" i="8"/>
  <c r="M5742" i="8"/>
  <c r="I5742" i="8"/>
  <c r="H5742" i="8"/>
  <c r="M5741" i="8"/>
  <c r="I5741" i="8"/>
  <c r="H5741" i="8"/>
  <c r="M5740" i="8"/>
  <c r="I5740" i="8"/>
  <c r="H5740" i="8"/>
  <c r="H5739" i="8"/>
  <c r="M5734" i="8"/>
  <c r="I5734" i="8"/>
  <c r="H5734" i="8"/>
  <c r="M5733" i="8"/>
  <c r="I5733" i="8"/>
  <c r="M5732" i="8"/>
  <c r="I5732" i="8"/>
  <c r="H5732" i="8"/>
  <c r="M5731" i="8"/>
  <c r="I5731" i="8"/>
  <c r="H5731" i="8"/>
  <c r="I5730" i="8"/>
  <c r="M5730" i="8" s="1"/>
  <c r="H5730" i="8"/>
  <c r="I5729" i="8"/>
  <c r="M5729" i="8" s="1"/>
  <c r="H5729" i="8"/>
  <c r="I5728" i="8"/>
  <c r="M5728" i="8" s="1"/>
  <c r="H5728" i="8"/>
  <c r="I5727" i="8"/>
  <c r="M5727" i="8" s="1"/>
  <c r="H5727" i="8"/>
  <c r="B5723" i="8"/>
  <c r="M5717" i="8"/>
  <c r="K5717" i="8"/>
  <c r="I5717" i="8"/>
  <c r="H5717" i="8"/>
  <c r="M5716" i="8"/>
  <c r="K5716" i="8"/>
  <c r="I5716" i="8"/>
  <c r="H5716" i="8"/>
  <c r="M5715" i="8"/>
  <c r="K5715" i="8"/>
  <c r="I5715" i="8"/>
  <c r="H5715" i="8"/>
  <c r="M5714" i="8"/>
  <c r="K5714" i="8"/>
  <c r="I5714" i="8"/>
  <c r="H5714" i="8"/>
  <c r="H5713" i="8"/>
  <c r="M5708" i="8"/>
  <c r="M5707" i="8"/>
  <c r="M5706" i="8"/>
  <c r="M5705" i="8"/>
  <c r="M5699" i="8"/>
  <c r="I5699" i="8"/>
  <c r="H5699" i="8"/>
  <c r="M5698" i="8"/>
  <c r="I5698" i="8"/>
  <c r="H5698" i="8"/>
  <c r="M5697" i="8"/>
  <c r="I5697" i="8"/>
  <c r="H5697" i="8"/>
  <c r="M5696" i="8"/>
  <c r="I5696" i="8"/>
  <c r="H5696" i="8"/>
  <c r="H5695" i="8"/>
  <c r="M5690" i="8"/>
  <c r="I5690" i="8"/>
  <c r="H5690" i="8"/>
  <c r="M5689" i="8"/>
  <c r="I5689" i="8"/>
  <c r="M5688" i="8"/>
  <c r="I5688" i="8"/>
  <c r="H5688" i="8"/>
  <c r="M5687" i="8"/>
  <c r="I5687" i="8"/>
  <c r="H5687" i="8"/>
  <c r="M5686" i="8"/>
  <c r="I5686" i="8"/>
  <c r="H5686" i="8"/>
  <c r="I5685" i="8"/>
  <c r="M5685" i="8" s="1"/>
  <c r="H5685" i="8"/>
  <c r="I5684" i="8"/>
  <c r="M5684" i="8" s="1"/>
  <c r="H5684" i="8"/>
  <c r="I5683" i="8"/>
  <c r="M5683" i="8" s="1"/>
  <c r="H5683" i="8"/>
  <c r="B5679" i="8"/>
  <c r="M5673" i="8"/>
  <c r="K5673" i="8"/>
  <c r="I5673" i="8"/>
  <c r="H5673" i="8"/>
  <c r="M5672" i="8"/>
  <c r="K5672" i="8"/>
  <c r="I5672" i="8"/>
  <c r="H5672" i="8"/>
  <c r="M5671" i="8"/>
  <c r="K5671" i="8"/>
  <c r="I5671" i="8"/>
  <c r="H5671" i="8"/>
  <c r="M5670" i="8"/>
  <c r="K5670" i="8"/>
  <c r="I5670" i="8"/>
  <c r="H5670" i="8"/>
  <c r="H5669" i="8"/>
  <c r="M5664" i="8"/>
  <c r="M5663" i="8"/>
  <c r="M5662" i="8"/>
  <c r="M5661" i="8"/>
  <c r="M5655" i="8"/>
  <c r="I5655" i="8"/>
  <c r="H5655" i="8"/>
  <c r="M5654" i="8"/>
  <c r="I5654" i="8"/>
  <c r="H5654" i="8"/>
  <c r="M5653" i="8"/>
  <c r="I5653" i="8"/>
  <c r="H5653" i="8"/>
  <c r="M5652" i="8"/>
  <c r="I5652" i="8"/>
  <c r="H5652" i="8"/>
  <c r="H5651" i="8"/>
  <c r="M5646" i="8"/>
  <c r="I5646" i="8"/>
  <c r="H5646" i="8"/>
  <c r="M5645" i="8"/>
  <c r="I5645" i="8"/>
  <c r="M5644" i="8"/>
  <c r="I5644" i="8"/>
  <c r="H5644" i="8"/>
  <c r="M5643" i="8"/>
  <c r="I5643" i="8"/>
  <c r="H5643" i="8"/>
  <c r="M5642" i="8"/>
  <c r="I5642" i="8"/>
  <c r="H5642" i="8"/>
  <c r="M5641" i="8"/>
  <c r="I5641" i="8"/>
  <c r="H5641" i="8"/>
  <c r="M5640" i="8"/>
  <c r="I5640" i="8"/>
  <c r="H5640" i="8"/>
  <c r="I5639" i="8"/>
  <c r="M5639" i="8" s="1"/>
  <c r="H5639" i="8"/>
  <c r="B5635" i="8"/>
  <c r="M5629" i="8"/>
  <c r="K5629" i="8"/>
  <c r="I5629" i="8"/>
  <c r="H5629" i="8"/>
  <c r="M5628" i="8"/>
  <c r="K5628" i="8"/>
  <c r="I5628" i="8"/>
  <c r="H5628" i="8"/>
  <c r="M5627" i="8"/>
  <c r="K5627" i="8"/>
  <c r="I5627" i="8"/>
  <c r="H5627" i="8"/>
  <c r="M5626" i="8"/>
  <c r="K5626" i="8"/>
  <c r="I5626" i="8"/>
  <c r="H5626" i="8"/>
  <c r="H5625" i="8"/>
  <c r="M5620" i="8"/>
  <c r="M5619" i="8"/>
  <c r="M5618" i="8"/>
  <c r="M5617" i="8"/>
  <c r="M5611" i="8"/>
  <c r="I5611" i="8"/>
  <c r="H5611" i="8"/>
  <c r="M5610" i="8"/>
  <c r="I5610" i="8"/>
  <c r="H5610" i="8"/>
  <c r="M5609" i="8"/>
  <c r="I5609" i="8"/>
  <c r="H5609" i="8"/>
  <c r="M5608" i="8"/>
  <c r="I5608" i="8"/>
  <c r="H5608" i="8"/>
  <c r="H5607" i="8"/>
  <c r="M5602" i="8"/>
  <c r="I5602" i="8"/>
  <c r="H5602" i="8"/>
  <c r="M5601" i="8"/>
  <c r="I5601" i="8"/>
  <c r="M5600" i="8"/>
  <c r="I5600" i="8"/>
  <c r="H5600" i="8"/>
  <c r="M5599" i="8"/>
  <c r="I5599" i="8"/>
  <c r="H5599" i="8"/>
  <c r="M5598" i="8"/>
  <c r="I5598" i="8"/>
  <c r="H5598" i="8"/>
  <c r="M5597" i="8"/>
  <c r="I5597" i="8"/>
  <c r="H5597" i="8"/>
  <c r="M5596" i="8"/>
  <c r="I5596" i="8"/>
  <c r="H5596" i="8"/>
  <c r="I5595" i="8"/>
  <c r="M5595" i="8" s="1"/>
  <c r="H5595" i="8"/>
  <c r="B5591" i="8"/>
  <c r="M5585" i="8"/>
  <c r="K5585" i="8"/>
  <c r="I5585" i="8"/>
  <c r="H5585" i="8"/>
  <c r="M5584" i="8"/>
  <c r="K5584" i="8"/>
  <c r="I5584" i="8"/>
  <c r="H5584" i="8"/>
  <c r="M5583" i="8"/>
  <c r="K5583" i="8"/>
  <c r="I5583" i="8"/>
  <c r="H5583" i="8"/>
  <c r="M5582" i="8"/>
  <c r="K5582" i="8"/>
  <c r="I5582" i="8"/>
  <c r="H5582" i="8"/>
  <c r="H5581" i="8"/>
  <c r="M5576" i="8"/>
  <c r="M5575" i="8"/>
  <c r="M5574" i="8"/>
  <c r="M5567" i="8"/>
  <c r="I5567" i="8"/>
  <c r="H5567" i="8"/>
  <c r="M5566" i="8"/>
  <c r="I5566" i="8"/>
  <c r="H5566" i="8"/>
  <c r="M5565" i="8"/>
  <c r="I5565" i="8"/>
  <c r="H5565" i="8"/>
  <c r="M5564" i="8"/>
  <c r="I5564" i="8"/>
  <c r="H5564" i="8"/>
  <c r="H5563" i="8"/>
  <c r="M5558" i="8"/>
  <c r="I5558" i="8"/>
  <c r="H5558" i="8"/>
  <c r="M5557" i="8"/>
  <c r="I5557" i="8"/>
  <c r="M5556" i="8"/>
  <c r="I5556" i="8"/>
  <c r="H5556" i="8"/>
  <c r="M5555" i="8"/>
  <c r="I5555" i="8"/>
  <c r="H5555" i="8"/>
  <c r="M5554" i="8"/>
  <c r="I5554" i="8"/>
  <c r="H5554" i="8"/>
  <c r="M5553" i="8"/>
  <c r="I5553" i="8"/>
  <c r="H5553" i="8"/>
  <c r="H5552" i="8"/>
  <c r="I5551" i="8"/>
  <c r="M5551" i="8" s="1"/>
  <c r="H5551" i="8"/>
  <c r="B5547" i="8"/>
  <c r="M5541" i="8"/>
  <c r="K5541" i="8"/>
  <c r="I5541" i="8"/>
  <c r="H5541" i="8"/>
  <c r="M5540" i="8"/>
  <c r="K5540" i="8"/>
  <c r="I5540" i="8"/>
  <c r="H5540" i="8"/>
  <c r="M5539" i="8"/>
  <c r="K5539" i="8"/>
  <c r="I5539" i="8"/>
  <c r="H5539" i="8"/>
  <c r="M5538" i="8"/>
  <c r="K5538" i="8"/>
  <c r="I5538" i="8"/>
  <c r="H5538" i="8"/>
  <c r="H5537" i="8"/>
  <c r="M5532" i="8"/>
  <c r="M5531" i="8"/>
  <c r="M5530" i="8"/>
  <c r="M5529" i="8"/>
  <c r="K5528" i="8"/>
  <c r="M5528" i="8" s="1"/>
  <c r="M5523" i="8"/>
  <c r="I5523" i="8"/>
  <c r="H5523" i="8"/>
  <c r="M5522" i="8"/>
  <c r="I5522" i="8"/>
  <c r="H5522" i="8"/>
  <c r="M5521" i="8"/>
  <c r="I5521" i="8"/>
  <c r="H5521" i="8"/>
  <c r="M5520" i="8"/>
  <c r="I5520" i="8"/>
  <c r="H5520" i="8"/>
  <c r="H5519" i="8"/>
  <c r="M5514" i="8"/>
  <c r="I5514" i="8"/>
  <c r="H5514" i="8"/>
  <c r="M5513" i="8"/>
  <c r="I5513" i="8"/>
  <c r="M5512" i="8"/>
  <c r="I5512" i="8"/>
  <c r="H5512" i="8"/>
  <c r="M5511" i="8"/>
  <c r="I5511" i="8"/>
  <c r="H5511" i="8"/>
  <c r="M5510" i="8"/>
  <c r="I5510" i="8"/>
  <c r="H5510" i="8"/>
  <c r="M5509" i="8"/>
  <c r="I5509" i="8"/>
  <c r="H5509" i="8"/>
  <c r="M5508" i="8"/>
  <c r="I5508" i="8"/>
  <c r="H5508" i="8"/>
  <c r="I5507" i="8"/>
  <c r="M5507" i="8" s="1"/>
  <c r="H5507" i="8"/>
  <c r="B5503" i="8"/>
  <c r="M5497" i="8"/>
  <c r="K5497" i="8"/>
  <c r="I5497" i="8"/>
  <c r="H5497" i="8"/>
  <c r="M5496" i="8"/>
  <c r="K5496" i="8"/>
  <c r="I5496" i="8"/>
  <c r="H5496" i="8"/>
  <c r="M5495" i="8"/>
  <c r="K5495" i="8"/>
  <c r="I5495" i="8"/>
  <c r="H5495" i="8"/>
  <c r="M5494" i="8"/>
  <c r="K5494" i="8"/>
  <c r="I5494" i="8"/>
  <c r="H5494" i="8"/>
  <c r="H5493" i="8"/>
  <c r="M5488" i="8"/>
  <c r="M5487" i="8"/>
  <c r="M5486" i="8"/>
  <c r="M5485" i="8"/>
  <c r="M5484" i="8"/>
  <c r="M5479" i="8"/>
  <c r="I5479" i="8"/>
  <c r="H5479" i="8"/>
  <c r="I5478" i="8"/>
  <c r="M5478" i="8" s="1"/>
  <c r="H5478" i="8"/>
  <c r="I5477" i="8"/>
  <c r="M5477" i="8" s="1"/>
  <c r="H5477" i="8"/>
  <c r="I5476" i="8"/>
  <c r="M5476" i="8" s="1"/>
  <c r="H5476" i="8"/>
  <c r="H5475" i="8"/>
  <c r="M5470" i="8"/>
  <c r="I5470" i="8"/>
  <c r="H5470" i="8"/>
  <c r="M5469" i="8"/>
  <c r="I5469" i="8"/>
  <c r="M5468" i="8"/>
  <c r="I5468" i="8"/>
  <c r="H5468" i="8"/>
  <c r="M5467" i="8"/>
  <c r="I5467" i="8"/>
  <c r="H5467" i="8"/>
  <c r="M5466" i="8"/>
  <c r="I5466" i="8"/>
  <c r="H5466" i="8"/>
  <c r="H5465" i="8"/>
  <c r="I5464" i="8"/>
  <c r="M5464" i="8" s="1"/>
  <c r="H5464" i="8"/>
  <c r="I5463" i="8"/>
  <c r="M5463" i="8" s="1"/>
  <c r="H5463" i="8"/>
  <c r="B5459" i="8"/>
  <c r="M5453" i="8"/>
  <c r="K5453" i="8"/>
  <c r="I5453" i="8"/>
  <c r="H5453" i="8"/>
  <c r="M5452" i="8"/>
  <c r="K5452" i="8"/>
  <c r="I5452" i="8"/>
  <c r="H5452" i="8"/>
  <c r="M5451" i="8"/>
  <c r="K5451" i="8"/>
  <c r="I5451" i="8"/>
  <c r="H5451" i="8"/>
  <c r="M5450" i="8"/>
  <c r="K5450" i="8"/>
  <c r="I5450" i="8"/>
  <c r="H5450" i="8"/>
  <c r="H5449" i="8"/>
  <c r="M5444" i="8"/>
  <c r="M5443" i="8"/>
  <c r="M5442" i="8"/>
  <c r="M5441" i="8"/>
  <c r="M5440" i="8"/>
  <c r="M5435" i="8"/>
  <c r="I5435" i="8"/>
  <c r="H5435" i="8"/>
  <c r="M5434" i="8"/>
  <c r="I5434" i="8"/>
  <c r="H5434" i="8"/>
  <c r="M5433" i="8"/>
  <c r="H5433" i="8"/>
  <c r="M5432" i="8"/>
  <c r="I5432" i="8"/>
  <c r="H5432" i="8"/>
  <c r="H5431" i="8"/>
  <c r="M5426" i="8"/>
  <c r="I5426" i="8"/>
  <c r="H5426" i="8"/>
  <c r="M5425" i="8"/>
  <c r="I5425" i="8"/>
  <c r="M5424" i="8"/>
  <c r="I5424" i="8"/>
  <c r="H5424" i="8"/>
  <c r="M5423" i="8"/>
  <c r="I5423" i="8"/>
  <c r="H5423" i="8"/>
  <c r="M5422" i="8"/>
  <c r="I5422" i="8"/>
  <c r="H5422" i="8"/>
  <c r="M5421" i="8"/>
  <c r="I5421" i="8"/>
  <c r="H5421" i="8"/>
  <c r="H5420" i="8"/>
  <c r="I5419" i="8"/>
  <c r="M5419" i="8" s="1"/>
  <c r="H5419" i="8"/>
  <c r="B5415" i="8"/>
  <c r="M5409" i="8"/>
  <c r="K5409" i="8"/>
  <c r="I5409" i="8"/>
  <c r="H5409" i="8"/>
  <c r="M5408" i="8"/>
  <c r="K5408" i="8"/>
  <c r="I5408" i="8"/>
  <c r="H5408" i="8"/>
  <c r="M5407" i="8"/>
  <c r="K5407" i="8"/>
  <c r="I5407" i="8"/>
  <c r="H5407" i="8"/>
  <c r="M5406" i="8"/>
  <c r="K5406" i="8"/>
  <c r="I5406" i="8"/>
  <c r="H5406" i="8"/>
  <c r="H5405" i="8"/>
  <c r="M5400" i="8"/>
  <c r="M5399" i="8"/>
  <c r="M5398" i="8"/>
  <c r="M5397" i="8"/>
  <c r="M5396" i="8"/>
  <c r="M5391" i="8"/>
  <c r="I5391" i="8"/>
  <c r="H5391" i="8"/>
  <c r="M5390" i="8"/>
  <c r="I5390" i="8"/>
  <c r="H5390" i="8"/>
  <c r="M5389" i="8"/>
  <c r="H5389" i="8"/>
  <c r="M5388" i="8"/>
  <c r="I5388" i="8"/>
  <c r="H5388" i="8"/>
  <c r="H5387" i="8"/>
  <c r="M5382" i="8"/>
  <c r="I5382" i="8"/>
  <c r="H5382" i="8"/>
  <c r="M5381" i="8"/>
  <c r="I5381" i="8"/>
  <c r="M5380" i="8"/>
  <c r="I5380" i="8"/>
  <c r="H5380" i="8"/>
  <c r="M5379" i="8"/>
  <c r="I5379" i="8"/>
  <c r="H5379" i="8"/>
  <c r="M5378" i="8"/>
  <c r="I5378" i="8"/>
  <c r="H5378" i="8"/>
  <c r="I5377" i="8"/>
  <c r="M5377" i="8" s="1"/>
  <c r="H5377" i="8"/>
  <c r="I5376" i="8"/>
  <c r="M5376" i="8" s="1"/>
  <c r="H5376" i="8"/>
  <c r="I5375" i="8"/>
  <c r="M5375" i="8" s="1"/>
  <c r="H5375" i="8"/>
  <c r="B5371" i="8"/>
  <c r="M5365" i="8"/>
  <c r="K5365" i="8"/>
  <c r="I5365" i="8"/>
  <c r="H5365" i="8"/>
  <c r="M5364" i="8"/>
  <c r="K5364" i="8"/>
  <c r="I5364" i="8"/>
  <c r="H5364" i="8"/>
  <c r="M5363" i="8"/>
  <c r="K5363" i="8"/>
  <c r="I5363" i="8"/>
  <c r="H5363" i="8"/>
  <c r="M5362" i="8"/>
  <c r="K5362" i="8"/>
  <c r="I5362" i="8"/>
  <c r="H5362" i="8"/>
  <c r="L5361" i="8"/>
  <c r="H5361" i="8"/>
  <c r="M5356" i="8"/>
  <c r="M5355" i="8"/>
  <c r="M5354" i="8"/>
  <c r="M5353" i="8"/>
  <c r="M5352" i="8"/>
  <c r="M5347" i="8"/>
  <c r="I5347" i="8"/>
  <c r="H5347" i="8"/>
  <c r="M5346" i="8"/>
  <c r="I5346" i="8"/>
  <c r="H5346" i="8"/>
  <c r="M5345" i="8"/>
  <c r="H5345" i="8"/>
  <c r="M5344" i="8"/>
  <c r="I5344" i="8"/>
  <c r="H5344" i="8"/>
  <c r="H5343" i="8"/>
  <c r="M5338" i="8"/>
  <c r="I5338" i="8"/>
  <c r="H5338" i="8"/>
  <c r="I5337" i="8"/>
  <c r="M5337" i="8" s="1"/>
  <c r="H5337" i="8"/>
  <c r="I5336" i="8"/>
  <c r="M5336" i="8" s="1"/>
  <c r="H5336" i="8"/>
  <c r="I5335" i="8"/>
  <c r="M5335" i="8" s="1"/>
  <c r="H5335" i="8"/>
  <c r="I5334" i="8"/>
  <c r="M5334" i="8" s="1"/>
  <c r="H5334" i="8"/>
  <c r="H5333" i="8"/>
  <c r="I5332" i="8"/>
  <c r="M5332" i="8" s="1"/>
  <c r="H5332" i="8"/>
  <c r="I5331" i="8"/>
  <c r="M5331" i="8" s="1"/>
  <c r="H5331" i="8"/>
  <c r="B5327" i="8"/>
  <c r="M5321" i="8"/>
  <c r="K5321" i="8"/>
  <c r="I5321" i="8"/>
  <c r="H5321" i="8"/>
  <c r="M5320" i="8"/>
  <c r="K5320" i="8"/>
  <c r="I5320" i="8"/>
  <c r="H5320" i="8"/>
  <c r="M5319" i="8"/>
  <c r="K5319" i="8"/>
  <c r="I5319" i="8"/>
  <c r="H5319" i="8"/>
  <c r="M5318" i="8"/>
  <c r="K5318" i="8"/>
  <c r="I5318" i="8"/>
  <c r="H5318" i="8"/>
  <c r="H5317" i="8"/>
  <c r="M5312" i="8"/>
  <c r="M5311" i="8"/>
  <c r="M5310" i="8"/>
  <c r="M5309" i="8"/>
  <c r="M5308" i="8"/>
  <c r="M5303" i="8"/>
  <c r="I5303" i="8"/>
  <c r="H5303" i="8"/>
  <c r="M5302" i="8"/>
  <c r="I5302" i="8"/>
  <c r="H5302" i="8"/>
  <c r="M5301" i="8"/>
  <c r="I5301" i="8"/>
  <c r="H5301" i="8"/>
  <c r="M5300" i="8"/>
  <c r="I5300" i="8"/>
  <c r="H5300" i="8"/>
  <c r="H5299" i="8"/>
  <c r="M5294" i="8"/>
  <c r="I5294" i="8"/>
  <c r="H5294" i="8"/>
  <c r="M5293" i="8"/>
  <c r="I5293" i="8"/>
  <c r="H5293" i="8"/>
  <c r="M5292" i="8"/>
  <c r="I5292" i="8"/>
  <c r="H5292" i="8"/>
  <c r="M5291" i="8"/>
  <c r="I5291" i="8"/>
  <c r="H5291" i="8"/>
  <c r="M5290" i="8"/>
  <c r="I5290" i="8"/>
  <c r="H5290" i="8"/>
  <c r="I5289" i="8"/>
  <c r="M5289" i="8" s="1"/>
  <c r="H5289" i="8"/>
  <c r="B5285" i="8"/>
  <c r="M5279" i="8"/>
  <c r="K5279" i="8"/>
  <c r="I5279" i="8"/>
  <c r="H5279" i="8"/>
  <c r="M5278" i="8"/>
  <c r="K5278" i="8"/>
  <c r="I5278" i="8"/>
  <c r="H5278" i="8"/>
  <c r="M5277" i="8"/>
  <c r="K5277" i="8"/>
  <c r="I5277" i="8"/>
  <c r="H5277" i="8"/>
  <c r="M5276" i="8"/>
  <c r="K5276" i="8"/>
  <c r="I5276" i="8"/>
  <c r="H5276" i="8"/>
  <c r="H5275" i="8"/>
  <c r="M5270" i="8"/>
  <c r="M5269" i="8"/>
  <c r="M5268" i="8"/>
  <c r="M5267" i="8"/>
  <c r="M5266" i="8"/>
  <c r="M5261" i="8"/>
  <c r="I5261" i="8"/>
  <c r="H5261" i="8"/>
  <c r="M5260" i="8"/>
  <c r="I5260" i="8"/>
  <c r="H5260" i="8"/>
  <c r="M5259" i="8"/>
  <c r="I5259" i="8"/>
  <c r="H5259" i="8"/>
  <c r="M5258" i="8"/>
  <c r="I5258" i="8"/>
  <c r="H5258" i="8"/>
  <c r="H5257" i="8"/>
  <c r="M5252" i="8"/>
  <c r="I5252" i="8"/>
  <c r="H5252" i="8"/>
  <c r="M5251" i="8"/>
  <c r="I5251" i="8"/>
  <c r="H5251" i="8"/>
  <c r="M5250" i="8"/>
  <c r="I5250" i="8"/>
  <c r="H5250" i="8"/>
  <c r="M5249" i="8"/>
  <c r="I5249" i="8"/>
  <c r="H5249" i="8"/>
  <c r="M5248" i="8"/>
  <c r="I5248" i="8"/>
  <c r="H5248" i="8"/>
  <c r="I5247" i="8"/>
  <c r="M5247" i="8" s="1"/>
  <c r="H5247" i="8"/>
  <c r="B5243" i="8"/>
  <c r="M5237" i="8"/>
  <c r="K5237" i="8"/>
  <c r="I5237" i="8"/>
  <c r="H5237" i="8"/>
  <c r="M5236" i="8"/>
  <c r="K5236" i="8"/>
  <c r="I5236" i="8"/>
  <c r="H5236" i="8"/>
  <c r="M5235" i="8"/>
  <c r="K5235" i="8"/>
  <c r="I5235" i="8"/>
  <c r="H5235" i="8"/>
  <c r="M5234" i="8"/>
  <c r="K5234" i="8"/>
  <c r="I5234" i="8"/>
  <c r="H5234" i="8"/>
  <c r="H5233" i="8"/>
  <c r="M5228" i="8"/>
  <c r="M5227" i="8"/>
  <c r="M5226" i="8"/>
  <c r="M5225" i="8"/>
  <c r="M5224" i="8"/>
  <c r="M5219" i="8"/>
  <c r="I5219" i="8"/>
  <c r="H5219" i="8"/>
  <c r="M5218" i="8"/>
  <c r="I5218" i="8"/>
  <c r="H5218" i="8"/>
  <c r="M5217" i="8"/>
  <c r="I5217" i="8"/>
  <c r="H5217" i="8"/>
  <c r="M5216" i="8"/>
  <c r="I5216" i="8"/>
  <c r="H5216" i="8"/>
  <c r="H5215" i="8"/>
  <c r="M5210" i="8"/>
  <c r="I5210" i="8"/>
  <c r="H5210" i="8"/>
  <c r="M5209" i="8"/>
  <c r="I5209" i="8"/>
  <c r="H5209" i="8"/>
  <c r="M5208" i="8"/>
  <c r="I5208" i="8"/>
  <c r="H5208" i="8"/>
  <c r="M5207" i="8"/>
  <c r="I5207" i="8"/>
  <c r="H5207" i="8"/>
  <c r="M5206" i="8"/>
  <c r="I5206" i="8"/>
  <c r="H5206" i="8"/>
  <c r="I5205" i="8"/>
  <c r="M5205" i="8" s="1"/>
  <c r="H5205" i="8"/>
  <c r="B5201" i="8"/>
  <c r="M5195" i="8"/>
  <c r="K5195" i="8"/>
  <c r="I5195" i="8"/>
  <c r="H5195" i="8"/>
  <c r="M5194" i="8"/>
  <c r="K5194" i="8"/>
  <c r="I5194" i="8"/>
  <c r="H5194" i="8"/>
  <c r="M5193" i="8"/>
  <c r="K5193" i="8"/>
  <c r="I5193" i="8"/>
  <c r="H5193" i="8"/>
  <c r="M5192" i="8"/>
  <c r="K5192" i="8"/>
  <c r="I5192" i="8"/>
  <c r="H5192" i="8"/>
  <c r="H5191" i="8"/>
  <c r="M5186" i="8"/>
  <c r="M5185" i="8"/>
  <c r="M5184" i="8"/>
  <c r="M5183" i="8"/>
  <c r="M5177" i="8"/>
  <c r="I5177" i="8"/>
  <c r="H5177" i="8"/>
  <c r="M5176" i="8"/>
  <c r="I5176" i="8"/>
  <c r="H5176" i="8"/>
  <c r="M5175" i="8"/>
  <c r="I5175" i="8"/>
  <c r="H5175" i="8"/>
  <c r="M5174" i="8"/>
  <c r="I5174" i="8"/>
  <c r="H5174" i="8"/>
  <c r="H5173" i="8"/>
  <c r="M5168" i="8"/>
  <c r="I5168" i="8"/>
  <c r="H5168" i="8"/>
  <c r="M5167" i="8"/>
  <c r="I5167" i="8"/>
  <c r="H5167" i="8"/>
  <c r="M5166" i="8"/>
  <c r="I5166" i="8"/>
  <c r="H5166" i="8"/>
  <c r="M5165" i="8"/>
  <c r="I5165" i="8"/>
  <c r="H5165" i="8"/>
  <c r="M5164" i="8"/>
  <c r="I5164" i="8"/>
  <c r="H5164" i="8"/>
  <c r="M5163" i="8"/>
  <c r="I5163" i="8"/>
  <c r="H5163" i="8"/>
  <c r="M5162" i="8"/>
  <c r="I5162" i="8"/>
  <c r="H5162" i="8"/>
  <c r="I5161" i="8"/>
  <c r="M5161" i="8" s="1"/>
  <c r="H5161" i="8"/>
  <c r="B5157" i="8"/>
  <c r="M5151" i="8"/>
  <c r="K5151" i="8"/>
  <c r="I5151" i="8"/>
  <c r="H5151" i="8"/>
  <c r="M5150" i="8"/>
  <c r="K5150" i="8"/>
  <c r="I5150" i="8"/>
  <c r="H5150" i="8"/>
  <c r="M5149" i="8"/>
  <c r="K5149" i="8"/>
  <c r="I5149" i="8"/>
  <c r="H5149" i="8"/>
  <c r="M5148" i="8"/>
  <c r="K5148" i="8"/>
  <c r="I5148" i="8"/>
  <c r="H5148" i="8"/>
  <c r="H5147" i="8"/>
  <c r="M5142" i="8"/>
  <c r="M5141" i="8"/>
  <c r="M5140" i="8"/>
  <c r="M5139" i="8"/>
  <c r="M5138" i="8"/>
  <c r="M5133" i="8"/>
  <c r="I5133" i="8"/>
  <c r="H5133" i="8"/>
  <c r="M5132" i="8"/>
  <c r="I5132" i="8"/>
  <c r="H5132" i="8"/>
  <c r="M5131" i="8"/>
  <c r="I5131" i="8"/>
  <c r="H5131" i="8"/>
  <c r="M5130" i="8"/>
  <c r="I5130" i="8"/>
  <c r="H5130" i="8"/>
  <c r="H5129" i="8"/>
  <c r="M5124" i="8"/>
  <c r="I5124" i="8"/>
  <c r="H5124" i="8"/>
  <c r="M5123" i="8"/>
  <c r="I5123" i="8"/>
  <c r="H5123" i="8"/>
  <c r="M5122" i="8"/>
  <c r="I5122" i="8"/>
  <c r="H5122" i="8"/>
  <c r="M5121" i="8"/>
  <c r="I5121" i="8"/>
  <c r="H5121" i="8"/>
  <c r="M5120" i="8"/>
  <c r="I5120" i="8"/>
  <c r="H5120" i="8"/>
  <c r="M5119" i="8"/>
  <c r="I5119" i="8"/>
  <c r="H5119" i="8"/>
  <c r="M5118" i="8"/>
  <c r="I5118" i="8"/>
  <c r="H5118" i="8"/>
  <c r="I5117" i="8"/>
  <c r="M5117" i="8" s="1"/>
  <c r="H5117" i="8"/>
  <c r="B5113" i="8"/>
  <c r="M5107" i="8"/>
  <c r="K5107" i="8"/>
  <c r="I5107" i="8"/>
  <c r="H5107" i="8"/>
  <c r="M5106" i="8"/>
  <c r="K5106" i="8"/>
  <c r="I5106" i="8"/>
  <c r="H5106" i="8"/>
  <c r="M5105" i="8"/>
  <c r="K5105" i="8"/>
  <c r="I5105" i="8"/>
  <c r="H5105" i="8"/>
  <c r="M5104" i="8"/>
  <c r="K5104" i="8"/>
  <c r="I5104" i="8"/>
  <c r="H5104" i="8"/>
  <c r="H5103" i="8"/>
  <c r="M5098" i="8"/>
  <c r="M5097" i="8"/>
  <c r="M5096" i="8"/>
  <c r="M5089" i="8"/>
  <c r="I5089" i="8"/>
  <c r="H5089" i="8"/>
  <c r="M5088" i="8"/>
  <c r="I5088" i="8"/>
  <c r="H5088" i="8"/>
  <c r="M5087" i="8"/>
  <c r="H5087" i="8"/>
  <c r="M5086" i="8"/>
  <c r="I5086" i="8"/>
  <c r="H5086" i="8"/>
  <c r="H5085" i="8"/>
  <c r="M5080" i="8"/>
  <c r="I5080" i="8"/>
  <c r="H5080" i="8"/>
  <c r="M5079" i="8"/>
  <c r="H5079" i="8"/>
  <c r="H5078" i="8"/>
  <c r="M5077" i="8"/>
  <c r="H5077" i="8"/>
  <c r="M5076" i="8"/>
  <c r="H5076" i="8"/>
  <c r="H5075" i="8"/>
  <c r="I5074" i="8"/>
  <c r="M5074" i="8" s="1"/>
  <c r="H5074" i="8"/>
  <c r="I5073" i="8"/>
  <c r="M5073" i="8" s="1"/>
  <c r="H5073" i="8"/>
  <c r="B5069" i="8"/>
  <c r="M5063" i="8"/>
  <c r="K5063" i="8"/>
  <c r="I5063" i="8"/>
  <c r="H5063" i="8"/>
  <c r="M5062" i="8"/>
  <c r="K5062" i="8"/>
  <c r="I5062" i="8"/>
  <c r="H5062" i="8"/>
  <c r="M5061" i="8"/>
  <c r="K5061" i="8"/>
  <c r="I5061" i="8"/>
  <c r="H5061" i="8"/>
  <c r="M5060" i="8"/>
  <c r="K5060" i="8"/>
  <c r="I5060" i="8"/>
  <c r="H5060" i="8"/>
  <c r="H5059" i="8"/>
  <c r="M5054" i="8"/>
  <c r="M5053" i="8"/>
  <c r="M5052" i="8"/>
  <c r="M5051" i="8"/>
  <c r="M5050" i="8"/>
  <c r="M5045" i="8"/>
  <c r="I5045" i="8"/>
  <c r="H5045" i="8"/>
  <c r="M5044" i="8"/>
  <c r="I5044" i="8"/>
  <c r="H5044" i="8"/>
  <c r="M5043" i="8"/>
  <c r="H5043" i="8"/>
  <c r="M5042" i="8"/>
  <c r="I5042" i="8"/>
  <c r="H5042" i="8"/>
  <c r="H5041" i="8"/>
  <c r="M5036" i="8"/>
  <c r="I5036" i="8"/>
  <c r="H5036" i="8"/>
  <c r="M5035" i="8"/>
  <c r="I5035" i="8"/>
  <c r="M5034" i="8"/>
  <c r="I5034" i="8"/>
  <c r="H5034" i="8"/>
  <c r="M5033" i="8"/>
  <c r="I5033" i="8"/>
  <c r="H5033" i="8"/>
  <c r="M5032" i="8"/>
  <c r="I5032" i="8"/>
  <c r="H5032" i="8"/>
  <c r="I5031" i="8"/>
  <c r="M5031" i="8" s="1"/>
  <c r="H5031" i="8"/>
  <c r="I5030" i="8"/>
  <c r="M5030" i="8" s="1"/>
  <c r="H5030" i="8"/>
  <c r="I5029" i="8"/>
  <c r="M5029" i="8" s="1"/>
  <c r="H5029" i="8"/>
  <c r="B5025" i="8"/>
  <c r="M5019" i="8"/>
  <c r="K5019" i="8"/>
  <c r="I5019" i="8"/>
  <c r="H5019" i="8"/>
  <c r="M5018" i="8"/>
  <c r="K5018" i="8"/>
  <c r="I5018" i="8"/>
  <c r="H5018" i="8"/>
  <c r="M5017" i="8"/>
  <c r="K5017" i="8"/>
  <c r="I5017" i="8"/>
  <c r="H5017" i="8"/>
  <c r="M5016" i="8"/>
  <c r="K5016" i="8"/>
  <c r="I5016" i="8"/>
  <c r="H5016" i="8"/>
  <c r="H5015" i="8"/>
  <c r="M5010" i="8"/>
  <c r="M5009" i="8"/>
  <c r="M5008" i="8"/>
  <c r="M5007" i="8"/>
  <c r="M5001" i="8"/>
  <c r="I5001" i="8"/>
  <c r="H5001" i="8"/>
  <c r="M5000" i="8"/>
  <c r="I5000" i="8"/>
  <c r="H5000" i="8"/>
  <c r="M4999" i="8"/>
  <c r="H4999" i="8"/>
  <c r="M4998" i="8"/>
  <c r="I4998" i="8"/>
  <c r="H4998" i="8"/>
  <c r="H4997" i="8"/>
  <c r="M4992" i="8"/>
  <c r="I4992" i="8"/>
  <c r="H4992" i="8"/>
  <c r="M4991" i="8"/>
  <c r="I4991" i="8"/>
  <c r="M4990" i="8"/>
  <c r="I4990" i="8"/>
  <c r="H4990" i="8"/>
  <c r="M4989" i="8"/>
  <c r="I4989" i="8"/>
  <c r="H4989" i="8"/>
  <c r="M4988" i="8"/>
  <c r="I4988" i="8"/>
  <c r="H4988" i="8"/>
  <c r="I4987" i="8"/>
  <c r="M4987" i="8" s="1"/>
  <c r="H4987" i="8"/>
  <c r="I4986" i="8"/>
  <c r="M4986" i="8" s="1"/>
  <c r="H4986" i="8"/>
  <c r="I4985" i="8"/>
  <c r="M4985" i="8" s="1"/>
  <c r="H4985" i="8"/>
  <c r="B4981" i="8"/>
  <c r="M4975" i="8"/>
  <c r="K4975" i="8"/>
  <c r="I4975" i="8"/>
  <c r="H4975" i="8"/>
  <c r="M4974" i="8"/>
  <c r="K4974" i="8"/>
  <c r="I4974" i="8"/>
  <c r="H4974" i="8"/>
  <c r="M4973" i="8"/>
  <c r="K4973" i="8"/>
  <c r="I4973" i="8"/>
  <c r="H4973" i="8"/>
  <c r="M4972" i="8"/>
  <c r="K4972" i="8"/>
  <c r="I4972" i="8"/>
  <c r="H4972" i="8"/>
  <c r="H4971" i="8"/>
  <c r="M4966" i="8"/>
  <c r="M4965" i="8"/>
  <c r="M4964" i="8"/>
  <c r="M4963" i="8"/>
  <c r="M4957" i="8"/>
  <c r="I4957" i="8"/>
  <c r="H4957" i="8"/>
  <c r="M4956" i="8"/>
  <c r="I4956" i="8"/>
  <c r="H4956" i="8"/>
  <c r="M4955" i="8"/>
  <c r="H4955" i="8"/>
  <c r="M4954" i="8"/>
  <c r="I4954" i="8"/>
  <c r="H4954" i="8"/>
  <c r="H4953" i="8"/>
  <c r="M4948" i="8"/>
  <c r="I4948" i="8"/>
  <c r="H4948" i="8"/>
  <c r="M4947" i="8"/>
  <c r="I4947" i="8"/>
  <c r="M4946" i="8"/>
  <c r="I4946" i="8"/>
  <c r="H4946" i="8"/>
  <c r="M4945" i="8"/>
  <c r="I4945" i="8"/>
  <c r="H4945" i="8"/>
  <c r="M4944" i="8"/>
  <c r="I4944" i="8"/>
  <c r="H4944" i="8"/>
  <c r="I4943" i="8"/>
  <c r="M4943" i="8" s="1"/>
  <c r="H4943" i="8"/>
  <c r="I4942" i="8"/>
  <c r="M4942" i="8" s="1"/>
  <c r="H4942" i="8"/>
  <c r="I4941" i="8"/>
  <c r="M4941" i="8" s="1"/>
  <c r="H4941" i="8"/>
  <c r="B4937" i="8"/>
  <c r="M4931" i="8"/>
  <c r="K4931" i="8"/>
  <c r="I4931" i="8"/>
  <c r="H4931" i="8"/>
  <c r="M4930" i="8"/>
  <c r="K4930" i="8"/>
  <c r="I4930" i="8"/>
  <c r="H4930" i="8"/>
  <c r="M4929" i="8"/>
  <c r="K4929" i="8"/>
  <c r="I4929" i="8"/>
  <c r="H4929" i="8"/>
  <c r="M4928" i="8"/>
  <c r="K4928" i="8"/>
  <c r="I4928" i="8"/>
  <c r="H4928" i="8"/>
  <c r="H4927" i="8"/>
  <c r="M4922" i="8"/>
  <c r="M4921" i="8"/>
  <c r="M4920" i="8"/>
  <c r="M4919" i="8"/>
  <c r="M4913" i="8"/>
  <c r="I4913" i="8"/>
  <c r="H4913" i="8"/>
  <c r="M4912" i="8"/>
  <c r="I4912" i="8"/>
  <c r="H4912" i="8"/>
  <c r="M4911" i="8"/>
  <c r="H4911" i="8"/>
  <c r="M4910" i="8"/>
  <c r="I4910" i="8"/>
  <c r="H4910" i="8"/>
  <c r="H4909" i="8"/>
  <c r="M4904" i="8"/>
  <c r="I4904" i="8"/>
  <c r="H4904" i="8"/>
  <c r="M4903" i="8"/>
  <c r="I4903" i="8"/>
  <c r="M4902" i="8"/>
  <c r="I4902" i="8"/>
  <c r="H4902" i="8"/>
  <c r="M4901" i="8"/>
  <c r="I4901" i="8"/>
  <c r="H4901" i="8"/>
  <c r="M4900" i="8"/>
  <c r="I4900" i="8"/>
  <c r="H4900" i="8"/>
  <c r="M4899" i="8"/>
  <c r="I4899" i="8"/>
  <c r="H4899" i="8"/>
  <c r="I4898" i="8"/>
  <c r="M4898" i="8" s="1"/>
  <c r="H4898" i="8"/>
  <c r="I4897" i="8"/>
  <c r="M4897" i="8" s="1"/>
  <c r="H4897" i="8"/>
  <c r="B4893" i="8"/>
  <c r="M4887" i="8"/>
  <c r="K4887" i="8"/>
  <c r="I4887" i="8"/>
  <c r="H4887" i="8"/>
  <c r="M4886" i="8"/>
  <c r="K4886" i="8"/>
  <c r="I4886" i="8"/>
  <c r="H4886" i="8"/>
  <c r="M4885" i="8"/>
  <c r="K4885" i="8"/>
  <c r="I4885" i="8"/>
  <c r="H4885" i="8"/>
  <c r="M4884" i="8"/>
  <c r="K4884" i="8"/>
  <c r="I4884" i="8"/>
  <c r="H4884" i="8"/>
  <c r="H4883" i="8"/>
  <c r="M4878" i="8"/>
  <c r="M4877" i="8"/>
  <c r="M4876" i="8"/>
  <c r="M4875" i="8"/>
  <c r="M4869" i="8"/>
  <c r="I4869" i="8"/>
  <c r="H4869" i="8"/>
  <c r="M4868" i="8"/>
  <c r="I4868" i="8"/>
  <c r="H4868" i="8"/>
  <c r="M4867" i="8"/>
  <c r="H4867" i="8"/>
  <c r="M4866" i="8"/>
  <c r="I4866" i="8"/>
  <c r="H4866" i="8"/>
  <c r="H4865" i="8"/>
  <c r="M4860" i="8"/>
  <c r="I4860" i="8"/>
  <c r="H4860" i="8"/>
  <c r="M4859" i="8"/>
  <c r="I4859" i="8"/>
  <c r="M4858" i="8"/>
  <c r="I4858" i="8"/>
  <c r="H4858" i="8"/>
  <c r="M4857" i="8"/>
  <c r="I4857" i="8"/>
  <c r="H4857" i="8"/>
  <c r="M4856" i="8"/>
  <c r="I4856" i="8"/>
  <c r="H4856" i="8"/>
  <c r="I4855" i="8"/>
  <c r="M4855" i="8" s="1"/>
  <c r="H4855" i="8"/>
  <c r="I4854" i="8"/>
  <c r="M4854" i="8" s="1"/>
  <c r="H4854" i="8"/>
  <c r="I4853" i="8"/>
  <c r="M4853" i="8" s="1"/>
  <c r="H4853" i="8"/>
  <c r="B4849" i="8"/>
  <c r="M4843" i="8"/>
  <c r="K4843" i="8"/>
  <c r="I4843" i="8"/>
  <c r="H4843" i="8"/>
  <c r="M4842" i="8"/>
  <c r="K4842" i="8"/>
  <c r="I4842" i="8"/>
  <c r="H4842" i="8"/>
  <c r="M4841" i="8"/>
  <c r="K4841" i="8"/>
  <c r="I4841" i="8"/>
  <c r="H4841" i="8"/>
  <c r="M4840" i="8"/>
  <c r="K4840" i="8"/>
  <c r="I4840" i="8"/>
  <c r="H4840" i="8"/>
  <c r="H4839" i="8"/>
  <c r="M4834" i="8"/>
  <c r="M4833" i="8"/>
  <c r="M4832" i="8"/>
  <c r="M4831" i="8"/>
  <c r="M4825" i="8"/>
  <c r="I4825" i="8"/>
  <c r="H4825" i="8"/>
  <c r="M4824" i="8"/>
  <c r="I4824" i="8"/>
  <c r="H4824" i="8"/>
  <c r="H4823" i="8"/>
  <c r="I4822" i="8"/>
  <c r="M4822" i="8" s="1"/>
  <c r="H4822" i="8"/>
  <c r="I4821" i="8"/>
  <c r="M4821" i="8" s="1"/>
  <c r="H4821" i="8"/>
  <c r="M4816" i="8"/>
  <c r="I4816" i="8"/>
  <c r="H4816" i="8"/>
  <c r="M4815" i="8"/>
  <c r="I4815" i="8"/>
  <c r="M4814" i="8"/>
  <c r="I4814" i="8"/>
  <c r="H4814" i="8"/>
  <c r="M4813" i="8"/>
  <c r="I4813" i="8"/>
  <c r="H4813" i="8"/>
  <c r="M4812" i="8"/>
  <c r="I4812" i="8"/>
  <c r="H4812" i="8"/>
  <c r="M4811" i="8"/>
  <c r="I4811" i="8"/>
  <c r="H4811" i="8"/>
  <c r="M4810" i="8"/>
  <c r="I4810" i="8"/>
  <c r="H4810" i="8"/>
  <c r="M4809" i="8"/>
  <c r="I4809" i="8"/>
  <c r="H4809" i="8"/>
  <c r="B4805" i="8"/>
  <c r="M4799" i="8"/>
  <c r="K4799" i="8"/>
  <c r="I4799" i="8"/>
  <c r="H4799" i="8"/>
  <c r="M4798" i="8"/>
  <c r="K4798" i="8"/>
  <c r="I4798" i="8"/>
  <c r="H4798" i="8"/>
  <c r="M4797" i="8"/>
  <c r="K4797" i="8"/>
  <c r="I4797" i="8"/>
  <c r="H4797" i="8"/>
  <c r="M4796" i="8"/>
  <c r="K4796" i="8"/>
  <c r="I4796" i="8"/>
  <c r="H4796" i="8"/>
  <c r="H4795" i="8"/>
  <c r="M4790" i="8"/>
  <c r="M4789" i="8"/>
  <c r="M4788" i="8"/>
  <c r="M4787" i="8"/>
  <c r="M4786" i="8"/>
  <c r="M4791" i="8" s="1"/>
  <c r="L4761" i="8" s="1"/>
  <c r="M4781" i="8"/>
  <c r="I4781" i="8"/>
  <c r="H4781" i="8"/>
  <c r="M4780" i="8"/>
  <c r="I4780" i="8"/>
  <c r="H4780" i="8"/>
  <c r="M4779" i="8"/>
  <c r="I4779" i="8"/>
  <c r="H4779" i="8"/>
  <c r="M4778" i="8"/>
  <c r="I4778" i="8"/>
  <c r="H4778" i="8"/>
  <c r="M4777" i="8"/>
  <c r="M4772" i="8"/>
  <c r="I4772" i="8"/>
  <c r="H4772" i="8"/>
  <c r="M4771" i="8"/>
  <c r="I4771" i="8"/>
  <c r="M4770" i="8"/>
  <c r="H4770" i="8"/>
  <c r="I4769" i="8"/>
  <c r="M4769" i="8" s="1"/>
  <c r="H4769" i="8"/>
  <c r="I4768" i="8"/>
  <c r="M4768" i="8" s="1"/>
  <c r="H4768" i="8"/>
  <c r="I4767" i="8"/>
  <c r="M4767" i="8" s="1"/>
  <c r="H4767" i="8"/>
  <c r="I4766" i="8"/>
  <c r="M4766" i="8" s="1"/>
  <c r="H4766" i="8"/>
  <c r="I4765" i="8"/>
  <c r="M4765" i="8" s="1"/>
  <c r="H4765" i="8"/>
  <c r="B4761" i="8"/>
  <c r="M4755" i="8"/>
  <c r="K4755" i="8"/>
  <c r="I4755" i="8"/>
  <c r="H4755" i="8"/>
  <c r="M4754" i="8"/>
  <c r="K4754" i="8"/>
  <c r="I4754" i="8"/>
  <c r="H4754" i="8"/>
  <c r="M4753" i="8"/>
  <c r="K4753" i="8"/>
  <c r="I4753" i="8"/>
  <c r="H4753" i="8"/>
  <c r="M4752" i="8"/>
  <c r="K4752" i="8"/>
  <c r="I4752" i="8"/>
  <c r="H4752" i="8"/>
  <c r="H4751" i="8"/>
  <c r="M4746" i="8"/>
  <c r="M4745" i="8"/>
  <c r="M4744" i="8"/>
  <c r="M4737" i="8"/>
  <c r="I4737" i="8"/>
  <c r="H4737" i="8"/>
  <c r="M4736" i="8"/>
  <c r="I4736" i="8"/>
  <c r="H4736" i="8"/>
  <c r="M4735" i="8"/>
  <c r="I4735" i="8"/>
  <c r="H4735" i="8"/>
  <c r="M4734" i="8"/>
  <c r="I4734" i="8"/>
  <c r="H4734" i="8"/>
  <c r="H4733" i="8"/>
  <c r="M4728" i="8"/>
  <c r="I4728" i="8"/>
  <c r="H4728" i="8"/>
  <c r="M4727" i="8"/>
  <c r="I4727" i="8"/>
  <c r="I4726" i="8"/>
  <c r="M4726" i="8" s="1"/>
  <c r="H4726" i="8"/>
  <c r="I4725" i="8"/>
  <c r="M4725" i="8" s="1"/>
  <c r="H4725" i="8"/>
  <c r="I4724" i="8"/>
  <c r="M4724" i="8" s="1"/>
  <c r="H4724" i="8"/>
  <c r="I4723" i="8"/>
  <c r="M4723" i="8" s="1"/>
  <c r="H4723" i="8"/>
  <c r="I4722" i="8"/>
  <c r="M4722" i="8" s="1"/>
  <c r="H4722" i="8"/>
  <c r="I4721" i="8"/>
  <c r="M4721" i="8" s="1"/>
  <c r="H4721" i="8"/>
  <c r="B4717" i="8"/>
  <c r="M4711" i="8"/>
  <c r="K4711" i="8"/>
  <c r="I4711" i="8"/>
  <c r="H4711" i="8"/>
  <c r="M4710" i="8"/>
  <c r="K4710" i="8"/>
  <c r="I4710" i="8"/>
  <c r="H4710" i="8"/>
  <c r="M4709" i="8"/>
  <c r="K4709" i="8"/>
  <c r="I4709" i="8"/>
  <c r="H4709" i="8"/>
  <c r="M4708" i="8"/>
  <c r="K4708" i="8"/>
  <c r="I4708" i="8"/>
  <c r="H4708" i="8"/>
  <c r="M4707" i="8"/>
  <c r="K4707" i="8"/>
  <c r="I4707" i="8"/>
  <c r="H4707" i="8"/>
  <c r="M4702" i="8"/>
  <c r="M4701" i="8"/>
  <c r="M4700" i="8"/>
  <c r="M4694" i="8"/>
  <c r="I4694" i="8"/>
  <c r="H4694" i="8"/>
  <c r="M4693" i="8"/>
  <c r="I4693" i="8"/>
  <c r="H4693" i="8"/>
  <c r="M4692" i="8"/>
  <c r="I4692" i="8"/>
  <c r="H4692" i="8"/>
  <c r="I4691" i="8"/>
  <c r="M4691" i="8" s="1"/>
  <c r="H4691" i="8"/>
  <c r="H4690" i="8"/>
  <c r="M4685" i="8"/>
  <c r="I4685" i="8"/>
  <c r="H4685" i="8"/>
  <c r="M4684" i="8"/>
  <c r="I4684" i="8"/>
  <c r="H4684" i="8"/>
  <c r="M4683" i="8"/>
  <c r="I4683" i="8"/>
  <c r="H4683" i="8"/>
  <c r="M4682" i="8"/>
  <c r="I4682" i="8"/>
  <c r="H4682" i="8"/>
  <c r="M4681" i="8"/>
  <c r="I4681" i="8"/>
  <c r="H4681" i="8"/>
  <c r="B4677" i="8"/>
  <c r="M4671" i="8"/>
  <c r="K4671" i="8"/>
  <c r="I4671" i="8"/>
  <c r="H4671" i="8"/>
  <c r="M4670" i="8"/>
  <c r="K4670" i="8"/>
  <c r="I4670" i="8"/>
  <c r="H4670" i="8"/>
  <c r="M4669" i="8"/>
  <c r="K4669" i="8"/>
  <c r="I4669" i="8"/>
  <c r="H4669" i="8"/>
  <c r="M4668" i="8"/>
  <c r="K4668" i="8"/>
  <c r="I4668" i="8"/>
  <c r="H4668" i="8"/>
  <c r="H4667" i="8"/>
  <c r="M4662" i="8"/>
  <c r="M4661" i="8"/>
  <c r="M4660" i="8"/>
  <c r="M4659" i="8"/>
  <c r="M4658" i="8"/>
  <c r="M4653" i="8"/>
  <c r="I4653" i="8"/>
  <c r="H4653" i="8"/>
  <c r="M4652" i="8"/>
  <c r="I4652" i="8"/>
  <c r="H4652" i="8"/>
  <c r="M4651" i="8"/>
  <c r="I4651" i="8"/>
  <c r="H4651" i="8"/>
  <c r="M4650" i="8"/>
  <c r="I4650" i="8"/>
  <c r="H4650" i="8"/>
  <c r="H4649" i="8"/>
  <c r="M4644" i="8"/>
  <c r="I4644" i="8"/>
  <c r="H4644" i="8"/>
  <c r="M4643" i="8"/>
  <c r="I4643" i="8"/>
  <c r="H4643" i="8"/>
  <c r="I4642" i="8"/>
  <c r="M4642" i="8" s="1"/>
  <c r="H4642" i="8"/>
  <c r="I4641" i="8"/>
  <c r="M4641" i="8" s="1"/>
  <c r="H4641" i="8"/>
  <c r="I4640" i="8"/>
  <c r="M4640" i="8" s="1"/>
  <c r="H4640" i="8"/>
  <c r="B4636" i="8"/>
  <c r="M4630" i="8"/>
  <c r="K4630" i="8"/>
  <c r="I4630" i="8"/>
  <c r="H4630" i="8"/>
  <c r="M4629" i="8"/>
  <c r="K4629" i="8"/>
  <c r="I4629" i="8"/>
  <c r="H4629" i="8"/>
  <c r="M4628" i="8"/>
  <c r="K4628" i="8"/>
  <c r="I4628" i="8"/>
  <c r="H4628" i="8"/>
  <c r="M4627" i="8"/>
  <c r="K4627" i="8"/>
  <c r="I4627" i="8"/>
  <c r="H4627" i="8"/>
  <c r="L4626" i="8"/>
  <c r="H4626" i="8"/>
  <c r="M4621" i="8"/>
  <c r="M4620" i="8"/>
  <c r="M4619" i="8"/>
  <c r="M4618" i="8"/>
  <c r="M4617" i="8"/>
  <c r="M4612" i="8"/>
  <c r="I4612" i="8"/>
  <c r="H4612" i="8"/>
  <c r="M4611" i="8"/>
  <c r="I4611" i="8"/>
  <c r="H4611" i="8"/>
  <c r="M4610" i="8"/>
  <c r="I4610" i="8"/>
  <c r="H4610" i="8"/>
  <c r="M4609" i="8"/>
  <c r="I4609" i="8"/>
  <c r="H4609" i="8"/>
  <c r="H4608" i="8"/>
  <c r="M4603" i="8"/>
  <c r="I4603" i="8"/>
  <c r="H4603" i="8"/>
  <c r="M4602" i="8"/>
  <c r="I4602" i="8"/>
  <c r="H4602" i="8"/>
  <c r="M4601" i="8"/>
  <c r="I4601" i="8"/>
  <c r="H4601" i="8"/>
  <c r="M4600" i="8"/>
  <c r="I4600" i="8"/>
  <c r="H4600" i="8"/>
  <c r="I4599" i="8"/>
  <c r="M4599" i="8" s="1"/>
  <c r="H4599" i="8"/>
  <c r="B4595" i="8"/>
  <c r="M4589" i="8"/>
  <c r="K4589" i="8"/>
  <c r="I4589" i="8"/>
  <c r="H4589" i="8"/>
  <c r="M4588" i="8"/>
  <c r="K4588" i="8"/>
  <c r="I4588" i="8"/>
  <c r="H4588" i="8"/>
  <c r="M4587" i="8"/>
  <c r="K4587" i="8"/>
  <c r="I4587" i="8"/>
  <c r="H4587" i="8"/>
  <c r="M4586" i="8"/>
  <c r="K4586" i="8"/>
  <c r="I4586" i="8"/>
  <c r="H4586" i="8"/>
  <c r="M4585" i="8"/>
  <c r="K4585" i="8"/>
  <c r="I4585" i="8"/>
  <c r="H4585" i="8"/>
  <c r="M4580" i="8"/>
  <c r="M4579" i="8"/>
  <c r="M4578" i="8"/>
  <c r="M4577" i="8"/>
  <c r="M4576" i="8"/>
  <c r="M4581" i="8" s="1"/>
  <c r="L4554" i="8" s="1"/>
  <c r="M4571" i="8"/>
  <c r="I4571" i="8"/>
  <c r="H4571" i="8"/>
  <c r="M4570" i="8"/>
  <c r="I4570" i="8"/>
  <c r="H4570" i="8"/>
  <c r="M4569" i="8"/>
  <c r="I4569" i="8"/>
  <c r="H4569" i="8"/>
  <c r="M4568" i="8"/>
  <c r="I4568" i="8"/>
  <c r="H4568" i="8"/>
  <c r="H4567" i="8"/>
  <c r="M4562" i="8"/>
  <c r="I4562" i="8"/>
  <c r="H4562" i="8"/>
  <c r="M4561" i="8"/>
  <c r="I4561" i="8"/>
  <c r="H4561" i="8"/>
  <c r="M4560" i="8"/>
  <c r="I4560" i="8"/>
  <c r="H4560" i="8"/>
  <c r="M4559" i="8"/>
  <c r="I4559" i="8"/>
  <c r="H4559" i="8"/>
  <c r="I4558" i="8"/>
  <c r="M4558" i="8" s="1"/>
  <c r="H4558" i="8"/>
  <c r="B4554" i="8"/>
  <c r="M4548" i="8"/>
  <c r="K4548" i="8"/>
  <c r="I4548" i="8"/>
  <c r="H4548" i="8"/>
  <c r="M4547" i="8"/>
  <c r="K4547" i="8"/>
  <c r="I4547" i="8"/>
  <c r="H4547" i="8"/>
  <c r="M4546" i="8"/>
  <c r="K4546" i="8"/>
  <c r="I4546" i="8"/>
  <c r="H4546" i="8"/>
  <c r="M4545" i="8"/>
  <c r="K4545" i="8"/>
  <c r="I4545" i="8"/>
  <c r="H4545" i="8"/>
  <c r="H4544" i="8"/>
  <c r="M4539" i="8"/>
  <c r="M4538" i="8"/>
  <c r="M4537" i="8"/>
  <c r="M4536" i="8"/>
  <c r="M4535" i="8"/>
  <c r="M4530" i="8"/>
  <c r="I4530" i="8"/>
  <c r="H4530" i="8"/>
  <c r="M4529" i="8"/>
  <c r="I4529" i="8"/>
  <c r="H4529" i="8"/>
  <c r="M4528" i="8"/>
  <c r="I4528" i="8"/>
  <c r="H4528" i="8"/>
  <c r="M4527" i="8"/>
  <c r="I4527" i="8"/>
  <c r="H4527" i="8"/>
  <c r="H4526" i="8"/>
  <c r="M4521" i="8"/>
  <c r="I4521" i="8"/>
  <c r="H4521" i="8"/>
  <c r="M4520" i="8"/>
  <c r="I4520" i="8"/>
  <c r="H4520" i="8"/>
  <c r="M4519" i="8"/>
  <c r="I4519" i="8"/>
  <c r="H4519" i="8"/>
  <c r="M4518" i="8"/>
  <c r="I4518" i="8"/>
  <c r="H4518" i="8"/>
  <c r="M4517" i="8"/>
  <c r="I4517" i="8"/>
  <c r="H4517" i="8"/>
  <c r="M4516" i="8"/>
  <c r="I4516" i="8"/>
  <c r="H4516" i="8"/>
  <c r="M4515" i="8"/>
  <c r="I4515" i="8"/>
  <c r="H4515" i="8"/>
  <c r="I4514" i="8"/>
  <c r="M4514" i="8" s="1"/>
  <c r="H4514" i="8"/>
  <c r="B4510" i="8"/>
  <c r="M4504" i="8"/>
  <c r="K4504" i="8"/>
  <c r="I4504" i="8"/>
  <c r="H4504" i="8"/>
  <c r="M4503" i="8"/>
  <c r="K4503" i="8"/>
  <c r="I4503" i="8"/>
  <c r="H4503" i="8"/>
  <c r="M4502" i="8"/>
  <c r="K4502" i="8"/>
  <c r="I4502" i="8"/>
  <c r="H4502" i="8"/>
  <c r="M4501" i="8"/>
  <c r="K4501" i="8"/>
  <c r="I4501" i="8"/>
  <c r="H4501" i="8"/>
  <c r="H4500" i="8"/>
  <c r="M4495" i="8"/>
  <c r="M4494" i="8"/>
  <c r="M4493" i="8"/>
  <c r="M4492" i="8"/>
  <c r="M4491" i="8"/>
  <c r="M4486" i="8"/>
  <c r="I4486" i="8"/>
  <c r="H4486" i="8"/>
  <c r="M4485" i="8"/>
  <c r="I4485" i="8"/>
  <c r="H4485" i="8"/>
  <c r="M4484" i="8"/>
  <c r="I4484" i="8"/>
  <c r="H4484" i="8"/>
  <c r="M4483" i="8"/>
  <c r="I4483" i="8"/>
  <c r="H4483" i="8"/>
  <c r="H4482" i="8"/>
  <c r="M4477" i="8"/>
  <c r="I4477" i="8"/>
  <c r="H4477" i="8"/>
  <c r="M4476" i="8"/>
  <c r="I4476" i="8"/>
  <c r="H4476" i="8"/>
  <c r="M4475" i="8"/>
  <c r="I4475" i="8"/>
  <c r="H4475" i="8"/>
  <c r="M4474" i="8"/>
  <c r="I4474" i="8"/>
  <c r="H4474" i="8"/>
  <c r="M4473" i="8"/>
  <c r="I4473" i="8"/>
  <c r="H4473" i="8"/>
  <c r="M4472" i="8"/>
  <c r="I4472" i="8"/>
  <c r="H4472" i="8"/>
  <c r="I4471" i="8"/>
  <c r="M4471" i="8" s="1"/>
  <c r="H4471" i="8"/>
  <c r="I4470" i="8"/>
  <c r="M4470" i="8" s="1"/>
  <c r="H4470" i="8"/>
  <c r="B4466" i="8"/>
  <c r="M4460" i="8"/>
  <c r="K4460" i="8"/>
  <c r="I4460" i="8"/>
  <c r="H4460" i="8"/>
  <c r="M4459" i="8"/>
  <c r="K4459" i="8"/>
  <c r="I4459" i="8"/>
  <c r="H4459" i="8"/>
  <c r="M4458" i="8"/>
  <c r="K4458" i="8"/>
  <c r="I4458" i="8"/>
  <c r="H4458" i="8"/>
  <c r="M4457" i="8"/>
  <c r="K4457" i="8"/>
  <c r="I4457" i="8"/>
  <c r="H4457" i="8"/>
  <c r="H4456" i="8"/>
  <c r="M4451" i="8"/>
  <c r="M4450" i="8"/>
  <c r="M4449" i="8"/>
  <c r="M4448" i="8"/>
  <c r="M4447" i="8"/>
  <c r="M4442" i="8"/>
  <c r="I4442" i="8"/>
  <c r="H4442" i="8"/>
  <c r="M4441" i="8"/>
  <c r="I4441" i="8"/>
  <c r="H4441" i="8"/>
  <c r="M4440" i="8"/>
  <c r="I4440" i="8"/>
  <c r="H4440" i="8"/>
  <c r="M4439" i="8"/>
  <c r="I4439" i="8"/>
  <c r="H4439" i="8"/>
  <c r="H4438" i="8"/>
  <c r="M4433" i="8"/>
  <c r="I4433" i="8"/>
  <c r="H4433" i="8"/>
  <c r="M4432" i="8"/>
  <c r="I4432" i="8"/>
  <c r="H4432" i="8"/>
  <c r="M4431" i="8"/>
  <c r="I4431" i="8"/>
  <c r="H4431" i="8"/>
  <c r="M4430" i="8"/>
  <c r="I4430" i="8"/>
  <c r="H4430" i="8"/>
  <c r="M4429" i="8"/>
  <c r="I4429" i="8"/>
  <c r="H4429" i="8"/>
  <c r="M4428" i="8"/>
  <c r="I4428" i="8"/>
  <c r="H4428" i="8"/>
  <c r="I4427" i="8"/>
  <c r="M4427" i="8" s="1"/>
  <c r="H4427" i="8"/>
  <c r="I4426" i="8"/>
  <c r="M4426" i="8" s="1"/>
  <c r="H4426" i="8"/>
  <c r="B4422" i="8"/>
  <c r="M4416" i="8"/>
  <c r="K4416" i="8"/>
  <c r="I4416" i="8"/>
  <c r="H4416" i="8"/>
  <c r="M4415" i="8"/>
  <c r="K4415" i="8"/>
  <c r="I4415" i="8"/>
  <c r="H4415" i="8"/>
  <c r="M4414" i="8"/>
  <c r="K4414" i="8"/>
  <c r="I4414" i="8"/>
  <c r="H4414" i="8"/>
  <c r="M4413" i="8"/>
  <c r="K4413" i="8"/>
  <c r="I4413" i="8"/>
  <c r="H4413" i="8"/>
  <c r="H4412" i="8"/>
  <c r="M4407" i="8"/>
  <c r="M4406" i="8"/>
  <c r="M4405" i="8"/>
  <c r="M4404" i="8"/>
  <c r="M4403" i="8"/>
  <c r="M4398" i="8"/>
  <c r="I4398" i="8"/>
  <c r="H4398" i="8"/>
  <c r="M4397" i="8"/>
  <c r="I4397" i="8"/>
  <c r="H4397" i="8"/>
  <c r="M4396" i="8"/>
  <c r="I4396" i="8"/>
  <c r="H4396" i="8"/>
  <c r="M4395" i="8"/>
  <c r="I4395" i="8"/>
  <c r="H4395" i="8"/>
  <c r="H4394" i="8"/>
  <c r="M4389" i="8"/>
  <c r="I4389" i="8"/>
  <c r="H4389" i="8"/>
  <c r="M4388" i="8"/>
  <c r="I4388" i="8"/>
  <c r="H4388" i="8"/>
  <c r="M4387" i="8"/>
  <c r="I4387" i="8"/>
  <c r="H4387" i="8"/>
  <c r="M4386" i="8"/>
  <c r="I4386" i="8"/>
  <c r="H4386" i="8"/>
  <c r="M4385" i="8"/>
  <c r="I4385" i="8"/>
  <c r="H4385" i="8"/>
  <c r="M4384" i="8"/>
  <c r="I4384" i="8"/>
  <c r="H4384" i="8"/>
  <c r="I4383" i="8"/>
  <c r="M4383" i="8" s="1"/>
  <c r="H4383" i="8"/>
  <c r="I4382" i="8"/>
  <c r="M4382" i="8" s="1"/>
  <c r="H4382" i="8"/>
  <c r="B4378" i="8"/>
  <c r="M4372" i="8"/>
  <c r="K4372" i="8"/>
  <c r="I4372" i="8"/>
  <c r="H4372" i="8"/>
  <c r="M4371" i="8"/>
  <c r="K4371" i="8"/>
  <c r="I4371" i="8"/>
  <c r="H4371" i="8"/>
  <c r="M4370" i="8"/>
  <c r="K4370" i="8"/>
  <c r="I4370" i="8"/>
  <c r="H4370" i="8"/>
  <c r="M4369" i="8"/>
  <c r="K4369" i="8"/>
  <c r="I4369" i="8"/>
  <c r="H4369" i="8"/>
  <c r="H4368" i="8"/>
  <c r="M4363" i="8"/>
  <c r="M4362" i="8"/>
  <c r="M4361" i="8"/>
  <c r="M4360" i="8"/>
  <c r="M4359" i="8"/>
  <c r="M4354" i="8"/>
  <c r="I4354" i="8"/>
  <c r="H4354" i="8"/>
  <c r="M4353" i="8"/>
  <c r="I4353" i="8"/>
  <c r="H4353" i="8"/>
  <c r="M4352" i="8"/>
  <c r="I4352" i="8"/>
  <c r="H4352" i="8"/>
  <c r="M4351" i="8"/>
  <c r="I4351" i="8"/>
  <c r="H4351" i="8"/>
  <c r="H4350" i="8"/>
  <c r="M4345" i="8"/>
  <c r="I4345" i="8"/>
  <c r="H4345" i="8"/>
  <c r="M4344" i="8"/>
  <c r="I4344" i="8"/>
  <c r="H4344" i="8"/>
  <c r="M4343" i="8"/>
  <c r="I4343" i="8"/>
  <c r="H4343" i="8"/>
  <c r="M4342" i="8"/>
  <c r="I4342" i="8"/>
  <c r="H4342" i="8"/>
  <c r="M4341" i="8"/>
  <c r="I4341" i="8"/>
  <c r="H4341" i="8"/>
  <c r="M4340" i="8"/>
  <c r="I4340" i="8"/>
  <c r="H4340" i="8"/>
  <c r="M4339" i="8"/>
  <c r="I4339" i="8"/>
  <c r="H4339" i="8"/>
  <c r="I4338" i="8"/>
  <c r="M4338" i="8" s="1"/>
  <c r="H4338" i="8"/>
  <c r="B4334" i="8"/>
  <c r="M4328" i="8"/>
  <c r="K4328" i="8"/>
  <c r="I4328" i="8"/>
  <c r="H4328" i="8"/>
  <c r="M4327" i="8"/>
  <c r="K4327" i="8"/>
  <c r="I4327" i="8"/>
  <c r="H4327" i="8"/>
  <c r="M4326" i="8"/>
  <c r="K4326" i="8"/>
  <c r="I4326" i="8"/>
  <c r="H4326" i="8"/>
  <c r="M4325" i="8"/>
  <c r="K4325" i="8"/>
  <c r="I4325" i="8"/>
  <c r="H4325" i="8"/>
  <c r="L4324" i="8"/>
  <c r="H4324" i="8"/>
  <c r="M4319" i="8"/>
  <c r="M4318" i="8"/>
  <c r="M4317" i="8"/>
  <c r="M4316" i="8"/>
  <c r="M4315" i="8"/>
  <c r="I4310" i="8"/>
  <c r="M4310" i="8" s="1"/>
  <c r="H4310" i="8"/>
  <c r="K4309" i="8"/>
  <c r="I4309" i="8"/>
  <c r="H4309" i="8"/>
  <c r="I4308" i="8"/>
  <c r="M4308" i="8" s="1"/>
  <c r="H4308" i="8"/>
  <c r="K4307" i="8"/>
  <c r="I4307" i="8"/>
  <c r="M4307" i="8" s="1"/>
  <c r="H4307" i="8"/>
  <c r="H4306" i="8"/>
  <c r="I4301" i="8"/>
  <c r="M4301" i="8" s="1"/>
  <c r="H4301" i="8"/>
  <c r="I4300" i="8"/>
  <c r="M4300" i="8" s="1"/>
  <c r="H4300" i="8"/>
  <c r="I4299" i="8"/>
  <c r="M4299" i="8" s="1"/>
  <c r="H4299" i="8"/>
  <c r="I4298" i="8"/>
  <c r="M4298" i="8" s="1"/>
  <c r="H4298" i="8"/>
  <c r="I4297" i="8"/>
  <c r="M4297" i="8" s="1"/>
  <c r="H4297" i="8"/>
  <c r="I4296" i="8"/>
  <c r="M4296" i="8" s="1"/>
  <c r="H4296" i="8"/>
  <c r="I4295" i="8"/>
  <c r="M4295" i="8" s="1"/>
  <c r="H4295" i="8"/>
  <c r="I4294" i="8"/>
  <c r="M4294" i="8" s="1"/>
  <c r="H4294" i="8"/>
  <c r="B4290" i="8"/>
  <c r="M4284" i="8"/>
  <c r="K4284" i="8"/>
  <c r="I4284" i="8"/>
  <c r="H4284" i="8"/>
  <c r="M4283" i="8"/>
  <c r="K4283" i="8"/>
  <c r="I4283" i="8"/>
  <c r="H4283" i="8"/>
  <c r="M4282" i="8"/>
  <c r="K4282" i="8"/>
  <c r="I4282" i="8"/>
  <c r="H4282" i="8"/>
  <c r="M4281" i="8"/>
  <c r="K4281" i="8"/>
  <c r="I4281" i="8"/>
  <c r="H4281" i="8"/>
  <c r="H4280" i="8"/>
  <c r="M4275" i="8"/>
  <c r="M4274" i="8"/>
  <c r="M4273" i="8"/>
  <c r="M4272" i="8"/>
  <c r="M4266" i="8"/>
  <c r="I4266" i="8"/>
  <c r="H4266" i="8"/>
  <c r="M4265" i="8"/>
  <c r="I4265" i="8"/>
  <c r="H4265" i="8"/>
  <c r="M4264" i="8"/>
  <c r="I4264" i="8"/>
  <c r="H4264" i="8"/>
  <c r="I4263" i="8"/>
  <c r="M4263" i="8" s="1"/>
  <c r="H4263" i="8"/>
  <c r="H4262" i="8"/>
  <c r="M4257" i="8"/>
  <c r="I4257" i="8"/>
  <c r="H4257" i="8"/>
  <c r="M4256" i="8"/>
  <c r="I4256" i="8"/>
  <c r="H4256" i="8"/>
  <c r="M4255" i="8"/>
  <c r="I4255" i="8"/>
  <c r="H4255" i="8"/>
  <c r="M4254" i="8"/>
  <c r="I4254" i="8"/>
  <c r="H4254" i="8"/>
  <c r="M4253" i="8"/>
  <c r="I4253" i="8"/>
  <c r="H4253" i="8"/>
  <c r="I4252" i="8"/>
  <c r="M4252" i="8" s="1"/>
  <c r="H4252" i="8"/>
  <c r="B4248" i="8"/>
  <c r="M4242" i="8"/>
  <c r="K4242" i="8"/>
  <c r="I4242" i="8"/>
  <c r="H4242" i="8"/>
  <c r="M4241" i="8"/>
  <c r="K4241" i="8"/>
  <c r="I4241" i="8"/>
  <c r="H4241" i="8"/>
  <c r="M4240" i="8"/>
  <c r="K4240" i="8"/>
  <c r="I4240" i="8"/>
  <c r="H4240" i="8"/>
  <c r="M4239" i="8"/>
  <c r="K4239" i="8"/>
  <c r="I4239" i="8"/>
  <c r="H4239" i="8"/>
  <c r="L4238" i="8"/>
  <c r="H4238" i="8"/>
  <c r="M4233" i="8"/>
  <c r="M4232" i="8"/>
  <c r="M4231" i="8"/>
  <c r="M4230" i="8"/>
  <c r="M4224" i="8"/>
  <c r="I4224" i="8"/>
  <c r="H4224" i="8"/>
  <c r="M4223" i="8"/>
  <c r="I4223" i="8"/>
  <c r="H4223" i="8"/>
  <c r="I4222" i="8"/>
  <c r="M4222" i="8" s="1"/>
  <c r="H4222" i="8"/>
  <c r="I4221" i="8"/>
  <c r="M4221" i="8" s="1"/>
  <c r="H4221" i="8"/>
  <c r="H4220" i="8"/>
  <c r="M4215" i="8"/>
  <c r="I4215" i="8"/>
  <c r="H4215" i="8"/>
  <c r="M4214" i="8"/>
  <c r="I4214" i="8"/>
  <c r="H4214" i="8"/>
  <c r="M4213" i="8"/>
  <c r="I4213" i="8"/>
  <c r="H4213" i="8"/>
  <c r="M4212" i="8"/>
  <c r="I4212" i="8"/>
  <c r="H4212" i="8"/>
  <c r="M4211" i="8"/>
  <c r="I4211" i="8"/>
  <c r="H4211" i="8"/>
  <c r="M4210" i="8"/>
  <c r="I4210" i="8"/>
  <c r="H4210" i="8"/>
  <c r="B4206" i="8"/>
  <c r="M4200" i="8"/>
  <c r="K4200" i="8"/>
  <c r="I4200" i="8"/>
  <c r="H4200" i="8"/>
  <c r="M4199" i="8"/>
  <c r="K4199" i="8"/>
  <c r="I4199" i="8"/>
  <c r="H4199" i="8"/>
  <c r="M4198" i="8"/>
  <c r="K4198" i="8"/>
  <c r="I4198" i="8"/>
  <c r="H4198" i="8"/>
  <c r="M4197" i="8"/>
  <c r="K4197" i="8"/>
  <c r="I4197" i="8"/>
  <c r="H4197" i="8"/>
  <c r="H4196" i="8"/>
  <c r="M4191" i="8"/>
  <c r="M4190" i="8"/>
  <c r="M4189" i="8"/>
  <c r="M4188" i="8"/>
  <c r="M4182" i="8"/>
  <c r="I4182" i="8"/>
  <c r="H4182" i="8"/>
  <c r="M4181" i="8"/>
  <c r="I4181" i="8"/>
  <c r="H4181" i="8"/>
  <c r="M4180" i="8"/>
  <c r="I4180" i="8"/>
  <c r="H4180" i="8"/>
  <c r="M4179" i="8"/>
  <c r="I4179" i="8"/>
  <c r="H4179" i="8"/>
  <c r="H4178" i="8"/>
  <c r="M4173" i="8"/>
  <c r="I4173" i="8"/>
  <c r="H4173" i="8"/>
  <c r="M4172" i="8"/>
  <c r="I4172" i="8"/>
  <c r="H4172" i="8"/>
  <c r="M4171" i="8"/>
  <c r="I4171" i="8"/>
  <c r="H4171" i="8"/>
  <c r="I4170" i="8"/>
  <c r="M4170" i="8" s="1"/>
  <c r="H4170" i="8"/>
  <c r="I4169" i="8"/>
  <c r="M4169" i="8" s="1"/>
  <c r="H4169" i="8"/>
  <c r="I4168" i="8"/>
  <c r="M4168" i="8" s="1"/>
  <c r="H4168" i="8"/>
  <c r="B4164" i="8"/>
  <c r="M4158" i="8"/>
  <c r="K4158" i="8"/>
  <c r="I4158" i="8"/>
  <c r="H4158" i="8"/>
  <c r="M4157" i="8"/>
  <c r="K4157" i="8"/>
  <c r="I4157" i="8"/>
  <c r="H4157" i="8"/>
  <c r="M4156" i="8"/>
  <c r="K4156" i="8"/>
  <c r="I4156" i="8"/>
  <c r="H4156" i="8"/>
  <c r="M4155" i="8"/>
  <c r="K4155" i="8"/>
  <c r="I4155" i="8"/>
  <c r="H4155" i="8"/>
  <c r="L4154" i="8"/>
  <c r="H4154" i="8"/>
  <c r="M4149" i="8"/>
  <c r="M4148" i="8"/>
  <c r="M4147" i="8"/>
  <c r="M4146" i="8"/>
  <c r="K4146" i="8"/>
  <c r="M4140" i="8"/>
  <c r="I4140" i="8"/>
  <c r="H4140" i="8"/>
  <c r="M4139" i="8"/>
  <c r="I4139" i="8"/>
  <c r="H4139" i="8"/>
  <c r="I4138" i="8"/>
  <c r="M4138" i="8" s="1"/>
  <c r="H4138" i="8"/>
  <c r="I4137" i="8"/>
  <c r="M4137" i="8" s="1"/>
  <c r="H4137" i="8"/>
  <c r="H4136" i="8"/>
  <c r="M4131" i="8"/>
  <c r="I4131" i="8"/>
  <c r="H4131" i="8"/>
  <c r="I4130" i="8"/>
  <c r="M4130" i="8" s="1"/>
  <c r="H4130" i="8"/>
  <c r="I4129" i="8"/>
  <c r="M4129" i="8" s="1"/>
  <c r="H4129" i="8"/>
  <c r="I4128" i="8"/>
  <c r="M4128" i="8" s="1"/>
  <c r="H4128" i="8"/>
  <c r="I4127" i="8"/>
  <c r="M4127" i="8" s="1"/>
  <c r="H4127" i="8"/>
  <c r="I4126" i="8"/>
  <c r="M4126" i="8" s="1"/>
  <c r="H4126" i="8"/>
  <c r="I4125" i="8"/>
  <c r="M4125" i="8" s="1"/>
  <c r="H4125" i="8"/>
  <c r="I4124" i="8"/>
  <c r="M4124" i="8" s="1"/>
  <c r="H4124" i="8"/>
  <c r="I4123" i="8"/>
  <c r="M4123" i="8" s="1"/>
  <c r="H4123" i="8"/>
  <c r="B4119" i="8"/>
  <c r="M4113" i="8"/>
  <c r="K4113" i="8"/>
  <c r="I4113" i="8"/>
  <c r="H4113" i="8"/>
  <c r="M4112" i="8"/>
  <c r="K4112" i="8"/>
  <c r="I4112" i="8"/>
  <c r="H4112" i="8"/>
  <c r="M4111" i="8"/>
  <c r="K4111" i="8"/>
  <c r="I4111" i="8"/>
  <c r="H4111" i="8"/>
  <c r="M4110" i="8"/>
  <c r="K4110" i="8"/>
  <c r="I4110" i="8"/>
  <c r="H4110" i="8"/>
  <c r="M4109" i="8"/>
  <c r="K4109" i="8"/>
  <c r="I4109" i="8"/>
  <c r="H4109" i="8"/>
  <c r="M4104" i="8"/>
  <c r="M4103" i="8"/>
  <c r="M4102" i="8"/>
  <c r="M4101" i="8"/>
  <c r="M4095" i="8"/>
  <c r="I4095" i="8"/>
  <c r="H4095" i="8"/>
  <c r="M4094" i="8"/>
  <c r="I4094" i="8"/>
  <c r="H4094" i="8"/>
  <c r="M4093" i="8"/>
  <c r="I4093" i="8"/>
  <c r="H4093" i="8"/>
  <c r="M4092" i="8"/>
  <c r="I4092" i="8"/>
  <c r="H4092" i="8"/>
  <c r="M4086" i="8"/>
  <c r="I4086" i="8"/>
  <c r="H4086" i="8"/>
  <c r="M4085" i="8"/>
  <c r="I4085" i="8"/>
  <c r="H4085" i="8"/>
  <c r="M4084" i="8"/>
  <c r="I4084" i="8"/>
  <c r="H4084" i="8"/>
  <c r="M4083" i="8"/>
  <c r="I4083" i="8"/>
  <c r="H4083" i="8"/>
  <c r="M4082" i="8"/>
  <c r="I4082" i="8"/>
  <c r="H4082" i="8"/>
  <c r="I4081" i="8"/>
  <c r="M4081" i="8" s="1"/>
  <c r="H4081" i="8"/>
  <c r="B4077" i="8"/>
  <c r="M4071" i="8"/>
  <c r="K4071" i="8"/>
  <c r="I4071" i="8"/>
  <c r="H4071" i="8"/>
  <c r="M4070" i="8"/>
  <c r="K4070" i="8"/>
  <c r="I4070" i="8"/>
  <c r="H4070" i="8"/>
  <c r="M4069" i="8"/>
  <c r="K4069" i="8"/>
  <c r="I4069" i="8"/>
  <c r="H4069" i="8"/>
  <c r="M4068" i="8"/>
  <c r="K4068" i="8"/>
  <c r="I4068" i="8"/>
  <c r="H4068" i="8"/>
  <c r="H4067" i="8"/>
  <c r="M4062" i="8"/>
  <c r="M4061" i="8"/>
  <c r="M4060" i="8"/>
  <c r="M4059" i="8"/>
  <c r="M4053" i="8"/>
  <c r="I4053" i="8"/>
  <c r="H4053" i="8"/>
  <c r="M4052" i="8"/>
  <c r="I4052" i="8"/>
  <c r="H4052" i="8"/>
  <c r="M4051" i="8"/>
  <c r="I4051" i="8"/>
  <c r="H4051" i="8"/>
  <c r="M4050" i="8"/>
  <c r="I4050" i="8"/>
  <c r="H4050" i="8"/>
  <c r="H4049" i="8"/>
  <c r="M4044" i="8"/>
  <c r="I4044" i="8"/>
  <c r="H4044" i="8"/>
  <c r="M4043" i="8"/>
  <c r="I4043" i="8"/>
  <c r="H4043" i="8"/>
  <c r="M4042" i="8"/>
  <c r="I4042" i="8"/>
  <c r="H4042" i="8"/>
  <c r="M4041" i="8"/>
  <c r="I4041" i="8"/>
  <c r="H4041" i="8"/>
  <c r="M4040" i="8"/>
  <c r="I4040" i="8"/>
  <c r="H4040" i="8"/>
  <c r="I4039" i="8"/>
  <c r="M4039" i="8" s="1"/>
  <c r="H4039" i="8"/>
  <c r="B4035" i="8"/>
  <c r="M4029" i="8"/>
  <c r="K4029" i="8"/>
  <c r="I4029" i="8"/>
  <c r="H4029" i="8"/>
  <c r="M4028" i="8"/>
  <c r="K4028" i="8"/>
  <c r="I4028" i="8"/>
  <c r="H4028" i="8"/>
  <c r="M4027" i="8"/>
  <c r="K4027" i="8"/>
  <c r="I4027" i="8"/>
  <c r="H4027" i="8"/>
  <c r="M4026" i="8"/>
  <c r="K4026" i="8"/>
  <c r="I4026" i="8"/>
  <c r="H4026" i="8"/>
  <c r="H4025" i="8"/>
  <c r="M4020" i="8"/>
  <c r="M4019" i="8"/>
  <c r="M4018" i="8"/>
  <c r="M4011" i="8"/>
  <c r="I4011" i="8"/>
  <c r="H4011" i="8"/>
  <c r="M4010" i="8"/>
  <c r="I4010" i="8"/>
  <c r="H4010" i="8"/>
  <c r="M4009" i="8"/>
  <c r="I4009" i="8"/>
  <c r="H4009" i="8"/>
  <c r="M4008" i="8"/>
  <c r="I4008" i="8"/>
  <c r="H4008" i="8"/>
  <c r="H4007" i="8"/>
  <c r="M4002" i="8"/>
  <c r="I4002" i="8"/>
  <c r="H4002" i="8"/>
  <c r="M4001" i="8"/>
  <c r="I4001" i="8"/>
  <c r="H4001" i="8"/>
  <c r="M4000" i="8"/>
  <c r="I4000" i="8"/>
  <c r="H4000" i="8"/>
  <c r="M3999" i="8"/>
  <c r="I3999" i="8"/>
  <c r="H3999" i="8"/>
  <c r="M3998" i="8"/>
  <c r="I3998" i="8"/>
  <c r="H3998" i="8"/>
  <c r="I3997" i="8"/>
  <c r="M3997" i="8" s="1"/>
  <c r="H3997" i="8"/>
  <c r="B3993" i="8"/>
  <c r="M3987" i="8"/>
  <c r="K3987" i="8"/>
  <c r="I3987" i="8"/>
  <c r="H3987" i="8"/>
  <c r="M3986" i="8"/>
  <c r="K3986" i="8"/>
  <c r="I3986" i="8"/>
  <c r="H3986" i="8"/>
  <c r="M3985" i="8"/>
  <c r="K3985" i="8"/>
  <c r="I3985" i="8"/>
  <c r="H3985" i="8"/>
  <c r="M3984" i="8"/>
  <c r="K3984" i="8"/>
  <c r="I3984" i="8"/>
  <c r="H3984" i="8"/>
  <c r="H3983" i="8"/>
  <c r="M3978" i="8"/>
  <c r="M3977" i="8"/>
  <c r="M3976" i="8"/>
  <c r="M3975" i="8"/>
  <c r="M3969" i="8"/>
  <c r="I3969" i="8"/>
  <c r="H3969" i="8"/>
  <c r="M3968" i="8"/>
  <c r="I3968" i="8"/>
  <c r="H3968" i="8"/>
  <c r="M3967" i="8"/>
  <c r="I3967" i="8"/>
  <c r="H3967" i="8"/>
  <c r="M3966" i="8"/>
  <c r="I3966" i="8"/>
  <c r="H3966" i="8"/>
  <c r="H3965" i="8"/>
  <c r="M3960" i="8"/>
  <c r="I3960" i="8"/>
  <c r="H3960" i="8"/>
  <c r="M3959" i="8"/>
  <c r="I3959" i="8"/>
  <c r="H3959" i="8"/>
  <c r="M3958" i="8"/>
  <c r="I3958" i="8"/>
  <c r="H3958" i="8"/>
  <c r="M3957" i="8"/>
  <c r="I3957" i="8"/>
  <c r="H3957" i="8"/>
  <c r="M3956" i="8"/>
  <c r="I3956" i="8"/>
  <c r="H3956" i="8"/>
  <c r="I3955" i="8"/>
  <c r="M3955" i="8" s="1"/>
  <c r="H3955" i="8"/>
  <c r="B3951" i="8"/>
  <c r="M3945" i="8"/>
  <c r="K3945" i="8"/>
  <c r="I3945" i="8"/>
  <c r="H3945" i="8"/>
  <c r="M3944" i="8"/>
  <c r="K3944" i="8"/>
  <c r="I3944" i="8"/>
  <c r="H3944" i="8"/>
  <c r="M3943" i="8"/>
  <c r="K3943" i="8"/>
  <c r="I3943" i="8"/>
  <c r="H3943" i="8"/>
  <c r="M3942" i="8"/>
  <c r="K3942" i="8"/>
  <c r="I3942" i="8"/>
  <c r="H3942" i="8"/>
  <c r="H3941" i="8"/>
  <c r="M3936" i="8"/>
  <c r="M3935" i="8"/>
  <c r="M3934" i="8"/>
  <c r="M3927" i="8"/>
  <c r="I3927" i="8"/>
  <c r="H3927" i="8"/>
  <c r="M3926" i="8"/>
  <c r="I3926" i="8"/>
  <c r="H3926" i="8"/>
  <c r="M3925" i="8"/>
  <c r="I3925" i="8"/>
  <c r="H3925" i="8"/>
  <c r="M3924" i="8"/>
  <c r="I3924" i="8"/>
  <c r="H3924" i="8"/>
  <c r="H3923" i="8"/>
  <c r="M3918" i="8"/>
  <c r="I3918" i="8"/>
  <c r="H3918" i="8"/>
  <c r="M3917" i="8"/>
  <c r="I3917" i="8"/>
  <c r="H3917" i="8"/>
  <c r="M3916" i="8"/>
  <c r="I3916" i="8"/>
  <c r="H3916" i="8"/>
  <c r="M3915" i="8"/>
  <c r="I3915" i="8"/>
  <c r="H3915" i="8"/>
  <c r="M3914" i="8"/>
  <c r="I3914" i="8"/>
  <c r="H3914" i="8"/>
  <c r="I3913" i="8"/>
  <c r="M3913" i="8" s="1"/>
  <c r="H3913" i="8"/>
  <c r="B3909" i="8"/>
  <c r="M3903" i="8"/>
  <c r="K3903" i="8"/>
  <c r="I3903" i="8"/>
  <c r="H3903" i="8"/>
  <c r="M3902" i="8"/>
  <c r="K3902" i="8"/>
  <c r="I3902" i="8"/>
  <c r="H3902" i="8"/>
  <c r="M3901" i="8"/>
  <c r="K3901" i="8"/>
  <c r="I3901" i="8"/>
  <c r="H3901" i="8"/>
  <c r="M3900" i="8"/>
  <c r="K3900" i="8"/>
  <c r="I3900" i="8"/>
  <c r="H3900" i="8"/>
  <c r="H3899" i="8"/>
  <c r="M3894" i="8"/>
  <c r="M3893" i="8"/>
  <c r="M3892" i="8"/>
  <c r="M3885" i="8"/>
  <c r="I3885" i="8"/>
  <c r="H3885" i="8"/>
  <c r="M3884" i="8"/>
  <c r="I3884" i="8"/>
  <c r="H3884" i="8"/>
  <c r="M3883" i="8"/>
  <c r="I3883" i="8"/>
  <c r="H3883" i="8"/>
  <c r="M3882" i="8"/>
  <c r="I3882" i="8"/>
  <c r="H3882" i="8"/>
  <c r="H3881" i="8"/>
  <c r="M3876" i="8"/>
  <c r="I3876" i="8"/>
  <c r="H3876" i="8"/>
  <c r="M3875" i="8"/>
  <c r="I3875" i="8"/>
  <c r="H3875" i="8"/>
  <c r="M3874" i="8"/>
  <c r="I3874" i="8"/>
  <c r="H3874" i="8"/>
  <c r="M3873" i="8"/>
  <c r="I3873" i="8"/>
  <c r="H3873" i="8"/>
  <c r="M3872" i="8"/>
  <c r="I3872" i="8"/>
  <c r="H3872" i="8"/>
  <c r="I3871" i="8"/>
  <c r="M3871" i="8" s="1"/>
  <c r="H3871" i="8"/>
  <c r="B3867" i="8"/>
  <c r="M3861" i="8"/>
  <c r="K3861" i="8"/>
  <c r="I3861" i="8"/>
  <c r="H3861" i="8"/>
  <c r="M3860" i="8"/>
  <c r="K3860" i="8"/>
  <c r="I3860" i="8"/>
  <c r="H3860" i="8"/>
  <c r="M3859" i="8"/>
  <c r="K3859" i="8"/>
  <c r="I3859" i="8"/>
  <c r="H3859" i="8"/>
  <c r="M3858" i="8"/>
  <c r="K3858" i="8"/>
  <c r="I3858" i="8"/>
  <c r="H3858" i="8"/>
  <c r="H3857" i="8"/>
  <c r="M3852" i="8"/>
  <c r="M3851" i="8"/>
  <c r="M3850" i="8"/>
  <c r="M3849" i="8"/>
  <c r="M3843" i="8"/>
  <c r="I3843" i="8"/>
  <c r="H3843" i="8"/>
  <c r="M3842" i="8"/>
  <c r="I3842" i="8"/>
  <c r="H3842" i="8"/>
  <c r="M3841" i="8"/>
  <c r="I3841" i="8"/>
  <c r="H3841" i="8"/>
  <c r="M3840" i="8"/>
  <c r="I3840" i="8"/>
  <c r="H3840" i="8"/>
  <c r="H3839" i="8"/>
  <c r="M3834" i="8"/>
  <c r="I3834" i="8"/>
  <c r="H3834" i="8"/>
  <c r="M3833" i="8"/>
  <c r="I3833" i="8"/>
  <c r="H3833" i="8"/>
  <c r="M3832" i="8"/>
  <c r="I3832" i="8"/>
  <c r="H3832" i="8"/>
  <c r="M3831" i="8"/>
  <c r="I3831" i="8"/>
  <c r="H3831" i="8"/>
  <c r="M3830" i="8"/>
  <c r="I3830" i="8"/>
  <c r="H3830" i="8"/>
  <c r="I3829" i="8"/>
  <c r="M3829" i="8" s="1"/>
  <c r="H3829" i="8"/>
  <c r="B3825" i="8"/>
  <c r="M3819" i="8"/>
  <c r="K3819" i="8"/>
  <c r="I3819" i="8"/>
  <c r="H3819" i="8"/>
  <c r="M3818" i="8"/>
  <c r="K3818" i="8"/>
  <c r="I3818" i="8"/>
  <c r="H3818" i="8"/>
  <c r="M3817" i="8"/>
  <c r="K3817" i="8"/>
  <c r="I3817" i="8"/>
  <c r="H3817" i="8"/>
  <c r="M3816" i="8"/>
  <c r="K3816" i="8"/>
  <c r="I3816" i="8"/>
  <c r="H3816" i="8"/>
  <c r="H3815" i="8"/>
  <c r="M3810" i="8"/>
  <c r="M3809" i="8"/>
  <c r="M3808" i="8"/>
  <c r="M3807" i="8"/>
  <c r="M3801" i="8"/>
  <c r="I3801" i="8"/>
  <c r="H3801" i="8"/>
  <c r="M3800" i="8"/>
  <c r="I3800" i="8"/>
  <c r="H3800" i="8"/>
  <c r="M3799" i="8"/>
  <c r="I3799" i="8"/>
  <c r="H3799" i="8"/>
  <c r="M3798" i="8"/>
  <c r="I3798" i="8"/>
  <c r="H3798" i="8"/>
  <c r="H3797" i="8"/>
  <c r="M3792" i="8"/>
  <c r="I3792" i="8"/>
  <c r="H3792" i="8"/>
  <c r="M3791" i="8"/>
  <c r="I3791" i="8"/>
  <c r="H3791" i="8"/>
  <c r="M3790" i="8"/>
  <c r="I3790" i="8"/>
  <c r="H3790" i="8"/>
  <c r="M3789" i="8"/>
  <c r="I3789" i="8"/>
  <c r="H3789" i="8"/>
  <c r="M3788" i="8"/>
  <c r="I3788" i="8"/>
  <c r="H3788" i="8"/>
  <c r="I3787" i="8"/>
  <c r="M3787" i="8" s="1"/>
  <c r="H3787" i="8"/>
  <c r="B3783" i="8"/>
  <c r="M3777" i="8"/>
  <c r="K3777" i="8"/>
  <c r="I3777" i="8"/>
  <c r="H3777" i="8"/>
  <c r="M3776" i="8"/>
  <c r="K3776" i="8"/>
  <c r="I3776" i="8"/>
  <c r="H3776" i="8"/>
  <c r="M3775" i="8"/>
  <c r="K3775" i="8"/>
  <c r="I3775" i="8"/>
  <c r="H3775" i="8"/>
  <c r="M3774" i="8"/>
  <c r="K3774" i="8"/>
  <c r="I3774" i="8"/>
  <c r="H3774" i="8"/>
  <c r="H3773" i="8"/>
  <c r="M3768" i="8"/>
  <c r="M3767" i="8"/>
  <c r="M3766" i="8"/>
  <c r="M3765" i="8"/>
  <c r="M3759" i="8"/>
  <c r="I3759" i="8"/>
  <c r="H3759" i="8"/>
  <c r="M3758" i="8"/>
  <c r="I3758" i="8"/>
  <c r="H3758" i="8"/>
  <c r="M3757" i="8"/>
  <c r="I3757" i="8"/>
  <c r="H3757" i="8"/>
  <c r="M3756" i="8"/>
  <c r="I3756" i="8"/>
  <c r="H3756" i="8"/>
  <c r="H3755" i="8"/>
  <c r="M3750" i="8"/>
  <c r="I3750" i="8"/>
  <c r="H3750" i="8"/>
  <c r="M3749" i="8"/>
  <c r="I3749" i="8"/>
  <c r="H3749" i="8"/>
  <c r="M3748" i="8"/>
  <c r="I3748" i="8"/>
  <c r="H3748" i="8"/>
  <c r="M3747" i="8"/>
  <c r="I3747" i="8"/>
  <c r="H3747" i="8"/>
  <c r="M3746" i="8"/>
  <c r="I3746" i="8"/>
  <c r="H3746" i="8"/>
  <c r="I3745" i="8"/>
  <c r="M3745" i="8" s="1"/>
  <c r="H3745" i="8"/>
  <c r="B3741" i="8"/>
  <c r="M3735" i="8"/>
  <c r="K3735" i="8"/>
  <c r="I3735" i="8"/>
  <c r="H3735" i="8"/>
  <c r="M3734" i="8"/>
  <c r="K3734" i="8"/>
  <c r="I3734" i="8"/>
  <c r="H3734" i="8"/>
  <c r="M3733" i="8"/>
  <c r="K3733" i="8"/>
  <c r="I3733" i="8"/>
  <c r="H3733" i="8"/>
  <c r="M3732" i="8"/>
  <c r="K3732" i="8"/>
  <c r="I3732" i="8"/>
  <c r="H3732" i="8"/>
  <c r="H3731" i="8"/>
  <c r="M3726" i="8"/>
  <c r="M3725" i="8"/>
  <c r="M3724" i="8"/>
  <c r="M3723" i="8"/>
  <c r="M3717" i="8"/>
  <c r="I3717" i="8"/>
  <c r="H3717" i="8"/>
  <c r="M3716" i="8"/>
  <c r="I3716" i="8"/>
  <c r="H3716" i="8"/>
  <c r="M3715" i="8"/>
  <c r="I3715" i="8"/>
  <c r="H3715" i="8"/>
  <c r="M3714" i="8"/>
  <c r="I3714" i="8"/>
  <c r="H3714" i="8"/>
  <c r="H3713" i="8"/>
  <c r="M3708" i="8"/>
  <c r="I3708" i="8"/>
  <c r="H3708" i="8"/>
  <c r="M3707" i="8"/>
  <c r="I3707" i="8"/>
  <c r="H3707" i="8"/>
  <c r="M3706" i="8"/>
  <c r="I3706" i="8"/>
  <c r="H3706" i="8"/>
  <c r="M3705" i="8"/>
  <c r="I3705" i="8"/>
  <c r="H3705" i="8"/>
  <c r="M3704" i="8"/>
  <c r="I3704" i="8"/>
  <c r="H3704" i="8"/>
  <c r="I3703" i="8"/>
  <c r="M3703" i="8" s="1"/>
  <c r="H3703" i="8"/>
  <c r="B3699" i="8"/>
  <c r="M3693" i="8"/>
  <c r="K3693" i="8"/>
  <c r="I3693" i="8"/>
  <c r="H3693" i="8"/>
  <c r="M3692" i="8"/>
  <c r="K3692" i="8"/>
  <c r="I3692" i="8"/>
  <c r="H3692" i="8"/>
  <c r="M3691" i="8"/>
  <c r="K3691" i="8"/>
  <c r="I3691" i="8"/>
  <c r="H3691" i="8"/>
  <c r="M3690" i="8"/>
  <c r="K3690" i="8"/>
  <c r="I3690" i="8"/>
  <c r="H3690" i="8"/>
  <c r="H3689" i="8"/>
  <c r="M3684" i="8"/>
  <c r="M3683" i="8"/>
  <c r="M3682" i="8"/>
  <c r="M3681" i="8"/>
  <c r="M3675" i="8"/>
  <c r="I3675" i="8"/>
  <c r="H3675" i="8"/>
  <c r="M3674" i="8"/>
  <c r="I3674" i="8"/>
  <c r="H3674" i="8"/>
  <c r="M3673" i="8"/>
  <c r="I3673" i="8"/>
  <c r="H3673" i="8"/>
  <c r="M3672" i="8"/>
  <c r="I3672" i="8"/>
  <c r="H3672" i="8"/>
  <c r="H3671" i="8"/>
  <c r="M3666" i="8"/>
  <c r="I3666" i="8"/>
  <c r="H3666" i="8"/>
  <c r="M3665" i="8"/>
  <c r="I3665" i="8"/>
  <c r="H3665" i="8"/>
  <c r="M3664" i="8"/>
  <c r="I3664" i="8"/>
  <c r="H3664" i="8"/>
  <c r="M3663" i="8"/>
  <c r="I3663" i="8"/>
  <c r="H3663" i="8"/>
  <c r="M3662" i="8"/>
  <c r="I3662" i="8"/>
  <c r="H3662" i="8"/>
  <c r="I3661" i="8"/>
  <c r="M3661" i="8" s="1"/>
  <c r="H3661" i="8"/>
  <c r="B3657" i="8"/>
  <c r="M3651" i="8"/>
  <c r="K3651" i="8"/>
  <c r="I3651" i="8"/>
  <c r="H3651" i="8"/>
  <c r="M3650" i="8"/>
  <c r="K3650" i="8"/>
  <c r="I3650" i="8"/>
  <c r="H3650" i="8"/>
  <c r="M3649" i="8"/>
  <c r="K3649" i="8"/>
  <c r="I3649" i="8"/>
  <c r="H3649" i="8"/>
  <c r="M3648" i="8"/>
  <c r="K3648" i="8"/>
  <c r="I3648" i="8"/>
  <c r="H3648" i="8"/>
  <c r="H3647" i="8"/>
  <c r="M3642" i="8"/>
  <c r="M3641" i="8"/>
  <c r="M3640" i="8"/>
  <c r="M3639" i="8"/>
  <c r="M3633" i="8"/>
  <c r="I3633" i="8"/>
  <c r="H3633" i="8"/>
  <c r="M3632" i="8"/>
  <c r="I3632" i="8"/>
  <c r="H3632" i="8"/>
  <c r="M3631" i="8"/>
  <c r="I3631" i="8"/>
  <c r="H3631" i="8"/>
  <c r="M3630" i="8"/>
  <c r="I3630" i="8"/>
  <c r="H3630" i="8"/>
  <c r="H3629" i="8"/>
  <c r="M3624" i="8"/>
  <c r="I3624" i="8"/>
  <c r="H3624" i="8"/>
  <c r="M3623" i="8"/>
  <c r="I3623" i="8"/>
  <c r="H3623" i="8"/>
  <c r="M3622" i="8"/>
  <c r="I3622" i="8"/>
  <c r="H3622" i="8"/>
  <c r="M3621" i="8"/>
  <c r="I3621" i="8"/>
  <c r="H3621" i="8"/>
  <c r="M3620" i="8"/>
  <c r="I3620" i="8"/>
  <c r="H3620" i="8"/>
  <c r="I3619" i="8"/>
  <c r="M3619" i="8" s="1"/>
  <c r="H3619" i="8"/>
  <c r="B3615" i="8"/>
  <c r="M3609" i="8"/>
  <c r="K3609" i="8"/>
  <c r="I3609" i="8"/>
  <c r="H3609" i="8"/>
  <c r="M3608" i="8"/>
  <c r="K3608" i="8"/>
  <c r="I3608" i="8"/>
  <c r="H3608" i="8"/>
  <c r="M3607" i="8"/>
  <c r="K3607" i="8"/>
  <c r="I3607" i="8"/>
  <c r="H3607" i="8"/>
  <c r="M3606" i="8"/>
  <c r="K3606" i="8"/>
  <c r="I3606" i="8"/>
  <c r="H3606" i="8"/>
  <c r="H3605" i="8"/>
  <c r="M3600" i="8"/>
  <c r="M3599" i="8"/>
  <c r="M3598" i="8"/>
  <c r="M3597" i="8"/>
  <c r="M3591" i="8"/>
  <c r="I3591" i="8"/>
  <c r="H3591" i="8"/>
  <c r="M3590" i="8"/>
  <c r="I3590" i="8"/>
  <c r="H3590" i="8"/>
  <c r="M3589" i="8"/>
  <c r="I3589" i="8"/>
  <c r="H3589" i="8"/>
  <c r="M3588" i="8"/>
  <c r="I3588" i="8"/>
  <c r="H3588" i="8"/>
  <c r="H3587" i="8"/>
  <c r="M3582" i="8"/>
  <c r="I3582" i="8"/>
  <c r="H3582" i="8"/>
  <c r="M3581" i="8"/>
  <c r="I3581" i="8"/>
  <c r="H3581" i="8"/>
  <c r="M3580" i="8"/>
  <c r="I3580" i="8"/>
  <c r="H3580" i="8"/>
  <c r="M3579" i="8"/>
  <c r="I3579" i="8"/>
  <c r="H3579" i="8"/>
  <c r="M3578" i="8"/>
  <c r="I3578" i="8"/>
  <c r="H3578" i="8"/>
  <c r="I3577" i="8"/>
  <c r="M3577" i="8" s="1"/>
  <c r="H3577" i="8"/>
  <c r="B3573" i="8"/>
  <c r="M3567" i="8"/>
  <c r="K3567" i="8"/>
  <c r="I3567" i="8"/>
  <c r="H3567" i="8"/>
  <c r="M3566" i="8"/>
  <c r="K3566" i="8"/>
  <c r="I3566" i="8"/>
  <c r="H3566" i="8"/>
  <c r="M3565" i="8"/>
  <c r="K3565" i="8"/>
  <c r="I3565" i="8"/>
  <c r="H3565" i="8"/>
  <c r="M3564" i="8"/>
  <c r="K3564" i="8"/>
  <c r="I3564" i="8"/>
  <c r="H3564" i="8"/>
  <c r="H3563" i="8"/>
  <c r="M3558" i="8"/>
  <c r="M3557" i="8"/>
  <c r="M3556" i="8"/>
  <c r="M3555" i="8"/>
  <c r="M3549" i="8"/>
  <c r="I3549" i="8"/>
  <c r="H3549" i="8"/>
  <c r="M3548" i="8"/>
  <c r="I3548" i="8"/>
  <c r="H3548" i="8"/>
  <c r="M3547" i="8"/>
  <c r="I3547" i="8"/>
  <c r="H3547" i="8"/>
  <c r="M3546" i="8"/>
  <c r="I3546" i="8"/>
  <c r="H3546" i="8"/>
  <c r="H3545" i="8"/>
  <c r="M3540" i="8"/>
  <c r="I3540" i="8"/>
  <c r="H3540" i="8"/>
  <c r="M3539" i="8"/>
  <c r="I3539" i="8"/>
  <c r="H3539" i="8"/>
  <c r="M3538" i="8"/>
  <c r="I3538" i="8"/>
  <c r="H3538" i="8"/>
  <c r="M3537" i="8"/>
  <c r="I3537" i="8"/>
  <c r="H3537" i="8"/>
  <c r="M3536" i="8"/>
  <c r="I3536" i="8"/>
  <c r="H3536" i="8"/>
  <c r="I3535" i="8"/>
  <c r="M3535" i="8" s="1"/>
  <c r="H3535" i="8"/>
  <c r="B3531" i="8"/>
  <c r="M3525" i="8"/>
  <c r="K3525" i="8"/>
  <c r="I3525" i="8"/>
  <c r="H3525" i="8"/>
  <c r="M3524" i="8"/>
  <c r="K3524" i="8"/>
  <c r="I3524" i="8"/>
  <c r="H3524" i="8"/>
  <c r="M3523" i="8"/>
  <c r="K3523" i="8"/>
  <c r="I3523" i="8"/>
  <c r="H3523" i="8"/>
  <c r="M3522" i="8"/>
  <c r="K3522" i="8"/>
  <c r="I3522" i="8"/>
  <c r="H3522" i="8"/>
  <c r="H3521" i="8"/>
  <c r="M3516" i="8"/>
  <c r="M3515" i="8"/>
  <c r="M3514" i="8"/>
  <c r="M3507" i="8"/>
  <c r="I3507" i="8"/>
  <c r="H3507" i="8"/>
  <c r="M3506" i="8"/>
  <c r="I3506" i="8"/>
  <c r="H3506" i="8"/>
  <c r="M3505" i="8"/>
  <c r="I3505" i="8"/>
  <c r="H3505" i="8"/>
  <c r="M3504" i="8"/>
  <c r="I3504" i="8"/>
  <c r="H3504" i="8"/>
  <c r="H3503" i="8"/>
  <c r="M3498" i="8"/>
  <c r="I3498" i="8"/>
  <c r="H3498" i="8"/>
  <c r="M3497" i="8"/>
  <c r="I3497" i="8"/>
  <c r="H3497" i="8"/>
  <c r="M3496" i="8"/>
  <c r="I3496" i="8"/>
  <c r="H3496" i="8"/>
  <c r="M3495" i="8"/>
  <c r="I3495" i="8"/>
  <c r="H3495" i="8"/>
  <c r="M3494" i="8"/>
  <c r="I3494" i="8"/>
  <c r="H3494" i="8"/>
  <c r="I3493" i="8"/>
  <c r="M3493" i="8" s="1"/>
  <c r="H3493" i="8"/>
  <c r="B3489" i="8"/>
  <c r="M3483" i="8"/>
  <c r="K3483" i="8"/>
  <c r="I3483" i="8"/>
  <c r="H3483" i="8"/>
  <c r="M3482" i="8"/>
  <c r="K3482" i="8"/>
  <c r="I3482" i="8"/>
  <c r="H3482" i="8"/>
  <c r="M3481" i="8"/>
  <c r="K3481" i="8"/>
  <c r="I3481" i="8"/>
  <c r="H3481" i="8"/>
  <c r="M3480" i="8"/>
  <c r="K3480" i="8"/>
  <c r="I3480" i="8"/>
  <c r="H3480" i="8"/>
  <c r="H3479" i="8"/>
  <c r="M3474" i="8"/>
  <c r="M3473" i="8"/>
  <c r="M3472" i="8"/>
  <c r="M3471" i="8"/>
  <c r="M3470" i="8"/>
  <c r="M3465" i="8"/>
  <c r="I3465" i="8"/>
  <c r="H3465" i="8"/>
  <c r="M3464" i="8"/>
  <c r="I3464" i="8"/>
  <c r="H3464" i="8"/>
  <c r="M3463" i="8"/>
  <c r="I3463" i="8"/>
  <c r="H3463" i="8"/>
  <c r="M3462" i="8"/>
  <c r="I3462" i="8"/>
  <c r="H3462" i="8"/>
  <c r="H3461" i="8"/>
  <c r="M3456" i="8"/>
  <c r="I3456" i="8"/>
  <c r="H3456" i="8"/>
  <c r="M3455" i="8"/>
  <c r="I3455" i="8"/>
  <c r="H3455" i="8"/>
  <c r="M3454" i="8"/>
  <c r="I3454" i="8"/>
  <c r="H3454" i="8"/>
  <c r="M3453" i="8"/>
  <c r="I3453" i="8"/>
  <c r="H3453" i="8"/>
  <c r="M3452" i="8"/>
  <c r="I3452" i="8"/>
  <c r="H3452" i="8"/>
  <c r="I3451" i="8"/>
  <c r="M3451" i="8" s="1"/>
  <c r="H3451" i="8"/>
  <c r="B3447" i="8"/>
  <c r="M3441" i="8"/>
  <c r="K3441" i="8"/>
  <c r="I3441" i="8"/>
  <c r="H3441" i="8"/>
  <c r="M3440" i="8"/>
  <c r="K3440" i="8"/>
  <c r="I3440" i="8"/>
  <c r="H3440" i="8"/>
  <c r="M3439" i="8"/>
  <c r="K3439" i="8"/>
  <c r="I3439" i="8"/>
  <c r="H3439" i="8"/>
  <c r="M3438" i="8"/>
  <c r="K3438" i="8"/>
  <c r="I3438" i="8"/>
  <c r="H3438" i="8"/>
  <c r="H3437" i="8"/>
  <c r="M3432" i="8"/>
  <c r="M3431" i="8"/>
  <c r="M3430" i="8"/>
  <c r="M3429" i="8"/>
  <c r="M3428" i="8"/>
  <c r="M3423" i="8"/>
  <c r="I3423" i="8"/>
  <c r="H3423" i="8"/>
  <c r="M3422" i="8"/>
  <c r="I3422" i="8"/>
  <c r="H3422" i="8"/>
  <c r="M3421" i="8"/>
  <c r="I3421" i="8"/>
  <c r="H3421" i="8"/>
  <c r="M3420" i="8"/>
  <c r="I3420" i="8"/>
  <c r="H3420" i="8"/>
  <c r="H3419" i="8"/>
  <c r="M3414" i="8"/>
  <c r="I3414" i="8"/>
  <c r="H3414" i="8"/>
  <c r="M3413" i="8"/>
  <c r="I3413" i="8"/>
  <c r="H3413" i="8"/>
  <c r="M3412" i="8"/>
  <c r="I3412" i="8"/>
  <c r="H3412" i="8"/>
  <c r="M3411" i="8"/>
  <c r="I3411" i="8"/>
  <c r="H3411" i="8"/>
  <c r="M3410" i="8"/>
  <c r="I3410" i="8"/>
  <c r="H3410" i="8"/>
  <c r="I3409" i="8"/>
  <c r="M3409" i="8" s="1"/>
  <c r="H3409" i="8"/>
  <c r="B3405" i="8"/>
  <c r="M3399" i="8"/>
  <c r="K3399" i="8"/>
  <c r="I3399" i="8"/>
  <c r="H3399" i="8"/>
  <c r="M3398" i="8"/>
  <c r="K3398" i="8"/>
  <c r="I3398" i="8"/>
  <c r="H3398" i="8"/>
  <c r="M3397" i="8"/>
  <c r="K3397" i="8"/>
  <c r="I3397" i="8"/>
  <c r="H3397" i="8"/>
  <c r="M3396" i="8"/>
  <c r="K3396" i="8"/>
  <c r="I3396" i="8"/>
  <c r="H3396" i="8"/>
  <c r="H3395" i="8"/>
  <c r="M3390" i="8"/>
  <c r="M3389" i="8"/>
  <c r="M3388" i="8"/>
  <c r="M3387" i="8"/>
  <c r="M3386" i="8"/>
  <c r="M3381" i="8"/>
  <c r="I3381" i="8"/>
  <c r="H3381" i="8"/>
  <c r="M3380" i="8"/>
  <c r="I3380" i="8"/>
  <c r="H3380" i="8"/>
  <c r="M3379" i="8"/>
  <c r="I3379" i="8"/>
  <c r="H3379" i="8"/>
  <c r="M3378" i="8"/>
  <c r="I3378" i="8"/>
  <c r="H3378" i="8"/>
  <c r="H3377" i="8"/>
  <c r="M3372" i="8"/>
  <c r="I3372" i="8"/>
  <c r="H3372" i="8"/>
  <c r="M3371" i="8"/>
  <c r="I3371" i="8"/>
  <c r="H3371" i="8"/>
  <c r="M3370" i="8"/>
  <c r="I3370" i="8"/>
  <c r="H3370" i="8"/>
  <c r="M3369" i="8"/>
  <c r="I3369" i="8"/>
  <c r="H3369" i="8"/>
  <c r="M3368" i="8"/>
  <c r="I3368" i="8"/>
  <c r="H3368" i="8"/>
  <c r="I3367" i="8"/>
  <c r="M3367" i="8" s="1"/>
  <c r="H3367" i="8"/>
  <c r="B3363" i="8"/>
  <c r="M3357" i="8"/>
  <c r="K3357" i="8"/>
  <c r="I3357" i="8"/>
  <c r="H3357" i="8"/>
  <c r="M3356" i="8"/>
  <c r="K3356" i="8"/>
  <c r="I3356" i="8"/>
  <c r="H3356" i="8"/>
  <c r="M3355" i="8"/>
  <c r="K3355" i="8"/>
  <c r="I3355" i="8"/>
  <c r="H3355" i="8"/>
  <c r="M3354" i="8"/>
  <c r="K3354" i="8"/>
  <c r="I3354" i="8"/>
  <c r="H3354" i="8"/>
  <c r="H3353" i="8"/>
  <c r="M3348" i="8"/>
  <c r="M3347" i="8"/>
  <c r="M3346" i="8"/>
  <c r="M3345" i="8"/>
  <c r="M3344" i="8"/>
  <c r="M3339" i="8"/>
  <c r="I3339" i="8"/>
  <c r="H3339" i="8"/>
  <c r="M3338" i="8"/>
  <c r="I3338" i="8"/>
  <c r="H3338" i="8"/>
  <c r="M3337" i="8"/>
  <c r="I3337" i="8"/>
  <c r="H3337" i="8"/>
  <c r="M3336" i="8"/>
  <c r="I3336" i="8"/>
  <c r="H3336" i="8"/>
  <c r="H3335" i="8"/>
  <c r="M3330" i="8"/>
  <c r="I3330" i="8"/>
  <c r="H3330" i="8"/>
  <c r="M3329" i="8"/>
  <c r="I3329" i="8"/>
  <c r="H3329" i="8"/>
  <c r="M3328" i="8"/>
  <c r="I3328" i="8"/>
  <c r="H3328" i="8"/>
  <c r="M3327" i="8"/>
  <c r="I3327" i="8"/>
  <c r="H3327" i="8"/>
  <c r="M3326" i="8"/>
  <c r="I3326" i="8"/>
  <c r="H3326" i="8"/>
  <c r="I3325" i="8"/>
  <c r="M3325" i="8" s="1"/>
  <c r="H3325" i="8"/>
  <c r="B3321" i="8"/>
  <c r="M3315" i="8"/>
  <c r="K3315" i="8"/>
  <c r="I3315" i="8"/>
  <c r="H3315" i="8"/>
  <c r="M3314" i="8"/>
  <c r="K3314" i="8"/>
  <c r="I3314" i="8"/>
  <c r="H3314" i="8"/>
  <c r="M3313" i="8"/>
  <c r="K3313" i="8"/>
  <c r="I3313" i="8"/>
  <c r="H3313" i="8"/>
  <c r="M3312" i="8"/>
  <c r="K3312" i="8"/>
  <c r="I3312" i="8"/>
  <c r="H3312" i="8"/>
  <c r="H3311" i="8"/>
  <c r="M3306" i="8"/>
  <c r="M3305" i="8"/>
  <c r="M3304" i="8"/>
  <c r="M3303" i="8"/>
  <c r="M3302" i="8"/>
  <c r="M3297" i="8"/>
  <c r="I3297" i="8"/>
  <c r="H3297" i="8"/>
  <c r="M3296" i="8"/>
  <c r="I3296" i="8"/>
  <c r="H3296" i="8"/>
  <c r="M3295" i="8"/>
  <c r="I3295" i="8"/>
  <c r="H3295" i="8"/>
  <c r="M3294" i="8"/>
  <c r="I3294" i="8"/>
  <c r="H3294" i="8"/>
  <c r="H3293" i="8"/>
  <c r="M3288" i="8"/>
  <c r="I3288" i="8"/>
  <c r="H3288" i="8"/>
  <c r="M3287" i="8"/>
  <c r="I3287" i="8"/>
  <c r="H3287" i="8"/>
  <c r="M3286" i="8"/>
  <c r="I3286" i="8"/>
  <c r="H3286" i="8"/>
  <c r="M3285" i="8"/>
  <c r="I3285" i="8"/>
  <c r="H3285" i="8"/>
  <c r="M3284" i="8"/>
  <c r="I3284" i="8"/>
  <c r="H3284" i="8"/>
  <c r="I3283" i="8"/>
  <c r="M3283" i="8" s="1"/>
  <c r="H3283" i="8"/>
  <c r="B3279" i="8"/>
  <c r="M3273" i="8"/>
  <c r="K3273" i="8"/>
  <c r="I3273" i="8"/>
  <c r="H3273" i="8"/>
  <c r="M3272" i="8"/>
  <c r="K3272" i="8"/>
  <c r="I3272" i="8"/>
  <c r="H3272" i="8"/>
  <c r="M3271" i="8"/>
  <c r="K3271" i="8"/>
  <c r="I3271" i="8"/>
  <c r="H3271" i="8"/>
  <c r="M3270" i="8"/>
  <c r="K3270" i="8"/>
  <c r="I3270" i="8"/>
  <c r="H3270" i="8"/>
  <c r="H3269" i="8"/>
  <c r="M3264" i="8"/>
  <c r="M3263" i="8"/>
  <c r="M3262" i="8"/>
  <c r="M3261" i="8"/>
  <c r="M3260" i="8"/>
  <c r="M3255" i="8"/>
  <c r="I3255" i="8"/>
  <c r="H3255" i="8"/>
  <c r="M3254" i="8"/>
  <c r="I3254" i="8"/>
  <c r="H3254" i="8"/>
  <c r="M3253" i="8"/>
  <c r="I3253" i="8"/>
  <c r="H3253" i="8"/>
  <c r="M3252" i="8"/>
  <c r="I3252" i="8"/>
  <c r="H3252" i="8"/>
  <c r="H3251" i="8"/>
  <c r="M3246" i="8"/>
  <c r="I3246" i="8"/>
  <c r="H3246" i="8"/>
  <c r="M3245" i="8"/>
  <c r="I3245" i="8"/>
  <c r="H3245" i="8"/>
  <c r="M3244" i="8"/>
  <c r="I3244" i="8"/>
  <c r="H3244" i="8"/>
  <c r="M3243" i="8"/>
  <c r="I3243" i="8"/>
  <c r="H3243" i="8"/>
  <c r="M3242" i="8"/>
  <c r="I3242" i="8"/>
  <c r="H3242" i="8"/>
  <c r="I3241" i="8"/>
  <c r="M3241" i="8" s="1"/>
  <c r="H3241" i="8"/>
  <c r="B3237" i="8"/>
  <c r="M3231" i="8"/>
  <c r="K3231" i="8"/>
  <c r="I3231" i="8"/>
  <c r="H3231" i="8"/>
  <c r="M3230" i="8"/>
  <c r="K3230" i="8"/>
  <c r="I3230" i="8"/>
  <c r="H3230" i="8"/>
  <c r="M3229" i="8"/>
  <c r="K3229" i="8"/>
  <c r="I3229" i="8"/>
  <c r="H3229" i="8"/>
  <c r="M3228" i="8"/>
  <c r="K3228" i="8"/>
  <c r="I3228" i="8"/>
  <c r="H3228" i="8"/>
  <c r="H3227" i="8"/>
  <c r="M3222" i="8"/>
  <c r="M3221" i="8"/>
  <c r="M3220" i="8"/>
  <c r="M3219" i="8"/>
  <c r="M3218" i="8"/>
  <c r="M3213" i="8"/>
  <c r="I3213" i="8"/>
  <c r="H3213" i="8"/>
  <c r="M3212" i="8"/>
  <c r="I3212" i="8"/>
  <c r="H3212" i="8"/>
  <c r="M3211" i="8"/>
  <c r="I3211" i="8"/>
  <c r="H3211" i="8"/>
  <c r="M3210" i="8"/>
  <c r="I3210" i="8"/>
  <c r="H3210" i="8"/>
  <c r="H3209" i="8"/>
  <c r="M3204" i="8"/>
  <c r="I3204" i="8"/>
  <c r="H3204" i="8"/>
  <c r="M3203" i="8"/>
  <c r="I3203" i="8"/>
  <c r="H3203" i="8"/>
  <c r="M3202" i="8"/>
  <c r="I3202" i="8"/>
  <c r="H3202" i="8"/>
  <c r="M3201" i="8"/>
  <c r="I3201" i="8"/>
  <c r="H3201" i="8"/>
  <c r="M3200" i="8"/>
  <c r="I3200" i="8"/>
  <c r="H3200" i="8"/>
  <c r="I3199" i="8"/>
  <c r="M3199" i="8" s="1"/>
  <c r="H3199" i="8"/>
  <c r="B3195" i="8"/>
  <c r="M3189" i="8"/>
  <c r="K3189" i="8"/>
  <c r="I3189" i="8"/>
  <c r="H3189" i="8"/>
  <c r="M3188" i="8"/>
  <c r="K3188" i="8"/>
  <c r="I3188" i="8"/>
  <c r="H3188" i="8"/>
  <c r="M3187" i="8"/>
  <c r="K3187" i="8"/>
  <c r="I3187" i="8"/>
  <c r="H3187" i="8"/>
  <c r="M3186" i="8"/>
  <c r="K3186" i="8"/>
  <c r="I3186" i="8"/>
  <c r="H3186" i="8"/>
  <c r="H3185" i="8"/>
  <c r="M3180" i="8"/>
  <c r="M3179" i="8"/>
  <c r="M3178" i="8"/>
  <c r="M3177" i="8"/>
  <c r="M3176" i="8"/>
  <c r="M3171" i="8"/>
  <c r="I3171" i="8"/>
  <c r="H3171" i="8"/>
  <c r="M3170" i="8"/>
  <c r="I3170" i="8"/>
  <c r="H3170" i="8"/>
  <c r="M3169" i="8"/>
  <c r="I3169" i="8"/>
  <c r="H3169" i="8"/>
  <c r="M3168" i="8"/>
  <c r="I3168" i="8"/>
  <c r="H3168" i="8"/>
  <c r="H3167" i="8"/>
  <c r="M3162" i="8"/>
  <c r="I3162" i="8"/>
  <c r="H3162" i="8"/>
  <c r="M3161" i="8"/>
  <c r="I3161" i="8"/>
  <c r="H3161" i="8"/>
  <c r="M3160" i="8"/>
  <c r="I3160" i="8"/>
  <c r="H3160" i="8"/>
  <c r="M3159" i="8"/>
  <c r="I3159" i="8"/>
  <c r="H3159" i="8"/>
  <c r="M3158" i="8"/>
  <c r="I3158" i="8"/>
  <c r="H3158" i="8"/>
  <c r="I3157" i="8"/>
  <c r="M3157" i="8" s="1"/>
  <c r="H3157" i="8"/>
  <c r="B3153" i="8"/>
  <c r="M3147" i="8"/>
  <c r="K3147" i="8"/>
  <c r="I3147" i="8"/>
  <c r="H3147" i="8"/>
  <c r="M3146" i="8"/>
  <c r="K3146" i="8"/>
  <c r="I3146" i="8"/>
  <c r="H3146" i="8"/>
  <c r="M3145" i="8"/>
  <c r="K3145" i="8"/>
  <c r="I3145" i="8"/>
  <c r="H3145" i="8"/>
  <c r="M3144" i="8"/>
  <c r="K3144" i="8"/>
  <c r="I3144" i="8"/>
  <c r="H3144" i="8"/>
  <c r="H3143" i="8"/>
  <c r="M3138" i="8"/>
  <c r="M3137" i="8"/>
  <c r="M3136" i="8"/>
  <c r="M3135" i="8"/>
  <c r="M3134" i="8"/>
  <c r="M3129" i="8"/>
  <c r="I3129" i="8"/>
  <c r="H3129" i="8"/>
  <c r="M3128" i="8"/>
  <c r="I3128" i="8"/>
  <c r="H3128" i="8"/>
  <c r="M3127" i="8"/>
  <c r="I3127" i="8"/>
  <c r="H3127" i="8"/>
  <c r="M3126" i="8"/>
  <c r="I3126" i="8"/>
  <c r="H3126" i="8"/>
  <c r="H3125" i="8"/>
  <c r="M3120" i="8"/>
  <c r="I3120" i="8"/>
  <c r="H3120" i="8"/>
  <c r="M3119" i="8"/>
  <c r="I3119" i="8"/>
  <c r="H3119" i="8"/>
  <c r="M3118" i="8"/>
  <c r="I3118" i="8"/>
  <c r="H3118" i="8"/>
  <c r="M3117" i="8"/>
  <c r="I3117" i="8"/>
  <c r="H3117" i="8"/>
  <c r="M3116" i="8"/>
  <c r="I3116" i="8"/>
  <c r="H3116" i="8"/>
  <c r="I3115" i="8"/>
  <c r="M3115" i="8" s="1"/>
  <c r="H3115" i="8"/>
  <c r="B3111" i="8"/>
  <c r="M3105" i="8"/>
  <c r="K3105" i="8"/>
  <c r="I3105" i="8"/>
  <c r="H3105" i="8"/>
  <c r="M3104" i="8"/>
  <c r="K3104" i="8"/>
  <c r="I3104" i="8"/>
  <c r="H3104" i="8"/>
  <c r="M3103" i="8"/>
  <c r="K3103" i="8"/>
  <c r="I3103" i="8"/>
  <c r="H3103" i="8"/>
  <c r="M3102" i="8"/>
  <c r="K3102" i="8"/>
  <c r="I3102" i="8"/>
  <c r="H3102" i="8"/>
  <c r="H3101" i="8"/>
  <c r="M3096" i="8"/>
  <c r="M3095" i="8"/>
  <c r="M3094" i="8"/>
  <c r="M3093" i="8"/>
  <c r="M3092" i="8"/>
  <c r="M3087" i="8"/>
  <c r="I3087" i="8"/>
  <c r="H3087" i="8"/>
  <c r="M3086" i="8"/>
  <c r="I3086" i="8"/>
  <c r="H3086" i="8"/>
  <c r="M3085" i="8"/>
  <c r="I3085" i="8"/>
  <c r="H3085" i="8"/>
  <c r="M3084" i="8"/>
  <c r="I3084" i="8"/>
  <c r="H3084" i="8"/>
  <c r="H3083" i="8"/>
  <c r="M3078" i="8"/>
  <c r="I3078" i="8"/>
  <c r="H3078" i="8"/>
  <c r="M3077" i="8"/>
  <c r="I3077" i="8"/>
  <c r="H3077" i="8"/>
  <c r="M3076" i="8"/>
  <c r="I3076" i="8"/>
  <c r="H3076" i="8"/>
  <c r="M3075" i="8"/>
  <c r="I3075" i="8"/>
  <c r="H3075" i="8"/>
  <c r="M3074" i="8"/>
  <c r="I3074" i="8"/>
  <c r="H3074" i="8"/>
  <c r="I3073" i="8"/>
  <c r="M3073" i="8" s="1"/>
  <c r="H3073" i="8"/>
  <c r="B3069" i="8"/>
  <c r="M3063" i="8"/>
  <c r="K3063" i="8"/>
  <c r="I3063" i="8"/>
  <c r="H3063" i="8"/>
  <c r="M3062" i="8"/>
  <c r="K3062" i="8"/>
  <c r="I3062" i="8"/>
  <c r="H3062" i="8"/>
  <c r="M3061" i="8"/>
  <c r="K3061" i="8"/>
  <c r="I3061" i="8"/>
  <c r="H3061" i="8"/>
  <c r="M3060" i="8"/>
  <c r="K3060" i="8"/>
  <c r="I3060" i="8"/>
  <c r="H3060" i="8"/>
  <c r="H3059" i="8"/>
  <c r="M3054" i="8"/>
  <c r="M3053" i="8"/>
  <c r="M3052" i="8"/>
  <c r="M3051" i="8"/>
  <c r="M3050" i="8"/>
  <c r="M3045" i="8"/>
  <c r="I3045" i="8"/>
  <c r="H3045" i="8"/>
  <c r="M3044" i="8"/>
  <c r="I3044" i="8"/>
  <c r="H3044" i="8"/>
  <c r="M3043" i="8"/>
  <c r="I3043" i="8"/>
  <c r="H3043" i="8"/>
  <c r="M3042" i="8"/>
  <c r="I3042" i="8"/>
  <c r="H3042" i="8"/>
  <c r="H3041" i="8"/>
  <c r="M3036" i="8"/>
  <c r="I3036" i="8"/>
  <c r="H3036" i="8"/>
  <c r="M3035" i="8"/>
  <c r="I3035" i="8"/>
  <c r="H3035" i="8"/>
  <c r="M3034" i="8"/>
  <c r="I3034" i="8"/>
  <c r="H3034" i="8"/>
  <c r="M3033" i="8"/>
  <c r="I3033" i="8"/>
  <c r="H3033" i="8"/>
  <c r="I3032" i="8"/>
  <c r="M3032" i="8" s="1"/>
  <c r="H3032" i="8"/>
  <c r="I3031" i="8"/>
  <c r="M3031" i="8" s="1"/>
  <c r="H3031" i="8"/>
  <c r="B3027" i="8"/>
  <c r="M3021" i="8"/>
  <c r="K3021" i="8"/>
  <c r="I3021" i="8"/>
  <c r="H3021" i="8"/>
  <c r="M3020" i="8"/>
  <c r="K3020" i="8"/>
  <c r="I3020" i="8"/>
  <c r="H3020" i="8"/>
  <c r="M3019" i="8"/>
  <c r="K3019" i="8"/>
  <c r="I3019" i="8"/>
  <c r="H3019" i="8"/>
  <c r="M3018" i="8"/>
  <c r="K3018" i="8"/>
  <c r="I3018" i="8"/>
  <c r="H3018" i="8"/>
  <c r="H3017" i="8"/>
  <c r="M3012" i="8"/>
  <c r="M3011" i="8"/>
  <c r="M3010" i="8"/>
  <c r="M3009" i="8"/>
  <c r="M3008" i="8"/>
  <c r="M3003" i="8"/>
  <c r="I3003" i="8"/>
  <c r="H3003" i="8"/>
  <c r="M3002" i="8"/>
  <c r="I3002" i="8"/>
  <c r="H3002" i="8"/>
  <c r="M3001" i="8"/>
  <c r="I3001" i="8"/>
  <c r="H3001" i="8"/>
  <c r="M3000" i="8"/>
  <c r="I3000" i="8"/>
  <c r="H3000" i="8"/>
  <c r="H2999" i="8"/>
  <c r="M2994" i="8"/>
  <c r="I2994" i="8"/>
  <c r="H2994" i="8"/>
  <c r="M2993" i="8"/>
  <c r="I2993" i="8"/>
  <c r="H2993" i="8"/>
  <c r="M2992" i="8"/>
  <c r="I2992" i="8"/>
  <c r="H2992" i="8"/>
  <c r="M2991" i="8"/>
  <c r="I2991" i="8"/>
  <c r="H2991" i="8"/>
  <c r="I2990" i="8"/>
  <c r="M2990" i="8" s="1"/>
  <c r="H2990" i="8"/>
  <c r="I2989" i="8"/>
  <c r="M2989" i="8" s="1"/>
  <c r="H2989" i="8"/>
  <c r="B2985" i="8"/>
  <c r="M2979" i="8"/>
  <c r="K2979" i="8"/>
  <c r="I2979" i="8"/>
  <c r="H2979" i="8"/>
  <c r="M2978" i="8"/>
  <c r="K2978" i="8"/>
  <c r="I2978" i="8"/>
  <c r="H2978" i="8"/>
  <c r="M2977" i="8"/>
  <c r="K2977" i="8"/>
  <c r="I2977" i="8"/>
  <c r="H2977" i="8"/>
  <c r="M2976" i="8"/>
  <c r="K2976" i="8"/>
  <c r="I2976" i="8"/>
  <c r="H2976" i="8"/>
  <c r="L2975" i="8"/>
  <c r="H2975" i="8"/>
  <c r="M2970" i="8"/>
  <c r="M2969" i="8"/>
  <c r="M2968" i="8"/>
  <c r="M2967" i="8"/>
  <c r="K2966" i="8"/>
  <c r="M2966" i="8" s="1"/>
  <c r="M2961" i="8"/>
  <c r="I2961" i="8"/>
  <c r="H2961" i="8"/>
  <c r="M2960" i="8"/>
  <c r="I2960" i="8"/>
  <c r="H2960" i="8"/>
  <c r="M2959" i="8"/>
  <c r="I2959" i="8"/>
  <c r="H2959" i="8"/>
  <c r="M2958" i="8"/>
  <c r="I2958" i="8"/>
  <c r="H2958" i="8"/>
  <c r="H2957" i="8"/>
  <c r="M2952" i="8"/>
  <c r="I2952" i="8"/>
  <c r="H2952" i="8"/>
  <c r="M2951" i="8"/>
  <c r="I2951" i="8"/>
  <c r="H2951" i="8"/>
  <c r="M2950" i="8"/>
  <c r="I2950" i="8"/>
  <c r="H2950" i="8"/>
  <c r="M2949" i="8"/>
  <c r="I2949" i="8"/>
  <c r="H2949" i="8"/>
  <c r="M2948" i="8"/>
  <c r="I2948" i="8"/>
  <c r="H2948" i="8"/>
  <c r="I2947" i="8"/>
  <c r="M2947" i="8" s="1"/>
  <c r="H2947" i="8"/>
  <c r="B2943" i="8"/>
  <c r="M2937" i="8"/>
  <c r="K2937" i="8"/>
  <c r="I2937" i="8"/>
  <c r="H2937" i="8"/>
  <c r="M2936" i="8"/>
  <c r="K2936" i="8"/>
  <c r="I2936" i="8"/>
  <c r="H2936" i="8"/>
  <c r="M2935" i="8"/>
  <c r="K2935" i="8"/>
  <c r="I2935" i="8"/>
  <c r="H2935" i="8"/>
  <c r="M2934" i="8"/>
  <c r="K2934" i="8"/>
  <c r="I2934" i="8"/>
  <c r="H2934" i="8"/>
  <c r="L2933" i="8"/>
  <c r="H2933" i="8"/>
  <c r="M2928" i="8"/>
  <c r="M2927" i="8"/>
  <c r="M2926" i="8"/>
  <c r="K2924" i="8"/>
  <c r="M2919" i="8"/>
  <c r="I2919" i="8"/>
  <c r="H2919" i="8"/>
  <c r="M2918" i="8"/>
  <c r="I2918" i="8"/>
  <c r="H2918" i="8"/>
  <c r="M2917" i="8"/>
  <c r="I2917" i="8"/>
  <c r="H2917" i="8"/>
  <c r="M2916" i="8"/>
  <c r="I2916" i="8"/>
  <c r="H2916" i="8"/>
  <c r="H2915" i="8"/>
  <c r="M2910" i="8"/>
  <c r="I2910" i="8"/>
  <c r="H2910" i="8"/>
  <c r="M2909" i="8"/>
  <c r="I2909" i="8"/>
  <c r="H2909" i="8"/>
  <c r="M2908" i="8"/>
  <c r="I2908" i="8"/>
  <c r="H2908" i="8"/>
  <c r="M2907" i="8"/>
  <c r="I2907" i="8"/>
  <c r="H2907" i="8"/>
  <c r="M2906" i="8"/>
  <c r="I2906" i="8"/>
  <c r="H2906" i="8"/>
  <c r="I2905" i="8"/>
  <c r="M2905" i="8" s="1"/>
  <c r="H2905" i="8"/>
  <c r="B2901" i="8"/>
  <c r="M2895" i="8"/>
  <c r="K2895" i="8"/>
  <c r="I2895" i="8"/>
  <c r="H2895" i="8"/>
  <c r="M2894" i="8"/>
  <c r="K2894" i="8"/>
  <c r="I2894" i="8"/>
  <c r="H2894" i="8"/>
  <c r="M2893" i="8"/>
  <c r="K2893" i="8"/>
  <c r="I2893" i="8"/>
  <c r="H2893" i="8"/>
  <c r="M2892" i="8"/>
  <c r="K2892" i="8"/>
  <c r="I2892" i="8"/>
  <c r="H2892" i="8"/>
  <c r="H2891" i="8"/>
  <c r="M2886" i="8"/>
  <c r="M2885" i="8"/>
  <c r="M2884" i="8"/>
  <c r="M2883" i="8"/>
  <c r="M2877" i="8"/>
  <c r="I2877" i="8"/>
  <c r="H2877" i="8"/>
  <c r="M2876" i="8"/>
  <c r="I2876" i="8"/>
  <c r="H2876" i="8"/>
  <c r="M2875" i="8"/>
  <c r="I2875" i="8"/>
  <c r="H2875" i="8"/>
  <c r="M2874" i="8"/>
  <c r="I2874" i="8"/>
  <c r="H2874" i="8"/>
  <c r="H2873" i="8"/>
  <c r="M2868" i="8"/>
  <c r="I2868" i="8"/>
  <c r="H2868" i="8"/>
  <c r="M2867" i="8"/>
  <c r="I2867" i="8"/>
  <c r="H2867" i="8"/>
  <c r="M2866" i="8"/>
  <c r="I2866" i="8"/>
  <c r="H2866" i="8"/>
  <c r="M2865" i="8"/>
  <c r="I2865" i="8"/>
  <c r="H2865" i="8"/>
  <c r="M2864" i="8"/>
  <c r="I2864" i="8"/>
  <c r="H2864" i="8"/>
  <c r="I2863" i="8"/>
  <c r="M2863" i="8" s="1"/>
  <c r="H2863" i="8"/>
  <c r="B2859" i="8"/>
  <c r="M2853" i="8"/>
  <c r="K2853" i="8"/>
  <c r="I2853" i="8"/>
  <c r="H2853" i="8"/>
  <c r="M2852" i="8"/>
  <c r="K2852" i="8"/>
  <c r="I2852" i="8"/>
  <c r="H2852" i="8"/>
  <c r="M2851" i="8"/>
  <c r="K2851" i="8"/>
  <c r="I2851" i="8"/>
  <c r="H2851" i="8"/>
  <c r="M2850" i="8"/>
  <c r="K2850" i="8"/>
  <c r="I2850" i="8"/>
  <c r="H2850" i="8"/>
  <c r="H2849" i="8"/>
  <c r="M2844" i="8"/>
  <c r="M2843" i="8"/>
  <c r="M2842" i="8"/>
  <c r="M2841" i="8"/>
  <c r="M2835" i="8"/>
  <c r="I2835" i="8"/>
  <c r="H2835" i="8"/>
  <c r="M2834" i="8"/>
  <c r="I2834" i="8"/>
  <c r="H2834" i="8"/>
  <c r="M2833" i="8"/>
  <c r="I2833" i="8"/>
  <c r="H2833" i="8"/>
  <c r="I2832" i="8"/>
  <c r="M2832" i="8" s="1"/>
  <c r="H2832" i="8"/>
  <c r="H2831" i="8"/>
  <c r="M2826" i="8"/>
  <c r="I2826" i="8"/>
  <c r="H2826" i="8"/>
  <c r="M2825" i="8"/>
  <c r="I2825" i="8"/>
  <c r="H2825" i="8"/>
  <c r="M2824" i="8"/>
  <c r="I2824" i="8"/>
  <c r="H2824" i="8"/>
  <c r="M2823" i="8"/>
  <c r="I2823" i="8"/>
  <c r="H2823" i="8"/>
  <c r="I2822" i="8"/>
  <c r="M2822" i="8" s="1"/>
  <c r="H2822" i="8"/>
  <c r="I2821" i="8"/>
  <c r="M2821" i="8" s="1"/>
  <c r="H2821" i="8"/>
  <c r="B2817" i="8"/>
  <c r="M2811" i="8"/>
  <c r="K2811" i="8"/>
  <c r="I2811" i="8"/>
  <c r="H2811" i="8"/>
  <c r="M2810" i="8"/>
  <c r="K2810" i="8"/>
  <c r="I2810" i="8"/>
  <c r="H2810" i="8"/>
  <c r="M2809" i="8"/>
  <c r="K2809" i="8"/>
  <c r="I2809" i="8"/>
  <c r="H2809" i="8"/>
  <c r="M2808" i="8"/>
  <c r="K2808" i="8"/>
  <c r="I2808" i="8"/>
  <c r="H2808" i="8"/>
  <c r="H2807" i="8"/>
  <c r="M2802" i="8"/>
  <c r="M2801" i="8"/>
  <c r="M2800" i="8"/>
  <c r="M2799" i="8"/>
  <c r="M2793" i="8"/>
  <c r="I2793" i="8"/>
  <c r="H2793" i="8"/>
  <c r="M2792" i="8"/>
  <c r="I2792" i="8"/>
  <c r="H2792" i="8"/>
  <c r="M2791" i="8"/>
  <c r="I2791" i="8"/>
  <c r="H2791" i="8"/>
  <c r="I2790" i="8"/>
  <c r="M2790" i="8" s="1"/>
  <c r="H2790" i="8"/>
  <c r="H2789" i="8"/>
  <c r="M2784" i="8"/>
  <c r="I2784" i="8"/>
  <c r="H2784" i="8"/>
  <c r="M2783" i="8"/>
  <c r="I2783" i="8"/>
  <c r="H2783" i="8"/>
  <c r="M2782" i="8"/>
  <c r="I2782" i="8"/>
  <c r="H2782" i="8"/>
  <c r="M2781" i="8"/>
  <c r="I2781" i="8"/>
  <c r="H2781" i="8"/>
  <c r="M2780" i="8"/>
  <c r="I2780" i="8"/>
  <c r="H2780" i="8"/>
  <c r="I2779" i="8"/>
  <c r="M2779" i="8" s="1"/>
  <c r="H2779" i="8"/>
  <c r="B2775" i="8"/>
  <c r="M2769" i="8"/>
  <c r="K2769" i="8"/>
  <c r="I2769" i="8"/>
  <c r="H2769" i="8"/>
  <c r="M2768" i="8"/>
  <c r="K2768" i="8"/>
  <c r="I2768" i="8"/>
  <c r="H2768" i="8"/>
  <c r="M2767" i="8"/>
  <c r="K2767" i="8"/>
  <c r="I2767" i="8"/>
  <c r="H2767" i="8"/>
  <c r="M2766" i="8"/>
  <c r="K2766" i="8"/>
  <c r="I2766" i="8"/>
  <c r="H2766" i="8"/>
  <c r="H2765" i="8"/>
  <c r="M2760" i="8"/>
  <c r="M2759" i="8"/>
  <c r="M2758" i="8"/>
  <c r="M2757" i="8"/>
  <c r="M2751" i="8"/>
  <c r="I2751" i="8"/>
  <c r="H2751" i="8"/>
  <c r="M2750" i="8"/>
  <c r="I2750" i="8"/>
  <c r="H2750" i="8"/>
  <c r="M2749" i="8"/>
  <c r="I2749" i="8"/>
  <c r="H2749" i="8"/>
  <c r="M2748" i="8"/>
  <c r="I2748" i="8"/>
  <c r="H2748" i="8"/>
  <c r="H2747" i="8"/>
  <c r="M2742" i="8"/>
  <c r="I2742" i="8"/>
  <c r="H2742" i="8"/>
  <c r="M2741" i="8"/>
  <c r="I2741" i="8"/>
  <c r="H2741" i="8"/>
  <c r="M2740" i="8"/>
  <c r="I2740" i="8"/>
  <c r="H2740" i="8"/>
  <c r="M2739" i="8"/>
  <c r="I2739" i="8"/>
  <c r="H2739" i="8"/>
  <c r="M2738" i="8"/>
  <c r="I2738" i="8"/>
  <c r="H2738" i="8"/>
  <c r="I2737" i="8"/>
  <c r="M2737" i="8" s="1"/>
  <c r="H2737" i="8"/>
  <c r="B2733" i="8"/>
  <c r="M2727" i="8"/>
  <c r="K2727" i="8"/>
  <c r="I2727" i="8"/>
  <c r="H2727" i="8"/>
  <c r="M2726" i="8"/>
  <c r="K2726" i="8"/>
  <c r="I2726" i="8"/>
  <c r="H2726" i="8"/>
  <c r="M2725" i="8"/>
  <c r="K2725" i="8"/>
  <c r="I2725" i="8"/>
  <c r="H2725" i="8"/>
  <c r="M2724" i="8"/>
  <c r="K2724" i="8"/>
  <c r="I2724" i="8"/>
  <c r="H2724" i="8"/>
  <c r="H2723" i="8"/>
  <c r="M2718" i="8"/>
  <c r="M2717" i="8"/>
  <c r="M2716" i="8"/>
  <c r="M2715" i="8"/>
  <c r="M2709" i="8"/>
  <c r="I2709" i="8"/>
  <c r="H2709" i="8"/>
  <c r="M2708" i="8"/>
  <c r="I2708" i="8"/>
  <c r="H2708" i="8"/>
  <c r="M2707" i="8"/>
  <c r="I2707" i="8"/>
  <c r="H2707" i="8"/>
  <c r="M2706" i="8"/>
  <c r="I2706" i="8"/>
  <c r="H2706" i="8"/>
  <c r="H2705" i="8"/>
  <c r="M2700" i="8"/>
  <c r="I2700" i="8"/>
  <c r="H2700" i="8"/>
  <c r="M2699" i="8"/>
  <c r="I2699" i="8"/>
  <c r="H2699" i="8"/>
  <c r="M2698" i="8"/>
  <c r="I2698" i="8"/>
  <c r="H2698" i="8"/>
  <c r="M2697" i="8"/>
  <c r="I2697" i="8"/>
  <c r="H2697" i="8"/>
  <c r="M2696" i="8"/>
  <c r="I2696" i="8"/>
  <c r="H2696" i="8"/>
  <c r="I2695" i="8"/>
  <c r="M2695" i="8" s="1"/>
  <c r="H2695" i="8"/>
  <c r="B2691" i="8"/>
  <c r="M2685" i="8"/>
  <c r="K2685" i="8"/>
  <c r="I2685" i="8"/>
  <c r="H2685" i="8"/>
  <c r="M2684" i="8"/>
  <c r="K2684" i="8"/>
  <c r="I2684" i="8"/>
  <c r="H2684" i="8"/>
  <c r="M2683" i="8"/>
  <c r="K2683" i="8"/>
  <c r="I2683" i="8"/>
  <c r="H2683" i="8"/>
  <c r="M2682" i="8"/>
  <c r="K2682" i="8"/>
  <c r="I2682" i="8"/>
  <c r="H2682" i="8"/>
  <c r="H2681" i="8"/>
  <c r="M2676" i="8"/>
  <c r="M2675" i="8"/>
  <c r="M2674" i="8"/>
  <c r="M2673" i="8"/>
  <c r="M2672" i="8"/>
  <c r="M2667" i="8"/>
  <c r="I2667" i="8"/>
  <c r="H2667" i="8"/>
  <c r="M2666" i="8"/>
  <c r="I2666" i="8"/>
  <c r="H2666" i="8"/>
  <c r="M2665" i="8"/>
  <c r="I2665" i="8"/>
  <c r="H2665" i="8"/>
  <c r="M2664" i="8"/>
  <c r="I2664" i="8"/>
  <c r="H2664" i="8"/>
  <c r="H2663" i="8"/>
  <c r="M2658" i="8"/>
  <c r="I2658" i="8"/>
  <c r="H2658" i="8"/>
  <c r="M2657" i="8"/>
  <c r="I2657" i="8"/>
  <c r="H2657" i="8"/>
  <c r="M2656" i="8"/>
  <c r="I2656" i="8"/>
  <c r="H2656" i="8"/>
  <c r="M2655" i="8"/>
  <c r="I2655" i="8"/>
  <c r="H2655" i="8"/>
  <c r="M2654" i="8"/>
  <c r="I2654" i="8"/>
  <c r="H2654" i="8"/>
  <c r="I2653" i="8"/>
  <c r="M2653" i="8" s="1"/>
  <c r="H2653" i="8"/>
  <c r="B2649" i="8"/>
  <c r="M2643" i="8"/>
  <c r="K2643" i="8"/>
  <c r="I2643" i="8"/>
  <c r="H2643" i="8"/>
  <c r="M2642" i="8"/>
  <c r="K2642" i="8"/>
  <c r="I2642" i="8"/>
  <c r="H2642" i="8"/>
  <c r="M2641" i="8"/>
  <c r="K2641" i="8"/>
  <c r="I2641" i="8"/>
  <c r="H2641" i="8"/>
  <c r="M2640" i="8"/>
  <c r="K2640" i="8"/>
  <c r="I2640" i="8"/>
  <c r="H2640" i="8"/>
  <c r="L2639" i="8"/>
  <c r="H2639" i="8"/>
  <c r="M2634" i="8"/>
  <c r="M2633" i="8"/>
  <c r="M2632" i="8"/>
  <c r="M2625" i="8"/>
  <c r="I2625" i="8"/>
  <c r="H2625" i="8"/>
  <c r="M2624" i="8"/>
  <c r="I2624" i="8"/>
  <c r="H2624" i="8"/>
  <c r="M2623" i="8"/>
  <c r="I2623" i="8"/>
  <c r="H2623" i="8"/>
  <c r="M2622" i="8"/>
  <c r="I2622" i="8"/>
  <c r="H2622" i="8"/>
  <c r="H2621" i="8"/>
  <c r="M2616" i="8"/>
  <c r="I2616" i="8"/>
  <c r="H2616" i="8"/>
  <c r="M2615" i="8"/>
  <c r="I2615" i="8"/>
  <c r="H2615" i="8"/>
  <c r="M2614" i="8"/>
  <c r="I2614" i="8"/>
  <c r="H2614" i="8"/>
  <c r="M2613" i="8"/>
  <c r="I2613" i="8"/>
  <c r="H2613" i="8"/>
  <c r="H2612" i="8"/>
  <c r="I2611" i="8"/>
  <c r="M2611" i="8" s="1"/>
  <c r="I2630" i="8" s="1"/>
  <c r="M2630" i="8" s="1"/>
  <c r="H2611" i="8"/>
  <c r="B2607" i="8"/>
  <c r="M2601" i="8"/>
  <c r="K2601" i="8"/>
  <c r="I2601" i="8"/>
  <c r="H2601" i="8"/>
  <c r="M2600" i="8"/>
  <c r="K2600" i="8"/>
  <c r="I2600" i="8"/>
  <c r="H2600" i="8"/>
  <c r="M2599" i="8"/>
  <c r="K2599" i="8"/>
  <c r="I2599" i="8"/>
  <c r="H2599" i="8"/>
  <c r="M2598" i="8"/>
  <c r="K2598" i="8"/>
  <c r="I2598" i="8"/>
  <c r="H2598" i="8"/>
  <c r="H2597" i="8"/>
  <c r="M2592" i="8"/>
  <c r="M2591" i="8"/>
  <c r="M2590" i="8"/>
  <c r="M2589" i="8"/>
  <c r="M2588" i="8"/>
  <c r="M2583" i="8"/>
  <c r="I2583" i="8"/>
  <c r="H2583" i="8"/>
  <c r="M2582" i="8"/>
  <c r="I2582" i="8"/>
  <c r="H2582" i="8"/>
  <c r="I2581" i="8"/>
  <c r="M2581" i="8" s="1"/>
  <c r="H2581" i="8"/>
  <c r="I2580" i="8"/>
  <c r="M2580" i="8" s="1"/>
  <c r="H2580" i="8"/>
  <c r="H2579" i="8"/>
  <c r="I2574" i="8"/>
  <c r="M2574" i="8" s="1"/>
  <c r="H2574" i="8"/>
  <c r="I2573" i="8"/>
  <c r="M2573" i="8" s="1"/>
  <c r="H2573" i="8"/>
  <c r="I2572" i="8"/>
  <c r="M2572" i="8" s="1"/>
  <c r="H2572" i="8"/>
  <c r="I2571" i="8"/>
  <c r="M2571" i="8" s="1"/>
  <c r="H2571" i="8"/>
  <c r="I2570" i="8"/>
  <c r="M2570" i="8" s="1"/>
  <c r="H2570" i="8"/>
  <c r="I2569" i="8"/>
  <c r="M2569" i="8" s="1"/>
  <c r="H2569" i="8"/>
  <c r="B2565" i="8"/>
  <c r="M2559" i="8"/>
  <c r="K2559" i="8"/>
  <c r="I2559" i="8"/>
  <c r="H2559" i="8"/>
  <c r="M2558" i="8"/>
  <c r="K2558" i="8"/>
  <c r="I2558" i="8"/>
  <c r="H2558" i="8"/>
  <c r="M2557" i="8"/>
  <c r="K2557" i="8"/>
  <c r="I2557" i="8"/>
  <c r="H2557" i="8"/>
  <c r="M2556" i="8"/>
  <c r="K2556" i="8"/>
  <c r="I2556" i="8"/>
  <c r="H2556" i="8"/>
  <c r="H2555" i="8"/>
  <c r="M2550" i="8"/>
  <c r="M2549" i="8"/>
  <c r="M2548" i="8"/>
  <c r="M2547" i="8"/>
  <c r="M2541" i="8"/>
  <c r="I2541" i="8"/>
  <c r="H2541" i="8"/>
  <c r="M2540" i="8"/>
  <c r="I2540" i="8"/>
  <c r="H2540" i="8"/>
  <c r="M2539" i="8"/>
  <c r="I2539" i="8"/>
  <c r="H2539" i="8"/>
  <c r="M2538" i="8"/>
  <c r="I2538" i="8"/>
  <c r="H2538" i="8"/>
  <c r="H2537" i="8"/>
  <c r="M2532" i="8"/>
  <c r="I2532" i="8"/>
  <c r="H2532" i="8"/>
  <c r="M2531" i="8"/>
  <c r="I2531" i="8"/>
  <c r="H2531" i="8"/>
  <c r="M2530" i="8"/>
  <c r="I2530" i="8"/>
  <c r="H2530" i="8"/>
  <c r="M2529" i="8"/>
  <c r="I2529" i="8"/>
  <c r="H2529" i="8"/>
  <c r="M2528" i="8"/>
  <c r="I2528" i="8"/>
  <c r="H2528" i="8"/>
  <c r="M2527" i="8"/>
  <c r="I2527" i="8"/>
  <c r="H2527" i="8"/>
  <c r="B2523" i="8"/>
  <c r="M2517" i="8"/>
  <c r="K2517" i="8"/>
  <c r="I2517" i="8"/>
  <c r="H2517" i="8"/>
  <c r="M2516" i="8"/>
  <c r="K2516" i="8"/>
  <c r="I2516" i="8"/>
  <c r="H2516" i="8"/>
  <c r="M2515" i="8"/>
  <c r="K2515" i="8"/>
  <c r="I2515" i="8"/>
  <c r="H2515" i="8"/>
  <c r="M2514" i="8"/>
  <c r="K2514" i="8"/>
  <c r="I2514" i="8"/>
  <c r="H2514" i="8"/>
  <c r="H2513" i="8"/>
  <c r="M2508" i="8"/>
  <c r="M2507" i="8"/>
  <c r="M2506" i="8"/>
  <c r="M2505" i="8"/>
  <c r="M2499" i="8"/>
  <c r="I2499" i="8"/>
  <c r="H2499" i="8"/>
  <c r="M2498" i="8"/>
  <c r="I2498" i="8"/>
  <c r="H2498" i="8"/>
  <c r="M2497" i="8"/>
  <c r="I2497" i="8"/>
  <c r="H2497" i="8"/>
  <c r="M2496" i="8"/>
  <c r="I2496" i="8"/>
  <c r="H2496" i="8"/>
  <c r="H2495" i="8"/>
  <c r="M2490" i="8"/>
  <c r="I2490" i="8"/>
  <c r="H2490" i="8"/>
  <c r="M2489" i="8"/>
  <c r="I2489" i="8"/>
  <c r="H2489" i="8"/>
  <c r="M2488" i="8"/>
  <c r="I2488" i="8"/>
  <c r="H2488" i="8"/>
  <c r="M2487" i="8"/>
  <c r="I2487" i="8"/>
  <c r="H2487" i="8"/>
  <c r="M2486" i="8"/>
  <c r="I2486" i="8"/>
  <c r="H2486" i="8"/>
  <c r="I2485" i="8"/>
  <c r="M2485" i="8" s="1"/>
  <c r="H2485" i="8"/>
  <c r="B2481" i="8"/>
  <c r="M2475" i="8"/>
  <c r="K2475" i="8"/>
  <c r="I2475" i="8"/>
  <c r="H2475" i="8"/>
  <c r="M2474" i="8"/>
  <c r="K2474" i="8"/>
  <c r="I2474" i="8"/>
  <c r="H2474" i="8"/>
  <c r="M2473" i="8"/>
  <c r="K2473" i="8"/>
  <c r="I2473" i="8"/>
  <c r="H2473" i="8"/>
  <c r="M2472" i="8"/>
  <c r="K2472" i="8"/>
  <c r="I2472" i="8"/>
  <c r="H2472" i="8"/>
  <c r="H2471" i="8"/>
  <c r="M2466" i="8"/>
  <c r="M2465" i="8"/>
  <c r="M2464" i="8"/>
  <c r="M2463" i="8"/>
  <c r="M2457" i="8"/>
  <c r="I2457" i="8"/>
  <c r="H2457" i="8"/>
  <c r="M2456" i="8"/>
  <c r="I2456" i="8"/>
  <c r="H2456" i="8"/>
  <c r="M2455" i="8"/>
  <c r="I2455" i="8"/>
  <c r="H2455" i="8"/>
  <c r="M2454" i="8"/>
  <c r="I2454" i="8"/>
  <c r="H2454" i="8"/>
  <c r="H2453" i="8"/>
  <c r="M2448" i="8"/>
  <c r="I2448" i="8"/>
  <c r="H2448" i="8"/>
  <c r="M2447" i="8"/>
  <c r="I2447" i="8"/>
  <c r="H2447" i="8"/>
  <c r="M2446" i="8"/>
  <c r="I2446" i="8"/>
  <c r="H2446" i="8"/>
  <c r="M2445" i="8"/>
  <c r="I2445" i="8"/>
  <c r="H2445" i="8"/>
  <c r="M2444" i="8"/>
  <c r="I2444" i="8"/>
  <c r="H2444" i="8"/>
  <c r="I2443" i="8"/>
  <c r="M2443" i="8" s="1"/>
  <c r="H2443" i="8"/>
  <c r="B2439" i="8"/>
  <c r="M2433" i="8"/>
  <c r="K2433" i="8"/>
  <c r="I2433" i="8"/>
  <c r="H2433" i="8"/>
  <c r="M2432" i="8"/>
  <c r="K2432" i="8"/>
  <c r="I2432" i="8"/>
  <c r="H2432" i="8"/>
  <c r="M2431" i="8"/>
  <c r="K2431" i="8"/>
  <c r="I2431" i="8"/>
  <c r="H2431" i="8"/>
  <c r="M2430" i="8"/>
  <c r="K2430" i="8"/>
  <c r="I2430" i="8"/>
  <c r="H2430" i="8"/>
  <c r="H2429" i="8"/>
  <c r="M2424" i="8"/>
  <c r="M2423" i="8"/>
  <c r="M2422" i="8"/>
  <c r="M2421" i="8"/>
  <c r="M2415" i="8"/>
  <c r="I2415" i="8"/>
  <c r="H2415" i="8"/>
  <c r="M2414" i="8"/>
  <c r="I2414" i="8"/>
  <c r="H2414" i="8"/>
  <c r="M2413" i="8"/>
  <c r="I2413" i="8"/>
  <c r="H2413" i="8"/>
  <c r="M2412" i="8"/>
  <c r="I2412" i="8"/>
  <c r="H2412" i="8"/>
  <c r="H2411" i="8"/>
  <c r="M2406" i="8"/>
  <c r="I2406" i="8"/>
  <c r="H2406" i="8"/>
  <c r="M2405" i="8"/>
  <c r="I2405" i="8"/>
  <c r="H2405" i="8"/>
  <c r="M2404" i="8"/>
  <c r="I2404" i="8"/>
  <c r="H2404" i="8"/>
  <c r="M2403" i="8"/>
  <c r="I2403" i="8"/>
  <c r="H2403" i="8"/>
  <c r="M2402" i="8"/>
  <c r="I2402" i="8"/>
  <c r="H2402" i="8"/>
  <c r="I2401" i="8"/>
  <c r="M2401" i="8" s="1"/>
  <c r="H2401" i="8"/>
  <c r="B2397" i="8"/>
  <c r="M2391" i="8"/>
  <c r="K2391" i="8"/>
  <c r="I2391" i="8"/>
  <c r="H2391" i="8"/>
  <c r="M2390" i="8"/>
  <c r="K2390" i="8"/>
  <c r="I2390" i="8"/>
  <c r="H2390" i="8"/>
  <c r="M2389" i="8"/>
  <c r="K2389" i="8"/>
  <c r="I2389" i="8"/>
  <c r="H2389" i="8"/>
  <c r="M2388" i="8"/>
  <c r="K2388" i="8"/>
  <c r="I2388" i="8"/>
  <c r="H2388" i="8"/>
  <c r="H2387" i="8"/>
  <c r="M2382" i="8"/>
  <c r="M2381" i="8"/>
  <c r="M2380" i="8"/>
  <c r="M2379" i="8"/>
  <c r="M2378" i="8"/>
  <c r="M2373" i="8"/>
  <c r="I2373" i="8"/>
  <c r="H2373" i="8"/>
  <c r="M2372" i="8"/>
  <c r="I2372" i="8"/>
  <c r="H2372" i="8"/>
  <c r="M2371" i="8"/>
  <c r="I2371" i="8"/>
  <c r="H2371" i="8"/>
  <c r="M2370" i="8"/>
  <c r="I2370" i="8"/>
  <c r="H2370" i="8"/>
  <c r="H2369" i="8"/>
  <c r="M2364" i="8"/>
  <c r="I2364" i="8"/>
  <c r="H2364" i="8"/>
  <c r="M2363" i="8"/>
  <c r="I2363" i="8"/>
  <c r="H2363" i="8"/>
  <c r="M2362" i="8"/>
  <c r="I2362" i="8"/>
  <c r="H2362" i="8"/>
  <c r="M2361" i="8"/>
  <c r="I2361" i="8"/>
  <c r="H2361" i="8"/>
  <c r="M2360" i="8"/>
  <c r="I2360" i="8"/>
  <c r="H2360" i="8"/>
  <c r="I2359" i="8"/>
  <c r="M2359" i="8" s="1"/>
  <c r="H2359" i="8"/>
  <c r="B2355" i="8"/>
  <c r="M2349" i="8"/>
  <c r="K2349" i="8"/>
  <c r="I2349" i="8"/>
  <c r="H2349" i="8"/>
  <c r="M2348" i="8"/>
  <c r="K2348" i="8"/>
  <c r="I2348" i="8"/>
  <c r="H2348" i="8"/>
  <c r="M2347" i="8"/>
  <c r="K2347" i="8"/>
  <c r="I2347" i="8"/>
  <c r="H2347" i="8"/>
  <c r="M2346" i="8"/>
  <c r="K2346" i="8"/>
  <c r="I2346" i="8"/>
  <c r="H2346" i="8"/>
  <c r="H2345" i="8"/>
  <c r="M2340" i="8"/>
  <c r="M2339" i="8"/>
  <c r="M2338" i="8"/>
  <c r="M2331" i="8"/>
  <c r="I2331" i="8"/>
  <c r="H2331" i="8"/>
  <c r="M2330" i="8"/>
  <c r="I2330" i="8"/>
  <c r="H2330" i="8"/>
  <c r="M2329" i="8"/>
  <c r="I2329" i="8"/>
  <c r="H2329" i="8"/>
  <c r="M2328" i="8"/>
  <c r="I2328" i="8"/>
  <c r="H2328" i="8"/>
  <c r="H2327" i="8"/>
  <c r="M2322" i="8"/>
  <c r="I2322" i="8"/>
  <c r="H2322" i="8"/>
  <c r="M2321" i="8"/>
  <c r="I2321" i="8"/>
  <c r="H2321" i="8"/>
  <c r="M2320" i="8"/>
  <c r="I2320" i="8"/>
  <c r="H2320" i="8"/>
  <c r="M2319" i="8"/>
  <c r="I2319" i="8"/>
  <c r="H2319" i="8"/>
  <c r="M2318" i="8"/>
  <c r="I2318" i="8"/>
  <c r="H2318" i="8"/>
  <c r="I2317" i="8"/>
  <c r="M2317" i="8" s="1"/>
  <c r="H2317" i="8"/>
  <c r="B2313" i="8"/>
  <c r="M2307" i="8"/>
  <c r="K2307" i="8"/>
  <c r="I2307" i="8"/>
  <c r="H2307" i="8"/>
  <c r="M2306" i="8"/>
  <c r="K2306" i="8"/>
  <c r="I2306" i="8"/>
  <c r="H2306" i="8"/>
  <c r="M2305" i="8"/>
  <c r="K2305" i="8"/>
  <c r="I2305" i="8"/>
  <c r="H2305" i="8"/>
  <c r="M2304" i="8"/>
  <c r="K2304" i="8"/>
  <c r="I2304" i="8"/>
  <c r="H2304" i="8"/>
  <c r="H2303" i="8"/>
  <c r="M2298" i="8"/>
  <c r="M2297" i="8"/>
  <c r="M2296" i="8"/>
  <c r="M2295" i="8"/>
  <c r="M2289" i="8"/>
  <c r="I2289" i="8"/>
  <c r="H2289" i="8"/>
  <c r="M2288" i="8"/>
  <c r="I2288" i="8"/>
  <c r="H2288" i="8"/>
  <c r="M2287" i="8"/>
  <c r="I2287" i="8"/>
  <c r="H2287" i="8"/>
  <c r="M2286" i="8"/>
  <c r="I2286" i="8"/>
  <c r="H2286" i="8"/>
  <c r="H2285" i="8"/>
  <c r="M2280" i="8"/>
  <c r="I2280" i="8"/>
  <c r="H2280" i="8"/>
  <c r="M2279" i="8"/>
  <c r="I2279" i="8"/>
  <c r="H2279" i="8"/>
  <c r="M2278" i="8"/>
  <c r="I2278" i="8"/>
  <c r="H2278" i="8"/>
  <c r="M2277" i="8"/>
  <c r="I2277" i="8"/>
  <c r="H2277" i="8"/>
  <c r="M2276" i="8"/>
  <c r="I2276" i="8"/>
  <c r="H2276" i="8"/>
  <c r="I2275" i="8"/>
  <c r="M2275" i="8" s="1"/>
  <c r="H2275" i="8"/>
  <c r="B2271" i="8"/>
  <c r="M2265" i="8"/>
  <c r="K2265" i="8"/>
  <c r="I2265" i="8"/>
  <c r="H2265" i="8"/>
  <c r="M2264" i="8"/>
  <c r="K2264" i="8"/>
  <c r="I2264" i="8"/>
  <c r="H2264" i="8"/>
  <c r="M2263" i="8"/>
  <c r="K2263" i="8"/>
  <c r="I2263" i="8"/>
  <c r="H2263" i="8"/>
  <c r="M2262" i="8"/>
  <c r="K2262" i="8"/>
  <c r="I2262" i="8"/>
  <c r="H2262" i="8"/>
  <c r="H2261" i="8"/>
  <c r="M2256" i="8"/>
  <c r="M2255" i="8"/>
  <c r="M2254" i="8"/>
  <c r="M2247" i="8"/>
  <c r="I2247" i="8"/>
  <c r="H2247" i="8"/>
  <c r="M2246" i="8"/>
  <c r="I2246" i="8"/>
  <c r="H2246" i="8"/>
  <c r="M2245" i="8"/>
  <c r="I2245" i="8"/>
  <c r="H2245" i="8"/>
  <c r="M2244" i="8"/>
  <c r="I2244" i="8"/>
  <c r="H2244" i="8"/>
  <c r="H2243" i="8"/>
  <c r="M2238" i="8"/>
  <c r="I2238" i="8"/>
  <c r="H2238" i="8"/>
  <c r="M2237" i="8"/>
  <c r="I2237" i="8"/>
  <c r="H2237" i="8"/>
  <c r="M2236" i="8"/>
  <c r="I2236" i="8"/>
  <c r="H2236" i="8"/>
  <c r="M2235" i="8"/>
  <c r="I2235" i="8"/>
  <c r="H2235" i="8"/>
  <c r="M2234" i="8"/>
  <c r="I2234" i="8"/>
  <c r="H2234" i="8"/>
  <c r="I2233" i="8"/>
  <c r="M2233" i="8" s="1"/>
  <c r="H2233" i="8"/>
  <c r="B2229" i="8"/>
  <c r="M2223" i="8"/>
  <c r="K2223" i="8"/>
  <c r="I2223" i="8"/>
  <c r="H2223" i="8"/>
  <c r="M2222" i="8"/>
  <c r="K2222" i="8"/>
  <c r="I2222" i="8"/>
  <c r="H2222" i="8"/>
  <c r="M2221" i="8"/>
  <c r="K2221" i="8"/>
  <c r="I2221" i="8"/>
  <c r="H2221" i="8"/>
  <c r="M2220" i="8"/>
  <c r="K2220" i="8"/>
  <c r="I2220" i="8"/>
  <c r="H2220" i="8"/>
  <c r="H2219" i="8"/>
  <c r="M2214" i="8"/>
  <c r="M2213" i="8"/>
  <c r="M2212" i="8"/>
  <c r="M2211" i="8"/>
  <c r="M2205" i="8"/>
  <c r="I2205" i="8"/>
  <c r="H2205" i="8"/>
  <c r="M2204" i="8"/>
  <c r="I2204" i="8"/>
  <c r="H2204" i="8"/>
  <c r="M2203" i="8"/>
  <c r="I2203" i="8"/>
  <c r="H2203" i="8"/>
  <c r="M2202" i="8"/>
  <c r="I2202" i="8"/>
  <c r="H2202" i="8"/>
  <c r="H2201" i="8"/>
  <c r="M2196" i="8"/>
  <c r="I2196" i="8"/>
  <c r="H2196" i="8"/>
  <c r="M2195" i="8"/>
  <c r="I2195" i="8"/>
  <c r="H2195" i="8"/>
  <c r="M2194" i="8"/>
  <c r="I2194" i="8"/>
  <c r="H2194" i="8"/>
  <c r="M2193" i="8"/>
  <c r="I2193" i="8"/>
  <c r="H2193" i="8"/>
  <c r="M2192" i="8"/>
  <c r="I2192" i="8"/>
  <c r="H2192" i="8"/>
  <c r="I2191" i="8"/>
  <c r="M2191" i="8" s="1"/>
  <c r="H2191" i="8"/>
  <c r="B2187" i="8"/>
  <c r="M2181" i="8"/>
  <c r="K2181" i="8"/>
  <c r="I2181" i="8"/>
  <c r="H2181" i="8"/>
  <c r="M2180" i="8"/>
  <c r="K2180" i="8"/>
  <c r="I2180" i="8"/>
  <c r="H2180" i="8"/>
  <c r="M2179" i="8"/>
  <c r="K2179" i="8"/>
  <c r="I2179" i="8"/>
  <c r="H2179" i="8"/>
  <c r="M2178" i="8"/>
  <c r="K2178" i="8"/>
  <c r="I2178" i="8"/>
  <c r="H2178" i="8"/>
  <c r="H2177" i="8"/>
  <c r="M2172" i="8"/>
  <c r="M2171" i="8"/>
  <c r="M2170" i="8"/>
  <c r="M2169" i="8"/>
  <c r="M2163" i="8"/>
  <c r="I2163" i="8"/>
  <c r="H2163" i="8"/>
  <c r="M2162" i="8"/>
  <c r="I2162" i="8"/>
  <c r="H2162" i="8"/>
  <c r="M2161" i="8"/>
  <c r="I2161" i="8"/>
  <c r="H2161" i="8"/>
  <c r="M2160" i="8"/>
  <c r="I2160" i="8"/>
  <c r="H2160" i="8"/>
  <c r="H2159" i="8"/>
  <c r="M2154" i="8"/>
  <c r="I2154" i="8"/>
  <c r="H2154" i="8"/>
  <c r="M2153" i="8"/>
  <c r="I2153" i="8"/>
  <c r="H2153" i="8"/>
  <c r="M2152" i="8"/>
  <c r="I2152" i="8"/>
  <c r="H2152" i="8"/>
  <c r="M2151" i="8"/>
  <c r="I2151" i="8"/>
  <c r="H2151" i="8"/>
  <c r="M2150" i="8"/>
  <c r="I2150" i="8"/>
  <c r="H2150" i="8"/>
  <c r="I2149" i="8"/>
  <c r="M2149" i="8" s="1"/>
  <c r="H2149" i="8"/>
  <c r="B2145" i="8"/>
  <c r="M2139" i="8"/>
  <c r="K2139" i="8"/>
  <c r="I2139" i="8"/>
  <c r="H2139" i="8"/>
  <c r="M2138" i="8"/>
  <c r="K2138" i="8"/>
  <c r="I2138" i="8"/>
  <c r="H2138" i="8"/>
  <c r="M2137" i="8"/>
  <c r="K2137" i="8"/>
  <c r="I2137" i="8"/>
  <c r="H2137" i="8"/>
  <c r="M2136" i="8"/>
  <c r="K2136" i="8"/>
  <c r="I2136" i="8"/>
  <c r="H2136" i="8"/>
  <c r="H2135" i="8"/>
  <c r="M2130" i="8"/>
  <c r="M2129" i="8"/>
  <c r="M2128" i="8"/>
  <c r="M2127" i="8"/>
  <c r="M2121" i="8"/>
  <c r="I2121" i="8"/>
  <c r="H2121" i="8"/>
  <c r="M2120" i="8"/>
  <c r="I2120" i="8"/>
  <c r="H2120" i="8"/>
  <c r="M2119" i="8"/>
  <c r="I2119" i="8"/>
  <c r="H2119" i="8"/>
  <c r="M2118" i="8"/>
  <c r="I2118" i="8"/>
  <c r="H2118" i="8"/>
  <c r="H2117" i="8"/>
  <c r="M2112" i="8"/>
  <c r="I2112" i="8"/>
  <c r="H2112" i="8"/>
  <c r="M2111" i="8"/>
  <c r="I2111" i="8"/>
  <c r="H2111" i="8"/>
  <c r="M2110" i="8"/>
  <c r="I2110" i="8"/>
  <c r="H2110" i="8"/>
  <c r="M2109" i="8"/>
  <c r="I2109" i="8"/>
  <c r="H2109" i="8"/>
  <c r="M2108" i="8"/>
  <c r="I2108" i="8"/>
  <c r="H2108" i="8"/>
  <c r="I2107" i="8"/>
  <c r="M2107" i="8" s="1"/>
  <c r="H2107" i="8"/>
  <c r="B2103" i="8"/>
  <c r="M2097" i="8"/>
  <c r="K2097" i="8"/>
  <c r="I2097" i="8"/>
  <c r="H2097" i="8"/>
  <c r="M2096" i="8"/>
  <c r="K2096" i="8"/>
  <c r="I2096" i="8"/>
  <c r="H2096" i="8"/>
  <c r="M2095" i="8"/>
  <c r="K2095" i="8"/>
  <c r="I2095" i="8"/>
  <c r="H2095" i="8"/>
  <c r="M2094" i="8"/>
  <c r="K2094" i="8"/>
  <c r="I2094" i="8"/>
  <c r="H2094" i="8"/>
  <c r="H2093" i="8"/>
  <c r="M2088" i="8"/>
  <c r="M2087" i="8"/>
  <c r="M2086" i="8"/>
  <c r="M2085" i="8"/>
  <c r="M2079" i="8"/>
  <c r="I2079" i="8"/>
  <c r="H2079" i="8"/>
  <c r="M2078" i="8"/>
  <c r="I2078" i="8"/>
  <c r="H2078" i="8"/>
  <c r="M2077" i="8"/>
  <c r="I2077" i="8"/>
  <c r="H2077" i="8"/>
  <c r="M2076" i="8"/>
  <c r="I2076" i="8"/>
  <c r="H2076" i="8"/>
  <c r="H2075" i="8"/>
  <c r="M2070" i="8"/>
  <c r="I2070" i="8"/>
  <c r="H2070" i="8"/>
  <c r="M2069" i="8"/>
  <c r="I2069" i="8"/>
  <c r="H2069" i="8"/>
  <c r="M2068" i="8"/>
  <c r="I2068" i="8"/>
  <c r="H2068" i="8"/>
  <c r="M2067" i="8"/>
  <c r="I2067" i="8"/>
  <c r="H2067" i="8"/>
  <c r="M2066" i="8"/>
  <c r="I2066" i="8"/>
  <c r="H2066" i="8"/>
  <c r="I2065" i="8"/>
  <c r="M2065" i="8" s="1"/>
  <c r="H2065" i="8"/>
  <c r="B2061" i="8"/>
  <c r="M2055" i="8"/>
  <c r="K2055" i="8"/>
  <c r="I2055" i="8"/>
  <c r="H2055" i="8"/>
  <c r="M2054" i="8"/>
  <c r="K2054" i="8"/>
  <c r="I2054" i="8"/>
  <c r="H2054" i="8"/>
  <c r="M2053" i="8"/>
  <c r="K2053" i="8"/>
  <c r="I2053" i="8"/>
  <c r="H2053" i="8"/>
  <c r="M2052" i="8"/>
  <c r="K2052" i="8"/>
  <c r="I2052" i="8"/>
  <c r="H2052" i="8"/>
  <c r="H2051" i="8"/>
  <c r="M2046" i="8"/>
  <c r="M2045" i="8"/>
  <c r="M2044" i="8"/>
  <c r="M2043" i="8"/>
  <c r="M2037" i="8"/>
  <c r="I2037" i="8"/>
  <c r="H2037" i="8"/>
  <c r="M2036" i="8"/>
  <c r="I2036" i="8"/>
  <c r="H2036" i="8"/>
  <c r="M2035" i="8"/>
  <c r="I2035" i="8"/>
  <c r="H2035" i="8"/>
  <c r="M2034" i="8"/>
  <c r="I2034" i="8"/>
  <c r="H2034" i="8"/>
  <c r="H2033" i="8"/>
  <c r="M2028" i="8"/>
  <c r="I2028" i="8"/>
  <c r="H2028" i="8"/>
  <c r="M2027" i="8"/>
  <c r="I2027" i="8"/>
  <c r="H2027" i="8"/>
  <c r="M2026" i="8"/>
  <c r="I2026" i="8"/>
  <c r="H2026" i="8"/>
  <c r="M2025" i="8"/>
  <c r="I2025" i="8"/>
  <c r="H2025" i="8"/>
  <c r="M2024" i="8"/>
  <c r="I2024" i="8"/>
  <c r="H2024" i="8"/>
  <c r="I2023" i="8"/>
  <c r="M2023" i="8" s="1"/>
  <c r="H2023" i="8"/>
  <c r="B2019" i="8"/>
  <c r="M2013" i="8"/>
  <c r="K2013" i="8"/>
  <c r="I2013" i="8"/>
  <c r="H2013" i="8"/>
  <c r="M2012" i="8"/>
  <c r="K2012" i="8"/>
  <c r="I2012" i="8"/>
  <c r="H2012" i="8"/>
  <c r="M2011" i="8"/>
  <c r="K2011" i="8"/>
  <c r="I2011" i="8"/>
  <c r="H2011" i="8"/>
  <c r="M2010" i="8"/>
  <c r="K2010" i="8"/>
  <c r="I2010" i="8"/>
  <c r="H2010" i="8"/>
  <c r="H2009" i="8"/>
  <c r="M2004" i="8"/>
  <c r="M2003" i="8"/>
  <c r="M2002" i="8"/>
  <c r="M2001" i="8"/>
  <c r="M1995" i="8"/>
  <c r="I1995" i="8"/>
  <c r="H1995" i="8"/>
  <c r="M1994" i="8"/>
  <c r="I1994" i="8"/>
  <c r="H1994" i="8"/>
  <c r="M1993" i="8"/>
  <c r="I1993" i="8"/>
  <c r="H1993" i="8"/>
  <c r="M1992" i="8"/>
  <c r="I1992" i="8"/>
  <c r="H1992" i="8"/>
  <c r="H1991" i="8"/>
  <c r="M1986" i="8"/>
  <c r="I1986" i="8"/>
  <c r="H1986" i="8"/>
  <c r="M1985" i="8"/>
  <c r="I1985" i="8"/>
  <c r="H1985" i="8"/>
  <c r="M1984" i="8"/>
  <c r="I1984" i="8"/>
  <c r="H1984" i="8"/>
  <c r="M1983" i="8"/>
  <c r="I1983" i="8"/>
  <c r="H1983" i="8"/>
  <c r="M1982" i="8"/>
  <c r="I1982" i="8"/>
  <c r="H1982" i="8"/>
  <c r="I1981" i="8"/>
  <c r="M1981" i="8" s="1"/>
  <c r="H1981" i="8"/>
  <c r="B1977" i="8"/>
  <c r="M1971" i="8"/>
  <c r="K1971" i="8"/>
  <c r="I1971" i="8"/>
  <c r="H1971" i="8"/>
  <c r="M1970" i="8"/>
  <c r="K1970" i="8"/>
  <c r="I1970" i="8"/>
  <c r="H1970" i="8"/>
  <c r="M1969" i="8"/>
  <c r="K1969" i="8"/>
  <c r="I1969" i="8"/>
  <c r="H1969" i="8"/>
  <c r="M1968" i="8"/>
  <c r="K1968" i="8"/>
  <c r="I1968" i="8"/>
  <c r="H1968" i="8"/>
  <c r="H1967" i="8"/>
  <c r="M1962" i="8"/>
  <c r="M1961" i="8"/>
  <c r="M1960" i="8"/>
  <c r="M1959" i="8"/>
  <c r="M1953" i="8"/>
  <c r="I1953" i="8"/>
  <c r="H1953" i="8"/>
  <c r="M1952" i="8"/>
  <c r="I1952" i="8"/>
  <c r="H1952" i="8"/>
  <c r="M1951" i="8"/>
  <c r="I1951" i="8"/>
  <c r="H1951" i="8"/>
  <c r="M1950" i="8"/>
  <c r="I1950" i="8"/>
  <c r="H1950" i="8"/>
  <c r="H1949" i="8"/>
  <c r="M1944" i="8"/>
  <c r="I1944" i="8"/>
  <c r="H1944" i="8"/>
  <c r="M1943" i="8"/>
  <c r="I1943" i="8"/>
  <c r="H1943" i="8"/>
  <c r="M1942" i="8"/>
  <c r="I1942" i="8"/>
  <c r="H1942" i="8"/>
  <c r="M1941" i="8"/>
  <c r="I1941" i="8"/>
  <c r="H1941" i="8"/>
  <c r="M1940" i="8"/>
  <c r="I1940" i="8"/>
  <c r="H1940" i="8"/>
  <c r="I1939" i="8"/>
  <c r="M1939" i="8" s="1"/>
  <c r="H1939" i="8"/>
  <c r="B1935" i="8"/>
  <c r="M1929" i="8"/>
  <c r="K1929" i="8"/>
  <c r="I1929" i="8"/>
  <c r="H1929" i="8"/>
  <c r="M1928" i="8"/>
  <c r="K1928" i="8"/>
  <c r="I1928" i="8"/>
  <c r="H1928" i="8"/>
  <c r="M1927" i="8"/>
  <c r="K1927" i="8"/>
  <c r="I1927" i="8"/>
  <c r="H1927" i="8"/>
  <c r="M1926" i="8"/>
  <c r="K1926" i="8"/>
  <c r="I1926" i="8"/>
  <c r="H1926" i="8"/>
  <c r="H1925" i="8"/>
  <c r="M1920" i="8"/>
  <c r="M1919" i="8"/>
  <c r="M1918" i="8"/>
  <c r="M1917" i="8"/>
  <c r="M1911" i="8"/>
  <c r="I1911" i="8"/>
  <c r="H1911" i="8"/>
  <c r="M1910" i="8"/>
  <c r="I1910" i="8"/>
  <c r="H1910" i="8"/>
  <c r="M1909" i="8"/>
  <c r="I1909" i="8"/>
  <c r="H1909" i="8"/>
  <c r="M1908" i="8"/>
  <c r="I1908" i="8"/>
  <c r="H1908" i="8"/>
  <c r="H1907" i="8"/>
  <c r="M1902" i="8"/>
  <c r="I1902" i="8"/>
  <c r="H1902" i="8"/>
  <c r="M1901" i="8"/>
  <c r="I1901" i="8"/>
  <c r="H1901" i="8"/>
  <c r="M1900" i="8"/>
  <c r="I1900" i="8"/>
  <c r="H1900" i="8"/>
  <c r="M1899" i="8"/>
  <c r="I1899" i="8"/>
  <c r="H1899" i="8"/>
  <c r="M1898" i="8"/>
  <c r="I1898" i="8"/>
  <c r="H1898" i="8"/>
  <c r="I1897" i="8"/>
  <c r="M1897" i="8" s="1"/>
  <c r="H1897" i="8"/>
  <c r="B1893" i="8"/>
  <c r="M1887" i="8"/>
  <c r="K1887" i="8"/>
  <c r="I1887" i="8"/>
  <c r="H1887" i="8"/>
  <c r="M1886" i="8"/>
  <c r="K1886" i="8"/>
  <c r="I1886" i="8"/>
  <c r="H1886" i="8"/>
  <c r="M1885" i="8"/>
  <c r="K1885" i="8"/>
  <c r="I1885" i="8"/>
  <c r="H1885" i="8"/>
  <c r="M1884" i="8"/>
  <c r="K1884" i="8"/>
  <c r="I1884" i="8"/>
  <c r="H1884" i="8"/>
  <c r="H1883" i="8"/>
  <c r="M1878" i="8"/>
  <c r="M1877" i="8"/>
  <c r="M1876" i="8"/>
  <c r="M1875" i="8"/>
  <c r="M1869" i="8"/>
  <c r="I1869" i="8"/>
  <c r="H1869" i="8"/>
  <c r="M1868" i="8"/>
  <c r="I1868" i="8"/>
  <c r="H1868" i="8"/>
  <c r="M1867" i="8"/>
  <c r="I1867" i="8"/>
  <c r="H1867" i="8"/>
  <c r="M1866" i="8"/>
  <c r="I1866" i="8"/>
  <c r="H1866" i="8"/>
  <c r="H1865" i="8"/>
  <c r="M1860" i="8"/>
  <c r="I1860" i="8"/>
  <c r="H1860" i="8"/>
  <c r="M1859" i="8"/>
  <c r="I1859" i="8"/>
  <c r="H1859" i="8"/>
  <c r="M1858" i="8"/>
  <c r="I1858" i="8"/>
  <c r="H1858" i="8"/>
  <c r="M1857" i="8"/>
  <c r="I1857" i="8"/>
  <c r="H1857" i="8"/>
  <c r="M1856" i="8"/>
  <c r="I1856" i="8"/>
  <c r="H1856" i="8"/>
  <c r="I1855" i="8"/>
  <c r="M1855" i="8" s="1"/>
  <c r="H1855" i="8"/>
  <c r="B1851" i="8"/>
  <c r="M1845" i="8"/>
  <c r="K1845" i="8"/>
  <c r="I1845" i="8"/>
  <c r="H1845" i="8"/>
  <c r="M1844" i="8"/>
  <c r="K1844" i="8"/>
  <c r="I1844" i="8"/>
  <c r="H1844" i="8"/>
  <c r="M1843" i="8"/>
  <c r="K1843" i="8"/>
  <c r="I1843" i="8"/>
  <c r="H1843" i="8"/>
  <c r="M1842" i="8"/>
  <c r="K1842" i="8"/>
  <c r="I1842" i="8"/>
  <c r="H1842" i="8"/>
  <c r="H1841" i="8"/>
  <c r="M1836" i="8"/>
  <c r="M1835" i="8"/>
  <c r="M1834" i="8"/>
  <c r="M1833" i="8"/>
  <c r="M1827" i="8"/>
  <c r="I1827" i="8"/>
  <c r="H1827" i="8"/>
  <c r="M1826" i="8"/>
  <c r="I1826" i="8"/>
  <c r="H1826" i="8"/>
  <c r="M1825" i="8"/>
  <c r="I1825" i="8"/>
  <c r="H1825" i="8"/>
  <c r="M1824" i="8"/>
  <c r="I1824" i="8"/>
  <c r="H1824" i="8"/>
  <c r="H1823" i="8"/>
  <c r="M1818" i="8"/>
  <c r="I1818" i="8"/>
  <c r="H1818" i="8"/>
  <c r="M1817" i="8"/>
  <c r="I1817" i="8"/>
  <c r="H1817" i="8"/>
  <c r="M1816" i="8"/>
  <c r="I1816" i="8"/>
  <c r="H1816" i="8"/>
  <c r="M1815" i="8"/>
  <c r="I1815" i="8"/>
  <c r="H1815" i="8"/>
  <c r="M1814" i="8"/>
  <c r="I1814" i="8"/>
  <c r="H1814" i="8"/>
  <c r="I1813" i="8"/>
  <c r="M1813" i="8" s="1"/>
  <c r="H1813" i="8"/>
  <c r="B1809" i="8"/>
  <c r="M1803" i="8"/>
  <c r="K1803" i="8"/>
  <c r="I1803" i="8"/>
  <c r="H1803" i="8"/>
  <c r="M1802" i="8"/>
  <c r="K1802" i="8"/>
  <c r="I1802" i="8"/>
  <c r="H1802" i="8"/>
  <c r="M1801" i="8"/>
  <c r="K1801" i="8"/>
  <c r="I1801" i="8"/>
  <c r="H1801" i="8"/>
  <c r="M1800" i="8"/>
  <c r="K1800" i="8"/>
  <c r="I1800" i="8"/>
  <c r="H1800" i="8"/>
  <c r="L1799" i="8"/>
  <c r="H1799" i="8"/>
  <c r="M1794" i="8"/>
  <c r="M1793" i="8"/>
  <c r="M1792" i="8"/>
  <c r="M1785" i="8"/>
  <c r="I1785" i="8"/>
  <c r="H1785" i="8"/>
  <c r="M1784" i="8"/>
  <c r="I1784" i="8"/>
  <c r="H1784" i="8"/>
  <c r="K1783" i="8"/>
  <c r="I1783" i="8"/>
  <c r="M1783" i="8" s="1"/>
  <c r="H1783" i="8"/>
  <c r="K1782" i="8"/>
  <c r="I1782" i="8"/>
  <c r="H1782" i="8"/>
  <c r="H1781" i="8"/>
  <c r="M1776" i="8"/>
  <c r="I1776" i="8"/>
  <c r="H1776" i="8"/>
  <c r="M1775" i="8"/>
  <c r="I1775" i="8"/>
  <c r="H1775" i="8"/>
  <c r="M1774" i="8"/>
  <c r="I1774" i="8"/>
  <c r="H1774" i="8"/>
  <c r="M1773" i="8"/>
  <c r="I1773" i="8"/>
  <c r="H1773" i="8"/>
  <c r="M1772" i="8"/>
  <c r="I1772" i="8"/>
  <c r="H1772" i="8"/>
  <c r="I1771" i="8"/>
  <c r="M1771" i="8" s="1"/>
  <c r="H1771" i="8"/>
  <c r="B1767" i="8"/>
  <c r="M1761" i="8"/>
  <c r="K1761" i="8"/>
  <c r="I1761" i="8"/>
  <c r="H1761" i="8"/>
  <c r="M1760" i="8"/>
  <c r="K1760" i="8"/>
  <c r="I1760" i="8"/>
  <c r="H1760" i="8"/>
  <c r="M1759" i="8"/>
  <c r="K1759" i="8"/>
  <c r="I1759" i="8"/>
  <c r="H1759" i="8"/>
  <c r="M1758" i="8"/>
  <c r="K1758" i="8"/>
  <c r="I1758" i="8"/>
  <c r="H1758" i="8"/>
  <c r="M1757" i="8"/>
  <c r="K1757" i="8"/>
  <c r="I1757" i="8"/>
  <c r="H1757" i="8"/>
  <c r="M1752" i="8"/>
  <c r="M1751" i="8"/>
  <c r="M1750" i="8"/>
  <c r="M1749" i="8"/>
  <c r="M1743" i="8"/>
  <c r="I1743" i="8"/>
  <c r="H1743" i="8"/>
  <c r="M1742" i="8"/>
  <c r="I1742" i="8"/>
  <c r="H1742" i="8"/>
  <c r="M1741" i="8"/>
  <c r="I1741" i="8"/>
  <c r="H1741" i="8"/>
  <c r="M1740" i="8"/>
  <c r="I1740" i="8"/>
  <c r="H1740" i="8"/>
  <c r="H1739" i="8"/>
  <c r="M1734" i="8"/>
  <c r="I1734" i="8"/>
  <c r="H1734" i="8"/>
  <c r="M1733" i="8"/>
  <c r="I1733" i="8"/>
  <c r="H1733" i="8"/>
  <c r="M1732" i="8"/>
  <c r="I1732" i="8"/>
  <c r="H1732" i="8"/>
  <c r="M1731" i="8"/>
  <c r="I1731" i="8"/>
  <c r="H1731" i="8"/>
  <c r="M1730" i="8"/>
  <c r="I1730" i="8"/>
  <c r="H1730" i="8"/>
  <c r="I1729" i="8"/>
  <c r="M1729" i="8" s="1"/>
  <c r="H1729" i="8"/>
  <c r="B1725" i="8"/>
  <c r="M1719" i="8"/>
  <c r="K1719" i="8"/>
  <c r="I1719" i="8"/>
  <c r="H1719" i="8"/>
  <c r="M1718" i="8"/>
  <c r="K1718" i="8"/>
  <c r="I1718" i="8"/>
  <c r="H1718" i="8"/>
  <c r="M1717" i="8"/>
  <c r="K1717" i="8"/>
  <c r="I1717" i="8"/>
  <c r="H1717" i="8"/>
  <c r="M1716" i="8"/>
  <c r="K1716" i="8"/>
  <c r="I1716" i="8"/>
  <c r="H1716" i="8"/>
  <c r="M1715" i="8"/>
  <c r="K1715" i="8"/>
  <c r="I1715" i="8"/>
  <c r="H1715" i="8"/>
  <c r="M1710" i="8"/>
  <c r="M1709" i="8"/>
  <c r="M1708" i="8"/>
  <c r="M1707" i="8"/>
  <c r="M1706" i="8"/>
  <c r="M1701" i="8"/>
  <c r="I1701" i="8"/>
  <c r="H1701" i="8"/>
  <c r="M1700" i="8"/>
  <c r="I1700" i="8"/>
  <c r="H1700" i="8"/>
  <c r="M1699" i="8"/>
  <c r="I1699" i="8"/>
  <c r="H1699" i="8"/>
  <c r="M1698" i="8"/>
  <c r="I1698" i="8"/>
  <c r="H1698" i="8"/>
  <c r="H1697" i="8"/>
  <c r="M1692" i="8"/>
  <c r="I1692" i="8"/>
  <c r="H1692" i="8"/>
  <c r="M1691" i="8"/>
  <c r="I1691" i="8"/>
  <c r="H1691" i="8"/>
  <c r="M1690" i="8"/>
  <c r="I1690" i="8"/>
  <c r="H1690" i="8"/>
  <c r="M1689" i="8"/>
  <c r="I1689" i="8"/>
  <c r="H1689" i="8"/>
  <c r="M1688" i="8"/>
  <c r="I1688" i="8"/>
  <c r="H1688" i="8"/>
  <c r="I1687" i="8"/>
  <c r="M1687" i="8" s="1"/>
  <c r="H1687" i="8"/>
  <c r="B1683" i="8"/>
  <c r="M1677" i="8"/>
  <c r="K1677" i="8"/>
  <c r="I1677" i="8"/>
  <c r="H1677" i="8"/>
  <c r="M1676" i="8"/>
  <c r="K1676" i="8"/>
  <c r="I1676" i="8"/>
  <c r="H1676" i="8"/>
  <c r="M1675" i="8"/>
  <c r="K1675" i="8"/>
  <c r="I1675" i="8"/>
  <c r="H1675" i="8"/>
  <c r="M1674" i="8"/>
  <c r="K1674" i="8"/>
  <c r="I1674" i="8"/>
  <c r="H1674" i="8"/>
  <c r="M1673" i="8"/>
  <c r="K1673" i="8"/>
  <c r="I1673" i="8"/>
  <c r="H1673" i="8"/>
  <c r="M1668" i="8"/>
  <c r="M1667" i="8"/>
  <c r="M1666" i="8"/>
  <c r="M1665" i="8"/>
  <c r="M1659" i="8"/>
  <c r="I1659" i="8"/>
  <c r="H1659" i="8"/>
  <c r="M1658" i="8"/>
  <c r="I1658" i="8"/>
  <c r="H1658" i="8"/>
  <c r="M1657" i="8"/>
  <c r="I1657" i="8"/>
  <c r="H1657" i="8"/>
  <c r="M1656" i="8"/>
  <c r="I1656" i="8"/>
  <c r="H1656" i="8"/>
  <c r="H1655" i="8"/>
  <c r="M1650" i="8"/>
  <c r="I1650" i="8"/>
  <c r="H1650" i="8"/>
  <c r="M1649" i="8"/>
  <c r="I1649" i="8"/>
  <c r="H1649" i="8"/>
  <c r="M1648" i="8"/>
  <c r="I1648" i="8"/>
  <c r="H1648" i="8"/>
  <c r="M1647" i="8"/>
  <c r="I1647" i="8"/>
  <c r="H1647" i="8"/>
  <c r="M1646" i="8"/>
  <c r="I1646" i="8"/>
  <c r="H1646" i="8"/>
  <c r="I1645" i="8"/>
  <c r="M1645" i="8" s="1"/>
  <c r="H1645" i="8"/>
  <c r="B1641" i="8"/>
  <c r="M1635" i="8"/>
  <c r="K1635" i="8"/>
  <c r="I1635" i="8"/>
  <c r="H1635" i="8"/>
  <c r="M1634" i="8"/>
  <c r="K1634" i="8"/>
  <c r="I1634" i="8"/>
  <c r="H1634" i="8"/>
  <c r="M1633" i="8"/>
  <c r="K1633" i="8"/>
  <c r="I1633" i="8"/>
  <c r="H1633" i="8"/>
  <c r="M1632" i="8"/>
  <c r="K1632" i="8"/>
  <c r="I1632" i="8"/>
  <c r="H1632" i="8"/>
  <c r="M1631" i="8"/>
  <c r="K1631" i="8"/>
  <c r="I1631" i="8"/>
  <c r="H1631" i="8"/>
  <c r="M1626" i="8"/>
  <c r="M1625" i="8"/>
  <c r="M1624" i="8"/>
  <c r="M1623" i="8"/>
  <c r="M1622" i="8"/>
  <c r="M1617" i="8"/>
  <c r="I1617" i="8"/>
  <c r="H1617" i="8"/>
  <c r="M1616" i="8"/>
  <c r="I1616" i="8"/>
  <c r="H1616" i="8"/>
  <c r="M1615" i="8"/>
  <c r="I1615" i="8"/>
  <c r="H1615" i="8"/>
  <c r="M1614" i="8"/>
  <c r="I1614" i="8"/>
  <c r="H1614" i="8"/>
  <c r="H1613" i="8"/>
  <c r="M1608" i="8"/>
  <c r="I1608" i="8"/>
  <c r="H1608" i="8"/>
  <c r="M1607" i="8"/>
  <c r="I1607" i="8"/>
  <c r="H1607" i="8"/>
  <c r="M1606" i="8"/>
  <c r="I1606" i="8"/>
  <c r="H1606" i="8"/>
  <c r="M1605" i="8"/>
  <c r="I1605" i="8"/>
  <c r="H1605" i="8"/>
  <c r="M1604" i="8"/>
  <c r="I1604" i="8"/>
  <c r="H1604" i="8"/>
  <c r="I1603" i="8"/>
  <c r="M1603" i="8" s="1"/>
  <c r="H1603" i="8"/>
  <c r="B1599" i="8"/>
  <c r="M1593" i="8"/>
  <c r="K1593" i="8"/>
  <c r="I1593" i="8"/>
  <c r="H1593" i="8"/>
  <c r="M1592" i="8"/>
  <c r="K1592" i="8"/>
  <c r="I1592" i="8"/>
  <c r="H1592" i="8"/>
  <c r="M1591" i="8"/>
  <c r="K1591" i="8"/>
  <c r="I1591" i="8"/>
  <c r="H1591" i="8"/>
  <c r="M1590" i="8"/>
  <c r="K1590" i="8"/>
  <c r="I1590" i="8"/>
  <c r="H1590" i="8"/>
  <c r="M1589" i="8"/>
  <c r="K1589" i="8"/>
  <c r="I1589" i="8"/>
  <c r="H1589" i="8"/>
  <c r="M1584" i="8"/>
  <c r="M1583" i="8"/>
  <c r="M1582" i="8"/>
  <c r="M1581" i="8"/>
  <c r="M1580" i="8"/>
  <c r="M1575" i="8"/>
  <c r="I1575" i="8"/>
  <c r="H1575" i="8"/>
  <c r="M1574" i="8"/>
  <c r="I1574" i="8"/>
  <c r="H1574" i="8"/>
  <c r="M1573" i="8"/>
  <c r="I1573" i="8"/>
  <c r="H1573" i="8"/>
  <c r="M1572" i="8"/>
  <c r="I1572" i="8"/>
  <c r="H1572" i="8"/>
  <c r="H1571" i="8"/>
  <c r="M1566" i="8"/>
  <c r="I1566" i="8"/>
  <c r="H1566" i="8"/>
  <c r="M1565" i="8"/>
  <c r="I1565" i="8"/>
  <c r="H1565" i="8"/>
  <c r="M1564" i="8"/>
  <c r="I1564" i="8"/>
  <c r="H1564" i="8"/>
  <c r="M1563" i="8"/>
  <c r="I1563" i="8"/>
  <c r="H1563" i="8"/>
  <c r="M1562" i="8"/>
  <c r="I1562" i="8"/>
  <c r="H1562" i="8"/>
  <c r="I1561" i="8"/>
  <c r="M1561" i="8" s="1"/>
  <c r="H1561" i="8"/>
  <c r="B1557" i="8"/>
  <c r="M1551" i="8"/>
  <c r="K1551" i="8"/>
  <c r="I1551" i="8"/>
  <c r="H1551" i="8"/>
  <c r="M1550" i="8"/>
  <c r="K1550" i="8"/>
  <c r="I1550" i="8"/>
  <c r="H1550" i="8"/>
  <c r="M1549" i="8"/>
  <c r="K1549" i="8"/>
  <c r="I1549" i="8"/>
  <c r="H1549" i="8"/>
  <c r="M1548" i="8"/>
  <c r="K1548" i="8"/>
  <c r="I1548" i="8"/>
  <c r="H1548" i="8"/>
  <c r="M1547" i="8"/>
  <c r="K1547" i="8"/>
  <c r="I1547" i="8"/>
  <c r="H1547" i="8"/>
  <c r="M1542" i="8"/>
  <c r="M1541" i="8"/>
  <c r="M1540" i="8"/>
  <c r="M1539" i="8"/>
  <c r="M1533" i="8"/>
  <c r="I1533" i="8"/>
  <c r="H1533" i="8"/>
  <c r="M1532" i="8"/>
  <c r="I1532" i="8"/>
  <c r="H1532" i="8"/>
  <c r="M1531" i="8"/>
  <c r="I1531" i="8"/>
  <c r="H1531" i="8"/>
  <c r="M1530" i="8"/>
  <c r="I1530" i="8"/>
  <c r="H1530" i="8"/>
  <c r="H1529" i="8"/>
  <c r="M1524" i="8"/>
  <c r="I1524" i="8"/>
  <c r="H1524" i="8"/>
  <c r="M1523" i="8"/>
  <c r="I1523" i="8"/>
  <c r="H1523" i="8"/>
  <c r="M1522" i="8"/>
  <c r="I1522" i="8"/>
  <c r="H1522" i="8"/>
  <c r="M1521" i="8"/>
  <c r="I1521" i="8"/>
  <c r="H1521" i="8"/>
  <c r="I1520" i="8"/>
  <c r="M1520" i="8" s="1"/>
  <c r="H1520" i="8"/>
  <c r="I1519" i="8"/>
  <c r="M1519" i="8" s="1"/>
  <c r="H1519" i="8"/>
  <c r="I1518" i="8"/>
  <c r="M1518" i="8" s="1"/>
  <c r="H1518" i="8"/>
  <c r="B1514" i="8"/>
  <c r="M1508" i="8"/>
  <c r="K1508" i="8"/>
  <c r="I1508" i="8"/>
  <c r="H1508" i="8"/>
  <c r="M1507" i="8"/>
  <c r="K1507" i="8"/>
  <c r="I1507" i="8"/>
  <c r="H1507" i="8"/>
  <c r="M1506" i="8"/>
  <c r="K1506" i="8"/>
  <c r="I1506" i="8"/>
  <c r="H1506" i="8"/>
  <c r="M1505" i="8"/>
  <c r="K1505" i="8"/>
  <c r="I1505" i="8"/>
  <c r="H1505" i="8"/>
  <c r="H1504" i="8"/>
  <c r="M1499" i="8"/>
  <c r="M1498" i="8"/>
  <c r="M1497" i="8"/>
  <c r="M1490" i="8"/>
  <c r="I1490" i="8"/>
  <c r="H1490" i="8"/>
  <c r="M1489" i="8"/>
  <c r="I1489" i="8"/>
  <c r="H1489" i="8"/>
  <c r="M1488" i="8"/>
  <c r="I1488" i="8"/>
  <c r="H1488" i="8"/>
  <c r="M1487" i="8"/>
  <c r="I1487" i="8"/>
  <c r="H1487" i="8"/>
  <c r="H1486" i="8"/>
  <c r="M1481" i="8"/>
  <c r="I1481" i="8"/>
  <c r="H1481" i="8"/>
  <c r="M1480" i="8"/>
  <c r="I1480" i="8"/>
  <c r="H1480" i="8"/>
  <c r="M1479" i="8"/>
  <c r="I1479" i="8"/>
  <c r="H1479" i="8"/>
  <c r="M1478" i="8"/>
  <c r="I1478" i="8"/>
  <c r="H1478" i="8"/>
  <c r="I1477" i="8"/>
  <c r="M1477" i="8" s="1"/>
  <c r="H1477" i="8"/>
  <c r="I1476" i="8"/>
  <c r="M1476" i="8" s="1"/>
  <c r="H1476" i="8"/>
  <c r="B1472" i="8"/>
  <c r="M1466" i="8"/>
  <c r="K1466" i="8"/>
  <c r="I1466" i="8"/>
  <c r="H1466" i="8"/>
  <c r="M1465" i="8"/>
  <c r="K1465" i="8"/>
  <c r="I1465" i="8"/>
  <c r="H1465" i="8"/>
  <c r="M1464" i="8"/>
  <c r="K1464" i="8"/>
  <c r="I1464" i="8"/>
  <c r="H1464" i="8"/>
  <c r="M1463" i="8"/>
  <c r="K1463" i="8"/>
  <c r="I1463" i="8"/>
  <c r="H1463" i="8"/>
  <c r="H1462" i="8"/>
  <c r="M1457" i="8"/>
  <c r="M1456" i="8"/>
  <c r="M1455" i="8"/>
  <c r="M1448" i="8"/>
  <c r="I1448" i="8"/>
  <c r="H1448" i="8"/>
  <c r="M1447" i="8"/>
  <c r="I1447" i="8"/>
  <c r="H1447" i="8"/>
  <c r="M1446" i="8"/>
  <c r="I1446" i="8"/>
  <c r="H1446" i="8"/>
  <c r="M1445" i="8"/>
  <c r="I1445" i="8"/>
  <c r="H1445" i="8"/>
  <c r="H1444" i="8"/>
  <c r="M1439" i="8"/>
  <c r="I1439" i="8"/>
  <c r="H1439" i="8"/>
  <c r="M1438" i="8"/>
  <c r="I1438" i="8"/>
  <c r="H1438" i="8"/>
  <c r="M1437" i="8"/>
  <c r="I1437" i="8"/>
  <c r="H1437" i="8"/>
  <c r="M1436" i="8"/>
  <c r="I1436" i="8"/>
  <c r="H1436" i="8"/>
  <c r="M1435" i="8"/>
  <c r="I1435" i="8"/>
  <c r="H1435" i="8"/>
  <c r="I1434" i="8"/>
  <c r="M1434" i="8" s="1"/>
  <c r="H1434" i="8"/>
  <c r="B1430" i="8"/>
  <c r="M1424" i="8"/>
  <c r="K1424" i="8"/>
  <c r="I1424" i="8"/>
  <c r="H1424" i="8"/>
  <c r="M1423" i="8"/>
  <c r="K1423" i="8"/>
  <c r="I1423" i="8"/>
  <c r="H1423" i="8"/>
  <c r="M1422" i="8"/>
  <c r="K1422" i="8"/>
  <c r="I1422" i="8"/>
  <c r="H1422" i="8"/>
  <c r="M1421" i="8"/>
  <c r="K1421" i="8"/>
  <c r="I1421" i="8"/>
  <c r="H1421" i="8"/>
  <c r="H1420" i="8"/>
  <c r="M1415" i="8"/>
  <c r="M1414" i="8"/>
  <c r="M1413" i="8"/>
  <c r="M1406" i="8"/>
  <c r="I1406" i="8"/>
  <c r="H1406" i="8"/>
  <c r="M1405" i="8"/>
  <c r="I1405" i="8"/>
  <c r="H1405" i="8"/>
  <c r="M1404" i="8"/>
  <c r="I1404" i="8"/>
  <c r="H1404" i="8"/>
  <c r="M1403" i="8"/>
  <c r="I1403" i="8"/>
  <c r="H1403" i="8"/>
  <c r="H1402" i="8"/>
  <c r="M1397" i="8"/>
  <c r="I1397" i="8"/>
  <c r="H1397" i="8"/>
  <c r="M1396" i="8"/>
  <c r="I1396" i="8"/>
  <c r="H1396" i="8"/>
  <c r="M1395" i="8"/>
  <c r="I1395" i="8"/>
  <c r="H1395" i="8"/>
  <c r="M1394" i="8"/>
  <c r="I1394" i="8"/>
  <c r="H1394" i="8"/>
  <c r="M1393" i="8"/>
  <c r="I1393" i="8"/>
  <c r="H1393" i="8"/>
  <c r="I1392" i="8"/>
  <c r="M1392" i="8" s="1"/>
  <c r="H1392" i="8"/>
  <c r="B1388" i="8"/>
  <c r="M1382" i="8"/>
  <c r="K1382" i="8"/>
  <c r="I1382" i="8"/>
  <c r="H1382" i="8"/>
  <c r="M1381" i="8"/>
  <c r="K1381" i="8"/>
  <c r="I1381" i="8"/>
  <c r="H1381" i="8"/>
  <c r="M1380" i="8"/>
  <c r="K1380" i="8"/>
  <c r="I1380" i="8"/>
  <c r="H1380" i="8"/>
  <c r="M1379" i="8"/>
  <c r="K1379" i="8"/>
  <c r="I1379" i="8"/>
  <c r="H1379" i="8"/>
  <c r="H1378" i="8"/>
  <c r="M1373" i="8"/>
  <c r="M1372" i="8"/>
  <c r="M1371" i="8"/>
  <c r="M1364" i="8"/>
  <c r="I1364" i="8"/>
  <c r="H1364" i="8"/>
  <c r="M1363" i="8"/>
  <c r="I1363" i="8"/>
  <c r="H1363" i="8"/>
  <c r="M1362" i="8"/>
  <c r="I1362" i="8"/>
  <c r="H1362" i="8"/>
  <c r="M1361" i="8"/>
  <c r="I1361" i="8"/>
  <c r="H1361" i="8"/>
  <c r="H1360" i="8"/>
  <c r="M1355" i="8"/>
  <c r="I1355" i="8"/>
  <c r="H1355" i="8"/>
  <c r="M1354" i="8"/>
  <c r="I1354" i="8"/>
  <c r="H1354" i="8"/>
  <c r="M1353" i="8"/>
  <c r="I1353" i="8"/>
  <c r="H1353" i="8"/>
  <c r="M1352" i="8"/>
  <c r="I1352" i="8"/>
  <c r="H1352" i="8"/>
  <c r="M1351" i="8"/>
  <c r="I1351" i="8"/>
  <c r="H1351" i="8"/>
  <c r="I1350" i="8"/>
  <c r="M1350" i="8" s="1"/>
  <c r="H1350" i="8"/>
  <c r="B1346" i="8"/>
  <c r="M1340" i="8"/>
  <c r="K1340" i="8"/>
  <c r="I1340" i="8"/>
  <c r="H1340" i="8"/>
  <c r="M1339" i="8"/>
  <c r="K1339" i="8"/>
  <c r="I1339" i="8"/>
  <c r="H1339" i="8"/>
  <c r="M1338" i="8"/>
  <c r="K1338" i="8"/>
  <c r="I1338" i="8"/>
  <c r="H1338" i="8"/>
  <c r="M1337" i="8"/>
  <c r="K1337" i="8"/>
  <c r="I1337" i="8"/>
  <c r="H1337" i="8"/>
  <c r="L1336" i="8"/>
  <c r="H1336" i="8"/>
  <c r="M1331" i="8"/>
  <c r="M1330" i="8"/>
  <c r="M1329" i="8"/>
  <c r="M1322" i="8"/>
  <c r="I1322" i="8"/>
  <c r="H1322" i="8"/>
  <c r="M1321" i="8"/>
  <c r="I1321" i="8"/>
  <c r="H1321" i="8"/>
  <c r="M1320" i="8"/>
  <c r="I1320" i="8"/>
  <c r="H1320" i="8"/>
  <c r="M1319" i="8"/>
  <c r="I1319" i="8"/>
  <c r="H1319" i="8"/>
  <c r="H1318" i="8"/>
  <c r="M1313" i="8"/>
  <c r="I1313" i="8"/>
  <c r="H1313" i="8"/>
  <c r="M1312" i="8"/>
  <c r="I1312" i="8"/>
  <c r="H1312" i="8"/>
  <c r="M1311" i="8"/>
  <c r="I1311" i="8"/>
  <c r="H1311" i="8"/>
  <c r="I1310" i="8"/>
  <c r="M1310" i="8" s="1"/>
  <c r="H1310" i="8"/>
  <c r="I1309" i="8"/>
  <c r="M1309" i="8" s="1"/>
  <c r="H1309" i="8"/>
  <c r="I1308" i="8"/>
  <c r="M1308" i="8" s="1"/>
  <c r="H1308" i="8"/>
  <c r="B1304" i="8"/>
  <c r="M1298" i="8"/>
  <c r="K1298" i="8"/>
  <c r="I1298" i="8"/>
  <c r="H1298" i="8"/>
  <c r="M1297" i="8"/>
  <c r="K1297" i="8"/>
  <c r="I1297" i="8"/>
  <c r="H1297" i="8"/>
  <c r="M1296" i="8"/>
  <c r="K1296" i="8"/>
  <c r="I1296" i="8"/>
  <c r="H1296" i="8"/>
  <c r="M1295" i="8"/>
  <c r="K1295" i="8"/>
  <c r="I1295" i="8"/>
  <c r="H1295" i="8"/>
  <c r="H1294" i="8"/>
  <c r="M1289" i="8"/>
  <c r="M1288" i="8"/>
  <c r="M1287" i="8"/>
  <c r="M1280" i="8"/>
  <c r="I1280" i="8"/>
  <c r="H1280" i="8"/>
  <c r="M1279" i="8"/>
  <c r="I1279" i="8"/>
  <c r="H1279" i="8"/>
  <c r="M1278" i="8"/>
  <c r="I1278" i="8"/>
  <c r="H1278" i="8"/>
  <c r="M1277" i="8"/>
  <c r="I1277" i="8"/>
  <c r="H1277" i="8"/>
  <c r="H1276" i="8"/>
  <c r="M1271" i="8"/>
  <c r="I1271" i="8"/>
  <c r="H1271" i="8"/>
  <c r="M1270" i="8"/>
  <c r="I1270" i="8"/>
  <c r="H1270" i="8"/>
  <c r="M1269" i="8"/>
  <c r="I1269" i="8"/>
  <c r="H1269" i="8"/>
  <c r="I1268" i="8"/>
  <c r="M1268" i="8" s="1"/>
  <c r="H1268" i="8"/>
  <c r="I1267" i="8"/>
  <c r="M1267" i="8" s="1"/>
  <c r="H1267" i="8"/>
  <c r="I1266" i="8"/>
  <c r="M1266" i="8" s="1"/>
  <c r="H1266" i="8"/>
  <c r="B1262" i="8"/>
  <c r="M1256" i="8"/>
  <c r="K1256" i="8"/>
  <c r="I1256" i="8"/>
  <c r="H1256" i="8"/>
  <c r="M1255" i="8"/>
  <c r="K1255" i="8"/>
  <c r="I1255" i="8"/>
  <c r="H1255" i="8"/>
  <c r="M1254" i="8"/>
  <c r="K1254" i="8"/>
  <c r="I1254" i="8"/>
  <c r="H1254" i="8"/>
  <c r="M1253" i="8"/>
  <c r="K1253" i="8"/>
  <c r="I1253" i="8"/>
  <c r="H1253" i="8"/>
  <c r="H1252" i="8"/>
  <c r="M1247" i="8"/>
  <c r="M1246" i="8"/>
  <c r="M1245" i="8"/>
  <c r="M1238" i="8"/>
  <c r="I1238" i="8"/>
  <c r="H1238" i="8"/>
  <c r="M1237" i="8"/>
  <c r="I1237" i="8"/>
  <c r="H1237" i="8"/>
  <c r="M1236" i="8"/>
  <c r="I1236" i="8"/>
  <c r="H1236" i="8"/>
  <c r="M1235" i="8"/>
  <c r="I1235" i="8"/>
  <c r="H1235" i="8"/>
  <c r="H1234" i="8"/>
  <c r="M1229" i="8"/>
  <c r="I1229" i="8"/>
  <c r="H1229" i="8"/>
  <c r="M1228" i="8"/>
  <c r="I1228" i="8"/>
  <c r="H1228" i="8"/>
  <c r="M1227" i="8"/>
  <c r="I1227" i="8"/>
  <c r="H1227" i="8"/>
  <c r="I1226" i="8"/>
  <c r="M1226" i="8" s="1"/>
  <c r="H1226" i="8"/>
  <c r="I1225" i="8"/>
  <c r="M1225" i="8" s="1"/>
  <c r="H1225" i="8"/>
  <c r="I1224" i="8"/>
  <c r="M1224" i="8" s="1"/>
  <c r="H1224" i="8"/>
  <c r="B1220" i="8"/>
  <c r="M1214" i="8"/>
  <c r="K1214" i="8"/>
  <c r="I1214" i="8"/>
  <c r="H1214" i="8"/>
  <c r="M1213" i="8"/>
  <c r="K1213" i="8"/>
  <c r="I1213" i="8"/>
  <c r="H1213" i="8"/>
  <c r="M1212" i="8"/>
  <c r="K1212" i="8"/>
  <c r="I1212" i="8"/>
  <c r="H1212" i="8"/>
  <c r="I1211" i="8"/>
  <c r="H1211" i="8"/>
  <c r="L1210" i="8"/>
  <c r="H1210" i="8"/>
  <c r="M1205" i="8"/>
  <c r="M1204" i="8"/>
  <c r="M1203" i="8"/>
  <c r="M1196" i="8"/>
  <c r="I1196" i="8"/>
  <c r="H1196" i="8"/>
  <c r="M1195" i="8"/>
  <c r="I1195" i="8"/>
  <c r="H1195" i="8"/>
  <c r="M1194" i="8"/>
  <c r="I1194" i="8"/>
  <c r="H1194" i="8"/>
  <c r="I1193" i="8"/>
  <c r="M1193" i="8" s="1"/>
  <c r="H1193" i="8"/>
  <c r="H1192" i="8"/>
  <c r="M1187" i="8"/>
  <c r="I1187" i="8"/>
  <c r="H1187" i="8"/>
  <c r="M1186" i="8"/>
  <c r="I1186" i="8"/>
  <c r="H1186" i="8"/>
  <c r="I1185" i="8"/>
  <c r="M1185" i="8" s="1"/>
  <c r="H1185" i="8"/>
  <c r="I1184" i="8"/>
  <c r="M1184" i="8" s="1"/>
  <c r="H1184" i="8"/>
  <c r="I1183" i="8"/>
  <c r="M1183" i="8" s="1"/>
  <c r="H1183" i="8"/>
  <c r="I1182" i="8"/>
  <c r="M1182" i="8" s="1"/>
  <c r="H1182" i="8"/>
  <c r="B1178" i="8"/>
  <c r="M1172" i="8"/>
  <c r="K1172" i="8"/>
  <c r="I1172" i="8"/>
  <c r="H1172" i="8"/>
  <c r="M1171" i="8"/>
  <c r="K1171" i="8"/>
  <c r="I1171" i="8"/>
  <c r="H1171" i="8"/>
  <c r="M1170" i="8"/>
  <c r="K1170" i="8"/>
  <c r="I1170" i="8"/>
  <c r="H1170" i="8"/>
  <c r="M1169" i="8"/>
  <c r="K1169" i="8"/>
  <c r="I1169" i="8"/>
  <c r="H1169" i="8"/>
  <c r="H1168" i="8"/>
  <c r="M1163" i="8"/>
  <c r="M1162" i="8"/>
  <c r="M1161" i="8"/>
  <c r="M1154" i="8"/>
  <c r="I1154" i="8"/>
  <c r="H1154" i="8"/>
  <c r="M1153" i="8"/>
  <c r="I1153" i="8"/>
  <c r="H1153" i="8"/>
  <c r="M1152" i="8"/>
  <c r="I1152" i="8"/>
  <c r="H1152" i="8"/>
  <c r="I1151" i="8"/>
  <c r="M1151" i="8" s="1"/>
  <c r="H1151" i="8"/>
  <c r="H1150" i="8"/>
  <c r="M1145" i="8"/>
  <c r="I1145" i="8"/>
  <c r="H1145" i="8"/>
  <c r="M1144" i="8"/>
  <c r="I1144" i="8"/>
  <c r="H1144" i="8"/>
  <c r="M1143" i="8"/>
  <c r="I1143" i="8"/>
  <c r="H1143" i="8"/>
  <c r="M1142" i="8"/>
  <c r="I1142" i="8"/>
  <c r="H1142" i="8"/>
  <c r="M1141" i="8"/>
  <c r="I1141" i="8"/>
  <c r="H1141" i="8"/>
  <c r="M1140" i="8"/>
  <c r="I1140" i="8"/>
  <c r="H1140" i="8"/>
  <c r="B1136" i="8"/>
  <c r="M1130" i="8"/>
  <c r="K1130" i="8"/>
  <c r="I1130" i="8"/>
  <c r="H1130" i="8"/>
  <c r="M1129" i="8"/>
  <c r="K1129" i="8"/>
  <c r="I1129" i="8"/>
  <c r="H1129" i="8"/>
  <c r="M1128" i="8"/>
  <c r="K1128" i="8"/>
  <c r="I1128" i="8"/>
  <c r="H1128" i="8"/>
  <c r="M1127" i="8"/>
  <c r="K1127" i="8"/>
  <c r="I1127" i="8"/>
  <c r="H1127" i="8"/>
  <c r="M1126" i="8"/>
  <c r="K1126" i="8"/>
  <c r="I1126" i="8"/>
  <c r="H1126" i="8"/>
  <c r="M1121" i="8"/>
  <c r="M1120" i="8"/>
  <c r="M1119" i="8"/>
  <c r="M1112" i="8"/>
  <c r="I1112" i="8"/>
  <c r="H1112" i="8"/>
  <c r="M1111" i="8"/>
  <c r="I1111" i="8"/>
  <c r="H1111" i="8"/>
  <c r="M1110" i="8"/>
  <c r="I1110" i="8"/>
  <c r="H1110" i="8"/>
  <c r="M1109" i="8"/>
  <c r="I1109" i="8"/>
  <c r="H1109" i="8"/>
  <c r="I1108" i="8"/>
  <c r="M1108" i="8" s="1"/>
  <c r="H1108" i="8"/>
  <c r="M1103" i="8"/>
  <c r="I1103" i="8"/>
  <c r="H1103" i="8"/>
  <c r="M1102" i="8"/>
  <c r="I1102" i="8"/>
  <c r="H1102" i="8"/>
  <c r="M1101" i="8"/>
  <c r="I1101" i="8"/>
  <c r="H1101" i="8"/>
  <c r="M1100" i="8"/>
  <c r="I1100" i="8"/>
  <c r="H1100" i="8"/>
  <c r="M1099" i="8"/>
  <c r="I1099" i="8"/>
  <c r="H1099" i="8"/>
  <c r="M1098" i="8"/>
  <c r="I1098" i="8"/>
  <c r="H1098" i="8"/>
  <c r="B1094" i="8"/>
  <c r="M1088" i="8"/>
  <c r="K1088" i="8"/>
  <c r="I1088" i="8"/>
  <c r="H1088" i="8"/>
  <c r="M1087" i="8"/>
  <c r="K1087" i="8"/>
  <c r="I1087" i="8"/>
  <c r="H1087" i="8"/>
  <c r="M1086" i="8"/>
  <c r="K1086" i="8"/>
  <c r="I1086" i="8"/>
  <c r="H1086" i="8"/>
  <c r="M1085" i="8"/>
  <c r="K1085" i="8"/>
  <c r="I1085" i="8"/>
  <c r="H1085" i="8"/>
  <c r="H1084" i="8"/>
  <c r="M1079" i="8"/>
  <c r="M1078" i="8"/>
  <c r="M1077" i="8"/>
  <c r="M1070" i="8"/>
  <c r="I1070" i="8"/>
  <c r="H1070" i="8"/>
  <c r="M1069" i="8"/>
  <c r="I1069" i="8"/>
  <c r="H1069" i="8"/>
  <c r="M1068" i="8"/>
  <c r="I1068" i="8"/>
  <c r="H1068" i="8"/>
  <c r="M1067" i="8"/>
  <c r="I1067" i="8"/>
  <c r="H1067" i="8"/>
  <c r="H1066" i="8"/>
  <c r="M1061" i="8"/>
  <c r="I1061" i="8"/>
  <c r="H1061" i="8"/>
  <c r="M1060" i="8"/>
  <c r="I1060" i="8"/>
  <c r="H1060" i="8"/>
  <c r="H1059" i="8"/>
  <c r="H1058" i="8"/>
  <c r="I1057" i="8"/>
  <c r="M1057" i="8" s="1"/>
  <c r="I1075" i="8" s="1"/>
  <c r="H1057" i="8"/>
  <c r="H1056" i="8"/>
  <c r="B1052" i="8"/>
  <c r="M1046" i="8"/>
  <c r="K1046" i="8"/>
  <c r="I1046" i="8"/>
  <c r="H1046" i="8"/>
  <c r="M1045" i="8"/>
  <c r="K1045" i="8"/>
  <c r="I1045" i="8"/>
  <c r="H1045" i="8"/>
  <c r="M1044" i="8"/>
  <c r="K1044" i="8"/>
  <c r="I1044" i="8"/>
  <c r="H1044" i="8"/>
  <c r="M1043" i="8"/>
  <c r="K1043" i="8"/>
  <c r="I1043" i="8"/>
  <c r="H1043" i="8"/>
  <c r="H1042" i="8"/>
  <c r="M1037" i="8"/>
  <c r="M1036" i="8"/>
  <c r="M1035" i="8"/>
  <c r="M1028" i="8"/>
  <c r="I1028" i="8"/>
  <c r="H1028" i="8"/>
  <c r="M1027" i="8"/>
  <c r="I1027" i="8"/>
  <c r="H1027" i="8"/>
  <c r="I1026" i="8"/>
  <c r="M1026" i="8" s="1"/>
  <c r="H1026" i="8"/>
  <c r="I1025" i="8"/>
  <c r="M1025" i="8" s="1"/>
  <c r="H1025" i="8"/>
  <c r="H1024" i="8"/>
  <c r="I1019" i="8"/>
  <c r="M1019" i="8" s="1"/>
  <c r="H1019" i="8"/>
  <c r="I1018" i="8"/>
  <c r="M1018" i="8" s="1"/>
  <c r="H1018" i="8"/>
  <c r="I1017" i="8"/>
  <c r="M1017" i="8" s="1"/>
  <c r="H1017" i="8"/>
  <c r="I1016" i="8"/>
  <c r="M1016" i="8" s="1"/>
  <c r="H1016" i="8"/>
  <c r="I1015" i="8"/>
  <c r="M1015" i="8" s="1"/>
  <c r="H1015" i="8"/>
  <c r="I1014" i="8"/>
  <c r="M1014" i="8" s="1"/>
  <c r="H1014" i="8"/>
  <c r="B1010" i="8"/>
  <c r="M1004" i="8"/>
  <c r="K1004" i="8"/>
  <c r="I1004" i="8"/>
  <c r="H1004" i="8"/>
  <c r="M1003" i="8"/>
  <c r="K1003" i="8"/>
  <c r="I1003" i="8"/>
  <c r="H1003" i="8"/>
  <c r="M1002" i="8"/>
  <c r="K1002" i="8"/>
  <c r="I1002" i="8"/>
  <c r="H1002" i="8"/>
  <c r="M1001" i="8"/>
  <c r="K1001" i="8"/>
  <c r="I1001" i="8"/>
  <c r="H1001" i="8"/>
  <c r="L1000" i="8"/>
  <c r="H1000" i="8"/>
  <c r="M995" i="8"/>
  <c r="M994" i="8"/>
  <c r="M993" i="8"/>
  <c r="M986" i="8"/>
  <c r="I986" i="8"/>
  <c r="H986" i="8"/>
  <c r="M985" i="8"/>
  <c r="I985" i="8"/>
  <c r="H985" i="8"/>
  <c r="M984" i="8"/>
  <c r="I984" i="8"/>
  <c r="H984" i="8"/>
  <c r="M983" i="8"/>
  <c r="I983" i="8"/>
  <c r="H983" i="8"/>
  <c r="H982" i="8"/>
  <c r="M977" i="8"/>
  <c r="I977" i="8"/>
  <c r="H977" i="8"/>
  <c r="M976" i="8"/>
  <c r="I976" i="8"/>
  <c r="H976" i="8"/>
  <c r="M975" i="8"/>
  <c r="I975" i="8"/>
  <c r="H975" i="8"/>
  <c r="I974" i="8"/>
  <c r="M974" i="8" s="1"/>
  <c r="I991" i="8" s="1"/>
  <c r="H974" i="8"/>
  <c r="I973" i="8"/>
  <c r="M973" i="8" s="1"/>
  <c r="H973" i="8"/>
  <c r="B969" i="8"/>
  <c r="M963" i="8"/>
  <c r="K963" i="8"/>
  <c r="I963" i="8"/>
  <c r="H963" i="8"/>
  <c r="M962" i="8"/>
  <c r="K962" i="8"/>
  <c r="I962" i="8"/>
  <c r="H962" i="8"/>
  <c r="M961" i="8"/>
  <c r="K961" i="8"/>
  <c r="I961" i="8"/>
  <c r="H961" i="8"/>
  <c r="M960" i="8"/>
  <c r="K960" i="8"/>
  <c r="I960" i="8"/>
  <c r="H960" i="8"/>
  <c r="L959" i="8"/>
  <c r="H959" i="8"/>
  <c r="M954" i="8"/>
  <c r="M953" i="8"/>
  <c r="M952" i="8"/>
  <c r="M945" i="8"/>
  <c r="I945" i="8"/>
  <c r="H945" i="8"/>
  <c r="M944" i="8"/>
  <c r="I944" i="8"/>
  <c r="H944" i="8"/>
  <c r="M943" i="8"/>
  <c r="I943" i="8"/>
  <c r="H943" i="8"/>
  <c r="M942" i="8"/>
  <c r="I942" i="8"/>
  <c r="H942" i="8"/>
  <c r="H941" i="8"/>
  <c r="M936" i="8"/>
  <c r="I936" i="8"/>
  <c r="H936" i="8"/>
  <c r="M935" i="8"/>
  <c r="I935" i="8"/>
  <c r="H935" i="8"/>
  <c r="M934" i="8"/>
  <c r="I934" i="8"/>
  <c r="H934" i="8"/>
  <c r="M933" i="8"/>
  <c r="I933" i="8"/>
  <c r="H933" i="8"/>
  <c r="I932" i="8"/>
  <c r="M932" i="8" s="1"/>
  <c r="H932" i="8"/>
  <c r="I931" i="8"/>
  <c r="M931" i="8" s="1"/>
  <c r="H931" i="8"/>
  <c r="B927" i="8"/>
  <c r="M921" i="8"/>
  <c r="K921" i="8"/>
  <c r="I921" i="8"/>
  <c r="H921" i="8"/>
  <c r="M920" i="8"/>
  <c r="K920" i="8"/>
  <c r="I920" i="8"/>
  <c r="H920" i="8"/>
  <c r="M919" i="8"/>
  <c r="K919" i="8"/>
  <c r="I919" i="8"/>
  <c r="H919" i="8"/>
  <c r="M918" i="8"/>
  <c r="K918" i="8"/>
  <c r="I918" i="8"/>
  <c r="H918" i="8"/>
  <c r="L917" i="8"/>
  <c r="H917" i="8"/>
  <c r="M912" i="8"/>
  <c r="M911" i="8"/>
  <c r="M910" i="8"/>
  <c r="K908" i="8"/>
  <c r="M903" i="8"/>
  <c r="I903" i="8"/>
  <c r="H903" i="8"/>
  <c r="M902" i="8"/>
  <c r="I902" i="8"/>
  <c r="H902" i="8"/>
  <c r="M901" i="8"/>
  <c r="I901" i="8"/>
  <c r="H901" i="8"/>
  <c r="K900" i="8"/>
  <c r="I900" i="8"/>
  <c r="M900" i="8" s="1"/>
  <c r="H900" i="8"/>
  <c r="H899" i="8"/>
  <c r="M894" i="8"/>
  <c r="I894" i="8"/>
  <c r="H894" i="8"/>
  <c r="M893" i="8"/>
  <c r="I893" i="8"/>
  <c r="H893" i="8"/>
  <c r="M892" i="8"/>
  <c r="I892" i="8"/>
  <c r="H892" i="8"/>
  <c r="M891" i="8"/>
  <c r="I891" i="8"/>
  <c r="H891" i="8"/>
  <c r="M890" i="8"/>
  <c r="I890" i="8"/>
  <c r="H890" i="8"/>
  <c r="K889" i="8"/>
  <c r="I889" i="8"/>
  <c r="H889" i="8"/>
  <c r="B885" i="8"/>
  <c r="M879" i="8"/>
  <c r="K879" i="8"/>
  <c r="I879" i="8"/>
  <c r="H879" i="8"/>
  <c r="M878" i="8"/>
  <c r="K878" i="8"/>
  <c r="I878" i="8"/>
  <c r="H878" i="8"/>
  <c r="M877" i="8"/>
  <c r="K877" i="8"/>
  <c r="I877" i="8"/>
  <c r="H877" i="8"/>
  <c r="M876" i="8"/>
  <c r="K876" i="8"/>
  <c r="I876" i="8"/>
  <c r="H876" i="8"/>
  <c r="H875" i="8"/>
  <c r="M870" i="8"/>
  <c r="M869" i="8"/>
  <c r="M868" i="8"/>
  <c r="M867" i="8"/>
  <c r="M861" i="8"/>
  <c r="I861" i="8"/>
  <c r="H861" i="8"/>
  <c r="M860" i="8"/>
  <c r="I860" i="8"/>
  <c r="H860" i="8"/>
  <c r="I859" i="8"/>
  <c r="M859" i="8" s="1"/>
  <c r="H859" i="8"/>
  <c r="I858" i="8"/>
  <c r="M858" i="8" s="1"/>
  <c r="H858" i="8"/>
  <c r="H857" i="8"/>
  <c r="M852" i="8"/>
  <c r="I852" i="8"/>
  <c r="H852" i="8"/>
  <c r="I851" i="8"/>
  <c r="M851" i="8" s="1"/>
  <c r="H851" i="8"/>
  <c r="I850" i="8"/>
  <c r="M850" i="8" s="1"/>
  <c r="H850" i="8"/>
  <c r="I849" i="8"/>
  <c r="M849" i="8" s="1"/>
  <c r="H849" i="8"/>
  <c r="I848" i="8"/>
  <c r="M848" i="8" s="1"/>
  <c r="H848" i="8"/>
  <c r="I847" i="8"/>
  <c r="M847" i="8" s="1"/>
  <c r="H847" i="8"/>
  <c r="B843" i="8"/>
  <c r="M837" i="8"/>
  <c r="K837" i="8"/>
  <c r="I837" i="8"/>
  <c r="H837" i="8"/>
  <c r="M836" i="8"/>
  <c r="K836" i="8"/>
  <c r="I836" i="8"/>
  <c r="H836" i="8"/>
  <c r="M835" i="8"/>
  <c r="K835" i="8"/>
  <c r="I835" i="8"/>
  <c r="H835" i="8"/>
  <c r="M834" i="8"/>
  <c r="K834" i="8"/>
  <c r="I834" i="8"/>
  <c r="H834" i="8"/>
  <c r="H833" i="8"/>
  <c r="M828" i="8"/>
  <c r="M827" i="8"/>
  <c r="M826" i="8"/>
  <c r="M825" i="8"/>
  <c r="M819" i="8"/>
  <c r="I819" i="8"/>
  <c r="H819" i="8"/>
  <c r="M818" i="8"/>
  <c r="I818" i="8"/>
  <c r="H818" i="8"/>
  <c r="M817" i="8"/>
  <c r="I817" i="8"/>
  <c r="H817" i="8"/>
  <c r="M816" i="8"/>
  <c r="I816" i="8"/>
  <c r="H816" i="8"/>
  <c r="H815" i="8"/>
  <c r="I810" i="8"/>
  <c r="M810" i="8" s="1"/>
  <c r="H810" i="8"/>
  <c r="I809" i="8"/>
  <c r="M809" i="8" s="1"/>
  <c r="H809" i="8"/>
  <c r="I808" i="8"/>
  <c r="M808" i="8" s="1"/>
  <c r="H808" i="8"/>
  <c r="I807" i="8"/>
  <c r="M807" i="8" s="1"/>
  <c r="H807" i="8"/>
  <c r="M806" i="8"/>
  <c r="H806" i="8"/>
  <c r="I805" i="8"/>
  <c r="M805" i="8" s="1"/>
  <c r="H805" i="8"/>
  <c r="B801" i="8"/>
  <c r="M795" i="8"/>
  <c r="K795" i="8"/>
  <c r="I795" i="8"/>
  <c r="H795" i="8"/>
  <c r="M794" i="8"/>
  <c r="K794" i="8"/>
  <c r="I794" i="8"/>
  <c r="H794" i="8"/>
  <c r="M793" i="8"/>
  <c r="K793" i="8"/>
  <c r="I793" i="8"/>
  <c r="H793" i="8"/>
  <c r="M792" i="8"/>
  <c r="K792" i="8"/>
  <c r="I792" i="8"/>
  <c r="H792" i="8"/>
  <c r="H791" i="8"/>
  <c r="M786" i="8"/>
  <c r="M785" i="8"/>
  <c r="M784" i="8"/>
  <c r="M777" i="8"/>
  <c r="I777" i="8"/>
  <c r="H777" i="8"/>
  <c r="M776" i="8"/>
  <c r="I776" i="8"/>
  <c r="H776" i="8"/>
  <c r="M775" i="8"/>
  <c r="I775" i="8"/>
  <c r="H775" i="8"/>
  <c r="M774" i="8"/>
  <c r="I774" i="8"/>
  <c r="H774" i="8"/>
  <c r="H773" i="8"/>
  <c r="M768" i="8"/>
  <c r="I768" i="8"/>
  <c r="H768" i="8"/>
  <c r="I767" i="8"/>
  <c r="M767" i="8" s="1"/>
  <c r="H767" i="8"/>
  <c r="I766" i="8"/>
  <c r="M766" i="8" s="1"/>
  <c r="H766" i="8"/>
  <c r="I765" i="8"/>
  <c r="M765" i="8" s="1"/>
  <c r="H765" i="8"/>
  <c r="I764" i="8"/>
  <c r="M764" i="8" s="1"/>
  <c r="H764" i="8"/>
  <c r="I763" i="8"/>
  <c r="M763" i="8" s="1"/>
  <c r="H763" i="8"/>
  <c r="I762" i="8"/>
  <c r="M762" i="8" s="1"/>
  <c r="H762" i="8"/>
  <c r="I761" i="8"/>
  <c r="M761" i="8" s="1"/>
  <c r="H761" i="8"/>
  <c r="I760" i="8"/>
  <c r="M760" i="8" s="1"/>
  <c r="H760" i="8"/>
  <c r="I759" i="8"/>
  <c r="M759" i="8" s="1"/>
  <c r="H759" i="8"/>
  <c r="I758" i="8"/>
  <c r="M758" i="8" s="1"/>
  <c r="H758" i="8"/>
  <c r="I757" i="8"/>
  <c r="M757" i="8" s="1"/>
  <c r="H757" i="8"/>
  <c r="I756" i="8"/>
  <c r="M756" i="8" s="1"/>
  <c r="H756" i="8"/>
  <c r="H755" i="8"/>
  <c r="B751" i="8"/>
  <c r="M745" i="8"/>
  <c r="K745" i="8"/>
  <c r="I745" i="8"/>
  <c r="H745" i="8"/>
  <c r="M744" i="8"/>
  <c r="K744" i="8"/>
  <c r="I744" i="8"/>
  <c r="H744" i="8"/>
  <c r="M743" i="8"/>
  <c r="K743" i="8"/>
  <c r="I743" i="8"/>
  <c r="H743" i="8"/>
  <c r="M742" i="8"/>
  <c r="K742" i="8"/>
  <c r="I742" i="8"/>
  <c r="H742" i="8"/>
  <c r="H741" i="8"/>
  <c r="M736" i="8"/>
  <c r="M735" i="8"/>
  <c r="M734" i="8"/>
  <c r="M733" i="8"/>
  <c r="M727" i="8"/>
  <c r="I727" i="8"/>
  <c r="H727" i="8"/>
  <c r="M726" i="8"/>
  <c r="I726" i="8"/>
  <c r="H726" i="8"/>
  <c r="M725" i="8"/>
  <c r="I725" i="8"/>
  <c r="H725" i="8"/>
  <c r="M724" i="8"/>
  <c r="I724" i="8"/>
  <c r="H724" i="8"/>
  <c r="H723" i="8"/>
  <c r="M718" i="8"/>
  <c r="I718" i="8"/>
  <c r="H718" i="8"/>
  <c r="I717" i="8"/>
  <c r="M717" i="8" s="1"/>
  <c r="H717" i="8"/>
  <c r="I716" i="8"/>
  <c r="M716" i="8" s="1"/>
  <c r="H716" i="8"/>
  <c r="I715" i="8"/>
  <c r="M715" i="8" s="1"/>
  <c r="H715" i="8"/>
  <c r="I714" i="8"/>
  <c r="M714" i="8" s="1"/>
  <c r="H714" i="8"/>
  <c r="B710" i="8"/>
  <c r="M705" i="8"/>
  <c r="K705" i="8"/>
  <c r="I705" i="8"/>
  <c r="H705" i="8"/>
  <c r="M704" i="8"/>
  <c r="K704" i="8"/>
  <c r="I704" i="8"/>
  <c r="H704" i="8"/>
  <c r="M703" i="8"/>
  <c r="K703" i="8"/>
  <c r="I703" i="8"/>
  <c r="H703" i="8"/>
  <c r="M702" i="8"/>
  <c r="K702" i="8"/>
  <c r="I702" i="8"/>
  <c r="H702" i="8"/>
  <c r="H701" i="8"/>
  <c r="M696" i="8"/>
  <c r="M695" i="8"/>
  <c r="M694" i="8"/>
  <c r="M693" i="8"/>
  <c r="M692" i="8"/>
  <c r="M687" i="8"/>
  <c r="I687" i="8"/>
  <c r="H687" i="8"/>
  <c r="M686" i="8"/>
  <c r="I686" i="8"/>
  <c r="H686" i="8"/>
  <c r="M685" i="8"/>
  <c r="I685" i="8"/>
  <c r="H685" i="8"/>
  <c r="M684" i="8"/>
  <c r="I684" i="8"/>
  <c r="H684" i="8"/>
  <c r="H683" i="8"/>
  <c r="M678" i="8"/>
  <c r="I678" i="8"/>
  <c r="H678" i="8"/>
  <c r="M677" i="8"/>
  <c r="I677" i="8"/>
  <c r="H677" i="8"/>
  <c r="M676" i="8"/>
  <c r="I676" i="8"/>
  <c r="H676" i="8"/>
  <c r="M675" i="8"/>
  <c r="I675" i="8"/>
  <c r="H675" i="8"/>
  <c r="M674" i="8"/>
  <c r="I674" i="8"/>
  <c r="H674" i="8"/>
  <c r="I673" i="8"/>
  <c r="M673" i="8" s="1"/>
  <c r="H673" i="8"/>
  <c r="B669" i="8"/>
  <c r="M663" i="8"/>
  <c r="K663" i="8"/>
  <c r="I663" i="8"/>
  <c r="H663" i="8"/>
  <c r="M662" i="8"/>
  <c r="K662" i="8"/>
  <c r="I662" i="8"/>
  <c r="H662" i="8"/>
  <c r="M661" i="8"/>
  <c r="K661" i="8"/>
  <c r="I661" i="8"/>
  <c r="H661" i="8"/>
  <c r="M660" i="8"/>
  <c r="K660" i="8"/>
  <c r="I660" i="8"/>
  <c r="H660" i="8"/>
  <c r="L659" i="8"/>
  <c r="H659" i="8"/>
  <c r="M654" i="8"/>
  <c r="M653" i="8"/>
  <c r="M652" i="8"/>
  <c r="K650" i="8"/>
  <c r="M645" i="8"/>
  <c r="I645" i="8"/>
  <c r="H645" i="8"/>
  <c r="M644" i="8"/>
  <c r="I644" i="8"/>
  <c r="H644" i="8"/>
  <c r="M643" i="8"/>
  <c r="I643" i="8"/>
  <c r="H643" i="8"/>
  <c r="K642" i="8"/>
  <c r="I642" i="8"/>
  <c r="H642" i="8"/>
  <c r="H641" i="8"/>
  <c r="M636" i="8"/>
  <c r="I636" i="8"/>
  <c r="H636" i="8"/>
  <c r="M635" i="8"/>
  <c r="I635" i="8"/>
  <c r="H635" i="8"/>
  <c r="M634" i="8"/>
  <c r="I634" i="8"/>
  <c r="H634" i="8"/>
  <c r="I633" i="8"/>
  <c r="M633" i="8" s="1"/>
  <c r="H633" i="8"/>
  <c r="I632" i="8"/>
  <c r="M632" i="8" s="1"/>
  <c r="H632" i="8"/>
  <c r="B628" i="8"/>
  <c r="M622" i="8"/>
  <c r="K622" i="8"/>
  <c r="I622" i="8"/>
  <c r="H622" i="8"/>
  <c r="M621" i="8"/>
  <c r="K621" i="8"/>
  <c r="I621" i="8"/>
  <c r="H621" i="8"/>
  <c r="M620" i="8"/>
  <c r="K620" i="8"/>
  <c r="I620" i="8"/>
  <c r="H620" i="8"/>
  <c r="M619" i="8"/>
  <c r="K619" i="8"/>
  <c r="I619" i="8"/>
  <c r="H619" i="8"/>
  <c r="L618" i="8"/>
  <c r="H618" i="8"/>
  <c r="M613" i="8"/>
  <c r="M612" i="8"/>
  <c r="M611" i="8"/>
  <c r="K609" i="8"/>
  <c r="M604" i="8"/>
  <c r="I604" i="8"/>
  <c r="H604" i="8"/>
  <c r="M603" i="8"/>
  <c r="I603" i="8"/>
  <c r="H603" i="8"/>
  <c r="M602" i="8"/>
  <c r="I602" i="8"/>
  <c r="H602" i="8"/>
  <c r="I601" i="8"/>
  <c r="M601" i="8" s="1"/>
  <c r="H601" i="8"/>
  <c r="H600" i="8"/>
  <c r="M595" i="8"/>
  <c r="I595" i="8"/>
  <c r="H595" i="8"/>
  <c r="M594" i="8"/>
  <c r="I594" i="8"/>
  <c r="H594" i="8"/>
  <c r="M593" i="8"/>
  <c r="I593" i="8"/>
  <c r="H593" i="8"/>
  <c r="I592" i="8"/>
  <c r="M592" i="8" s="1"/>
  <c r="H592" i="8"/>
  <c r="I591" i="8"/>
  <c r="M591" i="8" s="1"/>
  <c r="H591" i="8"/>
  <c r="B587" i="8"/>
  <c r="M581" i="8"/>
  <c r="K581" i="8"/>
  <c r="I581" i="8"/>
  <c r="H581" i="8"/>
  <c r="M580" i="8"/>
  <c r="K580" i="8"/>
  <c r="I580" i="8"/>
  <c r="H580" i="8"/>
  <c r="M579" i="8"/>
  <c r="K579" i="8"/>
  <c r="I579" i="8"/>
  <c r="H579" i="8"/>
  <c r="M578" i="8"/>
  <c r="K578" i="8"/>
  <c r="I578" i="8"/>
  <c r="H578" i="8"/>
  <c r="H577" i="8"/>
  <c r="M572" i="8"/>
  <c r="M571" i="8"/>
  <c r="M570" i="8"/>
  <c r="M563" i="8"/>
  <c r="I563" i="8"/>
  <c r="H563" i="8"/>
  <c r="M562" i="8"/>
  <c r="I562" i="8"/>
  <c r="H562" i="8"/>
  <c r="M561" i="8"/>
  <c r="I561" i="8"/>
  <c r="H561" i="8"/>
  <c r="M560" i="8"/>
  <c r="I560" i="8"/>
  <c r="H560" i="8"/>
  <c r="H559" i="8"/>
  <c r="M554" i="8"/>
  <c r="I554" i="8"/>
  <c r="H554" i="8"/>
  <c r="M553" i="8"/>
  <c r="I553" i="8"/>
  <c r="H553" i="8"/>
  <c r="M552" i="8"/>
  <c r="I552" i="8"/>
  <c r="H552" i="8"/>
  <c r="I551" i="8"/>
  <c r="M551" i="8" s="1"/>
  <c r="H551" i="8"/>
  <c r="I550" i="8"/>
  <c r="M550" i="8" s="1"/>
  <c r="H550" i="8"/>
  <c r="B546" i="8"/>
  <c r="M540" i="8"/>
  <c r="K540" i="8"/>
  <c r="I540" i="8"/>
  <c r="H540" i="8"/>
  <c r="M539" i="8"/>
  <c r="K539" i="8"/>
  <c r="I539" i="8"/>
  <c r="H539" i="8"/>
  <c r="M538" i="8"/>
  <c r="K538" i="8"/>
  <c r="I538" i="8"/>
  <c r="H538" i="8"/>
  <c r="M537" i="8"/>
  <c r="K537" i="8"/>
  <c r="I537" i="8"/>
  <c r="H537" i="8"/>
  <c r="L536" i="8"/>
  <c r="H536" i="8"/>
  <c r="M531" i="8"/>
  <c r="M530" i="8"/>
  <c r="K528" i="8"/>
  <c r="M522" i="8"/>
  <c r="I522" i="8"/>
  <c r="H522" i="8"/>
  <c r="M521" i="8"/>
  <c r="I521" i="8"/>
  <c r="H521" i="8"/>
  <c r="K520" i="8"/>
  <c r="I520" i="8"/>
  <c r="M520" i="8" s="1"/>
  <c r="H520" i="8"/>
  <c r="K519" i="8"/>
  <c r="I519" i="8"/>
  <c r="H519" i="8"/>
  <c r="H518" i="8"/>
  <c r="M513" i="8"/>
  <c r="I513" i="8"/>
  <c r="H513" i="8"/>
  <c r="M512" i="8"/>
  <c r="I512" i="8"/>
  <c r="H512" i="8"/>
  <c r="M511" i="8"/>
  <c r="I511" i="8"/>
  <c r="H511" i="8"/>
  <c r="M510" i="8"/>
  <c r="I510" i="8"/>
  <c r="H510" i="8"/>
  <c r="I509" i="8"/>
  <c r="M509" i="8" s="1"/>
  <c r="H509" i="8"/>
  <c r="I508" i="8"/>
  <c r="M508" i="8" s="1"/>
  <c r="H508" i="8"/>
  <c r="I507" i="8"/>
  <c r="M507" i="8" s="1"/>
  <c r="H507" i="8"/>
  <c r="I506" i="8"/>
  <c r="M506" i="8" s="1"/>
  <c r="I529" i="8" s="1"/>
  <c r="M529" i="8" s="1"/>
  <c r="H506" i="8"/>
  <c r="B502" i="8"/>
  <c r="M496" i="8"/>
  <c r="K496" i="8"/>
  <c r="I496" i="8"/>
  <c r="H496" i="8"/>
  <c r="M495" i="8"/>
  <c r="K495" i="8"/>
  <c r="I495" i="8"/>
  <c r="H495" i="8"/>
  <c r="M494" i="8"/>
  <c r="K494" i="8"/>
  <c r="I494" i="8"/>
  <c r="H494" i="8"/>
  <c r="M493" i="8"/>
  <c r="K493" i="8"/>
  <c r="I493" i="8"/>
  <c r="H493" i="8"/>
  <c r="L492" i="8"/>
  <c r="H492" i="8"/>
  <c r="M487" i="8"/>
  <c r="M486" i="8"/>
  <c r="K484" i="8"/>
  <c r="M478" i="8"/>
  <c r="I478" i="8"/>
  <c r="H478" i="8"/>
  <c r="M477" i="8"/>
  <c r="I477" i="8"/>
  <c r="H477" i="8"/>
  <c r="K476" i="8"/>
  <c r="I476" i="8"/>
  <c r="H476" i="8"/>
  <c r="K475" i="8"/>
  <c r="I475" i="8"/>
  <c r="H475" i="8"/>
  <c r="H474" i="8"/>
  <c r="M469" i="8"/>
  <c r="I469" i="8"/>
  <c r="H469" i="8"/>
  <c r="M468" i="8"/>
  <c r="I468" i="8"/>
  <c r="H468" i="8"/>
  <c r="M467" i="8"/>
  <c r="I467" i="8"/>
  <c r="H467" i="8"/>
  <c r="I466" i="8"/>
  <c r="M466" i="8" s="1"/>
  <c r="H466" i="8"/>
  <c r="I465" i="8"/>
  <c r="M465" i="8" s="1"/>
  <c r="H465" i="8"/>
  <c r="I464" i="8"/>
  <c r="M464" i="8" s="1"/>
  <c r="H464" i="8"/>
  <c r="I463" i="8"/>
  <c r="M463" i="8" s="1"/>
  <c r="H463" i="8"/>
  <c r="I462" i="8"/>
  <c r="M462" i="8" s="1"/>
  <c r="H462" i="8"/>
  <c r="B458" i="8"/>
  <c r="M452" i="8"/>
  <c r="K452" i="8"/>
  <c r="I452" i="8"/>
  <c r="H452" i="8"/>
  <c r="M451" i="8"/>
  <c r="K451" i="8"/>
  <c r="I451" i="8"/>
  <c r="H451" i="8"/>
  <c r="M450" i="8"/>
  <c r="K450" i="8"/>
  <c r="I450" i="8"/>
  <c r="H450" i="8"/>
  <c r="M449" i="8"/>
  <c r="K449" i="8"/>
  <c r="I449" i="8"/>
  <c r="H449" i="8"/>
  <c r="L448" i="8"/>
  <c r="H448" i="8"/>
  <c r="M443" i="8"/>
  <c r="M442" i="8"/>
  <c r="K440" i="8"/>
  <c r="M434" i="8"/>
  <c r="I434" i="8"/>
  <c r="H434" i="8"/>
  <c r="M433" i="8"/>
  <c r="I433" i="8"/>
  <c r="H433" i="8"/>
  <c r="M432" i="8"/>
  <c r="I432" i="8"/>
  <c r="H432" i="8"/>
  <c r="K431" i="8"/>
  <c r="I431" i="8"/>
  <c r="H431" i="8"/>
  <c r="H430" i="8"/>
  <c r="M425" i="8"/>
  <c r="I425" i="8"/>
  <c r="H425" i="8"/>
  <c r="I424" i="8"/>
  <c r="M424" i="8" s="1"/>
  <c r="H424" i="8"/>
  <c r="I423" i="8"/>
  <c r="M423" i="8" s="1"/>
  <c r="H423" i="8"/>
  <c r="I422" i="8"/>
  <c r="M422" i="8" s="1"/>
  <c r="H422" i="8"/>
  <c r="I421" i="8"/>
  <c r="M421" i="8" s="1"/>
  <c r="I441" i="8" s="1"/>
  <c r="M441" i="8" s="1"/>
  <c r="H421" i="8"/>
  <c r="B417" i="8"/>
  <c r="M411" i="8"/>
  <c r="K411" i="8"/>
  <c r="I411" i="8"/>
  <c r="H411" i="8"/>
  <c r="M410" i="8"/>
  <c r="K410" i="8"/>
  <c r="I410" i="8"/>
  <c r="H410" i="8"/>
  <c r="M409" i="8"/>
  <c r="K409" i="8"/>
  <c r="I409" i="8"/>
  <c r="H409" i="8"/>
  <c r="M408" i="8"/>
  <c r="K408" i="8"/>
  <c r="I408" i="8"/>
  <c r="H408" i="8"/>
  <c r="H407" i="8"/>
  <c r="M402" i="8"/>
  <c r="M401" i="8"/>
  <c r="M400" i="8"/>
  <c r="M399" i="8"/>
  <c r="M393" i="8"/>
  <c r="I393" i="8"/>
  <c r="H393" i="8"/>
  <c r="M392" i="8"/>
  <c r="I392" i="8"/>
  <c r="H392" i="8"/>
  <c r="M391" i="8"/>
  <c r="I391" i="8"/>
  <c r="H391" i="8"/>
  <c r="I390" i="8"/>
  <c r="M390" i="8" s="1"/>
  <c r="H390" i="8"/>
  <c r="H389" i="8"/>
  <c r="M384" i="8"/>
  <c r="I384" i="8"/>
  <c r="H384" i="8"/>
  <c r="M383" i="8"/>
  <c r="I383" i="8"/>
  <c r="H383" i="8"/>
  <c r="M382" i="8"/>
  <c r="I382" i="8"/>
  <c r="H382" i="8"/>
  <c r="M381" i="8"/>
  <c r="I381" i="8"/>
  <c r="H381" i="8"/>
  <c r="M380" i="8"/>
  <c r="I380" i="8"/>
  <c r="H380" i="8"/>
  <c r="B376" i="8"/>
  <c r="M370" i="8"/>
  <c r="K370" i="8"/>
  <c r="I370" i="8"/>
  <c r="H370" i="8"/>
  <c r="M369" i="8"/>
  <c r="K369" i="8"/>
  <c r="I369" i="8"/>
  <c r="H369" i="8"/>
  <c r="M368" i="8"/>
  <c r="K368" i="8"/>
  <c r="I368" i="8"/>
  <c r="H368" i="8"/>
  <c r="M367" i="8"/>
  <c r="K367" i="8"/>
  <c r="I367" i="8"/>
  <c r="H367" i="8"/>
  <c r="L366" i="8"/>
  <c r="H366" i="8"/>
  <c r="M361" i="8"/>
  <c r="M360" i="8"/>
  <c r="M359" i="8"/>
  <c r="M352" i="8"/>
  <c r="I352" i="8"/>
  <c r="H352" i="8"/>
  <c r="M351" i="8"/>
  <c r="I351" i="8"/>
  <c r="H351" i="8"/>
  <c r="M350" i="8"/>
  <c r="I350" i="8"/>
  <c r="H350" i="8"/>
  <c r="M349" i="8"/>
  <c r="I349" i="8"/>
  <c r="H349" i="8"/>
  <c r="H348" i="8"/>
  <c r="M343" i="8"/>
  <c r="I343" i="8"/>
  <c r="H343" i="8"/>
  <c r="M342" i="8"/>
  <c r="I342" i="8"/>
  <c r="H342" i="8"/>
  <c r="M341" i="8"/>
  <c r="I341" i="8"/>
  <c r="H341" i="8"/>
  <c r="I340" i="8"/>
  <c r="M340" i="8" s="1"/>
  <c r="H340" i="8"/>
  <c r="I339" i="8"/>
  <c r="M339" i="8" s="1"/>
  <c r="H339" i="8"/>
  <c r="I338" i="8"/>
  <c r="M338" i="8" s="1"/>
  <c r="H338" i="8"/>
  <c r="B334" i="8"/>
  <c r="M328" i="8"/>
  <c r="K328" i="8"/>
  <c r="I328" i="8"/>
  <c r="H328" i="8"/>
  <c r="M327" i="8"/>
  <c r="K327" i="8"/>
  <c r="I327" i="8"/>
  <c r="H327" i="8"/>
  <c r="M326" i="8"/>
  <c r="K326" i="8"/>
  <c r="I326" i="8"/>
  <c r="H326" i="8"/>
  <c r="M325" i="8"/>
  <c r="K325" i="8"/>
  <c r="I325" i="8"/>
  <c r="H325" i="8"/>
  <c r="L324" i="8"/>
  <c r="H324" i="8"/>
  <c r="M319" i="8"/>
  <c r="M318" i="8"/>
  <c r="M317" i="8"/>
  <c r="M310" i="8"/>
  <c r="I310" i="8"/>
  <c r="H310" i="8"/>
  <c r="M309" i="8"/>
  <c r="I309" i="8"/>
  <c r="H309" i="8"/>
  <c r="M308" i="8"/>
  <c r="I308" i="8"/>
  <c r="H308" i="8"/>
  <c r="M307" i="8"/>
  <c r="I307" i="8"/>
  <c r="H307" i="8"/>
  <c r="H306" i="8"/>
  <c r="M301" i="8"/>
  <c r="I301" i="8"/>
  <c r="H301" i="8"/>
  <c r="M300" i="8"/>
  <c r="I300" i="8"/>
  <c r="H300" i="8"/>
  <c r="M299" i="8"/>
  <c r="I299" i="8"/>
  <c r="H299" i="8"/>
  <c r="I298" i="8"/>
  <c r="M298" i="8" s="1"/>
  <c r="H298" i="8"/>
  <c r="I297" i="8"/>
  <c r="M297" i="8" s="1"/>
  <c r="H297" i="8"/>
  <c r="I296" i="8"/>
  <c r="M296" i="8" s="1"/>
  <c r="H296" i="8"/>
  <c r="B292" i="8"/>
  <c r="M286" i="8"/>
  <c r="K286" i="8"/>
  <c r="I286" i="8"/>
  <c r="H286" i="8"/>
  <c r="M285" i="8"/>
  <c r="K285" i="8"/>
  <c r="I285" i="8"/>
  <c r="H285" i="8"/>
  <c r="M284" i="8"/>
  <c r="K284" i="8"/>
  <c r="I284" i="8"/>
  <c r="H284" i="8"/>
  <c r="M283" i="8"/>
  <c r="K283" i="8"/>
  <c r="I283" i="8"/>
  <c r="H283" i="8"/>
  <c r="H282" i="8"/>
  <c r="M277" i="8"/>
  <c r="M276" i="8"/>
  <c r="M275" i="8"/>
  <c r="M273" i="8"/>
  <c r="M268" i="8"/>
  <c r="I268" i="8"/>
  <c r="H268" i="8"/>
  <c r="M267" i="8"/>
  <c r="I267" i="8"/>
  <c r="H267" i="8"/>
  <c r="M266" i="8"/>
  <c r="I266" i="8"/>
  <c r="H266" i="8"/>
  <c r="I265" i="8"/>
  <c r="M265" i="8" s="1"/>
  <c r="H265" i="8"/>
  <c r="H264" i="8"/>
  <c r="M259" i="8"/>
  <c r="I259" i="8"/>
  <c r="H259" i="8"/>
  <c r="M258" i="8"/>
  <c r="I258" i="8"/>
  <c r="H258" i="8"/>
  <c r="M257" i="8"/>
  <c r="I257" i="8"/>
  <c r="H257" i="8"/>
  <c r="M256" i="8"/>
  <c r="I256" i="8"/>
  <c r="H256" i="8"/>
  <c r="M255" i="8"/>
  <c r="I255" i="8"/>
  <c r="H255" i="8"/>
  <c r="B251" i="8"/>
  <c r="M245" i="8"/>
  <c r="K245" i="8"/>
  <c r="I245" i="8"/>
  <c r="H245" i="8"/>
  <c r="M244" i="8"/>
  <c r="K244" i="8"/>
  <c r="I244" i="8"/>
  <c r="H244" i="8"/>
  <c r="M243" i="8"/>
  <c r="K243" i="8"/>
  <c r="I243" i="8"/>
  <c r="H243" i="8"/>
  <c r="M242" i="8"/>
  <c r="K242" i="8"/>
  <c r="I242" i="8"/>
  <c r="H242" i="8"/>
  <c r="H241" i="8"/>
  <c r="M236" i="8"/>
  <c r="M235" i="8"/>
  <c r="M234" i="8"/>
  <c r="M233" i="8"/>
  <c r="M227" i="8"/>
  <c r="I227" i="8"/>
  <c r="H227" i="8"/>
  <c r="M226" i="8"/>
  <c r="I226" i="8"/>
  <c r="H226" i="8"/>
  <c r="K225" i="8"/>
  <c r="I225" i="8"/>
  <c r="H225" i="8"/>
  <c r="K224" i="8"/>
  <c r="I224" i="8"/>
  <c r="H224" i="8"/>
  <c r="H223" i="8"/>
  <c r="M218" i="8"/>
  <c r="I218" i="8"/>
  <c r="H218" i="8"/>
  <c r="M217" i="8"/>
  <c r="I217" i="8"/>
  <c r="H217" i="8"/>
  <c r="M216" i="8"/>
  <c r="I216" i="8"/>
  <c r="H216" i="8"/>
  <c r="M215" i="8"/>
  <c r="I215" i="8"/>
  <c r="H215" i="8"/>
  <c r="M214" i="8"/>
  <c r="I214" i="8"/>
  <c r="H214" i="8"/>
  <c r="B210" i="8"/>
  <c r="M204" i="8"/>
  <c r="K204" i="8"/>
  <c r="I204" i="8"/>
  <c r="H204" i="8"/>
  <c r="M203" i="8"/>
  <c r="K203" i="8"/>
  <c r="I203" i="8"/>
  <c r="H203" i="8"/>
  <c r="M202" i="8"/>
  <c r="K202" i="8"/>
  <c r="I202" i="8"/>
  <c r="H202" i="8"/>
  <c r="M201" i="8"/>
  <c r="K201" i="8"/>
  <c r="I201" i="8"/>
  <c r="H201" i="8"/>
  <c r="H200" i="8"/>
  <c r="M195" i="8"/>
  <c r="M194" i="8"/>
  <c r="M193" i="8"/>
  <c r="M192" i="8"/>
  <c r="M186" i="8"/>
  <c r="I186" i="8"/>
  <c r="H186" i="8"/>
  <c r="M185" i="8"/>
  <c r="I185" i="8"/>
  <c r="H185" i="8"/>
  <c r="M184" i="8"/>
  <c r="I184" i="8"/>
  <c r="H184" i="8"/>
  <c r="I183" i="8"/>
  <c r="M183" i="8" s="1"/>
  <c r="H183" i="8"/>
  <c r="H182" i="8"/>
  <c r="M177" i="8"/>
  <c r="I177" i="8"/>
  <c r="H177" i="8"/>
  <c r="M176" i="8"/>
  <c r="I176" i="8"/>
  <c r="H176" i="8"/>
  <c r="M175" i="8"/>
  <c r="I175" i="8"/>
  <c r="H175" i="8"/>
  <c r="M174" i="8"/>
  <c r="I174" i="8"/>
  <c r="H174" i="8"/>
  <c r="M173" i="8"/>
  <c r="I173" i="8"/>
  <c r="H173" i="8"/>
  <c r="B169" i="8"/>
  <c r="M163" i="8"/>
  <c r="K163" i="8"/>
  <c r="I163" i="8"/>
  <c r="H163" i="8"/>
  <c r="M162" i="8"/>
  <c r="K162" i="8"/>
  <c r="I162" i="8"/>
  <c r="H162" i="8"/>
  <c r="M161" i="8"/>
  <c r="K161" i="8"/>
  <c r="I161" i="8"/>
  <c r="H161" i="8"/>
  <c r="M160" i="8"/>
  <c r="K160" i="8"/>
  <c r="I160" i="8"/>
  <c r="H160" i="8"/>
  <c r="H159" i="8"/>
  <c r="M154" i="8"/>
  <c r="M153" i="8"/>
  <c r="M152" i="8"/>
  <c r="M151" i="8"/>
  <c r="M145" i="8"/>
  <c r="I145" i="8"/>
  <c r="H145" i="8"/>
  <c r="M144" i="8"/>
  <c r="I144" i="8"/>
  <c r="H144" i="8"/>
  <c r="M143" i="8"/>
  <c r="I143" i="8"/>
  <c r="H143" i="8"/>
  <c r="M142" i="8"/>
  <c r="I142" i="8"/>
  <c r="H142" i="8"/>
  <c r="H141" i="8"/>
  <c r="M136" i="8"/>
  <c r="I136" i="8"/>
  <c r="H136" i="8"/>
  <c r="M135" i="8"/>
  <c r="I135" i="8"/>
  <c r="H135" i="8"/>
  <c r="M134" i="8"/>
  <c r="I134" i="8"/>
  <c r="H134" i="8"/>
  <c r="M133" i="8"/>
  <c r="I133" i="8"/>
  <c r="H133" i="8"/>
  <c r="M132" i="8"/>
  <c r="I132" i="8"/>
  <c r="H132" i="8"/>
  <c r="M131" i="8"/>
  <c r="I131" i="8"/>
  <c r="H131" i="8"/>
  <c r="B127" i="8"/>
  <c r="M121" i="8"/>
  <c r="K121" i="8"/>
  <c r="I121" i="8"/>
  <c r="H121" i="8"/>
  <c r="M120" i="8"/>
  <c r="K120" i="8"/>
  <c r="I120" i="8"/>
  <c r="H120" i="8"/>
  <c r="M119" i="8"/>
  <c r="K119" i="8"/>
  <c r="H119" i="8"/>
  <c r="M118" i="8"/>
  <c r="K118" i="8"/>
  <c r="I118" i="8"/>
  <c r="H118" i="8"/>
  <c r="L117" i="8"/>
  <c r="H117" i="8"/>
  <c r="M112" i="8"/>
  <c r="M111" i="8"/>
  <c r="M110" i="8"/>
  <c r="M109" i="8"/>
  <c r="M103" i="8"/>
  <c r="I103" i="8"/>
  <c r="H103" i="8"/>
  <c r="M102" i="8"/>
  <c r="I102" i="8"/>
  <c r="H102" i="8"/>
  <c r="M101" i="8"/>
  <c r="I101" i="8"/>
  <c r="H101" i="8"/>
  <c r="M100" i="8"/>
  <c r="I100" i="8"/>
  <c r="H100" i="8"/>
  <c r="H99" i="8"/>
  <c r="M94" i="8"/>
  <c r="I94" i="8"/>
  <c r="H94" i="8"/>
  <c r="M93" i="8"/>
  <c r="I93" i="8"/>
  <c r="H93" i="8"/>
  <c r="M92" i="8"/>
  <c r="I92" i="8"/>
  <c r="H92" i="8"/>
  <c r="M91" i="8"/>
  <c r="I91" i="8"/>
  <c r="H91" i="8"/>
  <c r="M90" i="8"/>
  <c r="I90" i="8"/>
  <c r="H90" i="8"/>
  <c r="B86" i="8"/>
  <c r="M80" i="8"/>
  <c r="K80" i="8"/>
  <c r="I80" i="8"/>
  <c r="H80" i="8"/>
  <c r="M79" i="8"/>
  <c r="K79" i="8"/>
  <c r="I79" i="8"/>
  <c r="H79" i="8"/>
  <c r="M78" i="8"/>
  <c r="K78" i="8"/>
  <c r="I78" i="8"/>
  <c r="H78" i="8"/>
  <c r="M77" i="8"/>
  <c r="K77" i="8"/>
  <c r="I77" i="8"/>
  <c r="H77" i="8"/>
  <c r="H76" i="8"/>
  <c r="M71" i="8"/>
  <c r="M70" i="8"/>
  <c r="M69" i="8"/>
  <c r="M68" i="8"/>
  <c r="M62" i="8"/>
  <c r="I62" i="8"/>
  <c r="H62" i="8"/>
  <c r="M61" i="8"/>
  <c r="I61" i="8"/>
  <c r="H61" i="8"/>
  <c r="M60" i="8"/>
  <c r="I60" i="8"/>
  <c r="H60" i="8"/>
  <c r="I59" i="8"/>
  <c r="M59" i="8" s="1"/>
  <c r="H59" i="8"/>
  <c r="H58" i="8"/>
  <c r="M53" i="8"/>
  <c r="I53" i="8"/>
  <c r="H53" i="8"/>
  <c r="I52" i="8"/>
  <c r="M52" i="8" s="1"/>
  <c r="H52" i="8"/>
  <c r="I51" i="8"/>
  <c r="M51" i="8" s="1"/>
  <c r="H51" i="8"/>
  <c r="I50" i="8"/>
  <c r="M50" i="8" s="1"/>
  <c r="H50" i="8"/>
  <c r="I49" i="8"/>
  <c r="M49" i="8" s="1"/>
  <c r="H49" i="8"/>
  <c r="B45" i="8"/>
  <c r="M39" i="8"/>
  <c r="K39" i="8"/>
  <c r="I39" i="8"/>
  <c r="H39" i="8"/>
  <c r="M38" i="8"/>
  <c r="K38" i="8"/>
  <c r="I38" i="8"/>
  <c r="H38" i="8"/>
  <c r="M37" i="8"/>
  <c r="K37" i="8"/>
  <c r="I37" i="8"/>
  <c r="H37" i="8"/>
  <c r="M36" i="8"/>
  <c r="K36" i="8"/>
  <c r="I36" i="8"/>
  <c r="H36" i="8"/>
  <c r="H35" i="8"/>
  <c r="M30" i="8"/>
  <c r="M29" i="8"/>
  <c r="M28" i="8"/>
  <c r="M27" i="8"/>
  <c r="M21" i="8"/>
  <c r="I21" i="8"/>
  <c r="H21" i="8"/>
  <c r="M20" i="8"/>
  <c r="I20" i="8"/>
  <c r="H20" i="8"/>
  <c r="M19" i="8"/>
  <c r="I19" i="8"/>
  <c r="H19" i="8"/>
  <c r="I18" i="8"/>
  <c r="M18" i="8" s="1"/>
  <c r="H18" i="8"/>
  <c r="H17" i="8"/>
  <c r="M12" i="8"/>
  <c r="I12" i="8"/>
  <c r="H12" i="8"/>
  <c r="I11" i="8"/>
  <c r="M11" i="8" s="1"/>
  <c r="H11" i="8"/>
  <c r="I10" i="8"/>
  <c r="M10" i="8" s="1"/>
  <c r="H10" i="8"/>
  <c r="I9" i="8"/>
  <c r="M9" i="8" s="1"/>
  <c r="H9" i="8"/>
  <c r="I8" i="8"/>
  <c r="M8" i="8" s="1"/>
  <c r="H8" i="8"/>
  <c r="B4" i="8"/>
  <c r="J333" i="2"/>
  <c r="J330" i="2"/>
  <c r="J329" i="2"/>
  <c r="J328" i="2"/>
  <c r="J326" i="2"/>
  <c r="J325" i="2"/>
  <c r="J322" i="2"/>
  <c r="J321" i="2"/>
  <c r="J320" i="2"/>
  <c r="J318" i="2"/>
  <c r="J317" i="2"/>
  <c r="J316" i="2"/>
  <c r="J314" i="2"/>
  <c r="J285" i="2"/>
  <c r="J284" i="2"/>
  <c r="J282" i="2"/>
  <c r="J68" i="2"/>
  <c r="J54" i="2"/>
  <c r="J53" i="2"/>
  <c r="J48" i="2"/>
  <c r="J47" i="2"/>
  <c r="J44" i="2"/>
  <c r="J39" i="2"/>
  <c r="J56" i="2" s="1"/>
  <c r="J34" i="2"/>
  <c r="J30" i="2"/>
  <c r="J28" i="2"/>
  <c r="J24" i="2"/>
  <c r="M2" i="2"/>
  <c r="A1" i="2"/>
  <c r="M10" i="1"/>
  <c r="M5735" i="8" l="1"/>
  <c r="I824" i="8"/>
  <c r="M824" i="8" s="1"/>
  <c r="M829" i="8" s="1"/>
  <c r="L801" i="8" s="1"/>
  <c r="L13" i="46"/>
  <c r="N20" i="46" s="1"/>
  <c r="N22" i="46" s="1"/>
  <c r="I485" i="8"/>
  <c r="M485" i="8" s="1"/>
  <c r="K8315" i="8"/>
  <c r="M7757" i="8"/>
  <c r="M9503" i="8"/>
  <c r="M9506" i="8"/>
  <c r="M9512" i="8"/>
  <c r="M9508" i="8"/>
  <c r="K9553" i="8"/>
  <c r="M9553" i="8" s="1"/>
  <c r="M9560" i="8"/>
  <c r="M9859" i="8"/>
  <c r="M7982" i="8"/>
  <c r="H11744" i="8"/>
  <c r="I13700" i="8"/>
  <c r="M13700" i="8" s="1"/>
  <c r="M13830" i="8"/>
  <c r="J13820" i="8" s="1"/>
  <c r="I11735" i="8"/>
  <c r="M11735" i="8" s="1"/>
  <c r="K9852" i="8"/>
  <c r="K9497" i="8"/>
  <c r="M476" i="8"/>
  <c r="M5445" i="8"/>
  <c r="L5415" i="8" s="1"/>
  <c r="I11742" i="8"/>
  <c r="M11742" i="8" s="1"/>
  <c r="H11747" i="8"/>
  <c r="M6325" i="8"/>
  <c r="L6295" i="8" s="1"/>
  <c r="M9420" i="8"/>
  <c r="L9390" i="8" s="1"/>
  <c r="M9879" i="8"/>
  <c r="L9845" i="8" s="1"/>
  <c r="M11130" i="8"/>
  <c r="L11102" i="8" s="1"/>
  <c r="P444" i="10"/>
  <c r="P447" i="10"/>
  <c r="P450" i="10"/>
  <c r="M6369" i="8"/>
  <c r="L6339" i="8" s="1"/>
  <c r="M7067" i="8"/>
  <c r="I7703" i="8"/>
  <c r="M7703" i="8" s="1"/>
  <c r="M7711" i="8" s="1"/>
  <c r="I7724" i="8" s="1"/>
  <c r="M7724" i="8" s="1"/>
  <c r="M7786" i="8"/>
  <c r="L7742" i="8" s="1"/>
  <c r="M9456" i="8"/>
  <c r="M10661" i="8"/>
  <c r="L10633" i="8" s="1"/>
  <c r="H11737" i="8"/>
  <c r="M13451" i="8"/>
  <c r="L13415" i="8" s="1"/>
  <c r="K121" i="7" s="1"/>
  <c r="K7979" i="8"/>
  <c r="M7979" i="8" s="1"/>
  <c r="M4622" i="8"/>
  <c r="L4595" i="8" s="1"/>
  <c r="M3349" i="8"/>
  <c r="L3321" i="8" s="1"/>
  <c r="M4663" i="8"/>
  <c r="L4636" i="8" s="1"/>
  <c r="M6750" i="8"/>
  <c r="K9440" i="8"/>
  <c r="K9496" i="8"/>
  <c r="M9559" i="8"/>
  <c r="M12286" i="8"/>
  <c r="L12248" i="8" s="1"/>
  <c r="M12390" i="8"/>
  <c r="L12352" i="8" s="1"/>
  <c r="I12148" i="8"/>
  <c r="M12148" i="8" s="1"/>
  <c r="M12164" i="8" s="1"/>
  <c r="H12144" i="8" s="1"/>
  <c r="M13051" i="8"/>
  <c r="L13015" i="8" s="1"/>
  <c r="N8" i="11"/>
  <c r="L8" i="11" s="1"/>
  <c r="M2677" i="8"/>
  <c r="L2649" i="8" s="1"/>
  <c r="M7368" i="8"/>
  <c r="M7672" i="8"/>
  <c r="M7983" i="8"/>
  <c r="M10020" i="8"/>
  <c r="M10028" i="8"/>
  <c r="M10202" i="8"/>
  <c r="M10343" i="8"/>
  <c r="M13501" i="8"/>
  <c r="L13465" i="8" s="1"/>
  <c r="I13782" i="8"/>
  <c r="M13782" i="8" s="1"/>
  <c r="M13788" i="8" s="1"/>
  <c r="J13778" i="8" s="1"/>
  <c r="J267" i="2"/>
  <c r="J76" i="2"/>
  <c r="J92" i="2"/>
  <c r="J103" i="2" s="1"/>
  <c r="J108" i="2"/>
  <c r="J69" i="2"/>
  <c r="J78" i="2"/>
  <c r="J101" i="2"/>
  <c r="J110" i="2"/>
  <c r="J75" i="2"/>
  <c r="J82" i="2"/>
  <c r="J111" i="2"/>
  <c r="J85" i="2"/>
  <c r="J61" i="2"/>
  <c r="J106" i="2"/>
  <c r="J65" i="2"/>
  <c r="J8" i="2"/>
  <c r="J23" i="2"/>
  <c r="J33" i="2"/>
  <c r="J10" i="2"/>
  <c r="J21" i="2" s="1"/>
  <c r="J25" i="2"/>
  <c r="J12" i="2"/>
  <c r="J26" i="2"/>
  <c r="J14" i="2"/>
  <c r="J27" i="2"/>
  <c r="J15" i="2"/>
  <c r="J16" i="2"/>
  <c r="J29" i="2"/>
  <c r="J31" i="2"/>
  <c r="J18" i="2"/>
  <c r="M431" i="8"/>
  <c r="M9620" i="8"/>
  <c r="H9602" i="8" s="1"/>
  <c r="M9870" i="8"/>
  <c r="J9845" i="8" s="1"/>
  <c r="M7673" i="8"/>
  <c r="M11658" i="8"/>
  <c r="J11630" i="8" s="1"/>
  <c r="J101" i="7" s="1"/>
  <c r="I260" i="2"/>
  <c r="I256" i="2"/>
  <c r="I252" i="2"/>
  <c r="I247" i="2"/>
  <c r="I242" i="2"/>
  <c r="I241" i="2"/>
  <c r="I259" i="2"/>
  <c r="I255" i="2"/>
  <c r="I251" i="2"/>
  <c r="I236" i="2"/>
  <c r="I243" i="2"/>
  <c r="I233" i="2"/>
  <c r="I245" i="2"/>
  <c r="I258" i="2"/>
  <c r="I254" i="2"/>
  <c r="I249" i="2"/>
  <c r="I244" i="2"/>
  <c r="I240" i="2"/>
  <c r="I234" i="2"/>
  <c r="I230" i="2"/>
  <c r="I253" i="2"/>
  <c r="I239" i="2"/>
  <c r="I228" i="2"/>
  <c r="I232" i="2"/>
  <c r="I231" i="2"/>
  <c r="I248" i="2"/>
  <c r="I237" i="2"/>
  <c r="I257" i="2"/>
  <c r="I211" i="2"/>
  <c r="I181" i="2"/>
  <c r="I163" i="2"/>
  <c r="I183" i="2"/>
  <c r="I179" i="2"/>
  <c r="I175" i="2"/>
  <c r="I169" i="2"/>
  <c r="I165" i="2"/>
  <c r="I160" i="2"/>
  <c r="I155" i="2"/>
  <c r="I172" i="2"/>
  <c r="I177" i="2"/>
  <c r="I157" i="2"/>
  <c r="I182" i="2"/>
  <c r="I178" i="2"/>
  <c r="I173" i="2"/>
  <c r="I168" i="2"/>
  <c r="I164" i="2"/>
  <c r="I158" i="2"/>
  <c r="I153" i="2"/>
  <c r="I185" i="2"/>
  <c r="I167" i="2"/>
  <c r="I184" i="2"/>
  <c r="I180" i="2"/>
  <c r="I176" i="2"/>
  <c r="I171" i="2"/>
  <c r="I166" i="2"/>
  <c r="I161" i="2"/>
  <c r="I156" i="2"/>
  <c r="I135" i="2"/>
  <c r="I205" i="2"/>
  <c r="I196" i="2"/>
  <c r="I221" i="2"/>
  <c r="I217" i="2"/>
  <c r="I212" i="2"/>
  <c r="I202" i="2"/>
  <c r="I193" i="2"/>
  <c r="I223" i="2"/>
  <c r="I215" i="2"/>
  <c r="I207" i="2"/>
  <c r="I199" i="2"/>
  <c r="I219" i="2"/>
  <c r="I206" i="2"/>
  <c r="I208" i="2"/>
  <c r="I222" i="2"/>
  <c r="I204" i="2"/>
  <c r="I195" i="2"/>
  <c r="I198" i="2"/>
  <c r="I220" i="2"/>
  <c r="I214" i="2"/>
  <c r="I210" i="2"/>
  <c r="I201" i="2"/>
  <c r="I192" i="2"/>
  <c r="I218" i="2"/>
  <c r="I203" i="2"/>
  <c r="I194" i="2"/>
  <c r="I216" i="2"/>
  <c r="I190" i="2"/>
  <c r="M9701" i="8"/>
  <c r="J9683" i="8" s="1"/>
  <c r="M9953" i="8"/>
  <c r="H9935" i="8" s="1"/>
  <c r="M224" i="8"/>
  <c r="M8517" i="8"/>
  <c r="M11811" i="8"/>
  <c r="J11783" i="8" s="1"/>
  <c r="J102" i="7" s="1"/>
  <c r="M9782" i="8"/>
  <c r="J9764" i="8" s="1"/>
  <c r="M10736" i="8"/>
  <c r="H10717" i="8" s="1"/>
  <c r="I93" i="7" s="1"/>
  <c r="M4782" i="8"/>
  <c r="J4761" i="8" s="1"/>
  <c r="I9322" i="8"/>
  <c r="M9322" i="8" s="1"/>
  <c r="M5094" i="8"/>
  <c r="I269" i="2"/>
  <c r="I295" i="2"/>
  <c r="I296" i="2"/>
  <c r="I294" i="2"/>
  <c r="I305" i="2"/>
  <c r="I298" i="2"/>
  <c r="I302" i="2"/>
  <c r="I300" i="2"/>
  <c r="I292" i="2"/>
  <c r="I299" i="2"/>
  <c r="I303" i="2"/>
  <c r="I307" i="2"/>
  <c r="M6812" i="8"/>
  <c r="M6707" i="8"/>
  <c r="I6722" i="8" s="1"/>
  <c r="M6722" i="8" s="1"/>
  <c r="M2593" i="8"/>
  <c r="L2565" i="8" s="1"/>
  <c r="M4540" i="8"/>
  <c r="L4510" i="8" s="1"/>
  <c r="M6105" i="8"/>
  <c r="L6075" i="8" s="1"/>
  <c r="M6281" i="8"/>
  <c r="L6251" i="8" s="1"/>
  <c r="M6949" i="8"/>
  <c r="L6919" i="8" s="1"/>
  <c r="M7777" i="8"/>
  <c r="H7742" i="8" s="1"/>
  <c r="I76" i="7" s="1"/>
  <c r="M10652" i="8"/>
  <c r="H10633" i="8" s="1"/>
  <c r="M11819" i="8"/>
  <c r="L11783" i="8" s="1"/>
  <c r="M3181" i="8"/>
  <c r="L3153" i="8" s="1"/>
  <c r="M4496" i="8"/>
  <c r="L4466" i="8" s="1"/>
  <c r="M5885" i="8"/>
  <c r="L5855" i="8" s="1"/>
  <c r="M9447" i="8"/>
  <c r="M9450" i="8"/>
  <c r="M9562" i="8"/>
  <c r="M9568" i="8"/>
  <c r="M9831" i="8"/>
  <c r="L9805" i="8" s="1"/>
  <c r="K10421" i="8"/>
  <c r="M889" i="8"/>
  <c r="M895" i="8" s="1"/>
  <c r="J885" i="8" s="1"/>
  <c r="M1113" i="8"/>
  <c r="M1782" i="8"/>
  <c r="M5533" i="8"/>
  <c r="L5503" i="8" s="1"/>
  <c r="M7424" i="8"/>
  <c r="H7394" i="8" s="1"/>
  <c r="I71" i="7" s="1"/>
  <c r="M7978" i="8"/>
  <c r="M8445" i="8"/>
  <c r="L8396" i="8" s="1"/>
  <c r="M9454" i="8"/>
  <c r="M9510" i="8"/>
  <c r="M10026" i="8"/>
  <c r="M10246" i="8"/>
  <c r="M10250" i="8" s="1"/>
  <c r="J10238" i="8" s="1"/>
  <c r="M10937" i="8"/>
  <c r="M11512" i="8"/>
  <c r="L11474" i="8" s="1"/>
  <c r="M475" i="8"/>
  <c r="M519" i="8"/>
  <c r="M3265" i="8"/>
  <c r="L3237" i="8" s="1"/>
  <c r="M4309" i="8"/>
  <c r="M5055" i="8"/>
  <c r="L5025" i="8" s="1"/>
  <c r="M5357" i="8"/>
  <c r="L5327" i="8" s="1"/>
  <c r="M6096" i="8"/>
  <c r="J6075" i="8" s="1"/>
  <c r="M8342" i="8"/>
  <c r="L8311" i="8" s="1"/>
  <c r="M9504" i="8"/>
  <c r="M9566" i="8"/>
  <c r="M10204" i="8"/>
  <c r="M10934" i="8"/>
  <c r="M9448" i="8"/>
  <c r="M10024" i="8"/>
  <c r="M11769" i="8"/>
  <c r="L11731" i="8" s="1"/>
  <c r="M5401" i="8"/>
  <c r="L5371" i="8" s="1"/>
  <c r="M6802" i="8"/>
  <c r="M13251" i="8"/>
  <c r="L13215" i="8" s="1"/>
  <c r="M1711" i="8"/>
  <c r="L1683" i="8" s="1"/>
  <c r="M3013" i="8"/>
  <c r="L2985" i="8" s="1"/>
  <c r="M4408" i="8"/>
  <c r="L4378" i="8" s="1"/>
  <c r="M5313" i="8"/>
  <c r="L5285" i="8" s="1"/>
  <c r="M5832" i="8"/>
  <c r="M7285" i="8"/>
  <c r="J7266" i="8" s="1"/>
  <c r="M7294" i="8"/>
  <c r="L7266" i="8" s="1"/>
  <c r="M7761" i="8"/>
  <c r="M9564" i="8"/>
  <c r="M9567" i="8"/>
  <c r="M10022" i="8"/>
  <c r="M10030" i="8"/>
  <c r="M10299" i="8"/>
  <c r="K10420" i="8"/>
  <c r="M10703" i="8"/>
  <c r="L10675" i="8" s="1"/>
  <c r="M11666" i="8"/>
  <c r="H11738" i="8"/>
  <c r="H11837" i="8"/>
  <c r="M225" i="8"/>
  <c r="M642" i="8"/>
  <c r="M697" i="8"/>
  <c r="L669" i="8" s="1"/>
  <c r="M1585" i="8"/>
  <c r="L1557" i="8" s="1"/>
  <c r="M1627" i="8"/>
  <c r="L1599" i="8" s="1"/>
  <c r="M2383" i="8"/>
  <c r="L2355" i="8" s="1"/>
  <c r="M3097" i="8"/>
  <c r="L3069" i="8" s="1"/>
  <c r="M3433" i="8"/>
  <c r="L3405" i="8" s="1"/>
  <c r="M4320" i="8"/>
  <c r="L4290" i="8" s="1"/>
  <c r="M4364" i="8"/>
  <c r="L4334" i="8" s="1"/>
  <c r="M4452" i="8"/>
  <c r="L4422" i="8" s="1"/>
  <c r="M5143" i="8"/>
  <c r="L5113" i="8" s="1"/>
  <c r="M6748" i="8"/>
  <c r="M6803" i="8"/>
  <c r="M7433" i="8"/>
  <c r="L7394" i="8" s="1"/>
  <c r="M7977" i="8"/>
  <c r="M8516" i="8"/>
  <c r="M10025" i="8"/>
  <c r="M10080" i="8"/>
  <c r="M10157" i="8"/>
  <c r="M10161" i="8" s="1"/>
  <c r="J10149" i="8" s="1"/>
  <c r="M11564" i="8"/>
  <c r="L11526" i="8" s="1"/>
  <c r="M11717" i="8"/>
  <c r="L11679" i="8" s="1"/>
  <c r="M2971" i="8"/>
  <c r="L2943" i="8" s="1"/>
  <c r="I8" i="2"/>
  <c r="M1552" i="8"/>
  <c r="I1529" i="8" s="1"/>
  <c r="M1529" i="8" s="1"/>
  <c r="M1534" i="8" s="1"/>
  <c r="H1514" i="8" s="1"/>
  <c r="I37" i="7" s="1"/>
  <c r="M1636" i="8"/>
  <c r="I1613" i="8" s="1"/>
  <c r="M1613" i="8" s="1"/>
  <c r="M1618" i="8" s="1"/>
  <c r="H1599" i="8" s="1"/>
  <c r="M10643" i="8"/>
  <c r="J10633" i="8" s="1"/>
  <c r="M9719" i="8"/>
  <c r="N9683" i="8" s="1"/>
  <c r="M7795" i="8"/>
  <c r="N7742" i="8" s="1"/>
  <c r="L76" i="7" s="1"/>
  <c r="M9971" i="8"/>
  <c r="N9935" i="8" s="1"/>
  <c r="M9888" i="8"/>
  <c r="N9845" i="8" s="1"/>
  <c r="I265" i="2"/>
  <c r="I94" i="2"/>
  <c r="M7852" i="8"/>
  <c r="I7865" i="8" s="1"/>
  <c r="M7865" i="8" s="1"/>
  <c r="M7870" i="8" s="1"/>
  <c r="L7842" i="8" s="1"/>
  <c r="M8991" i="8"/>
  <c r="I9004" i="8" s="1"/>
  <c r="M9004" i="8" s="1"/>
  <c r="M9009" i="8" s="1"/>
  <c r="L8979" i="8" s="1"/>
  <c r="M9211" i="8"/>
  <c r="H9199" i="8" s="1"/>
  <c r="M3583" i="8"/>
  <c r="I3596" i="8" s="1"/>
  <c r="M3596" i="8" s="1"/>
  <c r="M3601" i="8" s="1"/>
  <c r="L3573" i="8" s="1"/>
  <c r="M8351" i="8"/>
  <c r="N8311" i="8" s="1"/>
  <c r="M1861" i="8"/>
  <c r="I1874" i="8" s="1"/>
  <c r="M1874" i="8" s="1"/>
  <c r="M1879" i="8" s="1"/>
  <c r="L1851" i="8" s="1"/>
  <c r="M8903" i="8"/>
  <c r="I8916" i="8" s="1"/>
  <c r="M8916" i="8" s="1"/>
  <c r="M8921" i="8" s="1"/>
  <c r="L8891" i="8" s="1"/>
  <c r="M11442" i="8"/>
  <c r="J11432" i="8" s="1"/>
  <c r="M12534" i="8"/>
  <c r="H12515" i="8" s="1"/>
  <c r="M6615" i="8"/>
  <c r="I6628" i="8" s="1"/>
  <c r="M6628" i="8" s="1"/>
  <c r="M6633" i="8" s="1"/>
  <c r="L6603" i="8" s="1"/>
  <c r="M13746" i="8"/>
  <c r="I13759" i="8" s="1"/>
  <c r="M13759" i="8" s="1"/>
  <c r="M2491" i="8"/>
  <c r="H2481" i="8" s="1"/>
  <c r="M7318" i="8"/>
  <c r="J7308" i="8" s="1"/>
  <c r="M8195" i="8"/>
  <c r="H8185" i="8" s="1"/>
  <c r="M9611" i="8"/>
  <c r="I9624" i="8" s="1"/>
  <c r="M9624" i="8" s="1"/>
  <c r="M9629" i="8" s="1"/>
  <c r="L9602" i="8" s="1"/>
  <c r="M9944" i="8"/>
  <c r="I9957" i="8" s="1"/>
  <c r="M9957" i="8" s="1"/>
  <c r="M9962" i="8" s="1"/>
  <c r="L9935" i="8" s="1"/>
  <c r="M1987" i="8"/>
  <c r="I2000" i="8" s="1"/>
  <c r="M2000" i="8" s="1"/>
  <c r="M2005" i="8" s="1"/>
  <c r="L1977" i="8" s="1"/>
  <c r="M3835" i="8"/>
  <c r="I3848" i="8" s="1"/>
  <c r="M3848" i="8" s="1"/>
  <c r="M3853" i="8" s="1"/>
  <c r="L3825" i="8" s="1"/>
  <c r="M5867" i="8"/>
  <c r="H5855" i="8" s="1"/>
  <c r="M8815" i="8"/>
  <c r="I8828" i="8" s="1"/>
  <c r="M8828" i="8" s="1"/>
  <c r="M8833" i="8" s="1"/>
  <c r="L8803" i="8" s="1"/>
  <c r="M10476" i="8"/>
  <c r="H10461" i="8" s="1"/>
  <c r="M11827" i="8"/>
  <c r="N11783" i="8" s="1"/>
  <c r="L102" i="7" s="1"/>
  <c r="I34" i="2"/>
  <c r="I90" i="2"/>
  <c r="I120" i="2"/>
  <c r="I330" i="2"/>
  <c r="M54" i="8"/>
  <c r="J45" i="8" s="1"/>
  <c r="J10" i="7" s="1"/>
  <c r="M719" i="8"/>
  <c r="H710" i="8" s="1"/>
  <c r="M7191" i="8"/>
  <c r="I7204" i="8" s="1"/>
  <c r="M7204" i="8" s="1"/>
  <c r="I61" i="2"/>
  <c r="M1131" i="8"/>
  <c r="N1094" i="8" s="1"/>
  <c r="L27" i="7" s="1"/>
  <c r="M1651" i="8"/>
  <c r="M1693" i="8"/>
  <c r="J1683" i="8" s="1"/>
  <c r="M1777" i="8"/>
  <c r="J1767" i="8" s="1"/>
  <c r="M3919" i="8"/>
  <c r="H3909" i="8" s="1"/>
  <c r="M4003" i="8"/>
  <c r="H3993" i="8" s="1"/>
  <c r="M4686" i="8"/>
  <c r="J4677" i="8" s="1"/>
  <c r="M5037" i="8"/>
  <c r="H5025" i="8" s="1"/>
  <c r="F5025" i="8" s="1"/>
  <c r="M5295" i="8"/>
  <c r="J5285" i="8" s="1"/>
  <c r="M5894" i="8"/>
  <c r="I5871" i="8" s="1"/>
  <c r="M5871" i="8" s="1"/>
  <c r="M5876" i="8" s="1"/>
  <c r="J5855" i="8" s="1"/>
  <c r="M5999" i="8"/>
  <c r="H5987" i="8" s="1"/>
  <c r="M6395" i="8"/>
  <c r="H6383" i="8" s="1"/>
  <c r="M6887" i="8"/>
  <c r="J6874" i="8" s="1"/>
  <c r="M8496" i="8"/>
  <c r="N8459" i="8" s="1"/>
  <c r="L77" i="7" s="1"/>
  <c r="M8727" i="8"/>
  <c r="I8740" i="8" s="1"/>
  <c r="M8740" i="8" s="1"/>
  <c r="M8745" i="8" s="1"/>
  <c r="L8715" i="8" s="1"/>
  <c r="I29" i="2"/>
  <c r="I15" i="2"/>
  <c r="M637" i="8"/>
  <c r="J628" i="8" s="1"/>
  <c r="M1720" i="8"/>
  <c r="I1697" i="8" s="1"/>
  <c r="M1697" i="8" s="1"/>
  <c r="M1702" i="8" s="1"/>
  <c r="H1683" i="8" s="1"/>
  <c r="M7497" i="8"/>
  <c r="H7488" i="8" s="1"/>
  <c r="M8153" i="8"/>
  <c r="H8143" i="8" s="1"/>
  <c r="M8510" i="8"/>
  <c r="H8501" i="8" s="1"/>
  <c r="M9079" i="8"/>
  <c r="H9067" i="8" s="1"/>
  <c r="M9773" i="8"/>
  <c r="I9786" i="8" s="1"/>
  <c r="M9786" i="8" s="1"/>
  <c r="M9791" i="8" s="1"/>
  <c r="L9764" i="8" s="1"/>
  <c r="M10294" i="8"/>
  <c r="J10282" i="8" s="1"/>
  <c r="M11803" i="8"/>
  <c r="H11783" i="8" s="1"/>
  <c r="M679" i="8"/>
  <c r="H669" i="8" s="1"/>
  <c r="F669" i="8" s="1"/>
  <c r="M1945" i="8"/>
  <c r="I1958" i="8" s="1"/>
  <c r="M1958" i="8" s="1"/>
  <c r="M1963" i="8" s="1"/>
  <c r="L1935" i="8" s="1"/>
  <c r="M2911" i="8"/>
  <c r="J2901" i="8" s="1"/>
  <c r="M3289" i="8"/>
  <c r="H3279" i="8" s="1"/>
  <c r="M5850" i="8"/>
  <c r="N5811" i="8" s="1"/>
  <c r="L59" i="7" s="1"/>
  <c r="M8639" i="8"/>
  <c r="I8652" i="8" s="1"/>
  <c r="M8652" i="8" s="1"/>
  <c r="M8657" i="8" s="1"/>
  <c r="L8627" i="8" s="1"/>
  <c r="M9455" i="8"/>
  <c r="M9651" i="8"/>
  <c r="M10712" i="8"/>
  <c r="M12268" i="8"/>
  <c r="H12248" i="8" s="1"/>
  <c r="M12584" i="8"/>
  <c r="H12565" i="8" s="1"/>
  <c r="M1356" i="8"/>
  <c r="J1346" i="8" s="1"/>
  <c r="M2197" i="8"/>
  <c r="I2210" i="8" s="1"/>
  <c r="M2210" i="8" s="1"/>
  <c r="M2215" i="8" s="1"/>
  <c r="L2187" i="8" s="1"/>
  <c r="M2281" i="8"/>
  <c r="H2271" i="8" s="1"/>
  <c r="M7623" i="8"/>
  <c r="H7613" i="8" s="1"/>
  <c r="I74" i="7" s="1"/>
  <c r="M10601" i="8"/>
  <c r="J10591" i="8" s="1"/>
  <c r="I45" i="2"/>
  <c r="I109" i="2"/>
  <c r="M514" i="8"/>
  <c r="H502" i="8" s="1"/>
  <c r="I132" i="2"/>
  <c r="I78" i="2"/>
  <c r="I47" i="2"/>
  <c r="I18" i="2"/>
  <c r="I267" i="2"/>
  <c r="I121" i="2"/>
  <c r="I67" i="2"/>
  <c r="I126" i="2"/>
  <c r="I320" i="2"/>
  <c r="I31" i="2"/>
  <c r="I48" i="2"/>
  <c r="I76" i="2"/>
  <c r="I111" i="2"/>
  <c r="I333" i="2"/>
  <c r="I323" i="2"/>
  <c r="I318" i="2"/>
  <c r="I313" i="2"/>
  <c r="I284" i="2"/>
  <c r="I277" i="2"/>
  <c r="I329" i="2"/>
  <c r="I321" i="2"/>
  <c r="I281" i="2"/>
  <c r="I271" i="2"/>
  <c r="I148" i="2"/>
  <c r="I143" i="2"/>
  <c r="I131" i="2"/>
  <c r="I118" i="2"/>
  <c r="I81" i="2"/>
  <c r="I53" i="2"/>
  <c r="I39" i="2"/>
  <c r="I28" i="2"/>
  <c r="I24" i="2"/>
  <c r="I332" i="2"/>
  <c r="I312" i="2"/>
  <c r="I279" i="2"/>
  <c r="I130" i="2"/>
  <c r="I116" i="2"/>
  <c r="I110" i="2"/>
  <c r="I80" i="2"/>
  <c r="I79" i="2"/>
  <c r="I71" i="2"/>
  <c r="I44" i="2"/>
  <c r="I17" i="2"/>
  <c r="I328" i="2"/>
  <c r="I147" i="2"/>
  <c r="I92" i="2"/>
  <c r="I50" i="2"/>
  <c r="I325" i="2"/>
  <c r="I314" i="2"/>
  <c r="I283" i="2"/>
  <c r="I270" i="2"/>
  <c r="I142" i="2"/>
  <c r="I139" i="2"/>
  <c r="I124" i="2"/>
  <c r="I100" i="2"/>
  <c r="I69" i="2"/>
  <c r="I51" i="2"/>
  <c r="I12" i="2"/>
  <c r="I317" i="2"/>
  <c r="I285" i="2"/>
  <c r="I268" i="2"/>
  <c r="I138" i="2"/>
  <c r="I99" i="2"/>
  <c r="I56" i="2"/>
  <c r="I43" i="2"/>
  <c r="I123" i="2"/>
  <c r="I331" i="2"/>
  <c r="I324" i="2"/>
  <c r="I282" i="2"/>
  <c r="I140" i="2"/>
  <c r="I136" i="2"/>
  <c r="I129" i="2"/>
  <c r="I106" i="2"/>
  <c r="I101" i="2"/>
  <c r="I98" i="2"/>
  <c r="I77" i="2"/>
  <c r="I21" i="2"/>
  <c r="I16" i="2"/>
  <c r="I10" i="2"/>
  <c r="I327" i="2"/>
  <c r="I316" i="2"/>
  <c r="I276" i="2"/>
  <c r="I146" i="2"/>
  <c r="I25" i="2"/>
  <c r="I103" i="2"/>
  <c r="I30" i="2"/>
  <c r="I96" i="2"/>
  <c r="I68" i="2"/>
  <c r="I134" i="2"/>
  <c r="I144" i="2"/>
  <c r="I20" i="2"/>
  <c r="I73" i="2"/>
  <c r="I145" i="2"/>
  <c r="I287" i="2"/>
  <c r="I95" i="2"/>
  <c r="I33" i="2"/>
  <c r="I105" i="2"/>
  <c r="I326" i="2"/>
  <c r="I14" i="2"/>
  <c r="I27" i="2"/>
  <c r="I82" i="2"/>
  <c r="I128" i="2"/>
  <c r="I273" i="2"/>
  <c r="I23" i="2"/>
  <c r="I41" i="2"/>
  <c r="I63" i="2"/>
  <c r="I74" i="2"/>
  <c r="I85" i="2"/>
  <c r="I107" i="2"/>
  <c r="I274" i="2"/>
  <c r="I319" i="2"/>
  <c r="I26" i="2"/>
  <c r="I127" i="2"/>
  <c r="I32" i="2"/>
  <c r="I54" i="2"/>
  <c r="I65" i="2"/>
  <c r="I75" i="2"/>
  <c r="I83" i="2"/>
  <c r="I108" i="2"/>
  <c r="I119" i="2"/>
  <c r="I141" i="2"/>
  <c r="I275" i="2"/>
  <c r="I315" i="2"/>
  <c r="I322" i="2"/>
  <c r="M12834" i="8"/>
  <c r="M4132" i="8"/>
  <c r="H4119" i="8" s="1"/>
  <c r="M9813" i="8"/>
  <c r="H9805" i="8" s="1"/>
  <c r="M12634" i="8"/>
  <c r="H12615" i="8" s="1"/>
  <c r="M12684" i="8"/>
  <c r="H12665" i="8" s="1"/>
  <c r="M1903" i="8"/>
  <c r="I1916" i="8" s="1"/>
  <c r="M1916" i="8" s="1"/>
  <c r="M1921" i="8" s="1"/>
  <c r="L1893" i="8" s="1"/>
  <c r="M2995" i="8"/>
  <c r="H2985" i="8" s="1"/>
  <c r="M3121" i="8"/>
  <c r="H3111" i="8" s="1"/>
  <c r="M3457" i="8"/>
  <c r="H3447" i="8" s="1"/>
  <c r="M4478" i="8"/>
  <c r="J4466" i="8" s="1"/>
  <c r="M6263" i="8"/>
  <c r="H6251" i="8" s="1"/>
  <c r="M7539" i="8"/>
  <c r="I7552" i="8" s="1"/>
  <c r="M7552" i="8" s="1"/>
  <c r="M11235" i="8"/>
  <c r="M1735" i="8"/>
  <c r="M3331" i="8"/>
  <c r="H3321" i="8" s="1"/>
  <c r="M5515" i="8"/>
  <c r="H5503" i="8" s="1"/>
  <c r="M7105" i="8"/>
  <c r="H7093" i="8" s="1"/>
  <c r="M7234" i="8"/>
  <c r="I7247" i="8" s="1"/>
  <c r="M7247" i="8" s="1"/>
  <c r="M7252" i="8" s="1"/>
  <c r="L7223" i="8" s="1"/>
  <c r="M7362" i="8"/>
  <c r="J7350" i="8" s="1"/>
  <c r="M7442" i="8"/>
  <c r="N7394" i="8" s="1"/>
  <c r="L71" i="7" s="1"/>
  <c r="M8069" i="8"/>
  <c r="I8082" i="8" s="1"/>
  <c r="M8082" i="8" s="1"/>
  <c r="M9167" i="8"/>
  <c r="I9180" i="8" s="1"/>
  <c r="M9180" i="8" s="1"/>
  <c r="M9638" i="8"/>
  <c r="N9602" i="8" s="1"/>
  <c r="M10898" i="8"/>
  <c r="H10887" i="8" s="1"/>
  <c r="M11400" i="8"/>
  <c r="J11390" i="8" s="1"/>
  <c r="M11674" i="8"/>
  <c r="N11630" i="8" s="1"/>
  <c r="L101" i="7" s="1"/>
  <c r="M1020" i="8"/>
  <c r="I1033" i="8" s="1"/>
  <c r="M1033" i="8" s="1"/>
  <c r="M2533" i="8"/>
  <c r="H2523" i="8" s="1"/>
  <c r="M2785" i="8"/>
  <c r="J2775" i="8" s="1"/>
  <c r="M2953" i="8"/>
  <c r="H2943" i="8" s="1"/>
  <c r="M3205" i="8"/>
  <c r="H3195" i="8" s="1"/>
  <c r="M4087" i="8"/>
  <c r="I4100" i="8" s="1"/>
  <c r="M4100" i="8" s="1"/>
  <c r="M4105" i="8" s="1"/>
  <c r="L4077" i="8" s="1"/>
  <c r="M4258" i="8"/>
  <c r="J4248" i="8" s="1"/>
  <c r="M4390" i="8"/>
  <c r="H4378" i="8" s="1"/>
  <c r="M6307" i="8"/>
  <c r="H6295" i="8" s="1"/>
  <c r="M6527" i="8"/>
  <c r="I6540" i="8" s="1"/>
  <c r="M6540" i="8" s="1"/>
  <c r="M6545" i="8" s="1"/>
  <c r="L6515" i="8" s="1"/>
  <c r="M7148" i="8"/>
  <c r="I7161" i="8" s="1"/>
  <c r="M7161" i="8" s="1"/>
  <c r="M7166" i="8" s="1"/>
  <c r="L7137" i="8" s="1"/>
  <c r="M9692" i="8"/>
  <c r="I9705" i="8" s="1"/>
  <c r="M9705" i="8" s="1"/>
  <c r="M9710" i="8" s="1"/>
  <c r="L9683" i="8" s="1"/>
  <c r="M11194" i="8"/>
  <c r="M11650" i="8"/>
  <c r="H11630" i="8" s="1"/>
  <c r="M11838" i="8"/>
  <c r="M12984" i="8"/>
  <c r="M13" i="8"/>
  <c r="H4" i="8" s="1"/>
  <c r="M137" i="8"/>
  <c r="J127" i="8" s="1"/>
  <c r="F128" i="8" s="1"/>
  <c r="M1104" i="8"/>
  <c r="J1094" i="8" s="1"/>
  <c r="M1188" i="8"/>
  <c r="I1201" i="8" s="1"/>
  <c r="M1201" i="8" s="1"/>
  <c r="M1314" i="8"/>
  <c r="I1327" i="8" s="1"/>
  <c r="M1327" i="8" s="1"/>
  <c r="M1440" i="8"/>
  <c r="I1453" i="8" s="1"/>
  <c r="M1453" i="8" s="1"/>
  <c r="M2071" i="8"/>
  <c r="H2061" i="8" s="1"/>
  <c r="M3079" i="8"/>
  <c r="H3069" i="8" s="1"/>
  <c r="M3415" i="8"/>
  <c r="H3405" i="8" s="1"/>
  <c r="M3541" i="8"/>
  <c r="H3531" i="8" s="1"/>
  <c r="M3751" i="8"/>
  <c r="I3764" i="8" s="1"/>
  <c r="M3764" i="8" s="1"/>
  <c r="M3769" i="8" s="1"/>
  <c r="L3741" i="8" s="1"/>
  <c r="M3877" i="8"/>
  <c r="M5383" i="8"/>
  <c r="H5371" i="8" s="1"/>
  <c r="M7409" i="8"/>
  <c r="M8365" i="8"/>
  <c r="H8356" i="8" s="1"/>
  <c r="M9800" i="8"/>
  <c r="N9764" i="8" s="1"/>
  <c r="M10796" i="8"/>
  <c r="N10759" i="8" s="1"/>
  <c r="L94" i="7" s="1"/>
  <c r="M10839" i="8"/>
  <c r="N10801" i="8" s="1"/>
  <c r="L95" i="7" s="1"/>
  <c r="M11112" i="8"/>
  <c r="H11102" i="8" s="1"/>
  <c r="M12320" i="8"/>
  <c r="M13134" i="8"/>
  <c r="M1525" i="8"/>
  <c r="M1594" i="8"/>
  <c r="I1571" i="8" s="1"/>
  <c r="M1571" i="8" s="1"/>
  <c r="M1576" i="8" s="1"/>
  <c r="H1557" i="8" s="1"/>
  <c r="M7061" i="8"/>
  <c r="H7049" i="8" s="1"/>
  <c r="M10075" i="8"/>
  <c r="M12784" i="8"/>
  <c r="M1146" i="8"/>
  <c r="J1136" i="8" s="1"/>
  <c r="M1678" i="8"/>
  <c r="I1655" i="8" s="1"/>
  <c r="M1655" i="8" s="1"/>
  <c r="M1660" i="8" s="1"/>
  <c r="H1641" i="8" s="1"/>
  <c r="I38" i="7" s="1"/>
  <c r="M2365" i="8"/>
  <c r="J2355" i="8" s="1"/>
  <c r="F2355" i="8" s="1"/>
  <c r="M3163" i="8"/>
  <c r="H3153" i="8" s="1"/>
  <c r="M3499" i="8"/>
  <c r="M5125" i="8"/>
  <c r="J5113" i="8" s="1"/>
  <c r="M7276" i="8"/>
  <c r="H7266" i="8" s="1"/>
  <c r="M7581" i="8"/>
  <c r="H7571" i="8" s="1"/>
  <c r="I73" i="7" s="1"/>
  <c r="M7936" i="8"/>
  <c r="I7949" i="8" s="1"/>
  <c r="M7949" i="8" s="1"/>
  <c r="M8111" i="8"/>
  <c r="H8101" i="8" s="1"/>
  <c r="M8469" i="8"/>
  <c r="H8459" i="8" s="1"/>
  <c r="M9123" i="8"/>
  <c r="I9136" i="8" s="1"/>
  <c r="M9136" i="8" s="1"/>
  <c r="M9141" i="8" s="1"/>
  <c r="L9111" i="8" s="1"/>
  <c r="M12433" i="8"/>
  <c r="H12404" i="8" s="1"/>
  <c r="M385" i="8"/>
  <c r="J376" i="8" s="1"/>
  <c r="M426" i="8"/>
  <c r="J417" i="8" s="1"/>
  <c r="M470" i="8"/>
  <c r="J458" i="8" s="1"/>
  <c r="M596" i="8"/>
  <c r="J587" i="8" s="1"/>
  <c r="M811" i="8"/>
  <c r="H801" i="8" s="1"/>
  <c r="M1398" i="8"/>
  <c r="J1388" i="8" s="1"/>
  <c r="M1762" i="8"/>
  <c r="N1725" i="8" s="1"/>
  <c r="L39" i="7" s="1"/>
  <c r="M2239" i="8"/>
  <c r="I2252" i="8" s="1"/>
  <c r="M2252" i="8" s="1"/>
  <c r="M2701" i="8"/>
  <c r="M3373" i="8"/>
  <c r="H3363" i="8" s="1"/>
  <c r="M4174" i="8"/>
  <c r="J4164" i="8" s="1"/>
  <c r="M4302" i="8"/>
  <c r="J4290" i="8" s="1"/>
  <c r="M4590" i="8"/>
  <c r="I4567" i="8" s="1"/>
  <c r="M4567" i="8" s="1"/>
  <c r="M4572" i="8" s="1"/>
  <c r="J4554" i="8" s="1"/>
  <c r="M4604" i="8"/>
  <c r="H4595" i="8" s="1"/>
  <c r="M4712" i="8"/>
  <c r="M4905" i="8"/>
  <c r="M6797" i="8"/>
  <c r="J6784" i="8" s="1"/>
  <c r="J64" i="7" s="1"/>
  <c r="M7017" i="8"/>
  <c r="J7008" i="8" s="1"/>
  <c r="M7407" i="8"/>
  <c r="M9035" i="8"/>
  <c r="J9023" i="8" s="1"/>
  <c r="M9903" i="8"/>
  <c r="J9893" i="8" s="1"/>
  <c r="M10670" i="8"/>
  <c r="N10633" i="8" s="1"/>
  <c r="M10754" i="8"/>
  <c r="N10717" i="8" s="1"/>
  <c r="L93" i="7" s="1"/>
  <c r="M11276" i="8"/>
  <c r="I11289" i="8" s="1"/>
  <c r="M11289" i="8" s="1"/>
  <c r="M11294" i="8" s="1"/>
  <c r="L11267" i="8" s="1"/>
  <c r="M11598" i="8"/>
  <c r="M95" i="8"/>
  <c r="J86" i="8" s="1"/>
  <c r="M178" i="8"/>
  <c r="H169" i="8" s="1"/>
  <c r="F169" i="8" s="1"/>
  <c r="M219" i="8"/>
  <c r="J210" i="8" s="1"/>
  <c r="M260" i="8"/>
  <c r="H251" i="8" s="1"/>
  <c r="F251" i="8" s="1"/>
  <c r="M978" i="8"/>
  <c r="J969" i="8" s="1"/>
  <c r="M1272" i="8"/>
  <c r="I1285" i="8" s="1"/>
  <c r="M1285" i="8" s="1"/>
  <c r="M1482" i="8"/>
  <c r="I1495" i="8" s="1"/>
  <c r="M1495" i="8" s="1"/>
  <c r="M1567" i="8"/>
  <c r="J1557" i="8" s="1"/>
  <c r="M1609" i="8"/>
  <c r="J1599" i="8" s="1"/>
  <c r="M1819" i="8"/>
  <c r="I1832" i="8" s="1"/>
  <c r="M1832" i="8" s="1"/>
  <c r="M1837" i="8" s="1"/>
  <c r="L1809" i="8" s="1"/>
  <c r="M2029" i="8"/>
  <c r="H2019" i="8" s="1"/>
  <c r="M3247" i="8"/>
  <c r="H3237" i="8" s="1"/>
  <c r="M4346" i="8"/>
  <c r="J4334" i="8" s="1"/>
  <c r="M5253" i="8"/>
  <c r="J5243" i="8" s="1"/>
  <c r="M5823" i="8"/>
  <c r="J5811" i="8" s="1"/>
  <c r="J59" i="7" s="1"/>
  <c r="M6749" i="8"/>
  <c r="M7413" i="8"/>
  <c r="M7810" i="8"/>
  <c r="H7800" i="8" s="1"/>
  <c r="M8408" i="8"/>
  <c r="H8396" i="8" s="1"/>
  <c r="M8947" i="8"/>
  <c r="H8935" i="8" s="1"/>
  <c r="M9732" i="8"/>
  <c r="G18" i="9"/>
  <c r="G17" i="9"/>
  <c r="G11" i="9"/>
  <c r="N23" i="9" s="1"/>
  <c r="G16" i="9"/>
  <c r="G10" i="9"/>
  <c r="K23" i="9" s="1"/>
  <c r="G15" i="9"/>
  <c r="G9" i="9"/>
  <c r="H23" i="9" s="1"/>
  <c r="E64" i="9"/>
  <c r="I8449" i="8" s="1"/>
  <c r="G14" i="9"/>
  <c r="G20" i="9"/>
  <c r="G13" i="9"/>
  <c r="G19" i="9"/>
  <c r="G12" i="9"/>
  <c r="M853" i="8"/>
  <c r="M344" i="8"/>
  <c r="M937" i="8"/>
  <c r="M1230" i="8"/>
  <c r="N1557" i="8"/>
  <c r="M555" i="8"/>
  <c r="M302" i="8"/>
  <c r="M2449" i="8"/>
  <c r="M2659" i="8"/>
  <c r="J2649" i="8" s="1"/>
  <c r="M2407" i="8"/>
  <c r="M2113" i="8"/>
  <c r="M2323" i="8"/>
  <c r="M2575" i="8"/>
  <c r="J2565" i="8" s="1"/>
  <c r="M2827" i="8"/>
  <c r="M2155" i="8"/>
  <c r="M2743" i="8"/>
  <c r="M3139" i="8"/>
  <c r="L3111" i="8" s="1"/>
  <c r="M3475" i="8"/>
  <c r="L3447" i="8" s="1"/>
  <c r="M3961" i="8"/>
  <c r="M4045" i="8"/>
  <c r="M3037" i="8"/>
  <c r="H3027" i="8" s="1"/>
  <c r="F3027" i="8" s="1"/>
  <c r="M3223" i="8"/>
  <c r="L3195" i="8" s="1"/>
  <c r="M3307" i="8"/>
  <c r="L3279" i="8" s="1"/>
  <c r="M3391" i="8"/>
  <c r="L3363" i="8" s="1"/>
  <c r="M4216" i="8"/>
  <c r="J4206" i="8" s="1"/>
  <c r="M4949" i="8"/>
  <c r="M5211" i="8"/>
  <c r="J5201" i="8" s="1"/>
  <c r="M5603" i="8"/>
  <c r="M3625" i="8"/>
  <c r="M3709" i="8"/>
  <c r="M4096" i="8"/>
  <c r="H4077" i="8" s="1"/>
  <c r="M4522" i="8"/>
  <c r="J4510" i="8" s="1"/>
  <c r="M4993" i="8"/>
  <c r="I5748" i="8"/>
  <c r="M5748" i="8" s="1"/>
  <c r="M5753" i="8" s="1"/>
  <c r="L5723" i="8" s="1"/>
  <c r="H5723" i="8"/>
  <c r="M4563" i="8"/>
  <c r="H4554" i="8" s="1"/>
  <c r="M4729" i="8"/>
  <c r="M4817" i="8"/>
  <c r="J4805" i="8" s="1"/>
  <c r="M4861" i="8"/>
  <c r="M5489" i="8"/>
  <c r="L5459" i="8" s="1"/>
  <c r="I5792" i="8"/>
  <c r="M5792" i="8" s="1"/>
  <c r="M5797" i="8" s="1"/>
  <c r="L5767" i="8" s="1"/>
  <c r="H5767" i="8"/>
  <c r="M3667" i="8"/>
  <c r="M3793" i="8"/>
  <c r="M4114" i="8"/>
  <c r="N4077" i="8" s="1"/>
  <c r="M5271" i="8"/>
  <c r="L5243" i="8" s="1"/>
  <c r="M5647" i="8"/>
  <c r="M4434" i="8"/>
  <c r="H4422" i="8" s="1"/>
  <c r="M4773" i="8"/>
  <c r="H4761" i="8" s="1"/>
  <c r="M2869" i="8"/>
  <c r="M3055" i="8"/>
  <c r="L3027" i="8" s="1"/>
  <c r="M4645" i="8"/>
  <c r="H4636" i="8" s="1"/>
  <c r="M5229" i="8"/>
  <c r="L5201" i="8" s="1"/>
  <c r="M6131" i="8"/>
  <c r="M6976" i="8"/>
  <c r="M5691" i="8"/>
  <c r="H5899" i="8"/>
  <c r="M6043" i="8"/>
  <c r="M6114" i="8"/>
  <c r="N6075" i="8" s="1"/>
  <c r="M6351" i="8"/>
  <c r="H6339" i="8" s="1"/>
  <c r="M6571" i="8"/>
  <c r="M7456" i="8"/>
  <c r="M6175" i="8"/>
  <c r="M6413" i="8"/>
  <c r="L6383" i="8" s="1"/>
  <c r="M7367" i="8"/>
  <c r="M7894" i="8"/>
  <c r="M8434" i="8"/>
  <c r="K8430" i="8"/>
  <c r="K8429" i="8"/>
  <c r="K8436" i="8"/>
  <c r="M5955" i="8"/>
  <c r="M5169" i="8"/>
  <c r="I6496" i="8"/>
  <c r="M6496" i="8" s="1"/>
  <c r="M6501" i="8" s="1"/>
  <c r="L6471" i="8" s="1"/>
  <c r="M6219" i="8"/>
  <c r="M6842" i="8"/>
  <c r="J6829" i="8" s="1"/>
  <c r="M7667" i="8"/>
  <c r="H7655" i="8" s="1"/>
  <c r="M8279" i="8"/>
  <c r="M8771" i="8"/>
  <c r="M9376" i="8"/>
  <c r="L9341" i="8" s="1"/>
  <c r="M8333" i="8"/>
  <c r="J8311" i="8" s="1"/>
  <c r="M8595" i="8"/>
  <c r="M9511" i="8"/>
  <c r="M9852" i="8"/>
  <c r="M8027" i="8"/>
  <c r="M8859" i="8"/>
  <c r="M9858" i="8"/>
  <c r="M8369" i="8"/>
  <c r="M8374" i="8" s="1"/>
  <c r="M9497" i="8"/>
  <c r="M8683" i="8"/>
  <c r="M8473" i="8"/>
  <c r="M8478" i="8" s="1"/>
  <c r="M9984" i="8"/>
  <c r="M10023" i="8"/>
  <c r="M10117" i="8"/>
  <c r="J10107" i="8" s="1"/>
  <c r="M10021" i="8"/>
  <c r="M10518" i="8"/>
  <c r="J10508" i="8" s="1"/>
  <c r="M10727" i="8"/>
  <c r="M10338" i="8"/>
  <c r="M10029" i="8"/>
  <c r="M10382" i="8"/>
  <c r="M10821" i="8"/>
  <c r="H10801" i="8" s="1"/>
  <c r="I95" i="7" s="1"/>
  <c r="M10027" i="8"/>
  <c r="M10778" i="8"/>
  <c r="H10759" i="8" s="1"/>
  <c r="I94" i="7" s="1"/>
  <c r="M10812" i="8"/>
  <c r="M10855" i="8"/>
  <c r="M12060" i="8"/>
  <c r="H12040" i="8" s="1"/>
  <c r="M12182" i="8"/>
  <c r="L12144" i="8" s="1"/>
  <c r="M10685" i="8"/>
  <c r="M11153" i="8"/>
  <c r="M11088" i="8"/>
  <c r="L11060" i="8" s="1"/>
  <c r="M11317" i="8"/>
  <c r="M11904" i="8"/>
  <c r="M12734" i="8"/>
  <c r="M10694" i="8"/>
  <c r="J10675" i="8" s="1"/>
  <c r="M11070" i="8"/>
  <c r="J11060" i="8" s="1"/>
  <c r="M12008" i="8"/>
  <c r="H11988" i="8" s="1"/>
  <c r="M12372" i="8"/>
  <c r="H12352" i="8" s="1"/>
  <c r="M12884" i="8"/>
  <c r="M10559" i="8"/>
  <c r="M10985" i="8"/>
  <c r="M10769" i="8"/>
  <c r="M11358" i="8"/>
  <c r="M11956" i="8"/>
  <c r="M11699" i="8"/>
  <c r="H11679" i="8" s="1"/>
  <c r="I11740" i="8"/>
  <c r="M11740" i="8" s="1"/>
  <c r="H11740" i="8"/>
  <c r="I11842" i="8"/>
  <c r="M11842" i="8" s="1"/>
  <c r="H11842" i="8"/>
  <c r="M12026" i="8"/>
  <c r="L11988" i="8" s="1"/>
  <c r="K106" i="7" s="1"/>
  <c r="M12078" i="8"/>
  <c r="L12040" i="8" s="1"/>
  <c r="M12484" i="8"/>
  <c r="H12465" i="8" s="1"/>
  <c r="M11747" i="8"/>
  <c r="M12234" i="8"/>
  <c r="L12196" i="8" s="1"/>
  <c r="H11736" i="8"/>
  <c r="H11745" i="8"/>
  <c r="H11836" i="8"/>
  <c r="M12451" i="8"/>
  <c r="L12404" i="8" s="1"/>
  <c r="M13434" i="8"/>
  <c r="H13415" i="8" s="1"/>
  <c r="F13415" i="8" s="1"/>
  <c r="I11736" i="8"/>
  <c r="M11736" i="8" s="1"/>
  <c r="H11743" i="8"/>
  <c r="I11745" i="8"/>
  <c r="M11745" i="8" s="1"/>
  <c r="I11836" i="8"/>
  <c r="M11836" i="8" s="1"/>
  <c r="H11845" i="8"/>
  <c r="M12934" i="8"/>
  <c r="M13284" i="8"/>
  <c r="H11741" i="8"/>
  <c r="I11743" i="8"/>
  <c r="M11743" i="8" s="1"/>
  <c r="H11748" i="8"/>
  <c r="H11843" i="8"/>
  <c r="M11845" i="8"/>
  <c r="M12501" i="8"/>
  <c r="L12465" i="8" s="1"/>
  <c r="M12701" i="8"/>
  <c r="L12665" i="8" s="1"/>
  <c r="M13034" i="8"/>
  <c r="H13015" i="8" s="1"/>
  <c r="M13084" i="8"/>
  <c r="M13234" i="8"/>
  <c r="H13215" i="8" s="1"/>
  <c r="M13384" i="8"/>
  <c r="M11737" i="8"/>
  <c r="H11739" i="8"/>
  <c r="I11741" i="8"/>
  <c r="M11741" i="8" s="1"/>
  <c r="H11746" i="8"/>
  <c r="I11748" i="8"/>
  <c r="M11748" i="8" s="1"/>
  <c r="M11837" i="8"/>
  <c r="H11841" i="8"/>
  <c r="M11843" i="8"/>
  <c r="M12216" i="8"/>
  <c r="H12196" i="8" s="1"/>
  <c r="M12601" i="8"/>
  <c r="L12565" i="8" s="1"/>
  <c r="M12651" i="8"/>
  <c r="L12615" i="8" s="1"/>
  <c r="M13184" i="8"/>
  <c r="M13334" i="8"/>
  <c r="I11739" i="8"/>
  <c r="M11739" i="8" s="1"/>
  <c r="M11841" i="8"/>
  <c r="M12112" i="8"/>
  <c r="M12551" i="8"/>
  <c r="L12515" i="8" s="1"/>
  <c r="M13484" i="8"/>
  <c r="H13465" i="8" s="1"/>
  <c r="J17" i="2"/>
  <c r="M13534" i="8"/>
  <c r="H13515" i="8" s="1"/>
  <c r="M13619" i="8"/>
  <c r="M13662" i="8"/>
  <c r="J83" i="2"/>
  <c r="I13701" i="8"/>
  <c r="M13701" i="8" s="1"/>
  <c r="J105" i="2"/>
  <c r="J77" i="2"/>
  <c r="J107" i="2"/>
  <c r="J63" i="2"/>
  <c r="J109" i="2"/>
  <c r="K8316" i="8"/>
  <c r="J43" i="2"/>
  <c r="J45" i="2" s="1"/>
  <c r="J51" i="2" s="1"/>
  <c r="K7758" i="8"/>
  <c r="K7749" i="8"/>
  <c r="K7750" i="8" s="1"/>
  <c r="I121" i="7" l="1"/>
  <c r="I106" i="7"/>
  <c r="F11988" i="8"/>
  <c r="I102" i="7"/>
  <c r="F11783" i="8"/>
  <c r="I101" i="7"/>
  <c r="F11630" i="8"/>
  <c r="J43" i="7"/>
  <c r="F2565" i="8"/>
  <c r="J67" i="7"/>
  <c r="J70" i="7"/>
  <c r="J124" i="7"/>
  <c r="J65" i="7"/>
  <c r="F6829" i="8"/>
  <c r="J79" i="7"/>
  <c r="I77" i="7"/>
  <c r="F8459" i="8"/>
  <c r="J90" i="7"/>
  <c r="J89" i="7"/>
  <c r="J85" i="7"/>
  <c r="J69" i="7"/>
  <c r="F7308" i="8"/>
  <c r="J47" i="7"/>
  <c r="I9" i="7"/>
  <c r="F801" i="8"/>
  <c r="J52" i="7"/>
  <c r="F4805" i="8"/>
  <c r="J50" i="7"/>
  <c r="F4677" i="8"/>
  <c r="J40" i="7"/>
  <c r="J34" i="7"/>
  <c r="J33" i="7"/>
  <c r="J28" i="7"/>
  <c r="J27" i="7"/>
  <c r="J25" i="7"/>
  <c r="J22" i="7"/>
  <c r="J21" i="7"/>
  <c r="J23" i="7"/>
  <c r="I19" i="7"/>
  <c r="J18" i="7"/>
  <c r="J17" i="7"/>
  <c r="J16" i="7"/>
  <c r="F376" i="8"/>
  <c r="J13" i="7"/>
  <c r="F210" i="8"/>
  <c r="J12" i="7"/>
  <c r="F127" i="8"/>
  <c r="J11" i="7"/>
  <c r="F86" i="8"/>
  <c r="N1514" i="8"/>
  <c r="L37" i="7" s="1"/>
  <c r="N1683" i="8"/>
  <c r="N1599" i="8"/>
  <c r="M13704" i="8"/>
  <c r="J13694" i="8" s="1"/>
  <c r="M10206" i="8"/>
  <c r="H10193" i="8" s="1"/>
  <c r="K9441" i="8"/>
  <c r="M9441" i="8" s="1"/>
  <c r="I9527" i="8"/>
  <c r="K8431" i="8"/>
  <c r="J292" i="2"/>
  <c r="J300" i="2"/>
  <c r="J265" i="2"/>
  <c r="N5855" i="8"/>
  <c r="F5855" i="8" s="1"/>
  <c r="L5856" i="8" s="1"/>
  <c r="K13852" i="8"/>
  <c r="K8301" i="8"/>
  <c r="J90" i="2"/>
  <c r="J71" i="2"/>
  <c r="J9935" i="8"/>
  <c r="N1641" i="8"/>
  <c r="L38" i="7" s="1"/>
  <c r="H13365" i="8"/>
  <c r="H13315" i="8"/>
  <c r="H13265" i="8"/>
  <c r="H13165" i="8"/>
  <c r="H13115" i="8"/>
  <c r="H13065" i="8"/>
  <c r="H12965" i="8"/>
  <c r="H12915" i="8"/>
  <c r="H12865" i="8"/>
  <c r="H12815" i="8"/>
  <c r="H12765" i="8"/>
  <c r="H12715" i="8"/>
  <c r="H12300" i="8"/>
  <c r="H12092" i="8"/>
  <c r="H11936" i="8"/>
  <c r="H11884" i="8"/>
  <c r="H11578" i="8"/>
  <c r="J5157" i="8"/>
  <c r="J57" i="7" s="1"/>
  <c r="J4893" i="8"/>
  <c r="J2733" i="8"/>
  <c r="J46" i="7" s="1"/>
  <c r="J2691" i="8"/>
  <c r="J45" i="7" s="1"/>
  <c r="J4981" i="8"/>
  <c r="H7842" i="8"/>
  <c r="J4849" i="8"/>
  <c r="J4937" i="8"/>
  <c r="H7699" i="8"/>
  <c r="J3489" i="8"/>
  <c r="J48" i="7" s="1"/>
  <c r="I3512" i="8"/>
  <c r="M3512" i="8" s="1"/>
  <c r="J298" i="2"/>
  <c r="J296" i="2"/>
  <c r="N4554" i="8"/>
  <c r="F4554" i="8" s="1"/>
  <c r="L4555" i="8" s="1"/>
  <c r="J6694" i="8"/>
  <c r="J62" i="7" s="1"/>
  <c r="J8627" i="8"/>
  <c r="J13736" i="8"/>
  <c r="I10911" i="8"/>
  <c r="M10911" i="8" s="1"/>
  <c r="M10916" i="8" s="1"/>
  <c r="L10887" i="8" s="1"/>
  <c r="J9976" i="8"/>
  <c r="I9997" i="8"/>
  <c r="M9997" i="8" s="1"/>
  <c r="I10490" i="8"/>
  <c r="M10490" i="8" s="1"/>
  <c r="M10494" i="8" s="1"/>
  <c r="L10461" i="8" s="1"/>
  <c r="J7180" i="8"/>
  <c r="J9602" i="8"/>
  <c r="J8459" i="8"/>
  <c r="J77" i="7" s="1"/>
  <c r="I8482" i="8"/>
  <c r="M8482" i="8" s="1"/>
  <c r="M8487" i="8" s="1"/>
  <c r="L8459" i="8" s="1"/>
  <c r="K77" i="7" s="1"/>
  <c r="H8979" i="8"/>
  <c r="H3573" i="8"/>
  <c r="M6752" i="8"/>
  <c r="J6739" i="8" s="1"/>
  <c r="J63" i="7" s="1"/>
  <c r="H9764" i="8"/>
  <c r="F9764" i="8" s="1"/>
  <c r="L9765" i="8" s="1"/>
  <c r="I1790" i="8"/>
  <c r="M1790" i="8" s="1"/>
  <c r="J9724" i="8"/>
  <c r="I11248" i="8"/>
  <c r="M11248" i="8" s="1"/>
  <c r="H5811" i="8"/>
  <c r="I5836" i="8"/>
  <c r="M5836" i="8" s="1"/>
  <c r="M5841" i="8" s="1"/>
  <c r="L5811" i="8" s="1"/>
  <c r="K59" i="7" s="1"/>
  <c r="I10614" i="8"/>
  <c r="M10614" i="8" s="1"/>
  <c r="M10619" i="8" s="1"/>
  <c r="L10591" i="8" s="1"/>
  <c r="J10801" i="8"/>
  <c r="I10825" i="8"/>
  <c r="M10825" i="8" s="1"/>
  <c r="M10830" i="8" s="1"/>
  <c r="L10801" i="8" s="1"/>
  <c r="K95" i="7" s="1"/>
  <c r="H1977" i="8"/>
  <c r="F1977" i="8" s="1"/>
  <c r="H2187" i="8"/>
  <c r="F2187" i="8" s="1"/>
  <c r="J10717" i="8"/>
  <c r="I10740" i="8"/>
  <c r="M10740" i="8" s="1"/>
  <c r="M10745" i="8" s="1"/>
  <c r="L10717" i="8" s="1"/>
  <c r="K93" i="7" s="1"/>
  <c r="J10759" i="8"/>
  <c r="I10782" i="8"/>
  <c r="M10782" i="8" s="1"/>
  <c r="M10787" i="8" s="1"/>
  <c r="L10759" i="8" s="1"/>
  <c r="K94" i="7" s="1"/>
  <c r="I13801" i="8"/>
  <c r="M13801" i="8" s="1"/>
  <c r="J9643" i="8"/>
  <c r="I9664" i="8"/>
  <c r="M9664" i="8" s="1"/>
  <c r="I9092" i="8"/>
  <c r="M9092" i="8" s="1"/>
  <c r="M9097" i="8" s="1"/>
  <c r="L9067" i="8" s="1"/>
  <c r="I1369" i="8"/>
  <c r="M1369" i="8" s="1"/>
  <c r="J4077" i="8"/>
  <c r="I4016" i="8"/>
  <c r="M4016" i="8" s="1"/>
  <c r="H1851" i="8"/>
  <c r="F1851" i="8" s="1"/>
  <c r="J9155" i="8"/>
  <c r="J1178" i="8"/>
  <c r="H8017" i="8"/>
  <c r="I8040" i="8"/>
  <c r="M8040" i="8" s="1"/>
  <c r="J10067" i="8"/>
  <c r="H3825" i="8"/>
  <c r="H7926" i="8"/>
  <c r="J8891" i="8"/>
  <c r="I2294" i="8"/>
  <c r="M2294" i="8" s="1"/>
  <c r="M2299" i="8" s="1"/>
  <c r="L2271" i="8" s="1"/>
  <c r="F2271" i="8" s="1"/>
  <c r="H8269" i="8"/>
  <c r="I8292" i="8"/>
  <c r="M8292" i="8" s="1"/>
  <c r="I2504" i="8"/>
  <c r="M2504" i="8" s="1"/>
  <c r="M2509" i="8" s="1"/>
  <c r="L2481" i="8" s="1"/>
  <c r="H1935" i="8"/>
  <c r="F1935" i="8" s="1"/>
  <c r="J2313" i="8"/>
  <c r="I2336" i="8"/>
  <c r="M2336" i="8" s="1"/>
  <c r="M10941" i="8"/>
  <c r="I10954" i="8" s="1"/>
  <c r="M10954" i="8" s="1"/>
  <c r="H6603" i="8"/>
  <c r="I3932" i="8"/>
  <c r="M3932" i="8" s="1"/>
  <c r="H4717" i="8"/>
  <c r="I4742" i="8"/>
  <c r="M4742" i="8" s="1"/>
  <c r="H6515" i="8"/>
  <c r="I8166" i="8"/>
  <c r="M8166" i="8" s="1"/>
  <c r="M8171" i="8" s="1"/>
  <c r="L8143" i="8" s="1"/>
  <c r="I8208" i="8"/>
  <c r="M8208" i="8" s="1"/>
  <c r="H8715" i="8"/>
  <c r="J11226" i="8"/>
  <c r="H9111" i="8"/>
  <c r="H8803" i="8"/>
  <c r="I9224" i="8"/>
  <c r="M9224" i="8" s="1"/>
  <c r="M9229" i="8" s="1"/>
  <c r="L9199" i="8" s="1"/>
  <c r="I7510" i="8"/>
  <c r="M7510" i="8" s="1"/>
  <c r="I732" i="8"/>
  <c r="M732" i="8" s="1"/>
  <c r="M737" i="8" s="1"/>
  <c r="L710" i="8" s="1"/>
  <c r="F710" i="8" s="1"/>
  <c r="I7636" i="8"/>
  <c r="M7636" i="8" s="1"/>
  <c r="H1094" i="8"/>
  <c r="I27" i="7" s="1"/>
  <c r="I1118" i="8"/>
  <c r="M1118" i="8" s="1"/>
  <c r="M7749" i="8"/>
  <c r="J1725" i="8"/>
  <c r="I1748" i="8"/>
  <c r="M1748" i="8" s="1"/>
  <c r="M1753" i="8" s="1"/>
  <c r="L1725" i="8" s="1"/>
  <c r="K39" i="7" s="1"/>
  <c r="J1641" i="8"/>
  <c r="I1664" i="8"/>
  <c r="M1664" i="8" s="1"/>
  <c r="M1669" i="8" s="1"/>
  <c r="L1641" i="8" s="1"/>
  <c r="K38" i="7" s="1"/>
  <c r="J1514" i="8"/>
  <c r="I1538" i="8"/>
  <c r="M1538" i="8" s="1"/>
  <c r="M1543" i="8" s="1"/>
  <c r="L1514" i="8" s="1"/>
  <c r="K37" i="7" s="1"/>
  <c r="J7137" i="8"/>
  <c r="H8059" i="8"/>
  <c r="I6012" i="8"/>
  <c r="M6012" i="8" s="1"/>
  <c r="M6017" i="8" s="1"/>
  <c r="L5987" i="8" s="1"/>
  <c r="I8124" i="8"/>
  <c r="M8124" i="8" s="1"/>
  <c r="M8129" i="8" s="1"/>
  <c r="L8101" i="8" s="1"/>
  <c r="J7223" i="8"/>
  <c r="I9048" i="8"/>
  <c r="M9048" i="8" s="1"/>
  <c r="I2084" i="8"/>
  <c r="M2084" i="8" s="1"/>
  <c r="M2089" i="8" s="1"/>
  <c r="L2061" i="8" s="1"/>
  <c r="F2061" i="8" s="1"/>
  <c r="H1893" i="8"/>
  <c r="F1893" i="8" s="1"/>
  <c r="J1010" i="8"/>
  <c r="I2798" i="8"/>
  <c r="M2798" i="8" s="1"/>
  <c r="M2803" i="8" s="1"/>
  <c r="L2775" i="8" s="1"/>
  <c r="H3741" i="8"/>
  <c r="I7118" i="8"/>
  <c r="M7118" i="8" s="1"/>
  <c r="M7123" i="8" s="1"/>
  <c r="L7093" i="8" s="1"/>
  <c r="H9683" i="8"/>
  <c r="F9683" i="8" s="1"/>
  <c r="L9684" i="8" s="1"/>
  <c r="I10308" i="8"/>
  <c r="M10308" i="8" s="1"/>
  <c r="I2546" i="8"/>
  <c r="M2546" i="8" s="1"/>
  <c r="M2551" i="8" s="1"/>
  <c r="L2523" i="8" s="1"/>
  <c r="J1430" i="8"/>
  <c r="J1262" i="8"/>
  <c r="I4187" i="8"/>
  <c r="M4187" i="8" s="1"/>
  <c r="M4192" i="8" s="1"/>
  <c r="L4164" i="8" s="1"/>
  <c r="F4164" i="8" s="1"/>
  <c r="H1809" i="8"/>
  <c r="F1809" i="8" s="1"/>
  <c r="J1472" i="8"/>
  <c r="I8328" i="8"/>
  <c r="J1304" i="8"/>
  <c r="I1411" i="8"/>
  <c r="M1411" i="8" s="1"/>
  <c r="I10689" i="8"/>
  <c r="N10675" i="8"/>
  <c r="I7594" i="8"/>
  <c r="M7594" i="8" s="1"/>
  <c r="I8378" i="8"/>
  <c r="M8378" i="8" s="1"/>
  <c r="M991" i="8"/>
  <c r="F6075" i="8"/>
  <c r="L6076" i="8" s="1"/>
  <c r="F10633" i="8"/>
  <c r="L10634" i="8" s="1"/>
  <c r="M10035" i="8"/>
  <c r="J10016" i="8" s="1"/>
  <c r="I4271" i="8"/>
  <c r="M4271" i="8" s="1"/>
  <c r="M4276" i="8" s="1"/>
  <c r="L4248" i="8" s="1"/>
  <c r="I8960" i="8"/>
  <c r="M8960" i="8" s="1"/>
  <c r="M8965" i="8" s="1"/>
  <c r="L8935" i="8" s="1"/>
  <c r="I7823" i="8"/>
  <c r="M7823" i="8" s="1"/>
  <c r="M7828" i="8" s="1"/>
  <c r="L7800" i="8" s="1"/>
  <c r="J11267" i="8"/>
  <c r="I3554" i="8"/>
  <c r="M3554" i="8" s="1"/>
  <c r="M3559" i="8" s="1"/>
  <c r="L3531" i="8" s="1"/>
  <c r="J2229" i="8"/>
  <c r="I2042" i="8"/>
  <c r="M2042" i="8" s="1"/>
  <c r="M2047" i="8" s="1"/>
  <c r="L2019" i="8" s="1"/>
  <c r="F2019" i="8" s="1"/>
  <c r="I1739" i="8"/>
  <c r="M1739" i="8" s="1"/>
  <c r="M1744" i="8" s="1"/>
  <c r="H1725" i="8" s="1"/>
  <c r="I39" i="7" s="1"/>
  <c r="L11631" i="8"/>
  <c r="N4677" i="8"/>
  <c r="L50" i="7" s="1"/>
  <c r="I4690" i="8"/>
  <c r="M4690" i="8" s="1"/>
  <c r="M4695" i="8" s="1"/>
  <c r="H7529" i="8"/>
  <c r="I72" i="7" s="1"/>
  <c r="I76" i="8"/>
  <c r="J11185" i="8"/>
  <c r="I11207" i="8"/>
  <c r="M11207" i="8" s="1"/>
  <c r="M11212" i="8" s="1"/>
  <c r="L11185" i="8" s="1"/>
  <c r="I3890" i="8"/>
  <c r="M3890" i="8" s="1"/>
  <c r="J3867" i="8"/>
  <c r="J49" i="7" s="1"/>
  <c r="L8449" i="8"/>
  <c r="M8435" i="8"/>
  <c r="M8437" i="8" s="1"/>
  <c r="J8396" i="8" s="1"/>
  <c r="M11852" i="8"/>
  <c r="H8583" i="8"/>
  <c r="I8608" i="8"/>
  <c r="M8608" i="8" s="1"/>
  <c r="M8613" i="8" s="1"/>
  <c r="L8583" i="8" s="1"/>
  <c r="J11144" i="8"/>
  <c r="I11166" i="8"/>
  <c r="M11166" i="8" s="1"/>
  <c r="J10844" i="8"/>
  <c r="I10868" i="8"/>
  <c r="M10868" i="8" s="1"/>
  <c r="M10873" i="8" s="1"/>
  <c r="L10844" i="8" s="1"/>
  <c r="H5591" i="8"/>
  <c r="I5616" i="8"/>
  <c r="M5616" i="8" s="1"/>
  <c r="M5621" i="8" s="1"/>
  <c r="L5591" i="8" s="1"/>
  <c r="H4035" i="8"/>
  <c r="I4058" i="8"/>
  <c r="M4058" i="8" s="1"/>
  <c r="M4063" i="8" s="1"/>
  <c r="L4035" i="8" s="1"/>
  <c r="I2420" i="8"/>
  <c r="M2420" i="8" s="1"/>
  <c r="M2425" i="8" s="1"/>
  <c r="L2397" i="8" s="1"/>
  <c r="J2397" i="8"/>
  <c r="F1557" i="8"/>
  <c r="L1558" i="8" s="1"/>
  <c r="M8449" i="8"/>
  <c r="M8454" i="8" s="1"/>
  <c r="N8396" i="8" s="1"/>
  <c r="J10370" i="8"/>
  <c r="I10396" i="8"/>
  <c r="M10396" i="8" s="1"/>
  <c r="H8671" i="8"/>
  <c r="I8696" i="8"/>
  <c r="M8696" i="8" s="1"/>
  <c r="M8701" i="8" s="1"/>
  <c r="L8671" i="8" s="1"/>
  <c r="H6207" i="8"/>
  <c r="I6232" i="8"/>
  <c r="M6232" i="8" s="1"/>
  <c r="M6237" i="8" s="1"/>
  <c r="L6207" i="8" s="1"/>
  <c r="I6584" i="8"/>
  <c r="M6584" i="8" s="1"/>
  <c r="M6589" i="8" s="1"/>
  <c r="L6559" i="8" s="1"/>
  <c r="H6559" i="8"/>
  <c r="N44" i="9"/>
  <c r="N41" i="9"/>
  <c r="N27" i="9"/>
  <c r="E27" i="9" s="1"/>
  <c r="N43" i="9"/>
  <c r="N40" i="9"/>
  <c r="N42" i="9"/>
  <c r="I11330" i="8"/>
  <c r="M11330" i="8" s="1"/>
  <c r="M11335" i="8" s="1"/>
  <c r="L11308" i="8" s="1"/>
  <c r="J11308" i="8"/>
  <c r="H10675" i="8"/>
  <c r="I10698" i="8"/>
  <c r="I8379" i="8"/>
  <c r="M8379" i="8" s="1"/>
  <c r="J8356" i="8"/>
  <c r="J8759" i="8"/>
  <c r="I8784" i="8"/>
  <c r="M8784" i="8" s="1"/>
  <c r="J5943" i="8"/>
  <c r="I5968" i="8"/>
  <c r="M5968" i="8" s="1"/>
  <c r="M5973" i="8" s="1"/>
  <c r="L5943" i="8" s="1"/>
  <c r="K60" i="7" s="1"/>
  <c r="I5704" i="8"/>
  <c r="M5704" i="8" s="1"/>
  <c r="M5709" i="8" s="1"/>
  <c r="L5679" i="8" s="1"/>
  <c r="H5679" i="8"/>
  <c r="H3699" i="8"/>
  <c r="I3722" i="8"/>
  <c r="M3722" i="8" s="1"/>
  <c r="M3727" i="8" s="1"/>
  <c r="L3699" i="8" s="1"/>
  <c r="H3951" i="8"/>
  <c r="I3974" i="8"/>
  <c r="M3974" i="8" s="1"/>
  <c r="M3979" i="8" s="1"/>
  <c r="L3951" i="8" s="1"/>
  <c r="I2840" i="8"/>
  <c r="M2840" i="8" s="1"/>
  <c r="M2845" i="8" s="1"/>
  <c r="L2817" i="8" s="1"/>
  <c r="J2817" i="8"/>
  <c r="H843" i="8"/>
  <c r="I866" i="8"/>
  <c r="M866" i="8" s="1"/>
  <c r="M871" i="8" s="1"/>
  <c r="L843" i="8" s="1"/>
  <c r="I35" i="8"/>
  <c r="M11" i="9"/>
  <c r="K13810" i="8"/>
  <c r="K13726" i="8"/>
  <c r="K13768" i="8"/>
  <c r="K13684" i="8"/>
  <c r="K13641" i="8"/>
  <c r="K13505" i="8"/>
  <c r="M13505" i="8" s="1"/>
  <c r="M13510" i="8" s="1"/>
  <c r="K13455" i="8"/>
  <c r="M13455" i="8" s="1"/>
  <c r="M13460" i="8" s="1"/>
  <c r="K13405" i="8"/>
  <c r="M13405" i="8" s="1"/>
  <c r="M13410" i="8" s="1"/>
  <c r="K13355" i="8"/>
  <c r="M13355" i="8" s="1"/>
  <c r="M13360" i="8" s="1"/>
  <c r="K13305" i="8"/>
  <c r="M13305" i="8" s="1"/>
  <c r="M13310" i="8" s="1"/>
  <c r="K13255" i="8"/>
  <c r="M13255" i="8" s="1"/>
  <c r="M13260" i="8" s="1"/>
  <c r="K13205" i="8"/>
  <c r="M13205" i="8" s="1"/>
  <c r="M13210" i="8" s="1"/>
  <c r="K13155" i="8"/>
  <c r="M13155" i="8" s="1"/>
  <c r="M13160" i="8" s="1"/>
  <c r="K13105" i="8"/>
  <c r="M13105" i="8" s="1"/>
  <c r="M13110" i="8" s="1"/>
  <c r="K13055" i="8"/>
  <c r="M13055" i="8" s="1"/>
  <c r="M13060" i="8" s="1"/>
  <c r="K13005" i="8"/>
  <c r="M13005" i="8" s="1"/>
  <c r="M13010" i="8" s="1"/>
  <c r="K12955" i="8"/>
  <c r="M12955" i="8" s="1"/>
  <c r="M12960" i="8" s="1"/>
  <c r="K12905" i="8"/>
  <c r="M12905" i="8" s="1"/>
  <c r="M12910" i="8" s="1"/>
  <c r="K12855" i="8"/>
  <c r="M12855" i="8" s="1"/>
  <c r="M12860" i="8" s="1"/>
  <c r="K12805" i="8"/>
  <c r="M12805" i="8" s="1"/>
  <c r="M12810" i="8" s="1"/>
  <c r="K12755" i="8"/>
  <c r="M12755" i="8" s="1"/>
  <c r="M12760" i="8" s="1"/>
  <c r="K12705" i="8"/>
  <c r="M12705" i="8" s="1"/>
  <c r="M12710" i="8" s="1"/>
  <c r="K12655" i="8"/>
  <c r="M12655" i="8" s="1"/>
  <c r="M12660" i="8" s="1"/>
  <c r="K12605" i="8"/>
  <c r="M12605" i="8" s="1"/>
  <c r="M12610" i="8" s="1"/>
  <c r="K12555" i="8"/>
  <c r="M12555" i="8" s="1"/>
  <c r="M12560" i="8" s="1"/>
  <c r="K12505" i="8"/>
  <c r="M12505" i="8" s="1"/>
  <c r="M12510" i="8" s="1"/>
  <c r="K12455" i="8"/>
  <c r="M12455" i="8" s="1"/>
  <c r="M12460" i="8" s="1"/>
  <c r="K11257" i="8"/>
  <c r="K11134" i="8"/>
  <c r="K11050" i="8"/>
  <c r="M11050" i="8" s="1"/>
  <c r="M11055" i="8" s="1"/>
  <c r="K13555" i="8"/>
  <c r="M13555" i="8" s="1"/>
  <c r="M13560" i="8" s="1"/>
  <c r="K13598" i="8"/>
  <c r="M13598" i="8" s="1"/>
  <c r="M13603" i="8" s="1"/>
  <c r="K11721" i="8"/>
  <c r="M11721" i="8" s="1"/>
  <c r="M11726" i="8" s="1"/>
  <c r="K12186" i="8"/>
  <c r="M12186" i="8" s="1"/>
  <c r="M12191" i="8" s="1"/>
  <c r="K12082" i="8"/>
  <c r="M12082" i="8" s="1"/>
  <c r="M12087" i="8" s="1"/>
  <c r="K11422" i="8"/>
  <c r="K10963" i="8"/>
  <c r="K12342" i="8"/>
  <c r="M12342" i="8" s="1"/>
  <c r="M12347" i="8" s="1"/>
  <c r="K11978" i="8"/>
  <c r="M11978" i="8" s="1"/>
  <c r="M11983" i="8" s="1"/>
  <c r="K11339" i="8"/>
  <c r="K12134" i="8"/>
  <c r="M12134" i="8" s="1"/>
  <c r="M12139" i="8" s="1"/>
  <c r="K12030" i="8"/>
  <c r="M12030" i="8" s="1"/>
  <c r="M12035" i="8" s="1"/>
  <c r="K11380" i="8"/>
  <c r="K11874" i="8"/>
  <c r="M11874" i="8" s="1"/>
  <c r="M11879" i="8" s="1"/>
  <c r="K11620" i="8"/>
  <c r="M11620" i="8" s="1"/>
  <c r="M11625" i="8" s="1"/>
  <c r="K11298" i="8"/>
  <c r="K12290" i="8"/>
  <c r="M12290" i="8" s="1"/>
  <c r="M12295" i="8" s="1"/>
  <c r="K11926" i="8"/>
  <c r="M11926" i="8" s="1"/>
  <c r="M11931" i="8" s="1"/>
  <c r="K11568" i="8"/>
  <c r="K12238" i="8"/>
  <c r="M12238" i="8" s="1"/>
  <c r="M12243" i="8" s="1"/>
  <c r="K11773" i="8"/>
  <c r="M11773" i="8" s="1"/>
  <c r="M11778" i="8" s="1"/>
  <c r="K11464" i="8"/>
  <c r="K11516" i="8"/>
  <c r="K10316" i="8"/>
  <c r="K11175" i="8"/>
  <c r="K10623" i="8"/>
  <c r="K10498" i="8"/>
  <c r="K10360" i="8"/>
  <c r="K10228" i="8"/>
  <c r="K10097" i="8"/>
  <c r="K10581" i="8"/>
  <c r="K10540" i="8"/>
  <c r="K10451" i="8"/>
  <c r="K10139" i="8"/>
  <c r="K11216" i="8"/>
  <c r="K11092" i="8"/>
  <c r="K11007" i="8"/>
  <c r="K10877" i="8"/>
  <c r="K10404" i="8"/>
  <c r="K10272" i="8"/>
  <c r="K10183" i="8"/>
  <c r="K10057" i="8"/>
  <c r="K9925" i="8"/>
  <c r="K9537" i="8"/>
  <c r="K9331" i="8"/>
  <c r="K10920" i="8"/>
  <c r="K9424" i="8"/>
  <c r="K8532" i="8"/>
  <c r="K9592" i="8"/>
  <c r="K9481" i="8"/>
  <c r="K8049" i="8"/>
  <c r="K8008" i="8"/>
  <c r="M8008" i="8" s="1"/>
  <c r="K10006" i="8"/>
  <c r="K9754" i="8"/>
  <c r="K9380" i="8"/>
  <c r="K9233" i="8"/>
  <c r="K9145" i="8"/>
  <c r="K9057" i="8"/>
  <c r="K8969" i="8"/>
  <c r="K8881" i="8"/>
  <c r="K8793" i="8"/>
  <c r="K8705" i="8"/>
  <c r="K8617" i="8"/>
  <c r="K8175" i="8"/>
  <c r="K9536" i="8"/>
  <c r="K9282" i="8"/>
  <c r="K12394" i="8"/>
  <c r="M12394" i="8" s="1"/>
  <c r="M12399" i="8" s="1"/>
  <c r="K9593" i="8"/>
  <c r="K9480" i="8"/>
  <c r="K8217" i="8"/>
  <c r="K8009" i="8"/>
  <c r="K8837" i="8"/>
  <c r="K8133" i="8"/>
  <c r="K7832" i="8"/>
  <c r="K7478" i="8"/>
  <c r="K7083" i="8"/>
  <c r="K6685" i="8"/>
  <c r="K6637" i="8"/>
  <c r="K6461" i="8"/>
  <c r="K6197" i="8"/>
  <c r="K8573" i="8"/>
  <c r="K7128" i="8"/>
  <c r="M7128" i="8" s="1"/>
  <c r="K6998" i="8"/>
  <c r="K6909" i="8"/>
  <c r="K6864" i="8"/>
  <c r="K6819" i="8"/>
  <c r="K9835" i="8"/>
  <c r="K9013" i="8"/>
  <c r="K8007" i="8"/>
  <c r="K7603" i="8"/>
  <c r="K7298" i="8"/>
  <c r="K6593" i="8"/>
  <c r="K6417" i="8"/>
  <c r="K6153" i="8"/>
  <c r="K8749" i="8"/>
  <c r="K7874" i="8"/>
  <c r="K7732" i="8"/>
  <c r="K6774" i="8"/>
  <c r="K6373" i="8"/>
  <c r="K6065" i="8"/>
  <c r="K5933" i="8"/>
  <c r="K9189" i="8"/>
  <c r="K7958" i="8"/>
  <c r="K6686" i="8"/>
  <c r="K6684" i="8"/>
  <c r="K6549" i="8"/>
  <c r="K6329" i="8"/>
  <c r="K9673" i="8"/>
  <c r="K8925" i="8"/>
  <c r="K8386" i="8"/>
  <c r="M8386" i="8" s="1"/>
  <c r="M8391" i="8" s="1"/>
  <c r="N8356" i="8" s="1"/>
  <c r="K7645" i="8"/>
  <c r="K7519" i="8"/>
  <c r="K7256" i="8"/>
  <c r="K7213" i="8"/>
  <c r="K7170" i="8"/>
  <c r="K7127" i="8"/>
  <c r="K7039" i="8"/>
  <c r="K6729" i="8"/>
  <c r="K6285" i="8"/>
  <c r="K6021" i="8"/>
  <c r="K5669" i="8"/>
  <c r="K5493" i="8"/>
  <c r="K8661" i="8"/>
  <c r="K8259" i="8"/>
  <c r="K7916" i="8"/>
  <c r="K7689" i="8"/>
  <c r="K7340" i="8"/>
  <c r="K6505" i="8"/>
  <c r="K9101" i="8"/>
  <c r="K5317" i="8"/>
  <c r="K4795" i="8"/>
  <c r="K4324" i="8"/>
  <c r="K3983" i="8"/>
  <c r="K3647" i="8"/>
  <c r="K7561" i="8"/>
  <c r="K5801" i="8"/>
  <c r="K5405" i="8"/>
  <c r="K4238" i="8"/>
  <c r="K3899" i="8"/>
  <c r="K3563" i="8"/>
  <c r="K2933" i="8"/>
  <c r="K8091" i="8"/>
  <c r="K6953" i="8"/>
  <c r="K5449" i="8"/>
  <c r="K5275" i="8"/>
  <c r="K5233" i="8"/>
  <c r="K4626" i="8"/>
  <c r="K4412" i="8"/>
  <c r="K4025" i="8"/>
  <c r="K3689" i="8"/>
  <c r="K3479" i="8"/>
  <c r="K3395" i="8"/>
  <c r="K3311" i="8"/>
  <c r="K3227" i="8"/>
  <c r="K3143" i="8"/>
  <c r="K3059" i="8"/>
  <c r="K7384" i="8"/>
  <c r="K5147" i="8"/>
  <c r="K4280" i="8"/>
  <c r="K3815" i="8"/>
  <c r="K2975" i="8"/>
  <c r="K4544" i="8"/>
  <c r="K4368" i="8"/>
  <c r="K4154" i="8"/>
  <c r="K3941" i="8"/>
  <c r="K3605" i="8"/>
  <c r="K5625" i="8"/>
  <c r="K5191" i="8"/>
  <c r="K5103" i="8"/>
  <c r="K4067" i="8"/>
  <c r="K3731" i="8"/>
  <c r="K6241" i="8"/>
  <c r="K5977" i="8"/>
  <c r="K5581" i="8"/>
  <c r="K5537" i="8"/>
  <c r="K5059" i="8"/>
  <c r="K5015" i="8"/>
  <c r="K4971" i="8"/>
  <c r="K4927" i="8"/>
  <c r="K4883" i="8"/>
  <c r="K4839" i="8"/>
  <c r="K2261" i="8"/>
  <c r="K1925" i="8"/>
  <c r="K2891" i="8"/>
  <c r="K2849" i="8"/>
  <c r="K2471" i="8"/>
  <c r="K2051" i="8"/>
  <c r="K5361" i="8"/>
  <c r="K4751" i="8"/>
  <c r="K4500" i="8"/>
  <c r="K3521" i="8"/>
  <c r="K3437" i="8"/>
  <c r="K3353" i="8"/>
  <c r="K3269" i="8"/>
  <c r="K3185" i="8"/>
  <c r="K3101" i="8"/>
  <c r="K2765" i="8"/>
  <c r="K2681" i="8"/>
  <c r="K2177" i="8"/>
  <c r="K1841" i="8"/>
  <c r="K2597" i="8"/>
  <c r="K2387" i="8"/>
  <c r="K2303" i="8"/>
  <c r="K1967" i="8"/>
  <c r="K4196" i="8"/>
  <c r="K3017" i="8"/>
  <c r="K2513" i="8"/>
  <c r="K2093" i="8"/>
  <c r="K5757" i="8"/>
  <c r="K2723" i="8"/>
  <c r="K2429" i="8"/>
  <c r="K2009" i="8"/>
  <c r="K5713" i="8"/>
  <c r="K4667" i="8"/>
  <c r="K4456" i="8"/>
  <c r="K3773" i="8"/>
  <c r="K2639" i="8"/>
  <c r="K2555" i="8"/>
  <c r="K2345" i="8"/>
  <c r="K2135" i="8"/>
  <c r="K1799" i="8"/>
  <c r="K833" i="8"/>
  <c r="K618" i="8"/>
  <c r="K536" i="8"/>
  <c r="K492" i="8"/>
  <c r="K448" i="8"/>
  <c r="K366" i="8"/>
  <c r="K117" i="8"/>
  <c r="K3857" i="8"/>
  <c r="K1378" i="8"/>
  <c r="K1252" i="8"/>
  <c r="K1084" i="8"/>
  <c r="K76" i="8"/>
  <c r="K1504" i="8"/>
  <c r="K1211" i="8"/>
  <c r="M1211" i="8" s="1"/>
  <c r="K917" i="8"/>
  <c r="K659" i="8"/>
  <c r="K200" i="8"/>
  <c r="K1883" i="8"/>
  <c r="K875" i="8"/>
  <c r="K741" i="8"/>
  <c r="K282" i="8"/>
  <c r="K35" i="8"/>
  <c r="K1420" i="8"/>
  <c r="K1294" i="8"/>
  <c r="K959" i="8"/>
  <c r="K159" i="8"/>
  <c r="K2219" i="8"/>
  <c r="K1168" i="8"/>
  <c r="K1000" i="8"/>
  <c r="K791" i="8"/>
  <c r="K701" i="8"/>
  <c r="K577" i="8"/>
  <c r="K407" i="8"/>
  <c r="K2807" i="8"/>
  <c r="K1042" i="8"/>
  <c r="K324" i="8"/>
  <c r="K241" i="8"/>
  <c r="K1462" i="8"/>
  <c r="K1336" i="8"/>
  <c r="K1210" i="8"/>
  <c r="H3657" i="8"/>
  <c r="I3680" i="8"/>
  <c r="M3680" i="8" s="1"/>
  <c r="M3685" i="8" s="1"/>
  <c r="L3657" i="8" s="1"/>
  <c r="I13675" i="8"/>
  <c r="M13675" i="8" s="1"/>
  <c r="M13680" i="8" s="1"/>
  <c r="L13651" i="8" s="1"/>
  <c r="H13651" i="8"/>
  <c r="M11751" i="8"/>
  <c r="H11731" i="8" s="1"/>
  <c r="J10326" i="8"/>
  <c r="I10352" i="8"/>
  <c r="M10352" i="8" s="1"/>
  <c r="H5635" i="8"/>
  <c r="I5660" i="8"/>
  <c r="M5660" i="8" s="1"/>
  <c r="M5665" i="8" s="1"/>
  <c r="L5635" i="8" s="1"/>
  <c r="H3615" i="8"/>
  <c r="I3638" i="8"/>
  <c r="M3638" i="8" s="1"/>
  <c r="M3643" i="8" s="1"/>
  <c r="L3615" i="8" s="1"/>
  <c r="H2145" i="8"/>
  <c r="I2168" i="8"/>
  <c r="M2168" i="8" s="1"/>
  <c r="M2173" i="8" s="1"/>
  <c r="L2145" i="8" s="1"/>
  <c r="H2439" i="8"/>
  <c r="I2462" i="8"/>
  <c r="M2462" i="8" s="1"/>
  <c r="M2467" i="8" s="1"/>
  <c r="L2439" i="8" s="1"/>
  <c r="F1683" i="8"/>
  <c r="L1684" i="8" s="1"/>
  <c r="J1220" i="8"/>
  <c r="I1243" i="8"/>
  <c r="M1243" i="8" s="1"/>
  <c r="E57" i="9"/>
  <c r="K42" i="9"/>
  <c r="K44" i="9"/>
  <c r="K41" i="9"/>
  <c r="K54" i="9"/>
  <c r="E54" i="9" s="1"/>
  <c r="K43" i="9"/>
  <c r="K40" i="9"/>
  <c r="E40" i="9" s="1"/>
  <c r="I13632" i="8"/>
  <c r="M13632" i="8" s="1"/>
  <c r="M13637" i="8" s="1"/>
  <c r="L13608" i="8" s="1"/>
  <c r="J13608" i="8"/>
  <c r="I6056" i="8"/>
  <c r="M6056" i="8" s="1"/>
  <c r="M6061" i="8" s="1"/>
  <c r="L6031" i="8" s="1"/>
  <c r="H6031" i="8"/>
  <c r="F1599" i="8"/>
  <c r="L1600" i="8" s="1"/>
  <c r="N39" i="9"/>
  <c r="N37" i="9"/>
  <c r="N35" i="9"/>
  <c r="N33" i="9"/>
  <c r="N24" i="9"/>
  <c r="E24" i="9" s="1"/>
  <c r="N30" i="9"/>
  <c r="N32" i="9"/>
  <c r="N38" i="9"/>
  <c r="N36" i="9"/>
  <c r="N34" i="9"/>
  <c r="N29" i="9"/>
  <c r="N26" i="9"/>
  <c r="E26" i="9" s="1"/>
  <c r="N31" i="9"/>
  <c r="N25" i="9"/>
  <c r="E25" i="9" s="1"/>
  <c r="E58" i="9"/>
  <c r="N28" i="9"/>
  <c r="N52" i="9"/>
  <c r="N49" i="9"/>
  <c r="N51" i="9"/>
  <c r="N48" i="9"/>
  <c r="N50" i="9"/>
  <c r="I10998" i="8"/>
  <c r="M10998" i="8" s="1"/>
  <c r="M11003" i="8" s="1"/>
  <c r="L10973" i="8" s="1"/>
  <c r="J10973" i="8"/>
  <c r="I6188" i="8"/>
  <c r="M6188" i="8" s="1"/>
  <c r="M6193" i="8" s="1"/>
  <c r="L6163" i="8" s="1"/>
  <c r="H6163" i="8"/>
  <c r="J6963" i="8"/>
  <c r="I2882" i="8"/>
  <c r="M2882" i="8" s="1"/>
  <c r="M2887" i="8" s="1"/>
  <c r="L2859" i="8" s="1"/>
  <c r="J2859" i="8"/>
  <c r="K50" i="9"/>
  <c r="E50" i="9" s="1"/>
  <c r="K56" i="9"/>
  <c r="E56" i="9" s="1"/>
  <c r="K52" i="9"/>
  <c r="K49" i="9"/>
  <c r="K51" i="9"/>
  <c r="N47" i="9"/>
  <c r="N46" i="9"/>
  <c r="N45" i="9"/>
  <c r="I10572" i="8"/>
  <c r="M10572" i="8" s="1"/>
  <c r="J10550" i="8"/>
  <c r="I6144" i="8"/>
  <c r="M6144" i="8" s="1"/>
  <c r="H6119" i="8"/>
  <c r="I2126" i="8"/>
  <c r="M2126" i="8" s="1"/>
  <c r="M2131" i="8" s="1"/>
  <c r="L2103" i="8" s="1"/>
  <c r="H2103" i="8"/>
  <c r="J292" i="8"/>
  <c r="I315" i="8"/>
  <c r="M315" i="8" s="1"/>
  <c r="J546" i="8"/>
  <c r="I568" i="8"/>
  <c r="M568" i="8" s="1"/>
  <c r="K28" i="9"/>
  <c r="K39" i="9"/>
  <c r="K37" i="9"/>
  <c r="K35" i="9"/>
  <c r="K33" i="9"/>
  <c r="K30" i="9"/>
  <c r="K32" i="9"/>
  <c r="K38" i="9"/>
  <c r="K36" i="9"/>
  <c r="K34" i="9"/>
  <c r="K29" i="9"/>
  <c r="E59" i="9"/>
  <c r="K53" i="9"/>
  <c r="E53" i="9" s="1"/>
  <c r="K31" i="9"/>
  <c r="I11371" i="8"/>
  <c r="M11371" i="8" s="1"/>
  <c r="M11376" i="8" s="1"/>
  <c r="L11349" i="8" s="1"/>
  <c r="J11349" i="8"/>
  <c r="H8847" i="8"/>
  <c r="I8872" i="8"/>
  <c r="M8872" i="8" s="1"/>
  <c r="M8877" i="8" s="1"/>
  <c r="L8847" i="8" s="1"/>
  <c r="H7884" i="8"/>
  <c r="I7907" i="8"/>
  <c r="M7907" i="8" s="1"/>
  <c r="M7912" i="8" s="1"/>
  <c r="L7884" i="8" s="1"/>
  <c r="H7447" i="8"/>
  <c r="H3783" i="8"/>
  <c r="I3806" i="8"/>
  <c r="M3806" i="8" s="1"/>
  <c r="M3811" i="8" s="1"/>
  <c r="L3783" i="8" s="1"/>
  <c r="J927" i="8"/>
  <c r="I950" i="8"/>
  <c r="M950" i="8" s="1"/>
  <c r="I357" i="8"/>
  <c r="M357" i="8" s="1"/>
  <c r="J334" i="8"/>
  <c r="J20" i="2"/>
  <c r="H39" i="9"/>
  <c r="H37" i="9"/>
  <c r="H35" i="9"/>
  <c r="H38" i="9"/>
  <c r="H36" i="9"/>
  <c r="H34" i="9"/>
  <c r="K47" i="9"/>
  <c r="K55" i="9"/>
  <c r="E55" i="9" s="1"/>
  <c r="K46" i="9"/>
  <c r="K48" i="9"/>
  <c r="K45" i="9"/>
  <c r="F2397" i="8" l="1"/>
  <c r="J35" i="7"/>
  <c r="J30" i="7"/>
  <c r="I120" i="7"/>
  <c r="I119" i="7"/>
  <c r="I118" i="7"/>
  <c r="I117" i="7"/>
  <c r="I116" i="7"/>
  <c r="I115" i="7"/>
  <c r="I114" i="7"/>
  <c r="I113" i="7"/>
  <c r="I112" i="7"/>
  <c r="I111" i="7"/>
  <c r="I110" i="7"/>
  <c r="I109" i="7"/>
  <c r="I108" i="7"/>
  <c r="I107" i="7"/>
  <c r="I105" i="7"/>
  <c r="I104" i="7"/>
  <c r="I100" i="7"/>
  <c r="J66" i="7"/>
  <c r="J123" i="7"/>
  <c r="J91" i="7"/>
  <c r="J86" i="7"/>
  <c r="J87" i="7"/>
  <c r="J78" i="7"/>
  <c r="J80" i="7"/>
  <c r="J88" i="7"/>
  <c r="J84" i="7"/>
  <c r="J99" i="7"/>
  <c r="J98" i="7"/>
  <c r="I59" i="7"/>
  <c r="F5811" i="8"/>
  <c r="J60" i="7"/>
  <c r="F5943" i="8"/>
  <c r="I61" i="7"/>
  <c r="J68" i="7"/>
  <c r="J95" i="7"/>
  <c r="F10801" i="8"/>
  <c r="J94" i="7"/>
  <c r="F10759" i="8"/>
  <c r="J93" i="7"/>
  <c r="F10717" i="8"/>
  <c r="I75" i="7"/>
  <c r="J56" i="7"/>
  <c r="J55" i="7"/>
  <c r="J54" i="7"/>
  <c r="J53" i="7"/>
  <c r="I51" i="7"/>
  <c r="F2103" i="8"/>
  <c r="J42" i="7"/>
  <c r="F2145" i="8"/>
  <c r="J41" i="7"/>
  <c r="J39" i="7"/>
  <c r="F1725" i="8"/>
  <c r="J38" i="7"/>
  <c r="F1641" i="8"/>
  <c r="J37" i="7"/>
  <c r="F1514" i="8"/>
  <c r="J36" i="7"/>
  <c r="J32" i="7"/>
  <c r="J31" i="7"/>
  <c r="J29" i="7"/>
  <c r="J24" i="7"/>
  <c r="F843" i="8"/>
  <c r="J83" i="7"/>
  <c r="J20" i="7"/>
  <c r="J15" i="7"/>
  <c r="J14" i="7"/>
  <c r="E42" i="9"/>
  <c r="E29" i="9"/>
  <c r="I8301" i="8" s="1"/>
  <c r="M8301" i="8" s="1"/>
  <c r="M8306" i="8" s="1"/>
  <c r="N8269" i="8" s="1"/>
  <c r="I13717" i="8"/>
  <c r="M13717" i="8" s="1"/>
  <c r="M13722" i="8" s="1"/>
  <c r="L13694" i="8" s="1"/>
  <c r="M102" i="7"/>
  <c r="K314" i="2" s="1"/>
  <c r="L11784" i="8"/>
  <c r="M101" i="7"/>
  <c r="K313" i="2" s="1"/>
  <c r="M77" i="7"/>
  <c r="K296" i="2" s="1"/>
  <c r="L8460" i="8"/>
  <c r="F9935" i="8"/>
  <c r="L9936" i="8" s="1"/>
  <c r="E43" i="9"/>
  <c r="J299" i="2"/>
  <c r="E35" i="9"/>
  <c r="E30" i="9"/>
  <c r="J273" i="2"/>
  <c r="H11832" i="8"/>
  <c r="J277" i="2"/>
  <c r="J276" i="2"/>
  <c r="J268" i="2"/>
  <c r="J294" i="2"/>
  <c r="J295" i="2"/>
  <c r="M8382" i="8"/>
  <c r="L8356" i="8" s="1"/>
  <c r="F8356" i="8" s="1"/>
  <c r="F9602" i="8"/>
  <c r="L9603" i="8" s="1"/>
  <c r="J303" i="2"/>
  <c r="J302" i="2" s="1"/>
  <c r="I6767" i="8"/>
  <c r="M6767" i="8" s="1"/>
  <c r="F4077" i="8"/>
  <c r="L4078" i="8" s="1"/>
  <c r="J10930" i="8"/>
  <c r="I10048" i="8"/>
  <c r="M10048" i="8" s="1"/>
  <c r="E41" i="9"/>
  <c r="I3563" i="8" s="1"/>
  <c r="M3563" i="8" s="1"/>
  <c r="M3568" i="8" s="1"/>
  <c r="E28" i="9"/>
  <c r="E51" i="9"/>
  <c r="E44" i="9"/>
  <c r="E46" i="9"/>
  <c r="E39" i="9"/>
  <c r="E32" i="9"/>
  <c r="I2597" i="8" s="1"/>
  <c r="M2597" i="8" s="1"/>
  <c r="M2602" i="8" s="1"/>
  <c r="N2565" i="8" s="1"/>
  <c r="L43" i="7" s="1"/>
  <c r="E31" i="9"/>
  <c r="I4154" i="8" s="1"/>
  <c r="M4154" i="8" s="1"/>
  <c r="M4159" i="8" s="1"/>
  <c r="I4699" i="8"/>
  <c r="M4699" i="8" s="1"/>
  <c r="M4703" i="8" s="1"/>
  <c r="L4677" i="8" s="1"/>
  <c r="K50" i="7" s="1"/>
  <c r="H4677" i="8"/>
  <c r="I50" i="7" s="1"/>
  <c r="E48" i="9"/>
  <c r="I6684" i="8" s="1"/>
  <c r="M6684" i="8" s="1"/>
  <c r="E47" i="9"/>
  <c r="E34" i="9"/>
  <c r="E37" i="9"/>
  <c r="I12376" i="8"/>
  <c r="M12376" i="8" s="1"/>
  <c r="M12381" i="8" s="1"/>
  <c r="J12352" i="8" s="1"/>
  <c r="N12352" i="8"/>
  <c r="N11679" i="8"/>
  <c r="I11703" i="8"/>
  <c r="M11703" i="8" s="1"/>
  <c r="M11708" i="8" s="1"/>
  <c r="J11679" i="8" s="1"/>
  <c r="I11908" i="8"/>
  <c r="M11908" i="8" s="1"/>
  <c r="M11913" i="8" s="1"/>
  <c r="N11884" i="8"/>
  <c r="L104" i="7" s="1"/>
  <c r="N13565" i="8"/>
  <c r="L122" i="7" s="1"/>
  <c r="I13580" i="8"/>
  <c r="M13580" i="8" s="1"/>
  <c r="M13585" i="8" s="1"/>
  <c r="I12588" i="8"/>
  <c r="M12588" i="8" s="1"/>
  <c r="M12593" i="8" s="1"/>
  <c r="J12565" i="8" s="1"/>
  <c r="N12565" i="8"/>
  <c r="I12988" i="8"/>
  <c r="M12988" i="8" s="1"/>
  <c r="M12993" i="8" s="1"/>
  <c r="N12965" i="8"/>
  <c r="L114" i="7" s="1"/>
  <c r="I13388" i="8"/>
  <c r="M13388" i="8" s="1"/>
  <c r="M13393" i="8" s="1"/>
  <c r="N13365" i="8"/>
  <c r="L120" i="7" s="1"/>
  <c r="I12938" i="8"/>
  <c r="M12938" i="8" s="1"/>
  <c r="M12943" i="8" s="1"/>
  <c r="N12915" i="8"/>
  <c r="L113" i="7" s="1"/>
  <c r="J270" i="2"/>
  <c r="E36" i="9"/>
  <c r="I10183" i="8"/>
  <c r="M10183" i="8" s="1"/>
  <c r="M10188" i="8" s="1"/>
  <c r="I10623" i="8"/>
  <c r="M10623" i="8" s="1"/>
  <c r="M10628" i="8" s="1"/>
  <c r="I5493" i="8"/>
  <c r="M5493" i="8" s="1"/>
  <c r="M5498" i="8" s="1"/>
  <c r="I4324" i="8"/>
  <c r="M4324" i="8" s="1"/>
  <c r="M4329" i="8" s="1"/>
  <c r="I5361" i="8"/>
  <c r="M5361" i="8" s="1"/>
  <c r="M5366" i="8" s="1"/>
  <c r="I3689" i="8"/>
  <c r="M3689" i="8" s="1"/>
  <c r="M3694" i="8" s="1"/>
  <c r="I3647" i="8"/>
  <c r="M3647" i="8" s="1"/>
  <c r="M3652" i="8" s="1"/>
  <c r="I2891" i="8"/>
  <c r="M2891" i="8" s="1"/>
  <c r="M2896" i="8" s="1"/>
  <c r="N12248" i="8"/>
  <c r="I12272" i="8"/>
  <c r="M12272" i="8" s="1"/>
  <c r="M12277" i="8" s="1"/>
  <c r="J12248" i="8" s="1"/>
  <c r="I11960" i="8"/>
  <c r="M11960" i="8" s="1"/>
  <c r="M11965" i="8" s="1"/>
  <c r="N11936" i="8"/>
  <c r="L105" i="7" s="1"/>
  <c r="N13515" i="8"/>
  <c r="I13538" i="8"/>
  <c r="M13538" i="8" s="1"/>
  <c r="M13543" i="8" s="1"/>
  <c r="J13515" i="8" s="1"/>
  <c r="I12638" i="8"/>
  <c r="M12638" i="8" s="1"/>
  <c r="M12643" i="8" s="1"/>
  <c r="J12615" i="8" s="1"/>
  <c r="N12615" i="8"/>
  <c r="I13038" i="8"/>
  <c r="M13038" i="8" s="1"/>
  <c r="M13043" i="8" s="1"/>
  <c r="J13015" i="8" s="1"/>
  <c r="N13015" i="8"/>
  <c r="I13438" i="8"/>
  <c r="M13438" i="8" s="1"/>
  <c r="M13443" i="8" s="1"/>
  <c r="J13415" i="8" s="1"/>
  <c r="J121" i="7" s="1"/>
  <c r="N13415" i="8"/>
  <c r="L121" i="7" s="1"/>
  <c r="M35" i="8"/>
  <c r="M40" i="8" s="1"/>
  <c r="I12116" i="8"/>
  <c r="M12116" i="8" s="1"/>
  <c r="M12121" i="8" s="1"/>
  <c r="N12092" i="8"/>
  <c r="L107" i="7" s="1"/>
  <c r="I12538" i="8"/>
  <c r="M12538" i="8" s="1"/>
  <c r="M12543" i="8" s="1"/>
  <c r="J12515" i="8" s="1"/>
  <c r="N12515" i="8"/>
  <c r="I13338" i="8"/>
  <c r="M13338" i="8" s="1"/>
  <c r="M13343" i="8" s="1"/>
  <c r="N13315" i="8"/>
  <c r="L119" i="7" s="1"/>
  <c r="F10675" i="8"/>
  <c r="L10676" i="8" s="1"/>
  <c r="E33" i="9"/>
  <c r="I12324" i="8"/>
  <c r="M12324" i="8" s="1"/>
  <c r="M12329" i="8" s="1"/>
  <c r="N12300" i="8"/>
  <c r="L108" i="7" s="1"/>
  <c r="I11032" i="8"/>
  <c r="M11032" i="8" s="1"/>
  <c r="M11037" i="8" s="1"/>
  <c r="N11017" i="8"/>
  <c r="L97" i="7" s="1"/>
  <c r="I12688" i="8"/>
  <c r="M12688" i="8" s="1"/>
  <c r="M12693" i="8" s="1"/>
  <c r="J12665" i="8" s="1"/>
  <c r="N12665" i="8"/>
  <c r="I13088" i="8"/>
  <c r="M13088" i="8" s="1"/>
  <c r="M13093" i="8" s="1"/>
  <c r="N13065" i="8"/>
  <c r="L115" i="7" s="1"/>
  <c r="N13465" i="8"/>
  <c r="I13488" i="8"/>
  <c r="M13488" i="8" s="1"/>
  <c r="M13493" i="8" s="1"/>
  <c r="J13465" i="8" s="1"/>
  <c r="M76" i="8"/>
  <c r="M81" i="8" s="1"/>
  <c r="I4927" i="8"/>
  <c r="M4927" i="8" s="1"/>
  <c r="M4932" i="8" s="1"/>
  <c r="I4839" i="8"/>
  <c r="M4839" i="8" s="1"/>
  <c r="M4844" i="8" s="1"/>
  <c r="I4500" i="8"/>
  <c r="M4500" i="8" s="1"/>
  <c r="M4505" i="8" s="1"/>
  <c r="I3857" i="8"/>
  <c r="M3857" i="8" s="1"/>
  <c r="M3862" i="8" s="1"/>
  <c r="I4456" i="8"/>
  <c r="M4456" i="8" s="1"/>
  <c r="M4461" i="8" s="1"/>
  <c r="I3899" i="8"/>
  <c r="M3899" i="8" s="1"/>
  <c r="M3904" i="8" s="1"/>
  <c r="I4412" i="8"/>
  <c r="M4412" i="8" s="1"/>
  <c r="M4417" i="8" s="1"/>
  <c r="I3059" i="8"/>
  <c r="M3059" i="8" s="1"/>
  <c r="M3064" i="8" s="1"/>
  <c r="I3941" i="8"/>
  <c r="M3941" i="8" s="1"/>
  <c r="M3946" i="8" s="1"/>
  <c r="I5625" i="8"/>
  <c r="M5625" i="8" s="1"/>
  <c r="M5630" i="8" s="1"/>
  <c r="I3017" i="8"/>
  <c r="M3017" i="8" s="1"/>
  <c r="M3022" i="8" s="1"/>
  <c r="E49" i="9"/>
  <c r="I2849" i="8"/>
  <c r="M2849" i="8" s="1"/>
  <c r="M2854" i="8" s="1"/>
  <c r="I2807" i="8"/>
  <c r="M2807" i="8" s="1"/>
  <c r="M2812" i="8" s="1"/>
  <c r="I11602" i="8"/>
  <c r="M11602" i="8" s="1"/>
  <c r="M11607" i="8" s="1"/>
  <c r="N11578" i="8"/>
  <c r="L100" i="7" s="1"/>
  <c r="I12738" i="8"/>
  <c r="M12738" i="8" s="1"/>
  <c r="M12743" i="8" s="1"/>
  <c r="N12715" i="8"/>
  <c r="L109" i="7" s="1"/>
  <c r="I13138" i="8"/>
  <c r="M13138" i="8" s="1"/>
  <c r="M13143" i="8" s="1"/>
  <c r="N13115" i="8"/>
  <c r="L116" i="7" s="1"/>
  <c r="F8396" i="8"/>
  <c r="J222" i="10" s="1"/>
  <c r="E38" i="9"/>
  <c r="E45" i="9"/>
  <c r="I10498" i="8"/>
  <c r="M10498" i="8" s="1"/>
  <c r="M10503" i="8" s="1"/>
  <c r="I10316" i="8"/>
  <c r="M10316" i="8" s="1"/>
  <c r="M10321" i="8" s="1"/>
  <c r="I10451" i="8"/>
  <c r="M10451" i="8" s="1"/>
  <c r="M10456" i="8" s="1"/>
  <c r="I10404" i="8"/>
  <c r="M10404" i="8" s="1"/>
  <c r="M10409" i="8" s="1"/>
  <c r="I9592" i="8"/>
  <c r="M9592" i="8" s="1"/>
  <c r="I8049" i="8"/>
  <c r="M8049" i="8" s="1"/>
  <c r="M8054" i="8" s="1"/>
  <c r="I9536" i="8"/>
  <c r="M9536" i="8" s="1"/>
  <c r="I8091" i="8"/>
  <c r="M8091" i="8" s="1"/>
  <c r="M8096" i="8" s="1"/>
  <c r="I6864" i="8"/>
  <c r="M6864" i="8" s="1"/>
  <c r="M6869" i="8" s="1"/>
  <c r="I9480" i="8"/>
  <c r="M9480" i="8" s="1"/>
  <c r="I791" i="8"/>
  <c r="M791" i="8" s="1"/>
  <c r="M796" i="8" s="1"/>
  <c r="I577" i="8"/>
  <c r="M577" i="8" s="1"/>
  <c r="M582" i="8" s="1"/>
  <c r="E52" i="9"/>
  <c r="I6685" i="8" s="1"/>
  <c r="M6685" i="8" s="1"/>
  <c r="E67" i="9"/>
  <c r="N11832" i="8"/>
  <c r="L103" i="7" s="1"/>
  <c r="I11856" i="8"/>
  <c r="M11856" i="8" s="1"/>
  <c r="M11861" i="8" s="1"/>
  <c r="J11832" i="8" s="1"/>
  <c r="J103" i="7" s="1"/>
  <c r="I12788" i="8"/>
  <c r="M12788" i="8" s="1"/>
  <c r="M12793" i="8" s="1"/>
  <c r="N12765" i="8"/>
  <c r="L110" i="7" s="1"/>
  <c r="I13188" i="8"/>
  <c r="M13188" i="8" s="1"/>
  <c r="M13193" i="8" s="1"/>
  <c r="N13165" i="8"/>
  <c r="L117" i="7" s="1"/>
  <c r="I11092" i="8"/>
  <c r="M11092" i="8" s="1"/>
  <c r="M11097" i="8" s="1"/>
  <c r="I11422" i="8"/>
  <c r="M11422" i="8" s="1"/>
  <c r="M11427" i="8" s="1"/>
  <c r="I11464" i="8"/>
  <c r="M11464" i="8" s="1"/>
  <c r="M11469" i="8" s="1"/>
  <c r="I11134" i="8"/>
  <c r="M11134" i="8" s="1"/>
  <c r="M11139" i="8" s="1"/>
  <c r="I6686" i="8"/>
  <c r="M6686" i="8" s="1"/>
  <c r="I917" i="8"/>
  <c r="M917" i="8" s="1"/>
  <c r="M922" i="8" s="1"/>
  <c r="I701" i="8"/>
  <c r="M701" i="8" s="1"/>
  <c r="M706" i="8" s="1"/>
  <c r="N11731" i="8"/>
  <c r="I11755" i="8"/>
  <c r="M11755" i="8" s="1"/>
  <c r="M11760" i="8" s="1"/>
  <c r="J11731" i="8" s="1"/>
  <c r="I12064" i="8"/>
  <c r="M12064" i="8" s="1"/>
  <c r="M12069" i="8" s="1"/>
  <c r="J12040" i="8" s="1"/>
  <c r="N12040" i="8"/>
  <c r="I12437" i="8"/>
  <c r="M12437" i="8" s="1"/>
  <c r="M12442" i="8" s="1"/>
  <c r="J12404" i="8" s="1"/>
  <c r="N12404" i="8"/>
  <c r="I12838" i="8"/>
  <c r="M12838" i="8" s="1"/>
  <c r="M12843" i="8" s="1"/>
  <c r="N12815" i="8"/>
  <c r="L111" i="7" s="1"/>
  <c r="I13238" i="8"/>
  <c r="M13238" i="8" s="1"/>
  <c r="M13243" i="8" s="1"/>
  <c r="J13215" i="8" s="1"/>
  <c r="N13215" i="8"/>
  <c r="I10360" i="8"/>
  <c r="M10360" i="8" s="1"/>
  <c r="M10365" i="8" s="1"/>
  <c r="I10581" i="8"/>
  <c r="M10581" i="8" s="1"/>
  <c r="M10586" i="8" s="1"/>
  <c r="I10540" i="8"/>
  <c r="M10540" i="8" s="1"/>
  <c r="M10545" i="8" s="1"/>
  <c r="I10139" i="8"/>
  <c r="M10139" i="8" s="1"/>
  <c r="M10144" i="8" s="1"/>
  <c r="I9835" i="8"/>
  <c r="M9835" i="8" s="1"/>
  <c r="M9840" i="8" s="1"/>
  <c r="I9673" i="8"/>
  <c r="M9673" i="8" s="1"/>
  <c r="M9678" i="8" s="1"/>
  <c r="I8573" i="8"/>
  <c r="M8573" i="8" s="1"/>
  <c r="M8578" i="8" s="1"/>
  <c r="I9925" i="8"/>
  <c r="M9925" i="8" s="1"/>
  <c r="M9930" i="8" s="1"/>
  <c r="I9754" i="8"/>
  <c r="M9754" i="8" s="1"/>
  <c r="M9759" i="8" s="1"/>
  <c r="I7478" i="8"/>
  <c r="M7478" i="8" s="1"/>
  <c r="M7483" i="8" s="1"/>
  <c r="I6637" i="8"/>
  <c r="M6637" i="8" s="1"/>
  <c r="M6642" i="8" s="1"/>
  <c r="I6197" i="8"/>
  <c r="M6197" i="8" s="1"/>
  <c r="M6202" i="8" s="1"/>
  <c r="I8007" i="8"/>
  <c r="M8007" i="8" s="1"/>
  <c r="I6593" i="8"/>
  <c r="M6593" i="8" s="1"/>
  <c r="M6598" i="8" s="1"/>
  <c r="I6153" i="8"/>
  <c r="M6153" i="8" s="1"/>
  <c r="M6158" i="8" s="1"/>
  <c r="I10057" i="8"/>
  <c r="M10057" i="8" s="1"/>
  <c r="M10062" i="8" s="1"/>
  <c r="I7732" i="8"/>
  <c r="M7732" i="8" s="1"/>
  <c r="M7737" i="8" s="1"/>
  <c r="I6065" i="8"/>
  <c r="M6065" i="8" s="1"/>
  <c r="M6070" i="8" s="1"/>
  <c r="I7519" i="8"/>
  <c r="M7519" i="8" s="1"/>
  <c r="M7524" i="8" s="1"/>
  <c r="I5977" i="8"/>
  <c r="M5977" i="8" s="1"/>
  <c r="M5982" i="8" s="1"/>
  <c r="I5581" i="8"/>
  <c r="M5581" i="8" s="1"/>
  <c r="M5586" i="8" s="1"/>
  <c r="I5537" i="8"/>
  <c r="M5537" i="8" s="1"/>
  <c r="M5542" i="8" s="1"/>
  <c r="I4971" i="8"/>
  <c r="M4971" i="8" s="1"/>
  <c r="M4976" i="8" s="1"/>
  <c r="I4238" i="8"/>
  <c r="M4238" i="8" s="1"/>
  <c r="M4243" i="8" s="1"/>
  <c r="I2933" i="8"/>
  <c r="M2933" i="8" s="1"/>
  <c r="M2938" i="8" s="1"/>
  <c r="I6021" i="8"/>
  <c r="M6021" i="8" s="1"/>
  <c r="M6026" i="8" s="1"/>
  <c r="I4025" i="8"/>
  <c r="M4025" i="8" s="1"/>
  <c r="M4030" i="8" s="1"/>
  <c r="I2639" i="8"/>
  <c r="M2639" i="8" s="1"/>
  <c r="M2644" i="8" s="1"/>
  <c r="I2975" i="8"/>
  <c r="M2975" i="8" s="1"/>
  <c r="M2980" i="8" s="1"/>
  <c r="I4067" i="8"/>
  <c r="M4067" i="8" s="1"/>
  <c r="M4072" i="8" s="1"/>
  <c r="I3983" i="8"/>
  <c r="M3983" i="8" s="1"/>
  <c r="M3988" i="8" s="1"/>
  <c r="I2765" i="8"/>
  <c r="M2765" i="8" s="1"/>
  <c r="M2770" i="8" s="1"/>
  <c r="I2681" i="8"/>
  <c r="M2681" i="8" s="1"/>
  <c r="M2686" i="8" s="1"/>
  <c r="I4795" i="8"/>
  <c r="M4795" i="8" s="1"/>
  <c r="M4800" i="8" s="1"/>
  <c r="N4761" i="8" s="1"/>
  <c r="I2723" i="8"/>
  <c r="M2723" i="8" s="1"/>
  <c r="M2728" i="8" s="1"/>
  <c r="I1210" i="8"/>
  <c r="M1210" i="8" s="1"/>
  <c r="M1215" i="8" s="1"/>
  <c r="I1799" i="8"/>
  <c r="M1799" i="8" s="1"/>
  <c r="M1804" i="8" s="1"/>
  <c r="I833" i="8"/>
  <c r="M833" i="8" s="1"/>
  <c r="M838" i="8" s="1"/>
  <c r="I366" i="8"/>
  <c r="M366" i="8" s="1"/>
  <c r="M371" i="8" s="1"/>
  <c r="I1252" i="8"/>
  <c r="M1252" i="8" s="1"/>
  <c r="M1257" i="8" s="1"/>
  <c r="I1084" i="8"/>
  <c r="M1084" i="8" s="1"/>
  <c r="M1089" i="8" s="1"/>
  <c r="I875" i="8"/>
  <c r="M875" i="8" s="1"/>
  <c r="M880" i="8" s="1"/>
  <c r="I959" i="8"/>
  <c r="M959" i="8" s="1"/>
  <c r="M964" i="8" s="1"/>
  <c r="I1000" i="8"/>
  <c r="M1000" i="8" s="1"/>
  <c r="M1005" i="8" s="1"/>
  <c r="I1042" i="8"/>
  <c r="M1042" i="8" s="1"/>
  <c r="M1047" i="8" s="1"/>
  <c r="I324" i="8"/>
  <c r="M324" i="8" s="1"/>
  <c r="M329" i="8" s="1"/>
  <c r="I13810" i="8"/>
  <c r="M13810" i="8" s="1"/>
  <c r="M13815" i="8" s="1"/>
  <c r="I8532" i="8"/>
  <c r="M8532" i="8" s="1"/>
  <c r="M8537" i="8" s="1"/>
  <c r="I6998" i="8"/>
  <c r="M6998" i="8" s="1"/>
  <c r="M7003" i="8" s="1"/>
  <c r="I6909" i="8"/>
  <c r="M6909" i="8" s="1"/>
  <c r="M6914" i="8" s="1"/>
  <c r="I7298" i="8"/>
  <c r="M7298" i="8" s="1"/>
  <c r="M7303" i="8" s="1"/>
  <c r="N7266" i="8" s="1"/>
  <c r="I6241" i="8"/>
  <c r="M6241" i="8" s="1"/>
  <c r="M6246" i="8" s="1"/>
  <c r="I5669" i="8"/>
  <c r="M5669" i="8" s="1"/>
  <c r="M5674" i="8" s="1"/>
  <c r="I4751" i="8"/>
  <c r="M4751" i="8" s="1"/>
  <c r="M4756" i="8" s="1"/>
  <c r="I5713" i="8"/>
  <c r="M5713" i="8" s="1"/>
  <c r="M5718" i="8" s="1"/>
  <c r="I5405" i="8"/>
  <c r="M5405" i="8" s="1"/>
  <c r="M5410" i="8" s="1"/>
  <c r="I5449" i="8"/>
  <c r="M5449" i="8" s="1"/>
  <c r="M5454" i="8" s="1"/>
  <c r="I4280" i="8"/>
  <c r="M4280" i="8" s="1"/>
  <c r="M4285" i="8" s="1"/>
  <c r="I7340" i="8"/>
  <c r="M7340" i="8" s="1"/>
  <c r="M7345" i="8" s="1"/>
  <c r="I1462" i="8"/>
  <c r="M1462" i="8" s="1"/>
  <c r="M1467" i="8" s="1"/>
  <c r="I117" i="8"/>
  <c r="M117" i="8" s="1"/>
  <c r="M122" i="8" s="1"/>
  <c r="I200" i="8"/>
  <c r="M200" i="8" s="1"/>
  <c r="M205" i="8" s="1"/>
  <c r="I282" i="8"/>
  <c r="M282" i="8" s="1"/>
  <c r="M287" i="8" s="1"/>
  <c r="I159" i="8"/>
  <c r="M159" i="8" s="1"/>
  <c r="M164" i="8" s="1"/>
  <c r="I141" i="8" s="1"/>
  <c r="I1168" i="8"/>
  <c r="M1168" i="8" s="1"/>
  <c r="M1173" i="8" s="1"/>
  <c r="I407" i="8"/>
  <c r="M407" i="8" s="1"/>
  <c r="M412" i="8" s="1"/>
  <c r="I241" i="8"/>
  <c r="M241" i="8" s="1"/>
  <c r="M246" i="8" s="1"/>
  <c r="I13684" i="8"/>
  <c r="M13684" i="8" s="1"/>
  <c r="M13689" i="8" s="1"/>
  <c r="I13641" i="8"/>
  <c r="M13641" i="8" s="1"/>
  <c r="M13646" i="8" s="1"/>
  <c r="I13726" i="8"/>
  <c r="M13726" i="8" s="1"/>
  <c r="M13731" i="8" s="1"/>
  <c r="I13768" i="8"/>
  <c r="M13768" i="8" s="1"/>
  <c r="M13773" i="8" s="1"/>
  <c r="I11380" i="8"/>
  <c r="M11380" i="8" s="1"/>
  <c r="M11385" i="8" s="1"/>
  <c r="I11516" i="8"/>
  <c r="M11516" i="8" s="1"/>
  <c r="M11521" i="8" s="1"/>
  <c r="I11339" i="8"/>
  <c r="M11339" i="8" s="1"/>
  <c r="M11344" i="8" s="1"/>
  <c r="I11568" i="8"/>
  <c r="M11568" i="8" s="1"/>
  <c r="M11573" i="8" s="1"/>
  <c r="I11257" i="8"/>
  <c r="M11257" i="8" s="1"/>
  <c r="M11262" i="8" s="1"/>
  <c r="I10920" i="8"/>
  <c r="M10920" i="8" s="1"/>
  <c r="M10925" i="8" s="1"/>
  <c r="I11298" i="8"/>
  <c r="M11298" i="8" s="1"/>
  <c r="M11303" i="8" s="1"/>
  <c r="I11175" i="8"/>
  <c r="M11175" i="8" s="1"/>
  <c r="M11180" i="8" s="1"/>
  <c r="I10963" i="8"/>
  <c r="M10963" i="8" s="1"/>
  <c r="M10968" i="8" s="1"/>
  <c r="I9189" i="8"/>
  <c r="M9189" i="8" s="1"/>
  <c r="M9194" i="8" s="1"/>
  <c r="I9101" i="8"/>
  <c r="M9101" i="8" s="1"/>
  <c r="M9106" i="8" s="1"/>
  <c r="I9013" i="8"/>
  <c r="M9013" i="8" s="1"/>
  <c r="M9018" i="8" s="1"/>
  <c r="I8925" i="8"/>
  <c r="M8925" i="8" s="1"/>
  <c r="M8930" i="8" s="1"/>
  <c r="I8837" i="8"/>
  <c r="M8837" i="8" s="1"/>
  <c r="M8842" i="8" s="1"/>
  <c r="I8749" i="8"/>
  <c r="M8749" i="8" s="1"/>
  <c r="M8754" i="8" s="1"/>
  <c r="I8661" i="8"/>
  <c r="M8661" i="8" s="1"/>
  <c r="M8666" i="8" s="1"/>
  <c r="I9331" i="8"/>
  <c r="M9331" i="8" s="1"/>
  <c r="M9336" i="8" s="1"/>
  <c r="I11007" i="8"/>
  <c r="M11007" i="8" s="1"/>
  <c r="M11012" i="8" s="1"/>
  <c r="I8259" i="8"/>
  <c r="M8259" i="8" s="1"/>
  <c r="M8264" i="8" s="1"/>
  <c r="I11216" i="8"/>
  <c r="M11216" i="8" s="1"/>
  <c r="M11221" i="8" s="1"/>
  <c r="I10006" i="8"/>
  <c r="M10006" i="8" s="1"/>
  <c r="M10011" i="8" s="1"/>
  <c r="I9380" i="8"/>
  <c r="M9380" i="8" s="1"/>
  <c r="M9385" i="8" s="1"/>
  <c r="I9233" i="8"/>
  <c r="M9233" i="8" s="1"/>
  <c r="M9238" i="8" s="1"/>
  <c r="I9145" i="8"/>
  <c r="M9145" i="8" s="1"/>
  <c r="M9150" i="8" s="1"/>
  <c r="I9057" i="8"/>
  <c r="M9057" i="8" s="1"/>
  <c r="M9062" i="8" s="1"/>
  <c r="I8969" i="8"/>
  <c r="M8969" i="8" s="1"/>
  <c r="M8974" i="8" s="1"/>
  <c r="I8881" i="8"/>
  <c r="M8881" i="8" s="1"/>
  <c r="M8886" i="8" s="1"/>
  <c r="I8793" i="8"/>
  <c r="M8793" i="8" s="1"/>
  <c r="M8798" i="8" s="1"/>
  <c r="I8705" i="8"/>
  <c r="M8705" i="8" s="1"/>
  <c r="M8710" i="8" s="1"/>
  <c r="I8617" i="8"/>
  <c r="M8617" i="8" s="1"/>
  <c r="M8622" i="8" s="1"/>
  <c r="I10877" i="8"/>
  <c r="M10877" i="8" s="1"/>
  <c r="M10882" i="8" s="1"/>
  <c r="I9282" i="8"/>
  <c r="M9282" i="8" s="1"/>
  <c r="M9287" i="8" s="1"/>
  <c r="I7958" i="8"/>
  <c r="M7958" i="8" s="1"/>
  <c r="M7963" i="8" s="1"/>
  <c r="I7561" i="8"/>
  <c r="M7561" i="8" s="1"/>
  <c r="M7566" i="8" s="1"/>
  <c r="I8133" i="8"/>
  <c r="M8133" i="8" s="1"/>
  <c r="M8138" i="8" s="1"/>
  <c r="I7832" i="8"/>
  <c r="M7832" i="8" s="1"/>
  <c r="M7837" i="8" s="1"/>
  <c r="I6461" i="8"/>
  <c r="M6461" i="8" s="1"/>
  <c r="M6466" i="8" s="1"/>
  <c r="I8175" i="8"/>
  <c r="M8175" i="8" s="1"/>
  <c r="M8180" i="8" s="1"/>
  <c r="I7603" i="8"/>
  <c r="M7603" i="8" s="1"/>
  <c r="M7608" i="8" s="1"/>
  <c r="I6417" i="8"/>
  <c r="M6417" i="8" s="1"/>
  <c r="M6422" i="8" s="1"/>
  <c r="I8217" i="8"/>
  <c r="M8217" i="8" s="1"/>
  <c r="M8222" i="8" s="1"/>
  <c r="I7874" i="8"/>
  <c r="M7874" i="8" s="1"/>
  <c r="M7879" i="8" s="1"/>
  <c r="I6373" i="8"/>
  <c r="M6373" i="8" s="1"/>
  <c r="M6378" i="8" s="1"/>
  <c r="I5933" i="8"/>
  <c r="M5933" i="8" s="1"/>
  <c r="M5938" i="8" s="1"/>
  <c r="I6549" i="8"/>
  <c r="M6549" i="8" s="1"/>
  <c r="M6554" i="8" s="1"/>
  <c r="I6329" i="8"/>
  <c r="M6329" i="8" s="1"/>
  <c r="M6334" i="8" s="1"/>
  <c r="I5275" i="8"/>
  <c r="M5275" i="8" s="1"/>
  <c r="M5280" i="8" s="1"/>
  <c r="I5191" i="8"/>
  <c r="M5191" i="8" s="1"/>
  <c r="M5196" i="8" s="1"/>
  <c r="I7645" i="8"/>
  <c r="M7645" i="8" s="1"/>
  <c r="M7650" i="8" s="1"/>
  <c r="I7256" i="8"/>
  <c r="M7256" i="8" s="1"/>
  <c r="M7261" i="8" s="1"/>
  <c r="I7213" i="8"/>
  <c r="M7213" i="8" s="1"/>
  <c r="M7218" i="8" s="1"/>
  <c r="I7170" i="8"/>
  <c r="M7170" i="8" s="1"/>
  <c r="M7175" i="8" s="1"/>
  <c r="I6285" i="8"/>
  <c r="M6285" i="8" s="1"/>
  <c r="M6290" i="8" s="1"/>
  <c r="I5059" i="8"/>
  <c r="M5059" i="8" s="1"/>
  <c r="M5064" i="8" s="1"/>
  <c r="I5015" i="8"/>
  <c r="M5015" i="8" s="1"/>
  <c r="M5020" i="8" s="1"/>
  <c r="I4883" i="8"/>
  <c r="M4883" i="8" s="1"/>
  <c r="M4888" i="8" s="1"/>
  <c r="I4196" i="8"/>
  <c r="M4196" i="8" s="1"/>
  <c r="M4201" i="8" s="1"/>
  <c r="I3521" i="8"/>
  <c r="M3521" i="8" s="1"/>
  <c r="M3526" i="8" s="1"/>
  <c r="I3437" i="8"/>
  <c r="M3437" i="8" s="1"/>
  <c r="M3442" i="8" s="1"/>
  <c r="I3353" i="8"/>
  <c r="M3353" i="8" s="1"/>
  <c r="M3358" i="8" s="1"/>
  <c r="I3269" i="8"/>
  <c r="M3269" i="8" s="1"/>
  <c r="M3274" i="8" s="1"/>
  <c r="I3185" i="8"/>
  <c r="M3185" i="8" s="1"/>
  <c r="M3190" i="8" s="1"/>
  <c r="I3101" i="8"/>
  <c r="M3101" i="8" s="1"/>
  <c r="M3106" i="8" s="1"/>
  <c r="I7916" i="8"/>
  <c r="M7916" i="8" s="1"/>
  <c r="M7921" i="8" s="1"/>
  <c r="I5757" i="8"/>
  <c r="M5757" i="8" s="1"/>
  <c r="M5762" i="8" s="1"/>
  <c r="I4667" i="8"/>
  <c r="M4667" i="8" s="1"/>
  <c r="M4672" i="8" s="1"/>
  <c r="I5801" i="8"/>
  <c r="M5801" i="8" s="1"/>
  <c r="M5806" i="8" s="1"/>
  <c r="I6505" i="8"/>
  <c r="M6505" i="8" s="1"/>
  <c r="M6510" i="8" s="1"/>
  <c r="I5233" i="8"/>
  <c r="M5233" i="8" s="1"/>
  <c r="M5238" i="8" s="1"/>
  <c r="I4626" i="8"/>
  <c r="M4626" i="8" s="1"/>
  <c r="M4631" i="8" s="1"/>
  <c r="I3479" i="8"/>
  <c r="M3479" i="8" s="1"/>
  <c r="M3484" i="8" s="1"/>
  <c r="I3395" i="8"/>
  <c r="M3395" i="8" s="1"/>
  <c r="M3400" i="8" s="1"/>
  <c r="I3311" i="8"/>
  <c r="M3311" i="8" s="1"/>
  <c r="M3316" i="8" s="1"/>
  <c r="I3227" i="8"/>
  <c r="M3227" i="8" s="1"/>
  <c r="M3232" i="8" s="1"/>
  <c r="I3143" i="8"/>
  <c r="M3143" i="8" s="1"/>
  <c r="M3148" i="8" s="1"/>
  <c r="I5147" i="8"/>
  <c r="M5147" i="8" s="1"/>
  <c r="M5152" i="8" s="1"/>
  <c r="I4544" i="8"/>
  <c r="M4544" i="8" s="1"/>
  <c r="M4549" i="8" s="1"/>
  <c r="I4368" i="8"/>
  <c r="M4368" i="8" s="1"/>
  <c r="M4373" i="8" s="1"/>
  <c r="I2555" i="8"/>
  <c r="M2555" i="8" s="1"/>
  <c r="M2560" i="8" s="1"/>
  <c r="I2345" i="8"/>
  <c r="M2345" i="8" s="1"/>
  <c r="M2350" i="8" s="1"/>
  <c r="I2135" i="8"/>
  <c r="M2135" i="8" s="1"/>
  <c r="M2140" i="8" s="1"/>
  <c r="I2261" i="8"/>
  <c r="M2261" i="8" s="1"/>
  <c r="M2266" i="8" s="1"/>
  <c r="I1925" i="8"/>
  <c r="M1925" i="8" s="1"/>
  <c r="M1930" i="8" s="1"/>
  <c r="I2471" i="8"/>
  <c r="M2471" i="8" s="1"/>
  <c r="M2476" i="8" s="1"/>
  <c r="I2051" i="8"/>
  <c r="M2051" i="8" s="1"/>
  <c r="M2056" i="8" s="1"/>
  <c r="I5317" i="8"/>
  <c r="M5317" i="8" s="1"/>
  <c r="M5322" i="8" s="1"/>
  <c r="I2177" i="8"/>
  <c r="M2177" i="8" s="1"/>
  <c r="M2182" i="8" s="1"/>
  <c r="I2387" i="8"/>
  <c r="M2387" i="8" s="1"/>
  <c r="M2392" i="8" s="1"/>
  <c r="I2303" i="8"/>
  <c r="M2303" i="8" s="1"/>
  <c r="M2308" i="8" s="1"/>
  <c r="I1967" i="8"/>
  <c r="M1967" i="8" s="1"/>
  <c r="M1972" i="8" s="1"/>
  <c r="I2219" i="8"/>
  <c r="M2219" i="8" s="1"/>
  <c r="M2224" i="8" s="1"/>
  <c r="I1883" i="8"/>
  <c r="M1883" i="8" s="1"/>
  <c r="M1888" i="8" s="1"/>
  <c r="I2429" i="8"/>
  <c r="M2429" i="8" s="1"/>
  <c r="M2434" i="8" s="1"/>
  <c r="I2009" i="8"/>
  <c r="M2009" i="8" s="1"/>
  <c r="M2014" i="8" s="1"/>
  <c r="I2093" i="8"/>
  <c r="M2093" i="8" s="1"/>
  <c r="M2098" i="8" s="1"/>
  <c r="I741" i="8"/>
  <c r="M741" i="8" s="1"/>
  <c r="M746" i="8" s="1"/>
  <c r="I2513" i="8"/>
  <c r="M2513" i="8" s="1"/>
  <c r="M2518" i="8" s="1"/>
  <c r="I1841" i="8"/>
  <c r="M1841" i="8" s="1"/>
  <c r="M1846" i="8" s="1"/>
  <c r="I12220" i="8"/>
  <c r="M12220" i="8" s="1"/>
  <c r="M12225" i="8" s="1"/>
  <c r="J12196" i="8" s="1"/>
  <c r="N12196" i="8"/>
  <c r="I12012" i="8"/>
  <c r="M12012" i="8" s="1"/>
  <c r="M12017" i="8" s="1"/>
  <c r="J11988" i="8" s="1"/>
  <c r="J106" i="7" s="1"/>
  <c r="N11988" i="8"/>
  <c r="L106" i="7" s="1"/>
  <c r="I12168" i="8"/>
  <c r="M12168" i="8" s="1"/>
  <c r="M12173" i="8" s="1"/>
  <c r="J12144" i="8" s="1"/>
  <c r="N12144" i="8"/>
  <c r="I12488" i="8"/>
  <c r="M12488" i="8" s="1"/>
  <c r="M12493" i="8" s="1"/>
  <c r="J12465" i="8" s="1"/>
  <c r="N12465" i="8"/>
  <c r="I12888" i="8"/>
  <c r="M12888" i="8" s="1"/>
  <c r="M12893" i="8" s="1"/>
  <c r="N12865" i="8"/>
  <c r="L112" i="7" s="1"/>
  <c r="I13288" i="8"/>
  <c r="M13288" i="8" s="1"/>
  <c r="M13293" i="8" s="1"/>
  <c r="N13265" i="8"/>
  <c r="L118" i="7" s="1"/>
  <c r="J50" i="2"/>
  <c r="I103" i="7" l="1"/>
  <c r="I597" i="49"/>
  <c r="M597" i="49" s="1"/>
  <c r="M602" i="49" s="1"/>
  <c r="L574" i="49" s="1"/>
  <c r="F574" i="49" s="1"/>
  <c r="L575" i="49" s="1"/>
  <c r="I685" i="49"/>
  <c r="M685" i="49" s="1"/>
  <c r="M689" i="49" s="1"/>
  <c r="L659" i="49" s="1"/>
  <c r="F659" i="49" s="1"/>
  <c r="I11486" i="8" s="1"/>
  <c r="J96" i="7"/>
  <c r="I513" i="49"/>
  <c r="M513" i="49" s="1"/>
  <c r="M517" i="49" s="1"/>
  <c r="L486" i="49" s="1"/>
  <c r="F486" i="49" s="1"/>
  <c r="I11487" i="8" s="1"/>
  <c r="I467" i="49"/>
  <c r="M467" i="49" s="1"/>
  <c r="M471" i="49" s="1"/>
  <c r="L440" i="49" s="1"/>
  <c r="F440" i="49" s="1"/>
  <c r="I8283" i="8"/>
  <c r="M8283" i="8" s="1"/>
  <c r="M8288" i="8" s="1"/>
  <c r="J8269" i="8" s="1"/>
  <c r="K271" i="2"/>
  <c r="M95" i="7"/>
  <c r="K75" i="2" s="1"/>
  <c r="L10802" i="8"/>
  <c r="M94" i="7"/>
  <c r="K74" i="2" s="1"/>
  <c r="L10760" i="8"/>
  <c r="M93" i="7"/>
  <c r="K73" i="2" s="1"/>
  <c r="L10718" i="8"/>
  <c r="I241" i="49"/>
  <c r="M241" i="49" s="1"/>
  <c r="M245" i="49" s="1"/>
  <c r="L218" i="49" s="1"/>
  <c r="F218" i="49" s="1"/>
  <c r="L8397" i="8"/>
  <c r="J294" i="10"/>
  <c r="I13573" i="8" s="1"/>
  <c r="M13573" i="8" s="1"/>
  <c r="L8357" i="8"/>
  <c r="M59" i="7"/>
  <c r="K81" i="2" s="1"/>
  <c r="L5812" i="8"/>
  <c r="M39" i="7"/>
  <c r="K31" i="2" s="1"/>
  <c r="L1726" i="8"/>
  <c r="M38" i="7"/>
  <c r="K34" i="2" s="1"/>
  <c r="L1642" i="8"/>
  <c r="M37" i="7"/>
  <c r="K33" i="2" s="1"/>
  <c r="L1515" i="8"/>
  <c r="M314" i="2"/>
  <c r="M313" i="2"/>
  <c r="I3773" i="8"/>
  <c r="M3773" i="8" s="1"/>
  <c r="M3778" i="8" s="1"/>
  <c r="I9537" i="8"/>
  <c r="M9537" i="8" s="1"/>
  <c r="I3731" i="8"/>
  <c r="M3731" i="8" s="1"/>
  <c r="M3736" i="8" s="1"/>
  <c r="I9593" i="8"/>
  <c r="M9593" i="8" s="1"/>
  <c r="M9597" i="8" s="1"/>
  <c r="J274" i="2"/>
  <c r="I5103" i="8"/>
  <c r="M5108" i="8" s="1"/>
  <c r="N5069" i="8" s="1"/>
  <c r="I6953" i="8"/>
  <c r="M6953" i="8" s="1"/>
  <c r="M6958" i="8" s="1"/>
  <c r="I6935" i="8" s="1"/>
  <c r="M6935" i="8" s="1"/>
  <c r="M6940" i="8" s="1"/>
  <c r="H6919" i="8" s="1"/>
  <c r="I3605" i="8"/>
  <c r="M3605" i="8" s="1"/>
  <c r="M3610" i="8" s="1"/>
  <c r="I3587" i="8" s="1"/>
  <c r="M3587" i="8" s="1"/>
  <c r="M3592" i="8" s="1"/>
  <c r="J3573" i="8" s="1"/>
  <c r="I9481" i="8"/>
  <c r="M9481" i="8" s="1"/>
  <c r="M9485" i="8" s="1"/>
  <c r="I7384" i="8"/>
  <c r="M7384" i="8" s="1"/>
  <c r="M7389" i="8" s="1"/>
  <c r="I13852" i="8"/>
  <c r="M13852" i="8" s="1"/>
  <c r="M13857" i="8" s="1"/>
  <c r="I3815" i="8"/>
  <c r="M3815" i="8" s="1"/>
  <c r="M3820" i="8" s="1"/>
  <c r="I9424" i="8"/>
  <c r="M9424" i="8" s="1"/>
  <c r="M9429" i="8" s="1"/>
  <c r="J13265" i="8"/>
  <c r="J118" i="7" s="1"/>
  <c r="I13298" i="8"/>
  <c r="M13298" i="8" s="1"/>
  <c r="M13301" i="8" s="1"/>
  <c r="L13265" i="8" s="1"/>
  <c r="J12965" i="8"/>
  <c r="J114" i="7" s="1"/>
  <c r="I12998" i="8"/>
  <c r="M12998" i="8" s="1"/>
  <c r="M13001" i="8" s="1"/>
  <c r="L12965" i="8" s="1"/>
  <c r="J12865" i="8"/>
  <c r="J112" i="7" s="1"/>
  <c r="I12898" i="8"/>
  <c r="M12898" i="8" s="1"/>
  <c r="M12901" i="8" s="1"/>
  <c r="L12865" i="8" s="1"/>
  <c r="J13165" i="8"/>
  <c r="J117" i="7" s="1"/>
  <c r="I13198" i="8"/>
  <c r="M13198" i="8" s="1"/>
  <c r="M13201" i="8" s="1"/>
  <c r="L13165" i="8" s="1"/>
  <c r="J12300" i="8"/>
  <c r="J108" i="7" s="1"/>
  <c r="I12334" i="8"/>
  <c r="M12334" i="8" s="1"/>
  <c r="M12338" i="8" s="1"/>
  <c r="L12300" i="8" s="1"/>
  <c r="J13315" i="8"/>
  <c r="J119" i="7" s="1"/>
  <c r="I13348" i="8"/>
  <c r="M13348" i="8" s="1"/>
  <c r="M13351" i="8" s="1"/>
  <c r="L13315" i="8" s="1"/>
  <c r="J11936" i="8"/>
  <c r="J105" i="7" s="1"/>
  <c r="I11970" i="8"/>
  <c r="M11970" i="8" s="1"/>
  <c r="M11974" i="8" s="1"/>
  <c r="L11936" i="8" s="1"/>
  <c r="J13115" i="8"/>
  <c r="J116" i="7" s="1"/>
  <c r="I13148" i="8"/>
  <c r="J12765" i="8"/>
  <c r="J110" i="7" s="1"/>
  <c r="I12798" i="8"/>
  <c r="M12798" i="8" s="1"/>
  <c r="M12801" i="8" s="1"/>
  <c r="L12765" i="8" s="1"/>
  <c r="J13065" i="8"/>
  <c r="J115" i="7" s="1"/>
  <c r="I13098" i="8"/>
  <c r="M13098" i="8" s="1"/>
  <c r="M13101" i="8" s="1"/>
  <c r="L13065" i="8" s="1"/>
  <c r="F13065" i="8" s="1"/>
  <c r="I11866" i="8"/>
  <c r="M11866" i="8" s="1"/>
  <c r="M11870" i="8" s="1"/>
  <c r="L11832" i="8" s="1"/>
  <c r="K103" i="7" s="1"/>
  <c r="J12715" i="8"/>
  <c r="J109" i="7" s="1"/>
  <c r="I12748" i="8"/>
  <c r="M12748" i="8" s="1"/>
  <c r="M12751" i="8" s="1"/>
  <c r="L12715" i="8" s="1"/>
  <c r="J12915" i="8"/>
  <c r="J113" i="7" s="1"/>
  <c r="I12948" i="8"/>
  <c r="M12948" i="8" s="1"/>
  <c r="M12951" i="8" s="1"/>
  <c r="L12915" i="8" s="1"/>
  <c r="J12815" i="8"/>
  <c r="J111" i="7" s="1"/>
  <c r="I12848" i="8"/>
  <c r="M12848" i="8" s="1"/>
  <c r="M12851" i="8" s="1"/>
  <c r="L12815" i="8" s="1"/>
  <c r="J12092" i="8"/>
  <c r="J107" i="7" s="1"/>
  <c r="I12126" i="8"/>
  <c r="M12126" i="8" s="1"/>
  <c r="M12130" i="8" s="1"/>
  <c r="L12092" i="8" s="1"/>
  <c r="J13365" i="8"/>
  <c r="J120" i="7" s="1"/>
  <c r="I13398" i="8"/>
  <c r="M13398" i="8" s="1"/>
  <c r="M13401" i="8" s="1"/>
  <c r="L13365" i="8" s="1"/>
  <c r="J11884" i="8"/>
  <c r="J104" i="7" s="1"/>
  <c r="I11918" i="8"/>
  <c r="M11918" i="8" s="1"/>
  <c r="M11922" i="8" s="1"/>
  <c r="L11884" i="8" s="1"/>
  <c r="J11578" i="8"/>
  <c r="J100" i="7" s="1"/>
  <c r="I11612" i="8"/>
  <c r="M11612" i="8" s="1"/>
  <c r="M11616" i="8" s="1"/>
  <c r="L11578" i="8" s="1"/>
  <c r="J269" i="2"/>
  <c r="H11017" i="8"/>
  <c r="I97" i="7" s="1"/>
  <c r="I11042" i="8"/>
  <c r="M11042" i="8" s="1"/>
  <c r="I2579" i="8"/>
  <c r="M2579" i="8" s="1"/>
  <c r="M2584" i="8" s="1"/>
  <c r="H2565" i="8" s="1"/>
  <c r="I43" i="7" s="1"/>
  <c r="J271" i="2"/>
  <c r="H13565" i="8"/>
  <c r="I122" i="7" s="1"/>
  <c r="I13590" i="8"/>
  <c r="M13590" i="8" s="1"/>
  <c r="J275" i="2"/>
  <c r="M296" i="2"/>
  <c r="M9541" i="8"/>
  <c r="I9518" i="8" s="1"/>
  <c r="M9518" i="8" s="1"/>
  <c r="M9523" i="8" s="1"/>
  <c r="I7689" i="8"/>
  <c r="M7689" i="8" s="1"/>
  <c r="M7694" i="8" s="1"/>
  <c r="I7671" i="8" s="1"/>
  <c r="M7671" i="8" s="1"/>
  <c r="M7676" i="8" s="1"/>
  <c r="I10272" i="8"/>
  <c r="M10272" i="8" s="1"/>
  <c r="M10277" i="8" s="1"/>
  <c r="N10238" i="8" s="1"/>
  <c r="I6729" i="8"/>
  <c r="M6729" i="8" s="1"/>
  <c r="M6734" i="8" s="1"/>
  <c r="N6694" i="8" s="1"/>
  <c r="L62" i="7" s="1"/>
  <c r="I10097" i="8"/>
  <c r="M10097" i="8" s="1"/>
  <c r="M10102" i="8" s="1"/>
  <c r="N10067" i="8" s="1"/>
  <c r="L88" i="7" s="1"/>
  <c r="I659" i="8"/>
  <c r="M659" i="8" s="1"/>
  <c r="M664" i="8" s="1"/>
  <c r="I641" i="8" s="1"/>
  <c r="M641" i="8" s="1"/>
  <c r="M646" i="8" s="1"/>
  <c r="I7039" i="8"/>
  <c r="M7039" i="8" s="1"/>
  <c r="M7044" i="8" s="1"/>
  <c r="N7008" i="8" s="1"/>
  <c r="L67" i="7" s="1"/>
  <c r="I10228" i="8"/>
  <c r="M10228" i="8" s="1"/>
  <c r="M10233" i="8" s="1"/>
  <c r="I10210" i="8" s="1"/>
  <c r="M10210" i="8" s="1"/>
  <c r="M10215" i="8" s="1"/>
  <c r="I448" i="8"/>
  <c r="M448" i="8" s="1"/>
  <c r="M453" i="8" s="1"/>
  <c r="I430" i="8" s="1"/>
  <c r="M430" i="8" s="1"/>
  <c r="M435" i="8" s="1"/>
  <c r="I6774" i="8"/>
  <c r="M6774" i="8" s="1"/>
  <c r="M6779" i="8" s="1"/>
  <c r="N6739" i="8" s="1"/>
  <c r="L63" i="7" s="1"/>
  <c r="M6689" i="8"/>
  <c r="N6647" i="8" s="1"/>
  <c r="I492" i="8"/>
  <c r="M492" i="8" s="1"/>
  <c r="M497" i="8" s="1"/>
  <c r="I6819" i="8"/>
  <c r="M6819" i="8" s="1"/>
  <c r="M6824" i="8" s="1"/>
  <c r="N6784" i="8" s="1"/>
  <c r="L64" i="7" s="1"/>
  <c r="I536" i="8"/>
  <c r="M536" i="8" s="1"/>
  <c r="M541" i="8" s="1"/>
  <c r="N502" i="8" s="1"/>
  <c r="L19" i="7" s="1"/>
  <c r="I7083" i="8"/>
  <c r="M7083" i="8" s="1"/>
  <c r="M7088" i="8" s="1"/>
  <c r="I7065" i="8" s="1"/>
  <c r="M7065" i="8" s="1"/>
  <c r="M7070" i="8" s="1"/>
  <c r="I618" i="8"/>
  <c r="M618" i="8" s="1"/>
  <c r="M623" i="8" s="1"/>
  <c r="N587" i="8" s="1"/>
  <c r="L21" i="7" s="1"/>
  <c r="N3237" i="8"/>
  <c r="I3251" i="8"/>
  <c r="M3251" i="8" s="1"/>
  <c r="M3256" i="8" s="1"/>
  <c r="J3237" i="8" s="1"/>
  <c r="I13666" i="8"/>
  <c r="M13666" i="8" s="1"/>
  <c r="M13671" i="8" s="1"/>
  <c r="J13651" i="8" s="1"/>
  <c r="N13651" i="8"/>
  <c r="I9907" i="8"/>
  <c r="M9907" i="8" s="1"/>
  <c r="M9912" i="8" s="1"/>
  <c r="N9893" i="8"/>
  <c r="L85" i="7" s="1"/>
  <c r="I10165" i="8"/>
  <c r="M10165" i="8" s="1"/>
  <c r="M10170" i="8" s="1"/>
  <c r="N10149" i="8"/>
  <c r="N1851" i="8"/>
  <c r="I1865" i="8"/>
  <c r="M1865" i="8" s="1"/>
  <c r="M1870" i="8" s="1"/>
  <c r="J1851" i="8" s="1"/>
  <c r="I2453" i="8"/>
  <c r="M2453" i="8" s="1"/>
  <c r="M2458" i="8" s="1"/>
  <c r="J2439" i="8" s="1"/>
  <c r="N2439" i="8"/>
  <c r="I5129" i="8"/>
  <c r="M5129" i="8" s="1"/>
  <c r="M5134" i="8" s="1"/>
  <c r="H5113" i="8" s="1"/>
  <c r="N5113" i="8"/>
  <c r="N6471" i="8"/>
  <c r="I6487" i="8"/>
  <c r="M6487" i="8" s="1"/>
  <c r="M6492" i="8" s="1"/>
  <c r="J6471" i="8" s="1"/>
  <c r="N3321" i="8"/>
  <c r="I3335" i="8"/>
  <c r="M3335" i="8" s="1"/>
  <c r="M3340" i="8" s="1"/>
  <c r="J3321" i="8" s="1"/>
  <c r="I7152" i="8"/>
  <c r="M7152" i="8" s="1"/>
  <c r="M7157" i="8" s="1"/>
  <c r="H7137" i="8" s="1"/>
  <c r="N7137" i="8"/>
  <c r="I5915" i="8"/>
  <c r="M5915" i="8" s="1"/>
  <c r="M5920" i="8" s="1"/>
  <c r="J5899" i="8" s="1"/>
  <c r="N5899" i="8"/>
  <c r="I7814" i="8"/>
  <c r="M7814" i="8" s="1"/>
  <c r="M7819" i="8" s="1"/>
  <c r="J7800" i="8" s="1"/>
  <c r="N7800" i="8"/>
  <c r="I8775" i="8"/>
  <c r="M8775" i="8" s="1"/>
  <c r="M8780" i="8" s="1"/>
  <c r="N8759" i="8"/>
  <c r="L78" i="7" s="1"/>
  <c r="I11198" i="8"/>
  <c r="M11198" i="8" s="1"/>
  <c r="M11203" i="8" s="1"/>
  <c r="H11185" i="8" s="1"/>
  <c r="N11185" i="8"/>
  <c r="N8979" i="8"/>
  <c r="I8995" i="8"/>
  <c r="M8995" i="8" s="1"/>
  <c r="M9000" i="8" s="1"/>
  <c r="J8979" i="8" s="1"/>
  <c r="N11526" i="8"/>
  <c r="I11550" i="8"/>
  <c r="M11550" i="8" s="1"/>
  <c r="M11555" i="8" s="1"/>
  <c r="H11526" i="8" s="1"/>
  <c r="I223" i="8"/>
  <c r="M223" i="8" s="1"/>
  <c r="M228" i="8" s="1"/>
  <c r="N210" i="8"/>
  <c r="L13" i="7" s="1"/>
  <c r="N7308" i="8"/>
  <c r="L69" i="7" s="1"/>
  <c r="I7322" i="8"/>
  <c r="M7322" i="8" s="1"/>
  <c r="M7327" i="8" s="1"/>
  <c r="F7266" i="8"/>
  <c r="I348" i="8"/>
  <c r="M348" i="8" s="1"/>
  <c r="M353" i="8" s="1"/>
  <c r="N334" i="8"/>
  <c r="L15" i="7" s="1"/>
  <c r="I3965" i="8"/>
  <c r="M3965" i="8" s="1"/>
  <c r="M3970" i="8" s="1"/>
  <c r="J3951" i="8" s="1"/>
  <c r="N3951" i="8"/>
  <c r="I4953" i="8"/>
  <c r="M4953" i="8" s="1"/>
  <c r="M4958" i="8" s="1"/>
  <c r="N4937" i="8"/>
  <c r="L55" i="7" s="1"/>
  <c r="I6135" i="8"/>
  <c r="M6135" i="8" s="1"/>
  <c r="M6140" i="8" s="1"/>
  <c r="N6119" i="8"/>
  <c r="L61" i="7" s="1"/>
  <c r="N8542" i="8"/>
  <c r="I8555" i="8"/>
  <c r="M8555" i="8" s="1"/>
  <c r="M8560" i="8" s="1"/>
  <c r="H8542" i="8" s="1"/>
  <c r="N11102" i="8"/>
  <c r="I11116" i="8"/>
  <c r="M11116" i="8" s="1"/>
  <c r="M11121" i="8" s="1"/>
  <c r="J11102" i="8" s="1"/>
  <c r="I10298" i="8"/>
  <c r="M10298" i="8" s="1"/>
  <c r="M10303" i="8" s="1"/>
  <c r="N10282" i="8"/>
  <c r="L90" i="7" s="1"/>
  <c r="I4438" i="8"/>
  <c r="M4438" i="8" s="1"/>
  <c r="M4443" i="8" s="1"/>
  <c r="J4422" i="8" s="1"/>
  <c r="N4422" i="8"/>
  <c r="F13465" i="8"/>
  <c r="L13466" i="8" s="1"/>
  <c r="F12248" i="8"/>
  <c r="L12249" i="8" s="1"/>
  <c r="N2859" i="8"/>
  <c r="I2873" i="8"/>
  <c r="M2873" i="8" s="1"/>
  <c r="M2878" i="8" s="1"/>
  <c r="H2859" i="8" s="1"/>
  <c r="N3741" i="8"/>
  <c r="I3755" i="8"/>
  <c r="M3755" i="8" s="1"/>
  <c r="M3760" i="8" s="1"/>
  <c r="J3741" i="8" s="1"/>
  <c r="I5475" i="8"/>
  <c r="M5475" i="8" s="1"/>
  <c r="M5480" i="8" s="1"/>
  <c r="J5459" i="8" s="1"/>
  <c r="N5459" i="8"/>
  <c r="I10254" i="8"/>
  <c r="M10254" i="8" s="1"/>
  <c r="M10259" i="8" s="1"/>
  <c r="I2033" i="8"/>
  <c r="M2033" i="8" s="1"/>
  <c r="M2038" i="8" s="1"/>
  <c r="J2019" i="8" s="1"/>
  <c r="N2019" i="8"/>
  <c r="I8687" i="8"/>
  <c r="M8687" i="8" s="1"/>
  <c r="M8692" i="8" s="1"/>
  <c r="J8671" i="8" s="1"/>
  <c r="N8671" i="8"/>
  <c r="N1430" i="8"/>
  <c r="L35" i="7" s="1"/>
  <c r="I1444" i="8"/>
  <c r="M1444" i="8" s="1"/>
  <c r="M1449" i="8" s="1"/>
  <c r="I1234" i="8"/>
  <c r="M1234" i="8" s="1"/>
  <c r="M1239" i="8" s="1"/>
  <c r="N1220" i="8"/>
  <c r="L30" i="7" s="1"/>
  <c r="I3545" i="8"/>
  <c r="M3545" i="8" s="1"/>
  <c r="M3550" i="8" s="1"/>
  <c r="J3531" i="8" s="1"/>
  <c r="N3531" i="8"/>
  <c r="F12196" i="8"/>
  <c r="L12197" i="8" s="1"/>
  <c r="N2187" i="8"/>
  <c r="I2201" i="8"/>
  <c r="M2201" i="8" s="1"/>
  <c r="M2206" i="8" s="1"/>
  <c r="J2187" i="8" s="1"/>
  <c r="I1907" i="8"/>
  <c r="M1907" i="8" s="1"/>
  <c r="M1912" i="8" s="1"/>
  <c r="J1893" i="8" s="1"/>
  <c r="N1893" i="8"/>
  <c r="I3125" i="8"/>
  <c r="M3125" i="8" s="1"/>
  <c r="M3130" i="8" s="1"/>
  <c r="J3111" i="8" s="1"/>
  <c r="N3111" i="8"/>
  <c r="N5767" i="8"/>
  <c r="I5783" i="8"/>
  <c r="M5783" i="8" s="1"/>
  <c r="M5788" i="8" s="1"/>
  <c r="J5767" i="8" s="1"/>
  <c r="N3405" i="8"/>
  <c r="I3419" i="8"/>
  <c r="M3419" i="8" s="1"/>
  <c r="M3424" i="8" s="1"/>
  <c r="J3405" i="8" s="1"/>
  <c r="I7195" i="8"/>
  <c r="M7195" i="8" s="1"/>
  <c r="M7200" i="8" s="1"/>
  <c r="N7180" i="8"/>
  <c r="L68" i="7" s="1"/>
  <c r="I6355" i="8"/>
  <c r="M6355" i="8" s="1"/>
  <c r="M6360" i="8" s="1"/>
  <c r="J6339" i="8" s="1"/>
  <c r="N6339" i="8"/>
  <c r="N8101" i="8"/>
  <c r="I8115" i="8"/>
  <c r="M8115" i="8" s="1"/>
  <c r="M8120" i="8" s="1"/>
  <c r="J8101" i="8" s="1"/>
  <c r="I8863" i="8"/>
  <c r="M8863" i="8" s="1"/>
  <c r="M8868" i="8" s="1"/>
  <c r="J8847" i="8" s="1"/>
  <c r="N8847" i="8"/>
  <c r="N8227" i="8"/>
  <c r="I8241" i="8"/>
  <c r="M8241" i="8" s="1"/>
  <c r="M8246" i="8" s="1"/>
  <c r="J8227" i="8" s="1"/>
  <c r="N9067" i="8"/>
  <c r="I9083" i="8"/>
  <c r="M9083" i="8" s="1"/>
  <c r="M9088" i="8" s="1"/>
  <c r="J9067" i="8" s="1"/>
  <c r="I11321" i="8"/>
  <c r="M11321" i="8" s="1"/>
  <c r="M11326" i="8" s="1"/>
  <c r="H11308" i="8" s="1"/>
  <c r="N11308" i="8"/>
  <c r="I389" i="8"/>
  <c r="M389" i="8" s="1"/>
  <c r="M394" i="8" s="1"/>
  <c r="N376" i="8"/>
  <c r="L16" i="7" s="1"/>
  <c r="I4262" i="8"/>
  <c r="M4262" i="8" s="1"/>
  <c r="M4267" i="8" s="1"/>
  <c r="H4248" i="8" s="1"/>
  <c r="N4248" i="8"/>
  <c r="N6874" i="8"/>
  <c r="I6891" i="8"/>
  <c r="M6891" i="8" s="1"/>
  <c r="M6896" i="8" s="1"/>
  <c r="H6874" i="8" s="1"/>
  <c r="N292" i="8"/>
  <c r="L14" i="7" s="1"/>
  <c r="I306" i="8"/>
  <c r="M306" i="8" s="1"/>
  <c r="M311" i="8" s="1"/>
  <c r="I815" i="8"/>
  <c r="M815" i="8" s="1"/>
  <c r="M820" i="8" s="1"/>
  <c r="J801" i="8" s="1"/>
  <c r="N801" i="8"/>
  <c r="N4035" i="8"/>
  <c r="I4049" i="8"/>
  <c r="M4049" i="8" s="1"/>
  <c r="M4054" i="8" s="1"/>
  <c r="J4035" i="8" s="1"/>
  <c r="N5503" i="8"/>
  <c r="I5519" i="8"/>
  <c r="M5519" i="8" s="1"/>
  <c r="M5524" i="8" s="1"/>
  <c r="J5503" i="8" s="1"/>
  <c r="I6575" i="8"/>
  <c r="M6575" i="8" s="1"/>
  <c r="M6580" i="8" s="1"/>
  <c r="J6559" i="8" s="1"/>
  <c r="N6559" i="8"/>
  <c r="N9643" i="8"/>
  <c r="L83" i="7" s="1"/>
  <c r="I9655" i="8"/>
  <c r="M9655" i="8" s="1"/>
  <c r="M9660" i="8" s="1"/>
  <c r="F12404" i="8"/>
  <c r="L12405" i="8" s="1"/>
  <c r="N11432" i="8"/>
  <c r="I11446" i="8"/>
  <c r="M11446" i="8" s="1"/>
  <c r="M11451" i="8" s="1"/>
  <c r="H11432" i="8" s="1"/>
  <c r="N6829" i="8"/>
  <c r="L65" i="7" s="1"/>
  <c r="I6846" i="8"/>
  <c r="M6846" i="8" s="1"/>
  <c r="M6851" i="8" s="1"/>
  <c r="I10480" i="8"/>
  <c r="M10480" i="8" s="1"/>
  <c r="M10485" i="8" s="1"/>
  <c r="J10461" i="8" s="1"/>
  <c r="N10461" i="8"/>
  <c r="N3825" i="8"/>
  <c r="I3839" i="8"/>
  <c r="M3839" i="8" s="1"/>
  <c r="M3844" i="8" s="1"/>
  <c r="J3825" i="8" s="1"/>
  <c r="F13015" i="8"/>
  <c r="L13016" i="8" s="1"/>
  <c r="I3629" i="8"/>
  <c r="M3629" i="8" s="1"/>
  <c r="M3634" i="8" s="1"/>
  <c r="J3615" i="8" s="1"/>
  <c r="N3615" i="8"/>
  <c r="I5343" i="8"/>
  <c r="M5343" i="8" s="1"/>
  <c r="M5348" i="8" s="1"/>
  <c r="J5327" i="8" s="1"/>
  <c r="N5327" i="8"/>
  <c r="I10605" i="8"/>
  <c r="M10605" i="8" s="1"/>
  <c r="M10610" i="8" s="1"/>
  <c r="H10591" i="8" s="1"/>
  <c r="N10591" i="8"/>
  <c r="I6711" i="8"/>
  <c r="M6711" i="8" s="1"/>
  <c r="M6716" i="8" s="1"/>
  <c r="F12352" i="8"/>
  <c r="L12353" i="8" s="1"/>
  <c r="I6443" i="8"/>
  <c r="M6443" i="8" s="1"/>
  <c r="M6448" i="8" s="1"/>
  <c r="J6427" i="8" s="1"/>
  <c r="N6427" i="8"/>
  <c r="N1935" i="8"/>
  <c r="I1949" i="8"/>
  <c r="M1949" i="8" s="1"/>
  <c r="M1954" i="8" s="1"/>
  <c r="J1935" i="8" s="1"/>
  <c r="N3489" i="8"/>
  <c r="L48" i="7" s="1"/>
  <c r="I3503" i="8"/>
  <c r="M3503" i="8" s="1"/>
  <c r="M3508" i="8" s="1"/>
  <c r="I7238" i="8"/>
  <c r="M7238" i="8" s="1"/>
  <c r="M7243" i="8" s="1"/>
  <c r="H7223" i="8" s="1"/>
  <c r="N7223" i="8"/>
  <c r="N7842" i="8"/>
  <c r="I7856" i="8"/>
  <c r="M7856" i="8" s="1"/>
  <c r="M7861" i="8" s="1"/>
  <c r="J7842" i="8" s="1"/>
  <c r="N7529" i="8"/>
  <c r="L72" i="7" s="1"/>
  <c r="I7543" i="8"/>
  <c r="M7543" i="8" s="1"/>
  <c r="M7548" i="8" s="1"/>
  <c r="I8951" i="8"/>
  <c r="M8951" i="8" s="1"/>
  <c r="M8956" i="8" s="1"/>
  <c r="J8935" i="8" s="1"/>
  <c r="N8935" i="8"/>
  <c r="N10973" i="8"/>
  <c r="I10989" i="8"/>
  <c r="M10989" i="8" s="1"/>
  <c r="M10994" i="8" s="1"/>
  <c r="H10973" i="8" s="1"/>
  <c r="N9155" i="8"/>
  <c r="L80" i="7" s="1"/>
  <c r="I9171" i="8"/>
  <c r="M9171" i="8" s="1"/>
  <c r="M9176" i="8" s="1"/>
  <c r="I11498" i="8"/>
  <c r="M11498" i="8" s="1"/>
  <c r="M11503" i="8" s="1"/>
  <c r="H11474" i="8" s="1"/>
  <c r="N11474" i="8"/>
  <c r="N1136" i="8"/>
  <c r="L28" i="7" s="1"/>
  <c r="I1150" i="8"/>
  <c r="M1150" i="8" s="1"/>
  <c r="N5415" i="8"/>
  <c r="I5431" i="8"/>
  <c r="M5431" i="8" s="1"/>
  <c r="M5436" i="8" s="1"/>
  <c r="H5415" i="8" s="1"/>
  <c r="I6980" i="8"/>
  <c r="M6980" i="8" s="1"/>
  <c r="M6985" i="8" s="1"/>
  <c r="N6963" i="8"/>
  <c r="L66" i="7" s="1"/>
  <c r="N1010" i="8"/>
  <c r="I1024" i="8"/>
  <c r="M1024" i="8" s="1"/>
  <c r="M1029" i="8" s="1"/>
  <c r="I1781" i="8"/>
  <c r="M1781" i="8" s="1"/>
  <c r="M1786" i="8" s="1"/>
  <c r="N1767" i="8"/>
  <c r="L40" i="7" s="1"/>
  <c r="I2957" i="8"/>
  <c r="M2957" i="8" s="1"/>
  <c r="M2962" i="8" s="1"/>
  <c r="J2943" i="8" s="1"/>
  <c r="N2943" i="8"/>
  <c r="N5547" i="8"/>
  <c r="L58" i="7" s="1"/>
  <c r="I5563" i="8"/>
  <c r="M5563" i="8" s="1"/>
  <c r="M5568" i="8" s="1"/>
  <c r="N9805" i="8"/>
  <c r="I9817" i="8"/>
  <c r="M9817" i="8" s="1"/>
  <c r="M9822" i="8" s="1"/>
  <c r="J9805" i="8" s="1"/>
  <c r="N11390" i="8"/>
  <c r="I11404" i="8"/>
  <c r="M11404" i="8" s="1"/>
  <c r="M11409" i="8" s="1"/>
  <c r="H11390" i="8" s="1"/>
  <c r="J307" i="2"/>
  <c r="N8059" i="8"/>
  <c r="I8073" i="8"/>
  <c r="M8073" i="8" s="1"/>
  <c r="M8078" i="8" s="1"/>
  <c r="N2985" i="8"/>
  <c r="I2999" i="8"/>
  <c r="M2999" i="8" s="1"/>
  <c r="M3004" i="8" s="1"/>
  <c r="J2985" i="8" s="1"/>
  <c r="I4482" i="8"/>
  <c r="M4482" i="8" s="1"/>
  <c r="M4487" i="8" s="1"/>
  <c r="H4466" i="8" s="1"/>
  <c r="N4466" i="8"/>
  <c r="N3699" i="8"/>
  <c r="I3713" i="8"/>
  <c r="M3713" i="8" s="1"/>
  <c r="M3718" i="8" s="1"/>
  <c r="J3699" i="8" s="1"/>
  <c r="F12565" i="8"/>
  <c r="L12566" i="8" s="1"/>
  <c r="I4526" i="8"/>
  <c r="M4526" i="8" s="1"/>
  <c r="M4531" i="8" s="1"/>
  <c r="H4510" i="8" s="1"/>
  <c r="N4510" i="8"/>
  <c r="I9988" i="8"/>
  <c r="M9988" i="8" s="1"/>
  <c r="M9993" i="8" s="1"/>
  <c r="N9976" i="8"/>
  <c r="L86" i="7" s="1"/>
  <c r="I2747" i="8"/>
  <c r="M2747" i="8" s="1"/>
  <c r="M2752" i="8" s="1"/>
  <c r="N2733" i="8"/>
  <c r="L46" i="7" s="1"/>
  <c r="I3881" i="8"/>
  <c r="M3881" i="8" s="1"/>
  <c r="M3886" i="8" s="1"/>
  <c r="N3867" i="8"/>
  <c r="L49" i="7" s="1"/>
  <c r="N4119" i="8"/>
  <c r="I4136" i="8"/>
  <c r="M4136" i="8" s="1"/>
  <c r="M4141" i="8" s="1"/>
  <c r="I4649" i="8"/>
  <c r="M4649" i="8" s="1"/>
  <c r="M4654" i="8" s="1"/>
  <c r="J4636" i="8" s="1"/>
  <c r="N4636" i="8"/>
  <c r="F12465" i="8"/>
  <c r="L12466" i="8" s="1"/>
  <c r="N2103" i="8"/>
  <c r="I2117" i="8"/>
  <c r="M2117" i="8" s="1"/>
  <c r="M2122" i="8" s="1"/>
  <c r="J2103" i="8" s="1"/>
  <c r="N5723" i="8"/>
  <c r="I5739" i="8"/>
  <c r="M5739" i="8" s="1"/>
  <c r="M5744" i="8" s="1"/>
  <c r="J5723" i="8" s="1"/>
  <c r="N4164" i="8"/>
  <c r="I4178" i="8"/>
  <c r="M4178" i="8" s="1"/>
  <c r="M4183" i="8" s="1"/>
  <c r="H4164" i="8" s="1"/>
  <c r="N7613" i="8"/>
  <c r="L74" i="7" s="1"/>
  <c r="I7627" i="8"/>
  <c r="M7627" i="8" s="1"/>
  <c r="M7632" i="8" s="1"/>
  <c r="N8185" i="8"/>
  <c r="I8199" i="8"/>
  <c r="M8199" i="8" s="1"/>
  <c r="M8204" i="8" s="1"/>
  <c r="I7940" i="8"/>
  <c r="M7940" i="8" s="1"/>
  <c r="M7945" i="8" s="1"/>
  <c r="N7926" i="8"/>
  <c r="I9039" i="8"/>
  <c r="M9039" i="8" s="1"/>
  <c r="M9044" i="8" s="1"/>
  <c r="N9023" i="8"/>
  <c r="L79" i="7" s="1"/>
  <c r="N9292" i="8"/>
  <c r="L81" i="7" s="1"/>
  <c r="I9313" i="8"/>
  <c r="M9313" i="8" s="1"/>
  <c r="M9318" i="8" s="1"/>
  <c r="I10945" i="8"/>
  <c r="M10945" i="8" s="1"/>
  <c r="M10950" i="8" s="1"/>
  <c r="N10930" i="8"/>
  <c r="L96" i="7" s="1"/>
  <c r="I11362" i="8"/>
  <c r="M11362" i="8" s="1"/>
  <c r="M11367" i="8" s="1"/>
  <c r="H11349" i="8" s="1"/>
  <c r="N11349" i="8"/>
  <c r="N127" i="8"/>
  <c r="L12" i="7" s="1"/>
  <c r="M141" i="8"/>
  <c r="M146" i="8" s="1"/>
  <c r="I5387" i="8"/>
  <c r="M5387" i="8" s="1"/>
  <c r="M5392" i="8" s="1"/>
  <c r="J5371" i="8" s="1"/>
  <c r="N5371" i="8"/>
  <c r="I8514" i="8"/>
  <c r="M8514" i="8" s="1"/>
  <c r="M8519" i="8" s="1"/>
  <c r="N8501" i="8"/>
  <c r="N969" i="8"/>
  <c r="L25" i="7" s="1"/>
  <c r="I982" i="8"/>
  <c r="M982" i="8" s="1"/>
  <c r="M987" i="8" s="1"/>
  <c r="I1192" i="8"/>
  <c r="M1192" i="8" s="1"/>
  <c r="M1197" i="8" s="1"/>
  <c r="N1178" i="8"/>
  <c r="L29" i="7" s="1"/>
  <c r="N2607" i="8"/>
  <c r="L44" i="7" s="1"/>
  <c r="I2621" i="8"/>
  <c r="M2621" i="8" s="1"/>
  <c r="M2626" i="8" s="1"/>
  <c r="N5943" i="8"/>
  <c r="L60" i="7" s="1"/>
  <c r="I5959" i="8"/>
  <c r="M5959" i="8" s="1"/>
  <c r="M5964" i="8" s="1"/>
  <c r="H5943" i="8" s="1"/>
  <c r="I60" i="7" s="1"/>
  <c r="I6179" i="8"/>
  <c r="M6179" i="8" s="1"/>
  <c r="M6184" i="8" s="1"/>
  <c r="J6163" i="8" s="1"/>
  <c r="N6163" i="8"/>
  <c r="N10107" i="8"/>
  <c r="L89" i="7" s="1"/>
  <c r="I10121" i="8"/>
  <c r="M10121" i="8" s="1"/>
  <c r="M10126" i="8" s="1"/>
  <c r="F12040" i="8"/>
  <c r="L12041" i="8" s="1"/>
  <c r="N11060" i="8"/>
  <c r="I11074" i="8"/>
  <c r="M11074" i="8" s="1"/>
  <c r="M11079" i="8" s="1"/>
  <c r="H11060" i="8" s="1"/>
  <c r="N5591" i="8"/>
  <c r="I5607" i="8"/>
  <c r="M5607" i="8" s="1"/>
  <c r="M5612" i="8" s="1"/>
  <c r="J5591" i="8" s="1"/>
  <c r="I4823" i="8"/>
  <c r="M4823" i="8" s="1"/>
  <c r="M4826" i="8" s="1"/>
  <c r="N4805" i="8"/>
  <c r="L52" i="7" s="1"/>
  <c r="F12615" i="8"/>
  <c r="L12616" i="8" s="1"/>
  <c r="I6756" i="8"/>
  <c r="M6756" i="8" s="1"/>
  <c r="M6761" i="8" s="1"/>
  <c r="N2397" i="8"/>
  <c r="I2411" i="8"/>
  <c r="M2411" i="8" s="1"/>
  <c r="M2416" i="8" s="1"/>
  <c r="H2397" i="8" s="1"/>
  <c r="I6531" i="8"/>
  <c r="M6531" i="8" s="1"/>
  <c r="M6536" i="8" s="1"/>
  <c r="J6515" i="8" s="1"/>
  <c r="N6515" i="8"/>
  <c r="N6207" i="8"/>
  <c r="I6223" i="8"/>
  <c r="M6223" i="8" s="1"/>
  <c r="M6228" i="8" s="1"/>
  <c r="J6207" i="8" s="1"/>
  <c r="I4220" i="8"/>
  <c r="M4220" i="8" s="1"/>
  <c r="M4225" i="8" s="1"/>
  <c r="H4206" i="8" s="1"/>
  <c r="I4229" i="8"/>
  <c r="M4229" i="8" s="1"/>
  <c r="M4234" i="8" s="1"/>
  <c r="L4206" i="8" s="1"/>
  <c r="N4206" i="8"/>
  <c r="N10414" i="8"/>
  <c r="L92" i="7" s="1"/>
  <c r="I10433" i="8"/>
  <c r="M10433" i="8" s="1"/>
  <c r="M10438" i="8" s="1"/>
  <c r="I2243" i="8"/>
  <c r="M2243" i="8" s="1"/>
  <c r="M2248" i="8" s="1"/>
  <c r="N2229" i="8"/>
  <c r="L41" i="7" s="1"/>
  <c r="N2271" i="8"/>
  <c r="I2285" i="8"/>
  <c r="M2285" i="8" s="1"/>
  <c r="M2290" i="8" s="1"/>
  <c r="J2271" i="8" s="1"/>
  <c r="I3293" i="8"/>
  <c r="M3293" i="8" s="1"/>
  <c r="M3298" i="8" s="1"/>
  <c r="J3279" i="8" s="1"/>
  <c r="N3279" i="8"/>
  <c r="I723" i="8"/>
  <c r="M723" i="8" s="1"/>
  <c r="M728" i="8" s="1"/>
  <c r="J710" i="8" s="1"/>
  <c r="N710" i="8"/>
  <c r="I2369" i="8"/>
  <c r="M2369" i="8" s="1"/>
  <c r="M2374" i="8" s="1"/>
  <c r="H2355" i="8" s="1"/>
  <c r="N2355" i="8"/>
  <c r="N2313" i="8"/>
  <c r="L42" i="7" s="1"/>
  <c r="I2327" i="8"/>
  <c r="M2327" i="8" s="1"/>
  <c r="M2332" i="8" s="1"/>
  <c r="I3377" i="8"/>
  <c r="M3377" i="8" s="1"/>
  <c r="M3382" i="8" s="1"/>
  <c r="J3363" i="8" s="1"/>
  <c r="N3363" i="8"/>
  <c r="N7884" i="8"/>
  <c r="I7898" i="8"/>
  <c r="M7898" i="8" s="1"/>
  <c r="M7903" i="8" s="1"/>
  <c r="J7884" i="8" s="1"/>
  <c r="I4865" i="8"/>
  <c r="M4865" i="8" s="1"/>
  <c r="M4870" i="8" s="1"/>
  <c r="N4849" i="8"/>
  <c r="L53" i="7" s="1"/>
  <c r="I5173" i="8"/>
  <c r="M5173" i="8" s="1"/>
  <c r="M5178" i="8" s="1"/>
  <c r="N5157" i="8"/>
  <c r="L57" i="7" s="1"/>
  <c r="I6399" i="8"/>
  <c r="M6399" i="8" s="1"/>
  <c r="M6404" i="8" s="1"/>
  <c r="J6383" i="8" s="1"/>
  <c r="N6383" i="8"/>
  <c r="N9243" i="8"/>
  <c r="I9264" i="8"/>
  <c r="M9264" i="8" s="1"/>
  <c r="M9269" i="8" s="1"/>
  <c r="H9243" i="8" s="1"/>
  <c r="I9127" i="8"/>
  <c r="M9127" i="8" s="1"/>
  <c r="M9132" i="8" s="1"/>
  <c r="J9111" i="8" s="1"/>
  <c r="N9111" i="8"/>
  <c r="N8627" i="8"/>
  <c r="I8643" i="8"/>
  <c r="M8643" i="8" s="1"/>
  <c r="M8648" i="8" s="1"/>
  <c r="H8627" i="8" s="1"/>
  <c r="N11144" i="8"/>
  <c r="L98" i="7" s="1"/>
  <c r="I11157" i="8"/>
  <c r="M11157" i="8" s="1"/>
  <c r="M11162" i="8" s="1"/>
  <c r="N13736" i="8"/>
  <c r="L123" i="7" s="1"/>
  <c r="I13750" i="8"/>
  <c r="M13750" i="8" s="1"/>
  <c r="M13755" i="8" s="1"/>
  <c r="I264" i="8"/>
  <c r="M264" i="8" s="1"/>
  <c r="M269" i="8" s="1"/>
  <c r="N251" i="8"/>
  <c r="N5679" i="8"/>
  <c r="I5695" i="8"/>
  <c r="M5695" i="8" s="1"/>
  <c r="M5700" i="8" s="1"/>
  <c r="J5679" i="8" s="1"/>
  <c r="I13792" i="8"/>
  <c r="M13792" i="8" s="1"/>
  <c r="M13797" i="8" s="1"/>
  <c r="N13778" i="8"/>
  <c r="L124" i="7" s="1"/>
  <c r="N927" i="8"/>
  <c r="L24" i="7" s="1"/>
  <c r="I941" i="8"/>
  <c r="M941" i="8" s="1"/>
  <c r="M946" i="8" s="1"/>
  <c r="N2691" i="8"/>
  <c r="L45" i="7" s="1"/>
  <c r="I2705" i="8"/>
  <c r="M2705" i="8" s="1"/>
  <c r="M2710" i="8" s="1"/>
  <c r="N3993" i="8"/>
  <c r="I4007" i="8"/>
  <c r="M4007" i="8" s="1"/>
  <c r="M4012" i="8" s="1"/>
  <c r="I7501" i="8"/>
  <c r="M7501" i="8" s="1"/>
  <c r="M7506" i="8" s="1"/>
  <c r="N7488" i="8"/>
  <c r="I6619" i="8"/>
  <c r="M6619" i="8" s="1"/>
  <c r="M6624" i="8" s="1"/>
  <c r="J6603" i="8" s="1"/>
  <c r="N6603" i="8"/>
  <c r="N10508" i="8"/>
  <c r="I10522" i="8"/>
  <c r="M10522" i="8" s="1"/>
  <c r="M10527" i="8" s="1"/>
  <c r="H10508" i="8" s="1"/>
  <c r="F11731" i="8"/>
  <c r="L11732" i="8" s="1"/>
  <c r="N8017" i="8"/>
  <c r="I8031" i="8"/>
  <c r="M8031" i="8" s="1"/>
  <c r="M8036" i="8" s="1"/>
  <c r="N3909" i="8"/>
  <c r="I3923" i="8"/>
  <c r="M3923" i="8" s="1"/>
  <c r="M3928" i="8" s="1"/>
  <c r="I4909" i="8"/>
  <c r="M4909" i="8" s="1"/>
  <c r="M4914" i="8" s="1"/>
  <c r="N4893" i="8"/>
  <c r="L54" i="7" s="1"/>
  <c r="F13515" i="8"/>
  <c r="L13516" i="8" s="1"/>
  <c r="I474" i="8"/>
  <c r="M474" i="8" s="1"/>
  <c r="M479" i="8" s="1"/>
  <c r="N458" i="8"/>
  <c r="L18" i="7" s="1"/>
  <c r="I6267" i="8"/>
  <c r="M6267" i="8" s="1"/>
  <c r="M6272" i="8" s="1"/>
  <c r="J6251" i="8" s="1"/>
  <c r="N6251" i="8"/>
  <c r="I11239" i="8"/>
  <c r="M11239" i="8" s="1"/>
  <c r="M11244" i="8" s="1"/>
  <c r="N11226" i="8"/>
  <c r="L99" i="7" s="1"/>
  <c r="I10039" i="8"/>
  <c r="M10039" i="8" s="1"/>
  <c r="M10044" i="8" s="1"/>
  <c r="N10016" i="8"/>
  <c r="L87" i="7" s="1"/>
  <c r="N751" i="8"/>
  <c r="I773" i="8"/>
  <c r="M773" i="8" s="1"/>
  <c r="M778" i="8" s="1"/>
  <c r="I58" i="8"/>
  <c r="M58" i="8" s="1"/>
  <c r="M63" i="8" s="1"/>
  <c r="L10" i="7"/>
  <c r="N4290" i="8"/>
  <c r="I4306" i="8"/>
  <c r="M4306" i="8" s="1"/>
  <c r="M4311" i="8" s="1"/>
  <c r="H4290" i="8" s="1"/>
  <c r="I3209" i="8"/>
  <c r="M3209" i="8" s="1"/>
  <c r="M3214" i="8" s="1"/>
  <c r="J3195" i="8" s="1"/>
  <c r="N3195" i="8"/>
  <c r="N2061" i="8"/>
  <c r="I2075" i="8"/>
  <c r="M2075" i="8" s="1"/>
  <c r="M2080" i="8" s="1"/>
  <c r="J2061" i="8" s="1"/>
  <c r="I2159" i="8"/>
  <c r="M2159" i="8" s="1"/>
  <c r="M2164" i="8" s="1"/>
  <c r="J2145" i="8" s="1"/>
  <c r="N2145" i="8"/>
  <c r="N2523" i="8"/>
  <c r="I2537" i="8"/>
  <c r="M2537" i="8" s="1"/>
  <c r="M2542" i="8" s="1"/>
  <c r="J2523" i="8" s="1"/>
  <c r="I3461" i="8"/>
  <c r="M3461" i="8" s="1"/>
  <c r="M3466" i="8" s="1"/>
  <c r="J3447" i="8" s="1"/>
  <c r="N3447" i="8"/>
  <c r="N3069" i="8"/>
  <c r="I3083" i="8"/>
  <c r="M3083" i="8" s="1"/>
  <c r="M3088" i="8" s="1"/>
  <c r="J3069" i="8" s="1"/>
  <c r="I4997" i="8"/>
  <c r="M4997" i="8" s="1"/>
  <c r="M5002" i="8" s="1"/>
  <c r="N4981" i="8"/>
  <c r="L56" i="7" s="1"/>
  <c r="I5257" i="8"/>
  <c r="M5257" i="8" s="1"/>
  <c r="M5262" i="8" s="1"/>
  <c r="H5243" i="8" s="1"/>
  <c r="N5243" i="8"/>
  <c r="I7585" i="8"/>
  <c r="M7585" i="8" s="1"/>
  <c r="M7590" i="8" s="1"/>
  <c r="N7571" i="8"/>
  <c r="L73" i="7" s="1"/>
  <c r="I10859" i="8"/>
  <c r="M10859" i="8" s="1"/>
  <c r="M10864" i="8" s="1"/>
  <c r="H10844" i="8" s="1"/>
  <c r="N10844" i="8"/>
  <c r="I9215" i="8"/>
  <c r="M9215" i="8" s="1"/>
  <c r="M9220" i="8" s="1"/>
  <c r="J9199" i="8" s="1"/>
  <c r="N9199" i="8"/>
  <c r="N8715" i="8"/>
  <c r="I8731" i="8"/>
  <c r="M8731" i="8" s="1"/>
  <c r="M8736" i="8" s="1"/>
  <c r="J8715" i="8" s="1"/>
  <c r="I11280" i="8"/>
  <c r="M11280" i="8" s="1"/>
  <c r="M11285" i="8" s="1"/>
  <c r="H11267" i="8" s="1"/>
  <c r="N11267" i="8"/>
  <c r="I13708" i="8"/>
  <c r="M13708" i="8" s="1"/>
  <c r="M13713" i="8" s="1"/>
  <c r="H13694" i="8" s="1"/>
  <c r="N13694" i="8"/>
  <c r="I182" i="8"/>
  <c r="M182" i="8" s="1"/>
  <c r="M187" i="8" s="1"/>
  <c r="N169" i="8"/>
  <c r="N4717" i="8"/>
  <c r="L51" i="7" s="1"/>
  <c r="I4733" i="8"/>
  <c r="M4733" i="8" s="1"/>
  <c r="M4738" i="8" s="1"/>
  <c r="N843" i="8"/>
  <c r="I857" i="8"/>
  <c r="M857" i="8" s="1"/>
  <c r="M862" i="8" s="1"/>
  <c r="J843" i="8" s="1"/>
  <c r="F4761" i="8"/>
  <c r="L4762" i="8" s="1"/>
  <c r="I6003" i="8"/>
  <c r="M6003" i="8" s="1"/>
  <c r="M6008" i="8" s="1"/>
  <c r="J5987" i="8" s="1"/>
  <c r="N5987" i="8"/>
  <c r="I6047" i="8"/>
  <c r="M6047" i="8" s="1"/>
  <c r="M6052" i="8" s="1"/>
  <c r="J6031" i="8" s="1"/>
  <c r="N6031" i="8"/>
  <c r="I7460" i="8"/>
  <c r="M7460" i="8" s="1"/>
  <c r="M7465" i="8" s="1"/>
  <c r="N7447" i="8"/>
  <c r="N10550" i="8"/>
  <c r="I10563" i="8"/>
  <c r="M10563" i="8" s="1"/>
  <c r="M10568" i="8" s="1"/>
  <c r="F13215" i="8"/>
  <c r="L13216" i="8" s="1"/>
  <c r="N669" i="8"/>
  <c r="I683" i="8"/>
  <c r="M683" i="8" s="1"/>
  <c r="M688" i="8" s="1"/>
  <c r="J669" i="8" s="1"/>
  <c r="N2775" i="8"/>
  <c r="I2789" i="8"/>
  <c r="M2789" i="8" s="1"/>
  <c r="M2794" i="8" s="1"/>
  <c r="H2775" i="8" s="1"/>
  <c r="I3041" i="8"/>
  <c r="M3041" i="8" s="1"/>
  <c r="M3046" i="8" s="1"/>
  <c r="J3027" i="8" s="1"/>
  <c r="N3027" i="8"/>
  <c r="F12665" i="8"/>
  <c r="L12666" i="8" s="1"/>
  <c r="F12515" i="8"/>
  <c r="L12516" i="8" s="1"/>
  <c r="I17" i="8"/>
  <c r="M17" i="8" s="1"/>
  <c r="M22" i="8" s="1"/>
  <c r="N4" i="8"/>
  <c r="L9" i="7" s="1"/>
  <c r="I3797" i="8"/>
  <c r="M3797" i="8" s="1"/>
  <c r="M3802" i="8" s="1"/>
  <c r="J3783" i="8" s="1"/>
  <c r="N3783" i="8"/>
  <c r="N9390" i="8"/>
  <c r="I9406" i="8"/>
  <c r="M9406" i="8" s="1"/>
  <c r="M9411" i="8" s="1"/>
  <c r="J9390" i="8" s="1"/>
  <c r="N7049" i="8"/>
  <c r="I5215" i="8"/>
  <c r="M5215" i="8" s="1"/>
  <c r="M5220" i="8" s="1"/>
  <c r="H5201" i="8" s="1"/>
  <c r="N5201" i="8"/>
  <c r="N8891" i="8"/>
  <c r="I8907" i="8"/>
  <c r="M8907" i="8" s="1"/>
  <c r="M8912" i="8" s="1"/>
  <c r="H8891" i="8" s="1"/>
  <c r="I1823" i="8"/>
  <c r="M1823" i="8" s="1"/>
  <c r="M1828" i="8" s="1"/>
  <c r="J1809" i="8" s="1"/>
  <c r="N1809" i="8"/>
  <c r="N2481" i="8"/>
  <c r="I2495" i="8"/>
  <c r="M2495" i="8" s="1"/>
  <c r="M2500" i="8" s="1"/>
  <c r="J2481" i="8" s="1"/>
  <c r="F12144" i="8"/>
  <c r="L12145" i="8" s="1"/>
  <c r="N1977" i="8"/>
  <c r="I1991" i="8"/>
  <c r="M1991" i="8" s="1"/>
  <c r="M1996" i="8" s="1"/>
  <c r="J1977" i="8" s="1"/>
  <c r="N5285" i="8"/>
  <c r="I5299" i="8"/>
  <c r="M5299" i="8" s="1"/>
  <c r="M5304" i="8" s="1"/>
  <c r="H5285" i="8" s="1"/>
  <c r="I4350" i="8"/>
  <c r="M4350" i="8" s="1"/>
  <c r="M4355" i="8" s="1"/>
  <c r="H4334" i="8" s="1"/>
  <c r="N4334" i="8"/>
  <c r="I4608" i="8"/>
  <c r="M4608" i="8" s="1"/>
  <c r="M4613" i="8" s="1"/>
  <c r="J4595" i="8" s="1"/>
  <c r="N4595" i="8"/>
  <c r="N3153" i="8"/>
  <c r="I3167" i="8"/>
  <c r="M3167" i="8" s="1"/>
  <c r="M3172" i="8" s="1"/>
  <c r="J3153" i="8" s="1"/>
  <c r="I5041" i="8"/>
  <c r="M5041" i="8" s="1"/>
  <c r="M5046" i="8" s="1"/>
  <c r="J5025" i="8" s="1"/>
  <c r="N5025" i="8"/>
  <c r="I6311" i="8"/>
  <c r="M6311" i="8" s="1"/>
  <c r="M6316" i="8" s="1"/>
  <c r="J6295" i="8" s="1"/>
  <c r="N6295" i="8"/>
  <c r="I8157" i="8"/>
  <c r="M8157" i="8" s="1"/>
  <c r="M8162" i="8" s="1"/>
  <c r="J8143" i="8" s="1"/>
  <c r="N8143" i="8"/>
  <c r="I8599" i="8"/>
  <c r="M8599" i="8" s="1"/>
  <c r="M8604" i="8" s="1"/>
  <c r="J8583" i="8" s="1"/>
  <c r="N8583" i="8"/>
  <c r="I9362" i="8"/>
  <c r="M9362" i="8" s="1"/>
  <c r="M9367" i="8" s="1"/>
  <c r="H9341" i="8" s="1"/>
  <c r="N9341" i="8"/>
  <c r="N8803" i="8"/>
  <c r="I8819" i="8"/>
  <c r="M8819" i="8" s="1"/>
  <c r="M8824" i="8" s="1"/>
  <c r="J8803" i="8" s="1"/>
  <c r="N10887" i="8"/>
  <c r="I10902" i="8"/>
  <c r="M10902" i="8" s="1"/>
  <c r="M10907" i="8" s="1"/>
  <c r="J10887" i="8" s="1"/>
  <c r="I13623" i="8"/>
  <c r="M13623" i="8" s="1"/>
  <c r="M13628" i="8" s="1"/>
  <c r="H13608" i="8" s="1"/>
  <c r="N13608" i="8"/>
  <c r="N86" i="8"/>
  <c r="L11" i="7" s="1"/>
  <c r="I99" i="8"/>
  <c r="M99" i="8" s="1"/>
  <c r="M104" i="8" s="1"/>
  <c r="I5651" i="8"/>
  <c r="M5651" i="8" s="1"/>
  <c r="M5656" i="8" s="1"/>
  <c r="J5635" i="8" s="1"/>
  <c r="N5635" i="8"/>
  <c r="I1066" i="8"/>
  <c r="M1066" i="8" s="1"/>
  <c r="M1071" i="8" s="1"/>
  <c r="N1052" i="8"/>
  <c r="L26" i="7" s="1"/>
  <c r="I2663" i="8"/>
  <c r="M2663" i="8" s="1"/>
  <c r="M2668" i="8" s="1"/>
  <c r="H2649" i="8" s="1"/>
  <c r="N2649" i="8"/>
  <c r="I2915" i="8"/>
  <c r="M2915" i="8" s="1"/>
  <c r="M2920" i="8" s="1"/>
  <c r="N2901" i="8"/>
  <c r="L47" i="7" s="1"/>
  <c r="I7715" i="8"/>
  <c r="M7715" i="8" s="1"/>
  <c r="M7720" i="8" s="1"/>
  <c r="N7699" i="8"/>
  <c r="L75" i="7" s="1"/>
  <c r="I9736" i="8"/>
  <c r="M9736" i="8" s="1"/>
  <c r="M9741" i="8" s="1"/>
  <c r="N9724" i="8"/>
  <c r="L84" i="7" s="1"/>
  <c r="I10342" i="8"/>
  <c r="M10342" i="8" s="1"/>
  <c r="M10347" i="8" s="1"/>
  <c r="N10326" i="8"/>
  <c r="L91" i="7" s="1"/>
  <c r="N885" i="8"/>
  <c r="L23" i="7" s="1"/>
  <c r="I899" i="8"/>
  <c r="M899" i="8" s="1"/>
  <c r="M904" i="8" s="1"/>
  <c r="I559" i="8"/>
  <c r="M559" i="8" s="1"/>
  <c r="M564" i="8" s="1"/>
  <c r="N546" i="8"/>
  <c r="L20" i="7" s="1"/>
  <c r="N10370" i="8"/>
  <c r="I10386" i="8"/>
  <c r="M10386" i="8" s="1"/>
  <c r="M10391" i="8" s="1"/>
  <c r="I2831" i="8"/>
  <c r="M2831" i="8" s="1"/>
  <c r="M2836" i="8" s="1"/>
  <c r="H2817" i="8" s="1"/>
  <c r="N2817" i="8"/>
  <c r="I8009" i="8"/>
  <c r="M8009" i="8" s="1"/>
  <c r="M8012" i="8" s="1"/>
  <c r="I7127" i="8"/>
  <c r="M7127" i="8" s="1"/>
  <c r="M7132" i="8" s="1"/>
  <c r="I1336" i="8"/>
  <c r="M1336" i="8" s="1"/>
  <c r="M1341" i="8" s="1"/>
  <c r="I1378" i="8"/>
  <c r="M1378" i="8" s="1"/>
  <c r="M1383" i="8" s="1"/>
  <c r="I1504" i="8"/>
  <c r="M1504" i="8" s="1"/>
  <c r="M1509" i="8" s="1"/>
  <c r="I1420" i="8"/>
  <c r="M1420" i="8" s="1"/>
  <c r="M1425" i="8" s="1"/>
  <c r="I1294" i="8"/>
  <c r="M1294" i="8" s="1"/>
  <c r="M1299" i="8" s="1"/>
  <c r="I4394" i="8"/>
  <c r="M4394" i="8" s="1"/>
  <c r="M4399" i="8" s="1"/>
  <c r="J4378" i="8" s="1"/>
  <c r="N4378" i="8"/>
  <c r="N3657" i="8"/>
  <c r="I3671" i="8"/>
  <c r="M3671" i="8" s="1"/>
  <c r="M3676" i="8" s="1"/>
  <c r="J3657" i="8" s="1"/>
  <c r="I600" i="8"/>
  <c r="M600" i="8" s="1"/>
  <c r="M605" i="8" s="1"/>
  <c r="I7366" i="8"/>
  <c r="M7366" i="8" s="1"/>
  <c r="M7371" i="8" s="1"/>
  <c r="N7350" i="8"/>
  <c r="L70" i="7" s="1"/>
  <c r="F11679" i="8"/>
  <c r="L11680" i="8" s="1"/>
  <c r="L7267" i="8" l="1"/>
  <c r="F7267" i="8"/>
  <c r="K120" i="7"/>
  <c r="F13365" i="8"/>
  <c r="K119" i="7"/>
  <c r="F13315" i="8"/>
  <c r="K118" i="7"/>
  <c r="F13265" i="8"/>
  <c r="K117" i="7"/>
  <c r="F13165" i="8"/>
  <c r="K115" i="7"/>
  <c r="K114" i="7"/>
  <c r="F12965" i="8"/>
  <c r="K113" i="7"/>
  <c r="F12915" i="8"/>
  <c r="K112" i="7"/>
  <c r="F12865" i="8"/>
  <c r="K111" i="7"/>
  <c r="F12815" i="8"/>
  <c r="K110" i="7"/>
  <c r="F12765" i="8"/>
  <c r="K109" i="7"/>
  <c r="F12715" i="8"/>
  <c r="K108" i="7"/>
  <c r="F12300" i="8"/>
  <c r="K107" i="7"/>
  <c r="F12092" i="8"/>
  <c r="K105" i="7"/>
  <c r="F11936" i="8"/>
  <c r="K104" i="7"/>
  <c r="F11884" i="8"/>
  <c r="F11832" i="8"/>
  <c r="K100" i="7"/>
  <c r="F11578" i="8"/>
  <c r="I7750" i="8"/>
  <c r="I10423" i="8"/>
  <c r="I9299" i="8"/>
  <c r="I9500" i="8"/>
  <c r="I10425" i="8"/>
  <c r="I9502" i="8"/>
  <c r="I8320" i="8"/>
  <c r="I82" i="7"/>
  <c r="H9490" i="8"/>
  <c r="I9498" i="8"/>
  <c r="J238" i="10"/>
  <c r="I10088" i="8"/>
  <c r="M10088" i="8" s="1"/>
  <c r="I70" i="49"/>
  <c r="M70" i="49" s="1"/>
  <c r="M75" i="49" s="1"/>
  <c r="L47" i="49" s="1"/>
  <c r="F47" i="49" s="1"/>
  <c r="I10079" i="8"/>
  <c r="M10079" i="8" s="1"/>
  <c r="M10084" i="8" s="1"/>
  <c r="I8293" i="8"/>
  <c r="M8293" i="8" s="1"/>
  <c r="M8297" i="8" s="1"/>
  <c r="L8269" i="8" s="1"/>
  <c r="F8269" i="8" s="1"/>
  <c r="J269" i="10" s="1"/>
  <c r="I7981" i="8" s="1"/>
  <c r="M7981" i="8" s="1"/>
  <c r="I7980" i="8"/>
  <c r="M7980" i="8" s="1"/>
  <c r="M271" i="2"/>
  <c r="P294" i="10"/>
  <c r="I6766" i="8"/>
  <c r="M6766" i="8" s="1"/>
  <c r="I6721" i="8"/>
  <c r="M6721" i="8" s="1"/>
  <c r="I11025" i="8"/>
  <c r="M11025" i="8" s="1"/>
  <c r="M121" i="7"/>
  <c r="K333" i="2" s="1"/>
  <c r="L13416" i="8"/>
  <c r="I13844" i="8"/>
  <c r="M13844" i="8" s="1"/>
  <c r="M1159" i="8"/>
  <c r="M106" i="7"/>
  <c r="K318" i="2" s="1"/>
  <c r="L11989" i="8"/>
  <c r="M50" i="7"/>
  <c r="K156" i="2" s="1"/>
  <c r="L4678" i="8"/>
  <c r="M43" i="7"/>
  <c r="K257" i="2" s="1"/>
  <c r="L2566" i="8"/>
  <c r="M34" i="2"/>
  <c r="M74" i="2"/>
  <c r="M75" i="2"/>
  <c r="M81" i="2"/>
  <c r="M31" i="2"/>
  <c r="M33" i="2"/>
  <c r="M73" i="2"/>
  <c r="N628" i="8"/>
  <c r="L22" i="7" s="1"/>
  <c r="M5085" i="8"/>
  <c r="M5090" i="8" s="1"/>
  <c r="N9490" i="8"/>
  <c r="L82" i="7" s="1"/>
  <c r="N417" i="8"/>
  <c r="L17" i="7" s="1"/>
  <c r="N6919" i="8"/>
  <c r="N3573" i="8"/>
  <c r="N7655" i="8"/>
  <c r="J286" i="10"/>
  <c r="P286" i="10" s="1"/>
  <c r="N9434" i="8"/>
  <c r="I9462" i="8"/>
  <c r="M9462" i="8" s="1"/>
  <c r="M9467" i="8" s="1"/>
  <c r="J9434" i="8" s="1"/>
  <c r="I9574" i="8"/>
  <c r="M9574" i="8" s="1"/>
  <c r="M9579" i="8" s="1"/>
  <c r="H9546" i="8" s="1"/>
  <c r="N9546" i="8"/>
  <c r="I518" i="8"/>
  <c r="M518" i="8" s="1"/>
  <c r="M523" i="8" s="1"/>
  <c r="J502" i="8" s="1"/>
  <c r="J19" i="7" s="1"/>
  <c r="I6801" i="8"/>
  <c r="M6801" i="8" s="1"/>
  <c r="M6806" i="8" s="1"/>
  <c r="I6810" i="8" s="1"/>
  <c r="M6810" i="8" s="1"/>
  <c r="N10193" i="8"/>
  <c r="I7021" i="8"/>
  <c r="M7021" i="8" s="1"/>
  <c r="M7026" i="8" s="1"/>
  <c r="H7008" i="8" s="1"/>
  <c r="I67" i="7" s="1"/>
  <c r="N13820" i="8"/>
  <c r="I13834" i="8"/>
  <c r="M13834" i="8" s="1"/>
  <c r="M13839" i="8" s="1"/>
  <c r="I6666" i="8"/>
  <c r="M6666" i="8" s="1"/>
  <c r="M6671" i="8" s="1"/>
  <c r="H6647" i="8" s="1"/>
  <c r="H3489" i="8"/>
  <c r="I48" i="7" s="1"/>
  <c r="I3513" i="8"/>
  <c r="M3513" i="8" s="1"/>
  <c r="M3517" i="8" s="1"/>
  <c r="L3489" i="8" s="1"/>
  <c r="K48" i="7" s="1"/>
  <c r="H292" i="8"/>
  <c r="I14" i="7" s="1"/>
  <c r="I316" i="8"/>
  <c r="M316" i="8" s="1"/>
  <c r="M320" i="8" s="1"/>
  <c r="L292" i="8" s="1"/>
  <c r="F292" i="8" s="1"/>
  <c r="H4981" i="8"/>
  <c r="I56" i="7" s="1"/>
  <c r="I5006" i="8"/>
  <c r="M5006" i="8" s="1"/>
  <c r="M5011" i="8" s="1"/>
  <c r="L4981" i="8" s="1"/>
  <c r="H1767" i="8"/>
  <c r="I40" i="7" s="1"/>
  <c r="I1791" i="8"/>
  <c r="M1791" i="8" s="1"/>
  <c r="M1795" i="8" s="1"/>
  <c r="L1767" i="8" s="1"/>
  <c r="H334" i="8"/>
  <c r="I15" i="7" s="1"/>
  <c r="I358" i="8"/>
  <c r="M358" i="8" s="1"/>
  <c r="M362" i="8" s="1"/>
  <c r="L334" i="8" s="1"/>
  <c r="H5157" i="8"/>
  <c r="I57" i="7" s="1"/>
  <c r="I5182" i="8"/>
  <c r="M5182" i="8" s="1"/>
  <c r="M5187" i="8" s="1"/>
  <c r="L5157" i="8" s="1"/>
  <c r="K57" i="7" s="1"/>
  <c r="H2691" i="8"/>
  <c r="I45" i="7" s="1"/>
  <c r="I2714" i="8"/>
  <c r="M2714" i="8" s="1"/>
  <c r="M2719" i="8" s="1"/>
  <c r="L2691" i="8" s="1"/>
  <c r="K45" i="7" s="1"/>
  <c r="H4849" i="8"/>
  <c r="I53" i="7" s="1"/>
  <c r="I4874" i="8"/>
  <c r="M4874" i="8" s="1"/>
  <c r="M4879" i="8" s="1"/>
  <c r="L4849" i="8" s="1"/>
  <c r="H2733" i="8"/>
  <c r="I46" i="7" s="1"/>
  <c r="I2756" i="8"/>
  <c r="M2756" i="8" s="1"/>
  <c r="M2761" i="8" s="1"/>
  <c r="L2733" i="8" s="1"/>
  <c r="K46" i="7" s="1"/>
  <c r="H4893" i="8"/>
  <c r="I54" i="7" s="1"/>
  <c r="I4918" i="8"/>
  <c r="M4918" i="8" s="1"/>
  <c r="M4923" i="8" s="1"/>
  <c r="L4893" i="8" s="1"/>
  <c r="H13736" i="8"/>
  <c r="I123" i="7" s="1"/>
  <c r="I13760" i="8"/>
  <c r="M13760" i="8" s="1"/>
  <c r="M13764" i="8" s="1"/>
  <c r="L13736" i="8" s="1"/>
  <c r="H6963" i="8"/>
  <c r="I66" i="7" s="1"/>
  <c r="I6989" i="8"/>
  <c r="M6989" i="8" s="1"/>
  <c r="M6994" i="8" s="1"/>
  <c r="L6963" i="8" s="1"/>
  <c r="H4937" i="8"/>
  <c r="I55" i="7" s="1"/>
  <c r="I4962" i="8"/>
  <c r="M4962" i="8" s="1"/>
  <c r="M4967" i="8" s="1"/>
  <c r="L4937" i="8" s="1"/>
  <c r="J8059" i="8"/>
  <c r="I8083" i="8"/>
  <c r="M8083" i="8" s="1"/>
  <c r="M8087" i="8" s="1"/>
  <c r="L8059" i="8" s="1"/>
  <c r="H5547" i="8"/>
  <c r="I58" i="7" s="1"/>
  <c r="I5573" i="8"/>
  <c r="M5573" i="8" s="1"/>
  <c r="H9155" i="8"/>
  <c r="I80" i="7" s="1"/>
  <c r="I9181" i="8"/>
  <c r="M9181" i="8" s="1"/>
  <c r="M9185" i="8" s="1"/>
  <c r="L9155" i="8" s="1"/>
  <c r="H7308" i="8"/>
  <c r="I69" i="7" s="1"/>
  <c r="I7331" i="8"/>
  <c r="M7331" i="8" s="1"/>
  <c r="M7336" i="8" s="1"/>
  <c r="L7308" i="8" s="1"/>
  <c r="K69" i="7" s="1"/>
  <c r="H546" i="8"/>
  <c r="I20" i="7" s="1"/>
  <c r="I569" i="8"/>
  <c r="M569" i="8" s="1"/>
  <c r="M573" i="8" s="1"/>
  <c r="L546" i="8" s="1"/>
  <c r="J7699" i="8"/>
  <c r="J75" i="7" s="1"/>
  <c r="I7725" i="8"/>
  <c r="M7725" i="8" s="1"/>
  <c r="M7728" i="8" s="1"/>
  <c r="L7699" i="8" s="1"/>
  <c r="H10107" i="8"/>
  <c r="I89" i="7" s="1"/>
  <c r="I10131" i="8"/>
  <c r="M10131" i="8" s="1"/>
  <c r="H127" i="8"/>
  <c r="I12" i="7" s="1"/>
  <c r="I150" i="8"/>
  <c r="M150" i="8" s="1"/>
  <c r="M155" i="8" s="1"/>
  <c r="L127" i="8" s="1"/>
  <c r="K12" i="7" s="1"/>
  <c r="H2229" i="8"/>
  <c r="I41" i="7" s="1"/>
  <c r="I2253" i="8"/>
  <c r="M2253" i="8" s="1"/>
  <c r="M2257" i="8" s="1"/>
  <c r="L2229" i="8" s="1"/>
  <c r="F2229" i="8" s="1"/>
  <c r="J7571" i="8"/>
  <c r="J73" i="7" s="1"/>
  <c r="I7595" i="8"/>
  <c r="M7595" i="8" s="1"/>
  <c r="M7599" i="8" s="1"/>
  <c r="L7571" i="8" s="1"/>
  <c r="K73" i="7" s="1"/>
  <c r="H2901" i="8"/>
  <c r="I47" i="7" s="1"/>
  <c r="I2925" i="8"/>
  <c r="M2925" i="8" s="1"/>
  <c r="J4717" i="8"/>
  <c r="J51" i="7" s="1"/>
  <c r="I4743" i="8"/>
  <c r="M4743" i="8" s="1"/>
  <c r="M4747" i="8" s="1"/>
  <c r="L4717" i="8" s="1"/>
  <c r="F4717" i="8" s="1"/>
  <c r="J3909" i="8"/>
  <c r="I3933" i="8"/>
  <c r="M3933" i="8" s="1"/>
  <c r="M3937" i="8" s="1"/>
  <c r="L3909" i="8" s="1"/>
  <c r="H9023" i="8"/>
  <c r="I79" i="7" s="1"/>
  <c r="I9049" i="8"/>
  <c r="M9049" i="8" s="1"/>
  <c r="M9053" i="8" s="1"/>
  <c r="L9023" i="8" s="1"/>
  <c r="H9893" i="8"/>
  <c r="I85" i="7" s="1"/>
  <c r="I9917" i="8"/>
  <c r="M9917" i="8" s="1"/>
  <c r="H10016" i="8"/>
  <c r="I87" i="7" s="1"/>
  <c r="I10049" i="8"/>
  <c r="M10049" i="8" s="1"/>
  <c r="M10053" i="8" s="1"/>
  <c r="L10016" i="8" s="1"/>
  <c r="F10016" i="8" s="1"/>
  <c r="H11144" i="8"/>
  <c r="I98" i="7" s="1"/>
  <c r="I11167" i="8"/>
  <c r="M11167" i="8" s="1"/>
  <c r="M11171" i="8" s="1"/>
  <c r="L11144" i="8" s="1"/>
  <c r="H8759" i="8"/>
  <c r="I78" i="7" s="1"/>
  <c r="I8785" i="8"/>
  <c r="M8785" i="8" s="1"/>
  <c r="M8789" i="8" s="1"/>
  <c r="L8759" i="8" s="1"/>
  <c r="J8017" i="8"/>
  <c r="I8041" i="8"/>
  <c r="M8041" i="8" s="1"/>
  <c r="M8045" i="8" s="1"/>
  <c r="L8017" i="8" s="1"/>
  <c r="H13778" i="8"/>
  <c r="I124" i="7" s="1"/>
  <c r="I13802" i="8"/>
  <c r="M13802" i="8" s="1"/>
  <c r="M13806" i="8" s="1"/>
  <c r="L13778" i="8" s="1"/>
  <c r="J7926" i="8"/>
  <c r="I7950" i="8"/>
  <c r="M7950" i="8" s="1"/>
  <c r="M7954" i="8" s="1"/>
  <c r="L7926" i="8" s="1"/>
  <c r="H11226" i="8"/>
  <c r="I99" i="7" s="1"/>
  <c r="I11249" i="8"/>
  <c r="M11249" i="8" s="1"/>
  <c r="M11253" i="8" s="1"/>
  <c r="L11226" i="8" s="1"/>
  <c r="J3993" i="8"/>
  <c r="I4017" i="8"/>
  <c r="M4017" i="8" s="1"/>
  <c r="M4021" i="8" s="1"/>
  <c r="L3993" i="8" s="1"/>
  <c r="F3993" i="8" s="1"/>
  <c r="H2313" i="8"/>
  <c r="I42" i="7" s="1"/>
  <c r="I2337" i="8"/>
  <c r="M2337" i="8" s="1"/>
  <c r="M2341" i="8" s="1"/>
  <c r="L2313" i="8" s="1"/>
  <c r="F2313" i="8" s="1"/>
  <c r="J8185" i="8"/>
  <c r="I8209" i="8"/>
  <c r="M8209" i="8" s="1"/>
  <c r="M8213" i="8" s="1"/>
  <c r="L8185" i="8" s="1"/>
  <c r="J5069" i="8"/>
  <c r="H4805" i="8"/>
  <c r="I52" i="7" s="1"/>
  <c r="I4830" i="8"/>
  <c r="M4830" i="8" s="1"/>
  <c r="M4835" i="8" s="1"/>
  <c r="L4805" i="8" s="1"/>
  <c r="K52" i="7" s="1"/>
  <c r="H3867" i="8"/>
  <c r="I49" i="7" s="1"/>
  <c r="I3891" i="8"/>
  <c r="M3891" i="8" s="1"/>
  <c r="M3895" i="8" s="1"/>
  <c r="L3867" i="8" s="1"/>
  <c r="K49" i="7" s="1"/>
  <c r="J7529" i="8"/>
  <c r="J72" i="7" s="1"/>
  <c r="I7553" i="8"/>
  <c r="M7553" i="8" s="1"/>
  <c r="M7557" i="8" s="1"/>
  <c r="L7529" i="8" s="1"/>
  <c r="K72" i="7" s="1"/>
  <c r="H2607" i="8"/>
  <c r="I44" i="7" s="1"/>
  <c r="I2631" i="8"/>
  <c r="M2631" i="8" s="1"/>
  <c r="M2635" i="8" s="1"/>
  <c r="L2607" i="8" s="1"/>
  <c r="K44" i="7" s="1"/>
  <c r="J9292" i="8"/>
  <c r="J81" i="7" s="1"/>
  <c r="I9323" i="8"/>
  <c r="M9323" i="8" s="1"/>
  <c r="M9327" i="8" s="1"/>
  <c r="L9292" i="8" s="1"/>
  <c r="K81" i="7" s="1"/>
  <c r="J7613" i="8"/>
  <c r="J74" i="7" s="1"/>
  <c r="I7637" i="8"/>
  <c r="M7637" i="8" s="1"/>
  <c r="M7641" i="8" s="1"/>
  <c r="L7613" i="8" s="1"/>
  <c r="K74" i="7" s="1"/>
  <c r="J6119" i="8"/>
  <c r="J61" i="7" s="1"/>
  <c r="I6145" i="8"/>
  <c r="M6145" i="8" s="1"/>
  <c r="M6149" i="8" s="1"/>
  <c r="L6119" i="8" s="1"/>
  <c r="H9976" i="8"/>
  <c r="I86" i="7" s="1"/>
  <c r="I9998" i="8"/>
  <c r="M9998" i="8" s="1"/>
  <c r="M10002" i="8" s="1"/>
  <c r="L9976" i="8" s="1"/>
  <c r="H10930" i="8"/>
  <c r="I96" i="7" s="1"/>
  <c r="I10955" i="8"/>
  <c r="M10955" i="8" s="1"/>
  <c r="M10959" i="8" s="1"/>
  <c r="L10930" i="8" s="1"/>
  <c r="H9724" i="8"/>
  <c r="I84" i="7" s="1"/>
  <c r="I9745" i="8"/>
  <c r="M9745" i="8" s="1"/>
  <c r="M9750" i="8" s="1"/>
  <c r="L9724" i="8" s="1"/>
  <c r="H9643" i="8"/>
  <c r="I83" i="7" s="1"/>
  <c r="I9665" i="8"/>
  <c r="M9665" i="8" s="1"/>
  <c r="M9669" i="8" s="1"/>
  <c r="L9643" i="8" s="1"/>
  <c r="J7488" i="8"/>
  <c r="I7511" i="8"/>
  <c r="M7511" i="8" s="1"/>
  <c r="M7515" i="8" s="1"/>
  <c r="L7488" i="8" s="1"/>
  <c r="H927" i="8"/>
  <c r="I24" i="7" s="1"/>
  <c r="I951" i="8"/>
  <c r="M951" i="8" s="1"/>
  <c r="M955" i="8" s="1"/>
  <c r="L927" i="8" s="1"/>
  <c r="H1052" i="8"/>
  <c r="I26" i="7" s="1"/>
  <c r="I1076" i="8"/>
  <c r="M1076" i="8" s="1"/>
  <c r="H7180" i="8"/>
  <c r="I68" i="7" s="1"/>
  <c r="I7205" i="8"/>
  <c r="M7205" i="8" s="1"/>
  <c r="M7209" i="8" s="1"/>
  <c r="L7180" i="8" s="1"/>
  <c r="H86" i="8"/>
  <c r="I11" i="7" s="1"/>
  <c r="I108" i="8"/>
  <c r="M108" i="8" s="1"/>
  <c r="M113" i="8" s="1"/>
  <c r="L86" i="8" s="1"/>
  <c r="K11" i="7" s="1"/>
  <c r="H1220" i="8"/>
  <c r="I30" i="7" s="1"/>
  <c r="I1244" i="8"/>
  <c r="M1244" i="8" s="1"/>
  <c r="M1248" i="8" s="1"/>
  <c r="L1220" i="8" s="1"/>
  <c r="H1136" i="8"/>
  <c r="I28" i="7" s="1"/>
  <c r="I1160" i="8"/>
  <c r="M1160" i="8" s="1"/>
  <c r="H1430" i="8"/>
  <c r="I35" i="7" s="1"/>
  <c r="I1454" i="8"/>
  <c r="M1454" i="8" s="1"/>
  <c r="M1458" i="8" s="1"/>
  <c r="L1430" i="8" s="1"/>
  <c r="F1430" i="8" s="1"/>
  <c r="F8101" i="8"/>
  <c r="F5767" i="8"/>
  <c r="L5768" i="8" s="1"/>
  <c r="I7989" i="8"/>
  <c r="M7989" i="8" s="1"/>
  <c r="M7994" i="8" s="1"/>
  <c r="H7968" i="8" s="1"/>
  <c r="N7968" i="8"/>
  <c r="H7350" i="8"/>
  <c r="I70" i="7" s="1"/>
  <c r="I7375" i="8"/>
  <c r="M7375" i="8" s="1"/>
  <c r="I527" i="8"/>
  <c r="M527" i="8" s="1"/>
  <c r="F5591" i="8"/>
  <c r="L5592" i="8" s="1"/>
  <c r="L2020" i="8"/>
  <c r="F5113" i="8"/>
  <c r="L5114" i="8" s="1"/>
  <c r="J7447" i="8"/>
  <c r="I7469" i="8"/>
  <c r="M7469" i="8" s="1"/>
  <c r="M7474" i="8" s="1"/>
  <c r="L7447" i="8" s="1"/>
  <c r="F11267" i="8"/>
  <c r="L11268" i="8" s="1"/>
  <c r="F3447" i="8"/>
  <c r="L3448" i="8" s="1"/>
  <c r="F3195" i="8"/>
  <c r="L3196" i="8" s="1"/>
  <c r="F5679" i="8"/>
  <c r="L5680" i="8" s="1"/>
  <c r="F8627" i="8"/>
  <c r="L8628" i="8" s="1"/>
  <c r="L2272" i="8"/>
  <c r="L2398" i="8"/>
  <c r="H6739" i="8"/>
  <c r="I63" i="7" s="1"/>
  <c r="I6765" i="8"/>
  <c r="M6765" i="8" s="1"/>
  <c r="F3699" i="8"/>
  <c r="L3700" i="8" s="1"/>
  <c r="F9805" i="8"/>
  <c r="L9806" i="8" s="1"/>
  <c r="F8935" i="8"/>
  <c r="L8936" i="8" s="1"/>
  <c r="F10591" i="8"/>
  <c r="L10592" i="8" s="1"/>
  <c r="F3741" i="8"/>
  <c r="L3742" i="8" s="1"/>
  <c r="F13608" i="8"/>
  <c r="L13609" i="8" s="1"/>
  <c r="I651" i="8"/>
  <c r="M651" i="8" s="1"/>
  <c r="H628" i="8"/>
  <c r="I22" i="7" s="1"/>
  <c r="H376" i="8"/>
  <c r="I16" i="7" s="1"/>
  <c r="I398" i="8"/>
  <c r="M398" i="8" s="1"/>
  <c r="M403" i="8" s="1"/>
  <c r="L376" i="8" s="1"/>
  <c r="K16" i="7" s="1"/>
  <c r="F3657" i="8"/>
  <c r="L3658" i="8" s="1"/>
  <c r="N1304" i="8"/>
  <c r="L32" i="7" s="1"/>
  <c r="I1318" i="8"/>
  <c r="M1318" i="8" s="1"/>
  <c r="M1323" i="8" s="1"/>
  <c r="F8143" i="8"/>
  <c r="F4595" i="8"/>
  <c r="L4596" i="8" s="1"/>
  <c r="F5371" i="8"/>
  <c r="L5372" i="8" s="1"/>
  <c r="P222" i="10"/>
  <c r="I10531" i="8"/>
  <c r="M10531" i="8" s="1"/>
  <c r="M10536" i="8" s="1"/>
  <c r="L10508" i="8" s="1"/>
  <c r="I8564" i="8"/>
  <c r="M8564" i="8" s="1"/>
  <c r="M8569" i="8" s="1"/>
  <c r="L8542" i="8" s="1"/>
  <c r="I10130" i="8"/>
  <c r="M10130" i="8" s="1"/>
  <c r="I10264" i="8"/>
  <c r="M10264" i="8" s="1"/>
  <c r="I9916" i="8"/>
  <c r="M9916" i="8" s="1"/>
  <c r="M9921" i="8" s="1"/>
  <c r="L9893" i="8" s="1"/>
  <c r="I8524" i="8"/>
  <c r="M8524" i="8" s="1"/>
  <c r="I10175" i="8"/>
  <c r="M10175" i="8" s="1"/>
  <c r="I7376" i="8"/>
  <c r="M7376" i="8" s="1"/>
  <c r="I6811" i="8"/>
  <c r="M6811" i="8" s="1"/>
  <c r="I6900" i="8"/>
  <c r="M6900" i="8" s="1"/>
  <c r="M6905" i="8" s="1"/>
  <c r="L6874" i="8" s="1"/>
  <c r="I7031" i="8"/>
  <c r="M7031" i="8" s="1"/>
  <c r="I2924" i="8"/>
  <c r="M2924" i="8" s="1"/>
  <c r="M2929" i="8" s="1"/>
  <c r="L2901" i="8" s="1"/>
  <c r="F2901" i="8" s="1"/>
  <c r="I528" i="8"/>
  <c r="M528" i="8" s="1"/>
  <c r="I484" i="8"/>
  <c r="M484" i="8" s="1"/>
  <c r="I440" i="8"/>
  <c r="M440" i="8" s="1"/>
  <c r="I609" i="8"/>
  <c r="M609" i="8" s="1"/>
  <c r="I1117" i="8"/>
  <c r="M1117" i="8" s="1"/>
  <c r="M1122" i="8" s="1"/>
  <c r="L1094" i="8" s="1"/>
  <c r="I908" i="8"/>
  <c r="M908" i="8" s="1"/>
  <c r="I650" i="8"/>
  <c r="M650" i="8" s="1"/>
  <c r="I1034" i="8"/>
  <c r="M1034" i="8" s="1"/>
  <c r="M1038" i="8" s="1"/>
  <c r="L1010" i="8" s="1"/>
  <c r="F1010" i="8" s="1"/>
  <c r="H1010" i="8"/>
  <c r="L1936" i="8"/>
  <c r="F3825" i="8"/>
  <c r="L3826" i="8" s="1"/>
  <c r="F6559" i="8"/>
  <c r="L6560" i="8" s="1"/>
  <c r="F11308" i="8"/>
  <c r="L11309" i="8" s="1"/>
  <c r="F4422" i="8"/>
  <c r="L4423" i="8" s="1"/>
  <c r="F11102" i="8"/>
  <c r="L11103" i="8" s="1"/>
  <c r="F11185" i="8"/>
  <c r="L11186" i="8" s="1"/>
  <c r="F7137" i="8"/>
  <c r="L7138" i="8" s="1"/>
  <c r="F2439" i="8"/>
  <c r="L2440" i="8" s="1"/>
  <c r="J8501" i="8"/>
  <c r="I8523" i="8"/>
  <c r="M8523" i="8" s="1"/>
  <c r="F8847" i="8"/>
  <c r="L8848" i="8" s="1"/>
  <c r="F5899" i="8"/>
  <c r="L5900" i="8" s="1"/>
  <c r="I610" i="8"/>
  <c r="M610" i="8" s="1"/>
  <c r="H587" i="8"/>
  <c r="I21" i="7" s="1"/>
  <c r="H10370" i="8"/>
  <c r="I10395" i="8"/>
  <c r="M10395" i="8" s="1"/>
  <c r="M10400" i="8" s="1"/>
  <c r="L10370" i="8" s="1"/>
  <c r="L670" i="8"/>
  <c r="F8715" i="8"/>
  <c r="L8716" i="8" s="1"/>
  <c r="F2523" i="8"/>
  <c r="L2524" i="8" s="1"/>
  <c r="F4290" i="8"/>
  <c r="N7093" i="8"/>
  <c r="I7109" i="8"/>
  <c r="M7109" i="8" s="1"/>
  <c r="M7114" i="8" s="1"/>
  <c r="J7093" i="8" s="1"/>
  <c r="F8803" i="8"/>
  <c r="L8804" i="8" s="1"/>
  <c r="F8891" i="8"/>
  <c r="L8892" i="8" s="1"/>
  <c r="J389" i="10"/>
  <c r="F3783" i="8"/>
  <c r="L3784" i="8" s="1"/>
  <c r="F6031" i="8"/>
  <c r="L6032" i="8" s="1"/>
  <c r="F5243" i="8"/>
  <c r="L5244" i="8" s="1"/>
  <c r="H6784" i="8"/>
  <c r="I64" i="7" s="1"/>
  <c r="H417" i="8"/>
  <c r="I17" i="7" s="1"/>
  <c r="I439" i="8"/>
  <c r="M439" i="8" s="1"/>
  <c r="H1178" i="8"/>
  <c r="I29" i="7" s="1"/>
  <c r="I1202" i="8"/>
  <c r="M1202" i="8" s="1"/>
  <c r="M1206" i="8" s="1"/>
  <c r="L1178" i="8" s="1"/>
  <c r="F1178" i="8" s="1"/>
  <c r="F11432" i="8"/>
  <c r="L11433" i="8" s="1"/>
  <c r="F5503" i="8"/>
  <c r="L5504" i="8" s="1"/>
  <c r="F9067" i="8"/>
  <c r="L9068" i="8" s="1"/>
  <c r="F2859" i="8"/>
  <c r="L2860" i="8" s="1"/>
  <c r="F3321" i="8"/>
  <c r="L3322" i="8" s="1"/>
  <c r="L1852" i="8"/>
  <c r="F3153" i="8"/>
  <c r="L3154" i="8" s="1"/>
  <c r="L1978" i="8"/>
  <c r="I1486" i="8"/>
  <c r="M1486" i="8" s="1"/>
  <c r="M1491" i="8" s="1"/>
  <c r="N1472" i="8"/>
  <c r="L36" i="7" s="1"/>
  <c r="H10326" i="8"/>
  <c r="I91" i="7" s="1"/>
  <c r="I10351" i="8"/>
  <c r="M10351" i="8" s="1"/>
  <c r="M10356" i="8" s="1"/>
  <c r="L10326" i="8" s="1"/>
  <c r="F2649" i="8"/>
  <c r="L2650" i="8" s="1"/>
  <c r="F8583" i="8"/>
  <c r="L8584" i="8" s="1"/>
  <c r="L1810" i="8"/>
  <c r="L844" i="8"/>
  <c r="F4334" i="8"/>
  <c r="L4335" i="8" s="1"/>
  <c r="L3028" i="8"/>
  <c r="I992" i="8"/>
  <c r="M992" i="8" s="1"/>
  <c r="M996" i="8" s="1"/>
  <c r="L969" i="8" s="1"/>
  <c r="H969" i="8"/>
  <c r="I25" i="7" s="1"/>
  <c r="F4636" i="8"/>
  <c r="L4637" i="8" s="1"/>
  <c r="J10193" i="8"/>
  <c r="I10219" i="8"/>
  <c r="M10219" i="8" s="1"/>
  <c r="M10224" i="8" s="1"/>
  <c r="L10193" i="8" s="1"/>
  <c r="F4466" i="8"/>
  <c r="L4467" i="8" s="1"/>
  <c r="F7842" i="8"/>
  <c r="L7843" i="8" s="1"/>
  <c r="H10067" i="8"/>
  <c r="I88" i="7" s="1"/>
  <c r="I10089" i="8"/>
  <c r="M10089" i="8" s="1"/>
  <c r="F6339" i="8"/>
  <c r="L6340" i="8" s="1"/>
  <c r="F3111" i="8"/>
  <c r="L3112" i="8" s="1"/>
  <c r="I10263" i="8"/>
  <c r="M10263" i="8" s="1"/>
  <c r="H10238" i="8"/>
  <c r="F3951" i="8"/>
  <c r="L3952" i="8" s="1"/>
  <c r="H210" i="8"/>
  <c r="I13" i="7" s="1"/>
  <c r="I232" i="8"/>
  <c r="M232" i="8" s="1"/>
  <c r="M237" i="8" s="1"/>
  <c r="L210" i="8" s="1"/>
  <c r="K13" i="7" s="1"/>
  <c r="L802" i="8"/>
  <c r="I1360" i="8"/>
  <c r="M1360" i="8" s="1"/>
  <c r="M1365" i="8" s="1"/>
  <c r="N1346" i="8"/>
  <c r="L33" i="7" s="1"/>
  <c r="F10887" i="8"/>
  <c r="L10888" i="8" s="1"/>
  <c r="F5635" i="8"/>
  <c r="L5636" i="8" s="1"/>
  <c r="F6295" i="8"/>
  <c r="L6296" i="8" s="1"/>
  <c r="I274" i="8"/>
  <c r="M274" i="8" s="1"/>
  <c r="M278" i="8" s="1"/>
  <c r="L251" i="8" s="1"/>
  <c r="J251" i="8"/>
  <c r="F9111" i="8"/>
  <c r="L9112" i="8" s="1"/>
  <c r="L2356" i="8"/>
  <c r="F4206" i="8"/>
  <c r="F4378" i="8"/>
  <c r="L4379" i="8" s="1"/>
  <c r="I909" i="8"/>
  <c r="M909" i="8" s="1"/>
  <c r="H885" i="8"/>
  <c r="I23" i="7" s="1"/>
  <c r="F5285" i="8"/>
  <c r="L5286" i="8" s="1"/>
  <c r="F2481" i="8"/>
  <c r="L2482" i="8" s="1"/>
  <c r="I7074" i="8"/>
  <c r="M7074" i="8" s="1"/>
  <c r="M7079" i="8" s="1"/>
  <c r="L7049" i="8" s="1"/>
  <c r="J7049" i="8"/>
  <c r="J4" i="8"/>
  <c r="I26" i="8"/>
  <c r="M26" i="8" s="1"/>
  <c r="M31" i="8" s="1"/>
  <c r="L4" i="8" s="1"/>
  <c r="K9" i="7" s="1"/>
  <c r="F2775" i="8"/>
  <c r="L2776" i="8" s="1"/>
  <c r="F5987" i="8"/>
  <c r="L5988" i="8" s="1"/>
  <c r="I191" i="8"/>
  <c r="M191" i="8" s="1"/>
  <c r="M196" i="8" s="1"/>
  <c r="L169" i="8" s="1"/>
  <c r="J169" i="8"/>
  <c r="F9199" i="8"/>
  <c r="F9200" i="8" s="1"/>
  <c r="L2146" i="8"/>
  <c r="F7884" i="8"/>
  <c r="F6207" i="8"/>
  <c r="L6208" i="8" s="1"/>
  <c r="F6163" i="8"/>
  <c r="L6164" i="8" s="1"/>
  <c r="F5723" i="8"/>
  <c r="L5724" i="8" s="1"/>
  <c r="J4119" i="8"/>
  <c r="I4145" i="8"/>
  <c r="M4145" i="8" s="1"/>
  <c r="M4150" i="8" s="1"/>
  <c r="L4119" i="8" s="1"/>
  <c r="I7030" i="8"/>
  <c r="M7030" i="8" s="1"/>
  <c r="F2985" i="8"/>
  <c r="L2986" i="8" s="1"/>
  <c r="F3615" i="8"/>
  <c r="L3616" i="8" s="1"/>
  <c r="F4035" i="8"/>
  <c r="L4036" i="8" s="1"/>
  <c r="F6471" i="8"/>
  <c r="L6472" i="8" s="1"/>
  <c r="N1388" i="8"/>
  <c r="L34" i="7" s="1"/>
  <c r="I1402" i="8"/>
  <c r="M1402" i="8" s="1"/>
  <c r="M1407" i="8" s="1"/>
  <c r="I783" i="8"/>
  <c r="M783" i="8" s="1"/>
  <c r="H751" i="8"/>
  <c r="F6383" i="8"/>
  <c r="L6384" i="8" s="1"/>
  <c r="F3363" i="8"/>
  <c r="L3364" i="8" s="1"/>
  <c r="F3279" i="8"/>
  <c r="L3280" i="8" s="1"/>
  <c r="H10414" i="8"/>
  <c r="I92" i="7" s="1"/>
  <c r="I10442" i="8"/>
  <c r="M10442" i="8" s="1"/>
  <c r="F6515" i="8"/>
  <c r="L6516" i="8" s="1"/>
  <c r="N1262" i="8"/>
  <c r="L31" i="7" s="1"/>
  <c r="I1276" i="8"/>
  <c r="M1276" i="8" s="1"/>
  <c r="M1281" i="8" s="1"/>
  <c r="F2817" i="8"/>
  <c r="L2818" i="8" s="1"/>
  <c r="L5026" i="8"/>
  <c r="F5201" i="8"/>
  <c r="L5202" i="8" s="1"/>
  <c r="I10573" i="8"/>
  <c r="M10573" i="8" s="1"/>
  <c r="M10577" i="8" s="1"/>
  <c r="L10550" i="8" s="1"/>
  <c r="H10550" i="8"/>
  <c r="F3069" i="8"/>
  <c r="L3070" i="8" s="1"/>
  <c r="L2062" i="8"/>
  <c r="H458" i="8"/>
  <c r="I18" i="7" s="1"/>
  <c r="I483" i="8"/>
  <c r="M483" i="8" s="1"/>
  <c r="F6603" i="8"/>
  <c r="L6604" i="8" s="1"/>
  <c r="L711" i="8"/>
  <c r="F11060" i="8"/>
  <c r="L11061" i="8" s="1"/>
  <c r="F11349" i="8"/>
  <c r="L11350" i="8" s="1"/>
  <c r="F4510" i="8"/>
  <c r="L4511" i="8" s="1"/>
  <c r="F10973" i="8"/>
  <c r="L10974" i="8" s="1"/>
  <c r="I6720" i="8"/>
  <c r="M6720" i="8" s="1"/>
  <c r="H6694" i="8"/>
  <c r="I62" i="7" s="1"/>
  <c r="F10461" i="8"/>
  <c r="L10462" i="8" s="1"/>
  <c r="F4248" i="8"/>
  <c r="L4249" i="8" s="1"/>
  <c r="L1894" i="8"/>
  <c r="F8671" i="8"/>
  <c r="L8672" i="8" s="1"/>
  <c r="I7680" i="8"/>
  <c r="M7680" i="8" s="1"/>
  <c r="M7685" i="8" s="1"/>
  <c r="L7655" i="8" s="1"/>
  <c r="J7655" i="8"/>
  <c r="F7800" i="8"/>
  <c r="L7801" i="8" s="1"/>
  <c r="I10174" i="8"/>
  <c r="M10174" i="8" s="1"/>
  <c r="H10149" i="8"/>
  <c r="F13651" i="8"/>
  <c r="L13652" i="8" s="1"/>
  <c r="F13694" i="8"/>
  <c r="L13695" i="8" s="1"/>
  <c r="F10844" i="8"/>
  <c r="L10845" i="8" s="1"/>
  <c r="H45" i="8"/>
  <c r="I67" i="8"/>
  <c r="M67" i="8" s="1"/>
  <c r="M72" i="8" s="1"/>
  <c r="L45" i="8" s="1"/>
  <c r="K10" i="7" s="1"/>
  <c r="F6251" i="8"/>
  <c r="L6252" i="8" s="1"/>
  <c r="F3573" i="8"/>
  <c r="L3574" i="8" s="1"/>
  <c r="L2104" i="8"/>
  <c r="F11390" i="8"/>
  <c r="L11391" i="8" s="1"/>
  <c r="F2943" i="8"/>
  <c r="L2944" i="8" s="1"/>
  <c r="F7223" i="8"/>
  <c r="I6855" i="8"/>
  <c r="M6855" i="8" s="1"/>
  <c r="M6860" i="8" s="1"/>
  <c r="L6829" i="8" s="1"/>
  <c r="K65" i="7" s="1"/>
  <c r="H6829" i="8"/>
  <c r="I65" i="7" s="1"/>
  <c r="F3405" i="8"/>
  <c r="L3406" i="8" s="1"/>
  <c r="L2188" i="8"/>
  <c r="F3531" i="8"/>
  <c r="L3532" i="8" s="1"/>
  <c r="H10282" i="8"/>
  <c r="I90" i="7" s="1"/>
  <c r="I10307" i="8"/>
  <c r="M10307" i="8" s="1"/>
  <c r="M10312" i="8" s="1"/>
  <c r="L10282" i="8" s="1"/>
  <c r="F8979" i="8"/>
  <c r="L8980" i="8" s="1"/>
  <c r="F3237" i="8"/>
  <c r="L3238" i="8" s="1"/>
  <c r="K35" i="7" l="1"/>
  <c r="K30" i="7"/>
  <c r="F1220" i="8"/>
  <c r="K66" i="7"/>
  <c r="F6963" i="8"/>
  <c r="K123" i="7"/>
  <c r="F13736" i="8"/>
  <c r="F2314" i="8"/>
  <c r="I7763" i="8" s="1"/>
  <c r="M10093" i="8"/>
  <c r="L10067" i="8" s="1"/>
  <c r="F10067" i="8" s="1"/>
  <c r="K91" i="7"/>
  <c r="F10326" i="8"/>
  <c r="K124" i="7"/>
  <c r="F13778" i="8"/>
  <c r="K86" i="7"/>
  <c r="F9976" i="8"/>
  <c r="K87" i="7"/>
  <c r="K79" i="7"/>
  <c r="F9023" i="8"/>
  <c r="K78" i="7"/>
  <c r="F8759" i="8"/>
  <c r="K80" i="7"/>
  <c r="F9155" i="8"/>
  <c r="I8317" i="8"/>
  <c r="I10420" i="8"/>
  <c r="K96" i="7"/>
  <c r="F10930" i="8"/>
  <c r="K90" i="7"/>
  <c r="F10282" i="8"/>
  <c r="K85" i="7"/>
  <c r="F9893" i="8"/>
  <c r="K84" i="7"/>
  <c r="F9724" i="8"/>
  <c r="K99" i="7"/>
  <c r="F11226" i="8"/>
  <c r="K98" i="7"/>
  <c r="F11144" i="8"/>
  <c r="K61" i="7"/>
  <c r="F6119" i="8"/>
  <c r="K68" i="7"/>
  <c r="F7180" i="8"/>
  <c r="I7762" i="8"/>
  <c r="I7400" i="8"/>
  <c r="I7748" i="8"/>
  <c r="K75" i="7"/>
  <c r="F7699" i="8"/>
  <c r="K47" i="7"/>
  <c r="J9" i="7"/>
  <c r="F4" i="8"/>
  <c r="I9496" i="8"/>
  <c r="I11480" i="8"/>
  <c r="M6770" i="8"/>
  <c r="L6739" i="8" s="1"/>
  <c r="K63" i="7" s="1"/>
  <c r="K56" i="7"/>
  <c r="F4981" i="8"/>
  <c r="K55" i="7"/>
  <c r="F4937" i="8"/>
  <c r="K54" i="7"/>
  <c r="F4893" i="8"/>
  <c r="K53" i="7"/>
  <c r="F4849" i="8"/>
  <c r="K51" i="7"/>
  <c r="K42" i="7"/>
  <c r="K41" i="7"/>
  <c r="F2230" i="8"/>
  <c r="K40" i="7"/>
  <c r="F1767" i="8"/>
  <c r="K29" i="7"/>
  <c r="K27" i="7"/>
  <c r="F1094" i="8"/>
  <c r="K25" i="7"/>
  <c r="F969" i="8"/>
  <c r="K24" i="7"/>
  <c r="F927" i="8"/>
  <c r="K83" i="7"/>
  <c r="F9643" i="8"/>
  <c r="M83" i="7" s="1"/>
  <c r="K20" i="7"/>
  <c r="F546" i="8"/>
  <c r="K15" i="7"/>
  <c r="F334" i="8"/>
  <c r="K14" i="7"/>
  <c r="L8270" i="8"/>
  <c r="F45" i="8"/>
  <c r="I10" i="7"/>
  <c r="M6725" i="8"/>
  <c r="L6694" i="8" s="1"/>
  <c r="K62" i="7" s="1"/>
  <c r="P269" i="10"/>
  <c r="M1164" i="8"/>
  <c r="L1136" i="8" s="1"/>
  <c r="M120" i="7"/>
  <c r="K332" i="2" s="1"/>
  <c r="L13366" i="8"/>
  <c r="M119" i="7"/>
  <c r="K331" i="2" s="1"/>
  <c r="L13316" i="8"/>
  <c r="M118" i="7"/>
  <c r="K330" i="2" s="1"/>
  <c r="L13266" i="8"/>
  <c r="M117" i="7"/>
  <c r="K329" i="2" s="1"/>
  <c r="L13166" i="8"/>
  <c r="M115" i="7"/>
  <c r="K327" i="2" s="1"/>
  <c r="L13066" i="8"/>
  <c r="M114" i="7"/>
  <c r="K326" i="2" s="1"/>
  <c r="L12966" i="8"/>
  <c r="M113" i="7"/>
  <c r="K325" i="2" s="1"/>
  <c r="L12916" i="8"/>
  <c r="M112" i="7"/>
  <c r="K324" i="2" s="1"/>
  <c r="L12866" i="8"/>
  <c r="M111" i="7"/>
  <c r="K323" i="2" s="1"/>
  <c r="L12816" i="8"/>
  <c r="M110" i="7"/>
  <c r="K322" i="2" s="1"/>
  <c r="L12766" i="8"/>
  <c r="M109" i="7"/>
  <c r="K321" i="2" s="1"/>
  <c r="L12716" i="8"/>
  <c r="M108" i="7"/>
  <c r="K320" i="2" s="1"/>
  <c r="L12301" i="8"/>
  <c r="M107" i="7"/>
  <c r="K319" i="2" s="1"/>
  <c r="L12093" i="8"/>
  <c r="M105" i="7"/>
  <c r="K317" i="2" s="1"/>
  <c r="L11937" i="8"/>
  <c r="M104" i="7"/>
  <c r="K316" i="2" s="1"/>
  <c r="M316" i="2" s="1"/>
  <c r="L11885" i="8"/>
  <c r="M103" i="7"/>
  <c r="K315" i="2" s="1"/>
  <c r="L11833" i="8"/>
  <c r="M100" i="7"/>
  <c r="K312" i="2" s="1"/>
  <c r="K193" i="2"/>
  <c r="M193" i="2" s="1"/>
  <c r="K231" i="2"/>
  <c r="M231" i="2" s="1"/>
  <c r="K119" i="2"/>
  <c r="J280" i="10"/>
  <c r="P280" i="10" s="1"/>
  <c r="L8144" i="8"/>
  <c r="J247" i="10"/>
  <c r="I7414" i="8" s="1"/>
  <c r="M7414" i="8" s="1"/>
  <c r="L8102" i="8"/>
  <c r="J257" i="10"/>
  <c r="P257" i="10" s="1"/>
  <c r="L7885" i="8"/>
  <c r="M60" i="7"/>
  <c r="K80" i="2" s="1"/>
  <c r="L5944" i="8"/>
  <c r="M156" i="2"/>
  <c r="M333" i="2"/>
  <c r="M318" i="2"/>
  <c r="M257" i="2"/>
  <c r="M10135" i="8"/>
  <c r="L10107" i="8" s="1"/>
  <c r="F8185" i="8"/>
  <c r="L8186" i="8" s="1"/>
  <c r="F7926" i="8"/>
  <c r="F2733" i="8"/>
  <c r="F2734" i="8" s="1"/>
  <c r="I7765" i="8"/>
  <c r="M7765" i="8" s="1"/>
  <c r="F7529" i="8"/>
  <c r="F3909" i="8"/>
  <c r="F3489" i="8"/>
  <c r="F3490" i="8" s="1"/>
  <c r="F7488" i="8"/>
  <c r="L7489" i="8" s="1"/>
  <c r="F5157" i="8"/>
  <c r="F5158" i="8" s="1"/>
  <c r="F2691" i="8"/>
  <c r="F2692" i="8" s="1"/>
  <c r="H13820" i="8"/>
  <c r="I13845" i="8"/>
  <c r="M13845" i="8" s="1"/>
  <c r="M13848" i="8" s="1"/>
  <c r="L13820" i="8" s="1"/>
  <c r="M11" i="7"/>
  <c r="K10" i="2" s="1"/>
  <c r="F8059" i="8"/>
  <c r="L8060" i="8" s="1"/>
  <c r="K220" i="2"/>
  <c r="K179" i="2"/>
  <c r="F7571" i="8"/>
  <c r="F8017" i="8"/>
  <c r="F3867" i="8"/>
  <c r="F3868" i="8" s="1"/>
  <c r="F7613" i="8"/>
  <c r="M444" i="8"/>
  <c r="L417" i="8" s="1"/>
  <c r="M6815" i="8"/>
  <c r="L6784" i="8" s="1"/>
  <c r="K64" i="7" s="1"/>
  <c r="F6874" i="8"/>
  <c r="L6875" i="8" s="1"/>
  <c r="H1388" i="8"/>
  <c r="I34" i="7" s="1"/>
  <c r="I1412" i="8"/>
  <c r="M1412" i="8" s="1"/>
  <c r="M1416" i="8" s="1"/>
  <c r="L1388" i="8" s="1"/>
  <c r="F1388" i="8" s="1"/>
  <c r="H1304" i="8"/>
  <c r="I32" i="7" s="1"/>
  <c r="I1328" i="8"/>
  <c r="M1328" i="8" s="1"/>
  <c r="M1332" i="8" s="1"/>
  <c r="L1304" i="8" s="1"/>
  <c r="H1262" i="8"/>
  <c r="I31" i="7" s="1"/>
  <c r="I1286" i="8"/>
  <c r="M1286" i="8" s="1"/>
  <c r="M1290" i="8" s="1"/>
  <c r="L1262" i="8" s="1"/>
  <c r="H1346" i="8"/>
  <c r="I33" i="7" s="1"/>
  <c r="I1370" i="8"/>
  <c r="M1370" i="8" s="1"/>
  <c r="M1374" i="8" s="1"/>
  <c r="L1346" i="8" s="1"/>
  <c r="H1472" i="8"/>
  <c r="I36" i="7" s="1"/>
  <c r="I1496" i="8"/>
  <c r="M1496" i="8" s="1"/>
  <c r="M1500" i="8" s="1"/>
  <c r="L1472" i="8" s="1"/>
  <c r="F1472" i="8" s="1"/>
  <c r="M10268" i="8"/>
  <c r="L10238" i="8" s="1"/>
  <c r="M8528" i="8"/>
  <c r="L8501" i="8" s="1"/>
  <c r="M913" i="8"/>
  <c r="L885" i="8" s="1"/>
  <c r="F885" i="8" s="1"/>
  <c r="F10508" i="8"/>
  <c r="L10509" i="8" s="1"/>
  <c r="J318" i="10"/>
  <c r="F7093" i="8"/>
  <c r="M614" i="8"/>
  <c r="L587" i="8" s="1"/>
  <c r="M532" i="8"/>
  <c r="L502" i="8" s="1"/>
  <c r="F502" i="8" s="1"/>
  <c r="J320" i="10"/>
  <c r="P320" i="10" s="1"/>
  <c r="F4119" i="8"/>
  <c r="L4120" i="8" s="1"/>
  <c r="L170" i="8"/>
  <c r="F7049" i="8"/>
  <c r="F7050" i="8" s="1"/>
  <c r="L252" i="8"/>
  <c r="K142" i="2"/>
  <c r="J255" i="10"/>
  <c r="P255" i="10" s="1"/>
  <c r="M7380" i="8"/>
  <c r="L7350" i="8" s="1"/>
  <c r="J329" i="10"/>
  <c r="P389" i="10"/>
  <c r="I11541" i="8"/>
  <c r="M11541" i="8" s="1"/>
  <c r="I11489" i="8"/>
  <c r="M11489" i="8" s="1"/>
  <c r="F10550" i="8"/>
  <c r="L10551" i="8" s="1"/>
  <c r="J256" i="10"/>
  <c r="P256" i="10" s="1"/>
  <c r="J331" i="10"/>
  <c r="L1011" i="8"/>
  <c r="M7035" i="8"/>
  <c r="L7008" i="8" s="1"/>
  <c r="F10193" i="8"/>
  <c r="F10194" i="8" s="1"/>
  <c r="F7447" i="8"/>
  <c r="L7448" i="8" s="1"/>
  <c r="F7655" i="8"/>
  <c r="L7656" i="8" s="1"/>
  <c r="M10179" i="8"/>
  <c r="L10149" i="8" s="1"/>
  <c r="M488" i="8"/>
  <c r="L458" i="8" s="1"/>
  <c r="F458" i="8" s="1"/>
  <c r="F10370" i="8"/>
  <c r="L10371" i="8" s="1"/>
  <c r="J328" i="10"/>
  <c r="M655" i="8"/>
  <c r="L628" i="8" s="1"/>
  <c r="K88" i="7" l="1"/>
  <c r="K215" i="2"/>
  <c r="K252" i="2"/>
  <c r="K216" i="2"/>
  <c r="K253" i="2"/>
  <c r="K255" i="2"/>
  <c r="K218" i="2"/>
  <c r="K140" i="2"/>
  <c r="K177" i="2"/>
  <c r="K138" i="2"/>
  <c r="K175" i="2"/>
  <c r="K130" i="2"/>
  <c r="K167" i="2"/>
  <c r="K205" i="2"/>
  <c r="K243" i="2"/>
  <c r="K67" i="7"/>
  <c r="F7008" i="8"/>
  <c r="K70" i="7"/>
  <c r="F7350" i="8"/>
  <c r="K89" i="7"/>
  <c r="F10107" i="8"/>
  <c r="F6694" i="8"/>
  <c r="F6695" i="8" s="1"/>
  <c r="F6739" i="8"/>
  <c r="M63" i="7" s="1"/>
  <c r="J241" i="10" s="1"/>
  <c r="K36" i="7"/>
  <c r="K34" i="7"/>
  <c r="K33" i="7"/>
  <c r="F1346" i="8"/>
  <c r="K32" i="7"/>
  <c r="F1304" i="8"/>
  <c r="K31" i="7"/>
  <c r="F1262" i="8"/>
  <c r="K28" i="7"/>
  <c r="F1136" i="8"/>
  <c r="L1137" i="8" s="1"/>
  <c r="K22" i="7"/>
  <c r="F628" i="8"/>
  <c r="K21" i="7"/>
  <c r="F587" i="8"/>
  <c r="K23" i="7"/>
  <c r="K19" i="7"/>
  <c r="K18" i="7"/>
  <c r="K17" i="7"/>
  <c r="F417" i="8"/>
  <c r="F418" i="8" s="1"/>
  <c r="L5" i="8"/>
  <c r="M9" i="7"/>
  <c r="M124" i="7"/>
  <c r="K267" i="2" s="1"/>
  <c r="L13779" i="8"/>
  <c r="M123" i="7"/>
  <c r="K144" i="2" s="1"/>
  <c r="L13737" i="8"/>
  <c r="I7759" i="8"/>
  <c r="M7759" i="8" s="1"/>
  <c r="M119" i="2"/>
  <c r="M99" i="7"/>
  <c r="K83" i="2" s="1"/>
  <c r="L11227" i="8"/>
  <c r="M98" i="7"/>
  <c r="K82" i="2" s="1"/>
  <c r="L11145" i="8"/>
  <c r="M96" i="7"/>
  <c r="K109" i="2" s="1"/>
  <c r="L10931" i="8"/>
  <c r="M91" i="7"/>
  <c r="K111" i="2" s="1"/>
  <c r="L10327" i="8"/>
  <c r="M90" i="7"/>
  <c r="K106" i="2" s="1"/>
  <c r="L10283" i="8"/>
  <c r="M88" i="7"/>
  <c r="K279" i="2" s="1"/>
  <c r="L10068" i="8"/>
  <c r="M87" i="7"/>
  <c r="K305" i="2" s="1"/>
  <c r="L10017" i="8"/>
  <c r="M86" i="7"/>
  <c r="K307" i="2" s="1"/>
  <c r="L9977" i="8"/>
  <c r="M85" i="7"/>
  <c r="K95" i="2" s="1"/>
  <c r="L9894" i="8"/>
  <c r="M84" i="7"/>
  <c r="K85" i="2" s="1"/>
  <c r="L9725" i="8"/>
  <c r="K56" i="2"/>
  <c r="M56" i="2" s="1"/>
  <c r="L9644" i="8"/>
  <c r="M80" i="7"/>
  <c r="L9156" i="8"/>
  <c r="M79" i="7"/>
  <c r="K285" i="2" s="1"/>
  <c r="L9024" i="8"/>
  <c r="M78" i="7"/>
  <c r="K284" i="2" s="1"/>
  <c r="L8760" i="8"/>
  <c r="P247" i="10"/>
  <c r="J264" i="10"/>
  <c r="I11024" i="8" s="1"/>
  <c r="M11024" i="8" s="1"/>
  <c r="M11028" i="8" s="1"/>
  <c r="L8018" i="8"/>
  <c r="J261" i="10"/>
  <c r="P261" i="10" s="1"/>
  <c r="L7927" i="8"/>
  <c r="M75" i="7"/>
  <c r="J275" i="10" s="1"/>
  <c r="L7700" i="8"/>
  <c r="M74" i="7"/>
  <c r="J271" i="10" s="1"/>
  <c r="L7614" i="8"/>
  <c r="M73" i="7"/>
  <c r="J282" i="10" s="1"/>
  <c r="L7572" i="8"/>
  <c r="M72" i="7"/>
  <c r="J246" i="10" s="1"/>
  <c r="L7530" i="8"/>
  <c r="M69" i="7"/>
  <c r="L7309" i="8"/>
  <c r="M68" i="7"/>
  <c r="K32" i="2" s="1"/>
  <c r="M66" i="7"/>
  <c r="K260" i="2" s="1"/>
  <c r="M65" i="7"/>
  <c r="K234" i="2" s="1"/>
  <c r="L6830" i="8"/>
  <c r="M62" i="7"/>
  <c r="M61" i="7"/>
  <c r="K78" i="2" s="1"/>
  <c r="L6120" i="8"/>
  <c r="M57" i="7"/>
  <c r="M56" i="7"/>
  <c r="K184" i="2" s="1"/>
  <c r="L4982" i="8"/>
  <c r="M55" i="7"/>
  <c r="K222" i="2" s="1"/>
  <c r="L4938" i="8"/>
  <c r="M54" i="7"/>
  <c r="K254" i="2" s="1"/>
  <c r="L4894" i="8"/>
  <c r="M53" i="7"/>
  <c r="K146" i="2" s="1"/>
  <c r="L4850" i="8"/>
  <c r="M52" i="7"/>
  <c r="L4806" i="8"/>
  <c r="M51" i="7"/>
  <c r="J254" i="10" s="1"/>
  <c r="L4718" i="8"/>
  <c r="J350" i="10"/>
  <c r="P350" i="10" s="1"/>
  <c r="L3994" i="8"/>
  <c r="J279" i="10"/>
  <c r="P279" i="10" s="1"/>
  <c r="L3910" i="8"/>
  <c r="M49" i="7"/>
  <c r="L3868" i="8"/>
  <c r="M48" i="7"/>
  <c r="L3490" i="8"/>
  <c r="M47" i="7"/>
  <c r="K298" i="2" s="1"/>
  <c r="L2902" i="8"/>
  <c r="M46" i="7"/>
  <c r="L2734" i="8"/>
  <c r="M45" i="7"/>
  <c r="L2692" i="8"/>
  <c r="M42" i="7"/>
  <c r="K176" i="2" s="1"/>
  <c r="M41" i="7"/>
  <c r="K141" i="2" s="1"/>
  <c r="L2230" i="8"/>
  <c r="M40" i="7"/>
  <c r="K180" i="2" s="1"/>
  <c r="L1768" i="8"/>
  <c r="M35" i="7"/>
  <c r="K29" i="2" s="1"/>
  <c r="L1431" i="8"/>
  <c r="M30" i="7"/>
  <c r="K24" i="2" s="1"/>
  <c r="L1221" i="8"/>
  <c r="M29" i="7"/>
  <c r="K23" i="2" s="1"/>
  <c r="L1179" i="8"/>
  <c r="M27" i="7"/>
  <c r="K247" i="2" s="1"/>
  <c r="L1095" i="8"/>
  <c r="M25" i="7"/>
  <c r="K17" i="2" s="1"/>
  <c r="L970" i="8"/>
  <c r="M24" i="7"/>
  <c r="K16" i="2" s="1"/>
  <c r="L928" i="8"/>
  <c r="M20" i="7"/>
  <c r="K245" i="2" s="1"/>
  <c r="L547" i="8"/>
  <c r="M16" i="7"/>
  <c r="K237" i="2" s="1"/>
  <c r="L377" i="8"/>
  <c r="M15" i="7"/>
  <c r="K233" i="2" s="1"/>
  <c r="L335" i="8"/>
  <c r="M14" i="7"/>
  <c r="K232" i="2" s="1"/>
  <c r="L293" i="8"/>
  <c r="M13" i="7"/>
  <c r="K41" i="2" s="1"/>
  <c r="L211" i="8"/>
  <c r="M12" i="7"/>
  <c r="K295" i="2" s="1"/>
  <c r="L128" i="8"/>
  <c r="K294" i="2"/>
  <c r="M10" i="7"/>
  <c r="K8" i="2" s="1"/>
  <c r="K292" i="2"/>
  <c r="M179" i="2"/>
  <c r="M321" i="2"/>
  <c r="M324" i="2"/>
  <c r="M317" i="2"/>
  <c r="M332" i="2"/>
  <c r="M142" i="2"/>
  <c r="M220" i="2"/>
  <c r="M322" i="2"/>
  <c r="M319" i="2"/>
  <c r="M323" i="2"/>
  <c r="M326" i="2"/>
  <c r="M330" i="2"/>
  <c r="M329" i="2"/>
  <c r="M331" i="2"/>
  <c r="M327" i="2"/>
  <c r="M315" i="2"/>
  <c r="M320" i="2"/>
  <c r="M312" i="2"/>
  <c r="M325" i="2"/>
  <c r="M80" i="2"/>
  <c r="J270" i="10"/>
  <c r="I7408" i="8" s="1"/>
  <c r="M7408" i="8" s="1"/>
  <c r="J319" i="10"/>
  <c r="P319" i="10" s="1"/>
  <c r="J334" i="10"/>
  <c r="M11481" i="8" s="1"/>
  <c r="J330" i="10"/>
  <c r="P330" i="10" s="1"/>
  <c r="J239" i="10"/>
  <c r="I9249" i="8" s="1"/>
  <c r="M9249" i="8" s="1"/>
  <c r="F13820" i="8"/>
  <c r="L13821" i="8" s="1"/>
  <c r="J283" i="10"/>
  <c r="P283" i="10" s="1"/>
  <c r="F6784" i="8"/>
  <c r="F6785" i="8" s="1"/>
  <c r="J240" i="10"/>
  <c r="F10238" i="8"/>
  <c r="L10239" i="8" s="1"/>
  <c r="F8501" i="8"/>
  <c r="L8502" i="8" s="1"/>
  <c r="P331" i="10"/>
  <c r="I9565" i="8"/>
  <c r="M9565" i="8" s="1"/>
  <c r="P329" i="10"/>
  <c r="I9453" i="8"/>
  <c r="M9453" i="8" s="1"/>
  <c r="P318" i="10"/>
  <c r="I9449" i="8"/>
  <c r="M9449" i="8" s="1"/>
  <c r="P328" i="10"/>
  <c r="I9452" i="8"/>
  <c r="M9452" i="8" s="1"/>
  <c r="F10149" i="8"/>
  <c r="L10150" i="8" s="1"/>
  <c r="M216" i="2" l="1"/>
  <c r="K204" i="2"/>
  <c r="K242" i="2"/>
  <c r="K166" i="2"/>
  <c r="K206" i="2"/>
  <c r="K131" i="2"/>
  <c r="K244" i="2"/>
  <c r="K168" i="2"/>
  <c r="K99" i="2"/>
  <c r="K129" i="2"/>
  <c r="M28" i="7"/>
  <c r="K248" i="2" s="1"/>
  <c r="L6740" i="8"/>
  <c r="M11485" i="8"/>
  <c r="K181" i="2"/>
  <c r="M181" i="2" s="1"/>
  <c r="K287" i="2"/>
  <c r="M287" i="2" s="1"/>
  <c r="K147" i="2"/>
  <c r="M147" i="2" s="1"/>
  <c r="K217" i="2"/>
  <c r="M217" i="2" s="1"/>
  <c r="K185" i="2"/>
  <c r="M185" i="2" s="1"/>
  <c r="I7976" i="8"/>
  <c r="M7976" i="8" s="1"/>
  <c r="M89" i="7"/>
  <c r="K96" i="2" s="1"/>
  <c r="M96" i="2" s="1"/>
  <c r="L10108" i="8"/>
  <c r="I13572" i="8"/>
  <c r="M13572" i="8" s="1"/>
  <c r="M13576" i="8" s="1"/>
  <c r="J13565" i="8" s="1"/>
  <c r="K196" i="2"/>
  <c r="M196" i="2" s="1"/>
  <c r="K148" i="2"/>
  <c r="M148" i="2" s="1"/>
  <c r="M100" i="2"/>
  <c r="P264" i="10"/>
  <c r="M205" i="2"/>
  <c r="M167" i="2"/>
  <c r="K223" i="2"/>
  <c r="K259" i="2"/>
  <c r="M259" i="2" s="1"/>
  <c r="I7764" i="8"/>
  <c r="M7764" i="8" s="1"/>
  <c r="M70" i="7"/>
  <c r="K47" i="2" s="1"/>
  <c r="L7351" i="8"/>
  <c r="M67" i="7"/>
  <c r="K240" i="2" s="1"/>
  <c r="M64" i="7"/>
  <c r="K101" i="2"/>
  <c r="M101" i="2" s="1"/>
  <c r="K221" i="2"/>
  <c r="M221" i="2" s="1"/>
  <c r="K214" i="2"/>
  <c r="M214" i="2" s="1"/>
  <c r="K63" i="2"/>
  <c r="M63" i="2" s="1"/>
  <c r="M255" i="2"/>
  <c r="K183" i="2"/>
  <c r="M183" i="2" s="1"/>
  <c r="K145" i="2"/>
  <c r="M145" i="2" s="1"/>
  <c r="M222" i="2"/>
  <c r="M146" i="2"/>
  <c r="K182" i="2"/>
  <c r="M182" i="2" s="1"/>
  <c r="I7412" i="8"/>
  <c r="M7412" i="8" s="1"/>
  <c r="K45" i="2"/>
  <c r="K273" i="2"/>
  <c r="M273" i="2" s="1"/>
  <c r="K124" i="2"/>
  <c r="M124" i="2" s="1"/>
  <c r="K270" i="2"/>
  <c r="M270" i="2" s="1"/>
  <c r="J248" i="10"/>
  <c r="I9561" i="8" s="1"/>
  <c r="M9561" i="8" s="1"/>
  <c r="I7758" i="8"/>
  <c r="M7758" i="8" s="1"/>
  <c r="K132" i="2"/>
  <c r="K139" i="2"/>
  <c r="M139" i="2" s="1"/>
  <c r="K169" i="2"/>
  <c r="M169" i="2" s="1"/>
  <c r="K251" i="2"/>
  <c r="M251" i="2" s="1"/>
  <c r="K258" i="2"/>
  <c r="M258" i="2" s="1"/>
  <c r="K143" i="2"/>
  <c r="M143" i="2" s="1"/>
  <c r="J243" i="10"/>
  <c r="M5078" i="8" s="1"/>
  <c r="K207" i="2"/>
  <c r="M138" i="2"/>
  <c r="J251" i="10"/>
  <c r="M7747" i="8" s="1"/>
  <c r="K192" i="2"/>
  <c r="M192" i="2" s="1"/>
  <c r="K178" i="2"/>
  <c r="M178" i="2" s="1"/>
  <c r="K219" i="2"/>
  <c r="M219" i="2" s="1"/>
  <c r="K228" i="2"/>
  <c r="K155" i="2"/>
  <c r="M155" i="2" s="1"/>
  <c r="K92" i="2"/>
  <c r="M92" i="2" s="1"/>
  <c r="K230" i="2"/>
  <c r="M230" i="2" s="1"/>
  <c r="K43" i="2"/>
  <c r="K256" i="2"/>
  <c r="K118" i="2"/>
  <c r="K268" i="2"/>
  <c r="K208" i="2"/>
  <c r="P270" i="10"/>
  <c r="M36" i="7"/>
  <c r="K77" i="2" s="1"/>
  <c r="L1473" i="8"/>
  <c r="M34" i="7"/>
  <c r="K76" i="2" s="1"/>
  <c r="L1389" i="8"/>
  <c r="M33" i="7"/>
  <c r="K27" i="2" s="1"/>
  <c r="L1347" i="8"/>
  <c r="M32" i="7"/>
  <c r="K26" i="2" s="1"/>
  <c r="L1305" i="8"/>
  <c r="M31" i="7"/>
  <c r="K25" i="2" s="1"/>
  <c r="L1263" i="8"/>
  <c r="M23" i="7"/>
  <c r="K236" i="2" s="1"/>
  <c r="L886" i="8"/>
  <c r="M22" i="7"/>
  <c r="K277" i="2" s="1"/>
  <c r="L629" i="8"/>
  <c r="M21" i="7"/>
  <c r="K276" i="2" s="1"/>
  <c r="L588" i="8"/>
  <c r="M19" i="7"/>
  <c r="J253" i="10" s="1"/>
  <c r="P253" i="10" s="1"/>
  <c r="L503" i="8"/>
  <c r="M18" i="7"/>
  <c r="L459" i="8"/>
  <c r="M17" i="7"/>
  <c r="L418" i="8"/>
  <c r="P334" i="10"/>
  <c r="M41" i="2"/>
  <c r="M298" i="2"/>
  <c r="M260" i="2"/>
  <c r="M16" i="2"/>
  <c r="M29" i="2"/>
  <c r="M85" i="2"/>
  <c r="M284" i="2"/>
  <c r="M307" i="2"/>
  <c r="M95" i="2"/>
  <c r="M23" i="2"/>
  <c r="M17" i="2"/>
  <c r="M176" i="2"/>
  <c r="M141" i="2"/>
  <c r="M295" i="2"/>
  <c r="M249" i="2"/>
  <c r="M218" i="2"/>
  <c r="M232" i="2"/>
  <c r="M247" i="2"/>
  <c r="M305" i="2"/>
  <c r="M234" i="2"/>
  <c r="M78" i="2"/>
  <c r="M106" i="2"/>
  <c r="M82" i="2"/>
  <c r="M292" i="2"/>
  <c r="M144" i="2"/>
  <c r="M233" i="2"/>
  <c r="M248" i="2"/>
  <c r="M83" i="2"/>
  <c r="M109" i="2"/>
  <c r="M175" i="2"/>
  <c r="M267" i="2"/>
  <c r="M279" i="2"/>
  <c r="M285" i="2"/>
  <c r="M294" i="2"/>
  <c r="M254" i="2"/>
  <c r="M237" i="2"/>
  <c r="M24" i="2"/>
  <c r="M180" i="2"/>
  <c r="M252" i="2"/>
  <c r="M184" i="2"/>
  <c r="M32" i="2"/>
  <c r="M245" i="2"/>
  <c r="M111" i="2"/>
  <c r="I9505" i="8"/>
  <c r="M9505" i="8" s="1"/>
  <c r="I11533" i="8"/>
  <c r="M11533" i="8" s="1"/>
  <c r="J20" i="10"/>
  <c r="I6434" i="8" s="1"/>
  <c r="M6434" i="8" s="1"/>
  <c r="M6439" i="8" s="1"/>
  <c r="K51" i="2"/>
  <c r="K303" i="2"/>
  <c r="K135" i="2"/>
  <c r="K211" i="2"/>
  <c r="I7404" i="8"/>
  <c r="M7404" i="8" s="1"/>
  <c r="I8321" i="8"/>
  <c r="M8321" i="8" s="1"/>
  <c r="I7754" i="8"/>
  <c r="M7754" i="8" s="1"/>
  <c r="P254" i="10"/>
  <c r="J252" i="10"/>
  <c r="P252" i="10" s="1"/>
  <c r="K21" i="2"/>
  <c r="K172" i="2"/>
  <c r="K20" i="2"/>
  <c r="K134" i="2"/>
  <c r="K50" i="2"/>
  <c r="K171" i="2"/>
  <c r="K210" i="2"/>
  <c r="I7410" i="8"/>
  <c r="M7410" i="8" s="1"/>
  <c r="P246" i="10"/>
  <c r="I7411" i="8"/>
  <c r="M7411" i="8" s="1"/>
  <c r="P271" i="10"/>
  <c r="I7755" i="8"/>
  <c r="M7755" i="8" s="1"/>
  <c r="P275" i="10"/>
  <c r="I7405" i="8"/>
  <c r="M7405" i="8" s="1"/>
  <c r="P282" i="10"/>
  <c r="I8231" i="8"/>
  <c r="M8231" i="8" s="1"/>
  <c r="M8237" i="8" s="1"/>
  <c r="I8250" i="8" s="1"/>
  <c r="M8250" i="8" s="1"/>
  <c r="M8255" i="8" s="1"/>
  <c r="L8227" i="8" s="1"/>
  <c r="I7760" i="8"/>
  <c r="M7760" i="8" s="1"/>
  <c r="K275" i="2"/>
  <c r="K48" i="2"/>
  <c r="K121" i="2"/>
  <c r="K158" i="2"/>
  <c r="K195" i="2"/>
  <c r="J113" i="10"/>
  <c r="I1059" i="8" s="1"/>
  <c r="M1059" i="8" s="1"/>
  <c r="K300" i="2"/>
  <c r="J278" i="10"/>
  <c r="P278" i="10" s="1"/>
  <c r="K161" i="2"/>
  <c r="K199" i="2"/>
  <c r="I9509" i="8"/>
  <c r="M9509" i="8" s="1"/>
  <c r="K69" i="2"/>
  <c r="K157" i="2"/>
  <c r="K120" i="2"/>
  <c r="K194" i="2"/>
  <c r="K103" i="2"/>
  <c r="K71" i="2"/>
  <c r="K153" i="2"/>
  <c r="K190" i="2"/>
  <c r="J262" i="10"/>
  <c r="P262" i="10" s="1"/>
  <c r="K116" i="2"/>
  <c r="K90" i="2"/>
  <c r="K61" i="2"/>
  <c r="J234" i="10"/>
  <c r="M10418" i="8" s="1"/>
  <c r="M8" i="2"/>
  <c r="K265" i="2"/>
  <c r="K39" i="2"/>
  <c r="M7402" i="8"/>
  <c r="M8319" i="8"/>
  <c r="M7752" i="8"/>
  <c r="M9499" i="8"/>
  <c r="I9854" i="8"/>
  <c r="M9854" i="8" s="1"/>
  <c r="I9555" i="8"/>
  <c r="M9555" i="8" s="1"/>
  <c r="I11535" i="8"/>
  <c r="M11535" i="8" s="1"/>
  <c r="I9347" i="8"/>
  <c r="M9347" i="8" s="1"/>
  <c r="M11483" i="8"/>
  <c r="M9298" i="8"/>
  <c r="P239" i="10"/>
  <c r="I9443" i="8"/>
  <c r="M9443" i="8" s="1"/>
  <c r="M10422" i="8"/>
  <c r="J235" i="10"/>
  <c r="K269" i="2"/>
  <c r="J104" i="10"/>
  <c r="M7763" i="8"/>
  <c r="P241" i="10"/>
  <c r="I11537" i="8"/>
  <c r="M11537" i="8" s="1"/>
  <c r="I9557" i="8"/>
  <c r="M9557" i="8" s="1"/>
  <c r="I9856" i="8"/>
  <c r="M9856" i="8" s="1"/>
  <c r="I9445" i="8"/>
  <c r="M9445" i="8" s="1"/>
  <c r="M10424" i="8"/>
  <c r="M9501" i="8"/>
  <c r="J11017" i="8"/>
  <c r="I11041" i="8"/>
  <c r="M11041" i="8" s="1"/>
  <c r="M11046" i="8" s="1"/>
  <c r="L11017" i="8" s="1"/>
  <c r="K97" i="7" s="1"/>
  <c r="M11487" i="8"/>
  <c r="M10423" i="8"/>
  <c r="I9250" i="8"/>
  <c r="M9250" i="8" s="1"/>
  <c r="P240" i="10"/>
  <c r="I9857" i="8"/>
  <c r="M9857" i="8" s="1"/>
  <c r="M9502" i="8"/>
  <c r="I9348" i="8"/>
  <c r="M9348" i="8" s="1"/>
  <c r="I9446" i="8"/>
  <c r="M9446" i="8" s="1"/>
  <c r="I9558" i="8"/>
  <c r="M9558" i="8" s="1"/>
  <c r="M9299" i="8"/>
  <c r="M8320" i="8"/>
  <c r="I11539" i="8"/>
  <c r="M11539" i="8" s="1"/>
  <c r="J388" i="10"/>
  <c r="K241" i="2" l="1"/>
  <c r="K15" i="2"/>
  <c r="J97" i="7"/>
  <c r="F11017" i="8"/>
  <c r="J122" i="7"/>
  <c r="K163" i="2"/>
  <c r="M163" i="2" s="1"/>
  <c r="K14" i="2"/>
  <c r="M129" i="2"/>
  <c r="I13589" i="8"/>
  <c r="M13589" i="8" s="1"/>
  <c r="M13594" i="8" s="1"/>
  <c r="L13565" i="8" s="1"/>
  <c r="K122" i="7" s="1"/>
  <c r="M130" i="2"/>
  <c r="M223" i="2"/>
  <c r="K164" i="2"/>
  <c r="K202" i="2"/>
  <c r="M202" i="2" s="1"/>
  <c r="K127" i="2"/>
  <c r="P248" i="10"/>
  <c r="M7399" i="8"/>
  <c r="M43" i="2"/>
  <c r="M243" i="2"/>
  <c r="M204" i="2"/>
  <c r="J242" i="10"/>
  <c r="I9444" i="8" s="1"/>
  <c r="M9444" i="8" s="1"/>
  <c r="M242" i="2"/>
  <c r="M132" i="2"/>
  <c r="M256" i="2"/>
  <c r="K30" i="2"/>
  <c r="J178" i="10"/>
  <c r="I5465" i="8" s="1"/>
  <c r="M5465" i="8" s="1"/>
  <c r="M5471" i="8" s="1"/>
  <c r="H5459" i="8" s="1"/>
  <c r="M45" i="2"/>
  <c r="M253" i="2"/>
  <c r="M207" i="2"/>
  <c r="M215" i="2"/>
  <c r="M118" i="2"/>
  <c r="P251" i="10"/>
  <c r="M7756" i="8"/>
  <c r="M11479" i="8"/>
  <c r="M7762" i="8"/>
  <c r="M228" i="2"/>
  <c r="I11531" i="8"/>
  <c r="M11531" i="8" s="1"/>
  <c r="I9248" i="8"/>
  <c r="M9248" i="8" s="1"/>
  <c r="P243" i="10"/>
  <c r="M9297" i="8"/>
  <c r="I9850" i="8"/>
  <c r="M9850" i="8" s="1"/>
  <c r="M9495" i="8"/>
  <c r="I9346" i="8"/>
  <c r="M9346" i="8" s="1"/>
  <c r="I9439" i="8"/>
  <c r="M9439" i="8" s="1"/>
  <c r="M8316" i="8"/>
  <c r="I7973" i="8"/>
  <c r="M7973" i="8" s="1"/>
  <c r="I9551" i="8"/>
  <c r="M9551" i="8" s="1"/>
  <c r="M7406" i="8"/>
  <c r="M208" i="2"/>
  <c r="M268" i="2"/>
  <c r="I8546" i="8"/>
  <c r="M8546" i="8" s="1"/>
  <c r="M8551" i="8" s="1"/>
  <c r="J8542" i="8" s="1"/>
  <c r="F8542" i="8" s="1"/>
  <c r="L8543" i="8" s="1"/>
  <c r="I1058" i="8"/>
  <c r="M1058" i="8" s="1"/>
  <c r="I755" i="8"/>
  <c r="M755" i="8" s="1"/>
  <c r="M769" i="8" s="1"/>
  <c r="I782" i="8" s="1"/>
  <c r="M782" i="8" s="1"/>
  <c r="M787" i="8" s="1"/>
  <c r="L751" i="8" s="1"/>
  <c r="I5420" i="8"/>
  <c r="M5420" i="8" s="1"/>
  <c r="M5427" i="8" s="1"/>
  <c r="J5415" i="8" s="1"/>
  <c r="F5415" i="8" s="1"/>
  <c r="L5416" i="8" s="1"/>
  <c r="M14" i="2"/>
  <c r="K126" i="2"/>
  <c r="K98" i="2"/>
  <c r="M98" i="2" s="1"/>
  <c r="K201" i="2"/>
  <c r="P238" i="10"/>
  <c r="K67" i="2"/>
  <c r="K239" i="2"/>
  <c r="M77" i="2"/>
  <c r="M26" i="2"/>
  <c r="M168" i="2"/>
  <c r="M39" i="2"/>
  <c r="M116" i="2"/>
  <c r="M173" i="2"/>
  <c r="M194" i="2"/>
  <c r="M69" i="2"/>
  <c r="M76" i="2"/>
  <c r="M121" i="2"/>
  <c r="M134" i="2"/>
  <c r="M51" i="2"/>
  <c r="M206" i="2"/>
  <c r="M177" i="2"/>
  <c r="M71" i="2"/>
  <c r="M120" i="2"/>
  <c r="M300" i="2"/>
  <c r="M195" i="2"/>
  <c r="M48" i="2"/>
  <c r="M210" i="2"/>
  <c r="M20" i="2"/>
  <c r="M211" i="2"/>
  <c r="M276" i="2"/>
  <c r="M27" i="2"/>
  <c r="M131" i="2"/>
  <c r="M140" i="2"/>
  <c r="M166" i="2"/>
  <c r="M269" i="2"/>
  <c r="M61" i="2"/>
  <c r="M190" i="2"/>
  <c r="M103" i="2"/>
  <c r="M157" i="2"/>
  <c r="M199" i="2"/>
  <c r="M25" i="2"/>
  <c r="M158" i="2"/>
  <c r="M275" i="2"/>
  <c r="M171" i="2"/>
  <c r="M172" i="2"/>
  <c r="M135" i="2"/>
  <c r="M277" i="2"/>
  <c r="M241" i="2"/>
  <c r="M240" i="2"/>
  <c r="M244" i="2"/>
  <c r="M10" i="2"/>
  <c r="M265" i="2"/>
  <c r="M90" i="2"/>
  <c r="M153" i="2"/>
  <c r="M212" i="2"/>
  <c r="M136" i="2"/>
  <c r="M236" i="2"/>
  <c r="M161" i="2"/>
  <c r="M50" i="2"/>
  <c r="M21" i="2"/>
  <c r="M303" i="2"/>
  <c r="M47" i="2"/>
  <c r="M7750" i="8"/>
  <c r="K44" i="2"/>
  <c r="H8227" i="8"/>
  <c r="F8227" i="8" s="1"/>
  <c r="L8228" i="8" s="1"/>
  <c r="K28" i="2"/>
  <c r="M8315" i="8"/>
  <c r="K12" i="2"/>
  <c r="K299" i="2"/>
  <c r="K65" i="2"/>
  <c r="J236" i="10"/>
  <c r="M7748" i="8" s="1"/>
  <c r="K160" i="2"/>
  <c r="K123" i="2"/>
  <c r="K94" i="2"/>
  <c r="K198" i="2"/>
  <c r="K274" i="2"/>
  <c r="I7972" i="8"/>
  <c r="M7972" i="8" s="1"/>
  <c r="I11530" i="8"/>
  <c r="M11530" i="8" s="1"/>
  <c r="P234" i="10"/>
  <c r="M11478" i="8"/>
  <c r="I9550" i="8"/>
  <c r="M9550" i="8" s="1"/>
  <c r="M9296" i="8"/>
  <c r="I9438" i="8"/>
  <c r="M9438" i="8" s="1"/>
  <c r="M9494" i="8"/>
  <c r="I9345" i="8"/>
  <c r="M9345" i="8" s="1"/>
  <c r="M7398" i="8"/>
  <c r="I9247" i="8"/>
  <c r="M9247" i="8" s="1"/>
  <c r="I9849" i="8"/>
  <c r="M9849" i="8" s="1"/>
  <c r="M7746" i="8"/>
  <c r="I10419" i="8"/>
  <c r="M10419" i="8" s="1"/>
  <c r="P235" i="10"/>
  <c r="I5552" i="8"/>
  <c r="M5552" i="8" s="1"/>
  <c r="M5559" i="8" s="1"/>
  <c r="I1056" i="8"/>
  <c r="M1056" i="8" s="1"/>
  <c r="I2612" i="8"/>
  <c r="M2612" i="8" s="1"/>
  <c r="M2617" i="8" s="1"/>
  <c r="J2607" i="8" s="1"/>
  <c r="I7403" i="8"/>
  <c r="M7403" i="8" s="1"/>
  <c r="I7753" i="8"/>
  <c r="M7753" i="8" s="1"/>
  <c r="M9500" i="8"/>
  <c r="K203" i="2"/>
  <c r="K165" i="2"/>
  <c r="M1075" i="8"/>
  <c r="M1080" i="8" s="1"/>
  <c r="L1052" i="8" s="1"/>
  <c r="K26" i="7" s="1"/>
  <c r="I6452" i="8"/>
  <c r="M6452" i="8" s="1"/>
  <c r="M6457" i="8" s="1"/>
  <c r="L6427" i="8" s="1"/>
  <c r="H6427" i="8"/>
  <c r="K68" i="2"/>
  <c r="K128" i="2"/>
  <c r="P388" i="10"/>
  <c r="I11538" i="8"/>
  <c r="M11538" i="8" s="1"/>
  <c r="M11486" i="8"/>
  <c r="F13565" i="8" l="1"/>
  <c r="L13566" i="8" s="1"/>
  <c r="J44" i="7"/>
  <c r="F2607" i="8"/>
  <c r="I6925" i="8"/>
  <c r="M6925" i="8" s="1"/>
  <c r="M6931" i="8" s="1"/>
  <c r="J6919" i="8" s="1"/>
  <c r="F6919" i="8" s="1"/>
  <c r="M99" i="2"/>
  <c r="M97" i="7"/>
  <c r="K108" i="2" s="1"/>
  <c r="L11018" i="8"/>
  <c r="M164" i="2"/>
  <c r="P242" i="10"/>
  <c r="M127" i="2"/>
  <c r="I9556" i="8"/>
  <c r="M9556" i="8" s="1"/>
  <c r="I11536" i="8"/>
  <c r="M11536" i="8" s="1"/>
  <c r="I11484" i="8"/>
  <c r="M11484" i="8" s="1"/>
  <c r="M10425" i="8"/>
  <c r="I9855" i="8"/>
  <c r="M9855" i="8" s="1"/>
  <c r="M126" i="2"/>
  <c r="I6656" i="8"/>
  <c r="M6656" i="8" s="1"/>
  <c r="M6662" i="8" s="1"/>
  <c r="J6647" i="8" s="1"/>
  <c r="M5075" i="8"/>
  <c r="M5081" i="8" s="1"/>
  <c r="I9396" i="8"/>
  <c r="M9396" i="8" s="1"/>
  <c r="M9402" i="8" s="1"/>
  <c r="H9390" i="8" s="1"/>
  <c r="F9390" i="8" s="1"/>
  <c r="L9391" i="8" s="1"/>
  <c r="I5333" i="8"/>
  <c r="M5333" i="8" s="1"/>
  <c r="M5339" i="8" s="1"/>
  <c r="H5327" i="8" s="1"/>
  <c r="F5327" i="8" s="1"/>
  <c r="L5328" i="8" s="1"/>
  <c r="J751" i="8"/>
  <c r="F751" i="8" s="1"/>
  <c r="M9358" i="8"/>
  <c r="J9341" i="8" s="1"/>
  <c r="F9341" i="8" s="1"/>
  <c r="L9342" i="8" s="1"/>
  <c r="M30" i="2"/>
  <c r="M9309" i="8"/>
  <c r="H9292" i="8" s="1"/>
  <c r="M9260" i="8"/>
  <c r="I9273" i="8" s="1"/>
  <c r="M9273" i="8" s="1"/>
  <c r="M9278" i="8" s="1"/>
  <c r="L9243" i="8" s="1"/>
  <c r="M1062" i="8"/>
  <c r="J1052" i="8" s="1"/>
  <c r="F1052" i="8" s="1"/>
  <c r="I9442" i="8"/>
  <c r="M9442" i="8" s="1"/>
  <c r="M9498" i="8"/>
  <c r="I7401" i="8"/>
  <c r="M7401" i="8" s="1"/>
  <c r="I11534" i="8"/>
  <c r="M11534" i="8" s="1"/>
  <c r="I7975" i="8"/>
  <c r="M7975" i="8" s="1"/>
  <c r="I7751" i="8"/>
  <c r="M7751" i="8" s="1"/>
  <c r="I10421" i="8"/>
  <c r="M10421" i="8" s="1"/>
  <c r="I9853" i="8"/>
  <c r="M9853" i="8" s="1"/>
  <c r="I8318" i="8"/>
  <c r="M8318" i="8" s="1"/>
  <c r="I9554" i="8"/>
  <c r="M9554" i="8" s="1"/>
  <c r="I11482" i="8"/>
  <c r="M11482" i="8" s="1"/>
  <c r="M67" i="2"/>
  <c r="M201" i="2"/>
  <c r="M239" i="2"/>
  <c r="M128" i="2"/>
  <c r="M94" i="2"/>
  <c r="M65" i="2"/>
  <c r="M28" i="2"/>
  <c r="M68" i="2"/>
  <c r="M165" i="2"/>
  <c r="M123" i="2"/>
  <c r="M299" i="2"/>
  <c r="M203" i="2"/>
  <c r="M274" i="2"/>
  <c r="M160" i="2"/>
  <c r="M150" i="2" s="1"/>
  <c r="O341" i="2" s="1"/>
  <c r="M12" i="2"/>
  <c r="M44" i="2"/>
  <c r="M15" i="2"/>
  <c r="M198" i="2"/>
  <c r="M187" i="2" s="1"/>
  <c r="O342" i="2" s="1"/>
  <c r="I11532" i="8"/>
  <c r="M11532" i="8" s="1"/>
  <c r="I9851" i="8"/>
  <c r="M9851" i="8" s="1"/>
  <c r="I9552" i="8"/>
  <c r="M9552" i="8" s="1"/>
  <c r="M11480" i="8"/>
  <c r="P236" i="10"/>
  <c r="M9496" i="8"/>
  <c r="M8317" i="8"/>
  <c r="I9440" i="8"/>
  <c r="M9440" i="8" s="1"/>
  <c r="M7400" i="8"/>
  <c r="I7974" i="8"/>
  <c r="M7974" i="8" s="1"/>
  <c r="M10420" i="8"/>
  <c r="M7985" i="8"/>
  <c r="I5572" i="8"/>
  <c r="M5572" i="8" s="1"/>
  <c r="M5577" i="8" s="1"/>
  <c r="L5547" i="8" s="1"/>
  <c r="K58" i="7" s="1"/>
  <c r="J5547" i="8"/>
  <c r="M10443" i="8"/>
  <c r="M10447" i="8" s="1"/>
  <c r="L10414" i="8" s="1"/>
  <c r="K92" i="7" s="1"/>
  <c r="F5459" i="8"/>
  <c r="L5460" i="8" s="1"/>
  <c r="K302" i="2"/>
  <c r="K283" i="2"/>
  <c r="F6427" i="8"/>
  <c r="L6428" i="8" s="1"/>
  <c r="M113" i="2" l="1"/>
  <c r="O340" i="2" s="1"/>
  <c r="M225" i="2"/>
  <c r="O343" i="2" s="1"/>
  <c r="I81" i="7"/>
  <c r="F9292" i="8"/>
  <c r="J58" i="7"/>
  <c r="F5547" i="8"/>
  <c r="H5069" i="8"/>
  <c r="I5095" i="8"/>
  <c r="M5095" i="8" s="1"/>
  <c r="M5099" i="8" s="1"/>
  <c r="L5069" i="8" s="1"/>
  <c r="J323" i="10"/>
  <c r="P323" i="10" s="1"/>
  <c r="M122" i="7"/>
  <c r="K107" i="2" s="1"/>
  <c r="M107" i="2" s="1"/>
  <c r="J26" i="7"/>
  <c r="L752" i="8"/>
  <c r="I6675" i="8"/>
  <c r="M6675" i="8" s="1"/>
  <c r="M6680" i="8" s="1"/>
  <c r="L6647" i="8" s="1"/>
  <c r="F6647" i="8" s="1"/>
  <c r="L6648" i="8" s="1"/>
  <c r="M11494" i="8"/>
  <c r="J11474" i="8" s="1"/>
  <c r="F11474" i="8" s="1"/>
  <c r="J9243" i="8"/>
  <c r="F9243" i="8" s="1"/>
  <c r="L9244" i="8" s="1"/>
  <c r="M8324" i="8"/>
  <c r="H8311" i="8" s="1"/>
  <c r="F8311" i="8" s="1"/>
  <c r="L8312" i="8" s="1"/>
  <c r="J322" i="10"/>
  <c r="P322" i="10" s="1"/>
  <c r="L1053" i="8"/>
  <c r="M7415" i="8"/>
  <c r="J7394" i="8" s="1"/>
  <c r="M10429" i="8"/>
  <c r="J10414" i="8" s="1"/>
  <c r="J92" i="7" s="1"/>
  <c r="M9861" i="8"/>
  <c r="H9845" i="8" s="1"/>
  <c r="F9845" i="8" s="1"/>
  <c r="M11546" i="8"/>
  <c r="J11526" i="8" s="1"/>
  <c r="F11526" i="8" s="1"/>
  <c r="L11527" i="8" s="1"/>
  <c r="M342" i="2"/>
  <c r="M44" i="7"/>
  <c r="K79" i="2" s="1"/>
  <c r="L2608" i="8"/>
  <c r="M341" i="2"/>
  <c r="M108" i="2"/>
  <c r="M283" i="2"/>
  <c r="M302" i="2"/>
  <c r="I7998" i="8"/>
  <c r="M7998" i="8" s="1"/>
  <c r="M8003" i="8" s="1"/>
  <c r="L7968" i="8" s="1"/>
  <c r="J7968" i="8"/>
  <c r="J327" i="10"/>
  <c r="J325" i="10"/>
  <c r="M340" i="2" l="1"/>
  <c r="M343" i="2"/>
  <c r="M289" i="2"/>
  <c r="O345" i="2" s="1"/>
  <c r="J71" i="7"/>
  <c r="F7394" i="8"/>
  <c r="L7395" i="8" s="1"/>
  <c r="F5069" i="8"/>
  <c r="M26" i="7"/>
  <c r="K18" i="2" s="1"/>
  <c r="M18" i="2" s="1"/>
  <c r="J321" i="10"/>
  <c r="P321" i="10" s="1"/>
  <c r="J335" i="10"/>
  <c r="P335" i="10" s="1"/>
  <c r="L9846" i="8"/>
  <c r="M81" i="7"/>
  <c r="K282" i="2" s="1"/>
  <c r="M282" i="2" s="1"/>
  <c r="L9293" i="8"/>
  <c r="J287" i="10"/>
  <c r="I7766" i="8" s="1"/>
  <c r="M7766" i="8" s="1"/>
  <c r="M7768" i="8" s="1"/>
  <c r="J7742" i="8" s="1"/>
  <c r="M58" i="7"/>
  <c r="K105" i="2" s="1"/>
  <c r="L5548" i="8"/>
  <c r="F10414" i="8"/>
  <c r="M79" i="2"/>
  <c r="F7968" i="8"/>
  <c r="L7969" i="8" s="1"/>
  <c r="I9451" i="8"/>
  <c r="M9451" i="8" s="1"/>
  <c r="M9458" i="8" s="1"/>
  <c r="P325" i="10"/>
  <c r="I9563" i="8"/>
  <c r="M9563" i="8" s="1"/>
  <c r="M9570" i="8" s="1"/>
  <c r="P327" i="10"/>
  <c r="M345" i="2" l="1"/>
  <c r="M58" i="2"/>
  <c r="O338" i="2" s="1"/>
  <c r="M5" i="2"/>
  <c r="O336" i="2" s="1"/>
  <c r="J76" i="7"/>
  <c r="F7742" i="8"/>
  <c r="L5070" i="8"/>
  <c r="J326" i="10"/>
  <c r="M71" i="7"/>
  <c r="K53" i="2" s="1"/>
  <c r="M53" i="2" s="1"/>
  <c r="M92" i="7"/>
  <c r="K110" i="2" s="1"/>
  <c r="M110" i="2" s="1"/>
  <c r="L10415" i="8"/>
  <c r="P287" i="10"/>
  <c r="M105" i="2"/>
  <c r="H9434" i="8"/>
  <c r="I9471" i="8"/>
  <c r="M9471" i="8" s="1"/>
  <c r="M9476" i="8" s="1"/>
  <c r="L9434" i="8" s="1"/>
  <c r="J9546" i="8"/>
  <c r="I9583" i="8"/>
  <c r="M9583" i="8" s="1"/>
  <c r="M9588" i="8" s="1"/>
  <c r="L9546" i="8" s="1"/>
  <c r="M9527" i="8"/>
  <c r="M9532" i="8" s="1"/>
  <c r="L9490" i="8" s="1"/>
  <c r="K82" i="7" s="1"/>
  <c r="M336" i="2" l="1"/>
  <c r="M338" i="2"/>
  <c r="M87" i="2"/>
  <c r="O339" i="2" s="1"/>
  <c r="P326" i="10"/>
  <c r="I9507" i="8"/>
  <c r="M9507" i="8" s="1"/>
  <c r="M9514" i="8" s="1"/>
  <c r="L7743" i="8"/>
  <c r="M76" i="7"/>
  <c r="K54" i="2" s="1"/>
  <c r="F9546" i="8"/>
  <c r="L9547" i="8" s="1"/>
  <c r="F9434" i="8"/>
  <c r="L9435" i="8" s="1"/>
  <c r="M13148" i="8"/>
  <c r="M13151" i="8" s="1"/>
  <c r="L13115" i="8" s="1"/>
  <c r="M339" i="2" l="1"/>
  <c r="K116" i="7"/>
  <c r="F13115" i="8"/>
  <c r="J9490" i="8"/>
  <c r="F9490" i="8" s="1"/>
  <c r="L9491" i="8" s="1"/>
  <c r="M54" i="2"/>
  <c r="M36" i="2" l="1"/>
  <c r="O337" i="2" s="1"/>
  <c r="J82" i="7"/>
  <c r="M82" i="7"/>
  <c r="K281" i="2" s="1"/>
  <c r="M281" i="2" s="1"/>
  <c r="M116" i="7"/>
  <c r="K328" i="2" s="1"/>
  <c r="L13116" i="8"/>
  <c r="M337" i="2" l="1"/>
  <c r="M262" i="2"/>
  <c r="O344" i="2" s="1"/>
  <c r="M328" i="2"/>
  <c r="M309" i="2" s="1"/>
  <c r="O346" i="2" s="1"/>
  <c r="O347" i="2" l="1"/>
  <c r="M344" i="2"/>
  <c r="M346" i="2"/>
  <c r="M348" i="2" l="1"/>
  <c r="M349" i="2" s="1"/>
  <c r="D8" i="46" s="1"/>
  <c r="J45" i="46" l="1"/>
  <c r="N45" i="46" s="1"/>
  <c r="J49" i="46"/>
  <c r="N49" i="46" s="1"/>
  <c r="J48" i="46"/>
  <c r="N48" i="46" s="1"/>
  <c r="J47" i="46"/>
  <c r="N47" i="46" s="1"/>
  <c r="J46" i="46"/>
  <c r="N46" i="46" s="1"/>
  <c r="M350" i="2"/>
  <c r="Q53" i="46" s="1"/>
  <c r="M352" i="2"/>
  <c r="O56" i="46" s="1"/>
  <c r="M351" i="2"/>
  <c r="O55" i="46" s="1"/>
  <c r="L343" i="2"/>
  <c r="L341" i="2"/>
  <c r="E8" i="40"/>
  <c r="L16" i="40" s="1"/>
  <c r="L19" i="40" s="1"/>
  <c r="L346" i="2"/>
  <c r="L338" i="2"/>
  <c r="L344" i="2"/>
  <c r="L345" i="2"/>
  <c r="L340" i="2"/>
  <c r="L342" i="2"/>
  <c r="L336" i="2"/>
  <c r="L339" i="2"/>
  <c r="L337" i="2"/>
  <c r="N50" i="46" l="1"/>
  <c r="M353" i="2"/>
  <c r="I16" i="40"/>
  <c r="I19" i="40" s="1"/>
  <c r="C16" i="40"/>
  <c r="C19" i="40" s="1"/>
  <c r="O16" i="40"/>
  <c r="O19" i="40" s="1"/>
  <c r="F16" i="40"/>
  <c r="F19" i="40" s="1"/>
  <c r="M354" i="2" l="1"/>
  <c r="Q57" i="46"/>
  <c r="P21" i="40"/>
  <c r="P23" i="40" s="1"/>
  <c r="P24" i="40" s="1"/>
  <c r="O1" i="40" s="1"/>
  <c r="P351" i="2" l="1"/>
  <c r="J39" i="46"/>
  <c r="N39" i="46" s="1"/>
  <c r="N40" i="46" s="1"/>
  <c r="N52" i="46" s="1"/>
  <c r="N54" i="46" l="1"/>
  <c r="M49" i="46"/>
  <c r="M46" i="46"/>
  <c r="M47" i="46"/>
  <c r="M48" i="46"/>
  <c r="M33" i="46"/>
  <c r="M13" i="46"/>
  <c r="M18" i="46"/>
  <c r="M29" i="46"/>
  <c r="M17" i="46"/>
  <c r="M45" i="46"/>
  <c r="M31" i="46"/>
  <c r="M19" i="46"/>
  <c r="M32" i="46"/>
  <c r="M14" i="46"/>
  <c r="M39" i="46"/>
  <c r="M30" i="46"/>
  <c r="M15" i="46"/>
  <c r="M16" i="46"/>
  <c r="M27" i="46"/>
  <c r="M28" i="46"/>
  <c r="P368" i="2"/>
  <c r="O57" i="46" l="1"/>
  <c r="M1" i="46" s="1"/>
  <c r="R40" i="10"/>
  <c r="R104" i="10"/>
  <c r="R168" i="10"/>
  <c r="R232" i="10"/>
  <c r="R296" i="10"/>
  <c r="R360" i="10"/>
  <c r="R424" i="10"/>
  <c r="R488" i="10"/>
  <c r="R41" i="10"/>
  <c r="R105" i="10"/>
  <c r="R169" i="10"/>
  <c r="R233" i="10"/>
  <c r="R297" i="10"/>
  <c r="R361" i="10"/>
  <c r="R425" i="10"/>
  <c r="R489" i="10"/>
  <c r="R553" i="10"/>
  <c r="R617" i="10"/>
  <c r="R681" i="10"/>
  <c r="R66" i="10"/>
  <c r="R130" i="10"/>
  <c r="R194" i="10"/>
  <c r="R258" i="10"/>
  <c r="R322" i="10"/>
  <c r="R386" i="10"/>
  <c r="R450" i="10"/>
  <c r="R514" i="10"/>
  <c r="R578" i="10"/>
  <c r="R642" i="10"/>
  <c r="R51" i="10"/>
  <c r="R115" i="10"/>
  <c r="R179" i="10"/>
  <c r="R243" i="10"/>
  <c r="R307" i="10"/>
  <c r="R371" i="10"/>
  <c r="R435" i="10"/>
  <c r="R499" i="10"/>
  <c r="R563" i="10"/>
  <c r="R627" i="10"/>
  <c r="R36" i="10"/>
  <c r="R100" i="10"/>
  <c r="R164" i="10"/>
  <c r="R228" i="10"/>
  <c r="R292" i="10"/>
  <c r="R356" i="10"/>
  <c r="R37" i="10"/>
  <c r="R101" i="10"/>
  <c r="R165" i="10"/>
  <c r="R229" i="10"/>
  <c r="R293" i="10"/>
  <c r="R357" i="10"/>
  <c r="R421" i="10"/>
  <c r="R485" i="10"/>
  <c r="R70" i="10"/>
  <c r="R134" i="10"/>
  <c r="R198" i="10"/>
  <c r="R262" i="10"/>
  <c r="R326" i="10"/>
  <c r="R390" i="10"/>
  <c r="R454" i="10"/>
  <c r="R271" i="10"/>
  <c r="R533" i="10"/>
  <c r="R636" i="10"/>
  <c r="R712" i="10"/>
  <c r="R776" i="10"/>
  <c r="R840" i="10"/>
  <c r="R904" i="10"/>
  <c r="R968" i="10"/>
  <c r="R1032" i="10"/>
  <c r="R1096" i="10"/>
  <c r="R1160" i="10"/>
  <c r="R431" i="10"/>
  <c r="R573" i="10"/>
  <c r="R671" i="10"/>
  <c r="R737" i="10"/>
  <c r="R801" i="10"/>
  <c r="R865" i="10"/>
  <c r="R929" i="10"/>
  <c r="R993" i="10"/>
  <c r="R1057" i="10"/>
  <c r="R1121" i="10"/>
  <c r="R159" i="10"/>
  <c r="R509" i="10"/>
  <c r="R613" i="10"/>
  <c r="R698" i="10"/>
  <c r="R48" i="10"/>
  <c r="R112" i="10"/>
  <c r="R176" i="10"/>
  <c r="R240" i="10"/>
  <c r="R304" i="10"/>
  <c r="R368" i="10"/>
  <c r="R432" i="10"/>
  <c r="R496" i="10"/>
  <c r="R49" i="10"/>
  <c r="R113" i="10"/>
  <c r="R177" i="10"/>
  <c r="R241" i="10"/>
  <c r="R305" i="10"/>
  <c r="R369" i="10"/>
  <c r="R433" i="10"/>
  <c r="R497" i="10"/>
  <c r="R561" i="10"/>
  <c r="R625" i="10"/>
  <c r="R10" i="10"/>
  <c r="R74" i="10"/>
  <c r="R138" i="10"/>
  <c r="R202" i="10"/>
  <c r="R266" i="10"/>
  <c r="R330" i="10"/>
  <c r="R394" i="10"/>
  <c r="R458" i="10"/>
  <c r="R522" i="10"/>
  <c r="R586" i="10"/>
  <c r="R650" i="10"/>
  <c r="R59" i="10"/>
  <c r="R123" i="10"/>
  <c r="R187" i="10"/>
  <c r="R251" i="10"/>
  <c r="R315" i="10"/>
  <c r="R379" i="10"/>
  <c r="R443" i="10"/>
  <c r="R507" i="10"/>
  <c r="R571" i="10"/>
  <c r="R635" i="10"/>
  <c r="R44" i="10"/>
  <c r="R108" i="10"/>
  <c r="R172" i="10"/>
  <c r="R236" i="10"/>
  <c r="R300" i="10"/>
  <c r="R364" i="10"/>
  <c r="R45" i="10"/>
  <c r="R109" i="10"/>
  <c r="R173" i="10"/>
  <c r="R237" i="10"/>
  <c r="R301" i="10"/>
  <c r="R365" i="10"/>
  <c r="R429" i="10"/>
  <c r="R14" i="10"/>
  <c r="R78" i="10"/>
  <c r="R142" i="10"/>
  <c r="R206" i="10"/>
  <c r="R270" i="10"/>
  <c r="R334" i="10"/>
  <c r="R398" i="10"/>
  <c r="R462" i="10"/>
  <c r="R335" i="10"/>
  <c r="R544" i="10"/>
  <c r="R647" i="10"/>
  <c r="R720" i="10"/>
  <c r="R784" i="10"/>
  <c r="R848" i="10"/>
  <c r="R912" i="10"/>
  <c r="R976" i="10"/>
  <c r="R1040" i="10"/>
  <c r="R1104" i="10"/>
  <c r="R23" i="10"/>
  <c r="R463" i="10"/>
  <c r="R584" i="10"/>
  <c r="R680" i="10"/>
  <c r="R745" i="10"/>
  <c r="R809" i="10"/>
  <c r="R873" i="10"/>
  <c r="R937" i="10"/>
  <c r="R1001" i="10"/>
  <c r="R1065" i="10"/>
  <c r="R1129" i="10"/>
  <c r="R223" i="10"/>
  <c r="R524" i="10"/>
  <c r="R624" i="10"/>
  <c r="R6" i="10" a="1"/>
  <c r="R6" i="10" s="1"/>
  <c r="R56" i="10"/>
  <c r="R120" i="10"/>
  <c r="R184" i="10"/>
  <c r="R248" i="10"/>
  <c r="R312" i="10"/>
  <c r="R376" i="10"/>
  <c r="R440" i="10"/>
  <c r="R504" i="10"/>
  <c r="R57" i="10"/>
  <c r="R121" i="10"/>
  <c r="R185" i="10"/>
  <c r="R249" i="10"/>
  <c r="R313" i="10"/>
  <c r="R377" i="10"/>
  <c r="R441" i="10"/>
  <c r="R505" i="10"/>
  <c r="R569" i="10"/>
  <c r="R633" i="10"/>
  <c r="R18" i="10"/>
  <c r="R82" i="10"/>
  <c r="R146" i="10"/>
  <c r="R210" i="10"/>
  <c r="R274" i="10"/>
  <c r="R338" i="10"/>
  <c r="R402" i="10"/>
  <c r="R466" i="10"/>
  <c r="R530" i="10"/>
  <c r="R594" i="10"/>
  <c r="R658" i="10"/>
  <c r="R67" i="10"/>
  <c r="R131" i="10"/>
  <c r="R195" i="10"/>
  <c r="R259" i="10"/>
  <c r="R323" i="10"/>
  <c r="R387" i="10"/>
  <c r="R451" i="10"/>
  <c r="R515" i="10"/>
  <c r="R579" i="10"/>
  <c r="R643" i="10"/>
  <c r="R52" i="10"/>
  <c r="R116" i="10"/>
  <c r="R180" i="10"/>
  <c r="R244" i="10"/>
  <c r="R308" i="10"/>
  <c r="R372" i="10"/>
  <c r="R53" i="10"/>
  <c r="R117" i="10"/>
  <c r="R181" i="10"/>
  <c r="R245" i="10"/>
  <c r="R309" i="10"/>
  <c r="R373" i="10"/>
  <c r="R437" i="10"/>
  <c r="R22" i="10"/>
  <c r="R86" i="10"/>
  <c r="R150" i="10"/>
  <c r="R214" i="10"/>
  <c r="R278" i="10"/>
  <c r="R342" i="10"/>
  <c r="R406" i="10"/>
  <c r="R470" i="10"/>
  <c r="R396" i="10"/>
  <c r="R558" i="10"/>
  <c r="R661" i="10"/>
  <c r="R728" i="10"/>
  <c r="R792" i="10"/>
  <c r="R856" i="10"/>
  <c r="R920" i="10"/>
  <c r="R984" i="10"/>
  <c r="R1048" i="10"/>
  <c r="R1112" i="10"/>
  <c r="R87" i="10"/>
  <c r="R492" i="10"/>
  <c r="R598" i="10"/>
  <c r="R689" i="10"/>
  <c r="R753" i="10"/>
  <c r="R817" i="10"/>
  <c r="R881" i="10"/>
  <c r="R945" i="10"/>
  <c r="R1009" i="10"/>
  <c r="R1073" i="10"/>
  <c r="R1137" i="10"/>
  <c r="R287" i="10"/>
  <c r="R535" i="10"/>
  <c r="R638" i="10"/>
  <c r="L3" i="1"/>
  <c r="R64" i="10"/>
  <c r="R128" i="10"/>
  <c r="R192" i="10"/>
  <c r="R256" i="10"/>
  <c r="R320" i="10"/>
  <c r="R384" i="10"/>
  <c r="R448" i="10"/>
  <c r="R512" i="10"/>
  <c r="R65" i="10"/>
  <c r="R129" i="10"/>
  <c r="R193" i="10"/>
  <c r="R257" i="10"/>
  <c r="R321" i="10"/>
  <c r="R385" i="10"/>
  <c r="R449" i="10"/>
  <c r="R513" i="10"/>
  <c r="R577" i="10"/>
  <c r="R641" i="10"/>
  <c r="R26" i="10"/>
  <c r="R90" i="10"/>
  <c r="R154" i="10"/>
  <c r="R218" i="10"/>
  <c r="R282" i="10"/>
  <c r="R346" i="10"/>
  <c r="R410" i="10"/>
  <c r="R474" i="10"/>
  <c r="R538" i="10"/>
  <c r="R602" i="10"/>
  <c r="R11" i="10"/>
  <c r="R75" i="10"/>
  <c r="R139" i="10"/>
  <c r="R203" i="10"/>
  <c r="R267" i="10"/>
  <c r="R331" i="10"/>
  <c r="R395" i="10"/>
  <c r="R459" i="10"/>
  <c r="R523" i="10"/>
  <c r="R587" i="10"/>
  <c r="R651" i="10"/>
  <c r="R60" i="10"/>
  <c r="R124" i="10"/>
  <c r="R188" i="10"/>
  <c r="R252" i="10"/>
  <c r="R316" i="10"/>
  <c r="R380" i="10"/>
  <c r="R61" i="10"/>
  <c r="R125" i="10"/>
  <c r="R189" i="10"/>
  <c r="R253" i="10"/>
  <c r="R317" i="10"/>
  <c r="R381" i="10"/>
  <c r="R445" i="10"/>
  <c r="R30" i="10"/>
  <c r="R94" i="10"/>
  <c r="R158" i="10"/>
  <c r="R222" i="10"/>
  <c r="R286" i="10"/>
  <c r="R350" i="10"/>
  <c r="R414" i="10"/>
  <c r="R478" i="10"/>
  <c r="R428" i="10"/>
  <c r="R572" i="10"/>
  <c r="R670" i="10"/>
  <c r="R736" i="10"/>
  <c r="R800" i="10"/>
  <c r="R864" i="10"/>
  <c r="R928" i="10"/>
  <c r="R992" i="10"/>
  <c r="R1056" i="10"/>
  <c r="R1120" i="10"/>
  <c r="R151" i="10"/>
  <c r="R508" i="10"/>
  <c r="R612" i="10"/>
  <c r="R697" i="10"/>
  <c r="R761" i="10"/>
  <c r="R825" i="10"/>
  <c r="R889" i="10"/>
  <c r="R953" i="10"/>
  <c r="R1017" i="10"/>
  <c r="R1081" i="10"/>
  <c r="R1145" i="10"/>
  <c r="R351" i="10"/>
  <c r="R549" i="10"/>
  <c r="R652" i="10"/>
  <c r="R8" i="10"/>
  <c r="R72" i="10"/>
  <c r="R136" i="10"/>
  <c r="R200" i="10"/>
  <c r="R264" i="10"/>
  <c r="R328" i="10"/>
  <c r="R392" i="10"/>
  <c r="R456" i="10"/>
  <c r="R9" i="10"/>
  <c r="R73" i="10"/>
  <c r="R137" i="10"/>
  <c r="R201" i="10"/>
  <c r="R265" i="10"/>
  <c r="R329" i="10"/>
  <c r="R393" i="10"/>
  <c r="R457" i="10"/>
  <c r="R521" i="10"/>
  <c r="R585" i="10"/>
  <c r="R649" i="10"/>
  <c r="R34" i="10"/>
  <c r="R98" i="10"/>
  <c r="R162" i="10"/>
  <c r="R226" i="10"/>
  <c r="R290" i="10"/>
  <c r="R354" i="10"/>
  <c r="R418" i="10"/>
  <c r="R482" i="10"/>
  <c r="R546" i="10"/>
  <c r="R610" i="10"/>
  <c r="R19" i="10"/>
  <c r="R83" i="10"/>
  <c r="R147" i="10"/>
  <c r="R211" i="10"/>
  <c r="R275" i="10"/>
  <c r="R339" i="10"/>
  <c r="R403" i="10"/>
  <c r="R467" i="10"/>
  <c r="R531" i="10"/>
  <c r="R595" i="10"/>
  <c r="R659" i="10"/>
  <c r="R68" i="10"/>
  <c r="R132" i="10"/>
  <c r="R196" i="10"/>
  <c r="R260" i="10"/>
  <c r="R324" i="10"/>
  <c r="R388" i="10"/>
  <c r="R69" i="10"/>
  <c r="R133" i="10"/>
  <c r="R197" i="10"/>
  <c r="R261" i="10"/>
  <c r="R325" i="10"/>
  <c r="R389" i="10"/>
  <c r="R453" i="10"/>
  <c r="R38" i="10"/>
  <c r="R102" i="10"/>
  <c r="R166" i="10"/>
  <c r="R230" i="10"/>
  <c r="R294" i="10"/>
  <c r="R358" i="10"/>
  <c r="R422" i="10"/>
  <c r="R15" i="10"/>
  <c r="R460" i="10"/>
  <c r="R583" i="10"/>
  <c r="R679" i="10"/>
  <c r="R744" i="10"/>
  <c r="R808" i="10"/>
  <c r="R872" i="10"/>
  <c r="R936" i="10"/>
  <c r="R1000" i="10"/>
  <c r="R1064" i="10"/>
  <c r="R1128" i="10"/>
  <c r="R215" i="10"/>
  <c r="R520" i="10"/>
  <c r="R623" i="10"/>
  <c r="R705" i="10"/>
  <c r="R769" i="10"/>
  <c r="R833" i="10"/>
  <c r="R897" i="10"/>
  <c r="R961" i="10"/>
  <c r="R1025" i="10"/>
  <c r="R1089" i="10"/>
  <c r="R1153" i="10"/>
  <c r="R404" i="10"/>
  <c r="R560" i="10"/>
  <c r="R663" i="10"/>
  <c r="R24" i="10"/>
  <c r="R88" i="10"/>
  <c r="R152" i="10"/>
  <c r="R216" i="10"/>
  <c r="R280" i="10"/>
  <c r="R344" i="10"/>
  <c r="R408" i="10"/>
  <c r="R472" i="10"/>
  <c r="R25" i="10"/>
  <c r="R89" i="10"/>
  <c r="R153" i="10"/>
  <c r="R217" i="10"/>
  <c r="R281" i="10"/>
  <c r="R345" i="10"/>
  <c r="R409" i="10"/>
  <c r="R473" i="10"/>
  <c r="R537" i="10"/>
  <c r="R601" i="10"/>
  <c r="R665" i="10"/>
  <c r="R50" i="10"/>
  <c r="R114" i="10"/>
  <c r="R178" i="10"/>
  <c r="R242" i="10"/>
  <c r="R306" i="10"/>
  <c r="R370" i="10"/>
  <c r="R434" i="10"/>
  <c r="R498" i="10"/>
  <c r="R562" i="10"/>
  <c r="R626" i="10"/>
  <c r="R35" i="10"/>
  <c r="R99" i="10"/>
  <c r="R163" i="10"/>
  <c r="R227" i="10"/>
  <c r="R291" i="10"/>
  <c r="R355" i="10"/>
  <c r="R419" i="10"/>
  <c r="R483" i="10"/>
  <c r="R547" i="10"/>
  <c r="R611" i="10"/>
  <c r="R20" i="10"/>
  <c r="R84" i="10"/>
  <c r="R148" i="10"/>
  <c r="R212" i="10"/>
  <c r="R276" i="10"/>
  <c r="R340" i="10"/>
  <c r="R21" i="10"/>
  <c r="R85" i="10"/>
  <c r="R149" i="10"/>
  <c r="R213" i="10"/>
  <c r="R277" i="10"/>
  <c r="R341" i="10"/>
  <c r="R405" i="10"/>
  <c r="R469" i="10"/>
  <c r="R54" i="10"/>
  <c r="R118" i="10"/>
  <c r="R182" i="10"/>
  <c r="R246" i="10"/>
  <c r="R310" i="10"/>
  <c r="R374" i="10"/>
  <c r="R438" i="10"/>
  <c r="R143" i="10"/>
  <c r="R503" i="10"/>
  <c r="R608" i="10"/>
  <c r="R696" i="10"/>
  <c r="R760" i="10"/>
  <c r="R824" i="10"/>
  <c r="R888" i="10"/>
  <c r="R952" i="10"/>
  <c r="R1016" i="10"/>
  <c r="R1080" i="10"/>
  <c r="R1144" i="10"/>
  <c r="R343" i="10"/>
  <c r="R548" i="10"/>
  <c r="R648" i="10"/>
  <c r="R721" i="10"/>
  <c r="R785" i="10"/>
  <c r="R849" i="10"/>
  <c r="R913" i="10"/>
  <c r="R977" i="10"/>
  <c r="R1041" i="10"/>
  <c r="R1105" i="10"/>
  <c r="R31" i="10"/>
  <c r="R468" i="10"/>
  <c r="R588" i="10"/>
  <c r="R682" i="10"/>
  <c r="R208" i="10"/>
  <c r="R464" i="10"/>
  <c r="R209" i="10"/>
  <c r="R465" i="10"/>
  <c r="R42" i="10"/>
  <c r="R298" i="10"/>
  <c r="R554" i="10"/>
  <c r="R155" i="10"/>
  <c r="R411" i="10"/>
  <c r="R12" i="10"/>
  <c r="R268" i="10"/>
  <c r="R141" i="10"/>
  <c r="R397" i="10"/>
  <c r="R174" i="10"/>
  <c r="R430" i="10"/>
  <c r="R688" i="10"/>
  <c r="R944" i="10"/>
  <c r="R279" i="10"/>
  <c r="R777" i="10"/>
  <c r="R1033" i="10"/>
  <c r="R574" i="10"/>
  <c r="R738" i="10"/>
  <c r="R802" i="10"/>
  <c r="R866" i="10"/>
  <c r="R930" i="10"/>
  <c r="R407" i="10"/>
  <c r="R564" i="10"/>
  <c r="R664" i="10"/>
  <c r="R731" i="10"/>
  <c r="R795" i="10"/>
  <c r="R367" i="10"/>
  <c r="R551" i="10"/>
  <c r="R654" i="10"/>
  <c r="R119" i="10"/>
  <c r="R500" i="10"/>
  <c r="R605" i="10"/>
  <c r="R693" i="10"/>
  <c r="R319" i="10"/>
  <c r="R542" i="10"/>
  <c r="R645" i="10"/>
  <c r="R718" i="10"/>
  <c r="R782" i="10"/>
  <c r="R846" i="10"/>
  <c r="R910" i="10"/>
  <c r="R607" i="10"/>
  <c r="R847" i="10"/>
  <c r="R966" i="10"/>
  <c r="R1052" i="10"/>
  <c r="R1138" i="10"/>
  <c r="R1208" i="10"/>
  <c r="R1272" i="10"/>
  <c r="R756" i="10"/>
  <c r="R899" i="10"/>
  <c r="R999" i="10"/>
  <c r="R1085" i="10"/>
  <c r="R1169" i="10"/>
  <c r="R1233" i="10"/>
  <c r="R727" i="10"/>
  <c r="R799" i="10"/>
  <c r="R932" i="10"/>
  <c r="R1022" i="10"/>
  <c r="R1108" i="10"/>
  <c r="R1186" i="10"/>
  <c r="R1250" i="10"/>
  <c r="R1163" i="10"/>
  <c r="R1267" i="10"/>
  <c r="R892" i="10"/>
  <c r="R1246" i="10"/>
  <c r="R646" i="10"/>
  <c r="R853" i="10"/>
  <c r="R971" i="10"/>
  <c r="R1055" i="10"/>
  <c r="R1187" i="10"/>
  <c r="R860" i="10"/>
  <c r="R687" i="10"/>
  <c r="R805" i="10"/>
  <c r="R935" i="10"/>
  <c r="R1026" i="10"/>
  <c r="R1110" i="10"/>
  <c r="R1188" i="10"/>
  <c r="R1252" i="10"/>
  <c r="R1006" i="10"/>
  <c r="R1254" i="10"/>
  <c r="R743" i="10"/>
  <c r="R891" i="10"/>
  <c r="R224" i="10"/>
  <c r="R480" i="10"/>
  <c r="R225" i="10"/>
  <c r="R481" i="10"/>
  <c r="R58" i="10"/>
  <c r="R314" i="10"/>
  <c r="R570" i="10"/>
  <c r="R171" i="10"/>
  <c r="R427" i="10"/>
  <c r="R28" i="10"/>
  <c r="R284" i="10"/>
  <c r="R157" i="10"/>
  <c r="R413" i="10"/>
  <c r="R190" i="10"/>
  <c r="R446" i="10"/>
  <c r="R704" i="10"/>
  <c r="R960" i="10"/>
  <c r="R399" i="10"/>
  <c r="R793" i="10"/>
  <c r="R1049" i="10"/>
  <c r="R599" i="10"/>
  <c r="R746" i="10"/>
  <c r="R810" i="10"/>
  <c r="R874" i="10"/>
  <c r="R938" i="10"/>
  <c r="R439" i="10"/>
  <c r="R575" i="10"/>
  <c r="R674" i="10"/>
  <c r="R739" i="10"/>
  <c r="R803" i="10"/>
  <c r="R412" i="10"/>
  <c r="R565" i="10"/>
  <c r="R666" i="10"/>
  <c r="R183" i="10"/>
  <c r="R516" i="10"/>
  <c r="R616" i="10"/>
  <c r="R701" i="10"/>
  <c r="R383" i="10"/>
  <c r="R556" i="10"/>
  <c r="R656" i="10"/>
  <c r="R726" i="10"/>
  <c r="R790" i="10"/>
  <c r="R854" i="10"/>
  <c r="R918" i="10"/>
  <c r="R695" i="10"/>
  <c r="R863" i="10"/>
  <c r="R978" i="10"/>
  <c r="R1062" i="10"/>
  <c r="R1148" i="10"/>
  <c r="R1216" i="10"/>
  <c r="R1280" i="10"/>
  <c r="R775" i="10"/>
  <c r="R915" i="10"/>
  <c r="R1011" i="10"/>
  <c r="R1095" i="10"/>
  <c r="R1177" i="10"/>
  <c r="R1241" i="10"/>
  <c r="R263" i="10"/>
  <c r="R820" i="10"/>
  <c r="R947" i="10"/>
  <c r="R1034" i="10"/>
  <c r="R1118" i="10"/>
  <c r="R1194" i="10"/>
  <c r="R1258" i="10"/>
  <c r="R1179" i="10"/>
  <c r="R1283" i="10"/>
  <c r="R940" i="10"/>
  <c r="R596" i="10"/>
  <c r="R716" i="10"/>
  <c r="R869" i="10"/>
  <c r="R981" i="10"/>
  <c r="R1067" i="10"/>
  <c r="R1211" i="10"/>
  <c r="R954" i="10"/>
  <c r="R391" i="10"/>
  <c r="R823" i="10"/>
  <c r="R949" i="10"/>
  <c r="R1036" i="10"/>
  <c r="R16" i="10"/>
  <c r="R272" i="10"/>
  <c r="R17" i="10"/>
  <c r="R273" i="10"/>
  <c r="R529" i="10"/>
  <c r="R106" i="10"/>
  <c r="R362" i="10"/>
  <c r="R618" i="10"/>
  <c r="R219" i="10"/>
  <c r="R475" i="10"/>
  <c r="R76" i="10"/>
  <c r="R332" i="10"/>
  <c r="R205" i="10"/>
  <c r="R461" i="10"/>
  <c r="R238" i="10"/>
  <c r="R79" i="10"/>
  <c r="R752" i="10"/>
  <c r="R1008" i="10"/>
  <c r="R534" i="10"/>
  <c r="R841" i="10"/>
  <c r="R1097" i="10"/>
  <c r="R672" i="10"/>
  <c r="R754" i="10"/>
  <c r="R818" i="10"/>
  <c r="R882" i="10"/>
  <c r="R39" i="10"/>
  <c r="R471" i="10"/>
  <c r="R589" i="10"/>
  <c r="R683" i="10"/>
  <c r="R747" i="10"/>
  <c r="R811" i="10"/>
  <c r="R444" i="10"/>
  <c r="R576" i="10"/>
  <c r="R675" i="10"/>
  <c r="R247" i="10"/>
  <c r="R527" i="10"/>
  <c r="R630" i="10"/>
  <c r="R709" i="10"/>
  <c r="R420" i="10"/>
  <c r="R567" i="10"/>
  <c r="R668" i="10"/>
  <c r="R734" i="10"/>
  <c r="R798" i="10"/>
  <c r="R862" i="10"/>
  <c r="R926" i="10"/>
  <c r="R732" i="10"/>
  <c r="R879" i="10"/>
  <c r="R988" i="10"/>
  <c r="R1074" i="10"/>
  <c r="R1158" i="10"/>
  <c r="R1224" i="10"/>
  <c r="R1288" i="10"/>
  <c r="R797" i="10"/>
  <c r="R931" i="10"/>
  <c r="R1021" i="10"/>
  <c r="R1107" i="10"/>
  <c r="R1185" i="10"/>
  <c r="R1249" i="10"/>
  <c r="R532" i="10"/>
  <c r="R836" i="10"/>
  <c r="R958" i="10"/>
  <c r="R1044" i="10"/>
  <c r="R1130" i="10"/>
  <c r="R1202" i="10"/>
  <c r="R1266" i="10"/>
  <c r="R1195" i="10"/>
  <c r="R1268" i="10"/>
  <c r="R986" i="10"/>
  <c r="R749" i="10"/>
  <c r="R740" i="10"/>
  <c r="R885" i="10"/>
  <c r="R991" i="10"/>
  <c r="R1077" i="10"/>
  <c r="R1235" i="10"/>
  <c r="R1018" i="10"/>
  <c r="R557" i="10"/>
  <c r="R839" i="10"/>
  <c r="R962" i="10"/>
  <c r="R1046" i="10"/>
  <c r="R1132" i="10"/>
  <c r="R1204" i="10"/>
  <c r="R1284" i="10"/>
  <c r="R1102" i="10"/>
  <c r="R486" i="10"/>
  <c r="R788" i="10"/>
  <c r="R32" i="10"/>
  <c r="R288" i="10"/>
  <c r="R33" i="10"/>
  <c r="R289" i="10"/>
  <c r="R545" i="10"/>
  <c r="R122" i="10"/>
  <c r="R378" i="10"/>
  <c r="R634" i="10"/>
  <c r="R235" i="10"/>
  <c r="R491" i="10"/>
  <c r="R92" i="10"/>
  <c r="R348" i="10"/>
  <c r="R221" i="10"/>
  <c r="R477" i="10"/>
  <c r="R254" i="10"/>
  <c r="R207" i="10"/>
  <c r="R768" i="10"/>
  <c r="R1024" i="10"/>
  <c r="R559" i="10"/>
  <c r="R857" i="10"/>
  <c r="R1113" i="10"/>
  <c r="R690" i="10"/>
  <c r="R762" i="10"/>
  <c r="R826" i="10"/>
  <c r="R890" i="10"/>
  <c r="R103" i="10"/>
  <c r="R494" i="10"/>
  <c r="R600" i="10"/>
  <c r="R691" i="10"/>
  <c r="R755" i="10"/>
  <c r="R47" i="10"/>
  <c r="R476" i="10"/>
  <c r="R590" i="10"/>
  <c r="R684" i="10"/>
  <c r="R311" i="10"/>
  <c r="R541" i="10"/>
  <c r="R644" i="10"/>
  <c r="R717" i="10"/>
  <c r="R452" i="10"/>
  <c r="R581" i="10"/>
  <c r="R677" i="10"/>
  <c r="R742" i="10"/>
  <c r="R806" i="10"/>
  <c r="R870" i="10"/>
  <c r="R934" i="10"/>
  <c r="R751" i="10"/>
  <c r="R895" i="10"/>
  <c r="R998" i="10"/>
  <c r="R1084" i="10"/>
  <c r="R1168" i="10"/>
  <c r="R1232" i="10"/>
  <c r="R199" i="10"/>
  <c r="R819" i="10"/>
  <c r="R946" i="10"/>
  <c r="R1031" i="10"/>
  <c r="R1117" i="10"/>
  <c r="R1193" i="10"/>
  <c r="R1257" i="10"/>
  <c r="R632" i="10"/>
  <c r="R852" i="10"/>
  <c r="R970" i="10"/>
  <c r="R1054" i="10"/>
  <c r="R1140" i="10"/>
  <c r="R1210" i="10"/>
  <c r="R1274" i="10"/>
  <c r="R1203" i="10"/>
  <c r="R455" i="10"/>
  <c r="R1028" i="10"/>
  <c r="R772" i="10"/>
  <c r="R759" i="10"/>
  <c r="R901" i="10"/>
  <c r="R1003" i="10"/>
  <c r="R1099" i="10"/>
  <c r="R80" i="10"/>
  <c r="R336" i="10"/>
  <c r="R81" i="10"/>
  <c r="R337" i="10"/>
  <c r="R593" i="10"/>
  <c r="R170" i="10"/>
  <c r="R426" i="10"/>
  <c r="R27" i="10"/>
  <c r="R283" i="10"/>
  <c r="R539" i="10"/>
  <c r="R140" i="10"/>
  <c r="R13" i="10"/>
  <c r="R269" i="10"/>
  <c r="R46" i="10"/>
  <c r="R302" i="10"/>
  <c r="R487" i="10"/>
  <c r="R816" i="10"/>
  <c r="R1072" i="10"/>
  <c r="R637" i="10"/>
  <c r="R905" i="10"/>
  <c r="R1161" i="10"/>
  <c r="R706" i="10"/>
  <c r="R770" i="10"/>
  <c r="R834" i="10"/>
  <c r="R898" i="10"/>
  <c r="R167" i="10"/>
  <c r="R510" i="10"/>
  <c r="R614" i="10"/>
  <c r="R699" i="10"/>
  <c r="R763" i="10"/>
  <c r="R111" i="10"/>
  <c r="R495" i="10"/>
  <c r="R604" i="10"/>
  <c r="R692" i="10"/>
  <c r="R375" i="10"/>
  <c r="R552" i="10"/>
  <c r="R655" i="10"/>
  <c r="R63" i="10"/>
  <c r="R484" i="10"/>
  <c r="R592" i="10"/>
  <c r="R686" i="10"/>
  <c r="R750" i="10"/>
  <c r="R814" i="10"/>
  <c r="R878" i="10"/>
  <c r="R942" i="10"/>
  <c r="R773" i="10"/>
  <c r="R911" i="10"/>
  <c r="R1010" i="10"/>
  <c r="R1094" i="10"/>
  <c r="R1176" i="10"/>
  <c r="R1240" i="10"/>
  <c r="R518" i="10"/>
  <c r="R835" i="10"/>
  <c r="R957" i="10"/>
  <c r="R1043" i="10"/>
  <c r="R1127" i="10"/>
  <c r="R1201" i="10"/>
  <c r="R1265" i="10"/>
  <c r="R711" i="10"/>
  <c r="R868" i="10"/>
  <c r="R980" i="10"/>
  <c r="R1066" i="10"/>
  <c r="R1150" i="10"/>
  <c r="R1218" i="10"/>
  <c r="R1282" i="10"/>
  <c r="R1219" i="10"/>
  <c r="R748" i="10"/>
  <c r="R1060" i="10"/>
  <c r="R791" i="10"/>
  <c r="R781" i="10"/>
  <c r="R917" i="10"/>
  <c r="R1013" i="10"/>
  <c r="R1109" i="10"/>
  <c r="R1275" i="10"/>
  <c r="R1134" i="10"/>
  <c r="R719" i="10"/>
  <c r="R871" i="10"/>
  <c r="R982" i="10"/>
  <c r="R1068" i="10"/>
  <c r="R1154" i="10"/>
  <c r="R1220" i="10"/>
  <c r="R812" i="10"/>
  <c r="R1166" i="10"/>
  <c r="R423" i="10"/>
  <c r="R827" i="10"/>
  <c r="R144" i="10"/>
  <c r="R400" i="10"/>
  <c r="R145" i="10"/>
  <c r="R401" i="10"/>
  <c r="R657" i="10"/>
  <c r="R234" i="10"/>
  <c r="R490" i="10"/>
  <c r="R91" i="10"/>
  <c r="R347" i="10"/>
  <c r="R603" i="10"/>
  <c r="R204" i="10"/>
  <c r="R77" i="10"/>
  <c r="R333" i="10"/>
  <c r="R110" i="10"/>
  <c r="R366" i="10"/>
  <c r="R597" i="10"/>
  <c r="R880" i="10"/>
  <c r="R1136" i="10"/>
  <c r="R713" i="10"/>
  <c r="R969" i="10"/>
  <c r="R436" i="10"/>
  <c r="R722" i="10"/>
  <c r="R786" i="10"/>
  <c r="R850" i="10"/>
  <c r="R914" i="10"/>
  <c r="R295" i="10"/>
  <c r="R536" i="10"/>
  <c r="R639" i="10"/>
  <c r="R715" i="10"/>
  <c r="R779" i="10"/>
  <c r="R239" i="10"/>
  <c r="R526" i="10"/>
  <c r="R629" i="10"/>
  <c r="R708" i="10"/>
  <c r="R447" i="10"/>
  <c r="R580" i="10"/>
  <c r="R676" i="10"/>
  <c r="R191" i="10"/>
  <c r="R517" i="10"/>
  <c r="R620" i="10"/>
  <c r="R702" i="10"/>
  <c r="R766" i="10"/>
  <c r="R830" i="10"/>
  <c r="R894" i="10"/>
  <c r="R135" i="10"/>
  <c r="R815" i="10"/>
  <c r="R943" i="10"/>
  <c r="R1030" i="10"/>
  <c r="R1116" i="10"/>
  <c r="R1192" i="10"/>
  <c r="R1256" i="10"/>
  <c r="R703" i="10"/>
  <c r="R867" i="10"/>
  <c r="R979" i="10"/>
  <c r="R1063" i="10"/>
  <c r="R1149" i="10"/>
  <c r="R1217" i="10"/>
  <c r="R1281" i="10"/>
  <c r="R757" i="10"/>
  <c r="R900" i="10"/>
  <c r="R1002" i="10"/>
  <c r="R1086" i="10"/>
  <c r="R1170" i="10"/>
  <c r="R1234" i="10"/>
  <c r="R1119" i="10"/>
  <c r="R1243" i="10"/>
  <c r="R789" i="10"/>
  <c r="R1146" i="10"/>
  <c r="R327" i="10"/>
  <c r="R821" i="10"/>
  <c r="R948" i="10"/>
  <c r="R1035" i="10"/>
  <c r="R1151" i="10"/>
  <c r="R1285" i="10"/>
  <c r="R1222" i="10"/>
  <c r="R353" i="10"/>
  <c r="R43" i="10"/>
  <c r="R29" i="10"/>
  <c r="R519" i="10"/>
  <c r="R921" i="10"/>
  <c r="R842" i="10"/>
  <c r="R628" i="10"/>
  <c r="R511" i="10"/>
  <c r="R566" i="10"/>
  <c r="R606" i="10"/>
  <c r="R886" i="10"/>
  <c r="R1020" i="10"/>
  <c r="R621" i="10"/>
  <c r="R1139" i="10"/>
  <c r="R884" i="10"/>
  <c r="R1226" i="10"/>
  <c r="R1092" i="10"/>
  <c r="R1023" i="10"/>
  <c r="R1182" i="10"/>
  <c r="R903" i="10"/>
  <c r="R1090" i="10"/>
  <c r="R1212" i="10"/>
  <c r="R964" i="10"/>
  <c r="R568" i="10"/>
  <c r="R907" i="10"/>
  <c r="R1005" i="10"/>
  <c r="R1091" i="10"/>
  <c r="R1173" i="10"/>
  <c r="R1237" i="10"/>
  <c r="R908" i="10"/>
  <c r="R1214" i="10"/>
  <c r="R1135" i="10"/>
  <c r="R1279" i="10"/>
  <c r="R997" i="10"/>
  <c r="R1239" i="10"/>
  <c r="R1115" i="10"/>
  <c r="R925" i="10"/>
  <c r="R1189" i="10"/>
  <c r="R1271" i="10"/>
  <c r="R1167" i="10"/>
  <c r="R1278" i="10"/>
  <c r="R1103" i="10"/>
  <c r="R126" i="10"/>
  <c r="R730" i="10"/>
  <c r="R55" i="10"/>
  <c r="R255" i="10"/>
  <c r="R989" i="10"/>
  <c r="R1251" i="10"/>
  <c r="R1014" i="10"/>
  <c r="R973" i="10"/>
  <c r="R1277" i="10"/>
  <c r="R1223" i="10"/>
  <c r="R303" i="10"/>
  <c r="R828" i="10"/>
  <c r="R887" i="10"/>
  <c r="R995" i="10"/>
  <c r="R1215" i="10"/>
  <c r="R417" i="10"/>
  <c r="R107" i="10"/>
  <c r="R93" i="10"/>
  <c r="R622" i="10"/>
  <c r="R985" i="10"/>
  <c r="R858" i="10"/>
  <c r="R653" i="10"/>
  <c r="R540" i="10"/>
  <c r="R591" i="10"/>
  <c r="R631" i="10"/>
  <c r="R902" i="10"/>
  <c r="R1042" i="10"/>
  <c r="R733" i="10"/>
  <c r="R1159" i="10"/>
  <c r="R916" i="10"/>
  <c r="R1242" i="10"/>
  <c r="R1198" i="10"/>
  <c r="R1045" i="10"/>
  <c r="R1286" i="10"/>
  <c r="R919" i="10"/>
  <c r="R1100" i="10"/>
  <c r="R1228" i="10"/>
  <c r="R1050" i="10"/>
  <c r="R669" i="10"/>
  <c r="R923" i="10"/>
  <c r="R1015" i="10"/>
  <c r="R1101" i="10"/>
  <c r="R1181" i="10"/>
  <c r="R1245" i="10"/>
  <c r="R974" i="10"/>
  <c r="R1238" i="10"/>
  <c r="R1207" i="10"/>
  <c r="R877" i="10"/>
  <c r="R1083" i="10"/>
  <c r="R1191" i="10"/>
  <c r="R996" i="10"/>
  <c r="R1019" i="10"/>
  <c r="R845" i="10"/>
  <c r="R250" i="10"/>
  <c r="R1172" i="10"/>
  <c r="R1114" i="10"/>
  <c r="R1125" i="10"/>
  <c r="R1075" i="10"/>
  <c r="R924" i="10"/>
  <c r="R1229" i="10"/>
  <c r="R1175" i="10"/>
  <c r="R96" i="10"/>
  <c r="R609" i="10"/>
  <c r="R299" i="10"/>
  <c r="R285" i="10"/>
  <c r="R832" i="10"/>
  <c r="R95" i="10"/>
  <c r="R906" i="10"/>
  <c r="R707" i="10"/>
  <c r="R615" i="10"/>
  <c r="R667" i="10"/>
  <c r="R694" i="10"/>
  <c r="R950" i="10"/>
  <c r="R1106" i="10"/>
  <c r="R851" i="10"/>
  <c r="R1209" i="10"/>
  <c r="R990" i="10"/>
  <c r="R1087" i="10"/>
  <c r="R861" i="10"/>
  <c r="R1131" i="10"/>
  <c r="R660" i="10"/>
  <c r="R972" i="10"/>
  <c r="R1122" i="10"/>
  <c r="R1236" i="10"/>
  <c r="R1124" i="10"/>
  <c r="R724" i="10"/>
  <c r="R939" i="10"/>
  <c r="R1027" i="10"/>
  <c r="R1111" i="10"/>
  <c r="R1253" i="10"/>
  <c r="R1262" i="10"/>
  <c r="R987" i="10"/>
  <c r="R1255" i="10"/>
  <c r="R1071" i="10"/>
  <c r="R955" i="10"/>
  <c r="R619" i="10"/>
  <c r="R359" i="10"/>
  <c r="R774" i="10"/>
  <c r="R1276" i="10"/>
  <c r="R1230" i="10"/>
  <c r="R1213" i="10"/>
  <c r="R1007" i="10"/>
  <c r="R838" i="10"/>
  <c r="R1078" i="10"/>
  <c r="R1165" i="10"/>
  <c r="R893" i="10"/>
  <c r="R160" i="10"/>
  <c r="R673" i="10"/>
  <c r="R363" i="10"/>
  <c r="R349" i="10"/>
  <c r="R896" i="10"/>
  <c r="R493" i="10"/>
  <c r="R922" i="10"/>
  <c r="R723" i="10"/>
  <c r="R640" i="10"/>
  <c r="R685" i="10"/>
  <c r="R710" i="10"/>
  <c r="R502" i="10"/>
  <c r="R1126" i="10"/>
  <c r="R883" i="10"/>
  <c r="R1225" i="10"/>
  <c r="R1012" i="10"/>
  <c r="R1141" i="10"/>
  <c r="R543" i="10"/>
  <c r="R1171" i="10"/>
  <c r="R741" i="10"/>
  <c r="R994" i="10"/>
  <c r="R1142" i="10"/>
  <c r="R1244" i="10"/>
  <c r="R1174" i="10"/>
  <c r="R765" i="10"/>
  <c r="R951" i="10"/>
  <c r="R1037" i="10"/>
  <c r="R1123" i="10"/>
  <c r="R1197" i="10"/>
  <c r="R1261" i="10"/>
  <c r="R1038" i="10"/>
  <c r="R1231" i="10"/>
  <c r="R1152" i="10"/>
  <c r="R831" i="10"/>
  <c r="R7" i="10"/>
  <c r="R837" i="10"/>
  <c r="R725" i="10"/>
  <c r="R1059" i="10"/>
  <c r="R1061" i="10"/>
  <c r="R956" i="10"/>
  <c r="R813" i="10"/>
  <c r="R1190" i="10"/>
  <c r="R1029" i="10"/>
  <c r="R352" i="10"/>
  <c r="R186" i="10"/>
  <c r="R555" i="10"/>
  <c r="R62" i="10"/>
  <c r="R1088" i="10"/>
  <c r="R714" i="10"/>
  <c r="R231" i="10"/>
  <c r="R771" i="10"/>
  <c r="R700" i="10"/>
  <c r="R127" i="10"/>
  <c r="R758" i="10"/>
  <c r="R796" i="10"/>
  <c r="R1184" i="10"/>
  <c r="R967" i="10"/>
  <c r="R1273" i="10"/>
  <c r="R1076" i="10"/>
  <c r="R1227" i="10"/>
  <c r="R804" i="10"/>
  <c r="R1259" i="10"/>
  <c r="R764" i="10"/>
  <c r="R1004" i="10"/>
  <c r="R1164" i="10"/>
  <c r="R1260" i="10"/>
  <c r="R1206" i="10"/>
  <c r="R807" i="10"/>
  <c r="R963" i="10"/>
  <c r="R1047" i="10"/>
  <c r="R1133" i="10"/>
  <c r="R1205" i="10"/>
  <c r="R1269" i="10"/>
  <c r="R1082" i="10"/>
  <c r="R71" i="10"/>
  <c r="R975" i="10"/>
  <c r="R1157" i="10"/>
  <c r="R909" i="10"/>
  <c r="R1183" i="10"/>
  <c r="R1039" i="10"/>
  <c r="R416" i="10"/>
  <c r="R787" i="10"/>
  <c r="R1200" i="10"/>
  <c r="R1098" i="10"/>
  <c r="R783" i="10"/>
  <c r="R843" i="10"/>
  <c r="R1143" i="10"/>
  <c r="R829" i="10"/>
  <c r="R1247" i="10"/>
  <c r="R479" i="10"/>
  <c r="R1178" i="10"/>
  <c r="R1070" i="10"/>
  <c r="R875" i="10"/>
  <c r="R844" i="10"/>
  <c r="R1263" i="10"/>
  <c r="R97" i="10"/>
  <c r="R442" i="10"/>
  <c r="R156" i="10"/>
  <c r="R318" i="10"/>
  <c r="R662" i="10"/>
  <c r="R778" i="10"/>
  <c r="R525" i="10"/>
  <c r="R175" i="10"/>
  <c r="R415" i="10"/>
  <c r="R501" i="10"/>
  <c r="R822" i="10"/>
  <c r="R927" i="10"/>
  <c r="R1248" i="10"/>
  <c r="R1053" i="10"/>
  <c r="R735" i="10"/>
  <c r="R1162" i="10"/>
  <c r="R767" i="10"/>
  <c r="R933" i="10"/>
  <c r="R678" i="10"/>
  <c r="R855" i="10"/>
  <c r="R1058" i="10"/>
  <c r="R1180" i="10"/>
  <c r="R876" i="10"/>
  <c r="R1270" i="10"/>
  <c r="R859" i="10"/>
  <c r="R983" i="10"/>
  <c r="R1069" i="10"/>
  <c r="R1155" i="10"/>
  <c r="R1221" i="10"/>
  <c r="R582" i="10"/>
  <c r="R1156" i="10"/>
  <c r="R965" i="10"/>
  <c r="R1147" i="10"/>
  <c r="R1287" i="10"/>
  <c r="R1093" i="10"/>
  <c r="R941" i="10"/>
  <c r="R1199" i="10"/>
  <c r="R161" i="10"/>
  <c r="R506" i="10"/>
  <c r="R220" i="10"/>
  <c r="R382" i="10"/>
  <c r="R729" i="10"/>
  <c r="R794" i="10"/>
  <c r="R550" i="10"/>
  <c r="R528" i="10"/>
  <c r="R1264" i="10"/>
  <c r="R780" i="10"/>
  <c r="R959" i="10"/>
  <c r="R1196" i="10"/>
  <c r="R1079" i="10"/>
  <c r="R1051"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34" authorId="0" shapeId="0" xr:uid="{00000000-0006-0000-0400-000001000000}">
      <text>
        <r>
          <rPr>
            <sz val="10"/>
            <color rgb="FF000000"/>
            <rFont val="Arial"/>
            <family val="2"/>
            <scheme val="minor"/>
          </rPr>
          <t>======
ID#AAAA8VVll7w
Autor    (2023-03-03 01:19:19)
varia entre 0 y 1  S/ FONADE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<sst xmlns="http://schemas.openxmlformats.org/spreadsheetml/2006/main" count="21883" uniqueCount="3261">
  <si>
    <t>OPTIMIZACIÓN DE SISTEMA DE ACUEDUCTO DE LA ZONA URBANA DEL MUNICIPIO DE VILLAVIEJA Y LOS CENTROS POBLADOS POTOSÍ, HATO NUEVO, POLONIA Y SAN ALFONSO DEL MUNICIPIO DE VILLAVIEJA, DEPARTAMENTO DEL HUILA</t>
  </si>
  <si>
    <t>FORMULADOR</t>
  </si>
  <si>
    <t>CONTRATISTA</t>
  </si>
  <si>
    <t>VERSIÓN</t>
  </si>
  <si>
    <t>CONTRATO</t>
  </si>
  <si>
    <t>Aguas del Huila S.A. E.S.P.</t>
  </si>
  <si>
    <t>Consorcio PP</t>
  </si>
  <si>
    <t>VP-02</t>
  </si>
  <si>
    <t>CTO 117 de 2021</t>
  </si>
  <si>
    <t>PRE
CONTRACTUAL</t>
  </si>
  <si>
    <t>VALIDACIÓN DISEÑOS</t>
  </si>
  <si>
    <t>EJECUCIÓN</t>
  </si>
  <si>
    <t>LIQUIDACIÓN</t>
  </si>
  <si>
    <t>TOTAL OBRA</t>
  </si>
  <si>
    <t>CIMENTACIÓN</t>
  </si>
  <si>
    <t>Z. Verde</t>
  </si>
  <si>
    <t>Afirmado</t>
  </si>
  <si>
    <t>Vía</t>
  </si>
  <si>
    <t>Bd Zanja</t>
  </si>
  <si>
    <t>m</t>
  </si>
  <si>
    <t>Carga</t>
  </si>
  <si>
    <t>Kg</t>
  </si>
  <si>
    <t>Profundidad a clave</t>
  </si>
  <si>
    <t>Expansión</t>
  </si>
  <si>
    <t>%</t>
  </si>
  <si>
    <t>Seca</t>
  </si>
  <si>
    <t>Compactación</t>
  </si>
  <si>
    <t>Conglomerado</t>
  </si>
  <si>
    <t>Mecánica</t>
  </si>
  <si>
    <t>Cama de Arena</t>
  </si>
  <si>
    <t>Relleno en Recebo</t>
  </si>
  <si>
    <t>RCD</t>
  </si>
  <si>
    <t>Km</t>
  </si>
  <si>
    <t>Base</t>
  </si>
  <si>
    <t>FERRETERÍA</t>
  </si>
  <si>
    <t>Sub Base</t>
  </si>
  <si>
    <t>CANTERA</t>
  </si>
  <si>
    <t>Pavimento</t>
  </si>
  <si>
    <t>Ancho de Zanja</t>
  </si>
  <si>
    <r>
      <rPr>
        <b/>
        <sz val="10"/>
        <color theme="0"/>
        <rFont val="Century Gothic"/>
        <family val="2"/>
      </rPr>
      <t>TANQUE DE 250 M</t>
    </r>
    <r>
      <rPr>
        <b/>
        <vertAlign val="superscript"/>
        <sz val="10"/>
        <color theme="0"/>
        <rFont val="Century Gothic"/>
        <family val="2"/>
      </rPr>
      <t>3</t>
    </r>
  </si>
  <si>
    <r>
      <rPr>
        <b/>
        <sz val="10"/>
        <color theme="0"/>
        <rFont val="Century Gothic"/>
        <family val="2"/>
      </rPr>
      <t>TANQUE DE 100 M</t>
    </r>
    <r>
      <rPr>
        <b/>
        <vertAlign val="superscript"/>
        <sz val="10"/>
        <color theme="0"/>
        <rFont val="Century Gothic"/>
        <family val="2"/>
      </rPr>
      <t>3</t>
    </r>
  </si>
  <si>
    <t>ÍNDICE GENERAL COMPONENTE FINANCIERO ESTRUCTURADO</t>
  </si>
  <si>
    <t>01</t>
  </si>
  <si>
    <t>Presupuesto General</t>
  </si>
  <si>
    <t>Cronograma y Flujo de inversión</t>
  </si>
  <si>
    <t>02</t>
  </si>
  <si>
    <t>A.I.U.</t>
  </si>
  <si>
    <t>Cantidades de obra - Bocatomas y desarenadores</t>
  </si>
  <si>
    <t>03</t>
  </si>
  <si>
    <t>Interventoría</t>
  </si>
  <si>
    <t>Cantidades de obra - PTAP</t>
  </si>
  <si>
    <t>04</t>
  </si>
  <si>
    <t>Factor Multiplicador</t>
  </si>
  <si>
    <t>Cantidades de obra - Tanques</t>
  </si>
  <si>
    <t>05</t>
  </si>
  <si>
    <t>Pólizas</t>
  </si>
  <si>
    <t>Cantidades de obra - Ventosas, Purgas, Cabezal, pozo CQP</t>
  </si>
  <si>
    <t>06</t>
  </si>
  <si>
    <t>Lista de A.P.U.S.</t>
  </si>
  <si>
    <t>Cantidades de obra - Redes</t>
  </si>
  <si>
    <t>07</t>
  </si>
  <si>
    <t>A.P.U.S.</t>
  </si>
  <si>
    <t>Cantidades de obra - Micromedición y Macromedición</t>
  </si>
  <si>
    <t>08</t>
  </si>
  <si>
    <t>Cuadrillas</t>
  </si>
  <si>
    <t>Cantidades de obra - Viaductos</t>
  </si>
  <si>
    <t>09</t>
  </si>
  <si>
    <t>Materiales</t>
  </si>
  <si>
    <t>Cantidades de obra - Eléctrico</t>
  </si>
  <si>
    <t>10</t>
  </si>
  <si>
    <t>Equipos</t>
  </si>
  <si>
    <t>Jayler Moises Cleves Celis</t>
  </si>
  <si>
    <t>Secretario de Planeación e Infraestructura</t>
  </si>
  <si>
    <t>Alcaldia de Villavieja</t>
  </si>
  <si>
    <t>FECHA</t>
  </si>
  <si>
    <t>A - BOCATOMA</t>
  </si>
  <si>
    <t>DESCRIPCIÓN</t>
  </si>
  <si>
    <t>UNIDAD</t>
  </si>
  <si>
    <t>CANT.</t>
  </si>
  <si>
    <t>VALOR UNITARIO</t>
  </si>
  <si>
    <t>VR. PARCIAL</t>
  </si>
  <si>
    <t>A-01</t>
  </si>
  <si>
    <t>PRELIMINARES</t>
  </si>
  <si>
    <t>A-01.01</t>
  </si>
  <si>
    <t>LOCALIZACIÓN Y REPLANTEO DE ESTRUCTURAS DE ACUEDUCTOS (INCLUYE EQUIPO DE TOPOGRAFÍA)</t>
  </si>
  <si>
    <t>A-02</t>
  </si>
  <si>
    <t>EXCAVACIONES</t>
  </si>
  <si>
    <t>A-02.01</t>
  </si>
  <si>
    <t>EXCAVACIÓN MANUAL EN MATERIAL COMÚN  (INCLUYE MANO DE OBRA, EQUIPOS Y MATERIALES)</t>
  </si>
  <si>
    <t>A-03</t>
  </si>
  <si>
    <t>RELLENOS</t>
  </si>
  <si>
    <t>A-03.01</t>
  </si>
  <si>
    <t>RELLENO TIPO II: CON RECEBO SELECCIONADO, COMPACTADO EN CAPAS DE 20 CM, PROCTOR MODIFICADO 95%, A TODO FACTOR (INCLUYE RECEBO, EQUIPOS, HERRAMIENTAS, TRANSPORTE Y MANO DE OBRA)</t>
  </si>
  <si>
    <t>A-04</t>
  </si>
  <si>
    <t>CONCRETOS Y ACEROS</t>
  </si>
  <si>
    <t>A-04.01</t>
  </si>
  <si>
    <t>CONCRETO PARA SOLADO DE 2000 PSI A TODO COSTO (140 KG/CM2)</t>
  </si>
  <si>
    <t>A-04.02</t>
  </si>
  <si>
    <t>CONCRETO DE 3000 PSI A TODO COSTO (210 KG/CM2)</t>
  </si>
  <si>
    <t>A-04.03</t>
  </si>
  <si>
    <t>MALLA ELECTROSOLDADA 15X15X4MM (Xx-084) 6X2,35M</t>
  </si>
  <si>
    <t>A-04.04</t>
  </si>
  <si>
    <t>PAÑETE INTERIOR Y EXTERIOR 1:4 IMPERMEABILIZADO (INCLUYE MATERIALES, HERRAMIENTAS Y MANO DE OBRA)</t>
  </si>
  <si>
    <t>A-04.05</t>
  </si>
  <si>
    <t>CONSTRUCCIÓN DE MURO EN GAVIONES DE PREVENCIÓN PERIMETRAL (INCLUYE MATERIALES, MAQUINARIA, HERRAMIENTAS Y MANO DE OBRA)</t>
  </si>
  <si>
    <t>CONSTRUCCIÓN DE CAJA ACHIQUE (INCLUYE MATERIALES, HERRAMIENTAS Y MANO DE OBRA)</t>
  </si>
  <si>
    <t>A-05</t>
  </si>
  <si>
    <t>RETIRO Y DISPOSICIÓN FINAL DE ESCOMBROS</t>
  </si>
  <si>
    <t>A-05.01</t>
  </si>
  <si>
    <t>RETIRO DE MATERIAL SOBRANTE HASTA BOTADERO AUTORIZADO, DISTANCIA 5KM (INCLUYE FACTOR DE EXPANSIÓN, CARGUE Y TRANSPORTE DE MATERIAL)</t>
  </si>
  <si>
    <t>A-05.02</t>
  </si>
  <si>
    <t>DISPOSICIÓN DE MATERIAL PROVENIENTE DE EXCAVACIÓN (INCLUYE TRANSPORTE)</t>
  </si>
  <si>
    <t>A-06</t>
  </si>
  <si>
    <t>ACCESORIOS Y OBRAS COMPLEMENTARIAS</t>
  </si>
  <si>
    <t>A-06.01</t>
  </si>
  <si>
    <t>SUMINISTRO E INSTALACIÓN BARANDA METÁLICA EN TUBO DE HIERRO GALVANIZADO DE 1 1/2", PLATINA DE 4 X 3/16" (INCLUYE EQUIPO DE SOLDADURA, MATERIALES, HERRAMIENTAS Y MANO DE OBRA)</t>
  </si>
  <si>
    <t>A-06.02</t>
  </si>
  <si>
    <t>SUMINISTRO E INSTALACIÓN PUNTO LÍNEA DE VIDA PARA PREVENCIÓN DE ACCIDENTES (INCLUYE HERRAMIENTA MENOR, MATERIALES PARA SU INSTALACIÓN Y MANO DE OBRA)</t>
  </si>
  <si>
    <t>A-06.03</t>
  </si>
  <si>
    <t>SUMINISTRO E INSTALACIÓN DE ENCHAPE PARA PISO DE ALTO TRÁFICO (INCLUYE PEGA ENCHAPE, BOQUILLA Y MANO DE OBRA)</t>
  </si>
  <si>
    <t>A-06.04</t>
  </si>
  <si>
    <t>SUMINISTRO E INSTALACIÓN DE ENCHAPE DE 25 X 40CM PARA PAREDES Y MUROS (INCLUYE PEGA ENCHAPE, BOQUILLA Y MANO DE OBRA)</t>
  </si>
  <si>
    <t>A-06.05</t>
  </si>
  <si>
    <t>SUMINISTRO Y APLICACIÓN DE PINTURA TIPO 1 PARA MUROS INTERIORES Y EXTERIORES (INCLUYE MATERIALES Y MANO DE OBRA)</t>
  </si>
  <si>
    <t>A-06.06</t>
  </si>
  <si>
    <t>SUMINISTRO Y APLICACIÓN DE PINTURA ANTICORROSIVA PARA PUERTAS Y VENTANAS (INCLUYE MATERIALES Y MANO DE OBRA)</t>
  </si>
  <si>
    <t>A-06.07</t>
  </si>
  <si>
    <t>SUMINISTRO E INSTALACIÓN DE SEÑALIZACIÓN DE SEGURIDAD FOTOLUMINESCENTE (INCLUYE SEÑALIZACIÓN PARA PREVENCIÓN DE ACCIDENTES Y MANO DE OBRA)</t>
  </si>
  <si>
    <t>A-06.08</t>
  </si>
  <si>
    <t>SUMINISTRO Y APLICACIÓN DE PINTURA EPÓXICA PARA RECUBRIMIENTO DE TUBERÍAS Y ESCALERAS TIPO GATO (INCLUYE MATERIALES Y MANO DE OBRA)</t>
  </si>
  <si>
    <t>A-06.09</t>
  </si>
  <si>
    <t>SUMINISTRO DE PLUMA GRÚA HIDRÁULICA  CON BRAZO EXTENDIBLE DE 4 POSICIONES, CAPACIDAD DE CARGA DE 2000 KG, 4 PATAS PLEGABLES CON RUEDAS Y PASADORES DE SEGURIDAD Y PLUMA COMPLETAMENTE AJUSTABLES</t>
  </si>
  <si>
    <t>A-06.10</t>
  </si>
  <si>
    <t>KIT DE INSTALACIÓN DE BOMBA 7.5 HP - CENTRIFUGA</t>
  </si>
  <si>
    <t>A-06.11</t>
  </si>
  <si>
    <t>KIT DE INSTALACIÓN DE BOMBA 20 HP - CENTRIFUGA</t>
  </si>
  <si>
    <t>A-06.12</t>
  </si>
  <si>
    <t>KIT DE INSTALACIÓN DE BOMBA 25 HP - CENTRIFUGA</t>
  </si>
  <si>
    <t>SUMINISTRO DE BOMBA 2 HP - SUMERGIBLE DE LIMPIEZA (INCLUYE MANGUERA DE DESCARGA, KIT DE ACOPLE Y MANO DE OBRA)</t>
  </si>
  <si>
    <t>SUMINISTRO DE BOMBA 7 HP - LAPICERO</t>
  </si>
  <si>
    <t>SUMINISTRO DE BOMBA 7.5 HP - CENTRIFUGA</t>
  </si>
  <si>
    <t>SUMINISTRO DE BOMBA 20 HP - CENTRIFUGA</t>
  </si>
  <si>
    <t>SUMINISTRO DE BOMBA 25 HP - CENTRIFUGA</t>
  </si>
  <si>
    <t>DESCRIPCION</t>
  </si>
  <si>
    <t>UNID</t>
  </si>
  <si>
    <t>VR. UNIT</t>
  </si>
  <si>
    <t>EXTENDIDO MANUAL DE TIERRAS CON MATERIAL DE LA PROPIA EXCAVACÍON (INCLUYE HERRAMIENTA MENOR Y MANO DE OBRA)</t>
  </si>
  <si>
    <t>SUMINISTRO E INSTALACIÓN DE MÓDULO DE SEDIMENTACIÓN ACELERADA TIPO COLMENA EN MATERIAL DE POLIESTIRENO DE ALTO IMPACTO (INCLUYE HERRAMIENTA MENOR Y MANO DE OBRA)</t>
  </si>
  <si>
    <t>SUMINISTRO E INSTALACIÓN DE FALSO FONDO PARA MÓDULO DE SEDIMENTACIÓN ACELERADA (INCLUYE ESTRUCTURA DE SOPORTE Y MANO DE OBRA)</t>
  </si>
  <si>
    <t>SUMINISTRO E INSTALACIÓN DE REGLETA LIMNIMÉTRICA DE AFORO Y MEDICIÓN DE CAUDAL CALIBRADA (INCLUYE MATERIALES Y MANO DE OBRA)</t>
  </si>
  <si>
    <t>SUMINISTRO E INSTALACIÓN VERTEDERO EN FIBRA DE VIDRIO 1,00 M X 0,50 M, H= 0,20; A= 0,15 (INCLUYE MANO DE OBRA)</t>
  </si>
  <si>
    <t>SUMINISTRO E INSTALACIÓN DE COMPUERTA DESLIZANTE CON RUEDA DE MANEJO Ø6 (INCLUYE VASTAGO ASCENDENTE EN HIERRO DUCTIL Y MANO DE OBRA)</t>
  </si>
  <si>
    <t>SUMINISTRO E INSTALACIÓN DE NIPLE DE 0,25M Ø4 EN HIERRO DUCTIL</t>
  </si>
  <si>
    <t>SUMINISTRO E INSTALACIÓN DE VÁLVULA COMPUERTA CON VOLANTE Ø4 EN HIERRO DUCTIL (INCLUYE MATERIALES, HERRAMIENTAS Y MANO DE OBRA)</t>
  </si>
  <si>
    <t>SUMINISTRO E INSTALACIÓN DE TAPA DE ACCESO EN LAMINA DE ALFAJOR CAL 14 (INCLUYE MARCO, MANIJA DE AGARRE, SOPORTES Y SOLDADURA)</t>
  </si>
  <si>
    <t>SUMINISTRO E INSTALACIÓN PASOS PARA ESCALERA DE GATO EN VARILLA PRD-60 DE 3/4" ANTIDESLIZANTE CON ANCLAJE DENTADO, REFUERZO, Y TRANCA PIE. L=0,30 M AN= 0,30 (INCLUYE MATERIALES, EQUIPOS Y  MANO DE OBRA)</t>
  </si>
  <si>
    <t>R-01</t>
  </si>
  <si>
    <t>R-01.01</t>
  </si>
  <si>
    <t>LOCALIZACIÓN Y REPLANTEO DE REDES</t>
  </si>
  <si>
    <t>R-02</t>
  </si>
  <si>
    <t>R-02.01</t>
  </si>
  <si>
    <t>EXCAVACIÓN MANUAL EN CONGLOMERADO</t>
  </si>
  <si>
    <t>R-02.02</t>
  </si>
  <si>
    <t>EXCAVACIÓN A MÁQUINA BAJO AGUA EN MATERIAL COMÚN (INCLUYE BOMBEO, HERRAMIENTA MENOR Y MANO DE OBRA)</t>
  </si>
  <si>
    <t>R-03</t>
  </si>
  <si>
    <t>R-03.01</t>
  </si>
  <si>
    <t>RELLENO CON ARENA PARA BASE DE TUBERÍA (INCLUYE MATERIALES, TRANSPORTE Y MANO DE OBRA)</t>
  </si>
  <si>
    <t>R-03.02</t>
  </si>
  <si>
    <t>R-03.03</t>
  </si>
  <si>
    <t>RELLENO CON MATERIAL SELECCIONADO DE LA EXCAVACIÓN, COMPACTADO CON EQUIPO MECÁNICO EN CAPAS DE 0,20 m (INCLUYE EQUIPO, HERRAMIENTA MENOR Y MANO DE OBRA)</t>
  </si>
  <si>
    <t>R-04</t>
  </si>
  <si>
    <t>R-04.01</t>
  </si>
  <si>
    <t>CONCRETO DE 3000 PSI A TODO COSTO (210 KG/CM2) PARA ENCOFRADO DE TUBERÍA DE PASOS FLUVIALES</t>
  </si>
  <si>
    <t>R-04.02</t>
  </si>
  <si>
    <t>R-05</t>
  </si>
  <si>
    <t>R-05.01</t>
  </si>
  <si>
    <t>R-05.02</t>
  </si>
  <si>
    <t>R-06</t>
  </si>
  <si>
    <t>R-06.01</t>
  </si>
  <si>
    <t>SUMINISTRO E INSTALACIÓN DE VÁLVULA VENTOSA TRIPLE ACCIÓN DE Ø3" (INCLUYE CAJA EN CONCRETO REFORZADO, TUBERÍA DE LAVADO, VÁLVULAS, NIPLES, TAPAS, PELDAÑOS, ACCESORIOS EN HIERRO DÚCTIL)</t>
  </si>
  <si>
    <t>R-06.02</t>
  </si>
  <si>
    <t>SUMINISTRO E INSTALACIÓN DE PURGA DE Ø4" (INCLUYE CAJA EN CONCRETO REFORZADO, CABEZAL DE DESCARGA, TUBERÍA DE LAVADO, VÁLVULAS, NIPLES, TAPAS, PELDAÑOS, ACCESORIOS EN HIERRO DÚCTIL)</t>
  </si>
  <si>
    <t>CONSTRUCCIÓN DE VIADUCTO DE HASTA 10 M (INCLUYE MATERIALES, EQUIPOS, HERRAMIENTAS Y MANO DE OBRA)</t>
  </si>
  <si>
    <t>R-07</t>
  </si>
  <si>
    <t>TUBERÍAS</t>
  </si>
  <si>
    <t>R-07.01</t>
  </si>
  <si>
    <t>D-01</t>
  </si>
  <si>
    <t>D-01.01</t>
  </si>
  <si>
    <t>D-02</t>
  </si>
  <si>
    <t>D-02.02</t>
  </si>
  <si>
    <t>D-03</t>
  </si>
  <si>
    <t>D-03.01</t>
  </si>
  <si>
    <t>LECHO FILTRANTE CON ARENA (INCLUYE MATERIALES, TRANSPORTE Y MANO DE OBRA)</t>
  </si>
  <si>
    <t>LECHO FILTRANTE CON GRAVA (INCLUYE MATERIALES, TRANSPORTE Y MANO DE OBRA)</t>
  </si>
  <si>
    <t>LECHO FILTRANTE CON ANTRACITA (INCLUYE MATERIALES, TRANSPORTE Y MANO DE OBRA)</t>
  </si>
  <si>
    <t>D-04</t>
  </si>
  <si>
    <t>D-04.01</t>
  </si>
  <si>
    <t>D-04.02</t>
  </si>
  <si>
    <t>D-04.03</t>
  </si>
  <si>
    <t>CONCRETO PARA PISO DE 4000 PSI IMPERMEABILIZADO A TODO COSTO (280 KG/CM2)</t>
  </si>
  <si>
    <t>SUMINISTRO FIGURADO Y ARMADO DE ACERO DE REFUERZO 60000 PSI (INCLUYE DESPERDICIO DEL 5%)</t>
  </si>
  <si>
    <t>PAÑETE INTERIOR Y EXTERIOR 1:4 (INCLUYE MATERIALES, HERRAMIENTAS Y MANO DE OBRA)</t>
  </si>
  <si>
    <t>D-05</t>
  </si>
  <si>
    <t>D-05.01</t>
  </si>
  <si>
    <t>D-06</t>
  </si>
  <si>
    <t>D-06.01</t>
  </si>
  <si>
    <t>SUMINISTRO DE PTAP COMPACTA EN PRFV DE CICLO COMPLETO PARA CAUDAL DE 3 LPS (INCLUYE BANDEJAS DE AIREACIÓN, UNIDAD DE MEZCLA RÁPIDA, FLOCULADOR, SEDIMENTADOR, TANQUE DE CONTACTO CLORO, FILTRACIÓN, DISEÑO, CONSTRUCCIÓN Y PUESTA EN MARCHA)</t>
  </si>
  <si>
    <t>D-06.02</t>
  </si>
  <si>
    <t>ADECUACIÓN DE PTAP COMPACTA TIPO MODUPACK PARA CAUDAL DE 6-10 LPS (INCLUYE LIMPIEZA, GRATEO Y PINTURA GENERAL, RECONSTRUCCIÓN DE F. FONDOS, CAMBIO Y ADAPTACIÓN DE MOD. SED. Y L. FILTRANTES, ELABORACIÓN DE MANUAL DE OPERACIÓN Y PUESTA EN MARCHA)</t>
  </si>
  <si>
    <t>D-06.03</t>
  </si>
  <si>
    <t>SUMINISTRO DE KIT DE LABORATORIO PARA ANALISIS DE AGUA</t>
  </si>
  <si>
    <t>D-06.04</t>
  </si>
  <si>
    <t>SUMINISTRO DE BOMBA DE 3 HP - CENTRIFUGA</t>
  </si>
  <si>
    <t>D-06.05</t>
  </si>
  <si>
    <t>KIT DE ENTRADA PARA RECOLECCIÓN DE LODOS DESDE LA PTAP MÓDULAR TIPO 1 (INCLUYE VÁLVULA, CODO, TEE, HERRAMIENTA MENOR Y MANO DE OBRA)</t>
  </si>
  <si>
    <t>D-06.06</t>
  </si>
  <si>
    <t>KIT DE TUBERIA DE SALIDA PARA RECOLECCIÓN DE AGUA FILTRADA PROVENIENTE DE LOS LECOS DE SECADO (INCLUYE CODO, TUBERÍA NOVAFORT PARA DESAGÜE, HERRAMIENTA MENOR, MATERIALES Y MANO DE OBRA)</t>
  </si>
  <si>
    <t>D-06.07</t>
  </si>
  <si>
    <t>D-06.08</t>
  </si>
  <si>
    <t>D-06.09</t>
  </si>
  <si>
    <t>D-06.10</t>
  </si>
  <si>
    <t>D-06.11</t>
  </si>
  <si>
    <t>D-06.13</t>
  </si>
  <si>
    <t>SUMINISTRO DE ESTRUCTURA DE CANALETA PRFV</t>
  </si>
  <si>
    <t>SUMINISTRO E INSTALACIÓN DE FALSO FONDO PARA FILTROS (INCLUYE PLACA, HERRAMIENTAS Y MANO DE OBRA)</t>
  </si>
  <si>
    <t>CERRAMIENTO EN MALLA ESLABONADA APOYADA EN TUBERIA GALVANIZADA Ø2 1/2" (INCLUYE POSTES, SOLDADURA, ÁNGULOS, PINTURA, MATERIALES, HERRAMIENTA MENOR, Y MANO DE OBRA)</t>
  </si>
  <si>
    <t>PORTÓN PARA ACCESO AL PREDIO EN MALLA ESLABONADA NO. 10 (INCLUYE TUBEÍA EN HIERRO GALVANIZADO DE 2", SOLDADURA, MALLA, PINTURA, PORTACANDADO DE 4", BISAGRA DE 3", MATERIALES, HERRAMIENTA MENOR, EQUIPO Y MANO DE OBRA)</t>
  </si>
  <si>
    <t>SUMINISTRO E INSTALACIÓN DE VÁLVULA COMPUERTA CON VOLANTE Ø6 EN HIERRO DUCTIL</t>
  </si>
  <si>
    <t>SUMINISTRO E INSTALACIÓN DE ADAPTADOR BRIDA UNIVERSAL Ø4" EN HIERRO DUCTIL (INCLUYE MATERIALES, HERRAMIENTAS Y MANO DE OBRA)</t>
  </si>
  <si>
    <t>SUMINISTRO E INSTALACIÓN DE ADAPTADOR BRIDA UNIVERSAL Ø3" EN HIERRO DUCTIL (INCLUYE MATERIALES, HERRAMIENTAS Y MANO DE OBRA)</t>
  </si>
  <si>
    <t>SUMINISTRO E INSTALACIÓN DE VÁLVULA MARIPOSA Ø4" EN HIERRO DUCTIL (INCLUYE MATERIALES, HERRAMIENTAS Y MANO DE OBRA)</t>
  </si>
  <si>
    <t>SUMINISTRO E INSTALACIÓN DE VÁLVULA MARIPOSA Ø3" EN HIERRO DUCTIL (INCLUYE MATERIALES, HERRAMIENTAS Y MANO DE OBRA)</t>
  </si>
  <si>
    <t>SUMINISTRO E INSTALACIÓN DE VÁLVULA COMPUERTA CON VOLANTE Ø4 EN HIERRO DUCTIL CON CAJA DE CONCRETO DE 0,80x0,80x0,80 M (INCLUYE CAJA PARA VÁLVULA, TAPA, MATERIALES, HERRAMIENTA MENOR Y MANO DE OBRA)</t>
  </si>
  <si>
    <t>SUMINISTRO E INSTALACIÓN DE VÁLVULA COMPUERTA CON VOLANTE Ø3 EN HIERRO DUCTIL CON CAJA DE CONCRETO DE 0,80x0,80x0,80 M (INCLUYE CAJA PARA VÁLVULA, TAPA, MATERIALES, HERRAMIENTA MENOR Y MANO DE OBRA)</t>
  </si>
  <si>
    <t>SUMINISTRO E INSTALACIÓN DE CILINDRO DE ALMACENAMIENTO DE CLORO 150 LB</t>
  </si>
  <si>
    <t>SUMINISTRO DE DOSIFICADOR DE HIDRÓXIDO DE CLORO</t>
  </si>
  <si>
    <t>D-06.30</t>
  </si>
  <si>
    <t>SUMINISTRO E INSTALACIÓN DE CODO x 90° PVC Ø3"</t>
  </si>
  <si>
    <t>D-06.31</t>
  </si>
  <si>
    <t>SUMINISTRO E INSTALACIÓN DE TEE PVC Ø3"</t>
  </si>
  <si>
    <t>D-07</t>
  </si>
  <si>
    <t>D-07.01</t>
  </si>
  <si>
    <t>E-01</t>
  </si>
  <si>
    <t>E-01.01</t>
  </si>
  <si>
    <t>E-02</t>
  </si>
  <si>
    <t>E-02.01</t>
  </si>
  <si>
    <t>E-03</t>
  </si>
  <si>
    <t>E-03.01</t>
  </si>
  <si>
    <t>E-03.02</t>
  </si>
  <si>
    <t>E-03.03</t>
  </si>
  <si>
    <t>E-04</t>
  </si>
  <si>
    <t>E-04.01</t>
  </si>
  <si>
    <t>E-04.02</t>
  </si>
  <si>
    <t>E-04.03</t>
  </si>
  <si>
    <t>CONCRETO PARA MUROS DE 4000 PSI IMPERMEABILIZADO A TODO COSTO (280 KG/CM2)</t>
  </si>
  <si>
    <t>E-04.04</t>
  </si>
  <si>
    <t>CONCRETO PARA ESTRUCTURAS DE COLUMNAS Y VIGAS DE 4000 PSI A TODO COSTO (280 KG/CM2)</t>
  </si>
  <si>
    <t>CONCRETO CICLOPEO DE 3000 PSI A TODO COSTO (210 KG/CM2)</t>
  </si>
  <si>
    <t>M3</t>
  </si>
  <si>
    <t>E-05</t>
  </si>
  <si>
    <t>E-05.01</t>
  </si>
  <si>
    <t>E-06</t>
  </si>
  <si>
    <t>E-06.01</t>
  </si>
  <si>
    <t>MURO EN TOLETE COMÚN 0,12M (INCLUYE PAÑETE, MATERIALES, HERRAMIENTA MENOR Y MANO DE OBRA)</t>
  </si>
  <si>
    <t>E-06.02</t>
  </si>
  <si>
    <t>CORREA METÁLICA DE PERFIL EN C GRADO 50, CON DIMENSIONES DE 150x50x2MM PARA CUBIERTAS (INCLUYE PINTURA, TORNILLOS, SOLDADURA, EQUIPOS, HERRAMIENTAS Y MANO DE OBRA)</t>
  </si>
  <si>
    <t>CERCHA METÁLICA PARA CUBIERTA EN ÁNGULO 1x1/8" DE 12 M (INCLUYE SOLDADURA, PINTURA, PLATINAS, HERRAMIENTAS, EQUIPO, Y MANO DE OBRA)</t>
  </si>
  <si>
    <t>E-06.04</t>
  </si>
  <si>
    <t>ESTRUCTURA DE VIGA METÁLICA EN ACERO (INCLUYE, PERFIL EN C, SOLDADURA, PITURA, PERNOS DE ANCLAJE, PLACA DE ANCLAJE, MATERIALES, EQUIPO, HERRAMIENTA MENOR Y MANO DE OBRA)</t>
  </si>
  <si>
    <t>E-06.05</t>
  </si>
  <si>
    <t>ESTRUCTURA DE COLUMNA METÁLICA EN ACERO (INCLUYE, PERFIL EN C, SOLDADURA, PITURA, PERNOS DE ANCLAJE, PLACA DE ANCLAJE, MATERIALES, EQUIPO, HERRAMIENTA MENOR Y MANO DE OBRA)</t>
  </si>
  <si>
    <t>E-06.06</t>
  </si>
  <si>
    <t>KIT DE TUBERÍA DE RECOLECCIÓN DE AGUA FILTRADA PARA LECHOS DE SECADO TIPO 1 DE Ø4" (INCLUYE NIPLE, PASAMURO, CODO, TEE, TUBERÍA PERFORADA Y NO PERFORADA, MATERIALES, HERRAMIENTAS Y MANO DE OBRA)</t>
  </si>
  <si>
    <t>KIT DE TUBERÍA DE RECOLECCIÓN DE AGUA FILTRADA  PARA LECHOS DE SECADO TIPO 2 Ø4" (INCLUYE NIPLE, PASAMURO, CODO, TEE, TUBERÍA PERFORADA Y NO PERFORADA, MATERIALES, HERRAMIENTAS Y MANO DE OBRA)</t>
  </si>
  <si>
    <t>E-06.08</t>
  </si>
  <si>
    <t>CAJA DE INSPECCIÓN DE 1,10 x 1,10 M (INCLUYE TAPA EN CONCRETO, MATERIALES, HERRAMIENTA MENOR Y MANO DE OBRA)</t>
  </si>
  <si>
    <t>E-06.09</t>
  </si>
  <si>
    <t>SUMINISTRO E INSTALACIÓN DE TEJA TERMOACÚSTICA E=2MM PARA CUBIERTAS (INCLUYE TORNILLOS, TUBO CUADRADO, TEJA, HERRAMIENTA MENOR Y MANO DE OBRA)</t>
  </si>
  <si>
    <t>SUMINISTRO E INSTALACIÓN DE CODO 90° Ø4" EN HIERRO DUCTIL (INCLUYE MATERIALES, HERRAMIENTAS Y MANO DE OBRA)</t>
  </si>
  <si>
    <t>SUMINISTRO E INSTALACIÓN DE TEE Ø4" EN HIERRO DUCTIL (INCLUYE MATERIALES, HERRAMIENTAS Y MANO DE OBRA)</t>
  </si>
  <si>
    <t xml:space="preserve">KIT DE INTERCONEXIÓN PARA RECOLECCIÓN DE LODOS PRODUCIDOS POR LA PTAP (INCLUYE CODO, TUBERÍA, VÁLVULA, HERRAMIENTA MENOR, Y MANO DE OBRA) </t>
  </si>
  <si>
    <t>F-01</t>
  </si>
  <si>
    <t>GENERALES</t>
  </si>
  <si>
    <t>F-01.01</t>
  </si>
  <si>
    <t>F-02</t>
  </si>
  <si>
    <t>F-02.02</t>
  </si>
  <si>
    <t>EXCAVACIÓN MECÁNICA CON PROFUNDIDAD DE H= 0.0 A 6.0 MTS EN MATERIAL COMÚN SECO A TODO COSTO (INCLUYE MANO DE OBRA)</t>
  </si>
  <si>
    <t>F-02.03</t>
  </si>
  <si>
    <t>ENTIBADO EN MADERA TIPO 1; DISCONTINÚO PARA PROFUNDIDADES MAYORES A 2,0 MTS PARA TERRENOS MEDIANAMENTE ESTABLES 5 USOS (INCLUYE MATERIALES, HERRAMIENTAS Y MANO DE OBRA)</t>
  </si>
  <si>
    <t>F-02.04</t>
  </si>
  <si>
    <t>ENTIBADO EN MADERA TIPO 2; CONTINUO PARA PROFUNDIDADES DE 2,0 A 4,0 MTS PARA TERRENOS INESTABLES 5 USOS (INCLUYE MATERIALES, HERRAMIENTAS Y MANO DE OBRA)</t>
  </si>
  <si>
    <t>F-02.05</t>
  </si>
  <si>
    <t>ENTIBADO METÁLICO TIPO 3; SISTEMA DE GUÍAS CORREDERA COMPUESTA DE 4 PANELES 3,5X2,4 M PARA ALTURA ENTIBADA DE 4,8 M, PARA PROFUNDIDADES MAYORES A 4,0M (INCLUYE CODALES PARA ASEGURACIÓN DE LOS PANELES MATERIALES, HERRAMIENTAS Y MANO DE OBRA)</t>
  </si>
  <si>
    <t>F-03</t>
  </si>
  <si>
    <t>F-03.01</t>
  </si>
  <si>
    <t>F-03.02</t>
  </si>
  <si>
    <t>RELLENO CON GRAVA EN AREAS DE TANQUES DE PLANTA DE TRATAMIENTO (INCLUYE MATERIALES, HERRAMIENTAS, TRANSPORTE Y MANO DE OBRA)</t>
  </si>
  <si>
    <t>F-04</t>
  </si>
  <si>
    <t>CONCRETOS, MORTEROS Y ACEROS</t>
  </si>
  <si>
    <t>F-04.01</t>
  </si>
  <si>
    <t>F-04.02</t>
  </si>
  <si>
    <t>CONCRETO PARA SOLADO DE 2000 PSI PARA ANDÉN PERIMETRAL A TODO COSTO (140 KG/CM2)</t>
  </si>
  <si>
    <t>F-04.03</t>
  </si>
  <si>
    <t>F-04.04</t>
  </si>
  <si>
    <t>F-04.05</t>
  </si>
  <si>
    <t>F-04.06</t>
  </si>
  <si>
    <t>CONCRETO PARA TAPA DE 4000 PSI IMPERMEABILIZADO A TODO COSTO (280 KG/CM2)</t>
  </si>
  <si>
    <t>F-04.07</t>
  </si>
  <si>
    <t>F-04.08</t>
  </si>
  <si>
    <t>DEMOLICIÓN DE ESTRUCTURA EN CONCRETO (INCLUYE EQUIPOS Y MANO DE OBRA)</t>
  </si>
  <si>
    <t>F-05</t>
  </si>
  <si>
    <t>F-05.01</t>
  </si>
  <si>
    <t>F-05.02</t>
  </si>
  <si>
    <t>F-06</t>
  </si>
  <si>
    <t>ACCESORIOS Y OBRAS COMPLEMETARIAS</t>
  </si>
  <si>
    <t>F-06.01</t>
  </si>
  <si>
    <t>SUMINISTRO E INSTALACIÓN DE VÁLVULA COMPUERTA CON VOLANTE Ø3" EN HIERRO DUCTIL (INCLUYE MATERIALES, HERRAMIENTAS Y MANO DE OBRA)</t>
  </si>
  <si>
    <t>F-06.02</t>
  </si>
  <si>
    <t>SUMINISTRO E INSTALACIÓN DE VÁLVULA DE COMPUERTA CON VOLANTE Ø8" EN HIERRO DUCTIL (INCLUYE MATERIALES, HERRAMIENTAS Y MANO DE OBRA)</t>
  </si>
  <si>
    <t>SUMINISTRO E INSTALACIÓN DE VÁLVULA DE COMPUERTA CON VOLANTE Ø10" EN HIERRO DUCTIL (INCLUYE MATERIALES, HERRAMIENTAS Y MANO DE OBRA)</t>
  </si>
  <si>
    <t>F-06.05</t>
  </si>
  <si>
    <t>SUMINISTRO E INSTALACIÓN DE UNIÓN DE DESMONTAJE Ø3" EN HIERRO DUCTIL (INCLUYE MATERIALES, HERRAMIENTAS Y MANO DE OBRA)</t>
  </si>
  <si>
    <t>SUMINISTRO E INSTALACIÓN DE UNIÓN DE DESMONTAJE Ø6" EN HIERRO DUCTIL (INCLUYE MATERIALES, HERRAMIENTAS Y MANO DE OBRA)</t>
  </si>
  <si>
    <t>SUMINISTRO E INSTALACIÓN DE UNIÓN DE DESMONTAJE Ø10" EN HIERRO DUCTIL (INCLUYE MATERIALES, HERRAMIENTAS Y MANO DE OBRA)</t>
  </si>
  <si>
    <t>F-06.08</t>
  </si>
  <si>
    <t>SUMINISTRO E INSTALACIÓN DE NIPLE PASAMURO DE Ø4" EN HIERRO DUCTIL (INCLUYE MATERIALES, HERRAMIENTAS Y MANO DE OBRA)</t>
  </si>
  <si>
    <t>F-06.09</t>
  </si>
  <si>
    <t>SUMINISTRO E INSTALACIÓN DE NIPLE PASAMURO DE Ø6" EN HIERRO DUCTIL (INCLUYE MATERIALES, HERRAMIENTAS Y MANO DE OBRA)</t>
  </si>
  <si>
    <t>F-06.11</t>
  </si>
  <si>
    <t>F-06.12</t>
  </si>
  <si>
    <t>SUMINISTRO E INSTALACIÓN DE CODO 90° Ø6" EN HIERRO DUCTIL (INCLUYE MATERIALES, HERRAMIENTAS Y MANO DE OBRA)</t>
  </si>
  <si>
    <t>SUMINISTRO E INSTALACIÓN CODO 90° Ø10" EN HIERRO DUCTIL (INCLUYE MATERIALES, HERRAMIENTAS Y MANO DE OBRA)</t>
  </si>
  <si>
    <t>SUMINISTRO E INSTALACIÓN DE MACROMEDIDOR TIPO WOLTMAN Ø6" (INCLUYE MATERIALES, HERRAMIENTAS Y MANO DE OBRA)</t>
  </si>
  <si>
    <t>F-06.15</t>
  </si>
  <si>
    <t>SUMINISTRO E INSTALACIÓN TEE 90° Ø10" EN HIERRO DUCTIL (INCLUYE MATERIALES, HERRAMIENTAS Y MANO DE OBRA)</t>
  </si>
  <si>
    <t>SUMINISTRO E INSTALACIÓN DE TAPA Y ARO (INCLUYE MATERIALES, HERRAMIENTAS Y MANO DE OBRA)</t>
  </si>
  <si>
    <t>F-06.18</t>
  </si>
  <si>
    <t>F-06.19</t>
  </si>
  <si>
    <t>F-06.20</t>
  </si>
  <si>
    <t>SUMINISTRO E INSTALACIÓN DE VÁLVULA FLOTADOR DE Ø4" EN HIERRO DUCTIL (INCLUYE VÁLVULA, HERRAMIENTA MENOR, Y MANO DE OBRA)</t>
  </si>
  <si>
    <t>F-06.21</t>
  </si>
  <si>
    <t>SUMINISTRO E INSTALACIÓN CODO 90° PVC 4" (INCLUYE MATERIALES, HERRAMIENTAS Y MANO DE OBRA)</t>
  </si>
  <si>
    <t>F-06.22</t>
  </si>
  <si>
    <t>SUMINISTRO E INSTALACION DE TEE PVC  Ø3" (INCLUYE MATERIALES, HERRAMIENTAS Y MANO DE OBRA)</t>
  </si>
  <si>
    <t>F-06.23</t>
  </si>
  <si>
    <t>SUMINISTRO E INSTALACIÓN DE TEE PVC  Ø4" (INCLUYE MATERIALES, HERRAMIENTAS Y MANO DE OBRA)</t>
  </si>
  <si>
    <t>F-06.24</t>
  </si>
  <si>
    <t>SUMINISTRO E INSTALACIÓN DE TUBERIA DE VENTILACIÓN Ø2" (INCLUYE MATERIALES, HERRAMIENTAS Y MANO DE OBRA)</t>
  </si>
  <si>
    <t>CORTE DE PAVIMENTO RÍGIDO (INCLUYE MATERIALES, EQUIPOS, HERRAMIENTAS Y MANO DE OBRA)</t>
  </si>
  <si>
    <t>CORTE DE PAVIMENTO FLEXIBLE (INCLUYE MATERIALES, EQUIPOS, HERRAMIENTAS Y MANO DE OBRA)</t>
  </si>
  <si>
    <t>R-02.03</t>
  </si>
  <si>
    <t>DEMOLICIÓN DE ESTRUCTURAS EN CONCRETO REFORZADO (INCLUYE EQUIPOS, HERRAMIENTAS Y MANO DE OBRA)</t>
  </si>
  <si>
    <t>R-02.04</t>
  </si>
  <si>
    <t>R-02.05</t>
  </si>
  <si>
    <t>EXCAVACIÓN MECÁNICA EN CONGLOMERADO</t>
  </si>
  <si>
    <t>R-03.04</t>
  </si>
  <si>
    <t>SUMINISTRO Y COLOCACIÓN DE SUB-BASE GRANULAR SEGÚN NORMA INVIAS E - 320 (INCLUYE MATERIALES, EQUIPOS Y HERRAMIENTAS Y MANO DE OBRA)</t>
  </si>
  <si>
    <t>R-03.05</t>
  </si>
  <si>
    <t>SUMINISTRO Y COLOCACIÓN DE BASE GRANULAR SEGÚN INVIAS 330 (INCLUYE MATERIAL, EQUIPOS, HERRAMIENTAS Y MANO DE OBRA)</t>
  </si>
  <si>
    <t>REPOSICIÓN DE ANDEN DE CONCRETO 3000 PSI (INCLUYE MATERIALES, EQUIPOS, HERRAMIENTAS Y MANO DE OBRA)</t>
  </si>
  <si>
    <t>CONCRETO PARA PAVIMENTO RÍGIDO MR-41 (INCLUYE SELLADO DE JUNTAS, ACERO DE TRANSFERENCIA Y UNIÓN)</t>
  </si>
  <si>
    <t>REPOSICIÓN DE CAPA DE RODADURA DE PAVIMENTO FLEXIBLE EN ASFALTO MDC-19, CON ESPESOR DE 7CM (INCLUYE APISONADOR TIPO BENITIN, MATERIALES, HERRAMIENTA MENOR Y MANO DE OBRA)</t>
  </si>
  <si>
    <t>ACCESORIOS</t>
  </si>
  <si>
    <t>ESTACIÓN DE MACROMEDICIÓN DE Ø3" (INCLUYE CAJA DE CONCRETO CON TAPA Y ESCALERA DE GATO, VÁLVULAS, CODOS, TEES, UNIONES, FILTRO EN YEE, NIPLES, PASAMUROS, MACROMEDIDOR, MATERIALES, HERRAMIENTAS, TRANSPORTE Y MANO DE OBRA)</t>
  </si>
  <si>
    <t>R-05.03</t>
  </si>
  <si>
    <t>VÁLVULA DE CORTE TIPO CHOROTE DE Ø2" (INCLUYE LLAVE PARA VÁLVULA, TAPA DE SEGURIDAD, TUBERÁ SANITARIA, VÁLVULA DE COMPUERTA, MATERIALES, HERRAMIENTAS Y MANO DE OBRA)</t>
  </si>
  <si>
    <t>R-05.04</t>
  </si>
  <si>
    <t>VÁLVULA DE CORTE TIPO CHOROTE DE Ø3" (INCLUYE LLAVE PARA VÁLVULA, TAPA DE SEGURIDAD, TUBERÁ SANITARIA, VÁLVULA DE COMPUERTA, MATERIALES, HERRAMIENTAS Y MANO DE OBRA)</t>
  </si>
  <si>
    <t>R-05.05</t>
  </si>
  <si>
    <t>SUMINISTRO E INSTALACIÓN CODO 11,25° Ø3" EN HIERRO DUCTIL CON UNIÓN MECÁNICA (INCLUYE MATERIALES, HERRAMIENTAS Y MANO DE OBRA)</t>
  </si>
  <si>
    <t>SUMINISTRO E INSTALACIÓN CODO 22,5° Ø3" EN HIERRO DUCTIL CON UNIÓN MECÁNICA (INCLUYE MATERIALES, HERRAMIENTAS Y MANO DE OBRA)</t>
  </si>
  <si>
    <t>SUMINISTRO E INSTALACIÓN CODO 45° Ø3" EN HIERRO DUCTIL CON UNIÓN MECÁNICA (INCLUYE MATERIALES, HERRAMIENTAS Y MANO DE OBRA)</t>
  </si>
  <si>
    <t>SUMINISTRO E INSTALACIÓN CODO 90° Ø3" EN HIERRO DUCTIL CON UNIÓN MECÁNICA (INCLUYE MATERIALES, HERRAMIENTAS Y MANO DE OBRA)</t>
  </si>
  <si>
    <t>SUMINISTRO E INSTALACIÓN TEE Ø3" EN HIERRO DUCTIL CON UNIÓN MECÁNICA (INCLUYE MATERIALES, HERRAMIENTAS Y MANO DE OBRA)</t>
  </si>
  <si>
    <t>MICROMEDIDOR DE Ø1/2" (INCLUYE CAJA, TEE, CODO, ADAPTADORES, VÁLVULAS, MEDIDOR, COLLAR DE DERIVACIÓN, TAPÓN, RACOR, MATERIALES, HERRAMIENTA MENOR Y MANO DE OBRA)</t>
  </si>
  <si>
    <t>I-01</t>
  </si>
  <si>
    <t>H-01</t>
  </si>
  <si>
    <t xml:space="preserve">SALIDA PARA INTERRUPTOR SENCILLO </t>
  </si>
  <si>
    <t>H-02</t>
  </si>
  <si>
    <t>ACTUALIZACIÓN DE PLANOS SEGÚN OBRA EJECUTADA</t>
  </si>
  <si>
    <t>CABLEADO DE CONEXIÓN DE LA PUESTA A TIERRA CU 2 AWG EN TUBERÍA PVC 1"</t>
  </si>
  <si>
    <t>SALIDA PARA LUMINARIA LED HERMÉTICA SYLVANIA 50W O LUMINARIA TIPO PANEL LED 60x60</t>
  </si>
  <si>
    <t>H-05</t>
  </si>
  <si>
    <t>CERTIFICACIÓN RETIE</t>
  </si>
  <si>
    <t>H-06</t>
  </si>
  <si>
    <t>SALIDA PARA MOTOR TRIFÁSICO EN CABLE 3x8F + 1x10T THHN/THWN, EN TUBERÍA EMT 1" - 4M Y CORAZA LIQUID THIGHT 1" - 2M (INCLUYE CAJA DE PASO 10x10CM, FIJACIONES HERRAJES, MARCACIÓN, BORNAS Y DEMÁS ACCESORIOS)</t>
  </si>
  <si>
    <t>H-07</t>
  </si>
  <si>
    <t>SALIDA PARA TOMACORRIENTE LEVITON CON POLO A TIERRA EMPOTRADO EN PARED</t>
  </si>
  <si>
    <t>H-08</t>
  </si>
  <si>
    <t>SOLDADURA EXOTÉRMICA</t>
  </si>
  <si>
    <t>H-09</t>
  </si>
  <si>
    <t>SUMINISTRO E INSTALACIÓN CABLE CU DESNUDO No. 2/0 AWG 80CM DE PROFUNDIDAD</t>
  </si>
  <si>
    <t>SUMINISTRO E INSTALACIÓN DE GRUPO DE MEDIDA EN BAJA TENSIÓN CON CAJA PARA CONTADOR TRIFÁSICO TETRAFILAR ADOSADA A MURO (INCLUYE CT'S 300:5 A 5V, CONTADOR CALIBRADO NORMAS ELECTRO HUILA, PUESTA A TIERRA Y FLEJES DE FIJACIÓN)</t>
  </si>
  <si>
    <t>H-11</t>
  </si>
  <si>
    <t>SUMINISTRO E INSTALACIÓN DE LUMINARIA LED HERMÉTICA SYLVANIA 50W (INCLUYE EL SUMINISTRO DE ACCESORIOS DE FIJACIÓN Y MONTAJE)</t>
  </si>
  <si>
    <t>SUMINISTRO E INSTALACIÓN DE REFLECTOR LED AUTÓNOMO CON PANEL SAOLAR Y BATERÍA DE 12 H DE AUTONOMÍA &gt;12000 CICLOS, INSTALADA EN POSTE DE MADERA DE 6 METROS</t>
  </si>
  <si>
    <t>SUMINISTRO E INSTALACIÓN DE TABLERO BIFÁSICO TIPO LUMINEX 8 CIRCUITOS DE INCRUSTAR O SOBREPONER, CON ESPACIO PARA TOTALIZADOR (INCLUYE BREQUES TIPO ENCHUFABLE 1X20A Y 2X30A)</t>
  </si>
  <si>
    <t>SUMIISTRO E INSTALACIÓN DE TRANSFERENCIA AUTOMÁTICA 60A 440V DE DOS CONTACTORES TRIPOLARES ENCLAVADO MECÁNICAMENTE, CON TRANSFERENCIA ELEGIBLE MEDIANTE UN SELECTOR (INCLUYE CAÍDA DE FASE, PROTECCIÓN DE CONTROL Y CONTACTO PARA ENCENDIDO DE PLANTA)</t>
  </si>
  <si>
    <t>H-15</t>
  </si>
  <si>
    <t>SUMINISTRO E INSTALACIÓN CAJA DE INSPECCION PREFABRICADA 30X30CM</t>
  </si>
  <si>
    <t>SUMINISTRO E INSTALACIÓN CAJA DE INSPECCIÓN BT NORMA CODENSA CS274</t>
  </si>
  <si>
    <t>SUMINISTRO E INSTALACIÓN TRANSFORMADOR TRIFÁSICO EN ACEITE 13,2/0,440KV 112,5KVA CONEXIÓN DYN 5, (INCLUYE PROTECCIONES DE MT, DPS Y HERRAJES DE INSTALACIÓN, ESTRUCTURA FINLA DE CIRCUITO CTU 500 CODENSA)</t>
  </si>
  <si>
    <t>SUMINISTRO E INSTALACIÓN TUBERÍA IMC 3" Y TUBERÍA SUBTERRANEA 3" CON CABLEADO CU 3X4/0F + 1X4/0N DEL TRANSFORMADOR AL CONTADOR CON CAPACETE ROSCADO 2", ADOSADA AL POSTE (INCLUYE BORNAS Y ACCESORIOS DE FIJACIÓN)</t>
  </si>
  <si>
    <t>SUMINISTRO E INSTALACIÓN DE TUBERÍA PVC 1" SUBTERRANEA 75CM DE PROFUNDIDAD CON CABLEADO CU 1X12F + 1X12N +1X12T</t>
  </si>
  <si>
    <t>TABLERO DE CONTROL DE MOTORES CON VARIADOR 6SL3210-5BE32-2UV0 PARA MOTORES 30HP 440V-2UN, PLC LOGO 8 SIEMENS CON MÓDULO DE EXPANSIÓN, GABINETE RESGUARDO DE EQUIPOS 1200X700X300</t>
  </si>
  <si>
    <t>TD: SUMINISTRO E INSTALACIÓN DE TABLERO TRIFÁSICO ESPECIAL CON TOTALIZADOR 3X50A - 10KA BARRAJE PRINCIPAL, BREQUES (INCLUYE TRASFORMADOR REDUCTOR, ENCERRAMIENTO METÁLICO, PUERTA Y FRENTE MUERTO</t>
  </si>
  <si>
    <t>TGA: SUMINISTRO E INSTALACIÓN DE TABLERO TRIFÁSICO ESPECIAL CON TOTALIZADOR 3X180A - 10KA, BARRAJE PRINCIPAL, BREAKER INDUSTRIAL 3X165A, 3X60A Y 3X70A, ENCERRAMIENTO METÁLICO, PUERTA Y FRENTE MUERTO</t>
  </si>
  <si>
    <t>H-23</t>
  </si>
  <si>
    <t>VARILLA CU 5/8"X8' Y TRATAMIENTO DEL TERRENO</t>
  </si>
  <si>
    <t>H-24</t>
  </si>
  <si>
    <t>CABLEADO DE CONEXIÓN DE LA PUESTA A TIERRA CU 6 AWG EN TUBERÍA PVC 1"</t>
  </si>
  <si>
    <t>H-25</t>
  </si>
  <si>
    <t>SALIDA PARA MOTOR TRIFÁSICO EN CABLE 3X2F + 1X8T THHN/THWN, EN TUBERÍA EMT 2" -  4M Y CORAZA LIQUID THIGHT 2" - 2 M, INCLUYE CAJA DE PASO 10X10CM, FIJACIONES, HERRAJES, MARCACION, BORNAS Y DEMÁS ACCESORIOS</t>
  </si>
  <si>
    <t>H-26</t>
  </si>
  <si>
    <t>TABLERO DE CONTROL DE MOTORES CON ARRANCADOR SUAVE SIEMENS 3RW4047-1BB14 - 1 UN, PLC LOGO! 8 SIEMENS CON MÓDULO DE EXPANSIÓN, RELÉS DE INTERPOSICIÓN, PULSADORES, LUCES DE INDICACIÓN, GABINETE RESGUARDO DE EQUIPOS</t>
  </si>
  <si>
    <t>H-27</t>
  </si>
  <si>
    <t>TABLERO DE CONTROL DE MOTORES CON ARRANCADOR SUAVE SIEMENS 3RW4028-1BB14 PARA MOTOR 7HP 220V - 1 UN, PLC LOGO! 8 SIEMENS CON MÓDULO DE EXPANSIÓN, RELÉS DE INTERPOSICIÓN, PULSADORES, LUCES DE INDICACIÓN, GABINETE RESGUARDO DE EQUIPOS 900X700X300</t>
  </si>
  <si>
    <t>H-28</t>
  </si>
  <si>
    <t>TD: SUMINISTRO E INSTALACIÓN DE TABLERO TRIFÁSICO FABRICACIÓN ESPECIAL CON TOTALIZADOR 3X100A - 10KA, BARRAJE PRINCIPAL TRIFÁSICO, GUARDAMOTOR 56-80A - 1 UN, BREAKER TIPO RIEL 1X20A - 6 UN, INCLUYE ENCERRAMIENTO METÁLICO, PUERTA Y FRENTE MUERTO</t>
  </si>
  <si>
    <t>SALIDA PARA ELECTROBOMBA SUMERGIBLE TRIFÁSICA EN CABLE ENCAUCHETADO TIPO TERMOFLEX PROCABLES S 4X4AWG APTO PARA BOMBAS SUMERGIBLES - 90M, EN TUBERÍA EMT 2" - 6M Y TUBERÍA PVC 2" - 6M, INCLUYE FIJACIONES, HERRAJES, MARCACIÓN, BORNAS Y DEMÁS ACCESORIOS</t>
  </si>
  <si>
    <t>H-30</t>
  </si>
  <si>
    <t>SUMINISTRO E INSTALACIÓN DE POSTE DE CONCRETO PRETENSADO 510KGF, INCLUYE BRAZO PARA LUMINARIA 140MM, HICADA Y PLOMADA</t>
  </si>
  <si>
    <t>H-31</t>
  </si>
  <si>
    <t>SUMINISTRO E INSTALACIÓN DE REFLECTOR LED AUTÓNOMO CON PANEL SOLAR Y BATERÍA LED SOLAR INTEGRADA S40 6K SILVANYA, 50000 HORAS</t>
  </si>
  <si>
    <t>H-32</t>
  </si>
  <si>
    <t>SALIDA PARA MOTOR MONOFÁSICO EN CABLE 2X10F + 1X10T THHN/THWN, EN TUBERÍA EMT 3/4" - 4M Y CORAZA LIQUID THIGHT 3/4" - 2 M, INCLUYE CAJA DE PASO 10X10CM, FIJACIONES, HERRAJES, MARCACION, BORNAS Y DEMÁS ACCESORIOS</t>
  </si>
  <si>
    <t>TABLERO DE CONTROL DE MOTORES CON ARRANCADOR SUAVE SIEMENS 3RW4027-1BB14 PARA MOTOR 4HP 220V - 1 UN, PLC LOGO! 8 SIEMENS CON MÓDULO DE EXPANSIÓN, RELÉS DE INTERPOSICIÓN, PULSADORES, LUCES DE INDICACIÓN, GABINETE RESGUARDO DE EQUIPOS 1200X700X300</t>
  </si>
  <si>
    <t>H-34</t>
  </si>
  <si>
    <t>SUMINISTRO E INSTALACIÓN DE TABLERO BIFÁSICO TIPO LUMINEX 12 CIRCUITOS DE INCRUSTAR O SOBREPONER, CON ESPACIO PARA TOTALIZADOR, INCLUYE BREAKER TIPO ENCHUFABLE 1X20A - 6 UN, BREAKER TIPO ENCHUFABLE 2X30A - 1 UN</t>
  </si>
  <si>
    <t>H-35</t>
  </si>
  <si>
    <t>TD: SUMINISTRO E INSTALACIÓN DE TABLERO TRIFÁSICO FABRICACIÓN ESPECIAL CON TOTALIZADOR 3X80A - 10KA, BARRAJE PRINCIPAL, BREAKER 3X75A, RIEL 2X20A (INCLUYE ENCERRAMIENTO METÁLICO, PUERTA Y FRENTE MUERTO)</t>
  </si>
  <si>
    <t>H-36</t>
  </si>
  <si>
    <t xml:space="preserve">SUMINISTRO E INSTALACIÓN DE CABLEADO DE ACOMETIDA AÉREA TIPO TRÉBOL 3X8 + 10 AWG CU CENTELSA 75° 600V, INCLUYE TEMPLES, ACCESORIOS DEL TRANSFORMADOR AL CONTADOR, CON CAPACETE ROSCADO 2" PARA RECEPCIÓN DE ACOMETIDA Y BORNAS </t>
  </si>
  <si>
    <t>H-37</t>
  </si>
  <si>
    <t>TD: SUMINISTRO E INSTALACIÓN DE TABLERO TRIFÁSICO FABRICACIÓN ESPECIAL CON TOTALIZADOR 3X40A - 10KA, BARRAJE PRINCIPAL TRIFÁSICO, BREAKER INDUSTRIAL 3X25A - 1 UN, BREAKER TIPO RIEL 1X20A - 6 UN, INCLUYE ENCERRAMIENTO METÁLICO, PUERTA Y FRENTE MUERTO</t>
  </si>
  <si>
    <t>TD: SUMINISTRO E INSTALACIÓN DE TABLERO TRIFÁSICO FABRICACIÓN ESPECIAL CON TOTALIZADOR 2X40A - 10KA, BARRAJE PRINCIPAL TRIFÁSICO, GUARDAMOTOR CHINT 9-14A - 2 UN, BREAKER TIPO RIEL 1X20A - 6 UN (INCLUYE ENCERRAMIENTO METÁLICO, PUERTA Y FRENTE MUERTO)</t>
  </si>
  <si>
    <t>TD: SUMINISTRO E INSTALACIÓN DE TABLERO CON BARRAJE PRINCIPAL TRIFÁSICO, GUARDAMOTOR CHINT 6-10A, BREAKER TIPO RIEL 1X20A - 6 UN, ENCERRAMIENTO METÁLICO, PUERTA Y FRENTE MUERTO</t>
  </si>
  <si>
    <t>TOTAL COSTOS DIRECTOS OBRA CIVIL</t>
  </si>
  <si>
    <t>ADMINISTRACIÓN</t>
  </si>
  <si>
    <t>IMPREVISTOS</t>
  </si>
  <si>
    <t>UTILIDAD</t>
  </si>
  <si>
    <t>AIU OBRA CIVIL</t>
  </si>
  <si>
    <t>TOTAL COSTOS OBRA CIVIL</t>
  </si>
  <si>
    <t>INTERVENTORÍA OBRA CIVIL</t>
  </si>
  <si>
    <t>SUBTOTAL</t>
  </si>
  <si>
    <t>TOTAL</t>
  </si>
  <si>
    <t>ESTRUCTURA DE COSTOS DE LA ADMINISTRACIÓN, UTILIDAD E IMPREVISTOS (A.I.U)</t>
  </si>
  <si>
    <t>COSTO DIRECTO OC</t>
  </si>
  <si>
    <t>A</t>
  </si>
  <si>
    <t>COSTOS DIRECTOS DE PERSONAL</t>
  </si>
  <si>
    <t>ÍTEM</t>
  </si>
  <si>
    <t>CARGO/OFICIO</t>
  </si>
  <si>
    <t>SMLMV</t>
  </si>
  <si>
    <t>CANTIDAD</t>
  </si>
  <si>
    <t>DEDICAC. (Mes)</t>
  </si>
  <si>
    <t>SUELDO Y/O TARIFA MENSUAL</t>
  </si>
  <si>
    <t>DURACIÓN (Meses)</t>
  </si>
  <si>
    <t>IMPACTO (%)</t>
  </si>
  <si>
    <t>VALOR PARCIAL ($)</t>
  </si>
  <si>
    <t>A.01</t>
  </si>
  <si>
    <t>Director de obra</t>
  </si>
  <si>
    <t>A.02</t>
  </si>
  <si>
    <t>Especialista Estructural</t>
  </si>
  <si>
    <t>A.04</t>
  </si>
  <si>
    <t>Especialista Hidráulico</t>
  </si>
  <si>
    <t>A.05</t>
  </si>
  <si>
    <t>Profesional Civil (Residente de Obra)</t>
  </si>
  <si>
    <t>A.06</t>
  </si>
  <si>
    <t>Profesional Topógrafo</t>
  </si>
  <si>
    <t>A.10</t>
  </si>
  <si>
    <t>Profesional QHSE</t>
  </si>
  <si>
    <t>A.11</t>
  </si>
  <si>
    <t>Profesional Eléctrico</t>
  </si>
  <si>
    <t>Subtotal Costos Directos de Personal</t>
  </si>
  <si>
    <t>Factor Prestacional</t>
  </si>
  <si>
    <t>Total Costos Directos de Personal Incluyendo Factor Prestacional</t>
  </si>
  <si>
    <t>B</t>
  </si>
  <si>
    <t>OTROS COSTOS DIRECTOS</t>
  </si>
  <si>
    <t>B.01</t>
  </si>
  <si>
    <t>MES</t>
  </si>
  <si>
    <t>B.02</t>
  </si>
  <si>
    <t>Servicios Públicos</t>
  </si>
  <si>
    <t>B.03</t>
  </si>
  <si>
    <t>Gastos de oficina (papelería, mensajería, alquiler equipos de computo)</t>
  </si>
  <si>
    <t>B.04</t>
  </si>
  <si>
    <t>Vehículo camionetas pick up  doble cabina</t>
  </si>
  <si>
    <t>B.05</t>
  </si>
  <si>
    <t>Ensayos y pruebas</t>
  </si>
  <si>
    <t>B.07</t>
  </si>
  <si>
    <t>Instalaciones provisionales movilización y desmovilización- Dotación</t>
  </si>
  <si>
    <t>B.08</t>
  </si>
  <si>
    <t>B.09</t>
  </si>
  <si>
    <t>Alquiler de equipo de topografía</t>
  </si>
  <si>
    <t>Subtotal Otros Costos Directos</t>
  </si>
  <si>
    <t>C</t>
  </si>
  <si>
    <t>GARANTÍAS</t>
  </si>
  <si>
    <t>C.01</t>
  </si>
  <si>
    <t>Garantías</t>
  </si>
  <si>
    <t>D</t>
  </si>
  <si>
    <t>ESTAMPILLAS</t>
  </si>
  <si>
    <t>D.01</t>
  </si>
  <si>
    <t>Pro Cultura</t>
  </si>
  <si>
    <t>Unidad</t>
  </si>
  <si>
    <t>D.02</t>
  </si>
  <si>
    <t>D.03</t>
  </si>
  <si>
    <t>D.04</t>
  </si>
  <si>
    <t>D.05</t>
  </si>
  <si>
    <t>Pro Deporte</t>
  </si>
  <si>
    <t>D.06</t>
  </si>
  <si>
    <t>D.07</t>
  </si>
  <si>
    <t>Contribución Obras Públicas</t>
  </si>
  <si>
    <t>TOTAL COSTOS DIRECTOS DE PERSONAL + OTROS COSTOS DIRECTOS (A+B)</t>
  </si>
  <si>
    <t>AJUSTE</t>
  </si>
  <si>
    <t>VALOR TOTAL</t>
  </si>
  <si>
    <t>F.M.</t>
  </si>
  <si>
    <t>F.P</t>
  </si>
  <si>
    <t>FACTOR MULTIPLICADOR - FACTOR PRESTACIONAL</t>
  </si>
  <si>
    <t>SDLMV</t>
  </si>
  <si>
    <t>AUX TRANSPORTE M</t>
  </si>
  <si>
    <t>AUX TRANSPORTE D</t>
  </si>
  <si>
    <t>SUELDO ANUAL BASICO</t>
  </si>
  <si>
    <t>Salario Basico</t>
  </si>
  <si>
    <t>PRESTACIONES SOCIALES</t>
  </si>
  <si>
    <t>Auxilio de trasporte</t>
  </si>
  <si>
    <t>Primas anuales</t>
  </si>
  <si>
    <t>Cesantias anuales</t>
  </si>
  <si>
    <t>Intereses sobre las cesatias (mensual)</t>
  </si>
  <si>
    <t>Vacaciones anuales</t>
  </si>
  <si>
    <t>SEGURIDAD SOCIAL</t>
  </si>
  <si>
    <t>Pensión</t>
  </si>
  <si>
    <t>C.02</t>
  </si>
  <si>
    <t>Riesgos profesional</t>
  </si>
  <si>
    <t>C.03</t>
  </si>
  <si>
    <t>Salud</t>
  </si>
  <si>
    <t>APORTES PARAFISCALES</t>
  </si>
  <si>
    <t>Caja de compensación</t>
  </si>
  <si>
    <t>Aportes SENA</t>
  </si>
  <si>
    <t>Fondo Ind. Construcción</t>
  </si>
  <si>
    <t>Subsidio familiar</t>
  </si>
  <si>
    <t>Seguros de Ley</t>
  </si>
  <si>
    <t>ICBF</t>
  </si>
  <si>
    <t>E</t>
  </si>
  <si>
    <t>OTROS APORTES</t>
  </si>
  <si>
    <t>E.01</t>
  </si>
  <si>
    <t>E.02</t>
  </si>
  <si>
    <t>Seguro colectivo</t>
  </si>
  <si>
    <t>SUB TOTAL F.P.</t>
  </si>
  <si>
    <t>F</t>
  </si>
  <si>
    <t>IMPUESTOS Y ESTAMPILLAS</t>
  </si>
  <si>
    <t>F.01</t>
  </si>
  <si>
    <t>F.02</t>
  </si>
  <si>
    <t>F.03</t>
  </si>
  <si>
    <t>F.04</t>
  </si>
  <si>
    <t>F.05</t>
  </si>
  <si>
    <t>F.06</t>
  </si>
  <si>
    <t>F.07</t>
  </si>
  <si>
    <t xml:space="preserve"> </t>
  </si>
  <si>
    <t>G</t>
  </si>
  <si>
    <t>G.01</t>
  </si>
  <si>
    <t>Asesoria legal, contable y financiera permanente y personal técnico administrativo adicional</t>
  </si>
  <si>
    <t>G.02</t>
  </si>
  <si>
    <t>Seguros, incendio y robos</t>
  </si>
  <si>
    <t>G.03</t>
  </si>
  <si>
    <t>Salarios y prestaciones personal auxiliar (administrativo y Tecnico)</t>
  </si>
  <si>
    <t>G.04</t>
  </si>
  <si>
    <t>Gastos bancarios</t>
  </si>
  <si>
    <t>G.05</t>
  </si>
  <si>
    <t>Preparacion de propuestas</t>
  </si>
  <si>
    <t>G.06</t>
  </si>
  <si>
    <t>Servicios de Oficina Públicos y comunicaciones</t>
  </si>
  <si>
    <t>H</t>
  </si>
  <si>
    <t>PÓLIZAS</t>
  </si>
  <si>
    <t>H.01</t>
  </si>
  <si>
    <t>Calidad</t>
  </si>
  <si>
    <t>H.02</t>
  </si>
  <si>
    <t>Cumplimiento, anticipo y salarios</t>
  </si>
  <si>
    <t>H.03</t>
  </si>
  <si>
    <t>Seriedad de la propuesta</t>
  </si>
  <si>
    <t>Calculado</t>
  </si>
  <si>
    <t>Ajustado</t>
  </si>
  <si>
    <t>DESAGREGADO PÓLIZAS</t>
  </si>
  <si>
    <t xml:space="preserve">Valor del contrato: </t>
  </si>
  <si>
    <t xml:space="preserve">PESOS COLOMBIANOS </t>
  </si>
  <si>
    <t>Plazo de ejecucion (meses):</t>
  </si>
  <si>
    <t>Plazo de ejecucion (dias):</t>
  </si>
  <si>
    <t>AMPARO</t>
  </si>
  <si>
    <t xml:space="preserve">CUMPLIMIENTO </t>
  </si>
  <si>
    <t>BUEN MANEJO DEL ANTICIPO (100% DEL ANTICIPO)</t>
  </si>
  <si>
    <t>RESPONSABILIDAD EXTRACONTRACTUAL</t>
  </si>
  <si>
    <t>ESTABILIDAD DE LA OBRA</t>
  </si>
  <si>
    <t>SALARIOS Y PRESTACIONES</t>
  </si>
  <si>
    <t>VIGENCIA</t>
  </si>
  <si>
    <t>Término igual a la vigencia del contrato y 6 meses más.</t>
  </si>
  <si>
    <t>Término igual a cinco (5) años a partir del acta de recibo final</t>
  </si>
  <si>
    <t>Término de la vigencia del contrato y tres (3) años más.</t>
  </si>
  <si>
    <t>TASA</t>
  </si>
  <si>
    <t xml:space="preserve">VALOR ASEGURADO </t>
  </si>
  <si>
    <t>DÍAS ADICIONALES</t>
  </si>
  <si>
    <t>TOTAL DÍAS</t>
  </si>
  <si>
    <t>PRIMA</t>
  </si>
  <si>
    <t>Total Prima Neta:</t>
  </si>
  <si>
    <t>Gastos de Expedición:</t>
  </si>
  <si>
    <t>I.V.A.</t>
  </si>
  <si>
    <t>Total Prima:</t>
  </si>
  <si>
    <t>LISTA DE ANÁLISIS DE PRECIOS UNITARIOS</t>
  </si>
  <si>
    <t>APU</t>
  </si>
  <si>
    <t>NOMBRE</t>
  </si>
  <si>
    <t>EQUIPO</t>
  </si>
  <si>
    <t>MAT.</t>
  </si>
  <si>
    <t>TRANSP.</t>
  </si>
  <si>
    <t>M.O.</t>
  </si>
  <si>
    <t>COSTO</t>
  </si>
  <si>
    <t>G001</t>
  </si>
  <si>
    <t>G002</t>
  </si>
  <si>
    <t>G003</t>
  </si>
  <si>
    <t>G004</t>
  </si>
  <si>
    <t>G005</t>
  </si>
  <si>
    <t>G006</t>
  </si>
  <si>
    <t>G007</t>
  </si>
  <si>
    <t>G008</t>
  </si>
  <si>
    <t>G009</t>
  </si>
  <si>
    <t>G010</t>
  </si>
  <si>
    <t>G011</t>
  </si>
  <si>
    <t>G012</t>
  </si>
  <si>
    <t>G013</t>
  </si>
  <si>
    <t>G014</t>
  </si>
  <si>
    <t>G015</t>
  </si>
  <si>
    <t>G016</t>
  </si>
  <si>
    <t>G017</t>
  </si>
  <si>
    <t>G018</t>
  </si>
  <si>
    <t>G019</t>
  </si>
  <si>
    <t>G020</t>
  </si>
  <si>
    <t>G021</t>
  </si>
  <si>
    <t>G022</t>
  </si>
  <si>
    <t>G023</t>
  </si>
  <si>
    <t>G024</t>
  </si>
  <si>
    <t>G025</t>
  </si>
  <si>
    <t>G026</t>
  </si>
  <si>
    <t>G027</t>
  </si>
  <si>
    <t>G028</t>
  </si>
  <si>
    <t>G029</t>
  </si>
  <si>
    <t>G030</t>
  </si>
  <si>
    <t>G031</t>
  </si>
  <si>
    <t>G032</t>
  </si>
  <si>
    <t>G033</t>
  </si>
  <si>
    <t>G034</t>
  </si>
  <si>
    <t>G035</t>
  </si>
  <si>
    <t>G036</t>
  </si>
  <si>
    <t>G037</t>
  </si>
  <si>
    <t>G038</t>
  </si>
  <si>
    <t>G039</t>
  </si>
  <si>
    <t>G040</t>
  </si>
  <si>
    <t>G041</t>
  </si>
  <si>
    <t>G042</t>
  </si>
  <si>
    <t>G043</t>
  </si>
  <si>
    <t>G044</t>
  </si>
  <si>
    <t>G045</t>
  </si>
  <si>
    <t>G046</t>
  </si>
  <si>
    <t>G047</t>
  </si>
  <si>
    <t>G048</t>
  </si>
  <si>
    <t>G049</t>
  </si>
  <si>
    <t>G050</t>
  </si>
  <si>
    <t>G051</t>
  </si>
  <si>
    <t>G052</t>
  </si>
  <si>
    <t>G053</t>
  </si>
  <si>
    <t>G054</t>
  </si>
  <si>
    <t>G055</t>
  </si>
  <si>
    <t>G056</t>
  </si>
  <si>
    <t>G057</t>
  </si>
  <si>
    <t>G058</t>
  </si>
  <si>
    <t>G059</t>
  </si>
  <si>
    <t>G060</t>
  </si>
  <si>
    <t>G061</t>
  </si>
  <si>
    <t>G062</t>
  </si>
  <si>
    <t>G063</t>
  </si>
  <si>
    <t>G064</t>
  </si>
  <si>
    <t>G065</t>
  </si>
  <si>
    <t>G066</t>
  </si>
  <si>
    <t>G067</t>
  </si>
  <si>
    <t>G068</t>
  </si>
  <si>
    <t>G069</t>
  </si>
  <si>
    <t>G070</t>
  </si>
  <si>
    <t>G071</t>
  </si>
  <si>
    <t>G072</t>
  </si>
  <si>
    <t>G073</t>
  </si>
  <si>
    <t>G074</t>
  </si>
  <si>
    <t>G075</t>
  </si>
  <si>
    <t>G076</t>
  </si>
  <si>
    <t>G077</t>
  </si>
  <si>
    <t>G078</t>
  </si>
  <si>
    <t>G079</t>
  </si>
  <si>
    <t>G080</t>
  </si>
  <si>
    <t>G081</t>
  </si>
  <si>
    <t>G082</t>
  </si>
  <si>
    <t>G083</t>
  </si>
  <si>
    <t>G084</t>
  </si>
  <si>
    <t>G085</t>
  </si>
  <si>
    <t>G086</t>
  </si>
  <si>
    <t>G087</t>
  </si>
  <si>
    <t>G088</t>
  </si>
  <si>
    <t>G089</t>
  </si>
  <si>
    <t>G090</t>
  </si>
  <si>
    <t>G091</t>
  </si>
  <si>
    <t>G092</t>
  </si>
  <si>
    <t>G093</t>
  </si>
  <si>
    <t>G094</t>
  </si>
  <si>
    <t>G095</t>
  </si>
  <si>
    <t>G096</t>
  </si>
  <si>
    <t>G097</t>
  </si>
  <si>
    <t>G098</t>
  </si>
  <si>
    <t>G099</t>
  </si>
  <si>
    <t>G100</t>
  </si>
  <si>
    <t>G101</t>
  </si>
  <si>
    <t>G102</t>
  </si>
  <si>
    <t>G103</t>
  </si>
  <si>
    <t>G104</t>
  </si>
  <si>
    <t>G105</t>
  </si>
  <si>
    <t>G106</t>
  </si>
  <si>
    <t>G107</t>
  </si>
  <si>
    <t>G108</t>
  </si>
  <si>
    <t>G109</t>
  </si>
  <si>
    <t>G110</t>
  </si>
  <si>
    <t>G111</t>
  </si>
  <si>
    <t>G112</t>
  </si>
  <si>
    <t>G113</t>
  </si>
  <si>
    <t>G114</t>
  </si>
  <si>
    <t>G115</t>
  </si>
  <si>
    <t>G116</t>
  </si>
  <si>
    <t>G117</t>
  </si>
  <si>
    <t>G118</t>
  </si>
  <si>
    <t>G119</t>
  </si>
  <si>
    <t>G120</t>
  </si>
  <si>
    <t>G121</t>
  </si>
  <si>
    <t>G122</t>
  </si>
  <si>
    <t>G123</t>
  </si>
  <si>
    <t>G124</t>
  </si>
  <si>
    <t>G125</t>
  </si>
  <si>
    <t>G126</t>
  </si>
  <si>
    <t>G127</t>
  </si>
  <si>
    <t>G128</t>
  </si>
  <si>
    <t>G129</t>
  </si>
  <si>
    <t>G130</t>
  </si>
  <si>
    <t>G131</t>
  </si>
  <si>
    <t>G132</t>
  </si>
  <si>
    <t>G133</t>
  </si>
  <si>
    <t>G134</t>
  </si>
  <si>
    <t>G135</t>
  </si>
  <si>
    <t>G136</t>
  </si>
  <si>
    <t>G137</t>
  </si>
  <si>
    <t>G138</t>
  </si>
  <si>
    <t>G139</t>
  </si>
  <si>
    <t>G140</t>
  </si>
  <si>
    <t>G141</t>
  </si>
  <si>
    <t>G142</t>
  </si>
  <si>
    <t>G143</t>
  </si>
  <si>
    <t>G144</t>
  </si>
  <si>
    <t>G145</t>
  </si>
  <si>
    <t>G146</t>
  </si>
  <si>
    <t>G147</t>
  </si>
  <si>
    <t>G148</t>
  </si>
  <si>
    <t>G149</t>
  </si>
  <si>
    <t>G150</t>
  </si>
  <si>
    <t>G151</t>
  </si>
  <si>
    <t>G152</t>
  </si>
  <si>
    <t>G153</t>
  </si>
  <si>
    <t>G154</t>
  </si>
  <si>
    <t>G155</t>
  </si>
  <si>
    <t>G156</t>
  </si>
  <si>
    <t>G157</t>
  </si>
  <si>
    <t>G158</t>
  </si>
  <si>
    <t>G159</t>
  </si>
  <si>
    <t>G160</t>
  </si>
  <si>
    <t>G161</t>
  </si>
  <si>
    <t>G162</t>
  </si>
  <si>
    <t>G163</t>
  </si>
  <si>
    <t>G164</t>
  </si>
  <si>
    <t>G165</t>
  </si>
  <si>
    <t>G166</t>
  </si>
  <si>
    <t>G167</t>
  </si>
  <si>
    <t>G168</t>
  </si>
  <si>
    <t>G169</t>
  </si>
  <si>
    <t>G170</t>
  </si>
  <si>
    <t>G171</t>
  </si>
  <si>
    <t>G172</t>
  </si>
  <si>
    <t>G173</t>
  </si>
  <si>
    <t>G174</t>
  </si>
  <si>
    <t>G175</t>
  </si>
  <si>
    <t>G176</t>
  </si>
  <si>
    <t>G177</t>
  </si>
  <si>
    <t>G178</t>
  </si>
  <si>
    <t>G179</t>
  </si>
  <si>
    <t>G180</t>
  </si>
  <si>
    <t>G181</t>
  </si>
  <si>
    <t>G182</t>
  </si>
  <si>
    <t>G183</t>
  </si>
  <si>
    <t>G184</t>
  </si>
  <si>
    <t>G185</t>
  </si>
  <si>
    <t>G186</t>
  </si>
  <si>
    <t>G187</t>
  </si>
  <si>
    <t>G188</t>
  </si>
  <si>
    <t>G189</t>
  </si>
  <si>
    <t>G190</t>
  </si>
  <si>
    <t>G191</t>
  </si>
  <si>
    <t>G192</t>
  </si>
  <si>
    <t>G193</t>
  </si>
  <si>
    <t>G194</t>
  </si>
  <si>
    <t>G195</t>
  </si>
  <si>
    <t>G196</t>
  </si>
  <si>
    <t>G197</t>
  </si>
  <si>
    <t>G198</t>
  </si>
  <si>
    <t>G199</t>
  </si>
  <si>
    <t>G200</t>
  </si>
  <si>
    <t>G201</t>
  </si>
  <si>
    <t>G202</t>
  </si>
  <si>
    <t>G203</t>
  </si>
  <si>
    <t>G204</t>
  </si>
  <si>
    <t>G205</t>
  </si>
  <si>
    <t>G206</t>
  </si>
  <si>
    <t>G207</t>
  </si>
  <si>
    <t>G208</t>
  </si>
  <si>
    <t>G209</t>
  </si>
  <si>
    <t>G210</t>
  </si>
  <si>
    <t>G211</t>
  </si>
  <si>
    <t>G212</t>
  </si>
  <si>
    <t>G213</t>
  </si>
  <si>
    <t>G214</t>
  </si>
  <si>
    <t>G215</t>
  </si>
  <si>
    <t>G216</t>
  </si>
  <si>
    <t>G217</t>
  </si>
  <si>
    <t>G218</t>
  </si>
  <si>
    <t>G219</t>
  </si>
  <si>
    <t>G220</t>
  </si>
  <si>
    <t>G221</t>
  </si>
  <si>
    <t>G222</t>
  </si>
  <si>
    <t>G223</t>
  </si>
  <si>
    <t>G224</t>
  </si>
  <si>
    <t>G225</t>
  </si>
  <si>
    <t>G226</t>
  </si>
  <si>
    <t>G227</t>
  </si>
  <si>
    <t>G228</t>
  </si>
  <si>
    <t>G229</t>
  </si>
  <si>
    <t>G230</t>
  </si>
  <si>
    <t>G231</t>
  </si>
  <si>
    <t>G232</t>
  </si>
  <si>
    <t>G233</t>
  </si>
  <si>
    <t>G234</t>
  </si>
  <si>
    <t>G235</t>
  </si>
  <si>
    <t>G236</t>
  </si>
  <si>
    <t>G237</t>
  </si>
  <si>
    <t>G238</t>
  </si>
  <si>
    <t>G239</t>
  </si>
  <si>
    <t>G240</t>
  </si>
  <si>
    <t>G241</t>
  </si>
  <si>
    <t>G242</t>
  </si>
  <si>
    <t>G243</t>
  </si>
  <si>
    <t>G244</t>
  </si>
  <si>
    <t>G245</t>
  </si>
  <si>
    <t>G246</t>
  </si>
  <si>
    <t>G247</t>
  </si>
  <si>
    <t>G248</t>
  </si>
  <si>
    <t>G249</t>
  </si>
  <si>
    <t>G250</t>
  </si>
  <si>
    <t>G251</t>
  </si>
  <si>
    <t>G252</t>
  </si>
  <si>
    <t>G253</t>
  </si>
  <si>
    <t>G254</t>
  </si>
  <si>
    <t>G255</t>
  </si>
  <si>
    <t>G256</t>
  </si>
  <si>
    <t>G257</t>
  </si>
  <si>
    <t>G258</t>
  </si>
  <si>
    <t>G259</t>
  </si>
  <si>
    <t>G260</t>
  </si>
  <si>
    <t>G261</t>
  </si>
  <si>
    <t>G262</t>
  </si>
  <si>
    <t>G263</t>
  </si>
  <si>
    <t>G264</t>
  </si>
  <si>
    <t>G265</t>
  </si>
  <si>
    <t>G266</t>
  </si>
  <si>
    <t>G267</t>
  </si>
  <si>
    <t>G268</t>
  </si>
  <si>
    <t>G269</t>
  </si>
  <si>
    <t>G270</t>
  </si>
  <si>
    <t>G271</t>
  </si>
  <si>
    <t>G272</t>
  </si>
  <si>
    <t>G273</t>
  </si>
  <si>
    <t>G274</t>
  </si>
  <si>
    <t>G275</t>
  </si>
  <si>
    <t>G276</t>
  </si>
  <si>
    <t>G277</t>
  </si>
  <si>
    <t>G278</t>
  </si>
  <si>
    <t>G279</t>
  </si>
  <si>
    <t>G280</t>
  </si>
  <si>
    <t>G281</t>
  </si>
  <si>
    <t>G282</t>
  </si>
  <si>
    <t>G283</t>
  </si>
  <si>
    <t>G284</t>
  </si>
  <si>
    <t>G285</t>
  </si>
  <si>
    <t>G286</t>
  </si>
  <si>
    <t>G287</t>
  </si>
  <si>
    <t>G288</t>
  </si>
  <si>
    <t>G289</t>
  </si>
  <si>
    <t>G290</t>
  </si>
  <si>
    <t>G291</t>
  </si>
  <si>
    <t>G292</t>
  </si>
  <si>
    <t>G293</t>
  </si>
  <si>
    <t>G294</t>
  </si>
  <si>
    <t>G295</t>
  </si>
  <si>
    <t>G296</t>
  </si>
  <si>
    <t>G297</t>
  </si>
  <si>
    <t>G298</t>
  </si>
  <si>
    <t>G299</t>
  </si>
  <si>
    <t>G300</t>
  </si>
  <si>
    <t>G301</t>
  </si>
  <si>
    <t>G302</t>
  </si>
  <si>
    <t>G303</t>
  </si>
  <si>
    <t>G304</t>
  </si>
  <si>
    <t>UNIDAD:</t>
  </si>
  <si>
    <t>M</t>
  </si>
  <si>
    <t>MATERIAL</t>
  </si>
  <si>
    <t>A - MATERIALES</t>
  </si>
  <si>
    <t>TARIFA</t>
  </si>
  <si>
    <t>SUB - TOTAL</t>
  </si>
  <si>
    <t>Estaca</t>
  </si>
  <si>
    <t>Pintura en aceite</t>
  </si>
  <si>
    <t>Clavo de alta velocidad 1/4"X2"</t>
  </si>
  <si>
    <t>Cinta señalización</t>
  </si>
  <si>
    <t>B - HERRAMIENTA, MAQUINARIA Y EQUIPO</t>
  </si>
  <si>
    <t>Herramienta Menor</t>
  </si>
  <si>
    <t>Equipo de topografía; (Incluye: estación total, 2 prismas y dos radios, con certificación de calibración máximo de 6 meses)</t>
  </si>
  <si>
    <t>C - TRANSPORTE</t>
  </si>
  <si>
    <t>Transporte</t>
  </si>
  <si>
    <t>D - MANO DE OBRA</t>
  </si>
  <si>
    <t>REND.</t>
  </si>
  <si>
    <t>Comisión de Topografía</t>
  </si>
  <si>
    <t>M2</t>
  </si>
  <si>
    <t>Cuerda de Naylon 0.5 mm</t>
  </si>
  <si>
    <t>Cuadrilla 1: 1 Ayudante A</t>
  </si>
  <si>
    <t>EXCAVACIÓN MECÁNICA EN SECO PARA MATERIAL COMÚN A TODO COSTO (INCLUYE MANO DE OBRA)</t>
  </si>
  <si>
    <t>Retroexcavadora de llanta, balde estandar</t>
  </si>
  <si>
    <t>Transporte de equipos y herramientas</t>
  </si>
  <si>
    <t>% Maq y Equi</t>
  </si>
  <si>
    <t>Retroexcavadora de orugas balde estandar</t>
  </si>
  <si>
    <t>Motobomba succion y descargas  (incluye combustible)</t>
  </si>
  <si>
    <t>Transporte de Maquinaria y Equipo</t>
  </si>
  <si>
    <t>% M y E</t>
  </si>
  <si>
    <t>EXCAVACION MECANICA H= 4.0 A 8.0 MTS</t>
  </si>
  <si>
    <t>Cerco de 3x0,05x0,10</t>
  </si>
  <si>
    <t>Puntilla de 2" c/cabeza</t>
  </si>
  <si>
    <t>Tabla comun de 3x0,25x0,02m</t>
  </si>
  <si>
    <t>Transporte de Materiales</t>
  </si>
  <si>
    <t>% Mat</t>
  </si>
  <si>
    <t>Cuadrilla 5: 1 OfcA + 1 AyuA</t>
  </si>
  <si>
    <t>Apisonador tipo canguro, incluye combustible</t>
  </si>
  <si>
    <t>Cemento gris</t>
  </si>
  <si>
    <t>Arena triturada pasante 3/8"</t>
  </si>
  <si>
    <t>Triturado pasante de 3/4" retenido en 3/8"</t>
  </si>
  <si>
    <t>Agua</t>
  </si>
  <si>
    <t>Mezcladora Diesel (1.5 - 2.0 BTOS) incluye combustible</t>
  </si>
  <si>
    <t>Transporte de equipos y maquinaria</t>
  </si>
  <si>
    <t>% H,M,E</t>
  </si>
  <si>
    <t>Transporte de material</t>
  </si>
  <si>
    <t>Km/M3</t>
  </si>
  <si>
    <t>Cuadrilla 8: 1 OfcA + 4 AyuA</t>
  </si>
  <si>
    <t>Formaleta en madera x m2 4 usos</t>
  </si>
  <si>
    <t>Vibrador de Mezcla (diesel) incluye combustible</t>
  </si>
  <si>
    <t>Transporte de maquinaria y equipos</t>
  </si>
  <si>
    <t>Transporte de materiales</t>
  </si>
  <si>
    <t>KM/M3</t>
  </si>
  <si>
    <t>KM/M</t>
  </si>
  <si>
    <t>KG</t>
  </si>
  <si>
    <t>Acero de refuerzo de 60000 PSI</t>
  </si>
  <si>
    <t>Alambre negro calibre 17</t>
  </si>
  <si>
    <t>% MAT</t>
  </si>
  <si>
    <t>Cuadrilla 6: 1 OfcA + 2 AyuA</t>
  </si>
  <si>
    <t>Subbase granular</t>
  </si>
  <si>
    <t>Base granular</t>
  </si>
  <si>
    <t>% Maq y Eq</t>
  </si>
  <si>
    <t>SUMINISTRO E INSTALACIÓN DE GEOTEXTIL NO TEJIDO 2000 O SIMILARES</t>
  </si>
  <si>
    <t>Geotextil NT 2000 no tejido</t>
  </si>
  <si>
    <t xml:space="preserve">Cuadrilla 2: 2 Ayudantes A </t>
  </si>
  <si>
    <t>SUMINISTRO E INSTALACION DE TUBERÍA PVC D=4"</t>
  </si>
  <si>
    <t>ML</t>
  </si>
  <si>
    <t>Tuberia PVC sanitaria de D=4"</t>
  </si>
  <si>
    <t>Codo de 4" x 90° sanitaria CxC</t>
  </si>
  <si>
    <t>Soldadura para PVC 1/4 Galon</t>
  </si>
  <si>
    <t>Limpiador PVC 1/4 Galon</t>
  </si>
  <si>
    <t>Cuadrilla 17: 1 OfcB + 1 AyuB</t>
  </si>
  <si>
    <t>Concreto simple 3000 PSI a todo costo</t>
  </si>
  <si>
    <t>Concreto ciclopeo de 2500 PSI a todo costo</t>
  </si>
  <si>
    <t>Malla eslabonada calibre 10 rombo de 2 1/4"</t>
  </si>
  <si>
    <t>Angulo de 1 1/2" x 1 1/2" x 1/4"</t>
  </si>
  <si>
    <t>Platina de 1" x 1/8"</t>
  </si>
  <si>
    <t>Alambre de puas calibre 12,5 - rollo 350m-32,8 kilos</t>
  </si>
  <si>
    <t>Soldadura E-6013</t>
  </si>
  <si>
    <t>Tuberia A.N 2" cal 16 para cerramiento</t>
  </si>
  <si>
    <t>Pintura anticorrosiva</t>
  </si>
  <si>
    <t>Ladrillo prensado a la vista</t>
  </si>
  <si>
    <t>Suministro e instalacion de mortero 1:4</t>
  </si>
  <si>
    <t>CAJAS DE INSPECCIÓN 0,60X0,60m</t>
  </si>
  <si>
    <t>UND</t>
  </si>
  <si>
    <t>Concreto de 3000 PSI impermeabilizado</t>
  </si>
  <si>
    <t>Acero de refuerzo de 60000 PSI cortado y figurado</t>
  </si>
  <si>
    <t>Polin de 2,90x0,05x0,05m</t>
  </si>
  <si>
    <t>CONFORMACIÓN Y EMPRADIZACIÓN</t>
  </si>
  <si>
    <t>Mezcla de semilla para grama</t>
  </si>
  <si>
    <t>Tierra vegetal cribada, suministrada a granel</t>
  </si>
  <si>
    <t>Mantillo limpio cribado</t>
  </si>
  <si>
    <t>Abono para presiembra de grama</t>
  </si>
  <si>
    <t>Rodillo ligero</t>
  </si>
  <si>
    <t>Motocultor 60/80 cm</t>
  </si>
  <si>
    <t>Recebo común</t>
  </si>
  <si>
    <t>M3/KM</t>
  </si>
  <si>
    <t>Transporte de Maquinaria y Equipos</t>
  </si>
  <si>
    <t>Malla electrosoldada 15x15cm 4mm</t>
  </si>
  <si>
    <t>Impermeabilizante para mortero (SIKA-1)</t>
  </si>
  <si>
    <t>Transporte de Maquinaria y equipos</t>
  </si>
  <si>
    <t>Caja de 2x1x1m de malla de triple torsion hexagonal de 50x70mm, de alambre de acero galvanizado de 2mm para gavión</t>
  </si>
  <si>
    <t>Cable de acero de 2mm de diametros para sujeción de malla</t>
  </si>
  <si>
    <t>Tablón de madera de pino de 20x7,2cm</t>
  </si>
  <si>
    <t>Clavos de acero</t>
  </si>
  <si>
    <t>Tubo de PVC serie B de 75mm y 3mm de espesor</t>
  </si>
  <si>
    <t>Piedra caliza de granulometria entre 100 y 200 mm</t>
  </si>
  <si>
    <t>Camión basculante 12T (Incluye combustible)</t>
  </si>
  <si>
    <t>Suministro e instalacion de mortero 1:4 impermeabilizado</t>
  </si>
  <si>
    <t>Suministro e instalacion de tableta industrial para piso</t>
  </si>
  <si>
    <t>M3-KM</t>
  </si>
  <si>
    <t>Transporte de material sobrante</t>
  </si>
  <si>
    <t>M3/Km</t>
  </si>
  <si>
    <t>Tuberia HG 1 1/2"</t>
  </si>
  <si>
    <t>Platina de 4 x 3/16"</t>
  </si>
  <si>
    <t>Reduccion acero negro 1" 200 PSI roscar</t>
  </si>
  <si>
    <t>Soldadura electrica 0,004 Kg de 3/23"</t>
  </si>
  <si>
    <t>Equipo de soldadura</t>
  </si>
  <si>
    <t>%M y E</t>
  </si>
  <si>
    <t>Cuadrilla Soldadura</t>
  </si>
  <si>
    <t>Placa de anclaje de acero galvanizado para fijación</t>
  </si>
  <si>
    <t>Fijación compuesta por chazo quimico, arandela y tornillo de acero de 12mm</t>
  </si>
  <si>
    <t>Linea de anclaje flexible, absorbedor de energia, tensor, cordones etc</t>
  </si>
  <si>
    <t>Tableta cerámica para piso de alto tráfico</t>
  </si>
  <si>
    <t>Pegacor, fijador de cerámica</t>
  </si>
  <si>
    <t>Boquilla para pisos y enchapes</t>
  </si>
  <si>
    <t>Cuadrilla 26:  1 OfcD - 1 AyuD</t>
  </si>
  <si>
    <t>Tableta cerámica para pared 25x40cm</t>
  </si>
  <si>
    <t>Pintura vinilo T1 para muros</t>
  </si>
  <si>
    <t>Pintura esmalte anticorrosivo negro, para puertas y ventanas</t>
  </si>
  <si>
    <t>Kit de señalizacion x16</t>
  </si>
  <si>
    <t>Pintura epóxica gris (Componentes: pintura + catalizador)</t>
  </si>
  <si>
    <t>Disolvente thinner</t>
  </si>
  <si>
    <t>Bomba sumergible para achique de aguas con 2HP</t>
  </si>
  <si>
    <t>Manguera de descarga PVC plana azul 58 PSI para bomba sumergible</t>
  </si>
  <si>
    <t>Kit de acople conexión rápida para bomba sumergible</t>
  </si>
  <si>
    <t>Bomba 7 HP lapicero</t>
  </si>
  <si>
    <t>Bomba centrifuga 7,5 HP</t>
  </si>
  <si>
    <t>Bomba centrifuga 20 HP</t>
  </si>
  <si>
    <t>Bomba centrifuga 25 HP</t>
  </si>
  <si>
    <t>Pluma de grúa hidráulica 2TON</t>
  </si>
  <si>
    <t>Paso para escalera de gato en varilla PRD-60 de 3/4" recubierta con material de polipropileno de alto impacto antideslizante con anclaje dentado, refuerzo, y tranca pie. Longitud 0,30 m para soporte de pie y dos ancles de 0,30 m</t>
  </si>
  <si>
    <t>Taladro rotopercutor hasta 1 1/4"</t>
  </si>
  <si>
    <t>Compresor redondo</t>
  </si>
  <si>
    <t>SUMINISTRO E INSTALACIÓN DE UNION UNIVERSAL Ø4 EN HIERRO DUCTIL</t>
  </si>
  <si>
    <t>Unión universal Ø4 en hierro ductil</t>
  </si>
  <si>
    <t>SUMINISTRO E INSTALACIÓN DE UNION UNIVERSAL Ø6 EN HIERRO DUCTIL</t>
  </si>
  <si>
    <t>Unión universal Ø6 en hierro ductil</t>
  </si>
  <si>
    <t>SUMINISTRO E INSTALACIÓN DE TAPÓN HEMBRA Ø4 EN HIERRO DUCTIL</t>
  </si>
  <si>
    <t>Tapón hembra Ø4 en hierro ductil</t>
  </si>
  <si>
    <t>SUMINISTRO E INSTALACIÓN DE TAPÓN HEMBRA Ø6 EN HIERRO DUCTIL</t>
  </si>
  <si>
    <t>Tapón hembra Ø6 en hierro ductil</t>
  </si>
  <si>
    <t>SUMINISTRO E INSTALACIÓN DE TAPÓN MACHO Ø4 EN HIERRO DUCTIL</t>
  </si>
  <si>
    <t>Tapón macho Ø4 en hierro ductil</t>
  </si>
  <si>
    <t>SUMINISTRO E INSTALACIÓN DE TAPÓN MACHO Ø6 EN HIERRO DUCTIL</t>
  </si>
  <si>
    <t>Tapón macho Ø6 en hierro ductil</t>
  </si>
  <si>
    <t>SUMINISTRO E INSTALACIÓN DE CHEQUE Ø4 EN HIERRO DUCTIL</t>
  </si>
  <si>
    <t>Válvula cheque asiento elastico Ø4 en hierro ductil</t>
  </si>
  <si>
    <t>SUMINISTRO E INSTALACIÓN DE CHEQUE Ø6 EN HIERRO DUCTIL</t>
  </si>
  <si>
    <t>Válvula cheque asiento elastico Ø6 en hierro ductil</t>
  </si>
  <si>
    <t>SUMINISTRO E INSTALACIÓN DE YEE Ø4 EN HIERRO DUCTIL</t>
  </si>
  <si>
    <t>Yee Ø4 en hierro ductil</t>
  </si>
  <si>
    <t>SUMINISTRO E INSTALACIÓN DE YEE Ø6 EN HIERRO DUCTIL</t>
  </si>
  <si>
    <t>Yee Ø6 en hierro ductil</t>
  </si>
  <si>
    <t>SUMINISTRO E INSTALACIÓN DE TEE Ø6 EN HIERRO DUCTIL</t>
  </si>
  <si>
    <t>Tee Ø6 en hierro ductil</t>
  </si>
  <si>
    <t>Válvula compuerta con volante bridada Ø4 en hierro ductil</t>
  </si>
  <si>
    <t>Válvula compuerta con volante bridada Ø6 en hierro ductil</t>
  </si>
  <si>
    <t>Niple 0,25m Ø4 en hierro ductil</t>
  </si>
  <si>
    <t>SUMINISTRO E INSTALACIÓN DE NIPLE DE 0,25 M Ø6 EN HIERRO DUCTIL</t>
  </si>
  <si>
    <t>Niple 0,25m Ø6 en hierro ductil</t>
  </si>
  <si>
    <t>SUMINISTRO E INSTALACIÓN DE NIPLE DE 0,5 M Ø4 EN HIERRO DUCTIL</t>
  </si>
  <si>
    <t>Niple 0,5m Ø4 en hierro ductil</t>
  </si>
  <si>
    <t>SUMINISTRO E INSTALACIÓN DE NIPLE DE 0,5 M Ø6 EN HIERRO DUCTIL</t>
  </si>
  <si>
    <t>Lámina de alfajor de 2,5mm cal 14</t>
  </si>
  <si>
    <t>Angulo de 1 1/2" x 1 1/2" x 1/8"</t>
  </si>
  <si>
    <t>Varilla de 1/2" corrugada (1Kg/ml)</t>
  </si>
  <si>
    <t>Compresor de pintura</t>
  </si>
  <si>
    <t>Cuadrilla 9: 1 OfcA + 5 AyuA</t>
  </si>
  <si>
    <t>Regleta para aforo y medición de caudal (Limnimétrica)</t>
  </si>
  <si>
    <t>Vertedero</t>
  </si>
  <si>
    <r>
      <rPr>
        <b/>
        <sz val="10"/>
        <color theme="0"/>
        <rFont val="Century Gothic"/>
        <family val="2"/>
      </rPr>
      <t xml:space="preserve">SUMINISTRO E INSTALACIÓN DE NIPLE PASAMURO DE </t>
    </r>
    <r>
      <rPr>
        <b/>
        <sz val="10"/>
        <color theme="0"/>
        <rFont val="Calibri"/>
        <family val="2"/>
      </rPr>
      <t>Ø</t>
    </r>
    <r>
      <rPr>
        <b/>
        <sz val="10"/>
        <color theme="0"/>
        <rFont val="Century Gothic"/>
        <family val="2"/>
      </rPr>
      <t>4" EN HIERRO DUCTIL (INCLUYE MATERIALES, HERRAMIENTAS Y MANO DE OBRA)</t>
    </r>
  </si>
  <si>
    <t>Niple pasamuro Ø4 (0 - 1M)</t>
  </si>
  <si>
    <r>
      <rPr>
        <b/>
        <sz val="10"/>
        <color theme="0"/>
        <rFont val="Century Gothic"/>
        <family val="2"/>
      </rPr>
      <t xml:space="preserve">SUMINISTRO E INSTALACIÓN DE NIPLE PASAMURO DE </t>
    </r>
    <r>
      <rPr>
        <b/>
        <sz val="10"/>
        <color theme="0"/>
        <rFont val="Calibri"/>
        <family val="2"/>
      </rPr>
      <t>Ø6"</t>
    </r>
    <r>
      <rPr>
        <b/>
        <sz val="10"/>
        <color theme="0"/>
        <rFont val="Century Gothic"/>
        <family val="2"/>
      </rPr>
      <t xml:space="preserve"> EN HIERRO DUCTIL (INCLUYE MATERIALES, HERRAMIENTAS Y MANO DE OBRA)</t>
    </r>
  </si>
  <si>
    <t>Niple pasamuro Ø6 (0 - 1M)</t>
  </si>
  <si>
    <t>Módulo de sedimentación acelerada</t>
  </si>
  <si>
    <t>Andamio metálico tubular (2 secciones de 1,50 x 1,50 m)</t>
  </si>
  <si>
    <t>Cuadrilla 19: 1 OfcB + 3 AyuB</t>
  </si>
  <si>
    <t>Estructura de soporte para falso fondo en acero estructural ASTM-572 GR 50</t>
  </si>
  <si>
    <t>Falso fondo para módulo de sedimentación</t>
  </si>
  <si>
    <t>Compuerta deslizante con rueda de manejo y vastago ascendente Ø6" en hierro ductil</t>
  </si>
  <si>
    <t>Cuadrilla 18: 1 OfcB + 2 AyuB</t>
  </si>
  <si>
    <t>GRAVILLA PARA ATRAQUES DE TUBERÍA O LECHOS</t>
  </si>
  <si>
    <t>Gravilla para lecho filtrante</t>
  </si>
  <si>
    <t>SUMINISTRO E INSTALACIÓN DE TEE Ø2" EN HIERRO DUCTIL (INCLUYE MATERIALES, HERRAMIENTAS Y MANO DE OBRA)</t>
  </si>
  <si>
    <t>Tee Ø2" en hierro ductil</t>
  </si>
  <si>
    <t>Lubricante 500 gr</t>
  </si>
  <si>
    <t>Cuadrilla 3: 3 Ayudantes A</t>
  </si>
  <si>
    <t>SUMINISTRO E INSTALACIÓN DE TEE Ø3" EN HIERRO DUCTIL (INCLUYE MATERIALES, HERRAMIENTAS Y MANO DE OBRA)</t>
  </si>
  <si>
    <t>Tee Ø3" en hierro ductil</t>
  </si>
  <si>
    <t>SUMINISTRO E INSTALACIÓN DE PASAMURO L= 0,25m Ø2" EN HIERRO DUCTIL</t>
  </si>
  <si>
    <t>Niple pasamuro L= 0,25m Ø2" en hierro ductil</t>
  </si>
  <si>
    <t>SUMINISTRO E INSTALACIÓN DE PASAMURO L= 0,50m Ø2" EN HIERRO DUCTIL</t>
  </si>
  <si>
    <t>Niple pasamuro L= 0,50m Ø2" en hierro ductil</t>
  </si>
  <si>
    <t>SUMINISTRO E INSTALACIÓN DE PASAMURO L= 1m Ø2" EN HIERRO DUCTIL</t>
  </si>
  <si>
    <t>Niple pasamuro L= 1m Ø2" en hierro ductil</t>
  </si>
  <si>
    <t>SUMINISTRO E INSTALACIÓN DE PASAMURO L= 0,25m Ø3" EN HIERRO DUCTIL</t>
  </si>
  <si>
    <t>Niple pasamuro L= 0,25m Ø3" en hierro ductil</t>
  </si>
  <si>
    <t>SUMINISTRO E INSTALACIÓN DE PASAMURO L= 0,50m Ø3" EN HIERRO DUCTIL</t>
  </si>
  <si>
    <t>Niple pasamuro L= 0,50m Ø3" en hierro ductil</t>
  </si>
  <si>
    <t>SUMINISTRO E INSTALACIÓN DE PASAMURO L= 1m Ø3" EN HIERRO DUCTIL</t>
  </si>
  <si>
    <t>Niple pasamuro L= 1m Ø3" en hierro ductil</t>
  </si>
  <si>
    <t>SUMINISTRO E INSTALACIÓN DE PASAMURO L= 0,25m Ø4" EN HIERRO DUCTIL</t>
  </si>
  <si>
    <t>Niple pasamuro L= 0,25m Ø4" en hierro ductil</t>
  </si>
  <si>
    <t>SUMINISTRO E INSTALACIÓN DE PASAMURO L= 0,50m Ø4" EN HIERRO DUCTIL</t>
  </si>
  <si>
    <t>Niple pasamuro L= 0,50m Ø4" en hierro ductil</t>
  </si>
  <si>
    <t>SUMINISTRO E INSTALACIÓN DE PASAMURO L= 1m Ø4" EN HIERRO DUCTIL</t>
  </si>
  <si>
    <t>Niple pasamuro L= 1m Ø4" en hierro ductil</t>
  </si>
  <si>
    <t>SUMINISTRO E INSTALACIÓN DE VÁLVULA COMPUERTA CON VOLANTE Ø2" EN HIERRO DUCTIL</t>
  </si>
  <si>
    <t>Válvula compuerta con volante bridada Ø2" en hierro ductil</t>
  </si>
  <si>
    <t>Válvula compuerta con volante bridada Ø3" en hierro ductil</t>
  </si>
  <si>
    <t>SUMINISTRO E INSTALACIÓN DE NIPLE DE 0,25M Ø2" EN HIERRO DUCTIL</t>
  </si>
  <si>
    <t>Niple 0,25m Ø2" en hierro ductil</t>
  </si>
  <si>
    <t>SUMINISTRO E INSTALACIÓN DE NIPLE DE 0,50M Ø2" EN HIERRO DUCTIL</t>
  </si>
  <si>
    <t>Niple 0,5m Ø2" en hierro ductil</t>
  </si>
  <si>
    <t>SUMINISTRO E INSTALACIÓN DE NIPLE DE 1M Ø2" EN HIERRO DUCTIL</t>
  </si>
  <si>
    <t>Niple 1m Ø2" en hierro ductil</t>
  </si>
  <si>
    <t>SUMINISTRO E INSTALACIÓN DE NIPLE DE 0,25M Ø3" EN HIERRO DUCTIL</t>
  </si>
  <si>
    <t>Niple 0,25m Ø3" en hierro ductil</t>
  </si>
  <si>
    <t>SUMINISTRO E INSTALACIÓN DE NIPLE DE 0,50M Ø3" EN HIERRO DUCTIL</t>
  </si>
  <si>
    <t>Niple 0,5m Ø3" en hierro ductil</t>
  </si>
  <si>
    <t>SUMINISTRO E INSTALACIÓN DE NIPLE DE 1M Ø3" EN HIERRO DUCTIL</t>
  </si>
  <si>
    <t>Niple 1m Ø3" en hierro ductil</t>
  </si>
  <si>
    <t>SUMINISTRO E INSTALACIÓN DE NIPLE DE 1M Ø4" EN HIERRO DUCTIL</t>
  </si>
  <si>
    <t>Niple 1m Ø4" en hierro ductil</t>
  </si>
  <si>
    <t>SUMINISTRO E INSTALACIÓN DE UNIÓN DE DESMONTAJE Ø2" EN HIERRO DUCTIL</t>
  </si>
  <si>
    <t>Unión de desmontaje Ø2" en hierro ductil</t>
  </si>
  <si>
    <t>Unión de desmontaje Ø3" en hierro ductil</t>
  </si>
  <si>
    <t>SUMINISTRO E INSTALACIÓN DE UNIÓN DE DESMONTAJE Ø4" EN HIERRO DUCTIL</t>
  </si>
  <si>
    <t>Unión de desmontaje Ø4" en hierro ductil</t>
  </si>
  <si>
    <t>SUMINISTRO E INSTALACIÓN DE VÁLVULA VENTOSA TRIPLE ACCIÓN Ø2" EN HIERRO DUCTIL</t>
  </si>
  <si>
    <t>Válvula ventosa triple accion Ø2" en hierro ductil</t>
  </si>
  <si>
    <t>SUMINISTRO E INSTALACIÓN DE VÁLVULA VENTOSA TRIPLE ACCIÓN Ø3" EN HIERRO DUCTIL</t>
  </si>
  <si>
    <t>Válvula ventosa triple accion Ø3" en hierro ductil</t>
  </si>
  <si>
    <t>SUMINISTRO E INSTALACIÓN DE VÁLVULA VENTOSA TRIPLE ACCIÓN Ø4" EN HIERRO DUCTIL</t>
  </si>
  <si>
    <t>Válvula ventosa triple accion Ø4" en hierro ductil</t>
  </si>
  <si>
    <r>
      <rPr>
        <b/>
        <sz val="10"/>
        <color theme="0"/>
        <rFont val="Century Gothic"/>
        <family val="2"/>
      </rPr>
      <t xml:space="preserve">SUMINISTRO DE TUBERÍA PVC </t>
    </r>
    <r>
      <rPr>
        <b/>
        <sz val="10"/>
        <color theme="0"/>
        <rFont val="Calibri"/>
        <family val="2"/>
      </rPr>
      <t>Ø3</t>
    </r>
    <r>
      <rPr>
        <b/>
        <sz val="10"/>
        <color theme="0"/>
        <rFont val="Century Gothic"/>
        <family val="2"/>
      </rPr>
      <t>" RDE 21</t>
    </r>
  </si>
  <si>
    <t>Tubería PVC Ø3" RDE 21</t>
  </si>
  <si>
    <t>CONCRETO DE 4000 PSI IMPERMEABILIZADO</t>
  </si>
  <si>
    <t xml:space="preserve">Impermeabilizante plastocrete DM </t>
  </si>
  <si>
    <t>Alquiler de camillas de 0,70 x 1,40m (3 dias de uso)</t>
  </si>
  <si>
    <t>Polin de 3x0,04x0,04m</t>
  </si>
  <si>
    <r>
      <rPr>
        <b/>
        <sz val="10"/>
        <color theme="0"/>
        <rFont val="Century Gothic"/>
        <family val="2"/>
      </rPr>
      <t xml:space="preserve">SUMINISTRO E INSTALACIÓN DE TUBERÍA PVC </t>
    </r>
    <r>
      <rPr>
        <b/>
        <sz val="10"/>
        <color theme="0"/>
        <rFont val="Calibri"/>
        <family val="2"/>
      </rPr>
      <t>Ø4</t>
    </r>
    <r>
      <rPr>
        <b/>
        <sz val="10"/>
        <color theme="0"/>
        <rFont val="Century Gothic"/>
        <family val="2"/>
      </rPr>
      <t>" RDE 21 (INCLUYE MATERIALES, HERRAMIENTA MENOR Y MANO DE OBRA)</t>
    </r>
  </si>
  <si>
    <t>Tubería PVC Ø4" RDE 21</t>
  </si>
  <si>
    <t>Martillo demoledor de concreto</t>
  </si>
  <si>
    <t>Compresor para martillo demoledor</t>
  </si>
  <si>
    <t>Cortadora de disco para concreto (Incluye disco y combustible)</t>
  </si>
  <si>
    <t>Aditivos</t>
  </si>
  <si>
    <t>Antisol</t>
  </si>
  <si>
    <t>Sellante elastomérico con base en poliuretano, autonivelante</t>
  </si>
  <si>
    <t>Suministro de acero de refuerzo de 60000 PSI cortado y figurado</t>
  </si>
  <si>
    <t>Formaleta pavimento</t>
  </si>
  <si>
    <t>Cuadrilla 7: 1 OfcA + 3 AyuA</t>
  </si>
  <si>
    <t>Codo de Ø10" x 90° en hierro ductil</t>
  </si>
  <si>
    <t>SUMINISTRO E INSTALACIÓN CODO 45° Ø10" EN HIERRO DUCTIL</t>
  </si>
  <si>
    <t>Codo de Ø10" x 45° en hierro ductil</t>
  </si>
  <si>
    <t>SUMINISTRO E INSTALACIÓN CODO 22,5° Ø10" EN HIERRO DUCTIL</t>
  </si>
  <si>
    <t>Codo de Ø10" x 22,5° en hierro ductil</t>
  </si>
  <si>
    <t>Tee Ø10" x 90° en hierro ductil</t>
  </si>
  <si>
    <t>Válvula compuerta con volante bridada Ø10" en hierro ductil</t>
  </si>
  <si>
    <t>SUMINISTRO DE TUBERÍA PVC Ø6" RDE 13.5</t>
  </si>
  <si>
    <t>Tubería PVC Ø6" RDE 13.5</t>
  </si>
  <si>
    <t>SUMINISTRO E INSTALACIÓN DE BOMBA CENTRÍFUGA AUTOCEBANTE 25HP</t>
  </si>
  <si>
    <t>Bomba centrífuga autocebante 25 HP</t>
  </si>
  <si>
    <t>SUMINISTRO E INSTALACION DE TUBERÍA PVC Ø6"</t>
  </si>
  <si>
    <t>Tubería PVC Ø6"</t>
  </si>
  <si>
    <t>FORMALETA METÁLICA PARA ESTRUCTURA HIDRÁULICA</t>
  </si>
  <si>
    <t>Abrazadera 1"</t>
  </si>
  <si>
    <t>Molde symons 8"x24"</t>
  </si>
  <si>
    <t>Ganchos waler</t>
  </si>
  <si>
    <t>Tuberia acero galvanizado 1" SCH 40</t>
  </si>
  <si>
    <t>Separadores hasta 250mm encofrado metálico-muro</t>
  </si>
  <si>
    <t>Cuñas para encofrado metalico de muro</t>
  </si>
  <si>
    <t>FORMALETA EN MADERA PARA PLACA SUPERIOR</t>
  </si>
  <si>
    <t>Tabla comun de 3x0,2x0,02m</t>
  </si>
  <si>
    <t>Guadua L=5m</t>
  </si>
  <si>
    <t>Cuartón de otobo 2"x4"x3m</t>
  </si>
  <si>
    <t>Aceite emulsionante anti adherente</t>
  </si>
  <si>
    <t>Alambre negro calibre 18</t>
  </si>
  <si>
    <r>
      <rPr>
        <b/>
        <sz val="10"/>
        <color theme="0"/>
        <rFont val="Century Gothic"/>
        <family val="2"/>
      </rPr>
      <t xml:space="preserve">SUMINISTRO E INSTALACION DE TEE PVC  </t>
    </r>
    <r>
      <rPr>
        <b/>
        <sz val="10"/>
        <color theme="0"/>
        <rFont val="Calibri"/>
        <family val="2"/>
      </rPr>
      <t>Ø3" (INCLUYE MATERIALES, HERRAMIENTAS Y MANO DE OBRA)</t>
    </r>
  </si>
  <si>
    <t>Tee PVC unión mecánica Ø3"</t>
  </si>
  <si>
    <t>Codo Ø4" x 90° en hierro ductil</t>
  </si>
  <si>
    <t>Codo PVC Ø4" x 90° union mecánica</t>
  </si>
  <si>
    <r>
      <rPr>
        <b/>
        <sz val="10"/>
        <color theme="0"/>
        <rFont val="Century Gothic"/>
        <family val="2"/>
      </rPr>
      <t xml:space="preserve">SUMINISTRO E INSTALACIÓN DE TEE PVC  </t>
    </r>
    <r>
      <rPr>
        <b/>
        <sz val="10"/>
        <color theme="0"/>
        <rFont val="Calibri"/>
        <family val="2"/>
      </rPr>
      <t>Ø4" (INCLUYE MATERIALES, HERRAMIENTAS Y MANO DE OBRA)</t>
    </r>
  </si>
  <si>
    <t>Tee PVC unión mecánica Ø4"</t>
  </si>
  <si>
    <r>
      <rPr>
        <b/>
        <sz val="10"/>
        <color theme="0"/>
        <rFont val="Century Gothic"/>
        <family val="2"/>
      </rPr>
      <t xml:space="preserve">SUMINISTRO E INSTALACION DE TEE PVC  </t>
    </r>
    <r>
      <rPr>
        <b/>
        <sz val="10"/>
        <color theme="0"/>
        <rFont val="Calibri"/>
        <family val="2"/>
      </rPr>
      <t>Ø6"</t>
    </r>
  </si>
  <si>
    <t>Tee PVC unión mecánica Ø6"</t>
  </si>
  <si>
    <t>SUMINISTRO E INSTALACION DE MACROMEDIDOR TIPO WOLTMAN Ø3"</t>
  </si>
  <si>
    <t>Macromedidor tipo woltman Ø3"</t>
  </si>
  <si>
    <t>Kit de instalacion macromedidor tipo woltman</t>
  </si>
  <si>
    <t>Concreto 4000 PSI</t>
  </si>
  <si>
    <t>Tapa para pozos de inspeccion en HF liviano (Incluye aro)</t>
  </si>
  <si>
    <t>Escalera tipo gato</t>
  </si>
  <si>
    <t>Impermeabilizante para concreto</t>
  </si>
  <si>
    <t>Válvula compuerta con volante bridada Ø8" en hierro ductil</t>
  </si>
  <si>
    <t>Codo Ø6" x 90° en hierro ductil</t>
  </si>
  <si>
    <t>Unión de desmontaje Ø6" en hierro ductil</t>
  </si>
  <si>
    <r>
      <rPr>
        <b/>
        <sz val="10"/>
        <color theme="0"/>
        <rFont val="Century Gothic"/>
        <family val="2"/>
      </rPr>
      <t xml:space="preserve">SUMINISTRO E INSTALACIÓN DE NIPLE PASAMURO DE </t>
    </r>
    <r>
      <rPr>
        <b/>
        <sz val="10"/>
        <color theme="0"/>
        <rFont val="Calibri"/>
        <family val="2"/>
      </rPr>
      <t>Ø10"</t>
    </r>
    <r>
      <rPr>
        <b/>
        <sz val="10"/>
        <color theme="0"/>
        <rFont val="Century Gothic"/>
        <family val="2"/>
      </rPr>
      <t xml:space="preserve"> EN HIERRO DUCTIL (INCLUYE MATERIALES, HERRAMIENTAS Y MANO DE OBRA)</t>
    </r>
  </si>
  <si>
    <t>Niple pasamuro Ø10" (0,50 M)</t>
  </si>
  <si>
    <t>Unión de desmontaje Ø10" en hierro ductil</t>
  </si>
  <si>
    <t>SUMINISTRO E INSTALACION DE MACROMEDIDOR TIPO WOLTMAN Ø4"</t>
  </si>
  <si>
    <t>Macromedidor tipo woltman Ø4"</t>
  </si>
  <si>
    <t>SUMINISTRO E INSTALACIÓN CODO 90° PVC Ø6"</t>
  </si>
  <si>
    <t>Codo PVC Ø6" x 90° union mecánica</t>
  </si>
  <si>
    <t>SUMINISTRO E INSTALACIÓN DE CABEZAL DE DESCARGA EN CONCRETO REFORZADO 4000 PSI (INCLUYE MATERIALES, EQUIPOS HERRAMIENTAS Y MANO DE OBRA)</t>
  </si>
  <si>
    <t>Formaleta</t>
  </si>
  <si>
    <t>RELLENO CON GRAVA TRITURADA</t>
  </si>
  <si>
    <t>Gravilla de 1/2"</t>
  </si>
  <si>
    <t>Ladrillo tolete común</t>
  </si>
  <si>
    <t>SUMINISTRO E INSTALACIÓN DE SISTEMA DE CUBIERTA PARA LECHO DE SECADO EN ESTRUCTURA METÁLICA PERLÍN EN CAJÓN</t>
  </si>
  <si>
    <t>Estructura metálica para lecho de secado Cal. 10</t>
  </si>
  <si>
    <t>SUMINISTRO E INSTALACION DE YEE SANITARIA 4"x4" PVC</t>
  </si>
  <si>
    <t>Yee sanitaria Ø4"x4" PVC</t>
  </si>
  <si>
    <r>
      <rPr>
        <b/>
        <sz val="10"/>
        <color theme="0"/>
        <rFont val="Century Gothic"/>
        <family val="2"/>
      </rPr>
      <t xml:space="preserve">SUMINISTRO E INSTALACION DE CODO </t>
    </r>
    <r>
      <rPr>
        <b/>
        <sz val="10"/>
        <color theme="0"/>
        <rFont val="Calibri"/>
        <family val="2"/>
      </rPr>
      <t>Ø4" x 45° PVC</t>
    </r>
  </si>
  <si>
    <t>Codo PVC Ø4" x 45° unión mecánica</t>
  </si>
  <si>
    <t>SUMINISTRO E INSTALACIÓN DE LECHO FILTRANTE PARA TRATAMIENTO DE AGUA POTABLE (INCLUYE CAPA DE ARENA, ANTRÁCITA Y GRAVA DE SOPORTE)</t>
  </si>
  <si>
    <t>Gravilla de río</t>
  </si>
  <si>
    <t>Antracita</t>
  </si>
  <si>
    <t>Arena lavada de río</t>
  </si>
  <si>
    <t>SUMINISTRO E INSTALACION DE LECHO FILTRANTE PARA TRATAMIENTO DE AGUA POTABLE (INCLUYE CAPA DE ARENA, ANTRACITA Y GRAVA DE SOPORTE)</t>
  </si>
  <si>
    <t>Dosificador de hidróxido de cloro</t>
  </si>
  <si>
    <t>SUMINISTRO PUESTA A PUNTO, OPTIMIZACIÓN Y MANTENIMIENTO DE PTAP</t>
  </si>
  <si>
    <t>GLB</t>
  </si>
  <si>
    <t>Puesta a punto, mantenimiento y optimización de PTAP</t>
  </si>
  <si>
    <t>SUMINISTRO E INSTALACIÓN DE MOTOBOMBA 15A - 31W</t>
  </si>
  <si>
    <t>Motobomba 15A - 31W Hato Nuevo</t>
  </si>
  <si>
    <t>Cilindro de almacenamiento 150LB</t>
  </si>
  <si>
    <t>SUMINISTRO E INSTALACIÓN DE CODO CUADRADO PRFV L=50CM</t>
  </si>
  <si>
    <t>Codo cuadrado PRFV L=50cm</t>
  </si>
  <si>
    <r>
      <rPr>
        <b/>
        <sz val="10"/>
        <color theme="0"/>
        <rFont val="Century Gothic"/>
        <family val="2"/>
      </rPr>
      <t xml:space="preserve">SUMINISTRO E INSTALACIÓN DE COMPUERTA DE CIERRE </t>
    </r>
    <r>
      <rPr>
        <b/>
        <sz val="10"/>
        <color theme="0"/>
        <rFont val="Calibri"/>
        <family val="2"/>
      </rPr>
      <t>Ø</t>
    </r>
    <r>
      <rPr>
        <b/>
        <sz val="10"/>
        <color theme="0"/>
        <rFont val="Century Gothic"/>
        <family val="2"/>
      </rPr>
      <t>=1,00M</t>
    </r>
  </si>
  <si>
    <t xml:space="preserve">Válvula de compuerta de cierre Ø=1,0M en hierro ductil </t>
  </si>
  <si>
    <t>SUMINISTRO DE ESTRUCTURA DE SOPORTE FALSO FONDO</t>
  </si>
  <si>
    <t>Estructura de soporte para falso fondo en acero inoxidable</t>
  </si>
  <si>
    <t>Canaleta 43 fibrocemento x 6,0</t>
  </si>
  <si>
    <t>INSTALACIÓN DE TUBERÍA PVC-P D=1/2"</t>
  </si>
  <si>
    <r>
      <rPr>
        <b/>
        <sz val="10"/>
        <color theme="0"/>
        <rFont val="Century Gothic"/>
        <family val="2"/>
      </rPr>
      <t xml:space="preserve">SUMINISTRO E INSTALACIÓN TUBERIA PVC </t>
    </r>
    <r>
      <rPr>
        <b/>
        <sz val="10"/>
        <color theme="0"/>
        <rFont val="Calibri"/>
        <family val="2"/>
      </rPr>
      <t>Ø</t>
    </r>
    <r>
      <rPr>
        <b/>
        <sz val="10"/>
        <color theme="0"/>
        <rFont val="Century Gothic"/>
        <family val="2"/>
      </rPr>
      <t>1/2" ACUEDUCTO RDE 9</t>
    </r>
  </si>
  <si>
    <t>Tubería PVC-P 1/2" RDE 9</t>
  </si>
  <si>
    <r>
      <rPr>
        <b/>
        <sz val="10"/>
        <color theme="0"/>
        <rFont val="Century Gothic"/>
        <family val="2"/>
      </rPr>
      <t xml:space="preserve">SUMINISTRO E INSTALACIÓN PASAMURO DE </t>
    </r>
    <r>
      <rPr>
        <b/>
        <sz val="10"/>
        <color theme="0"/>
        <rFont val="Calibri"/>
        <family val="2"/>
      </rPr>
      <t>Ø</t>
    </r>
    <r>
      <rPr>
        <b/>
        <sz val="10"/>
        <color theme="0"/>
        <rFont val="Century Gothic"/>
        <family val="2"/>
      </rPr>
      <t>6" L=0,25M EN HIERRO DUCTIL</t>
    </r>
  </si>
  <si>
    <t>Pasamuro Ø6" L=0,25M en hierro ductil</t>
  </si>
  <si>
    <r>
      <rPr>
        <b/>
        <sz val="10"/>
        <color theme="0"/>
        <rFont val="Century Gothic"/>
        <family val="2"/>
      </rPr>
      <t xml:space="preserve">SUMINISTRO E INSTALACIÓN PASAMURO DE </t>
    </r>
    <r>
      <rPr>
        <b/>
        <sz val="10"/>
        <color theme="0"/>
        <rFont val="Calibri"/>
        <family val="2"/>
      </rPr>
      <t>Ø</t>
    </r>
    <r>
      <rPr>
        <b/>
        <sz val="10"/>
        <color theme="0"/>
        <rFont val="Century Gothic"/>
        <family val="2"/>
      </rPr>
      <t>6" L=0,50M EN HIERRO DUCTIL</t>
    </r>
  </si>
  <si>
    <t>Pasamuro Ø6" L=0,50M en hierro ductil</t>
  </si>
  <si>
    <r>
      <rPr>
        <b/>
        <sz val="10"/>
        <color theme="0"/>
        <rFont val="Century Gothic"/>
        <family val="2"/>
      </rPr>
      <t xml:space="preserve">SUMINISTRO E INSTALACIÓN PASAMURO DE </t>
    </r>
    <r>
      <rPr>
        <b/>
        <sz val="10"/>
        <color theme="0"/>
        <rFont val="Calibri"/>
        <family val="2"/>
      </rPr>
      <t>Ø</t>
    </r>
    <r>
      <rPr>
        <b/>
        <sz val="10"/>
        <color theme="0"/>
        <rFont val="Century Gothic"/>
        <family val="2"/>
      </rPr>
      <t>6" L=1M EN HIERRO DUCTIL</t>
    </r>
  </si>
  <si>
    <t>Pasamuro Ø6" L=1M en hierro ductil</t>
  </si>
  <si>
    <t>LOCALIZACIÓN Y REPLANTEO CERRAMIENTO - VARIOS</t>
  </si>
  <si>
    <t>Durmiente ordinario</t>
  </si>
  <si>
    <t>CERRAMIENTO ALAMBRE DE PÚAS CON POSTES EN CONCRETO CADA 2,5M</t>
  </si>
  <si>
    <t>Alambre de púas No. 12</t>
  </si>
  <si>
    <t>Grapa industrial</t>
  </si>
  <si>
    <t>Poste sencillo H=2,50 Mts</t>
  </si>
  <si>
    <t>CINTA DE CONFINAMIENTO MURO</t>
  </si>
  <si>
    <t>Concreto 3500 PSI</t>
  </si>
  <si>
    <t>Repisa en ordinario</t>
  </si>
  <si>
    <t>Tabla chapa ordinario 0,30</t>
  </si>
  <si>
    <t>MURO LADRILLO E SOGA LIMPIO 1C</t>
  </si>
  <si>
    <t>Ladrillo prensado macizo</t>
  </si>
  <si>
    <t>MALLA ESLABONADA No.10 ROMBO 1,1/2" INCLUYE MARCO EN ANGULO DE HIERRO Y SOLDADURA</t>
  </si>
  <si>
    <t>Malla eslabonada No.10</t>
  </si>
  <si>
    <t>POSTE TUBO 2" x 2,3MM</t>
  </si>
  <si>
    <t>Portacandado 4"</t>
  </si>
  <si>
    <t>bisagra aluminio exterior 3"</t>
  </si>
  <si>
    <t>Pistola para pintura</t>
  </si>
  <si>
    <t>Cuadrilla 25: 1 OfcC - 4 AyuC</t>
  </si>
  <si>
    <t>Cuadrilla 29: 1 OfcD - 4 AyuD</t>
  </si>
  <si>
    <t>sistema de guias, se compuesta de 4 paneles  base de 3.5 m X 2.4m, con codales para  paneles; kit equivale a 33.6 m2 de entibaje.</t>
  </si>
  <si>
    <t>Grava 3/4" triturada</t>
  </si>
  <si>
    <t>Macromedidor tipo woltman Ø6"</t>
  </si>
  <si>
    <t>CONCRETO DE 3000 PSI PARA ANDEN PERIMETRAL SIN FORMALETA</t>
  </si>
  <si>
    <t>KIT DE INSTALACIÓN DE BOMBA 7 HP - LAPICERO</t>
  </si>
  <si>
    <t>Kit de descenso y anclaje automático para bomba</t>
  </si>
  <si>
    <t>Cuadro eléctrico trifásico de 1,5 kW para bomba sumergible</t>
  </si>
  <si>
    <t>Regulador de nivel para agua, con cable de 3 m.</t>
  </si>
  <si>
    <t>Accesorios para instalación de bomba</t>
  </si>
  <si>
    <t>Conexión a la red eléctrica de bomba</t>
  </si>
  <si>
    <t>Tubo de PVC 1"</t>
  </si>
  <si>
    <t>Codo PVC 1"</t>
  </si>
  <si>
    <t>Adaptador macho PVC 1"</t>
  </si>
  <si>
    <t>Cuadrilla eléctrica</t>
  </si>
  <si>
    <t>Reducción concéntrica 4" x 2" con extremos bridados ne hierro ductil</t>
  </si>
  <si>
    <t>Codo 45 x 6 plg en hierro ductil con extremos bridados</t>
  </si>
  <si>
    <t>Niple 1m Ø6" en hierro ductil con extremos bridados</t>
  </si>
  <si>
    <t>Niple 0,5m Ø6 en hierro ductil</t>
  </si>
  <si>
    <t>DISPOSICIÓN DE MATERIAL PROVENIENTE DE EXCAVACIÓN (NO INCLUYE TRANSPORTE)</t>
  </si>
  <si>
    <t>Localización y replanteo de estructuras de acueductos (No incluye equipo de topografía)</t>
  </si>
  <si>
    <t>Excavación manual en conglomerado</t>
  </si>
  <si>
    <t>Relleno tipo II: Con recebo seleccionado, compactado en capas de 20 cm, proctor modificado 95%, a todo factor (incluye recebo, equipos, herramientas, transporte y mano de obra)</t>
  </si>
  <si>
    <t>Concreto para solado de 2000 PSI a todo costo (140 Kg/cm2)</t>
  </si>
  <si>
    <t>Suministro figurado y armado de acero de refuerzo 60000 PSI (Incluye desperdicio del 5%)</t>
  </si>
  <si>
    <t>Concreto de 4000 PSI impermeabilizado (No incluye formaleta)</t>
  </si>
  <si>
    <t>Formaleta metálica para estructura hidráulica (Incluye materiales, herramientas y mano de obra)</t>
  </si>
  <si>
    <t>Formaleta en madera para estructura hidráulica (Incluye materiales, herramientas y mano de obra)</t>
  </si>
  <si>
    <t xml:space="preserve">Suministro e instalacion pasos para escalera de gato en varilla PRD-60 de 3/4" antideslizante con aclaje dentado, refuerzo, y tranca pie. L=0,30 m AN= 0,30 (Incluye materiales, equipos y mano de obra) </t>
  </si>
  <si>
    <t>Suministro e instalación de tapa y aro de seguridad para pozos de inspección ASTM-536 con resistencia D400 (Incluye materiales, herramientas y mano de obra)</t>
  </si>
  <si>
    <t>Suministro e instalación de unión de desmontaje Ø3" en hierro ductil (Incluye materiales, herramientas y mano de obra)</t>
  </si>
  <si>
    <t>Suministro e instalacion de unión universal Ø3" en hierro ductil</t>
  </si>
  <si>
    <t>Suministro e instalación de niple pasamuro EBxEB de Ø3" L=0,87 m en hierro ductil</t>
  </si>
  <si>
    <t>Suministro e instalación de niple pasamuro EBxEB de Ø3" L=0,73m en hierro ductil</t>
  </si>
  <si>
    <t>Suministro e instalación de válvula ventosa triple acción Ø3" en hierro ductil</t>
  </si>
  <si>
    <t>Cinta para junta de construcción SIKA WATERBAR</t>
  </si>
  <si>
    <t>Suministro e instalación de niple EBxEB de Ø3" L=0,15 m en hierro ductil</t>
  </si>
  <si>
    <t>LOCALIZACIÓN Y REPLANTEO DE ESTRUCTURAS DE ACUEDUCTOS (NO INCLUYE EQUIPO DE TOPOGRAFÍA)</t>
  </si>
  <si>
    <t>SUMINISTRO E INSTALACIÓN DE TAPA Y ARO DE SEGURIDAD PARA POZOS DE INSPECCIÓN ASTM-536 CON RESISTENCIA D400 (INCLUYE MATERIALES, HERRAMIENTAS Y MANO DE OBRA)</t>
  </si>
  <si>
    <t>Suministro de tapa de seguridad para pozos de inspección D400 en hierro ductil (Incluye aro en hierro ductil)</t>
  </si>
  <si>
    <r>
      <rPr>
        <b/>
        <sz val="10"/>
        <color theme="0"/>
        <rFont val="Century Gothic"/>
        <family val="2"/>
      </rPr>
      <t xml:space="preserve">SUMINISTRO E INSTALACIÓN DE NIPLE PASAMURO EBxEB DE </t>
    </r>
    <r>
      <rPr>
        <b/>
        <sz val="10"/>
        <color theme="0"/>
        <rFont val="Calibri"/>
        <family val="2"/>
      </rPr>
      <t>Ø3</t>
    </r>
    <r>
      <rPr>
        <b/>
        <sz val="10"/>
        <color theme="0"/>
        <rFont val="Century Gothic"/>
        <family val="2"/>
      </rPr>
      <t>" L=0,87 M EN HIERRO DUCTIL</t>
    </r>
  </si>
  <si>
    <t>SUMINISTRO E INSTALACIÓN DE NIPLE EBxEB Ø4" L=0,15 M EN HIERRO DUCTIL</t>
  </si>
  <si>
    <r>
      <rPr>
        <b/>
        <sz val="10"/>
        <color theme="0"/>
        <rFont val="Century Gothic"/>
        <family val="2"/>
      </rPr>
      <t xml:space="preserve">SUMINISTRO E INSTALACIÓN DE NIPLE PASAMURO EBxEB DE </t>
    </r>
    <r>
      <rPr>
        <b/>
        <sz val="10"/>
        <color theme="0"/>
        <rFont val="Calibri"/>
        <family val="2"/>
      </rPr>
      <t>Ø3</t>
    </r>
    <r>
      <rPr>
        <b/>
        <sz val="10"/>
        <color theme="0"/>
        <rFont val="Century Gothic"/>
        <family val="2"/>
      </rPr>
      <t>" L=0,73 M EN HIERRO DUCTIL</t>
    </r>
  </si>
  <si>
    <t>CONCRETO DE 4000 PSI A TODO COSTO (280/CM2) (NO INCLUYE FORMALETA)</t>
  </si>
  <si>
    <t>FORMALETA EN MADERA PARA ESTUCTURA HIDRÁULICA (INCLUYE MATERIALES, HERRAMIENTAS Y MANO DE OBRA)</t>
  </si>
  <si>
    <t>Relleno con material seleccionado de la excavación, compactado con equipo mecánico en capas de 0,20 m (Incluye equipo, herramienta menor y mano de obra)</t>
  </si>
  <si>
    <t>Disposición de material proveniente de excavación (Incluye transporte)</t>
  </si>
  <si>
    <t>Suministro e instalación de unión de desmontaje Ø4" en hierro ductil (Incluye materiales, herramientas y mano de obra)</t>
  </si>
  <si>
    <t>Suministro e instalación de niple pasamuro EBxEB de Ø4" L=0,31 m en hierro ductil</t>
  </si>
  <si>
    <t>Suministro e instalación de niple EBxEB de Ø4" L=0,15 m en hierro ductil</t>
  </si>
  <si>
    <t>Suministro e instalación de niple pasamuro EBxEB de Ø4" L=0,40 m en hierro ductil</t>
  </si>
  <si>
    <t>Suministro e instalación de tee Ø4" en hierro ductil</t>
  </si>
  <si>
    <t>Suministro e instalación de válvula de compuerta con volante de Ø4" y hierro ductil</t>
  </si>
  <si>
    <t>Suministro e instalación de tubería novafort 6" para alcantarillado</t>
  </si>
  <si>
    <t>Suministro e instalacion de apoyo en neopreno</t>
  </si>
  <si>
    <t>Construcción de cabezal de descarga de 4000 PSI</t>
  </si>
  <si>
    <r>
      <rPr>
        <b/>
        <sz val="10"/>
        <color theme="0"/>
        <rFont val="Century Gothic"/>
        <family val="2"/>
      </rPr>
      <t xml:space="preserve">SUMINISTRO E INSTALACIÓN DE NIPLE PASAMURO EBxEB DE </t>
    </r>
    <r>
      <rPr>
        <b/>
        <sz val="10"/>
        <color theme="0"/>
        <rFont val="Calibri"/>
        <family val="2"/>
      </rPr>
      <t>Ø3</t>
    </r>
    <r>
      <rPr>
        <b/>
        <sz val="10"/>
        <color theme="0"/>
        <rFont val="Century Gothic"/>
        <family val="2"/>
      </rPr>
      <t>" L=0,31 M EN HIERRO DUCTIL</t>
    </r>
  </si>
  <si>
    <r>
      <rPr>
        <b/>
        <sz val="10"/>
        <color theme="0"/>
        <rFont val="Century Gothic"/>
        <family val="2"/>
      </rPr>
      <t xml:space="preserve">SUMINISTRO E INSTALACIÓN DE NIPLE PASAMURO EBxEB DE </t>
    </r>
    <r>
      <rPr>
        <b/>
        <sz val="10"/>
        <color theme="0"/>
        <rFont val="Calibri"/>
        <family val="2"/>
      </rPr>
      <t>Ø3</t>
    </r>
    <r>
      <rPr>
        <b/>
        <sz val="10"/>
        <color theme="0"/>
        <rFont val="Century Gothic"/>
        <family val="2"/>
      </rPr>
      <t>" L=0,15 M EN HIERRO DUCTIL</t>
    </r>
  </si>
  <si>
    <r>
      <rPr>
        <b/>
        <sz val="10"/>
        <color theme="0"/>
        <rFont val="Century Gothic"/>
        <family val="2"/>
      </rPr>
      <t xml:space="preserve">SUMINISTRO E INSTALACIÓN DE NIPLE PASAMURO EBxEB DE </t>
    </r>
    <r>
      <rPr>
        <b/>
        <sz val="10"/>
        <color theme="0"/>
        <rFont val="Calibri"/>
        <family val="2"/>
      </rPr>
      <t>Ø3</t>
    </r>
    <r>
      <rPr>
        <b/>
        <sz val="10"/>
        <color theme="0"/>
        <rFont val="Century Gothic"/>
        <family val="2"/>
      </rPr>
      <t>" L=0,40 M EN HIERRO DUCTIL</t>
    </r>
  </si>
  <si>
    <t>SUMINISTRO E INSTALACIÓN DE TUBERÍA NOVAFORT Ø6" PARA ALCANTARILLADO</t>
  </si>
  <si>
    <t>Suministro de tubería novafort 6" para alcantarillado</t>
  </si>
  <si>
    <t>Localización y replanteo de estructuras de acueductos (Incluye equipo de topografía)</t>
  </si>
  <si>
    <t>Acero de anclaje para estructuras de viaducto A36 (Incluye materiales, herramienta menor y mano de obra)</t>
  </si>
  <si>
    <t>Concreto de anclaje para estructuras de viaducto (Incluye materiales, herramienta menor y mano de obra)</t>
  </si>
  <si>
    <t>Acero de cercha para estructuras de viaducto (Incluye materiales, herramienta menor y mano de obra)</t>
  </si>
  <si>
    <t>Suministro y aplicación de pintura epóxica para recubrimiento de tuberías</t>
  </si>
  <si>
    <t>Soldadura por pieza de 20mm</t>
  </si>
  <si>
    <t>Neopreno 35cm x 45cm x 5cm dureza 60</t>
  </si>
  <si>
    <t>Pernos para estructuras metálicas</t>
  </si>
  <si>
    <t>Abrazadora metálica de 4" doble oreja</t>
  </si>
  <si>
    <t>Tornillos para abrazadera metálica x100 unidades</t>
  </si>
  <si>
    <t>ACERO DE ANCLAJE PARA ESTRUCTURAS DE VIADUCTO A-36 (INCLUYE MATERIALES, HERRAMIENTA MENOR Y MANO DE OBRA)</t>
  </si>
  <si>
    <t>Acero estructural A-36 para estructura viaducto</t>
  </si>
  <si>
    <t>Perforadora</t>
  </si>
  <si>
    <t>Articulado</t>
  </si>
  <si>
    <t>SUMINISTRO E INSTALACIÓN DE UNION UNIVERSAL Ø3" EN HIERRO DUCTIL</t>
  </si>
  <si>
    <t>Unión universal Ø3" en hierro ductil</t>
  </si>
  <si>
    <t>SUMINISTRO E INSTALACIÓN DE NIPLE EBxEB Ø3" L=0,15 M EN HIERRO DUCTIL</t>
  </si>
  <si>
    <r>
      <rPr>
        <b/>
        <sz val="10"/>
        <color theme="0"/>
        <rFont val="Century Gothic"/>
        <family val="2"/>
      </rPr>
      <t xml:space="preserve">SUMINISTRO E INSTALACIÓN DE NIPLE PASAMURO EBxEB DE </t>
    </r>
    <r>
      <rPr>
        <b/>
        <sz val="10"/>
        <color theme="0"/>
        <rFont val="Calibri"/>
        <family val="2"/>
      </rPr>
      <t>Ø4</t>
    </r>
    <r>
      <rPr>
        <b/>
        <sz val="10"/>
        <color theme="0"/>
        <rFont val="Century Gothic"/>
        <family val="2"/>
      </rPr>
      <t>" L=0,31 M EN HIERRO DUCTIL</t>
    </r>
  </si>
  <si>
    <r>
      <rPr>
        <b/>
        <sz val="10"/>
        <color theme="0"/>
        <rFont val="Century Gothic"/>
        <family val="2"/>
      </rPr>
      <t xml:space="preserve">SUMINISTRO E INSTALACIÓN DE NIPLE PASAMURO EBxEB DE </t>
    </r>
    <r>
      <rPr>
        <b/>
        <sz val="10"/>
        <color theme="0"/>
        <rFont val="Calibri"/>
        <family val="2"/>
      </rPr>
      <t>Ø4</t>
    </r>
    <r>
      <rPr>
        <b/>
        <sz val="10"/>
        <color theme="0"/>
        <rFont val="Century Gothic"/>
        <family val="2"/>
      </rPr>
      <t>" L=0,40 M EN HIERRO DUCTIL</t>
    </r>
  </si>
  <si>
    <t>SUMINISTRO E INSTALACIÓN DE APOYO EN NEOPRENO 35CM X 45CM X 5CM DUREZA 60</t>
  </si>
  <si>
    <t>Apoyo elastomérico estructural, neopreno</t>
  </si>
  <si>
    <t>Pernos para neopreno</t>
  </si>
  <si>
    <t>CONSTRUCCIÓN DE CABEZAL DE DESCARGA EN CONCRETO DE 4000 PSI</t>
  </si>
  <si>
    <t>Concreto para tapa de 4000 PSI impermeabilizado a todo costo (280 Kg/cm2)</t>
  </si>
  <si>
    <t>SOLDADURA POR PIEZA DE 20 MM (INCLUYE MATERIALES, HERRAMIENTAS Y MANO DE OBRA)</t>
  </si>
  <si>
    <t>Soldadura E-7018</t>
  </si>
  <si>
    <t>Spray galvanizado en frío x 400ml</t>
  </si>
  <si>
    <t>Disco de corte para metal 4 1/2" de uso general</t>
  </si>
  <si>
    <t>% H, M, E</t>
  </si>
  <si>
    <t>TRANSPORTE PARA DISPOSICIÓN DE RESIDUOS (INCLUYE CONDUCTOR)</t>
  </si>
  <si>
    <t>Velocidad promedio transporte cargado</t>
  </si>
  <si>
    <t>Km/h</t>
  </si>
  <si>
    <t>Velocidad promedio transporte vacio</t>
  </si>
  <si>
    <t>Capacidad de carga transporte (volqueta)</t>
  </si>
  <si>
    <t>m3</t>
  </si>
  <si>
    <t>Capacidad de carga transporte (volqueta) para el tipo de material</t>
  </si>
  <si>
    <t>Ton</t>
  </si>
  <si>
    <t>Capacidad de carga del cucharon (retroexcavadora)</t>
  </si>
  <si>
    <t>Tiempo de giro, posicionamiento y descarga (retroexcavadora)</t>
  </si>
  <si>
    <t>min/ciclo</t>
  </si>
  <si>
    <t>Tiempo de posicionamiento en el punto de cargue</t>
  </si>
  <si>
    <t>min</t>
  </si>
  <si>
    <t>Distancia estimada a recorrer</t>
  </si>
  <si>
    <t>Factor de llenado de balde</t>
  </si>
  <si>
    <t>Factor de esponjamiento del material</t>
  </si>
  <si>
    <t>Densidad del material</t>
  </si>
  <si>
    <t>Ton/m3</t>
  </si>
  <si>
    <t>Tarifa transporte (volqueta 6m3)</t>
  </si>
  <si>
    <t>COP/hr</t>
  </si>
  <si>
    <t>Costo por disposición final viaje de volqueta sencilla 6 m3</t>
  </si>
  <si>
    <t>COP/viaje</t>
  </si>
  <si>
    <t>Costo por disposición final</t>
  </si>
  <si>
    <t>COP/m3</t>
  </si>
  <si>
    <t>Número de paladas por cargue de volqueta</t>
  </si>
  <si>
    <t>un</t>
  </si>
  <si>
    <t>Tiempo de cargue de volqueta</t>
  </si>
  <si>
    <t>hr</t>
  </si>
  <si>
    <t>Tiempo de posicionamiento de equipo de cargue y de transporte</t>
  </si>
  <si>
    <t>Tiempo de transporte a sitio seleccionado</t>
  </si>
  <si>
    <t>Tiempo de transporte de retorno a obra</t>
  </si>
  <si>
    <t>Tiempo total de ciclo para una volqueta</t>
  </si>
  <si>
    <t>Combustible (ACPM)</t>
  </si>
  <si>
    <t>Galón</t>
  </si>
  <si>
    <t>Rendimiento combustible</t>
  </si>
  <si>
    <t>Galón/100KM</t>
  </si>
  <si>
    <t>Consumo combustible</t>
  </si>
  <si>
    <t>COP</t>
  </si>
  <si>
    <t>Costo por cada ciclo de volqueta</t>
  </si>
  <si>
    <t>Cantidad de transporte por cada ciclo</t>
  </si>
  <si>
    <t>m3-Km</t>
  </si>
  <si>
    <t>Conductor</t>
  </si>
  <si>
    <t>Cuadrilla</t>
  </si>
  <si>
    <t/>
  </si>
  <si>
    <t>REPOSICIÓN DE VÍAS EN AFIRMADO (INCLUYE MATERIALES, EQUIPOS, HERRAMIENTAS Y MANO DE OBRA)</t>
  </si>
  <si>
    <t>Motoniveladora</t>
  </si>
  <si>
    <t>Bobcat</t>
  </si>
  <si>
    <t>Vibrocompactadora a gasolina tipo rana (Incluye combustible)</t>
  </si>
  <si>
    <t>SUMINISTRO E INSTALACIÓN CODO 11,25° Ø2" EN HIERRO DUCTIL CON UNIÓN MECÁNICA (INCLUYE MATERIALES, HERRAMIENTAS Y MANO DE OBRA)</t>
  </si>
  <si>
    <t>Codo 11,25° de Ø2" con unión mecánica en hierro ductil</t>
  </si>
  <si>
    <t>Codo 11,25° de Ø3" con unión mecánica en hierro ductil</t>
  </si>
  <si>
    <t>SUMINISTRO E INSTALACIÓN CODO 11,25° Ø4" EN HIERRO DUCTIL CON UNIÓN MECÁNICA (INCLUYE MATERIALES, HERRAMIENTAS Y MANO DE OBRA)</t>
  </si>
  <si>
    <t>Codo 11,25° de Ø4" con unión mecánica en hierro ductil</t>
  </si>
  <si>
    <t>SUMINISTRO E INSTALACIÓN CODO 22,5° Ø2" EN HIERRO DUCTIL CON UNIÓN MECÁNICA (INCLUYE MATERIALES, HERRAMIENTAS Y MANO DE OBRA)</t>
  </si>
  <si>
    <t>Codo 22,5° de Ø2" con unión mecánica en hierro ductil</t>
  </si>
  <si>
    <t>Codo 22,5° de Ø3" con unión mecánica en hierro ductil</t>
  </si>
  <si>
    <t>SUMINISTRO E INSTALACIÓN CODO 22,5° Ø4" EN HIERRO DUCTIL CON UNIÓN MECÁNICA (INCLUYE MATERIALES, HERRAMIENTAS Y MANO DE OBRA)</t>
  </si>
  <si>
    <t>Codo 22,5° de Ø4" con unión mecánica en hierro ductil</t>
  </si>
  <si>
    <t>SUMINISTRO E INSTALACIÓN CODO 45° Ø2" EN HIERRO DUCTIL CON UNIÓN MECÁNICA (INCLUYE MATERIALES, HERRAMIENTAS Y MANO DE OBRA)</t>
  </si>
  <si>
    <t>Codo 45° de Ø2" con unión mecánica en hierro ductil</t>
  </si>
  <si>
    <t>Codo 45° de Ø3" con unión mecánica en hierro ductil</t>
  </si>
  <si>
    <t>SUMINISTRO E INSTALACIÓN CODO 45° Ø4" EN HIERRO DUCTIL CON UNIÓN MECÁNICA (INCLUYE MATERIALES, HERRAMIENTAS Y MANO DE OBRA)</t>
  </si>
  <si>
    <t>Codo 45° de Ø4" con unión mecánica en hierro ductil</t>
  </si>
  <si>
    <t>SUMINISTRO E INSTALACIÓN CODO 90° Ø2" EN HIERRO DUCTIL CON UNIÓN MECÁNICA (INCLUYE MATERIALES, HERRAMIENTAS Y MANO DE OBRA)</t>
  </si>
  <si>
    <t>Codo 90° de Ø2" con unión mecánica en hierro ductil</t>
  </si>
  <si>
    <t>Codo 90° de Ø3" con unión mecánica en hierro ductil</t>
  </si>
  <si>
    <t>SUMINISTRO E INSTALACIÓN CODO 90° Ø4" EN HIERRO DUCTIL CON UNIÓN MECÁNICA (INCLUYE MATERIALES, HERRAMIENTAS Y MANO DE OBRA)</t>
  </si>
  <si>
    <t>Codo 90° de Ø4" con unión mecánica en hierro ductil</t>
  </si>
  <si>
    <t>SUMINISTRO E INSTALACIÓN TEE Ø2" EN HIERRO DUCTIL CON UNIÓN MECÁNICA (INCLUYE MATERIALES, HERRAMIENTAS Y MANO DE OBRA)</t>
  </si>
  <si>
    <t>Tee de Ø2x2" con unión mecánica en hierro ductil</t>
  </si>
  <si>
    <t>Tee de Ø3x3" con unión mecánica en hierro ductil</t>
  </si>
  <si>
    <t>SUMINISTRO E INSTALACIÓN TEE Ø4" EN HIERRO DUCTIL CON UNIÓN MECÁNICA (INCLUYE MATERIALES, HERRAMIENTAS Y MANO DE OBRA)</t>
  </si>
  <si>
    <t>Tee de Ø4x4" con unión mecánica en hierro ductil</t>
  </si>
  <si>
    <t>Llave telescópica para válvula de compuerta</t>
  </si>
  <si>
    <t>Tapa polimérica para válvula tipo chorote</t>
  </si>
  <si>
    <t>Válvula de compuerta elástica Ø2" con unión mecánica en hierro ductil</t>
  </si>
  <si>
    <t>Tubo pead RDE 11 de Ø2" para válvula tipo chorote</t>
  </si>
  <si>
    <t>Válvula de compuerta elástica Ø3" con unión mecánica en hierro ductil</t>
  </si>
  <si>
    <t>Tubo pead RDE 11 de Ø3" para válvula tipo chorote</t>
  </si>
  <si>
    <r>
      <rPr>
        <b/>
        <sz val="10"/>
        <color theme="0"/>
        <rFont val="Century Gothic"/>
        <family val="2"/>
      </rPr>
      <t xml:space="preserve">VÁLVULA DE CORTE TIPO CHOROTE DE </t>
    </r>
    <r>
      <rPr>
        <b/>
        <sz val="10"/>
        <color theme="0"/>
        <rFont val="Calibri"/>
        <family val="2"/>
      </rPr>
      <t>Ø4</t>
    </r>
    <r>
      <rPr>
        <b/>
        <sz val="10"/>
        <color theme="0"/>
        <rFont val="Century Gothic"/>
        <family val="2"/>
      </rPr>
      <t>" (INCLUYE LLAVE PARA VÁLVULA, TAPA DE SEGURIDAD, TUBERÁ SANITARIA, VÁLVULA DE COMPUERTA, MATERIALES, HERRAMIENTAS Y MANO DE OBRA)</t>
    </r>
  </si>
  <si>
    <t>Válvula de compuerta elástica Ø4" con unión mecánica en hierro ductil</t>
  </si>
  <si>
    <t>Tubo pead RDE 11 de Ø4" para válvula tipo chorote</t>
  </si>
  <si>
    <t>SUMINISTRO E INSTALACIÓN DE MACROMEDIDOR TIPO WOLTMAN Ø2"</t>
  </si>
  <si>
    <t>Macromedidor tipo woltman Ø2"</t>
  </si>
  <si>
    <t>ESTACIÓN DE MACROMEDICIÓN DE Ø2" (INCLUYE CAJA DE CONCRETO CON TAPA Y ESCALERA DE GATO, VÁLVULAS, CODOS, TEES, UNIONES, FILTRO EN YEE, NIPLES, PASAMUROS, MACROMEDIDOR, MATERIALES, HERRAMIENTAS, TRANSPORTE Y MANO DE OBRA)</t>
  </si>
  <si>
    <t>Concreto para piso de 4000 PSI impermeabilizado a todo costo (280 Kg/cm2)</t>
  </si>
  <si>
    <t>Concreto para muros de 4000 PSI impermeabilizado a todo costo (280 Kg/cm2)</t>
  </si>
  <si>
    <t>Suministro e instalación de tee Ø2" en hierro ductil</t>
  </si>
  <si>
    <t>Suministro e instalación de macromedidor tipo woltman Ø2"</t>
  </si>
  <si>
    <t>Suministro e instalación de unión de desmontaje Ø2"</t>
  </si>
  <si>
    <t>Suministro e instalación de codo 90° de Ø2"</t>
  </si>
  <si>
    <t>Filtro en yee Ø2" en hierro ductil</t>
  </si>
  <si>
    <t>Herramienta menor</t>
  </si>
  <si>
    <t>Suministro e instalación de tee Ø3" en hierro ductil</t>
  </si>
  <si>
    <t>Suministro e instalación de macromedidor tipo woltman Ø3"</t>
  </si>
  <si>
    <t>Suministro e instalación de codo 90° de Ø3"</t>
  </si>
  <si>
    <t>Filtro en yee Ø3" en hierro ductil</t>
  </si>
  <si>
    <r>
      <rPr>
        <b/>
        <sz val="10"/>
        <color theme="0"/>
        <rFont val="Century Gothic"/>
        <family val="2"/>
      </rPr>
      <t xml:space="preserve">ESTACIÓN DE MACROMEDICIÓN DE </t>
    </r>
    <r>
      <rPr>
        <b/>
        <sz val="10"/>
        <color theme="0"/>
        <rFont val="Calibri"/>
        <family val="2"/>
      </rPr>
      <t>Ø4</t>
    </r>
    <r>
      <rPr>
        <b/>
        <sz val="10"/>
        <color theme="0"/>
        <rFont val="Century Gothic"/>
        <family val="2"/>
      </rPr>
      <t>" (INCLUYE CAJA DE CONCRETO CON TAPA Y ESCALERA DE GATO, VÁLVULAS, CODOS, TEES, UNIONES, FILTRO EN YEE, NIPLES, PASAMUROS, MACROMEDIDOR, MATERIALES, HERRAMIENTAS, TRANSPORTE Y MANO DE OBRA)</t>
    </r>
  </si>
  <si>
    <t>Suministro e instalación de macromedidor tipo woltman Ø4"</t>
  </si>
  <si>
    <t>Suministro e instalación de codo 90° de Ø4"</t>
  </si>
  <si>
    <t>Niple 0,5m Ø4" en hierro ductil</t>
  </si>
  <si>
    <t>Filtro en yee Ø4" en hierro ductil</t>
  </si>
  <si>
    <r>
      <rPr>
        <b/>
        <sz val="10"/>
        <color theme="0"/>
        <rFont val="Century Gothic"/>
        <family val="2"/>
      </rPr>
      <t xml:space="preserve">SUMINISTRO DE TUBERÍA PVC </t>
    </r>
    <r>
      <rPr>
        <b/>
        <sz val="10"/>
        <color theme="0"/>
        <rFont val="Calibri"/>
        <family val="2"/>
      </rPr>
      <t>Ø</t>
    </r>
    <r>
      <rPr>
        <b/>
        <sz val="10"/>
        <color theme="0"/>
        <rFont val="Century Gothic"/>
        <family val="2"/>
      </rPr>
      <t>4" RDE 21</t>
    </r>
  </si>
  <si>
    <r>
      <rPr>
        <b/>
        <sz val="10"/>
        <color theme="0"/>
        <rFont val="Century Gothic"/>
        <family val="2"/>
      </rPr>
      <t xml:space="preserve">SUMINISTRO DE TUBERÍA PVC </t>
    </r>
    <r>
      <rPr>
        <b/>
        <sz val="10"/>
        <color theme="0"/>
        <rFont val="Calibri"/>
        <family val="2"/>
      </rPr>
      <t>Ø3</t>
    </r>
    <r>
      <rPr>
        <b/>
        <sz val="10"/>
        <color theme="0"/>
        <rFont val="Century Gothic"/>
        <family val="2"/>
      </rPr>
      <t>"</t>
    </r>
  </si>
  <si>
    <r>
      <rPr>
        <b/>
        <sz val="10"/>
        <color theme="0"/>
        <rFont val="Century Gothic"/>
        <family val="2"/>
      </rPr>
      <t xml:space="preserve">SUMINISTRO DE TUBERÍA PVC </t>
    </r>
    <r>
      <rPr>
        <b/>
        <sz val="10"/>
        <color theme="0"/>
        <rFont val="Calibri"/>
        <family val="2"/>
      </rPr>
      <t>Ø2</t>
    </r>
    <r>
      <rPr>
        <b/>
        <sz val="10"/>
        <color theme="0"/>
        <rFont val="Century Gothic"/>
        <family val="2"/>
      </rPr>
      <t>"</t>
    </r>
  </si>
  <si>
    <t>Tubería PVC Ø2" RDE 21</t>
  </si>
  <si>
    <r>
      <rPr>
        <b/>
        <sz val="10"/>
        <color theme="0"/>
        <rFont val="Century Gothic"/>
        <family val="2"/>
      </rPr>
      <t xml:space="preserve">INSTALACIÓN DE TUBERÍA PVC </t>
    </r>
    <r>
      <rPr>
        <b/>
        <sz val="10"/>
        <color theme="0"/>
        <rFont val="Calibri"/>
        <family val="2"/>
      </rPr>
      <t>Ø2</t>
    </r>
    <r>
      <rPr>
        <b/>
        <sz val="10"/>
        <color theme="0"/>
        <rFont val="Century Gothic"/>
        <family val="2"/>
      </rPr>
      <t>"</t>
    </r>
  </si>
  <si>
    <t>CONSTRUCCIÓN DE CAJA 1,50x1,50x1,50M EN CONCRETO DE 4000 PSI PARA ESTACIÓN DE MACROMEDICIÓN (INCLUYE ESCALERA TIPO GATO, TAPA, MATERIALES, HERRAMIENTAS Y MANO DE OBRA)</t>
  </si>
  <si>
    <t>Arena para lecho filtrante</t>
  </si>
  <si>
    <r>
      <rPr>
        <b/>
        <sz val="10"/>
        <color theme="0"/>
        <rFont val="Century Gothic"/>
        <family val="2"/>
      </rPr>
      <t xml:space="preserve">SUMINISTRO DE MANGUERA PEAD DE </t>
    </r>
    <r>
      <rPr>
        <b/>
        <sz val="10"/>
        <color theme="0"/>
        <rFont val="Calibri"/>
        <family val="2"/>
      </rPr>
      <t>Ø1/2</t>
    </r>
    <r>
      <rPr>
        <b/>
        <sz val="10"/>
        <color theme="0"/>
        <rFont val="Century Gothic"/>
        <family val="2"/>
      </rPr>
      <t>" PARA ACOMETIDA RDE 9</t>
    </r>
  </si>
  <si>
    <t>Manguera pead para acometida domiciliaria de 1/2" RDE 9</t>
  </si>
  <si>
    <r>
      <rPr>
        <b/>
        <sz val="10"/>
        <color theme="0"/>
        <rFont val="Century Gothic"/>
        <family val="2"/>
      </rPr>
      <t xml:space="preserve">MICROMEDIDOR DE </t>
    </r>
    <r>
      <rPr>
        <b/>
        <sz val="10"/>
        <color theme="0"/>
        <rFont val="Calibri"/>
        <family val="2"/>
      </rPr>
      <t>Ø</t>
    </r>
    <r>
      <rPr>
        <b/>
        <sz val="10"/>
        <color theme="0"/>
        <rFont val="Century Gothic"/>
        <family val="2"/>
      </rPr>
      <t>1/2" (INCLUYE CAJA, TEE, CODO, ADAPTADORES, VÁLVULAS, MEDIDOR, COLLAR DE DERIVACIÓN, TAPÓN, RACOR, MATERIALES, HERRAMIENTA MENOR Y MANO DE OBRA)</t>
    </r>
  </si>
  <si>
    <t>Tee de 1/2" PVC</t>
  </si>
  <si>
    <t>Tapón de 1/2"</t>
  </si>
  <si>
    <t>Adaptador macho pf + aud PVC 1/2"</t>
  </si>
  <si>
    <t>Codo 90° de 1/2"</t>
  </si>
  <si>
    <t>Válvula de bola PVC soldada 1/2"</t>
  </si>
  <si>
    <t>Racor con tuerca 1/2"</t>
  </si>
  <si>
    <t>Medidor de velocidad 1/2" R100</t>
  </si>
  <si>
    <t>Registro de corte antifraude 1/2" x 1/2" inserto DZR</t>
  </si>
  <si>
    <t>Registro de incorporación antifraude macho-hembra de 1/2"</t>
  </si>
  <si>
    <t>Collar de derivación inserto metálico PVC</t>
  </si>
  <si>
    <t>Concreto asfaltico  (MDC-19)-puesta en planta</t>
  </si>
  <si>
    <t>Emulsion asfaltica CRL-1(imprimante o liga) -pura (puesta en planta)</t>
  </si>
  <si>
    <t xml:space="preserve">Vibrocompactador, tipo benitìn, de peso 700 kg a 1.5 toneladas, incluye combustible </t>
  </si>
  <si>
    <t>% M, H, E</t>
  </si>
  <si>
    <t>CONCRETO PARA MUROS DE 4000 PSI A TODO COSTO (280 KG/CM2)</t>
  </si>
  <si>
    <t>Piedra seleccionada de 3" a 15"</t>
  </si>
  <si>
    <t>Perfil en C para correas metálicas Gr 50 (150x50x2mm)</t>
  </si>
  <si>
    <t>Tornillos autoperforantes 2" para cubiertas con arandela</t>
  </si>
  <si>
    <t>Teja termoacústica ecoroof 36 UPVC para cubierta e=2mm</t>
  </si>
  <si>
    <t>Tornillos autoperforantes 1 1/2" para cubiertas con arandela</t>
  </si>
  <si>
    <t xml:space="preserve">Tubo cuadrado de 1 1/2" x 1 1/2" x 0,8mm </t>
  </si>
  <si>
    <t>Caballete para cubierta 0,6x0,94m e=2mm UPVC</t>
  </si>
  <si>
    <t xml:space="preserve">Ángulo metálico 1x1/8" </t>
  </si>
  <si>
    <t>Soldadura e-6013</t>
  </si>
  <si>
    <t>Excavación manual en material común (Incluye mano de obra, equipos y materiales)</t>
  </si>
  <si>
    <t>OPTIMIZACIÓN Y MANTENIMIENTO DE PASRELAS PTAP</t>
  </si>
  <si>
    <t>Antracita para lecho filtrante</t>
  </si>
  <si>
    <t xml:space="preserve">Soporte para falso fondo en PRFV </t>
  </si>
  <si>
    <t>Ptap compacta de ciclo completo para caudal de 3 Lps</t>
  </si>
  <si>
    <t>ADECUACIÓN DE PTAP DE CICLO COMPLETO PARA CAUDAL DE 4,5 LPS (INCLUYE LECHO FILTRANTE, MODULO DE SEDIMENTACION, PINTURA, ACCESORIOS, TUBERIAS, HERRAMIENTAS Y MANO DE OBRA)</t>
  </si>
  <si>
    <t>Ptap para caudal de 4,5 Lps</t>
  </si>
  <si>
    <t>Ptap para caudal de 6 a 10 Lps</t>
  </si>
  <si>
    <t>Kit de laboratorio para análisis de agua (Incluye Test combinado, Combo turbidez, cloro libre, color y pH y Jarras)</t>
  </si>
  <si>
    <t>Bomba centrífuga de 3 HP</t>
  </si>
  <si>
    <t>Tubería PVC 3" RDE 26 con unión mecánica</t>
  </si>
  <si>
    <t>Codo PVC x 90° 3"</t>
  </si>
  <si>
    <t>Válvula mariposa 3" en hierro ductil</t>
  </si>
  <si>
    <r>
      <rPr>
        <b/>
        <sz val="10"/>
        <color theme="0"/>
        <rFont val="Century Gothic"/>
        <family val="2"/>
      </rPr>
      <t>KIT DE TUBERÍA PERFORADA DE RECOLECCIÓN</t>
    </r>
    <r>
      <rPr>
        <b/>
        <sz val="10"/>
        <color theme="0"/>
        <rFont val="Century Gothic"/>
        <family val="2"/>
      </rPr>
      <t xml:space="preserve"> (INCLUYE SUMINISTRO E INSTALACIÓN, MATERIALES, HERRAMIENTA MENOR Y MANO DE OBRA)</t>
    </r>
  </si>
  <si>
    <r>
      <rPr>
        <b/>
        <sz val="10"/>
        <color theme="0"/>
        <rFont val="Century Gothic"/>
        <family val="2"/>
      </rPr>
      <t xml:space="preserve">KIT DE TUBERÍA DE RECOLECCIÓN DE AGUA FILTRADA PARA LECHOS DE SECADO TIPO 1 DE </t>
    </r>
    <r>
      <rPr>
        <b/>
        <sz val="10"/>
        <color theme="0"/>
        <rFont val="Calibri"/>
        <family val="2"/>
      </rPr>
      <t>Ø4</t>
    </r>
    <r>
      <rPr>
        <b/>
        <sz val="10"/>
        <color theme="0"/>
        <rFont val="Century Gothic"/>
        <family val="2"/>
      </rPr>
      <t>" (INCLUYE NIPLE, PASAMURO, CODO, TEE, TUBERÍA PERFORADA Y NO PERFORADA, MATERIALES, HERRAMIENTAS Y MANO DE OBRA)</t>
    </r>
  </si>
  <si>
    <t>Tubería de drenaje perforada de Ø4" PVC</t>
  </si>
  <si>
    <t>Tee PVC 4"</t>
  </si>
  <si>
    <t>Tapón PVC 4"</t>
  </si>
  <si>
    <t>Tubería PVC 4" de desagüe novafort</t>
  </si>
  <si>
    <t>Pasamuro 4" en hierro ductil con unión mecánica</t>
  </si>
  <si>
    <t>Adaptador brida universal Ø4 en hierro ductil</t>
  </si>
  <si>
    <t>Adaptador brida universal Ø3" en hierro ductil</t>
  </si>
  <si>
    <r>
      <rPr>
        <b/>
        <sz val="10"/>
        <color theme="0"/>
        <rFont val="Century Gothic"/>
        <family val="2"/>
      </rPr>
      <t xml:space="preserve">SUMINISTRO E INSTALACIÓN DE CODO x 90° PVC </t>
    </r>
    <r>
      <rPr>
        <b/>
        <sz val="10"/>
        <color theme="0"/>
        <rFont val="Calibri"/>
        <family val="2"/>
      </rPr>
      <t>Ø</t>
    </r>
    <r>
      <rPr>
        <b/>
        <sz val="10"/>
        <color theme="0"/>
        <rFont val="Century Gothic"/>
        <family val="2"/>
      </rPr>
      <t>3"</t>
    </r>
  </si>
  <si>
    <r>
      <rPr>
        <b/>
        <sz val="10"/>
        <color theme="0"/>
        <rFont val="Century Gothic"/>
        <family val="2"/>
      </rPr>
      <t xml:space="preserve">SUMINISTRO E INSTALACIÓN DE CODO x 90° PVC </t>
    </r>
    <r>
      <rPr>
        <b/>
        <sz val="10"/>
        <color theme="0"/>
        <rFont val="Calibri"/>
        <family val="2"/>
      </rPr>
      <t>Ø4</t>
    </r>
    <r>
      <rPr>
        <b/>
        <sz val="10"/>
        <color theme="0"/>
        <rFont val="Century Gothic"/>
        <family val="2"/>
      </rPr>
      <t>"</t>
    </r>
  </si>
  <si>
    <r>
      <rPr>
        <b/>
        <sz val="10"/>
        <color theme="0"/>
        <rFont val="Century Gothic"/>
        <family val="2"/>
      </rPr>
      <t xml:space="preserve">SUMINISTRO E INSTALACIÓN DE TEE PVC </t>
    </r>
    <r>
      <rPr>
        <b/>
        <sz val="10"/>
        <color theme="0"/>
        <rFont val="Calibri"/>
        <family val="2"/>
      </rPr>
      <t>Ø</t>
    </r>
    <r>
      <rPr>
        <b/>
        <sz val="10"/>
        <color theme="0"/>
        <rFont val="Century Gothic"/>
        <family val="2"/>
      </rPr>
      <t>3"</t>
    </r>
  </si>
  <si>
    <t>Tee PVC 3"</t>
  </si>
  <si>
    <r>
      <rPr>
        <b/>
        <sz val="10"/>
        <color theme="0"/>
        <rFont val="Century Gothic"/>
        <family val="2"/>
      </rPr>
      <t xml:space="preserve">SUMINISTRO E INSTALACIÓN DE TEE PVC </t>
    </r>
    <r>
      <rPr>
        <b/>
        <sz val="10"/>
        <color theme="0"/>
        <rFont val="Calibri"/>
        <family val="2"/>
      </rPr>
      <t>Ø4</t>
    </r>
    <r>
      <rPr>
        <b/>
        <sz val="10"/>
        <color theme="0"/>
        <rFont val="Century Gothic"/>
        <family val="2"/>
      </rPr>
      <t>"</t>
    </r>
  </si>
  <si>
    <r>
      <rPr>
        <b/>
        <sz val="10"/>
        <color theme="0"/>
        <rFont val="Century Gothic"/>
        <family val="2"/>
      </rPr>
      <t xml:space="preserve">SUMINISTRO E INSTALACIÓN DE CODO x 45° PVC </t>
    </r>
    <r>
      <rPr>
        <b/>
        <sz val="10"/>
        <color theme="0"/>
        <rFont val="Calibri"/>
        <family val="2"/>
      </rPr>
      <t>Ø3</t>
    </r>
    <r>
      <rPr>
        <b/>
        <sz val="10"/>
        <color theme="0"/>
        <rFont val="Century Gothic"/>
        <family val="2"/>
      </rPr>
      <t>"</t>
    </r>
  </si>
  <si>
    <t>Codo PVC x 45° 3"</t>
  </si>
  <si>
    <r>
      <rPr>
        <b/>
        <sz val="10"/>
        <color theme="0"/>
        <rFont val="Century Gothic"/>
        <family val="2"/>
      </rPr>
      <t xml:space="preserve">SUMINISTRO E INSTALACIÓN DE CRUZ PVC </t>
    </r>
    <r>
      <rPr>
        <b/>
        <sz val="10"/>
        <color theme="0"/>
        <rFont val="Calibri"/>
        <family val="2"/>
      </rPr>
      <t>Ø4</t>
    </r>
    <r>
      <rPr>
        <b/>
        <sz val="10"/>
        <color theme="0"/>
        <rFont val="Century Gothic"/>
        <family val="2"/>
      </rPr>
      <t>"</t>
    </r>
  </si>
  <si>
    <t>Cruz PVC 4"</t>
  </si>
  <si>
    <t>Válvula mariposa 4" en hierro ductil</t>
  </si>
  <si>
    <t>Extendido manual de tierras con material de la propia excavación</t>
  </si>
  <si>
    <t>Concreto para placa de soporte de válvulas (Concreto 3000 PSI)</t>
  </si>
  <si>
    <t>Tapa de acceso en lámina alfajor</t>
  </si>
  <si>
    <t>Tubería conduit EMT ø 3/4"</t>
  </si>
  <si>
    <t>Adaptador Terminal EMT 3/4"</t>
  </si>
  <si>
    <t>Union EMT de 3/4"</t>
  </si>
  <si>
    <t>Caja tipo ratwell 2"X4"</t>
  </si>
  <si>
    <t>Switch sencillo Leviton Arquea</t>
  </si>
  <si>
    <t>Varilla roscada 3/8"</t>
  </si>
  <si>
    <t>Chazo Expansion Hembra Rosca Interna 5/16</t>
  </si>
  <si>
    <t>Grapa para tubería</t>
  </si>
  <si>
    <t>Cable Cu THHN/THWN No 12 AWG</t>
  </si>
  <si>
    <t>Conector tipo resorte para cableNo 12</t>
  </si>
  <si>
    <t>Fungibles para instalación de tuberías</t>
  </si>
  <si>
    <t>Vehículo</t>
  </si>
  <si>
    <t>Actualización de planos</t>
  </si>
  <si>
    <t>Tubería conduit PVC ø 1"</t>
  </si>
  <si>
    <t>Adaptador Terminal PVC 1"</t>
  </si>
  <si>
    <t>Excabación 75cm x 20 cm x 100 cm</t>
  </si>
  <si>
    <t>Cable Cu 2 AWG desnudo</t>
  </si>
  <si>
    <t>Certificación Retie y Retilap</t>
  </si>
  <si>
    <t>Toma doble Leviton blanca con polo a tierra</t>
  </si>
  <si>
    <t>Cable Cu LSHF No 12 AWG</t>
  </si>
  <si>
    <t>Fungibles para instalación de canaletas</t>
  </si>
  <si>
    <t>Fundente soldadura exotérmica grounding 150g</t>
  </si>
  <si>
    <t xml:space="preserve">Fungibles para instalación </t>
  </si>
  <si>
    <t>Cable 2/0 desnudo</t>
  </si>
  <si>
    <t>Excabación 0,8x1x0,2</t>
  </si>
  <si>
    <t>Caja para Grupo de medida en media tensión de 2 compartimientos</t>
  </si>
  <si>
    <t>Flejes y fungibles para instalación</t>
  </si>
  <si>
    <t>Contador trifásico tetrafilar calibrado clase 1 corriente 1 (6)A</t>
  </si>
  <si>
    <t>Suministro e instalación Varilla de Cobre 5/8"x8'</t>
  </si>
  <si>
    <t>Gel para puesta a tierra Hidrosolta</t>
  </si>
  <si>
    <t>Cinta en cero inoxidable 3/4"</t>
  </si>
  <si>
    <t>Hebilla en acero inoxidable para fleje</t>
  </si>
  <si>
    <t>Cable THHN/THWN 2 AWG</t>
  </si>
  <si>
    <t>Cable de medidaTHHN/THWN 10 AWG</t>
  </si>
  <si>
    <t>Calibración medidor</t>
  </si>
  <si>
    <t>CT tipo anillo 3000:5 5V</t>
  </si>
  <si>
    <t>Luminaria Sylvania LED tipo herméticas 50W, 6500K, 5300 Lm P24359</t>
  </si>
  <si>
    <t>Lámpara solar Lámpara solar para exteriores de alumbrado residencial tipo reflector de 3.000 lúmenes</t>
  </si>
  <si>
    <t>Poste Alfarda inmunizada 600 x Ø10 cm</t>
  </si>
  <si>
    <t>Fleje 1/2"</t>
  </si>
  <si>
    <t>Hebilla de acero inoxidable para fleje</t>
  </si>
  <si>
    <t>Tablero bifásico luminex 8 circuitos</t>
  </si>
  <si>
    <t>Breque enchufable 1x20A</t>
  </si>
  <si>
    <t>Breque enchufable 2x30A</t>
  </si>
  <si>
    <t>Anclaje y fungibes para instalación</t>
  </si>
  <si>
    <t>Herrajes varios y marquillas</t>
  </si>
  <si>
    <t>Transferencia automática 40A 220V</t>
  </si>
  <si>
    <t>Caja de inspección prefabricada 30x30</t>
  </si>
  <si>
    <t>Adaptador terminal PVC 1"</t>
  </si>
  <si>
    <t>Excavación 50x50x50cm</t>
  </si>
  <si>
    <t>Marco metáico 72x72cm (2 1/2" x 2 1/2" x 3/16")</t>
  </si>
  <si>
    <t>Kg acero de refuerzo 60000 PSI</t>
  </si>
  <si>
    <t>M3 hormigón en masa de 3500 PSI (Impermeabilizado e incluye formaleta)</t>
  </si>
  <si>
    <t>Sello para ducto</t>
  </si>
  <si>
    <t>Rejilla para drenaje 4"</t>
  </si>
  <si>
    <t>Tubería 4" drenaje</t>
  </si>
  <si>
    <t>Caliche o material seleccionado</t>
  </si>
  <si>
    <t>Tablestacado en madera</t>
  </si>
  <si>
    <t>Válvula cheque para drenaje 4"</t>
  </si>
  <si>
    <t>Sellante elástico</t>
  </si>
  <si>
    <t>Placa de identificación codensa para tapa de concreto</t>
  </si>
  <si>
    <t>Platina 2" x 3/16" para tapa de concreto</t>
  </si>
  <si>
    <t>Varilla 1/4" para tapa de concreto</t>
  </si>
  <si>
    <t>Concreto 2500 PSI 1:3:3 para tapa de concreto</t>
  </si>
  <si>
    <t>Varilla de acero 3/8" para manija para tapa de concreto</t>
  </si>
  <si>
    <t>Tubo de acero galvanizado 1/2" para tapa de concreto</t>
  </si>
  <si>
    <t>Tornillo de acero galvanizado con tuerca 5/8" x 12"</t>
  </si>
  <si>
    <t>Perno corto acero galvanizado 3/4 "- 3/4" x 3"</t>
  </si>
  <si>
    <t>Transformador trifásico 13,2/0,22 KV 30KVA conexión dyn 5 ABB</t>
  </si>
  <si>
    <t>Cruceta angular metálica 2400 mm</t>
  </si>
  <si>
    <t>Arandela plana redonda 5/8"</t>
  </si>
  <si>
    <t>Arandela curva cuadrada 2-1/4" x 2-1/4" x 3/16"</t>
  </si>
  <si>
    <t>Tubo portafusible de expulsión 15KV 100A</t>
  </si>
  <si>
    <t>Soporte p/secc. Fusible en cruceta angular</t>
  </si>
  <si>
    <t>Base corta ciucuito fusible KV 100A</t>
  </si>
  <si>
    <t>Fusible de expulsión tipo dúal 1A</t>
  </si>
  <si>
    <t>Conector cuña c/estribos ACSR (P-1/0/D-2) o AAAC (p-123,3/d2)</t>
  </si>
  <si>
    <t>Conector amobible (p:acsr 2-2/0- d:cu 6-2/0)</t>
  </si>
  <si>
    <t>Abrazadera de 200mm de una salida para trasformador</t>
  </si>
  <si>
    <t>Terminal comprensión bim. Tipo pletina 4/0 AWG, 2 per 1/2" b corto</t>
  </si>
  <si>
    <t>Arandela de presión de 1/2" en acero inoxidable</t>
  </si>
  <si>
    <t>Arandela plana redonda de 1/2" en acero inoxidable</t>
  </si>
  <si>
    <t>Tornillo de acero inoxidable de 1/2" x 2"</t>
  </si>
  <si>
    <t>Pararayos polímerico 12KV</t>
  </si>
  <si>
    <t>Diagonal metálica en varialla tipo 1</t>
  </si>
  <si>
    <t>Poste 12m 510 Kgf</t>
  </si>
  <si>
    <t>Excavación a mano en material común roca descompuesta, a cualquier profundidad (Incluye retiro a lugar autorizado)</t>
  </si>
  <si>
    <t>Subida a poste</t>
  </si>
  <si>
    <t>Camión con grúa hasta 6TON</t>
  </si>
  <si>
    <t xml:space="preserve">Tubería IMC 3" </t>
  </si>
  <si>
    <t>Capacete roscado en aluminio 3"</t>
  </si>
  <si>
    <t>Cable de acometida tipo THHN/THWN 4/0</t>
  </si>
  <si>
    <t>Bornas para ponchar 4/0 AWG</t>
  </si>
  <si>
    <t>Fleje de 1/2"</t>
  </si>
  <si>
    <t>Ebilla de acero inoxidable para fleje</t>
  </si>
  <si>
    <t>Tubería con duit PVC 3"</t>
  </si>
  <si>
    <t>Adaptador terminal PVC 3" tipo campana</t>
  </si>
  <si>
    <t xml:space="preserve">Excavación de 75x20x100cm </t>
  </si>
  <si>
    <t>Tubería PVC 1"</t>
  </si>
  <si>
    <t>Cable THHN/THWN 12</t>
  </si>
  <si>
    <t>Kit de Adaptador terminal 1" y demás accesorios</t>
  </si>
  <si>
    <t>Excavación 75x20x100cm</t>
  </si>
  <si>
    <t>Variador de velocidad siemens 6SL3210-5BE32-2UV0</t>
  </si>
  <si>
    <t>Controlador lógico programable siemens logo! 8</t>
  </si>
  <si>
    <t>Pulsadores N.A</t>
  </si>
  <si>
    <t>Lamparas de señalización</t>
  </si>
  <si>
    <t>Bloque de contacto</t>
  </si>
  <si>
    <t>Cableado de control AWG 16</t>
  </si>
  <si>
    <t>Kit de marcación, herrajes, rieles y accesorios</t>
  </si>
  <si>
    <t>Gabinete en acero de pared 0,9x0,7x0,3m con llave</t>
  </si>
  <si>
    <t>Gabinete de acero de pared 1,2x0,8x0,3m con llave</t>
  </si>
  <si>
    <t>Breque 3x50-10KA tipo industrial</t>
  </si>
  <si>
    <t>Breque 3x40-10KA tipo industrial</t>
  </si>
  <si>
    <t>Breque tipo riel 2x20-10KA</t>
  </si>
  <si>
    <t xml:space="preserve">Anclaje y fungibles para instalación </t>
  </si>
  <si>
    <t>Trasformador 3KBA 440/220V</t>
  </si>
  <si>
    <t xml:space="preserve">Breque 3x180-10KA </t>
  </si>
  <si>
    <t xml:space="preserve">Breque 3x165-10KA </t>
  </si>
  <si>
    <t xml:space="preserve">Breque 3x70-10KA </t>
  </si>
  <si>
    <t xml:space="preserve">Breque 2x60-10KA </t>
  </si>
  <si>
    <t>Breque monopolar tipo riel 20A</t>
  </si>
  <si>
    <t>DPS tipo l+ll 80KA 440V</t>
  </si>
  <si>
    <t>Varilla de cobre 5/8"x8'</t>
  </si>
  <si>
    <t xml:space="preserve">Exacavación </t>
  </si>
  <si>
    <t>Tubería con duit PVC 1"</t>
  </si>
  <si>
    <t>Cable Cu 6 AWG desnudo</t>
  </si>
  <si>
    <t>Caja de paso 12x12x5cm</t>
  </si>
  <si>
    <t>Chazo expansión hembra rosca interna 5/16"</t>
  </si>
  <si>
    <t>Cable Cu THHN No. 8</t>
  </si>
  <si>
    <t>Cable Cu THHN No. 2</t>
  </si>
  <si>
    <t>Bornas 2 AWG</t>
  </si>
  <si>
    <t>Terminales 8 AWG</t>
  </si>
  <si>
    <t>Tubería EMT 2"</t>
  </si>
  <si>
    <t>Coraza liquid tight 2"</t>
  </si>
  <si>
    <t>Conector recto coraza liquid 2"</t>
  </si>
  <si>
    <t>Elementos de marcación</t>
  </si>
  <si>
    <t xml:space="preserve">Arracandor suave siemens 3RW4047-1BB14 </t>
  </si>
  <si>
    <t>Controlador lógico programable siemenes logo DM16230R</t>
  </si>
  <si>
    <t>Kit de marcacion, herrajes, rieles y accesorios</t>
  </si>
  <si>
    <t xml:space="preserve">Arrancador suave siemens 3RW4028 -1BB14 </t>
  </si>
  <si>
    <t>Controlador lógico programable logo 8</t>
  </si>
  <si>
    <t>Gabinete en acero de pared 1,2x0,8x0,3m com llave</t>
  </si>
  <si>
    <t>Guardamotor chint 56-80A15KA</t>
  </si>
  <si>
    <t>Breque 3x100-25KA DRX125, l nominal 100A</t>
  </si>
  <si>
    <t>Breque tipo riel 1x20-10KA</t>
  </si>
  <si>
    <t>Anclaje y fungibles para instalación</t>
  </si>
  <si>
    <t>Herrajes y marquillas</t>
  </si>
  <si>
    <t>Tubería con duit EMT 2"</t>
  </si>
  <si>
    <t>Curva EMT 2"</t>
  </si>
  <si>
    <t>Accesorios EMT 2"</t>
  </si>
  <si>
    <t>Tubería con duit PVC 2"</t>
  </si>
  <si>
    <t>Adaptador terminal PVC 2" tipo campana</t>
  </si>
  <si>
    <t>Cable termoflex procable 4x4 acto para bombas sumergibles</t>
  </si>
  <si>
    <t>Terminales 4 AWG</t>
  </si>
  <si>
    <t>Elementos de fijación</t>
  </si>
  <si>
    <t>Poste de concreto pretensado 510kgf 12m</t>
  </si>
  <si>
    <t>Brazo para luminaria 1,2m 5-6 codensa</t>
  </si>
  <si>
    <t>Abrazadera para poste 5-6 140mm</t>
  </si>
  <si>
    <t>Led solar integrada S40 6K P25441</t>
  </si>
  <si>
    <t>Cada de paso 12x12x5</t>
  </si>
  <si>
    <t>Chazo de expansión hembra rosca interna 5/16"</t>
  </si>
  <si>
    <t>Cable Cu THHN No. 10</t>
  </si>
  <si>
    <t>Terminales 10 AWG</t>
  </si>
  <si>
    <t>Tubería EMT 3/4"</t>
  </si>
  <si>
    <t>Coraza liquid tight 3/4"</t>
  </si>
  <si>
    <t>Conector curvo coraza liquid 3/4"</t>
  </si>
  <si>
    <t>Arrancador suave siemens 3RW4027-1BB14</t>
  </si>
  <si>
    <t>Controlador lógico programable siemens logo 8</t>
  </si>
  <si>
    <t xml:space="preserve">Lamparas de señalización </t>
  </si>
  <si>
    <t>Tablero bifásico luminex 8 ctos</t>
  </si>
  <si>
    <t>Gabinete en acero de pared 1,2x0,8x0,3 con llave</t>
  </si>
  <si>
    <t>Breque 3x80-10KA tipo industrial</t>
  </si>
  <si>
    <t>Breque 3x75-10KA tipo industrial</t>
  </si>
  <si>
    <t>Tubería IMC 2"</t>
  </si>
  <si>
    <t>Capacete roscado en aluminio 2"</t>
  </si>
  <si>
    <t>Cable de acometida tipo concéntrica a CU 3x8F+1x10N</t>
  </si>
  <si>
    <t>Bornas para ponchar 8AWG</t>
  </si>
  <si>
    <t>Tensor para anclaje de acometida</t>
  </si>
  <si>
    <t>Gabinete en acero de ared 1,2x0,80x0,30m con llave</t>
  </si>
  <si>
    <t>Guardamotor chint 24-32A</t>
  </si>
  <si>
    <t>Breaker 3x40-10KA tipo industrial</t>
  </si>
  <si>
    <t>Breaker tipo riel 2x20-10KA</t>
  </si>
  <si>
    <t>Anclajes y fungibles para instalación</t>
  </si>
  <si>
    <t>Transformdor 3KVA 440/220V</t>
  </si>
  <si>
    <t>Gabinete en acero de pared 1,20x0,80x0,30m con llave</t>
  </si>
  <si>
    <t>Guardamotor chint 9-14A</t>
  </si>
  <si>
    <t>Breaker 2x40-10KA iterruptor TX nominal 40 A</t>
  </si>
  <si>
    <t>Breaker tipo riel 1x20-10KA</t>
  </si>
  <si>
    <t>Tablero electrico 12 ctos tipo riel</t>
  </si>
  <si>
    <t>Guardamotor chint 6-10A</t>
  </si>
  <si>
    <t>KIT DE ENTRADA PARA RECOLECCIÓN DE LODOS DESDE LA PTAP MÓDULAR TIPO 2 (INCLUYE VÁLVULA, CODO, TEE, HERRAMIENTA MENOR Y MANO DE OBRA)</t>
  </si>
  <si>
    <t>Válvula flotador 4" en hierro ductil</t>
  </si>
  <si>
    <t>CUADRILLAS MANO DE OBRA</t>
  </si>
  <si>
    <t>ID</t>
  </si>
  <si>
    <t>SALARIO</t>
  </si>
  <si>
    <t>VALOR DÍA</t>
  </si>
  <si>
    <t>O-01</t>
  </si>
  <si>
    <t>Topógrafo</t>
  </si>
  <si>
    <t>O-02</t>
  </si>
  <si>
    <t>Cadenero</t>
  </si>
  <si>
    <t>O-03</t>
  </si>
  <si>
    <t>Trochero</t>
  </si>
  <si>
    <t>FACTOR PRESTACIONAL</t>
  </si>
  <si>
    <t>O-04</t>
  </si>
  <si>
    <t>Ayudante Albañilería</t>
  </si>
  <si>
    <t>O-05</t>
  </si>
  <si>
    <t>Oficial Albañilería</t>
  </si>
  <si>
    <t>O-06</t>
  </si>
  <si>
    <t>Ayudante B (Inst. Elec, Hidr y San)</t>
  </si>
  <si>
    <t>S.M.L.D.V</t>
  </si>
  <si>
    <t>O-07</t>
  </si>
  <si>
    <t>Oficial B (Inst. Elec, Hidr y San)</t>
  </si>
  <si>
    <t>O-08</t>
  </si>
  <si>
    <t>Ayudante C (Carpinterias)</t>
  </si>
  <si>
    <t>O-09</t>
  </si>
  <si>
    <t>Oficial C (Carpinterias)</t>
  </si>
  <si>
    <t>O-10</t>
  </si>
  <si>
    <t>Ayudante D (Pinturas y Acabados)</t>
  </si>
  <si>
    <t>O-11</t>
  </si>
  <si>
    <t>Oficial D (Pinturas y Acabados)</t>
  </si>
  <si>
    <t>O-12</t>
  </si>
  <si>
    <t>Maestro de Obra</t>
  </si>
  <si>
    <t>CUADRILLA</t>
  </si>
  <si>
    <t>DÍA</t>
  </si>
  <si>
    <t>TOPÓGRAFO - MAESTRO  - OFICIAL</t>
  </si>
  <si>
    <t>CADENERO - AYUDANTE</t>
  </si>
  <si>
    <t>TROCHERO</t>
  </si>
  <si>
    <t>Cuadrilla 4: 1 Ayudante B</t>
  </si>
  <si>
    <t>Cuadrilla 10: 1 OfcA + 6 AyuA</t>
  </si>
  <si>
    <t>Cuadrilla 11: 1Ma+1OfcA+1AyuA</t>
  </si>
  <si>
    <t>Cuadrilla 12: 1Ma+1OfcA+2AyuA</t>
  </si>
  <si>
    <t>Cuadrilla 13: 1Ma+1OfcA+3AyuA</t>
  </si>
  <si>
    <t>Cuadrilla 14: 1Ma+1OfcA+4AyuA</t>
  </si>
  <si>
    <t>Cuadrilla 15: 1Ma+1OfcA+5AyuA</t>
  </si>
  <si>
    <t>Cuadrilla 16: 1Ma+1OfcA+6AyuA</t>
  </si>
  <si>
    <t>Cuadrilla 20: 1 OfcB + 4 AyuB</t>
  </si>
  <si>
    <t>Cuadrilla 21: 1 OfcB + 5 AyuB</t>
  </si>
  <si>
    <t>Cuadrilla 22: 1 OfcC - 1 AyuC</t>
  </si>
  <si>
    <t>Cuadrilla 23: 1 OfcC - 2 AyuC</t>
  </si>
  <si>
    <t>Cuadrilla 24: 1 OfcC - 3 AyuC</t>
  </si>
  <si>
    <t>Cuadrilla 27: 1 OfcD - 2 AyuD</t>
  </si>
  <si>
    <t>Cuadrilla 28: 1 OfcD - 3 AyuD</t>
  </si>
  <si>
    <t>Cuadrilla 30: 1 OfcA</t>
  </si>
  <si>
    <t>Cuadrilla 31: 1 OfcB</t>
  </si>
  <si>
    <t>Cuadrilla 29: 1 OfcC</t>
  </si>
  <si>
    <t>Cuadrilla 29: 1 OfcD</t>
  </si>
  <si>
    <t>Maestro</t>
  </si>
  <si>
    <t>Ayudante</t>
  </si>
  <si>
    <t>Oficial</t>
  </si>
  <si>
    <t>Cuadrilla 4: Instalaciones hidráulica y sanitaria</t>
  </si>
  <si>
    <t>Cuadrilla 5: Mezclas</t>
  </si>
  <si>
    <t>Cuadrilla 6: Pavimentos</t>
  </si>
  <si>
    <t>Comisión de topografía</t>
  </si>
  <si>
    <t>Oficial + Ayudante</t>
  </si>
  <si>
    <t>LISTA DE MATERIALES</t>
  </si>
  <si>
    <t>COSTO TOTAL</t>
  </si>
  <si>
    <t>COSTO DIRECTO</t>
  </si>
  <si>
    <t>COTIZACIÓN 1</t>
  </si>
  <si>
    <t>M001</t>
  </si>
  <si>
    <t>% M.O.</t>
  </si>
  <si>
    <t>M002</t>
  </si>
  <si>
    <t>Día</t>
  </si>
  <si>
    <t>M003</t>
  </si>
  <si>
    <t>M004</t>
  </si>
  <si>
    <t>M005</t>
  </si>
  <si>
    <t>Libra</t>
  </si>
  <si>
    <t>M006</t>
  </si>
  <si>
    <t>ml</t>
  </si>
  <si>
    <t>M007</t>
  </si>
  <si>
    <t>M008</t>
  </si>
  <si>
    <t>M009</t>
  </si>
  <si>
    <t>M010</t>
  </si>
  <si>
    <t>M011</t>
  </si>
  <si>
    <t>Lt</t>
  </si>
  <si>
    <t>M012</t>
  </si>
  <si>
    <t>M013</t>
  </si>
  <si>
    <t>M014</t>
  </si>
  <si>
    <t>M015</t>
  </si>
  <si>
    <t>M016</t>
  </si>
  <si>
    <t>m2</t>
  </si>
  <si>
    <t>M017</t>
  </si>
  <si>
    <t>M018</t>
  </si>
  <si>
    <t>M019</t>
  </si>
  <si>
    <t>M020</t>
  </si>
  <si>
    <t>M021</t>
  </si>
  <si>
    <t>M022</t>
  </si>
  <si>
    <t>M023</t>
  </si>
  <si>
    <t>M024</t>
  </si>
  <si>
    <t>M025</t>
  </si>
  <si>
    <t>M026</t>
  </si>
  <si>
    <t>M027</t>
  </si>
  <si>
    <t>M028</t>
  </si>
  <si>
    <t>M029</t>
  </si>
  <si>
    <t>M030</t>
  </si>
  <si>
    <t>M031</t>
  </si>
  <si>
    <t>M032</t>
  </si>
  <si>
    <t>M033</t>
  </si>
  <si>
    <t>LB</t>
  </si>
  <si>
    <t>M034</t>
  </si>
  <si>
    <t>M035</t>
  </si>
  <si>
    <t>M036</t>
  </si>
  <si>
    <t>M037</t>
  </si>
  <si>
    <t>M038</t>
  </si>
  <si>
    <t>M039</t>
  </si>
  <si>
    <t>M040</t>
  </si>
  <si>
    <t>M041</t>
  </si>
  <si>
    <t>M042</t>
  </si>
  <si>
    <t>M043</t>
  </si>
  <si>
    <t>M044</t>
  </si>
  <si>
    <t>M045</t>
  </si>
  <si>
    <t>M046</t>
  </si>
  <si>
    <t>M047</t>
  </si>
  <si>
    <t>M048</t>
  </si>
  <si>
    <t>M049</t>
  </si>
  <si>
    <t>M050</t>
  </si>
  <si>
    <t>M051</t>
  </si>
  <si>
    <t>M052</t>
  </si>
  <si>
    <t>M053</t>
  </si>
  <si>
    <t>M054</t>
  </si>
  <si>
    <t>M055</t>
  </si>
  <si>
    <t>M056</t>
  </si>
  <si>
    <t>M057</t>
  </si>
  <si>
    <t>M058</t>
  </si>
  <si>
    <t>M059</t>
  </si>
  <si>
    <t>M060</t>
  </si>
  <si>
    <t>M061</t>
  </si>
  <si>
    <t>M062</t>
  </si>
  <si>
    <t>M063</t>
  </si>
  <si>
    <t>M064</t>
  </si>
  <si>
    <t>M065</t>
  </si>
  <si>
    <t>M066</t>
  </si>
  <si>
    <t>M067</t>
  </si>
  <si>
    <t>M068</t>
  </si>
  <si>
    <t>M069</t>
  </si>
  <si>
    <t>M070</t>
  </si>
  <si>
    <t>M071</t>
  </si>
  <si>
    <t>M072</t>
  </si>
  <si>
    <t>M073</t>
  </si>
  <si>
    <t>M074</t>
  </si>
  <si>
    <t>M075</t>
  </si>
  <si>
    <t>M076</t>
  </si>
  <si>
    <t>M077</t>
  </si>
  <si>
    <r>
      <rPr>
        <sz val="10"/>
        <color theme="1"/>
        <rFont val="Century Gothic"/>
        <family val="2"/>
      </rPr>
      <t xml:space="preserve">Unión universal </t>
    </r>
    <r>
      <rPr>
        <sz val="10"/>
        <color theme="1"/>
        <rFont val="Calibri"/>
        <family val="2"/>
      </rPr>
      <t>Ø</t>
    </r>
    <r>
      <rPr>
        <sz val="9"/>
        <color theme="1"/>
        <rFont val="Century Gothic"/>
        <family val="2"/>
      </rPr>
      <t>4 en hierro ductil</t>
    </r>
  </si>
  <si>
    <t>M078</t>
  </si>
  <si>
    <r>
      <rPr>
        <sz val="10"/>
        <color theme="1"/>
        <rFont val="Century Gothic"/>
        <family val="2"/>
      </rPr>
      <t xml:space="preserve">Unión universal </t>
    </r>
    <r>
      <rPr>
        <sz val="10"/>
        <color theme="1"/>
        <rFont val="Calibri"/>
        <family val="2"/>
      </rPr>
      <t>Ø6</t>
    </r>
    <r>
      <rPr>
        <sz val="9"/>
        <color theme="1"/>
        <rFont val="Century Gothic"/>
        <family val="2"/>
      </rPr>
      <t xml:space="preserve"> en hierro ductil</t>
    </r>
  </si>
  <si>
    <t>M079</t>
  </si>
  <si>
    <t>M080</t>
  </si>
  <si>
    <t>Adaptador brida universal Ø6 en hierro ductil</t>
  </si>
  <si>
    <t>M081</t>
  </si>
  <si>
    <t>M082</t>
  </si>
  <si>
    <t>M083</t>
  </si>
  <si>
    <t>M084</t>
  </si>
  <si>
    <t>M085</t>
  </si>
  <si>
    <t>M086</t>
  </si>
  <si>
    <t>M087</t>
  </si>
  <si>
    <t>M088</t>
  </si>
  <si>
    <t>M089</t>
  </si>
  <si>
    <t>M090</t>
  </si>
  <si>
    <t>M091</t>
  </si>
  <si>
    <t>M092</t>
  </si>
  <si>
    <t>M093</t>
  </si>
  <si>
    <t>M094</t>
  </si>
  <si>
    <t>M095</t>
  </si>
  <si>
    <t>M096</t>
  </si>
  <si>
    <t>M097</t>
  </si>
  <si>
    <t>M098</t>
  </si>
  <si>
    <t>M099</t>
  </si>
  <si>
    <t>M100</t>
  </si>
  <si>
    <t>M101</t>
  </si>
  <si>
    <t>M102</t>
  </si>
  <si>
    <t>M103</t>
  </si>
  <si>
    <t>Válvula de compuerta con vastago ascendente</t>
  </si>
  <si>
    <t>M104</t>
  </si>
  <si>
    <t>M105</t>
  </si>
  <si>
    <t>M106</t>
  </si>
  <si>
    <t>M107</t>
  </si>
  <si>
    <t>M108</t>
  </si>
  <si>
    <t>M109</t>
  </si>
  <si>
    <t>M110</t>
  </si>
  <si>
    <t>M111</t>
  </si>
  <si>
    <t>M112</t>
  </si>
  <si>
    <r>
      <rPr>
        <sz val="10"/>
        <color theme="1"/>
        <rFont val="Century Gothic"/>
        <family val="2"/>
      </rPr>
      <t xml:space="preserve">Compuerta deslizante con rueda de manejo y vastago ascendente </t>
    </r>
    <r>
      <rPr>
        <sz val="10"/>
        <color theme="1"/>
        <rFont val="Calibri"/>
        <family val="2"/>
      </rPr>
      <t>Ø</t>
    </r>
    <r>
      <rPr>
        <sz val="9"/>
        <color theme="1"/>
        <rFont val="Century Gothic"/>
        <family val="2"/>
      </rPr>
      <t>6" en hierro ductil</t>
    </r>
  </si>
  <si>
    <t>M113</t>
  </si>
  <si>
    <t>M114</t>
  </si>
  <si>
    <t>M115</t>
  </si>
  <si>
    <t>M116</t>
  </si>
  <si>
    <t>M117</t>
  </si>
  <si>
    <t>M118</t>
  </si>
  <si>
    <t>M119</t>
  </si>
  <si>
    <t>M120</t>
  </si>
  <si>
    <t>M121</t>
  </si>
  <si>
    <t>M122</t>
  </si>
  <si>
    <t>M123</t>
  </si>
  <si>
    <t>M124</t>
  </si>
  <si>
    <t>M125</t>
  </si>
  <si>
    <t>M126</t>
  </si>
  <si>
    <t>M127</t>
  </si>
  <si>
    <t>M128</t>
  </si>
  <si>
    <t>M129</t>
  </si>
  <si>
    <t>M130</t>
  </si>
  <si>
    <t>M131</t>
  </si>
  <si>
    <t>M132</t>
  </si>
  <si>
    <t>M133</t>
  </si>
  <si>
    <t>M134</t>
  </si>
  <si>
    <t>M135</t>
  </si>
  <si>
    <t>M136</t>
  </si>
  <si>
    <t>M137</t>
  </si>
  <si>
    <t>M138</t>
  </si>
  <si>
    <t>M139</t>
  </si>
  <si>
    <t>M140</t>
  </si>
  <si>
    <t>M141</t>
  </si>
  <si>
    <t>M142</t>
  </si>
  <si>
    <t>M143</t>
  </si>
  <si>
    <t>M144</t>
  </si>
  <si>
    <t>M145</t>
  </si>
  <si>
    <t>M146</t>
  </si>
  <si>
    <t>M147</t>
  </si>
  <si>
    <t>M148</t>
  </si>
  <si>
    <t>M149</t>
  </si>
  <si>
    <t>M150</t>
  </si>
  <si>
    <t>M151</t>
  </si>
  <si>
    <t>M152</t>
  </si>
  <si>
    <t>M153</t>
  </si>
  <si>
    <t>M154</t>
  </si>
  <si>
    <t>M155</t>
  </si>
  <si>
    <t>M156</t>
  </si>
  <si>
    <t>M157</t>
  </si>
  <si>
    <t>M158</t>
  </si>
  <si>
    <t>M159</t>
  </si>
  <si>
    <t>M160</t>
  </si>
  <si>
    <t>M161</t>
  </si>
  <si>
    <t>M162</t>
  </si>
  <si>
    <t>M163</t>
  </si>
  <si>
    <t>M164</t>
  </si>
  <si>
    <t>M165</t>
  </si>
  <si>
    <t>M166</t>
  </si>
  <si>
    <t>M167</t>
  </si>
  <si>
    <t>M168</t>
  </si>
  <si>
    <t>M169</t>
  </si>
  <si>
    <t>M170</t>
  </si>
  <si>
    <t>M171</t>
  </si>
  <si>
    <t>M172</t>
  </si>
  <si>
    <t>M173</t>
  </si>
  <si>
    <t>M174</t>
  </si>
  <si>
    <t>M175</t>
  </si>
  <si>
    <t>M176</t>
  </si>
  <si>
    <t>M177</t>
  </si>
  <si>
    <t>M178</t>
  </si>
  <si>
    <t>M179</t>
  </si>
  <si>
    <t>M180</t>
  </si>
  <si>
    <t>M181</t>
  </si>
  <si>
    <t>M182</t>
  </si>
  <si>
    <t>M183</t>
  </si>
  <si>
    <t>M184</t>
  </si>
  <si>
    <t>M185</t>
  </si>
  <si>
    <t>M186</t>
  </si>
  <si>
    <t>M187</t>
  </si>
  <si>
    <t>M188</t>
  </si>
  <si>
    <t>M189</t>
  </si>
  <si>
    <t>M190</t>
  </si>
  <si>
    <t>M191</t>
  </si>
  <si>
    <t>M192</t>
  </si>
  <si>
    <t>M193</t>
  </si>
  <si>
    <t>Motobomba 15A - 3TW Hato Nuevo</t>
  </si>
  <si>
    <t>M194</t>
  </si>
  <si>
    <t>M195</t>
  </si>
  <si>
    <t>M196</t>
  </si>
  <si>
    <t>M197</t>
  </si>
  <si>
    <t>M198</t>
  </si>
  <si>
    <t>M199</t>
  </si>
  <si>
    <r>
      <rPr>
        <sz val="10"/>
        <color theme="1"/>
        <rFont val="Century Gothic"/>
        <family val="2"/>
      </rPr>
      <t xml:space="preserve">Pasamuro </t>
    </r>
    <r>
      <rPr>
        <sz val="10"/>
        <color theme="1"/>
        <rFont val="Calibri"/>
        <family val="2"/>
      </rPr>
      <t>Ø</t>
    </r>
    <r>
      <rPr>
        <sz val="10"/>
        <color theme="1"/>
        <rFont val="Century Gothic"/>
        <family val="2"/>
      </rPr>
      <t>6" L=0,25M en hierro ductil</t>
    </r>
  </si>
  <si>
    <t>M200</t>
  </si>
  <si>
    <r>
      <rPr>
        <sz val="10"/>
        <color theme="1"/>
        <rFont val="Century Gothic"/>
        <family val="2"/>
      </rPr>
      <t xml:space="preserve">Pasamuro </t>
    </r>
    <r>
      <rPr>
        <sz val="10"/>
        <color theme="1"/>
        <rFont val="Calibri"/>
        <family val="2"/>
      </rPr>
      <t>Ø</t>
    </r>
    <r>
      <rPr>
        <sz val="10"/>
        <color theme="1"/>
        <rFont val="Century Gothic"/>
        <family val="2"/>
      </rPr>
      <t>6" L=0,50M en hierro ductil</t>
    </r>
  </si>
  <si>
    <t>M201</t>
  </si>
  <si>
    <r>
      <rPr>
        <sz val="10"/>
        <color theme="1"/>
        <rFont val="Century Gothic"/>
        <family val="2"/>
      </rPr>
      <t xml:space="preserve">Pasamuro </t>
    </r>
    <r>
      <rPr>
        <sz val="10"/>
        <color theme="1"/>
        <rFont val="Calibri"/>
        <family val="2"/>
      </rPr>
      <t>Ø</t>
    </r>
    <r>
      <rPr>
        <sz val="10"/>
        <color theme="1"/>
        <rFont val="Century Gothic"/>
        <family val="2"/>
      </rPr>
      <t>6" L=1M en hierro ductil</t>
    </r>
  </si>
  <si>
    <t>M202</t>
  </si>
  <si>
    <t>M203</t>
  </si>
  <si>
    <t>M204</t>
  </si>
  <si>
    <t>M205</t>
  </si>
  <si>
    <t>M206</t>
  </si>
  <si>
    <t>M207</t>
  </si>
  <si>
    <t>M208</t>
  </si>
  <si>
    <t>M209</t>
  </si>
  <si>
    <t>M210</t>
  </si>
  <si>
    <t>M211</t>
  </si>
  <si>
    <t>M212</t>
  </si>
  <si>
    <t>M213</t>
  </si>
  <si>
    <t>M214</t>
  </si>
  <si>
    <t>M215</t>
  </si>
  <si>
    <t>M216</t>
  </si>
  <si>
    <t>Codo acero negro 2" 200 PSI roscar</t>
  </si>
  <si>
    <t>M217</t>
  </si>
  <si>
    <t>Transporte cantera</t>
  </si>
  <si>
    <t>M218</t>
  </si>
  <si>
    <t>Disposición de material</t>
  </si>
  <si>
    <t>M219</t>
  </si>
  <si>
    <t>M220</t>
  </si>
  <si>
    <t>M221</t>
  </si>
  <si>
    <t>M222</t>
  </si>
  <si>
    <t>M223</t>
  </si>
  <si>
    <t>M224</t>
  </si>
  <si>
    <r>
      <rPr>
        <sz val="10"/>
        <color theme="1"/>
        <rFont val="Century Gothic"/>
        <family val="2"/>
      </rPr>
      <t xml:space="preserve">Niple 1m </t>
    </r>
    <r>
      <rPr>
        <sz val="10"/>
        <color theme="1"/>
        <rFont val="Calibri"/>
        <family val="2"/>
      </rPr>
      <t>Ø</t>
    </r>
    <r>
      <rPr>
        <sz val="10"/>
        <color theme="1"/>
        <rFont val="Century Gothic"/>
        <family val="2"/>
      </rPr>
      <t>6" en hierro ductil con extremos bridados</t>
    </r>
  </si>
  <si>
    <t>M225</t>
  </si>
  <si>
    <t>Cheque Ø6" en hierro ductil con extremos bridados</t>
  </si>
  <si>
    <t>M226</t>
  </si>
  <si>
    <t>M227</t>
  </si>
  <si>
    <t>M228</t>
  </si>
  <si>
    <t>M229</t>
  </si>
  <si>
    <t>M230</t>
  </si>
  <si>
    <t>M231</t>
  </si>
  <si>
    <t>M232</t>
  </si>
  <si>
    <t>M233</t>
  </si>
  <si>
    <t>M234</t>
  </si>
  <si>
    <t>M235</t>
  </si>
  <si>
    <t>M236</t>
  </si>
  <si>
    <t>M237</t>
  </si>
  <si>
    <t>M238</t>
  </si>
  <si>
    <t>M239</t>
  </si>
  <si>
    <t>M240</t>
  </si>
  <si>
    <t>M241</t>
  </si>
  <si>
    <t>M242</t>
  </si>
  <si>
    <t>M243</t>
  </si>
  <si>
    <t>M244</t>
  </si>
  <si>
    <t>Suministro e instalación de niple pasamuro EBxEB de Ø4" L=0,73 m en hierro ductil</t>
  </si>
  <si>
    <t>M245</t>
  </si>
  <si>
    <t>Suministro e instalación de válvula ventosa triple acción Ø4" en hierro ductil</t>
  </si>
  <si>
    <t>M246</t>
  </si>
  <si>
    <t>M247</t>
  </si>
  <si>
    <t>M248</t>
  </si>
  <si>
    <t>M249</t>
  </si>
  <si>
    <t>M250</t>
  </si>
  <si>
    <t>Suministro e instalación de niple pasamuro EBxEB de Ø3" L=0,31 m en hierro ductil</t>
  </si>
  <si>
    <t>M251</t>
  </si>
  <si>
    <t>Suministro e instalación de niple pasamuro EBxEB de Ø3" L=0,15 m en hierro ductil</t>
  </si>
  <si>
    <t>M252</t>
  </si>
  <si>
    <t>Suministro e instalación de niple pasamuro EBxEB de Ø3" L=0,40 m en hierro ductil</t>
  </si>
  <si>
    <t>M253</t>
  </si>
  <si>
    <t>Suministro e instalación de tee EBxEB de Ø3" en hierro ductil</t>
  </si>
  <si>
    <t>M254</t>
  </si>
  <si>
    <r>
      <rPr>
        <sz val="10"/>
        <color theme="1"/>
        <rFont val="Century Gothic"/>
        <family val="2"/>
      </rPr>
      <t xml:space="preserve">Suministro e instalación de válvula de compuerta con volante de </t>
    </r>
    <r>
      <rPr>
        <sz val="10"/>
        <color theme="1"/>
        <rFont val="Calibri"/>
        <family val="2"/>
      </rPr>
      <t>Ø</t>
    </r>
    <r>
      <rPr>
        <sz val="10"/>
        <color theme="1"/>
        <rFont val="Century Gothic"/>
        <family val="2"/>
      </rPr>
      <t>3" y hierro ductil</t>
    </r>
  </si>
  <si>
    <t>M255</t>
  </si>
  <si>
    <t>M256</t>
  </si>
  <si>
    <t>M257</t>
  </si>
  <si>
    <t>M258</t>
  </si>
  <si>
    <t>M259</t>
  </si>
  <si>
    <t>M260</t>
  </si>
  <si>
    <t>M261</t>
  </si>
  <si>
    <t>M262</t>
  </si>
  <si>
    <t>M263</t>
  </si>
  <si>
    <t>M264</t>
  </si>
  <si>
    <t>M265</t>
  </si>
  <si>
    <t>M266</t>
  </si>
  <si>
    <t>M267</t>
  </si>
  <si>
    <t>Suministro e instalación de válvula ventosa triple acción Ø2" en hierro ductil</t>
  </si>
  <si>
    <t>M268</t>
  </si>
  <si>
    <t>Junta de construcción hidrofílica para unión de estructuras</t>
  </si>
  <si>
    <t>mililitro</t>
  </si>
  <si>
    <t>M269</t>
  </si>
  <si>
    <t>M270</t>
  </si>
  <si>
    <t>M271</t>
  </si>
  <si>
    <r>
      <rPr>
        <sz val="10"/>
        <color theme="1"/>
        <rFont val="Century Gothic"/>
        <family val="2"/>
      </rPr>
      <t xml:space="preserve">Unión universal </t>
    </r>
    <r>
      <rPr>
        <sz val="10"/>
        <color theme="1"/>
        <rFont val="Calibri"/>
        <family val="2"/>
      </rPr>
      <t>Ø</t>
    </r>
    <r>
      <rPr>
        <sz val="10"/>
        <color theme="1"/>
        <rFont val="Century Gothic"/>
        <family val="2"/>
      </rPr>
      <t>3" en hierro ductil</t>
    </r>
  </si>
  <si>
    <t>M272</t>
  </si>
  <si>
    <r>
      <rPr>
        <sz val="10"/>
        <color theme="1"/>
        <rFont val="Century Gothic"/>
        <family val="2"/>
      </rPr>
      <t xml:space="preserve">Suministro e instalacion de unión universal </t>
    </r>
    <r>
      <rPr>
        <sz val="10"/>
        <color theme="1"/>
        <rFont val="Calibri"/>
        <family val="2"/>
      </rPr>
      <t>Ø</t>
    </r>
    <r>
      <rPr>
        <sz val="10"/>
        <color theme="1"/>
        <rFont val="Century Gothic"/>
        <family val="2"/>
      </rPr>
      <t>3" en hierro ductil</t>
    </r>
  </si>
  <si>
    <t>M273</t>
  </si>
  <si>
    <t>M274</t>
  </si>
  <si>
    <t>M275</t>
  </si>
  <si>
    <t>M276</t>
  </si>
  <si>
    <t>M277</t>
  </si>
  <si>
    <t>M278</t>
  </si>
  <si>
    <t>M279</t>
  </si>
  <si>
    <t>M280</t>
  </si>
  <si>
    <t>M281</t>
  </si>
  <si>
    <t>M282</t>
  </si>
  <si>
    <t>M283</t>
  </si>
  <si>
    <t>M284</t>
  </si>
  <si>
    <t>M285</t>
  </si>
  <si>
    <t>M286</t>
  </si>
  <si>
    <t>M287</t>
  </si>
  <si>
    <t>Disco desbaste para metal 4 1/2" de uso general</t>
  </si>
  <si>
    <t>M288</t>
  </si>
  <si>
    <t>M289</t>
  </si>
  <si>
    <t>M290</t>
  </si>
  <si>
    <t>M291</t>
  </si>
  <si>
    <r>
      <rPr>
        <sz val="10"/>
        <color theme="1"/>
        <rFont val="Century Gothic"/>
        <family val="2"/>
      </rPr>
      <t xml:space="preserve">Codo 11,25° de </t>
    </r>
    <r>
      <rPr>
        <sz val="10"/>
        <color theme="1"/>
        <rFont val="Calibri"/>
        <family val="2"/>
      </rPr>
      <t>Ø</t>
    </r>
    <r>
      <rPr>
        <sz val="10"/>
        <color theme="1"/>
        <rFont val="Century Gothic"/>
        <family val="2"/>
      </rPr>
      <t>2" con unión mecánica en hierro ductil</t>
    </r>
  </si>
  <si>
    <t>M292</t>
  </si>
  <si>
    <r>
      <rPr>
        <sz val="10"/>
        <color theme="1"/>
        <rFont val="Century Gothic"/>
        <family val="2"/>
      </rPr>
      <t xml:space="preserve">Codo 11,25° de </t>
    </r>
    <r>
      <rPr>
        <sz val="10"/>
        <color theme="1"/>
        <rFont val="Calibri"/>
        <family val="2"/>
      </rPr>
      <t>Ø3</t>
    </r>
    <r>
      <rPr>
        <sz val="10"/>
        <color theme="1"/>
        <rFont val="Century Gothic"/>
        <family val="2"/>
      </rPr>
      <t>" con unión mecánica en hierro ductil</t>
    </r>
  </si>
  <si>
    <t>M293</t>
  </si>
  <si>
    <r>
      <rPr>
        <sz val="10"/>
        <color theme="1"/>
        <rFont val="Century Gothic"/>
        <family val="2"/>
      </rPr>
      <t xml:space="preserve">Codo 11,25° de </t>
    </r>
    <r>
      <rPr>
        <sz val="10"/>
        <color theme="1"/>
        <rFont val="Calibri"/>
        <family val="2"/>
      </rPr>
      <t>Ø4</t>
    </r>
    <r>
      <rPr>
        <sz val="10"/>
        <color theme="1"/>
        <rFont val="Century Gothic"/>
        <family val="2"/>
      </rPr>
      <t>" con unión mecánica en hierro ductil</t>
    </r>
  </si>
  <si>
    <t>M294</t>
  </si>
  <si>
    <t>M295</t>
  </si>
  <si>
    <t>M296</t>
  </si>
  <si>
    <t>M297</t>
  </si>
  <si>
    <t>M298</t>
  </si>
  <si>
    <t>M299</t>
  </si>
  <si>
    <t>M300</t>
  </si>
  <si>
    <t>M301</t>
  </si>
  <si>
    <t>M302</t>
  </si>
  <si>
    <t>M303</t>
  </si>
  <si>
    <t>M304</t>
  </si>
  <si>
    <t>M305</t>
  </si>
  <si>
    <t>M306</t>
  </si>
  <si>
    <t>M307</t>
  </si>
  <si>
    <r>
      <rPr>
        <sz val="10"/>
        <color theme="1"/>
        <rFont val="Century Gothic"/>
        <family val="2"/>
      </rPr>
      <t xml:space="preserve">Válvula de compuerta elástica </t>
    </r>
    <r>
      <rPr>
        <sz val="10"/>
        <color theme="1"/>
        <rFont val="Calibri"/>
        <family val="2"/>
      </rPr>
      <t>Ø</t>
    </r>
    <r>
      <rPr>
        <sz val="10"/>
        <color theme="1"/>
        <rFont val="Century Gothic"/>
        <family val="2"/>
      </rPr>
      <t>2" con unión mecánica en hierro ductil</t>
    </r>
  </si>
  <si>
    <t>M308</t>
  </si>
  <si>
    <r>
      <rPr>
        <sz val="10"/>
        <color theme="1"/>
        <rFont val="Century Gothic"/>
        <family val="2"/>
      </rPr>
      <t xml:space="preserve">Tubo pead RDE 11 de </t>
    </r>
    <r>
      <rPr>
        <sz val="10"/>
        <color theme="1"/>
        <rFont val="Calibri"/>
        <family val="2"/>
      </rPr>
      <t>Ø</t>
    </r>
    <r>
      <rPr>
        <sz val="10"/>
        <color theme="1"/>
        <rFont val="Century Gothic"/>
        <family val="2"/>
      </rPr>
      <t>2" para válvula tipo chorote</t>
    </r>
  </si>
  <si>
    <t>M309</t>
  </si>
  <si>
    <r>
      <rPr>
        <sz val="10"/>
        <color theme="1"/>
        <rFont val="Century Gothic"/>
        <family val="2"/>
      </rPr>
      <t xml:space="preserve">Tubo pead RDE 11 de </t>
    </r>
    <r>
      <rPr>
        <sz val="10"/>
        <color theme="1"/>
        <rFont val="Calibri"/>
        <family val="2"/>
      </rPr>
      <t>Ø3</t>
    </r>
    <r>
      <rPr>
        <sz val="10"/>
        <color theme="1"/>
        <rFont val="Century Gothic"/>
        <family val="2"/>
      </rPr>
      <t>" para válvula tipo chorote</t>
    </r>
  </si>
  <si>
    <t>M310</t>
  </si>
  <si>
    <r>
      <rPr>
        <sz val="10"/>
        <color theme="1"/>
        <rFont val="Century Gothic"/>
        <family val="2"/>
      </rPr>
      <t xml:space="preserve">Tubo pead RDE 11 de </t>
    </r>
    <r>
      <rPr>
        <sz val="10"/>
        <color theme="1"/>
        <rFont val="Calibri"/>
        <family val="2"/>
      </rPr>
      <t>Ø</t>
    </r>
    <r>
      <rPr>
        <sz val="10"/>
        <color theme="1"/>
        <rFont val="Century Gothic"/>
        <family val="2"/>
      </rPr>
      <t>4" para válvula tipo chorote</t>
    </r>
  </si>
  <si>
    <t>M311</t>
  </si>
  <si>
    <r>
      <rPr>
        <sz val="10"/>
        <color theme="1"/>
        <rFont val="Century Gothic"/>
        <family val="2"/>
      </rPr>
      <t xml:space="preserve">Válvula de compuerta elástica </t>
    </r>
    <r>
      <rPr>
        <sz val="10"/>
        <color theme="1"/>
        <rFont val="Calibri"/>
        <family val="2"/>
      </rPr>
      <t>Ø3</t>
    </r>
    <r>
      <rPr>
        <sz val="10"/>
        <color theme="1"/>
        <rFont val="Century Gothic"/>
        <family val="2"/>
      </rPr>
      <t>" con unión mecánica en hierro ductil</t>
    </r>
  </si>
  <si>
    <t>M312</t>
  </si>
  <si>
    <r>
      <rPr>
        <sz val="10"/>
        <color theme="1"/>
        <rFont val="Century Gothic"/>
        <family val="2"/>
      </rPr>
      <t xml:space="preserve">Válvula de compuerta elástica </t>
    </r>
    <r>
      <rPr>
        <sz val="10"/>
        <color theme="1"/>
        <rFont val="Calibri"/>
        <family val="2"/>
      </rPr>
      <t>Ø4</t>
    </r>
    <r>
      <rPr>
        <sz val="10"/>
        <color theme="1"/>
        <rFont val="Century Gothic"/>
        <family val="2"/>
      </rPr>
      <t>" con unión mecánica en hierro ductil</t>
    </r>
  </si>
  <si>
    <t>M313</t>
  </si>
  <si>
    <t>M314</t>
  </si>
  <si>
    <t>M315</t>
  </si>
  <si>
    <t>M316</t>
  </si>
  <si>
    <t>Suministro e instalación de válvula de corte tipo chorote Ø2"</t>
  </si>
  <si>
    <t>M317</t>
  </si>
  <si>
    <t>Suministro e instalación de válvula de corte tipo chorote Ø3"</t>
  </si>
  <si>
    <t>M318</t>
  </si>
  <si>
    <t>Suministro e instalación de válvula de corte tipo chorote Ø4"</t>
  </si>
  <si>
    <t>M319</t>
  </si>
  <si>
    <r>
      <rPr>
        <sz val="10"/>
        <color theme="1"/>
        <rFont val="Century Gothic"/>
        <family val="2"/>
      </rPr>
      <t xml:space="preserve">Macromedidor tipo woltman </t>
    </r>
    <r>
      <rPr>
        <sz val="10"/>
        <color theme="1"/>
        <rFont val="Calibri"/>
        <family val="2"/>
      </rPr>
      <t>Ø</t>
    </r>
    <r>
      <rPr>
        <sz val="10"/>
        <color theme="1"/>
        <rFont val="Century Gothic"/>
        <family val="2"/>
      </rPr>
      <t>2"</t>
    </r>
  </si>
  <si>
    <t>M320</t>
  </si>
  <si>
    <r>
      <rPr>
        <sz val="10"/>
        <color theme="1"/>
        <rFont val="Century Gothic"/>
        <family val="2"/>
      </rPr>
      <t xml:space="preserve">Suministro e instalación de macromedidor tipo woltman </t>
    </r>
    <r>
      <rPr>
        <sz val="10"/>
        <color theme="1"/>
        <rFont val="Calibri"/>
        <family val="2"/>
      </rPr>
      <t>Ø</t>
    </r>
    <r>
      <rPr>
        <sz val="10"/>
        <color theme="1"/>
        <rFont val="Century Gothic"/>
        <family val="2"/>
      </rPr>
      <t>2"</t>
    </r>
  </si>
  <si>
    <t>M321</t>
  </si>
  <si>
    <r>
      <rPr>
        <sz val="10"/>
        <color theme="1"/>
        <rFont val="Century Gothic"/>
        <family val="2"/>
      </rPr>
      <t xml:space="preserve">Suministro e instalación de macromedidor tipo woltman </t>
    </r>
    <r>
      <rPr>
        <sz val="10"/>
        <color theme="1"/>
        <rFont val="Calibri"/>
        <family val="2"/>
      </rPr>
      <t>Ø3</t>
    </r>
    <r>
      <rPr>
        <sz val="10"/>
        <color theme="1"/>
        <rFont val="Century Gothic"/>
        <family val="2"/>
      </rPr>
      <t>"</t>
    </r>
  </si>
  <si>
    <t>M322</t>
  </si>
  <si>
    <r>
      <rPr>
        <sz val="10"/>
        <color theme="1"/>
        <rFont val="Century Gothic"/>
        <family val="2"/>
      </rPr>
      <t xml:space="preserve">Suministro e instalación de macromedidor tipo woltman </t>
    </r>
    <r>
      <rPr>
        <sz val="10"/>
        <color theme="1"/>
        <rFont val="Calibri"/>
        <family val="2"/>
      </rPr>
      <t>Ø4</t>
    </r>
    <r>
      <rPr>
        <sz val="10"/>
        <color theme="1"/>
        <rFont val="Century Gothic"/>
        <family val="2"/>
      </rPr>
      <t>"</t>
    </r>
  </si>
  <si>
    <t>M323</t>
  </si>
  <si>
    <r>
      <rPr>
        <sz val="10"/>
        <color theme="1"/>
        <rFont val="Century Gothic"/>
        <family val="2"/>
      </rPr>
      <t xml:space="preserve">Suministro e instalación de unión de desmontaje </t>
    </r>
    <r>
      <rPr>
        <sz val="10"/>
        <color theme="1"/>
        <rFont val="Calibri"/>
        <family val="2"/>
      </rPr>
      <t>Ø</t>
    </r>
    <r>
      <rPr>
        <sz val="10"/>
        <color theme="1"/>
        <rFont val="Century Gothic"/>
        <family val="2"/>
      </rPr>
      <t>2"</t>
    </r>
  </si>
  <si>
    <t>M324</t>
  </si>
  <si>
    <r>
      <rPr>
        <sz val="10"/>
        <color theme="1"/>
        <rFont val="Century Gothic"/>
        <family val="2"/>
      </rPr>
      <t xml:space="preserve">Suministro e instalación de codo 90° de </t>
    </r>
    <r>
      <rPr>
        <sz val="10"/>
        <color theme="1"/>
        <rFont val="Calibri"/>
        <family val="2"/>
      </rPr>
      <t>Ø</t>
    </r>
    <r>
      <rPr>
        <sz val="10"/>
        <color theme="1"/>
        <rFont val="Century Gothic"/>
        <family val="2"/>
      </rPr>
      <t>2"</t>
    </r>
  </si>
  <si>
    <t>M325</t>
  </si>
  <si>
    <r>
      <rPr>
        <sz val="10"/>
        <color theme="1"/>
        <rFont val="Century Gothic"/>
        <family val="2"/>
      </rPr>
      <t xml:space="preserve">Suministro e instalación de codo 90° de </t>
    </r>
    <r>
      <rPr>
        <sz val="10"/>
        <color theme="1"/>
        <rFont val="Calibri"/>
        <family val="2"/>
      </rPr>
      <t>Ø3</t>
    </r>
    <r>
      <rPr>
        <sz val="10"/>
        <color theme="1"/>
        <rFont val="Century Gothic"/>
        <family val="2"/>
      </rPr>
      <t>"</t>
    </r>
  </si>
  <si>
    <t>M326</t>
  </si>
  <si>
    <r>
      <rPr>
        <sz val="10"/>
        <color theme="1"/>
        <rFont val="Century Gothic"/>
        <family val="2"/>
      </rPr>
      <t xml:space="preserve">Suministro e instalación de codo 90° de </t>
    </r>
    <r>
      <rPr>
        <sz val="10"/>
        <color theme="1"/>
        <rFont val="Calibri"/>
        <family val="2"/>
      </rPr>
      <t>Ø4</t>
    </r>
    <r>
      <rPr>
        <sz val="10"/>
        <color theme="1"/>
        <rFont val="Century Gothic"/>
        <family val="2"/>
      </rPr>
      <t>"</t>
    </r>
  </si>
  <si>
    <t>M327</t>
  </si>
  <si>
    <t>Tubo sanitario PVC 2"</t>
  </si>
  <si>
    <t>M328</t>
  </si>
  <si>
    <t>Tubo sanitario PVC 3"</t>
  </si>
  <si>
    <t>M329</t>
  </si>
  <si>
    <t>M330</t>
  </si>
  <si>
    <t>Construcción de caja 1,5x1,5x1,5m en concreto de 4000 PSI para estación de macromedición</t>
  </si>
  <si>
    <t>M331</t>
  </si>
  <si>
    <t>M332</t>
  </si>
  <si>
    <t>M333</t>
  </si>
  <si>
    <t>M334</t>
  </si>
  <si>
    <t>M335</t>
  </si>
  <si>
    <t>M336</t>
  </si>
  <si>
    <t>M337</t>
  </si>
  <si>
    <t>M338</t>
  </si>
  <si>
    <t>M339</t>
  </si>
  <si>
    <t>M340</t>
  </si>
  <si>
    <t>M341</t>
  </si>
  <si>
    <t>M342</t>
  </si>
  <si>
    <t>Tuerca para racor 1/2"</t>
  </si>
  <si>
    <t>M343</t>
  </si>
  <si>
    <t>M344</t>
  </si>
  <si>
    <t>M345</t>
  </si>
  <si>
    <r>
      <rPr>
        <sz val="10"/>
        <color theme="1"/>
        <rFont val="Century Gothic"/>
        <family val="2"/>
      </rPr>
      <t xml:space="preserve">Suministro e instalación de válvula ventosa triple acción </t>
    </r>
    <r>
      <rPr>
        <sz val="10"/>
        <color theme="1"/>
        <rFont val="Calibri"/>
        <family val="2"/>
      </rPr>
      <t>Ø</t>
    </r>
    <r>
      <rPr>
        <sz val="10"/>
        <color theme="1"/>
        <rFont val="Century Gothic"/>
        <family val="2"/>
      </rPr>
      <t>3" en hierro ductil</t>
    </r>
  </si>
  <si>
    <t>M346</t>
  </si>
  <si>
    <t>M347</t>
  </si>
  <si>
    <r>
      <rPr>
        <sz val="10"/>
        <color theme="1"/>
        <rFont val="Century Gothic"/>
        <family val="2"/>
      </rPr>
      <t xml:space="preserve">Filtro en yee </t>
    </r>
    <r>
      <rPr>
        <sz val="10"/>
        <color theme="1"/>
        <rFont val="Calibri"/>
        <family val="2"/>
      </rPr>
      <t>Ø</t>
    </r>
    <r>
      <rPr>
        <sz val="10"/>
        <color theme="1"/>
        <rFont val="Century Gothic"/>
        <family val="2"/>
      </rPr>
      <t>2" en hierro ductil</t>
    </r>
  </si>
  <si>
    <t>M348</t>
  </si>
  <si>
    <r>
      <rPr>
        <sz val="10"/>
        <color theme="1"/>
        <rFont val="Century Gothic"/>
        <family val="2"/>
      </rPr>
      <t xml:space="preserve">Filtro en yee </t>
    </r>
    <r>
      <rPr>
        <sz val="10"/>
        <color theme="1"/>
        <rFont val="Calibri"/>
        <family val="2"/>
      </rPr>
      <t>Ø3</t>
    </r>
    <r>
      <rPr>
        <sz val="10"/>
        <color theme="1"/>
        <rFont val="Century Gothic"/>
        <family val="2"/>
      </rPr>
      <t>" en hierro ductil</t>
    </r>
  </si>
  <si>
    <t>M349</t>
  </si>
  <si>
    <r>
      <rPr>
        <sz val="10"/>
        <color theme="1"/>
        <rFont val="Century Gothic"/>
        <family val="2"/>
      </rPr>
      <t xml:space="preserve">Filtro en yee </t>
    </r>
    <r>
      <rPr>
        <sz val="10"/>
        <color theme="1"/>
        <rFont val="Calibri"/>
        <family val="2"/>
      </rPr>
      <t>Ø4</t>
    </r>
    <r>
      <rPr>
        <sz val="10"/>
        <color theme="1"/>
        <rFont val="Century Gothic"/>
        <family val="2"/>
      </rPr>
      <t>" en hierro ductil</t>
    </r>
  </si>
  <si>
    <t>M350</t>
  </si>
  <si>
    <t>M351</t>
  </si>
  <si>
    <t>M352</t>
  </si>
  <si>
    <r>
      <rPr>
        <sz val="10"/>
        <color theme="1"/>
        <rFont val="Century Gothic"/>
        <family val="2"/>
      </rPr>
      <t xml:space="preserve">Tubería PVC </t>
    </r>
    <r>
      <rPr>
        <sz val="10"/>
        <color theme="1"/>
        <rFont val="Calibri"/>
        <family val="2"/>
      </rPr>
      <t>Ø</t>
    </r>
    <r>
      <rPr>
        <sz val="10"/>
        <color theme="1"/>
        <rFont val="Century Gothic"/>
        <family val="2"/>
      </rPr>
      <t>2" RDE 21</t>
    </r>
  </si>
  <si>
    <t>M353</t>
  </si>
  <si>
    <t>M354</t>
  </si>
  <si>
    <t>M355</t>
  </si>
  <si>
    <t>M356</t>
  </si>
  <si>
    <t>M357</t>
  </si>
  <si>
    <t>M358</t>
  </si>
  <si>
    <t>M359</t>
  </si>
  <si>
    <t>M360</t>
  </si>
  <si>
    <t>M361</t>
  </si>
  <si>
    <t>M362</t>
  </si>
  <si>
    <t>M363</t>
  </si>
  <si>
    <t>M364</t>
  </si>
  <si>
    <t>M365</t>
  </si>
  <si>
    <t>M366</t>
  </si>
  <si>
    <t>M367</t>
  </si>
  <si>
    <t>M368</t>
  </si>
  <si>
    <t>Kit de interconexión de tratamiento</t>
  </si>
  <si>
    <t>M369</t>
  </si>
  <si>
    <r>
      <rPr>
        <sz val="10"/>
        <color theme="1"/>
        <rFont val="Century Gothic"/>
        <family val="2"/>
      </rPr>
      <t xml:space="preserve">Tubería de drenaje perforada de </t>
    </r>
    <r>
      <rPr>
        <sz val="10"/>
        <color theme="1"/>
        <rFont val="Calibri"/>
        <family val="2"/>
      </rPr>
      <t>Ø</t>
    </r>
    <r>
      <rPr>
        <sz val="10"/>
        <color theme="1"/>
        <rFont val="Century Gothic"/>
        <family val="2"/>
      </rPr>
      <t>6" PVC</t>
    </r>
  </si>
  <si>
    <t>M370</t>
  </si>
  <si>
    <r>
      <rPr>
        <sz val="10"/>
        <color theme="1"/>
        <rFont val="Century Gothic"/>
        <family val="2"/>
      </rPr>
      <t xml:space="preserve">Tubería de drenaje perforada de </t>
    </r>
    <r>
      <rPr>
        <sz val="10"/>
        <color theme="1"/>
        <rFont val="Calibri"/>
        <family val="2"/>
      </rPr>
      <t>Ø4</t>
    </r>
    <r>
      <rPr>
        <sz val="10"/>
        <color theme="1"/>
        <rFont val="Century Gothic"/>
        <family val="2"/>
      </rPr>
      <t>" PVC</t>
    </r>
  </si>
  <si>
    <t>M371</t>
  </si>
  <si>
    <t>M372</t>
  </si>
  <si>
    <t>M373</t>
  </si>
  <si>
    <t>M374</t>
  </si>
  <si>
    <t>M375</t>
  </si>
  <si>
    <t>M376</t>
  </si>
  <si>
    <t>M377</t>
  </si>
  <si>
    <t>M378</t>
  </si>
  <si>
    <t>M379</t>
  </si>
  <si>
    <t>Tubería PVC 4"</t>
  </si>
  <si>
    <t>M380</t>
  </si>
  <si>
    <t>M381</t>
  </si>
  <si>
    <t>M382</t>
  </si>
  <si>
    <t>M383</t>
  </si>
  <si>
    <t>M384</t>
  </si>
  <si>
    <t>M385</t>
  </si>
  <si>
    <t>M386</t>
  </si>
  <si>
    <t>M387</t>
  </si>
  <si>
    <t>M388</t>
  </si>
  <si>
    <t>M389</t>
  </si>
  <si>
    <t>M390</t>
  </si>
  <si>
    <t>M391</t>
  </si>
  <si>
    <t>M392</t>
  </si>
  <si>
    <t>M393</t>
  </si>
  <si>
    <t>M394</t>
  </si>
  <si>
    <t>M395</t>
  </si>
  <si>
    <t>M396</t>
  </si>
  <si>
    <t>M397</t>
  </si>
  <si>
    <t>M398</t>
  </si>
  <si>
    <t>M399</t>
  </si>
  <si>
    <t>M400</t>
  </si>
  <si>
    <t>M401</t>
  </si>
  <si>
    <t>M402</t>
  </si>
  <si>
    <t>M403</t>
  </si>
  <si>
    <t>M404</t>
  </si>
  <si>
    <t>Caja de paso tipo hexagonal</t>
  </si>
  <si>
    <t>M405</t>
  </si>
  <si>
    <t>M406</t>
  </si>
  <si>
    <t>M407</t>
  </si>
  <si>
    <t>M408</t>
  </si>
  <si>
    <t>Cable Cu No 12 AWG</t>
  </si>
  <si>
    <t>M409</t>
  </si>
  <si>
    <t>M410</t>
  </si>
  <si>
    <t>M411</t>
  </si>
  <si>
    <t>Riel chanel 4X2</t>
  </si>
  <si>
    <t>M412</t>
  </si>
  <si>
    <t>Cable encauchetado LSHF No 3x16 AWG</t>
  </si>
  <si>
    <t>M413</t>
  </si>
  <si>
    <t>Prensa estopa 1/2"</t>
  </si>
  <si>
    <t>M414</t>
  </si>
  <si>
    <t>Suplemento metálico para caja 2400</t>
  </si>
  <si>
    <t>M415</t>
  </si>
  <si>
    <t>M416</t>
  </si>
  <si>
    <t>M417</t>
  </si>
  <si>
    <t>M418</t>
  </si>
  <si>
    <t>Cable Cu THHN No 8</t>
  </si>
  <si>
    <t>M419</t>
  </si>
  <si>
    <t>Cable Cu THHN No 10</t>
  </si>
  <si>
    <t>M420</t>
  </si>
  <si>
    <t>M421</t>
  </si>
  <si>
    <t>M422</t>
  </si>
  <si>
    <t>Tubería EMT 1"</t>
  </si>
  <si>
    <t>M423</t>
  </si>
  <si>
    <t>Coraza Liquid tight 1"</t>
  </si>
  <si>
    <t>M424</t>
  </si>
  <si>
    <t>Conector curvo coraza liquid 1"</t>
  </si>
  <si>
    <t>M425</t>
  </si>
  <si>
    <t>Elementos de Marcación</t>
  </si>
  <si>
    <t>M426</t>
  </si>
  <si>
    <t>M427</t>
  </si>
  <si>
    <t>Un</t>
  </si>
  <si>
    <t>M428</t>
  </si>
  <si>
    <t>M429</t>
  </si>
  <si>
    <t>M430</t>
  </si>
  <si>
    <t>M431</t>
  </si>
  <si>
    <t>M432</t>
  </si>
  <si>
    <t>M433</t>
  </si>
  <si>
    <t>M434</t>
  </si>
  <si>
    <t>M435</t>
  </si>
  <si>
    <t>M436</t>
  </si>
  <si>
    <t>M437</t>
  </si>
  <si>
    <t>M438</t>
  </si>
  <si>
    <t>M439</t>
  </si>
  <si>
    <t>M440</t>
  </si>
  <si>
    <t>M441</t>
  </si>
  <si>
    <t>M442</t>
  </si>
  <si>
    <t>M443</t>
  </si>
  <si>
    <t>M444</t>
  </si>
  <si>
    <t>M445</t>
  </si>
  <si>
    <t>M446</t>
  </si>
  <si>
    <t>M447</t>
  </si>
  <si>
    <t>M448</t>
  </si>
  <si>
    <t>M449</t>
  </si>
  <si>
    <t>M450</t>
  </si>
  <si>
    <t>M451</t>
  </si>
  <si>
    <t>M452</t>
  </si>
  <si>
    <t>M453</t>
  </si>
  <si>
    <t>M454</t>
  </si>
  <si>
    <t>M455</t>
  </si>
  <si>
    <t>M456</t>
  </si>
  <si>
    <t>M457</t>
  </si>
  <si>
    <t>M458</t>
  </si>
  <si>
    <t>M459</t>
  </si>
  <si>
    <t>M460</t>
  </si>
  <si>
    <t>M461</t>
  </si>
  <si>
    <t>M462</t>
  </si>
  <si>
    <t>M463</t>
  </si>
  <si>
    <t>M464</t>
  </si>
  <si>
    <t>M465</t>
  </si>
  <si>
    <t>kg</t>
  </si>
  <si>
    <t>M466</t>
  </si>
  <si>
    <t>M467</t>
  </si>
  <si>
    <t>M468</t>
  </si>
  <si>
    <t>M469</t>
  </si>
  <si>
    <t>M470</t>
  </si>
  <si>
    <t>M471</t>
  </si>
  <si>
    <t>M472</t>
  </si>
  <si>
    <t>M473</t>
  </si>
  <si>
    <t>M474</t>
  </si>
  <si>
    <t>M475</t>
  </si>
  <si>
    <t>M476</t>
  </si>
  <si>
    <t>M477</t>
  </si>
  <si>
    <t>M478</t>
  </si>
  <si>
    <t>M479</t>
  </si>
  <si>
    <t>M480</t>
  </si>
  <si>
    <t>M481</t>
  </si>
  <si>
    <t>M482</t>
  </si>
  <si>
    <t>M483</t>
  </si>
  <si>
    <t>M484</t>
  </si>
  <si>
    <t>M485</t>
  </si>
  <si>
    <t>M486</t>
  </si>
  <si>
    <t>M487</t>
  </si>
  <si>
    <t>M488</t>
  </si>
  <si>
    <t>M489</t>
  </si>
  <si>
    <t>M490</t>
  </si>
  <si>
    <t>M491</t>
  </si>
  <si>
    <t>M492</t>
  </si>
  <si>
    <t>M493</t>
  </si>
  <si>
    <t>M494</t>
  </si>
  <si>
    <t>M495</t>
  </si>
  <si>
    <t>M496</t>
  </si>
  <si>
    <t>M497</t>
  </si>
  <si>
    <t>M498</t>
  </si>
  <si>
    <t>M499</t>
  </si>
  <si>
    <t>M500</t>
  </si>
  <si>
    <t>M501</t>
  </si>
  <si>
    <t>M502</t>
  </si>
  <si>
    <t>M503</t>
  </si>
  <si>
    <t>M504</t>
  </si>
  <si>
    <t>M505</t>
  </si>
  <si>
    <t>M506</t>
  </si>
  <si>
    <t>M507</t>
  </si>
  <si>
    <t>M508</t>
  </si>
  <si>
    <t>M509</t>
  </si>
  <si>
    <t>M510</t>
  </si>
  <si>
    <t>M511</t>
  </si>
  <si>
    <t>M512</t>
  </si>
  <si>
    <t>M513</t>
  </si>
  <si>
    <t>M514</t>
  </si>
  <si>
    <t>M515</t>
  </si>
  <si>
    <t>M516</t>
  </si>
  <si>
    <t>M517</t>
  </si>
  <si>
    <t>M518</t>
  </si>
  <si>
    <t>M519</t>
  </si>
  <si>
    <t>M520</t>
  </si>
  <si>
    <t>M521</t>
  </si>
  <si>
    <t>M522</t>
  </si>
  <si>
    <t>M523</t>
  </si>
  <si>
    <t>M524</t>
  </si>
  <si>
    <t>M525</t>
  </si>
  <si>
    <t>M526</t>
  </si>
  <si>
    <t>M527</t>
  </si>
  <si>
    <t>M528</t>
  </si>
  <si>
    <t>M529</t>
  </si>
  <si>
    <t>M530</t>
  </si>
  <si>
    <t>M531</t>
  </si>
  <si>
    <t>M532</t>
  </si>
  <si>
    <t>M533</t>
  </si>
  <si>
    <t>M534</t>
  </si>
  <si>
    <t>M535</t>
  </si>
  <si>
    <t>M536</t>
  </si>
  <si>
    <t>M537</t>
  </si>
  <si>
    <t>M538</t>
  </si>
  <si>
    <t>M539</t>
  </si>
  <si>
    <t>M540</t>
  </si>
  <si>
    <t>M541</t>
  </si>
  <si>
    <t>M542</t>
  </si>
  <si>
    <t>M543</t>
  </si>
  <si>
    <t>M544</t>
  </si>
  <si>
    <t>M545</t>
  </si>
  <si>
    <t>M546</t>
  </si>
  <si>
    <t>M547</t>
  </si>
  <si>
    <t>M548</t>
  </si>
  <si>
    <t>M549</t>
  </si>
  <si>
    <t>M550</t>
  </si>
  <si>
    <t>M551</t>
  </si>
  <si>
    <t>M552</t>
  </si>
  <si>
    <t>M553</t>
  </si>
  <si>
    <t>M554</t>
  </si>
  <si>
    <t>M555</t>
  </si>
  <si>
    <t>M556</t>
  </si>
  <si>
    <t>M557</t>
  </si>
  <si>
    <t>M558</t>
  </si>
  <si>
    <t>M559</t>
  </si>
  <si>
    <t>M560</t>
  </si>
  <si>
    <t>M561</t>
  </si>
  <si>
    <t>M562</t>
  </si>
  <si>
    <t>M563</t>
  </si>
  <si>
    <t>M564</t>
  </si>
  <si>
    <t>M565</t>
  </si>
  <si>
    <t>M566</t>
  </si>
  <si>
    <t>M567</t>
  </si>
  <si>
    <t>M568</t>
  </si>
  <si>
    <t>M569</t>
  </si>
  <si>
    <t xml:space="preserve">Gabinete en acero de pared 0,9x0,7x0,3m </t>
  </si>
  <si>
    <t>M570</t>
  </si>
  <si>
    <t>M571</t>
  </si>
  <si>
    <t>M572</t>
  </si>
  <si>
    <t>M573</t>
  </si>
  <si>
    <t>M574</t>
  </si>
  <si>
    <t>M575</t>
  </si>
  <si>
    <t>M576</t>
  </si>
  <si>
    <t>M577</t>
  </si>
  <si>
    <t>M578</t>
  </si>
  <si>
    <t>M579</t>
  </si>
  <si>
    <t>M580</t>
  </si>
  <si>
    <t>M581</t>
  </si>
  <si>
    <t>M582</t>
  </si>
  <si>
    <t>M583</t>
  </si>
  <si>
    <t>M584</t>
  </si>
  <si>
    <t>M585</t>
  </si>
  <si>
    <t>M586</t>
  </si>
  <si>
    <t>M587</t>
  </si>
  <si>
    <t>M588</t>
  </si>
  <si>
    <t>M589</t>
  </si>
  <si>
    <t>M590</t>
  </si>
  <si>
    <t>M591</t>
  </si>
  <si>
    <t>M592</t>
  </si>
  <si>
    <t>M593</t>
  </si>
  <si>
    <t>M594</t>
  </si>
  <si>
    <t>M595</t>
  </si>
  <si>
    <t>M596</t>
  </si>
  <si>
    <t>M597</t>
  </si>
  <si>
    <t>M598</t>
  </si>
  <si>
    <t>M599</t>
  </si>
  <si>
    <t>M600</t>
  </si>
  <si>
    <t>M601</t>
  </si>
  <si>
    <t>M602</t>
  </si>
  <si>
    <t>M603</t>
  </si>
  <si>
    <t>M604</t>
  </si>
  <si>
    <t>M605</t>
  </si>
  <si>
    <t>M606</t>
  </si>
  <si>
    <t>M607</t>
  </si>
  <si>
    <t>M608</t>
  </si>
  <si>
    <t>M609</t>
  </si>
  <si>
    <t>M610</t>
  </si>
  <si>
    <t>M611</t>
  </si>
  <si>
    <t>M612</t>
  </si>
  <si>
    <t>M613</t>
  </si>
  <si>
    <t>M614</t>
  </si>
  <si>
    <t>M615</t>
  </si>
  <si>
    <t>M616</t>
  </si>
  <si>
    <t>M617</t>
  </si>
  <si>
    <t>M618</t>
  </si>
  <si>
    <t>M619</t>
  </si>
  <si>
    <t>M620</t>
  </si>
  <si>
    <t>M621</t>
  </si>
  <si>
    <t>M622</t>
  </si>
  <si>
    <t>M623</t>
  </si>
  <si>
    <t>M624</t>
  </si>
  <si>
    <t>M625</t>
  </si>
  <si>
    <t>M626</t>
  </si>
  <si>
    <t>M627</t>
  </si>
  <si>
    <t>M628</t>
  </si>
  <si>
    <t>M629</t>
  </si>
  <si>
    <t>M630</t>
  </si>
  <si>
    <t>M631</t>
  </si>
  <si>
    <t>M632</t>
  </si>
  <si>
    <t>M633</t>
  </si>
  <si>
    <t>M634</t>
  </si>
  <si>
    <t>M635</t>
  </si>
  <si>
    <t>M636</t>
  </si>
  <si>
    <t>M637</t>
  </si>
  <si>
    <t>M638</t>
  </si>
  <si>
    <t>M639</t>
  </si>
  <si>
    <t>M640</t>
  </si>
  <si>
    <t>M641</t>
  </si>
  <si>
    <t>M642</t>
  </si>
  <si>
    <t>LISTA DE EQUIPOS</t>
  </si>
  <si>
    <t>E001</t>
  </si>
  <si>
    <t>E002</t>
  </si>
  <si>
    <t>Dia</t>
  </si>
  <si>
    <t>E003</t>
  </si>
  <si>
    <t>E004</t>
  </si>
  <si>
    <t>E005</t>
  </si>
  <si>
    <t>E006</t>
  </si>
  <si>
    <t>Hora</t>
  </si>
  <si>
    <t>E007</t>
  </si>
  <si>
    <t>E008</t>
  </si>
  <si>
    <t>E009</t>
  </si>
  <si>
    <t>E010</t>
  </si>
  <si>
    <t>E011</t>
  </si>
  <si>
    <t>E012</t>
  </si>
  <si>
    <t>E013</t>
  </si>
  <si>
    <t>E014</t>
  </si>
  <si>
    <t>E015</t>
  </si>
  <si>
    <t>E016</t>
  </si>
  <si>
    <t>E017</t>
  </si>
  <si>
    <t>E018</t>
  </si>
  <si>
    <t>E019</t>
  </si>
  <si>
    <t>E020</t>
  </si>
  <si>
    <t>E021</t>
  </si>
  <si>
    <t>E022</t>
  </si>
  <si>
    <t>Gasolina</t>
  </si>
  <si>
    <t>E023</t>
  </si>
  <si>
    <t>Acpm</t>
  </si>
  <si>
    <t>E024</t>
  </si>
  <si>
    <t>Alquiler volqueta 6 m3</t>
  </si>
  <si>
    <t>E025</t>
  </si>
  <si>
    <t>E026</t>
  </si>
  <si>
    <t>E027</t>
  </si>
  <si>
    <t>E028</t>
  </si>
  <si>
    <t>E029</t>
  </si>
  <si>
    <t>E030</t>
  </si>
  <si>
    <t>E031</t>
  </si>
  <si>
    <t>E032</t>
  </si>
  <si>
    <t>E033</t>
  </si>
  <si>
    <t>Equipo diferencial  cap 3 toneladas con cadena de 3 metros</t>
  </si>
  <si>
    <t>E034</t>
  </si>
  <si>
    <t>Andamio en tubo redondo reforzado para diferencial</t>
  </si>
  <si>
    <t>E035</t>
  </si>
  <si>
    <t>E036</t>
  </si>
  <si>
    <t>E037</t>
  </si>
  <si>
    <t>CANTIDADES DE OBRA A- BOCATOMA</t>
  </si>
  <si>
    <t>DIMENSIONES</t>
  </si>
  <si>
    <t>CABECERA</t>
  </si>
  <si>
    <t>POTOSÍ</t>
  </si>
  <si>
    <t>HATO NUEVO</t>
  </si>
  <si>
    <t>POLONIA</t>
  </si>
  <si>
    <t>SAN ALFONSO</t>
  </si>
  <si>
    <t>NO APLICA</t>
  </si>
  <si>
    <t>L (m)</t>
  </si>
  <si>
    <t>A (m)</t>
  </si>
  <si>
    <t>H (m)</t>
  </si>
  <si>
    <t>Ø</t>
  </si>
  <si>
    <t>PERÍMET.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</si>
  <si>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</si>
  <si>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</si>
  <si>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</si>
  <si>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</si>
  <si>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</si>
  <si>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</si>
  <si>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</si>
  <si>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</si>
  <si>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</si>
  <si>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</si>
  <si>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</si>
  <si>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</si>
  <si>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</si>
  <si>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</si>
  <si>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</si>
  <si>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</si>
  <si>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</si>
  <si>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</si>
  <si>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</si>
  <si>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</si>
  <si>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</si>
  <si>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</si>
  <si>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</si>
  <si>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</si>
  <si>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</si>
  <si>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</si>
  <si>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</si>
  <si>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</si>
  <si>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</si>
  <si>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</si>
  <si>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</si>
  <si>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</si>
  <si>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</si>
  <si>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</si>
  <si>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</si>
  <si>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</si>
  <si>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</si>
  <si>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</si>
  <si>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</si>
  <si>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</si>
  <si>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E INSTALACIÓN DE TAPA DE ACCESO EN LAMINA DE ALFAJOR CAL 14 (INCLUYE MARCO, MANIJA DE AGARRE, SOPORTES Y SOLDADURA)</t>
  </si>
  <si>
    <t>CANTIDADES DE OBRA D - URBANISMO + PTAP</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</si>
  <si>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</si>
  <si>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</si>
  <si>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E INSTALACIÓN DE BOMBA 3 HP - CENTRIFUGA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</si>
  <si>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</si>
  <si>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</si>
  <si>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</si>
  <si>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</si>
  <si>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</si>
  <si>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</si>
  <si>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E INSTALACION DE ESTRUCTURA DE CANALETA PRFV</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</si>
  <si>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</si>
  <si>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</si>
  <si>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E INSTALACIÓN DE CODO PVC 90° Ø3"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</si>
  <si>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</si>
  <si>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</si>
  <si>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E INSTALACIÓN DE TEE PVC  Ø3"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</si>
  <si>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</si>
  <si>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</si>
  <si>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D-07.01 - 03</t>
  </si>
  <si>
    <t>SUMINISTRO E INSTALACIÓN DE TUBERÍA PVC Ø3" RDE 21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</si>
  <si>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</si>
  <si>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</si>
  <si>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CANTIDADES DE OBRA E - LECHOS DE SECADO</t>
  </si>
  <si>
    <t>MÓDULOS</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</si>
  <si>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</si>
  <si>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</si>
  <si>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</si>
  <si>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</si>
  <si>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FIGURADO Y ARMADO DE ACERO DE REFUERZO 60000 PSI, DESPERDICIO DEL 5%</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</si>
  <si>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</si>
  <si>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</si>
  <si>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 xml:space="preserve">MURO EN TOLETE COMÚN 0,12M </t>
  </si>
  <si>
    <t>E-06.01.01</t>
  </si>
  <si>
    <t>MURO EN TOLETE COMÚN 0,12M PARA LECHOS DE SECADO (INCLUYE PAÑETE, MATERIALES, HERRAMIENTA MENOR Y MANO DE OBRA)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</si>
  <si>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</si>
  <si>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</si>
  <si>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E-06.01.02</t>
  </si>
  <si>
    <t>MURO EN TOLETE COMÚN 0,12M PARA CAJILLA DE INSPECCIÓN (INCLUYE PAÑETE, MATERIALES, HERRAMIENTA MENOR Y MANO DE OBRA)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</si>
  <si>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</si>
  <si>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</si>
  <si>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</si>
  <si>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</si>
  <si>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</si>
  <si>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</si>
  <si>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</si>
  <si>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</si>
  <si>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KIT DE TUBERÍA DE RECOLECCIÓN DE AGUA FILTRADA  PARA LECHOS DE SECADO TIPO 1 Ø4" (INCLUYE NIPLE, PASAMURO, CODO, TEE, TUBERÍA PERFORADA Y NO PERFORADA, MATERIALES, HERRAMIENTAS Y MANO DE OBRA)</t>
  </si>
  <si>
    <t>CANTIDAD T1</t>
  </si>
  <si>
    <t>L (m) Tipo 1</t>
  </si>
  <si>
    <t>CANTIDAD T2</t>
  </si>
  <si>
    <t>L (m) Tipo 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</si>
  <si>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</si>
  <si>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</si>
  <si>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</si>
  <si>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</si>
  <si>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</si>
  <si>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</si>
  <si>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CANTIDADES DE OBRA D - ANDÉN  URBANISMO</t>
  </si>
  <si>
    <t>AN-02.01</t>
  </si>
  <si>
    <t>EXCAVACIÓN EN CONCLOMERADO</t>
  </si>
  <si>
    <t>AN-03.01</t>
  </si>
  <si>
    <t>AN-04.01</t>
  </si>
  <si>
    <t>AN-04.02</t>
  </si>
  <si>
    <t>AN-04.03</t>
  </si>
  <si>
    <t>TOTAL KG</t>
  </si>
  <si>
    <t>F-ALMACENAMIENTO</t>
  </si>
  <si>
    <t>F-02.01</t>
  </si>
  <si>
    <t>Abm (m2)</t>
  </si>
  <si>
    <t>ABM (m2)</t>
  </si>
  <si>
    <t xml:space="preserve">ENTIBADO METÁLICO TIPO 3; SISTEMA DE GUÍAS CORREDERA COMPUESTA DE 4 PANELES 3,5X2,4 M PARA ALTURA ENTIBADA DE 4,8 M, PARA PROFUNDIDADES MAYORES A 4,0M </t>
  </si>
  <si>
    <t>V EXCAVADO</t>
  </si>
  <si>
    <t>V ESTRUCTURA</t>
  </si>
  <si>
    <t>V ARENA</t>
  </si>
  <si>
    <t>V GRAVA</t>
  </si>
  <si>
    <t>V SOLADO</t>
  </si>
  <si>
    <t>V RECEBO</t>
  </si>
  <si>
    <t>V BASE</t>
  </si>
  <si>
    <t>V SUB BASE</t>
  </si>
  <si>
    <t>RETIRO DE MATERIAL SOBRANTE HASTA BOTADERO AUTORIZADO, DISTANCIA 5KM (INCLUYE FACTOR DE EXPANSIÓN, HERRAMIENTAS, TRANSPORTE, MANO DE OBRA)</t>
  </si>
  <si>
    <t>V REQUERIDO</t>
  </si>
  <si>
    <t>CANTIDAD ESCALAS</t>
  </si>
  <si>
    <t>SUMINISTRO E INSTALACIÓN CODO 90° PVC 4"</t>
  </si>
  <si>
    <t>TOTAL TANQUE DE ALMACENAMIENTO 250 M3</t>
  </si>
  <si>
    <t>CONCRETO MUROS TANQUE DE 250 M3 - CAJA PEQUEÑA</t>
  </si>
  <si>
    <t>CONCRETO MUROS TANQUE DE 250 M3 - CAJA MEDIANA</t>
  </si>
  <si>
    <t>CONCRETO MUROS TANQUE DE 250 M3 - CAJA GRANDE</t>
  </si>
  <si>
    <t>DERECHA</t>
  </si>
  <si>
    <t>IZQUIERDA</t>
  </si>
  <si>
    <t>INTERIOR</t>
  </si>
  <si>
    <t>LARGO</t>
  </si>
  <si>
    <t>ANCHO</t>
  </si>
  <si>
    <t>ALTO</t>
  </si>
  <si>
    <t>ESPESOR</t>
  </si>
  <si>
    <t>TOTAL TANQUE DE ALMACENAMIENTO 100 M3</t>
  </si>
  <si>
    <t>CONCRETO MUROS TANQUE DE 100 M3 - CAJA PEQUEÑA</t>
  </si>
  <si>
    <t>CONCRETO MUROS TANQUE DE 100 M3 - CAJA MEDIANA</t>
  </si>
  <si>
    <t>CONCRETO MUROS TANQUE DE 100 M3 - CAJA GRANDE</t>
  </si>
  <si>
    <t>TOTAL TANQUE DE ALMACENAMIENTO 50 M3</t>
  </si>
  <si>
    <t>CONCRETO MUROS TANQUE DE 50 M3 - CAJA PEQUEÑA</t>
  </si>
  <si>
    <t>CONCRETO MUROS TANQUE DE 50 M3 - CAJA GRANDE</t>
  </si>
  <si>
    <t>ACERO PARA TAQUE DE 250 M3</t>
  </si>
  <si>
    <t>T. CAJA PEQUEÑA</t>
  </si>
  <si>
    <t>T. CAJA MEDIANA</t>
  </si>
  <si>
    <t>T. CAJA GRANDE</t>
  </si>
  <si>
    <t>T. COMPLEMENTOS</t>
  </si>
  <si>
    <t>ACERO PARA TANQUE DE 250 M3 - CAJA PEQUEÑA</t>
  </si>
  <si>
    <t>ACERO PARA TANQUE DE 250 M3 - CAJA MEDIANA EXTERIOR</t>
  </si>
  <si>
    <t>MUROS EN X</t>
  </si>
  <si>
    <t>MUROS EN Y</t>
  </si>
  <si>
    <t>PISO</t>
  </si>
  <si>
    <t>TAPA</t>
  </si>
  <si>
    <t>X</t>
  </si>
  <si>
    <t>Y</t>
  </si>
  <si>
    <t>SEP.</t>
  </si>
  <si>
    <t>LONGITUD</t>
  </si>
  <si>
    <t># BARRAS</t>
  </si>
  <si>
    <t>L. BARRA</t>
  </si>
  <si>
    <t>KG/ML</t>
  </si>
  <si>
    <t>LINEAS</t>
  </si>
  <si>
    <t>ACERO PARA TANQUE DE 250 M3 - CAJA GRANDE</t>
  </si>
  <si>
    <t>ACERO PARA TANQUE DE 250 M3 - COMPLEMENTOS</t>
  </si>
  <si>
    <t>CAJA MED. INTERIOR</t>
  </si>
  <si>
    <t>PARED INTERIOR</t>
  </si>
  <si>
    <t>ESQUINA</t>
  </si>
  <si>
    <t>ANDEN</t>
  </si>
  <si>
    <t>ANCHO = 1,5 M</t>
  </si>
  <si>
    <t>ACERO PARA TAQUE DE 100 M3</t>
  </si>
  <si>
    <t>T. PARTE 1</t>
  </si>
  <si>
    <t>T. PARTE 2</t>
  </si>
  <si>
    <t>ACERO PARA TANQUE DE 100 M3 -PARTE 1</t>
  </si>
  <si>
    <t>ACERO PARA TANQUE DE 100 M3 -PARTE 2</t>
  </si>
  <si>
    <t>ESQUINAS</t>
  </si>
  <si>
    <t>MEDIOS</t>
  </si>
  <si>
    <t>MUROS PERFIL</t>
  </si>
  <si>
    <t>1A</t>
  </si>
  <si>
    <t>1C</t>
  </si>
  <si>
    <t>2A</t>
  </si>
  <si>
    <t>2C</t>
  </si>
  <si>
    <t>1-2 CYA L</t>
  </si>
  <si>
    <t>1-2 CYA C</t>
  </si>
  <si>
    <t>PLANTA</t>
  </si>
  <si>
    <t>PERFIL</t>
  </si>
  <si>
    <t>1 C</t>
  </si>
  <si>
    <t>1 L</t>
  </si>
  <si>
    <t>2 C</t>
  </si>
  <si>
    <t>2 L</t>
  </si>
  <si>
    <t>A C</t>
  </si>
  <si>
    <t>A L</t>
  </si>
  <si>
    <t>C C</t>
  </si>
  <si>
    <t>C L</t>
  </si>
  <si>
    <t xml:space="preserve"> Y</t>
  </si>
  <si>
    <t>ACERO PARA TAQUE DE 50 M3</t>
  </si>
  <si>
    <t>ACERO PARA TANQUE DE 50 M3 - PARTE 1</t>
  </si>
  <si>
    <t>ACERO PARA TANQUE DE 50 M3 - PARTE 2</t>
  </si>
  <si>
    <t>MUROS</t>
  </si>
  <si>
    <t>CORTO</t>
  </si>
  <si>
    <t>L=3,30m</t>
  </si>
  <si>
    <t>L=4,20m</t>
  </si>
  <si>
    <t>1-2 C</t>
  </si>
  <si>
    <t>1-2 L</t>
  </si>
  <si>
    <t>A-C C</t>
  </si>
  <si>
    <t>A-C L</t>
  </si>
  <si>
    <t>LC</t>
  </si>
  <si>
    <t>L1</t>
  </si>
  <si>
    <t>L2</t>
  </si>
  <si>
    <t>PURGAS - VENTOSAS - CQP - CABEZALES</t>
  </si>
  <si>
    <t>VIADUCTOS TIPO</t>
  </si>
  <si>
    <t>Ventosa Ø3"</t>
  </si>
  <si>
    <t>Purga  Ø4"</t>
  </si>
  <si>
    <t>VÁLVULA DE VENTOSA Ø3 TRIPLE ACCIÓN</t>
  </si>
  <si>
    <t>1.1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</si>
  <si>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</si>
  <si>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</si>
  <si>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2.1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</si>
  <si>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</si>
  <si>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</si>
  <si>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4.1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</si>
  <si>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</si>
  <si>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</si>
  <si>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4.2</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</si>
  <si>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</si>
  <si>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</si>
  <si>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4.3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</si>
  <si>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</si>
  <si>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</si>
  <si>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4.4</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</si>
  <si>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</si>
  <si>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</si>
  <si>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4.5</t>
  </si>
  <si>
    <t>Formaleta para estructura hidráulica (Incluye materiales, herramientas y mano de obra)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</si>
  <si>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</si>
  <si>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</si>
  <si>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4.6</t>
  </si>
  <si>
    <t>Formaleta para placa de estructura hidráulica (Incluye materiales, herramientas y mano de obra)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</si>
  <si>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</si>
  <si>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</si>
  <si>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4.7</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</si>
  <si>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</si>
  <si>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</si>
  <si>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</si>
  <si>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</si>
  <si>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</si>
  <si>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5.2</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</si>
  <si>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</si>
  <si>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</si>
  <si>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</si>
  <si>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</si>
  <si>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</si>
  <si>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5.4</t>
  </si>
  <si>
    <t>Suministro e instalación de niple pasamuro EBxEB de Ø4" L=0,87 m en hierro ductil</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</si>
  <si>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</si>
  <si>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</si>
  <si>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5.5</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</si>
  <si>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</si>
  <si>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</si>
  <si>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</si>
  <si>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</si>
  <si>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</si>
  <si>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5.7</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</si>
  <si>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</si>
  <si>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</si>
  <si>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5.8</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</si>
  <si>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</si>
  <si>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</si>
  <si>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VÁLVULA DE PURGA Ø4 PULGADAS</t>
  </si>
  <si>
    <t>VP-01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</si>
  <si>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</si>
  <si>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</si>
  <si>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</si>
  <si>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</si>
  <si>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VP-03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</si>
  <si>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</si>
  <si>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</si>
  <si>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VP-04</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</si>
  <si>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</si>
  <si>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</si>
  <si>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VP-05</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</si>
  <si>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</si>
  <si>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</si>
  <si>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VP-06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</si>
  <si>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</si>
  <si>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</si>
  <si>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VP-07</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</si>
  <si>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</si>
  <si>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</si>
  <si>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VP-08</t>
  </si>
  <si>
    <t>Formaleta para placa superior de estructura hidráulica (Incluye materiales, herramientas y mano de obra)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</si>
  <si>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</si>
  <si>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</si>
  <si>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VP-09</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</si>
  <si>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</si>
  <si>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</si>
  <si>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VP-10</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</si>
  <si>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</si>
  <si>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</si>
  <si>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VP-11</t>
  </si>
  <si>
    <t>PELDAÑOS</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</si>
  <si>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</si>
  <si>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</si>
  <si>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VP-12</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</si>
  <si>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</si>
  <si>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</si>
  <si>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</si>
  <si>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</si>
  <si>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</si>
  <si>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VP-14</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</si>
  <si>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</si>
  <si>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</si>
  <si>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VP-15</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</si>
  <si>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</si>
  <si>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</si>
  <si>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VP-16</t>
  </si>
  <si>
    <t>Suministro e instalación de tee EBxEB de Ø4" en hierro ductil</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</si>
  <si>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</si>
  <si>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</si>
  <si>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VP-17</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</si>
  <si>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</si>
  <si>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</si>
  <si>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VP-18</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</si>
  <si>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</si>
  <si>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</si>
  <si>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VP-19</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</si>
  <si>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</si>
  <si>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</si>
  <si>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CANTIDADES DE OBRA CABEZAL DE DESCARGA</t>
  </si>
  <si>
    <t>CD-01</t>
  </si>
  <si>
    <t>B (m)</t>
  </si>
  <si>
    <t>b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</si>
  <si>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</si>
  <si>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</si>
  <si>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CD-02</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</si>
  <si>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</si>
  <si>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</si>
  <si>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</si>
  <si>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</si>
  <si>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</si>
  <si>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CD-04</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</si>
  <si>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</si>
  <si>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</si>
  <si>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CD-05</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</si>
  <si>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</si>
  <si>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</si>
  <si>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</si>
  <si>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</si>
  <si>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</si>
  <si>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CD-07</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</si>
  <si>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</si>
  <si>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</si>
  <si>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REDES DE ADUCCIÓN DE AGUA CRUDA</t>
  </si>
  <si>
    <t>Exc.</t>
  </si>
  <si>
    <t>Sec.</t>
  </si>
  <si>
    <t>Con.</t>
  </si>
  <si>
    <t>Méc.</t>
  </si>
  <si>
    <t>Aren</t>
  </si>
  <si>
    <t>Recb.</t>
  </si>
  <si>
    <t>Sub B.</t>
  </si>
  <si>
    <t>Sitio</t>
  </si>
  <si>
    <t>Dem.</t>
  </si>
  <si>
    <t>Corte</t>
  </si>
  <si>
    <t>Ret.</t>
  </si>
  <si>
    <t>Rep.</t>
  </si>
  <si>
    <t>Cimen.</t>
  </si>
  <si>
    <t>Localidad</t>
  </si>
  <si>
    <t>Long.</t>
  </si>
  <si>
    <t>Ø (mm)</t>
  </si>
  <si>
    <t>Ø (")</t>
  </si>
  <si>
    <t>Mat.</t>
  </si>
  <si>
    <t>RDE</t>
  </si>
  <si>
    <t>h (m)</t>
  </si>
  <si>
    <t>PVC</t>
  </si>
  <si>
    <t>Hato</t>
  </si>
  <si>
    <t>REDES DE DISTRIBUCIÓN DE AGUA POTABLE</t>
  </si>
  <si>
    <t>HATO</t>
  </si>
  <si>
    <t>Localización y replanteo</t>
  </si>
  <si>
    <t>Corte Flexible</t>
  </si>
  <si>
    <t>Demolición Flexible</t>
  </si>
  <si>
    <t>Excavación manual en tierra seca</t>
  </si>
  <si>
    <t>Excavación mecánica en conglomerado</t>
  </si>
  <si>
    <t>Relleno con arena</t>
  </si>
  <si>
    <t>Relleno con recebo</t>
  </si>
  <si>
    <t>Proveniente de excavación</t>
  </si>
  <si>
    <t>Subbase</t>
  </si>
  <si>
    <t>Pavimento flexible</t>
  </si>
  <si>
    <t>Acometidas (Reposicion y nuevas)</t>
  </si>
  <si>
    <t>Und</t>
  </si>
  <si>
    <t>RDE 21 3</t>
  </si>
  <si>
    <t>Cun.</t>
  </si>
  <si>
    <t>---</t>
  </si>
  <si>
    <t>1/2'</t>
  </si>
  <si>
    <t>PEAD</t>
  </si>
  <si>
    <t>Tramo</t>
  </si>
  <si>
    <t>Domiciliarias</t>
  </si>
  <si>
    <t>CANTIDADES DE OBRA RED DE DISTRIBUCIÓN HATO NUEVO</t>
  </si>
  <si>
    <t>J-26 a J-30</t>
  </si>
  <si>
    <t>J-24 a J-25</t>
  </si>
  <si>
    <t>J-35 a J-60</t>
  </si>
  <si>
    <t>J-34 a J-35</t>
  </si>
  <si>
    <t>J-33 a J-34</t>
  </si>
  <si>
    <t>J-32 a J-33</t>
  </si>
  <si>
    <t>J-31 a J-32</t>
  </si>
  <si>
    <t>J-30 a J-31</t>
  </si>
  <si>
    <t>TCV-2 a J-52</t>
  </si>
  <si>
    <t>J-52 a J-53</t>
  </si>
  <si>
    <t>J-53 a J-54</t>
  </si>
  <si>
    <t>J-54 a J-55</t>
  </si>
  <si>
    <t>J-55 a J-56</t>
  </si>
  <si>
    <t>J-56 a J-57A</t>
  </si>
  <si>
    <t>J-57A a J-58A</t>
  </si>
  <si>
    <t>J-58A a J-22</t>
  </si>
  <si>
    <t>J-22 a J-65</t>
  </si>
  <si>
    <t>J-65 a J-66A</t>
  </si>
  <si>
    <t>J-22 a TCV-3</t>
  </si>
  <si>
    <t>TCV-3 a J-72</t>
  </si>
  <si>
    <t>J-66A a TCV-1</t>
  </si>
  <si>
    <t>J-59 a J-60</t>
  </si>
  <si>
    <t>J-58 a J-59</t>
  </si>
  <si>
    <t>J-57 a J-58</t>
  </si>
  <si>
    <t>J-24 a J-57</t>
  </si>
  <si>
    <t>J-25 a J-98</t>
  </si>
  <si>
    <t>J-98 a J-26</t>
  </si>
  <si>
    <t>J-72 a J-98</t>
  </si>
  <si>
    <t>J-98 a J-31</t>
  </si>
  <si>
    <t>MACROMEDICIÓN Y MICROMEDICIÓN</t>
  </si>
  <si>
    <t>Micromedidor</t>
  </si>
  <si>
    <t>Micromedidor nuevo</t>
  </si>
  <si>
    <t>Micromedidor Reposición</t>
  </si>
  <si>
    <r>
      <rPr>
        <sz val="8"/>
        <color theme="1"/>
        <rFont val="Century Gothic"/>
        <family val="2"/>
      </rPr>
      <t xml:space="preserve">Macromedidor de </t>
    </r>
    <r>
      <rPr>
        <sz val="8"/>
        <color theme="1"/>
        <rFont val="Calibri"/>
        <family val="2"/>
      </rPr>
      <t>Ø</t>
    </r>
    <r>
      <rPr>
        <sz val="8"/>
        <color theme="1"/>
        <rFont val="Century Gothic"/>
        <family val="2"/>
      </rPr>
      <t>2"</t>
    </r>
  </si>
  <si>
    <r>
      <rPr>
        <sz val="8"/>
        <color theme="1"/>
        <rFont val="Century Gothic"/>
        <family val="2"/>
      </rPr>
      <t xml:space="preserve">Macromedidor de </t>
    </r>
    <r>
      <rPr>
        <sz val="8"/>
        <color theme="1"/>
        <rFont val="Calibri"/>
        <family val="2"/>
      </rPr>
      <t>Ø3</t>
    </r>
    <r>
      <rPr>
        <sz val="8"/>
        <color theme="1"/>
        <rFont val="Century Gothic"/>
        <family val="2"/>
      </rPr>
      <t>"</t>
    </r>
  </si>
  <si>
    <r>
      <rPr>
        <sz val="8"/>
        <color theme="1"/>
        <rFont val="Century Gothic"/>
        <family val="2"/>
      </rPr>
      <t xml:space="preserve">Macromedidor de </t>
    </r>
    <r>
      <rPr>
        <sz val="8"/>
        <color theme="1"/>
        <rFont val="Calibri"/>
        <family val="2"/>
      </rPr>
      <t>Ø4</t>
    </r>
    <r>
      <rPr>
        <sz val="8"/>
        <color theme="1"/>
        <rFont val="Century Gothic"/>
        <family val="2"/>
      </rPr>
      <t>"</t>
    </r>
  </si>
  <si>
    <r>
      <rPr>
        <sz val="8"/>
        <color theme="1"/>
        <rFont val="Century Gothic"/>
        <family val="2"/>
      </rPr>
      <t xml:space="preserve">Válvula tipo chorote </t>
    </r>
    <r>
      <rPr>
        <sz val="8"/>
        <color theme="1"/>
        <rFont val="Calibri"/>
        <family val="2"/>
      </rPr>
      <t>Ø</t>
    </r>
    <r>
      <rPr>
        <sz val="8"/>
        <color theme="1"/>
        <rFont val="Century Gothic"/>
        <family val="2"/>
      </rPr>
      <t>2"</t>
    </r>
  </si>
  <si>
    <r>
      <rPr>
        <sz val="8"/>
        <color theme="1"/>
        <rFont val="Century Gothic"/>
        <family val="2"/>
      </rPr>
      <t xml:space="preserve">Válvula tipo chorote </t>
    </r>
    <r>
      <rPr>
        <sz val="8"/>
        <color theme="1"/>
        <rFont val="Calibri"/>
        <family val="2"/>
      </rPr>
      <t>Ø3</t>
    </r>
    <r>
      <rPr>
        <sz val="8"/>
        <color theme="1"/>
        <rFont val="Century Gothic"/>
        <family val="2"/>
      </rPr>
      <t>"</t>
    </r>
  </si>
  <si>
    <r>
      <rPr>
        <sz val="8"/>
        <color theme="1"/>
        <rFont val="Century Gothic"/>
        <family val="2"/>
      </rPr>
      <t xml:space="preserve">Válvula tipo chorote </t>
    </r>
    <r>
      <rPr>
        <sz val="8"/>
        <color theme="1"/>
        <rFont val="Calibri"/>
        <family val="2"/>
      </rPr>
      <t>Ø4</t>
    </r>
    <r>
      <rPr>
        <sz val="8"/>
        <color theme="1"/>
        <rFont val="Century Gothic"/>
        <family val="2"/>
      </rPr>
      <t>"</t>
    </r>
  </si>
  <si>
    <t>Tee de Ø2"</t>
  </si>
  <si>
    <t>Tee de Ø3"</t>
  </si>
  <si>
    <t>Tee de Ø4"</t>
  </si>
  <si>
    <t>Codo de 11,25° de Ø2"</t>
  </si>
  <si>
    <t>Codo de 11,25° de Ø3"</t>
  </si>
  <si>
    <t>Codo de 11,25° de Ø4"</t>
  </si>
  <si>
    <t>Codo de 22,5° de Ø2"</t>
  </si>
  <si>
    <t>Codo de 22,5° de Ø3"</t>
  </si>
  <si>
    <t>Codo de 22,5° de Ø4"</t>
  </si>
  <si>
    <t>Codo de 45° de Ø2"</t>
  </si>
  <si>
    <t>Codo de 45° de Ø3"</t>
  </si>
  <si>
    <t>Codo de 45° de Ø4"</t>
  </si>
  <si>
    <t>Codo de 90° de Ø2"</t>
  </si>
  <si>
    <t>Codo de 90° de Ø3"</t>
  </si>
  <si>
    <t>Codo de 90° de Ø4"</t>
  </si>
  <si>
    <t>SECTORIZACIÓN HATO NUEVO</t>
  </si>
  <si>
    <t>MICROMEDIDOR DE VELOCIDAD</t>
  </si>
  <si>
    <t>Descripcion</t>
  </si>
  <si>
    <t>Cantidad</t>
  </si>
  <si>
    <t>Tapón</t>
  </si>
  <si>
    <t>Tee</t>
  </si>
  <si>
    <t>Adaptador macho</t>
  </si>
  <si>
    <t>codo 90°</t>
  </si>
  <si>
    <t>Registro de rueda</t>
  </si>
  <si>
    <t>Racor</t>
  </si>
  <si>
    <t>Tuerca</t>
  </si>
  <si>
    <t>Medidor de velocidad</t>
  </si>
  <si>
    <t>Registro de corte</t>
  </si>
  <si>
    <t>Registro de incorporación</t>
  </si>
  <si>
    <t>Collar de derivación</t>
  </si>
  <si>
    <t>Caja</t>
  </si>
  <si>
    <t>ESTACIÓN DE MACROMEDICIÓN</t>
  </si>
  <si>
    <t>Descripción</t>
  </si>
  <si>
    <t>Codo</t>
  </si>
  <si>
    <t>Válvula de compuerta</t>
  </si>
  <si>
    <t>Tubería PVC RDE 21</t>
  </si>
  <si>
    <t>Niple pasamuro hd 0,50m</t>
  </si>
  <si>
    <t>Unión de desmontaje</t>
  </si>
  <si>
    <t>Filtro en Y</t>
  </si>
  <si>
    <t>Niple hd 0,50m</t>
  </si>
  <si>
    <t>Macromedidor</t>
  </si>
  <si>
    <t>CAJA DE CONCRETO 4000 PSI PARA MACROMEDIDOR</t>
  </si>
  <si>
    <t>ACTIVIDAD</t>
  </si>
  <si>
    <t>DIMENSIONES (m)</t>
  </si>
  <si>
    <t>Largo</t>
  </si>
  <si>
    <t>Ancho</t>
  </si>
  <si>
    <t>Alto</t>
  </si>
  <si>
    <t>Espesor</t>
  </si>
  <si>
    <t>Loc. y replanteo</t>
  </si>
  <si>
    <t>Exc. Concglomerado</t>
  </si>
  <si>
    <t>Recebo</t>
  </si>
  <si>
    <t>Prov. Excavación</t>
  </si>
  <si>
    <t>Solado</t>
  </si>
  <si>
    <t>Acero</t>
  </si>
  <si>
    <t>Concreto piso</t>
  </si>
  <si>
    <t>Concreto muros</t>
  </si>
  <si>
    <t>Concreto tapa</t>
  </si>
  <si>
    <t>Pasos escalera gato</t>
  </si>
  <si>
    <t>Tapa de seguridad</t>
  </si>
  <si>
    <t>VIADUCTOS Y ENCOFRADOS</t>
  </si>
  <si>
    <t>Viaducto L = 5 m</t>
  </si>
  <si>
    <t>Viaducto L = 10 m</t>
  </si>
  <si>
    <t>Viaducto L = 50 m</t>
  </si>
  <si>
    <t>Encofrado 0.50 x 0.50 (m)</t>
  </si>
  <si>
    <t>RESÚMEN DE CANTIDADES ELÉCTRICAS</t>
  </si>
  <si>
    <t>EBAC</t>
  </si>
  <si>
    <t>PTAP</t>
  </si>
  <si>
    <t>H-01.01</t>
  </si>
  <si>
    <t>Actualización de planos según obra ejecutada</t>
  </si>
  <si>
    <t>H-01.02</t>
  </si>
  <si>
    <t>Cableado de conexión de la puesta a tierra Cu 2 AWG en tubería PVC 1"</t>
  </si>
  <si>
    <t>H-01.03</t>
  </si>
  <si>
    <t>Cableado de conexión de la puesta a tierra Cu 6 AWG en tubería PVC 1"</t>
  </si>
  <si>
    <t>H-01.04</t>
  </si>
  <si>
    <t>Cableado de conexión de la puesta a tierra Cu 8 AWG en tubería PVC 1"</t>
  </si>
  <si>
    <t>H-01.05</t>
  </si>
  <si>
    <t>Certificación RETIE</t>
  </si>
  <si>
    <t>H-01.06</t>
  </si>
  <si>
    <t>Salida para electrobomba sumergible trifásica en cable encauchetado tipo TERMOFLEX PROCABLES S 4x4AWG apto para bombas sumergibles - 90m, en tubería EMT 2" - 6m y tubería PVC 2" - 6m, incluye fijaciones, herrajes, marcacion, bornas y demás accesorios</t>
  </si>
  <si>
    <t>H-01.07</t>
  </si>
  <si>
    <t>Salida para interruptor sencillo</t>
  </si>
  <si>
    <t>H-01.08</t>
  </si>
  <si>
    <t>Salida para luminaria LED Hermética Sylvania 50W o luminaria tipo panel LED 60x60</t>
  </si>
  <si>
    <t>H-01.09</t>
  </si>
  <si>
    <t>Salida para motor trifásico en cable 3x2F + 1x8T THHN/THWN, en tubería EMT 2" -  4m y coraza Liquid Thight 2" - 2 m, incluye caja de paso 10x10cm, fijaciones, herrajes, marcacion, bornas y demás accesorios</t>
  </si>
  <si>
    <t>H-01.10</t>
  </si>
  <si>
    <t>Salida para motor trifásico en cable 3x8F + 1x10T THHN/THWN, en tubería EMT 1" -  4m y coraza Liquid Thight 1" - 2 m, incluye caja de paso 10x10cm, fijaciones, herrajes, marcacion, bornas y demás accesorios</t>
  </si>
  <si>
    <t>H-01.11</t>
  </si>
  <si>
    <t>Salida para motor monofásico en cable 2x10F + 1x10T THHN/THWN, en tubería EMT 3/4" - 4m y coraza Liquid Thight 3/4" - 2 m, incluye caja de paso 10x10cm, fijaciones, herrajes, marcacion, bornas y demás accesorios</t>
  </si>
  <si>
    <t>H-01.12</t>
  </si>
  <si>
    <t xml:space="preserve">Salida para tomacorriente Leviton con polo a tierra empotrado en pared </t>
  </si>
  <si>
    <t>H-01.13</t>
  </si>
  <si>
    <t>Soldadura exotermica</t>
  </si>
  <si>
    <t>H-01.14</t>
  </si>
  <si>
    <t>Suministro e instalación Cable Cu 2/0 AWG desnudo 80cm de profundidad</t>
  </si>
  <si>
    <t>H-01.15</t>
  </si>
  <si>
    <t>Suministro e instalación de cableado de acometida aérea tipo trébol 3x8 + 10 AWG Cu Centelsa 75° 600V, incluye temples y demás accesorios del transformador al contador, con capacete roscado 2" para recepción de acometida, incluye bornas y accesorios de fijación</t>
  </si>
  <si>
    <t>H-01.16</t>
  </si>
  <si>
    <t>Suministro e instalación de grupo de medida en baja tensión con caja para contador Trifásico tetrafilar adosada a muro, altura 1.6-1,8m, ventana de inspección y ventana de accionamiento y caja para CT's, incluye CT's 300:5 a 5V, contador Trifásico tetrafilar bidireccional calibrado de acuerdo a normas Electrohuila, clase 1 activa, 1 (6)A,varilla de puesta a tierra, Cable 1x8T - 6 m y flejes de fijación en acero inóxidable</t>
  </si>
  <si>
    <t>H-01.17</t>
  </si>
  <si>
    <t>Suministro e Instalación de luminaria LED Hermética Sylvania 50W Se incluye el suministro de accesorios de fijación y montaje</t>
  </si>
  <si>
    <t>H-01.18</t>
  </si>
  <si>
    <t>Suministro e instalación de poste de concreto pretensado 510kgf, incluye brazo para luminaria 140mm, hicada y plomada</t>
  </si>
  <si>
    <t>H-01.19</t>
  </si>
  <si>
    <t>Suministro e instalación de reflector LED autónomo con panel solar y batería de 12h de autonomía, &gt;12000 ciclos, instalada en poste de madera de 6 metros a 4-5 metros de altura</t>
  </si>
  <si>
    <t>H-01.20</t>
  </si>
  <si>
    <t>Suministro e instalación de reflector LED autónomo con panel solar y batería LED SOLAR INTEGRADA S40 6K Silvanya, 50000 horas</t>
  </si>
  <si>
    <t>H-01.21</t>
  </si>
  <si>
    <t>Suministro e instalación de Tablero bifásico tipo luminex 8 circuitos de incrustar o sobreponer, con espacio para totalizador, incluye breaker tipo enchufable 1x20A - 6 Un, breaker tipo enchufable 2x30A - 1 Un</t>
  </si>
  <si>
    <t>H-01.22</t>
  </si>
  <si>
    <t>Suministro e instalación de Tablero bifásico tipo luminex 12 circuitos de incrustar o sobreponer, con espacio para totalizador, incluye breaker tipo enchufable 1x20A - 6 Un, breaker tipo enchufable 2x30A - 1 Un</t>
  </si>
  <si>
    <t>H-01.23</t>
  </si>
  <si>
    <t>Suministro e instalación de Transferencia automática 60A 440V de dos contactores tripolares de la corriente indicada enclavados mecánicamente. El circuito de control debe permitir una transferencia manual o automática, elegible a voluntad mediante un selector, vigilancia de tensión (incluyendo caída de fase), indicadores luminosos para el estado de conexión, protección del control y contacto para encendido de planta.</t>
  </si>
  <si>
    <t>H-01.24</t>
  </si>
  <si>
    <t>Suministro en instalación caja de inspección prefabricada 30x30cm</t>
  </si>
  <si>
    <t>H-01.25</t>
  </si>
  <si>
    <t>Suministro de materiales y fabricación de caja de inspección norma CS274 Codensa</t>
  </si>
  <si>
    <t>H-01.26</t>
  </si>
  <si>
    <t>Suministro e instalación transformador trifásico en aceite 13,2/0,440 KV 112.5KVA conexión Dyn5, incluye protecciones de MT, DPS y herrajes de instalación, estructura final de circuito CTU 500 Codensa</t>
  </si>
  <si>
    <t>H-01.27</t>
  </si>
  <si>
    <t>Suministro e instalación tubería IMC 3" y tubería subterranea PVC 3" con cableado Cu 3x4/0F+1x4/0N del transformador al contador, con capacete roscado 2", adosada al poste, incluye bornas y accesorios de fijación</t>
  </si>
  <si>
    <t>H-01.28</t>
  </si>
  <si>
    <t xml:space="preserve">Suministro e instalación tubería PVC 1" subterranea 75cm de profundidad con cableado Cu 1x12F+1x12N+1x12T </t>
  </si>
  <si>
    <t>H-01.29</t>
  </si>
  <si>
    <t>Tablero de control de motores con arrancador suave Siemens 3RW4027-1BB14 para motor 4HP 220V - 1 Un, PLC LOGO! 8 Siemens con módulo de expansión, relés de interposición, pulsadores, luces de indicación, gabinete resguardo de equipos 1200x700x300</t>
  </si>
  <si>
    <t>H-01.30</t>
  </si>
  <si>
    <t>Tablero de control de motores con arrancador suave Siemens 3RW4028-1BB14 para motor 7HP 220V - 1 Un, PLC LOGO! 8 Siemens con módulo de expansión, relés de interposición, pulsadores, luces de indicación, gabinete resguardo de equipos 900x700x300</t>
  </si>
  <si>
    <t>H-01.31</t>
  </si>
  <si>
    <t>Tablero de control de motores con arrancador suave Siemens 3RW4047-1BB14 - 1 Un, PLC LOGO! 8 Siemens con módulo de expansión, relés de interposición, pulsadores, luces de indicación, gabinete resguardo de equipos</t>
  </si>
  <si>
    <t>H-01.32</t>
  </si>
  <si>
    <t>Tablero de control de motores con variador 6SL3210-5BE32-2UV0 para motores 30HP 440V - 2 Un, PLC LOGO! 8 Siemens con módulo de expansión, relés de interposición, pulsadores, luces de indicación, gabinete resguardo de equipos 1200x700x300</t>
  </si>
  <si>
    <t>H-01.33</t>
  </si>
  <si>
    <t>TD: Suministro e instalación de Tablero con barraje principal trifásico, Guardamotor chint 6-10A, breaker tipo riel 1x20A - 6 Un, encerramiento metálico, puerta y frente muerto</t>
  </si>
  <si>
    <t>H-01.34</t>
  </si>
  <si>
    <t>TD: Suministro e instalación de Tablero trifásico fabricación especial con totalizador 3x100A - 10KA, barraje principal trifásico, Guardamotor 56-80A - 1 Un, breaker tipo riel 1x20A - 6 Un, incluye encerramiento metálico, puerta y frente muerto</t>
  </si>
  <si>
    <t>H-01.35</t>
  </si>
  <si>
    <t>TD: Suministro e instalación de Tablero trifásico fabricación especial con totalizador 3x80A - 10KA, barraje principal trifásico, Breaker industrial 3x75A - 1 Un, breaker tipo riel 2x20A - 7 Un, incluye encerramiento metálico, puerta y frente muerto</t>
  </si>
  <si>
    <t>H-01.36</t>
  </si>
  <si>
    <t>TD: Suministro e instalación de Tablero trifásico fabricación especial con totalizador 3x50A - 10KA, barraje principal trifásico, Breaker industrial 3x40A - 2 Un, breaker tipo riel 2x20A - 1 Un, incluye transformador reductor 440/220 de 3KVA, encerramiento metálico, puerta y frente muerto</t>
  </si>
  <si>
    <t>H-01.37</t>
  </si>
  <si>
    <t>TD: Suministro e instalación de Tablero trifásico fabricación especial con totalizador 3x40A - 10KA, barraje principal trifásico, Breaker industrial 3x25A - 1 Un, breaker tipo riel 1x20A - 6 Un, incluye encerramiento metálico, puerta y frente muerto</t>
  </si>
  <si>
    <t>H-01.38</t>
  </si>
  <si>
    <t>TGA: Suministro e instalación de Tablero trifásico fabricación especial con totalizador 3x180A - 10KA, barraje principal trifásico, Breaker tipo industrial 3x165A - 1 Un, breaker tipo industrial 3x60A - 1 Un, breaker tipo industrial 3x70A - 1 Un, DPS tipo I+II 25KA, encerramiento metálico, puerta y frente muerto</t>
  </si>
  <si>
    <t>H-01.39</t>
  </si>
  <si>
    <t>TD: Suministro e instalación de Tablero trifásico fabricación especial con totalizador 2x40A - 10KA, barraje principal trifásico, Guardamotor Chint 9-14A - 2 Un, breaker tipo riel 1x20A - 6 Un, incluye encerramiento metálico, puerta y frente muerto</t>
  </si>
  <si>
    <t>H-01.40</t>
  </si>
  <si>
    <t>Varilla Cu 5/8"x8' y tratamiento del terreno</t>
  </si>
  <si>
    <t>E.03</t>
  </si>
  <si>
    <t>Dotacion (Oberol, casco, botas, gafas, guantes, chalecos)</t>
  </si>
  <si>
    <t>Examen medico de ingreso</t>
  </si>
  <si>
    <t>Transporte de materiales de cantera</t>
  </si>
  <si>
    <t>Transporte de materiales de ferreteria</t>
  </si>
  <si>
    <t>Transporte de herramientas y equipos</t>
  </si>
  <si>
    <t>Transporte de material de cantera</t>
  </si>
  <si>
    <t>Transporte de material de ferreteria</t>
  </si>
  <si>
    <t>Transorte de herramientas y equipos</t>
  </si>
  <si>
    <t>SUMINISTRO, PREPARACIÓN E INSTALACIÓN DE MORTERO 1:4 IMPERMEABILIZADO (INCLUYE MATERIALES, HERRAMIENTAS, TRANSPORTE Y MANO DE OBRA)</t>
  </si>
  <si>
    <t>KM-M3</t>
  </si>
  <si>
    <t>CONCRETO DE 4000 PSI A TODO COSTO (280 KG/CM2)</t>
  </si>
  <si>
    <t xml:space="preserve">Transporte de materiales </t>
  </si>
  <si>
    <t>Transporte de herramintas y equipos</t>
  </si>
  <si>
    <t>Transporte de herramienta y equipos</t>
  </si>
  <si>
    <r>
      <t xml:space="preserve">SUMINISTRO E INSTALACIÓN DE TUBERÍA PVC </t>
    </r>
    <r>
      <rPr>
        <b/>
        <sz val="10"/>
        <color theme="0"/>
        <rFont val="Calibri"/>
        <family val="2"/>
      </rPr>
      <t>Ø</t>
    </r>
    <r>
      <rPr>
        <b/>
        <sz val="10"/>
        <color theme="0"/>
        <rFont val="Century Gothic"/>
        <family val="2"/>
      </rPr>
      <t>4" RDE 21 (INCLUYE PEGANTE, LIMPIADOR, HERRAMIENTA MENOR Y MANO DE OBRA)</t>
    </r>
  </si>
  <si>
    <t>SUMINISTRO E INSTALACIÓN DE TUBERÍA PVC Ø4" RDE 21 (INCLUYE PEGANTE, LIMPIADOR, HERRAMIENTA MENOR Y MANO DE OBRA)</t>
  </si>
  <si>
    <r>
      <t xml:space="preserve">SUMINISTRO E INSTALACIÓN DE TUBERÍA PVC </t>
    </r>
    <r>
      <rPr>
        <b/>
        <sz val="10"/>
        <color theme="0"/>
        <rFont val="Calibri"/>
        <family val="2"/>
      </rPr>
      <t>Ø3</t>
    </r>
    <r>
      <rPr>
        <b/>
        <sz val="10"/>
        <color theme="0"/>
        <rFont val="Century Gothic"/>
        <family val="2"/>
      </rPr>
      <t>" RDE 21 (INCLUYE PEGANTE, LIMPIADOR, HERRAMIENTA MENOR Y MANO DE OBRA)</t>
    </r>
  </si>
  <si>
    <t>SUMINISTRO E INSTALACIÓN DE TUBERÍA PVC Ø3" RDE 21 (INCLUYE PEGANTE, LIMPIADOR, HERRAMIENTA MENOR Y MANO DE OBRA)</t>
  </si>
  <si>
    <r>
      <t>ÁREA (m</t>
    </r>
    <r>
      <rPr>
        <b/>
        <vertAlign val="superscript"/>
        <sz val="10"/>
        <color theme="0"/>
        <rFont val="Century Gothic"/>
        <family val="2"/>
      </rPr>
      <t>2</t>
    </r>
    <r>
      <rPr>
        <b/>
        <sz val="10"/>
        <color theme="0"/>
        <rFont val="Century Gothic"/>
        <family val="2"/>
      </rPr>
      <t>)</t>
    </r>
  </si>
  <si>
    <r>
      <t>VOLÚM. (m</t>
    </r>
    <r>
      <rPr>
        <b/>
        <vertAlign val="superscript"/>
        <sz val="10"/>
        <color theme="0"/>
        <rFont val="Century Gothic"/>
        <family val="2"/>
      </rPr>
      <t>3</t>
    </r>
    <r>
      <rPr>
        <b/>
        <sz val="10"/>
        <color theme="0"/>
        <rFont val="Century Gothic"/>
        <family val="2"/>
      </rPr>
      <t>)</t>
    </r>
  </si>
  <si>
    <t>SUMINISTRO E INSTALACIÓN DE MANGUERA PEAD DE Ø1/2" PARA ACOMETIDA RDE 9 (INCLUYE MANGUERA PEAD, HERRAMIENTA MENOR Y MANO DE OBRA)</t>
  </si>
  <si>
    <t>Km-M3</t>
  </si>
  <si>
    <t>Km-m3</t>
  </si>
  <si>
    <t>km-m2</t>
  </si>
  <si>
    <t>ACERO PARA TANQUE DE 100 M3 - PARTE 3</t>
  </si>
  <si>
    <t>F-05.03</t>
  </si>
  <si>
    <t>E-02.02</t>
  </si>
  <si>
    <t>E-02.03</t>
  </si>
  <si>
    <t>E-02.04</t>
  </si>
  <si>
    <t>F - ALMACENAMIENTO POLONIA</t>
  </si>
  <si>
    <t>ESTRUCTURA</t>
  </si>
  <si>
    <t>% INCID.</t>
  </si>
  <si>
    <t>OBRA CIVIL</t>
  </si>
  <si>
    <t>B - ADUCCIÓN Y/O IMPULSIÓN</t>
  </si>
  <si>
    <t>C - URBANISMO + PTAP</t>
  </si>
  <si>
    <t>D - LECHOS DE SECADO</t>
  </si>
  <si>
    <t>E - ALMACENAMIENTO POTOSÍ</t>
  </si>
  <si>
    <t>G - ALMACENAMIENTO HATO NUEVO</t>
  </si>
  <si>
    <t>H - ALMACENAMIENTO SAN ALFONSO</t>
  </si>
  <si>
    <t>J - ACOMETIDAS FASE I</t>
  </si>
  <si>
    <t>K - ELÉCTRICO</t>
  </si>
  <si>
    <t>I - REDES DE DISTRIBUCIÓN FASE I</t>
  </si>
  <si>
    <t>PLAN DE MANEJO AMBIENTAL (PMA)</t>
  </si>
  <si>
    <t>PLAN DE MANEJO DE TRÁNSITO (PMT)</t>
  </si>
  <si>
    <t>PLAN SEGURIDAD Y SALUD EN EL TRABAJO (SST)</t>
  </si>
  <si>
    <t>FORTALECIMIENTO INSTITUCIONAL</t>
  </si>
  <si>
    <t>OBRA</t>
  </si>
  <si>
    <t>AIU</t>
  </si>
  <si>
    <t>AJUSTADO</t>
  </si>
  <si>
    <t>Salario Minimo 2026</t>
  </si>
  <si>
    <t>auxlio transp</t>
  </si>
  <si>
    <t>TOTAL COSTOS DIRECTOS OBRA CIVIL+AIU</t>
  </si>
  <si>
    <t>N.A AIU</t>
  </si>
  <si>
    <t>saniatio</t>
  </si>
  <si>
    <t xml:space="preserve">N.A AIU ES BASICO </t>
  </si>
  <si>
    <t>BASICO</t>
  </si>
  <si>
    <t>N.A AIU PREGUNTAR</t>
  </si>
  <si>
    <t>N.A AIU ?????</t>
  </si>
  <si>
    <t>N.A AIU ????</t>
  </si>
  <si>
    <t>SE APLICO AIU SUMINISTRO ????</t>
  </si>
  <si>
    <t>N.A AIU???</t>
  </si>
  <si>
    <t>NO SE APLICA ???</t>
  </si>
  <si>
    <t>SIN AIU</t>
  </si>
  <si>
    <t>PARA INTERNO NO APLICAR AIU</t>
  </si>
  <si>
    <t>NO AIU</t>
  </si>
  <si>
    <t xml:space="preserve"> no aparece caja sola en el presupuesto</t>
  </si>
  <si>
    <t>CONCRETO PARA MUROS DE CAJA DE 4000 PSI A TODO COSTO (280 KG/CM2)</t>
  </si>
  <si>
    <t>Alquiler de camillas de 0,70 x 1,40m (2 dias de uso)</t>
  </si>
  <si>
    <t>REVISAR N.A AIU</t>
  </si>
  <si>
    <t>N,A AIU</t>
  </si>
  <si>
    <t>REVISAR SI O CON AIU</t>
  </si>
  <si>
    <t>?</t>
  </si>
  <si>
    <t>OJO ESTA CON AIU</t>
  </si>
  <si>
    <t>OJO EL MATERIAL SE PUEDE DUPLICAR</t>
  </si>
  <si>
    <t xml:space="preserve">Caja para acometida domiciliaría plastica larga de 364*172 mm </t>
  </si>
  <si>
    <t>SE DEJA PARA PISO</t>
  </si>
  <si>
    <t>CON AIU</t>
  </si>
  <si>
    <t>CONCRETO PARA TAPA CAJA DE 4000 PSI IMPERMEABILIZADO A TODO COSTO (280 KG/CM2)</t>
  </si>
  <si>
    <t>CONCRETO PARA PISO CAJA DE 4000 PSI IMPERMEABILIZADO A TODO COSTO (280 KG/CM2)</t>
  </si>
  <si>
    <t>CONCRETO PARA MUROS DE LECHO DE SECADO</t>
  </si>
  <si>
    <t>CON O SIN AIU</t>
  </si>
  <si>
    <t>OJO REVISAR QUE SEA UNICO</t>
  </si>
  <si>
    <t xml:space="preserve">Tee Ø4 en hierro ductil  junta rapida </t>
  </si>
  <si>
    <t>con aiu</t>
  </si>
  <si>
    <t>DIFERENCIA</t>
  </si>
  <si>
    <t>valladel proyecto</t>
  </si>
  <si>
    <t>Pro desarrollo</t>
  </si>
  <si>
    <t>Pro Usco</t>
  </si>
  <si>
    <t xml:space="preserve">TARIFA </t>
  </si>
  <si>
    <t xml:space="preserve">imprevistos </t>
  </si>
  <si>
    <t>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</si>
</sst>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164" formatCode="_(&quot;$&quot;\ * #,##0.00_);_(&quot;$&quot;\ * \(#,##0.00\);_(&quot;$&quot;\ * &quot;-&quot;??_);_(@_)"/>
    <numFmt numFmtId="165" formatCode="_-&quot;$&quot;\ * #,##0.00_-;\-&quot;$&quot;\ * #,##0.00_-;_-&quot;$&quot;\ * &quot;-&quot;??_-;_-@"/>
    <numFmt numFmtId="166" formatCode="_-[$$-409]* #,##0.00_ ;_-[$$-409]* \-#,##0.00\ ;_-[$$-409]* &quot;-&quot;??_ ;_-@_ "/>
    <numFmt numFmtId="167" formatCode="\$\ #,##0"/>
    <numFmt numFmtId="168" formatCode="_-[$$-240A]\ * #,##0.00_-;\-[$$-240A]\ * #,##0.00_-;_-[$$-240A]\ * &quot;-&quot;??_-;_-@"/>
    <numFmt numFmtId="169" formatCode="0.0"/>
    <numFmt numFmtId="170" formatCode="_-&quot;$&quot;\ * #,##0_-;\-&quot;$&quot;\ * #,##0_-;_-&quot;$&quot;\ * &quot;-&quot;_-;_-@"/>
    <numFmt numFmtId="171" formatCode="#,##0.00;[Red]#,##0.00"/>
    <numFmt numFmtId="172" formatCode="&quot;$&quot;#,##0.00;[Red]&quot;$&quot;#,##0.00"/>
    <numFmt numFmtId="173" formatCode="_(* #,##0_);_(* \(#,##0\);_(* &quot;-&quot;??_);_(@_)"/>
    <numFmt numFmtId="174" formatCode="[$$-409]#,##0.00"/>
    <numFmt numFmtId="175" formatCode="00#"/>
    <numFmt numFmtId="176" formatCode="_([$$-240A]\ * #,##0.00_);_([$$-240A]\ * \(#,##0.00\);_([$$-240A]\ * &quot;-&quot;??_);_(@_)"/>
    <numFmt numFmtId="177" formatCode="0.0000"/>
    <numFmt numFmtId="178" formatCode="0.000"/>
  </numFmts>
  <fonts count="58" x14ac:knownFonts="1">
    <font>
      <sz val="10"/>
      <color rgb="FF000000"/>
      <name val="Arial"/>
      <scheme val="minor"/>
    </font>
    <font>
      <sz val="10"/>
      <color theme="1"/>
      <name val="Century Gothic"/>
      <family val="2"/>
    </font>
    <font>
      <b/>
      <i/>
      <sz val="10"/>
      <color theme="0"/>
      <name val="Century Gothic"/>
      <family val="2"/>
    </font>
    <font>
      <sz val="10"/>
      <name val="Arial"/>
      <family val="2"/>
    </font>
    <font>
      <sz val="16"/>
      <color rgb="FF000000"/>
      <name val="Century Gothic"/>
      <family val="2"/>
    </font>
    <font>
      <sz val="10"/>
      <color rgb="FF000000"/>
      <name val="Arial"/>
      <family val="2"/>
    </font>
    <font>
      <b/>
      <sz val="9"/>
      <color theme="1"/>
      <name val="Century Gothic"/>
      <family val="2"/>
    </font>
    <font>
      <b/>
      <sz val="10"/>
      <color theme="0"/>
      <name val="Century Gothic"/>
      <family val="2"/>
    </font>
    <font>
      <sz val="9"/>
      <color rgb="FF000000"/>
      <name val="Century Gothic"/>
      <family val="2"/>
    </font>
    <font>
      <sz val="10"/>
      <color rgb="FF000000"/>
      <name val="Century Gothic"/>
      <family val="2"/>
    </font>
    <font>
      <sz val="10"/>
      <color theme="1"/>
      <name val="Century Gothic"/>
      <family val="2"/>
    </font>
    <font>
      <sz val="10"/>
      <color theme="0"/>
      <name val="Century Gothic"/>
      <family val="2"/>
    </font>
    <font>
      <sz val="10"/>
      <color rgb="FFD8D8D8"/>
      <name val="Century Gothic"/>
      <family val="2"/>
    </font>
    <font>
      <sz val="10"/>
      <color theme="1"/>
      <name val="Arial"/>
      <family val="2"/>
    </font>
    <font>
      <b/>
      <sz val="10"/>
      <color theme="1"/>
      <name val="Century Gothic"/>
      <family val="2"/>
    </font>
    <font>
      <b/>
      <sz val="16"/>
      <color theme="1"/>
      <name val="Century Gothic"/>
      <family val="2"/>
    </font>
    <font>
      <sz val="12"/>
      <color rgb="FF000000"/>
      <name val="Century Gothic"/>
      <family val="2"/>
    </font>
    <font>
      <b/>
      <sz val="12"/>
      <color theme="0"/>
      <name val="Century Gothic"/>
      <family val="2"/>
    </font>
    <font>
      <sz val="10"/>
      <color rgb="FFFF0000"/>
      <name val="Century Gothic"/>
      <family val="2"/>
    </font>
    <font>
      <b/>
      <sz val="8"/>
      <color theme="0"/>
      <name val="Century Gothic"/>
      <family val="2"/>
    </font>
    <font>
      <sz val="10"/>
      <color rgb="FF00B050"/>
      <name val="Century Gothic"/>
      <family val="2"/>
    </font>
    <font>
      <sz val="10"/>
      <color rgb="FF000000"/>
      <name val="Calibri"/>
      <family val="2"/>
    </font>
    <font>
      <sz val="7"/>
      <color theme="1"/>
      <name val="Century Gothic"/>
      <family val="2"/>
    </font>
    <font>
      <sz val="9"/>
      <color theme="1"/>
      <name val="Century Gothic"/>
      <family val="2"/>
    </font>
    <font>
      <sz val="10"/>
      <color rgb="FFBFBFBF"/>
      <name val="Century Gothic"/>
      <family val="2"/>
    </font>
    <font>
      <sz val="10"/>
      <color rgb="FFD8D8D8"/>
      <name val="Arial"/>
      <family val="2"/>
    </font>
    <font>
      <b/>
      <sz val="16"/>
      <color theme="0"/>
      <name val="Century Gothic"/>
      <family val="2"/>
    </font>
    <font>
      <b/>
      <sz val="10"/>
      <color theme="1"/>
      <name val="Arial"/>
      <family val="2"/>
    </font>
    <font>
      <b/>
      <sz val="18"/>
      <color theme="0"/>
      <name val="Century Gothic"/>
      <family val="2"/>
    </font>
    <font>
      <sz val="11"/>
      <color theme="1"/>
      <name val="Century Gothic"/>
      <family val="2"/>
    </font>
    <font>
      <sz val="8"/>
      <color theme="1"/>
      <name val="Century Gothic"/>
      <family val="2"/>
    </font>
    <font>
      <b/>
      <sz val="14"/>
      <color theme="0"/>
      <name val="Century Gothic"/>
      <family val="2"/>
    </font>
    <font>
      <b/>
      <sz val="20"/>
      <color theme="0"/>
      <name val="Century Gothic"/>
      <family val="2"/>
    </font>
    <font>
      <b/>
      <sz val="8"/>
      <color theme="1"/>
      <name val="Century Gothic"/>
      <family val="2"/>
    </font>
    <font>
      <b/>
      <vertAlign val="superscript"/>
      <sz val="10"/>
      <color theme="0"/>
      <name val="Century Gothic"/>
      <family val="2"/>
    </font>
    <font>
      <b/>
      <sz val="10"/>
      <color theme="0"/>
      <name val="Calibri"/>
      <family val="2"/>
    </font>
    <font>
      <sz val="10"/>
      <color theme="1"/>
      <name val="Calibri"/>
      <family val="2"/>
    </font>
    <font>
      <sz val="8"/>
      <color theme="1"/>
      <name val="Calibri"/>
      <family val="2"/>
    </font>
    <font>
      <sz val="10"/>
      <color rgb="FF000000"/>
      <name val="Arial"/>
      <family val="2"/>
      <scheme val="minor"/>
    </font>
    <font>
      <b/>
      <sz val="10"/>
      <color theme="0"/>
      <name val="Century Gothic"/>
      <family val="2"/>
    </font>
    <font>
      <sz val="10"/>
      <name val="Century Gothic"/>
      <family val="2"/>
    </font>
    <font>
      <sz val="10"/>
      <color rgb="FF000000"/>
      <name val="Century Gothic"/>
      <family val="2"/>
    </font>
    <font>
      <sz val="10"/>
      <color theme="1"/>
      <name val="Century Gothic"/>
      <family val="2"/>
    </font>
    <font>
      <sz val="11"/>
      <color theme="1"/>
      <name val="Century Gothic"/>
      <family val="2"/>
    </font>
    <font>
      <b/>
      <sz val="18"/>
      <color theme="0"/>
      <name val="Century Gothic"/>
      <family val="2"/>
    </font>
    <font>
      <b/>
      <sz val="10"/>
      <color theme="1"/>
      <name val="Century Gothic"/>
      <family val="2"/>
    </font>
    <font>
      <b/>
      <sz val="10"/>
      <name val="Arial"/>
      <family val="2"/>
    </font>
    <font>
      <b/>
      <sz val="10"/>
      <color rgb="FF000000"/>
      <name val="Arial"/>
      <family val="2"/>
      <scheme val="minor"/>
    </font>
    <font>
      <sz val="11"/>
      <color rgb="FF000000"/>
      <name val="Arial"/>
      <family val="2"/>
      <scheme val="minor"/>
    </font>
    <font>
      <sz val="12"/>
      <color rgb="FF000000"/>
      <name val="Arial"/>
      <family val="2"/>
      <scheme val="minor"/>
    </font>
    <font>
      <b/>
      <u val="singleAccounting"/>
      <sz val="11"/>
      <color rgb="FF000000"/>
      <name val="Arial"/>
      <family val="2"/>
      <scheme val="minor"/>
    </font>
    <font>
      <b/>
      <u val="singleAccounting"/>
      <sz val="12"/>
      <color rgb="FF000000"/>
      <name val="Arial"/>
      <family val="2"/>
      <scheme val="minor"/>
    </font>
    <font>
      <b/>
      <u val="singleAccounting"/>
      <sz val="10"/>
      <color theme="1"/>
      <name val="Century Gothic"/>
      <family val="2"/>
    </font>
    <font>
      <b/>
      <u val="singleAccounting"/>
      <sz val="10"/>
      <name val="Arial"/>
      <family val="2"/>
    </font>
    <font>
      <b/>
      <u val="singleAccounting"/>
      <sz val="11"/>
      <color theme="1"/>
      <name val="Century Gothic"/>
      <family val="2"/>
    </font>
    <font>
      <u val="singleAccounting"/>
      <sz val="11"/>
      <name val="Arial"/>
      <family val="2"/>
    </font>
    <font>
      <sz val="10"/>
      <color rgb="FFFF0000"/>
      <name val="Arial"/>
      <family val="2"/>
      <scheme val="minor"/>
    </font>
    <font>
      <sz val="10"/>
      <color theme="0"/>
      <name val="Arial"/>
      <family val="2"/>
      <scheme val="minor"/>
    </font>
  </fonts>
  <fills count="23">
    <fill>
      <patternFill patternType="none"/>
    </fill>
    <fill>
      <patternFill patternType="gray125"/>
    </fill>
    <fill>
      <patternFill patternType="solid">
        <fgColor rgb="FF44546A"/>
        <bgColor rgb="FF44546A"/>
      </patternFill>
    </fill>
    <fill>
      <patternFill patternType="solid">
        <fgColor rgb="FFD8D8D8"/>
        <bgColor rgb="FFD8D8D8"/>
      </patternFill>
    </fill>
    <fill>
      <patternFill patternType="solid">
        <fgColor rgb="FFFFFF00"/>
        <bgColor rgb="FFFFFF00"/>
      </patternFill>
    </fill>
    <fill>
      <patternFill patternType="solid">
        <fgColor theme="0"/>
        <bgColor theme="0"/>
      </patternFill>
    </fill>
    <fill>
      <patternFill patternType="solid">
        <fgColor rgb="FFBFBFBF"/>
        <bgColor rgb="FFBFBFBF"/>
      </patternFill>
    </fill>
    <fill>
      <patternFill patternType="solid">
        <fgColor rgb="FFFFFFFF"/>
        <bgColor rgb="FFFFFFFF"/>
      </patternFill>
    </fill>
    <fill>
      <patternFill patternType="solid">
        <fgColor rgb="FF00B050"/>
        <bgColor rgb="FF00B050"/>
      </patternFill>
    </fill>
    <fill>
      <patternFill patternType="solid">
        <fgColor rgb="FFC2D69B"/>
        <bgColor rgb="FFC2D69B"/>
      </patternFill>
    </fill>
    <fill>
      <patternFill patternType="solid">
        <fgColor rgb="FF00B0F0"/>
        <bgColor rgb="FF00B0F0"/>
      </patternFill>
    </fill>
    <fill>
      <patternFill patternType="solid">
        <fgColor rgb="FF92D050"/>
        <bgColor rgb="FF92D050"/>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4"/>
        <bgColor indexed="64"/>
      </patternFill>
    </fill>
    <fill>
      <patternFill patternType="solid">
        <fgColor theme="5"/>
        <bgColor indexed="64"/>
      </patternFill>
    </fill>
    <fill>
      <patternFill patternType="solid">
        <fgColor rgb="FF00B0F0"/>
        <bgColor indexed="64"/>
      </patternFill>
    </fill>
    <fill>
      <patternFill patternType="solid">
        <fgColor theme="0"/>
        <bgColor indexed="64"/>
      </patternFill>
    </fill>
    <fill>
      <patternFill patternType="solid">
        <fgColor theme="4" tint="-0.249977111117893"/>
        <bgColor indexed="64"/>
      </patternFill>
    </fill>
    <fill>
      <patternFill patternType="solid">
        <fgColor theme="0"/>
        <bgColor rgb="FF44546A"/>
      </patternFill>
    </fill>
    <fill>
      <patternFill patternType="solid">
        <fgColor theme="0"/>
        <bgColor rgb="FFFFFF00"/>
      </patternFill>
    </fill>
  </fills>
  <borders count="61">
    <border>
      <left/>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right/>
      <top/>
      <bottom/>
      <diagonal/>
    </border>
    <border>
      <left/>
      <right/>
      <top style="thick">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bottom/>
      <diagonal/>
    </border>
    <border>
      <left/>
      <right/>
      <top/>
      <bottom/>
      <diagonal/>
    </border>
    <border>
      <left/>
      <right style="thin">
        <color rgb="FF000000"/>
      </right>
      <top/>
      <bottom/>
      <diagonal/>
    </border>
    <border>
      <left/>
      <right/>
      <top/>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top/>
      <bottom/>
      <diagonal/>
    </border>
    <border>
      <left/>
      <right/>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s>
  <cellStyleXfs count="5">
    <xf numFmtId="0" fontId="0" fillId="0" borderId="0"/>
    <xf numFmtId="44" fontId="38" fillId="0" borderId="0" applyFont="0" applyFill="0" applyBorder="0" applyAlignment="0" applyProtection="0"/>
    <xf numFmtId="9" fontId="38" fillId="0" borderId="0" applyFont="0" applyFill="0" applyBorder="0" applyAlignment="0" applyProtection="0"/>
    <xf numFmtId="0" fontId="38" fillId="0" borderId="55"/>
    <xf numFmtId="9" fontId="38" fillId="0" borderId="55" applyFont="0" applyFill="0" applyBorder="0" applyAlignment="0" applyProtection="0"/>
  </cellStyleXfs>
  <cellXfs count="707">
    <xf numFmtId="0" fontId="0" fillId="0" borderId="0" xfId="0"/>
    <xf numFmtId="0" fontId="5" fillId="0" borderId="0" xfId="0" applyFont="1"/>
    <xf numFmtId="165" fontId="5" fillId="0" borderId="0" xfId="0" applyNumberFormat="1" applyFont="1"/>
    <xf numFmtId="1" fontId="10" fillId="0" borderId="19" xfId="0" applyNumberFormat="1" applyFont="1" applyBorder="1" applyAlignment="1">
      <alignment horizontal="center" vertical="center" wrapText="1"/>
    </xf>
    <xf numFmtId="0" fontId="10" fillId="0" borderId="0" xfId="0" applyFont="1"/>
    <xf numFmtId="0" fontId="11" fillId="2" borderId="19" xfId="0" applyFont="1" applyFill="1" applyBorder="1" applyAlignment="1">
      <alignment horizontal="center"/>
    </xf>
    <xf numFmtId="0" fontId="12" fillId="0" borderId="0" xfId="0" applyFont="1" applyAlignment="1">
      <alignment horizontal="left"/>
    </xf>
    <xf numFmtId="2" fontId="10" fillId="0" borderId="19" xfId="0" applyNumberFormat="1" applyFont="1" applyBorder="1" applyAlignment="1">
      <alignment horizontal="center"/>
    </xf>
    <xf numFmtId="9" fontId="11" fillId="2" borderId="19" xfId="0" applyNumberFormat="1" applyFont="1" applyFill="1" applyBorder="1" applyAlignment="1">
      <alignment horizontal="center"/>
    </xf>
    <xf numFmtId="2" fontId="10" fillId="0" borderId="19" xfId="0" applyNumberFormat="1" applyFont="1" applyBorder="1" applyAlignment="1">
      <alignment horizontal="center" vertical="center"/>
    </xf>
    <xf numFmtId="9" fontId="10" fillId="0" borderId="19" xfId="0" applyNumberFormat="1" applyFont="1" applyBorder="1" applyAlignment="1">
      <alignment horizontal="center" vertical="center"/>
    </xf>
    <xf numFmtId="10" fontId="10" fillId="0" borderId="19" xfId="0" applyNumberFormat="1" applyFont="1" applyBorder="1" applyAlignment="1">
      <alignment horizontal="center" vertical="center"/>
    </xf>
    <xf numFmtId="0" fontId="13" fillId="0" borderId="0" xfId="0" applyFont="1"/>
    <xf numFmtId="0" fontId="9" fillId="0" borderId="0" xfId="0" applyFont="1" applyAlignment="1">
      <alignment horizontal="center" vertical="center" wrapText="1"/>
    </xf>
    <xf numFmtId="0" fontId="11" fillId="2" borderId="25" xfId="0" applyFont="1" applyFill="1" applyBorder="1" applyAlignment="1">
      <alignment horizontal="center"/>
    </xf>
    <xf numFmtId="2" fontId="10" fillId="0" borderId="16" xfId="0" applyNumberFormat="1" applyFont="1" applyBorder="1" applyAlignment="1">
      <alignment horizontal="center" vertical="center"/>
    </xf>
    <xf numFmtId="0" fontId="7" fillId="2" borderId="19" xfId="0" applyFont="1" applyFill="1" applyBorder="1" applyAlignment="1">
      <alignment horizontal="center" vertical="center"/>
    </xf>
    <xf numFmtId="2" fontId="14" fillId="3" borderId="19" xfId="0" applyNumberFormat="1" applyFont="1" applyFill="1" applyBorder="1" applyAlignment="1">
      <alignment horizontal="center" vertical="center"/>
    </xf>
    <xf numFmtId="0" fontId="9" fillId="0" borderId="0" xfId="0" applyFont="1"/>
    <xf numFmtId="0" fontId="10" fillId="0" borderId="19" xfId="0" quotePrefix="1" applyFont="1" applyBorder="1" applyAlignment="1">
      <alignment horizontal="center"/>
    </xf>
    <xf numFmtId="0" fontId="10" fillId="0" borderId="19" xfId="0" applyFont="1" applyBorder="1" applyAlignment="1">
      <alignment horizontal="center"/>
    </xf>
    <xf numFmtId="0" fontId="13" fillId="0" borderId="0" xfId="0" applyFont="1" applyAlignment="1">
      <alignment horizontal="left"/>
    </xf>
    <xf numFmtId="0" fontId="10" fillId="0" borderId="0" xfId="0" applyFont="1" applyAlignment="1">
      <alignment vertical="center"/>
    </xf>
    <xf numFmtId="0" fontId="7" fillId="2" borderId="19" xfId="0" applyFont="1" applyFill="1" applyBorder="1" applyAlignment="1">
      <alignment horizontal="center" vertical="center" wrapText="1"/>
    </xf>
    <xf numFmtId="0" fontId="5" fillId="0" borderId="0" xfId="0" applyFont="1" applyAlignment="1">
      <alignment wrapText="1"/>
    </xf>
    <xf numFmtId="0" fontId="14" fillId="3" borderId="19" xfId="0" applyFont="1" applyFill="1" applyBorder="1" applyAlignment="1">
      <alignment horizontal="center" vertical="center" wrapText="1"/>
    </xf>
    <xf numFmtId="0" fontId="10" fillId="0" borderId="19" xfId="0" applyFont="1" applyBorder="1" applyAlignment="1">
      <alignment horizontal="center" vertical="center" wrapText="1"/>
    </xf>
    <xf numFmtId="3" fontId="10" fillId="0" borderId="19" xfId="0" applyNumberFormat="1" applyFont="1" applyBorder="1" applyAlignment="1">
      <alignment horizontal="center" vertical="center" wrapText="1"/>
    </xf>
    <xf numFmtId="2" fontId="10" fillId="0" borderId="19" xfId="0" applyNumberFormat="1" applyFont="1" applyBorder="1" applyAlignment="1">
      <alignment horizontal="center" vertical="center" wrapText="1"/>
    </xf>
    <xf numFmtId="0" fontId="10" fillId="0" borderId="19" xfId="0" applyFont="1" applyBorder="1" applyAlignment="1">
      <alignment horizontal="center" vertical="center"/>
    </xf>
    <xf numFmtId="3" fontId="10" fillId="0" borderId="19" xfId="0" applyNumberFormat="1" applyFont="1" applyBorder="1" applyAlignment="1">
      <alignment horizontal="center" vertical="center"/>
    </xf>
    <xf numFmtId="0" fontId="14" fillId="3" borderId="19" xfId="0" applyFont="1" applyFill="1" applyBorder="1" applyAlignment="1">
      <alignment horizontal="center" vertical="center"/>
    </xf>
    <xf numFmtId="0" fontId="10" fillId="0" borderId="0" xfId="0" applyFont="1" applyAlignment="1">
      <alignment horizontal="center" vertical="center"/>
    </xf>
    <xf numFmtId="0" fontId="14" fillId="3" borderId="34" xfId="0" applyFont="1" applyFill="1" applyBorder="1" applyAlignment="1">
      <alignment horizontal="center" vertical="center"/>
    </xf>
    <xf numFmtId="0" fontId="10" fillId="0" borderId="0" xfId="0" applyFont="1" applyAlignment="1">
      <alignment horizontal="left" vertical="center"/>
    </xf>
    <xf numFmtId="2" fontId="10" fillId="0" borderId="27" xfId="0" applyNumberFormat="1" applyFont="1" applyBorder="1" applyAlignment="1">
      <alignment horizontal="center" vertical="center"/>
    </xf>
    <xf numFmtId="2" fontId="10" fillId="0" borderId="27" xfId="0" applyNumberFormat="1" applyFont="1" applyBorder="1" applyAlignment="1">
      <alignment horizontal="center" vertical="center" wrapText="1"/>
    </xf>
    <xf numFmtId="1" fontId="10" fillId="0" borderId="19" xfId="0" applyNumberFormat="1" applyFont="1" applyBorder="1" applyAlignment="1">
      <alignment horizontal="center" vertical="center"/>
    </xf>
    <xf numFmtId="10" fontId="14" fillId="6" borderId="19" xfId="0" applyNumberFormat="1" applyFont="1" applyFill="1" applyBorder="1" applyAlignment="1">
      <alignment horizontal="center" wrapText="1"/>
    </xf>
    <xf numFmtId="10" fontId="14" fillId="0" borderId="19" xfId="0" applyNumberFormat="1" applyFont="1" applyBorder="1" applyAlignment="1">
      <alignment horizontal="center" vertical="center"/>
    </xf>
    <xf numFmtId="49" fontId="10" fillId="0" borderId="0" xfId="0" applyNumberFormat="1" applyFont="1" applyAlignment="1">
      <alignment vertical="center"/>
    </xf>
    <xf numFmtId="0" fontId="14" fillId="0" borderId="0" xfId="0" applyFont="1" applyAlignment="1">
      <alignment horizontal="left" vertical="center" wrapText="1"/>
    </xf>
    <xf numFmtId="168" fontId="7" fillId="2" borderId="19" xfId="0" applyNumberFormat="1" applyFont="1" applyFill="1" applyBorder="1" applyAlignment="1">
      <alignment horizontal="center" vertical="center" wrapText="1"/>
    </xf>
    <xf numFmtId="168" fontId="10" fillId="0" borderId="19" xfId="0" applyNumberFormat="1" applyFont="1" applyBorder="1" applyAlignment="1">
      <alignment horizontal="center" vertical="center" wrapText="1"/>
    </xf>
    <xf numFmtId="169" fontId="10" fillId="0" borderId="19" xfId="0" applyNumberFormat="1" applyFont="1" applyBorder="1" applyAlignment="1">
      <alignment horizontal="center" vertical="center" wrapText="1"/>
    </xf>
    <xf numFmtId="10" fontId="10" fillId="0" borderId="19" xfId="0" applyNumberFormat="1" applyFont="1" applyBorder="1" applyAlignment="1">
      <alignment horizontal="center" vertical="center" wrapText="1"/>
    </xf>
    <xf numFmtId="168" fontId="10" fillId="0" borderId="0" xfId="0" applyNumberFormat="1" applyFont="1" applyAlignment="1">
      <alignment horizontal="center" vertical="center" wrapText="1"/>
    </xf>
    <xf numFmtId="1" fontId="10" fillId="0" borderId="0" xfId="0" applyNumberFormat="1" applyFont="1" applyAlignment="1">
      <alignment horizontal="right" vertical="center" wrapText="1"/>
    </xf>
    <xf numFmtId="1" fontId="10" fillId="0" borderId="0" xfId="0" applyNumberFormat="1" applyFont="1" applyAlignment="1">
      <alignment horizontal="center" vertical="center" wrapText="1"/>
    </xf>
    <xf numFmtId="168" fontId="7" fillId="2" borderId="34" xfId="0" applyNumberFormat="1" applyFont="1" applyFill="1" applyBorder="1" applyAlignment="1">
      <alignment horizontal="center" vertical="center"/>
    </xf>
    <xf numFmtId="1" fontId="10" fillId="0" borderId="13" xfId="0" applyNumberFormat="1" applyFont="1" applyBorder="1" applyAlignment="1">
      <alignment horizontal="center" vertical="center"/>
    </xf>
    <xf numFmtId="168" fontId="10" fillId="0" borderId="19" xfId="0" applyNumberFormat="1" applyFont="1" applyBorder="1" applyAlignment="1">
      <alignment horizontal="center" vertical="center"/>
    </xf>
    <xf numFmtId="168" fontId="14" fillId="0" borderId="0" xfId="0" applyNumberFormat="1" applyFont="1" applyAlignment="1">
      <alignment horizontal="center" vertical="center"/>
    </xf>
    <xf numFmtId="4" fontId="7" fillId="2" borderId="19" xfId="0" applyNumberFormat="1" applyFont="1" applyFill="1" applyBorder="1" applyAlignment="1">
      <alignment horizontal="center" vertical="center" wrapText="1"/>
    </xf>
    <xf numFmtId="4" fontId="10" fillId="0" borderId="40" xfId="0" applyNumberFormat="1" applyFont="1" applyBorder="1"/>
    <xf numFmtId="4" fontId="14" fillId="0" borderId="0" xfId="0" applyNumberFormat="1" applyFont="1" applyAlignment="1">
      <alignment horizontal="center" vertical="center" wrapText="1"/>
    </xf>
    <xf numFmtId="171" fontId="14" fillId="0" borderId="0" xfId="0" applyNumberFormat="1" applyFont="1" applyAlignment="1">
      <alignment horizontal="center" vertical="center" wrapText="1"/>
    </xf>
    <xf numFmtId="4" fontId="10" fillId="0" borderId="0" xfId="0" applyNumberFormat="1" applyFont="1"/>
    <xf numFmtId="9" fontId="10" fillId="0" borderId="19" xfId="0" applyNumberFormat="1" applyFont="1" applyBorder="1" applyAlignment="1">
      <alignment horizontal="center" vertical="center" wrapText="1"/>
    </xf>
    <xf numFmtId="9" fontId="7" fillId="2" borderId="19" xfId="0" applyNumberFormat="1" applyFont="1" applyFill="1" applyBorder="1" applyAlignment="1">
      <alignment horizontal="center" vertical="center" wrapText="1"/>
    </xf>
    <xf numFmtId="4" fontId="10" fillId="0" borderId="0" xfId="0" applyNumberFormat="1" applyFont="1" applyAlignment="1">
      <alignment horizontal="center" vertical="center"/>
    </xf>
    <xf numFmtId="10" fontId="10" fillId="0" borderId="13" xfId="0" applyNumberFormat="1" applyFont="1" applyBorder="1" applyAlignment="1">
      <alignment horizontal="center" vertical="center"/>
    </xf>
    <xf numFmtId="10" fontId="7" fillId="2" borderId="19" xfId="0" applyNumberFormat="1" applyFont="1" applyFill="1" applyBorder="1" applyAlignment="1">
      <alignment horizontal="center" vertical="center" wrapText="1"/>
    </xf>
    <xf numFmtId="10" fontId="10" fillId="0" borderId="0" xfId="0" applyNumberFormat="1" applyFont="1"/>
    <xf numFmtId="10" fontId="7" fillId="2" borderId="43" xfId="0" applyNumberFormat="1" applyFont="1" applyFill="1" applyBorder="1" applyAlignment="1">
      <alignment horizontal="center" vertical="center" wrapText="1"/>
    </xf>
    <xf numFmtId="4" fontId="10" fillId="0" borderId="40" xfId="0" applyNumberFormat="1" applyFont="1" applyBorder="1" applyAlignment="1">
      <alignment horizontal="center" vertical="center" wrapText="1"/>
    </xf>
    <xf numFmtId="4" fontId="10" fillId="0" borderId="0" xfId="0" applyNumberFormat="1" applyFont="1" applyAlignment="1">
      <alignment horizontal="center" vertical="center" wrapText="1"/>
    </xf>
    <xf numFmtId="4" fontId="10" fillId="0" borderId="0" xfId="0" applyNumberFormat="1" applyFont="1" applyAlignment="1">
      <alignment wrapText="1"/>
    </xf>
    <xf numFmtId="4" fontId="14" fillId="0" borderId="19" xfId="0" applyNumberFormat="1" applyFont="1" applyBorder="1" applyAlignment="1">
      <alignment horizontal="center" vertical="center" wrapText="1"/>
    </xf>
    <xf numFmtId="0" fontId="21" fillId="0" borderId="0" xfId="0" applyFont="1"/>
    <xf numFmtId="0" fontId="10" fillId="0" borderId="0" xfId="0" applyFont="1" applyAlignment="1">
      <alignment wrapText="1"/>
    </xf>
    <xf numFmtId="0" fontId="10" fillId="7" borderId="19" xfId="0" applyFont="1" applyFill="1" applyBorder="1" applyAlignment="1">
      <alignment horizontal="center" vertical="center" wrapText="1"/>
    </xf>
    <xf numFmtId="0" fontId="10" fillId="0" borderId="0" xfId="0" applyFont="1" applyAlignment="1">
      <alignment horizontal="center" wrapText="1"/>
    </xf>
    <xf numFmtId="0" fontId="7" fillId="2" borderId="34" xfId="0" applyFont="1" applyFill="1" applyBorder="1" applyAlignment="1">
      <alignment horizontal="center" vertical="center" wrapText="1"/>
    </xf>
    <xf numFmtId="9" fontId="7" fillId="2" borderId="49" xfId="0" applyNumberFormat="1" applyFont="1" applyFill="1" applyBorder="1" applyAlignment="1">
      <alignment horizontal="center" vertical="center" wrapText="1"/>
    </xf>
    <xf numFmtId="0" fontId="12" fillId="0" borderId="0" xfId="0" applyFont="1" applyAlignment="1">
      <alignment horizontal="center" vertical="center"/>
    </xf>
    <xf numFmtId="0" fontId="7" fillId="2" borderId="52" xfId="0" applyFont="1" applyFill="1" applyBorder="1" applyAlignment="1">
      <alignment horizontal="center"/>
    </xf>
    <xf numFmtId="175" fontId="10" fillId="0" borderId="19" xfId="0" applyNumberFormat="1" applyFont="1" applyBorder="1" applyAlignment="1">
      <alignment horizontal="center" vertical="center"/>
    </xf>
    <xf numFmtId="168" fontId="22" fillId="0" borderId="19" xfId="0" applyNumberFormat="1" applyFont="1" applyBorder="1" applyAlignment="1">
      <alignment horizontal="center" vertical="center"/>
    </xf>
    <xf numFmtId="0" fontId="11" fillId="2" borderId="19" xfId="0" applyFont="1" applyFill="1" applyBorder="1" applyAlignment="1">
      <alignment horizontal="center" vertical="center"/>
    </xf>
    <xf numFmtId="0" fontId="11" fillId="0" borderId="19" xfId="0" applyFont="1" applyBorder="1"/>
    <xf numFmtId="176" fontId="7" fillId="2" borderId="19" xfId="0" applyNumberFormat="1" applyFont="1" applyFill="1" applyBorder="1" applyAlignment="1">
      <alignment horizontal="center" vertical="center"/>
    </xf>
    <xf numFmtId="176" fontId="10" fillId="0" borderId="19" xfId="0" applyNumberFormat="1" applyFont="1" applyBorder="1" applyAlignment="1">
      <alignment horizontal="center" vertical="center"/>
    </xf>
    <xf numFmtId="176" fontId="11" fillId="2" borderId="19" xfId="0" applyNumberFormat="1" applyFont="1" applyFill="1" applyBorder="1"/>
    <xf numFmtId="168" fontId="23" fillId="0" borderId="19" xfId="0" applyNumberFormat="1" applyFont="1" applyBorder="1"/>
    <xf numFmtId="176" fontId="10" fillId="0" borderId="19" xfId="0" applyNumberFormat="1" applyFont="1" applyBorder="1"/>
    <xf numFmtId="176" fontId="23" fillId="0" borderId="19" xfId="0" applyNumberFormat="1" applyFont="1" applyBorder="1"/>
    <xf numFmtId="176" fontId="10" fillId="0" borderId="0" xfId="0" applyNumberFormat="1" applyFont="1"/>
    <xf numFmtId="0" fontId="14" fillId="3" borderId="19" xfId="0" applyFont="1" applyFill="1" applyBorder="1" applyAlignment="1">
      <alignment horizontal="center"/>
    </xf>
    <xf numFmtId="176" fontId="10" fillId="0" borderId="13" xfId="0" applyNumberFormat="1" applyFont="1" applyBorder="1" applyAlignment="1">
      <alignment horizontal="center" vertical="center"/>
    </xf>
    <xf numFmtId="176" fontId="14" fillId="3" borderId="19" xfId="0" applyNumberFormat="1" applyFont="1" applyFill="1" applyBorder="1" applyAlignment="1">
      <alignment horizontal="center"/>
    </xf>
    <xf numFmtId="176" fontId="14" fillId="3" borderId="19" xfId="0" applyNumberFormat="1" applyFont="1" applyFill="1" applyBorder="1"/>
    <xf numFmtId="0" fontId="10" fillId="0" borderId="13" xfId="0" applyFont="1" applyBorder="1" applyAlignment="1">
      <alignment horizontal="center"/>
    </xf>
    <xf numFmtId="177" fontId="10" fillId="0" borderId="19" xfId="0" applyNumberFormat="1" applyFont="1" applyBorder="1" applyAlignment="1">
      <alignment horizontal="center" vertical="center"/>
    </xf>
    <xf numFmtId="0" fontId="14" fillId="0" borderId="13" xfId="0" applyFont="1" applyBorder="1" applyAlignment="1">
      <alignment horizontal="center"/>
    </xf>
    <xf numFmtId="0" fontId="14" fillId="0" borderId="14" xfId="0" applyFont="1" applyBorder="1" applyAlignment="1">
      <alignment horizontal="center"/>
    </xf>
    <xf numFmtId="176" fontId="10" fillId="0" borderId="14" xfId="0" applyNumberFormat="1" applyFont="1" applyBorder="1" applyAlignment="1">
      <alignment horizontal="center" vertical="center"/>
    </xf>
    <xf numFmtId="178" fontId="10" fillId="0" borderId="19" xfId="0" applyNumberFormat="1" applyFont="1" applyBorder="1" applyAlignment="1">
      <alignment horizontal="center" vertical="center"/>
    </xf>
    <xf numFmtId="0" fontId="14" fillId="3" borderId="34" xfId="0" applyFont="1" applyFill="1" applyBorder="1" applyAlignment="1">
      <alignment horizontal="center"/>
    </xf>
    <xf numFmtId="0" fontId="14" fillId="3" borderId="49" xfId="0" applyFont="1" applyFill="1" applyBorder="1" applyAlignment="1">
      <alignment horizontal="center"/>
    </xf>
    <xf numFmtId="0" fontId="24" fillId="0" borderId="0" xfId="0" applyFont="1" applyAlignment="1">
      <alignment horizontal="center" vertical="center"/>
    </xf>
    <xf numFmtId="0" fontId="10" fillId="0" borderId="19" xfId="0" applyFont="1" applyBorder="1"/>
    <xf numFmtId="0" fontId="10" fillId="4" borderId="19" xfId="0" applyFont="1" applyFill="1" applyBorder="1"/>
    <xf numFmtId="0" fontId="10" fillId="4" borderId="19" xfId="0" applyFont="1" applyFill="1" applyBorder="1" applyAlignment="1">
      <alignment horizontal="center"/>
    </xf>
    <xf numFmtId="0" fontId="25" fillId="0" borderId="0" xfId="0" applyFont="1" applyAlignment="1">
      <alignment horizontal="center" vertical="center"/>
    </xf>
    <xf numFmtId="0" fontId="10" fillId="0" borderId="13" xfId="0" applyFont="1" applyBorder="1" applyAlignment="1">
      <alignment horizontal="center" vertical="center"/>
    </xf>
    <xf numFmtId="14" fontId="10" fillId="0" borderId="19" xfId="0" applyNumberFormat="1" applyFont="1" applyBorder="1" applyAlignment="1">
      <alignment horizontal="center"/>
    </xf>
    <xf numFmtId="0" fontId="13" fillId="0" borderId="0" xfId="0" applyFont="1" applyAlignment="1">
      <alignment horizontal="center"/>
    </xf>
    <xf numFmtId="0" fontId="10" fillId="8" borderId="34" xfId="0" applyFont="1" applyFill="1" applyBorder="1" applyAlignment="1">
      <alignment horizontal="center" vertical="center" wrapText="1"/>
    </xf>
    <xf numFmtId="14" fontId="10" fillId="0" borderId="19" xfId="0" applyNumberFormat="1" applyFont="1" applyBorder="1" applyAlignment="1">
      <alignment horizontal="center" vertical="center"/>
    </xf>
    <xf numFmtId="0" fontId="13" fillId="0" borderId="19" xfId="0" applyFont="1" applyBorder="1" applyAlignment="1">
      <alignment horizontal="center" vertical="center"/>
    </xf>
    <xf numFmtId="0" fontId="10" fillId="8" borderId="34" xfId="0" applyFont="1" applyFill="1" applyBorder="1" applyAlignment="1">
      <alignment horizontal="center" vertical="center"/>
    </xf>
    <xf numFmtId="14" fontId="10" fillId="0" borderId="19" xfId="0" applyNumberFormat="1" applyFont="1" applyBorder="1" applyAlignment="1">
      <alignment horizontal="center" vertical="center" wrapText="1"/>
    </xf>
    <xf numFmtId="0" fontId="18" fillId="0" borderId="13" xfId="0" applyFont="1" applyBorder="1" applyAlignment="1">
      <alignment horizontal="center" vertical="center"/>
    </xf>
    <xf numFmtId="0" fontId="18" fillId="8" borderId="34" xfId="0" applyFont="1" applyFill="1" applyBorder="1" applyAlignment="1">
      <alignment horizontal="center" vertical="center"/>
    </xf>
    <xf numFmtId="0" fontId="18" fillId="8" borderId="34"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9" borderId="34" xfId="0" applyFont="1" applyFill="1" applyBorder="1" applyAlignment="1">
      <alignment horizontal="center" vertical="center" wrapText="1"/>
    </xf>
    <xf numFmtId="0" fontId="10" fillId="8" borderId="34" xfId="0" applyFont="1" applyFill="1" applyBorder="1" applyAlignment="1">
      <alignment horizontal="center"/>
    </xf>
    <xf numFmtId="0" fontId="10" fillId="8" borderId="34" xfId="0" applyFont="1" applyFill="1" applyBorder="1" applyAlignment="1">
      <alignment horizontal="center" wrapText="1"/>
    </xf>
    <xf numFmtId="0" fontId="10" fillId="0" borderId="13" xfId="0" applyFont="1" applyBorder="1" applyAlignment="1">
      <alignment horizontal="center" wrapText="1"/>
    </xf>
    <xf numFmtId="0" fontId="29" fillId="0" borderId="0" xfId="0" applyFont="1" applyAlignment="1">
      <alignment horizontal="left" vertical="center"/>
    </xf>
    <xf numFmtId="0" fontId="29" fillId="0" borderId="0" xfId="0" applyFont="1"/>
    <xf numFmtId="2" fontId="29" fillId="0" borderId="19" xfId="0" applyNumberFormat="1" applyFont="1" applyBorder="1" applyAlignment="1">
      <alignment horizontal="center" vertical="center"/>
    </xf>
    <xf numFmtId="0" fontId="10" fillId="0" borderId="0" xfId="0" applyFont="1" applyAlignment="1">
      <alignment horizontal="center" vertical="center" wrapText="1"/>
    </xf>
    <xf numFmtId="0" fontId="7" fillId="2" borderId="19" xfId="0" applyFont="1" applyFill="1" applyBorder="1" applyAlignment="1">
      <alignment horizontal="center"/>
    </xf>
    <xf numFmtId="1" fontId="30" fillId="0" borderId="19" xfId="0" applyNumberFormat="1" applyFont="1" applyBorder="1" applyAlignment="1">
      <alignment horizontal="center" vertical="center"/>
    </xf>
    <xf numFmtId="0" fontId="30" fillId="0" borderId="19" xfId="0" applyFont="1" applyBorder="1" applyAlignment="1">
      <alignment horizontal="center" vertical="center"/>
    </xf>
    <xf numFmtId="0" fontId="30" fillId="0" borderId="0" xfId="0" applyFont="1" applyAlignment="1">
      <alignment horizontal="center" vertical="center"/>
    </xf>
    <xf numFmtId="1" fontId="30" fillId="0" borderId="0" xfId="0" applyNumberFormat="1" applyFont="1" applyAlignment="1">
      <alignment horizontal="center" vertical="center"/>
    </xf>
    <xf numFmtId="0" fontId="10" fillId="0" borderId="29" xfId="0" applyFont="1" applyBorder="1" applyAlignment="1">
      <alignment horizontal="center" vertical="center"/>
    </xf>
    <xf numFmtId="0" fontId="10" fillId="0" borderId="28" xfId="0" applyFont="1" applyBorder="1"/>
    <xf numFmtId="2" fontId="10" fillId="0" borderId="27" xfId="0" applyNumberFormat="1" applyFont="1" applyBorder="1" applyAlignment="1">
      <alignment vertical="center" wrapText="1"/>
    </xf>
    <xf numFmtId="2" fontId="10" fillId="0" borderId="14" xfId="0" applyNumberFormat="1" applyFont="1" applyBorder="1" applyAlignment="1">
      <alignment vertical="center" wrapText="1"/>
    </xf>
    <xf numFmtId="0" fontId="10" fillId="0" borderId="6" xfId="0" applyFont="1" applyBorder="1" applyAlignment="1">
      <alignment vertical="center"/>
    </xf>
    <xf numFmtId="0" fontId="14" fillId="10" borderId="19" xfId="0" applyFont="1" applyFill="1" applyBorder="1" applyAlignment="1">
      <alignment horizontal="center"/>
    </xf>
    <xf numFmtId="9" fontId="7" fillId="2" borderId="19" xfId="0" applyNumberFormat="1" applyFont="1" applyFill="1" applyBorder="1" applyAlignment="1">
      <alignment horizontal="center"/>
    </xf>
    <xf numFmtId="4" fontId="30" fillId="0" borderId="16" xfId="0" applyNumberFormat="1" applyFont="1" applyBorder="1" applyAlignment="1">
      <alignment vertical="center"/>
    </xf>
    <xf numFmtId="0" fontId="14" fillId="11" borderId="19" xfId="0" applyFont="1" applyFill="1" applyBorder="1" applyAlignment="1">
      <alignment horizontal="center"/>
    </xf>
    <xf numFmtId="4" fontId="30" fillId="0" borderId="19" xfId="0" applyNumberFormat="1" applyFont="1" applyBorder="1" applyAlignment="1">
      <alignment horizontal="center" vertical="center"/>
    </xf>
    <xf numFmtId="0" fontId="10" fillId="0" borderId="0" xfId="0" applyFont="1" applyAlignment="1">
      <alignment horizontal="center"/>
    </xf>
    <xf numFmtId="2" fontId="10" fillId="0" borderId="19" xfId="0" applyNumberFormat="1" applyFont="1" applyBorder="1" applyAlignment="1">
      <alignment vertical="center"/>
    </xf>
    <xf numFmtId="0" fontId="29" fillId="0" borderId="0" xfId="0" applyFont="1" applyAlignment="1">
      <alignment horizontal="left"/>
    </xf>
    <xf numFmtId="16" fontId="10" fillId="0" borderId="19" xfId="0" quotePrefix="1" applyNumberFormat="1" applyFont="1" applyBorder="1" applyAlignment="1">
      <alignment horizontal="center"/>
    </xf>
    <xf numFmtId="0" fontId="14" fillId="10" borderId="49" xfId="0" applyFont="1" applyFill="1" applyBorder="1" applyAlignment="1">
      <alignment horizontal="center"/>
    </xf>
    <xf numFmtId="0" fontId="7" fillId="2" borderId="43" xfId="0" applyFont="1" applyFill="1" applyBorder="1" applyAlignment="1">
      <alignment horizontal="center"/>
    </xf>
    <xf numFmtId="0" fontId="14" fillId="11" borderId="43" xfId="0" applyFont="1" applyFill="1" applyBorder="1" applyAlignment="1">
      <alignment horizontal="center"/>
    </xf>
    <xf numFmtId="0" fontId="23" fillId="0" borderId="19" xfId="0" applyFont="1" applyBorder="1" applyAlignment="1">
      <alignment horizontal="center"/>
    </xf>
    <xf numFmtId="0" fontId="30" fillId="0" borderId="0" xfId="0" applyFont="1"/>
    <xf numFmtId="0" fontId="30" fillId="0" borderId="0" xfId="0" applyFont="1" applyAlignment="1">
      <alignment horizontal="center"/>
    </xf>
    <xf numFmtId="0" fontId="33" fillId="0" borderId="19" xfId="0" applyFont="1" applyBorder="1" applyAlignment="1">
      <alignment horizontal="center"/>
    </xf>
    <xf numFmtId="0" fontId="30" fillId="0" borderId="6" xfId="0" applyFont="1" applyBorder="1"/>
    <xf numFmtId="0" fontId="30" fillId="0" borderId="19" xfId="0" applyFont="1" applyBorder="1" applyAlignment="1">
      <alignment horizontal="center"/>
    </xf>
    <xf numFmtId="0" fontId="30" fillId="0" borderId="28" xfId="0" applyFont="1" applyBorder="1"/>
    <xf numFmtId="0" fontId="19" fillId="2" borderId="19" xfId="0" applyFont="1" applyFill="1" applyBorder="1" applyAlignment="1">
      <alignment horizontal="center"/>
    </xf>
    <xf numFmtId="0" fontId="30" fillId="0" borderId="18" xfId="0" applyFont="1" applyBorder="1" applyAlignment="1">
      <alignment horizontal="center"/>
    </xf>
    <xf numFmtId="0" fontId="19" fillId="2" borderId="19" xfId="0" applyFont="1" applyFill="1" applyBorder="1" applyAlignment="1">
      <alignment horizontal="center" vertical="center"/>
    </xf>
    <xf numFmtId="2" fontId="30" fillId="0" borderId="19" xfId="0" applyNumberFormat="1" applyFont="1" applyBorder="1" applyAlignment="1">
      <alignment horizontal="center" vertical="center"/>
    </xf>
    <xf numFmtId="2" fontId="30" fillId="0" borderId="18" xfId="0" applyNumberFormat="1" applyFont="1" applyBorder="1" applyAlignment="1">
      <alignment horizontal="center" vertical="center"/>
    </xf>
    <xf numFmtId="0" fontId="13" fillId="0" borderId="0" xfId="0" applyFont="1" applyAlignment="1">
      <alignment horizontal="center" vertical="center"/>
    </xf>
    <xf numFmtId="49" fontId="10" fillId="7" borderId="19" xfId="0" applyNumberFormat="1" applyFont="1" applyFill="1" applyBorder="1" applyAlignment="1">
      <alignment horizontal="center" vertical="center"/>
    </xf>
    <xf numFmtId="0" fontId="10" fillId="7" borderId="19" xfId="0" applyFont="1" applyFill="1" applyBorder="1" applyAlignment="1">
      <alignment horizontal="center" vertical="center"/>
    </xf>
    <xf numFmtId="1" fontId="9" fillId="0" borderId="19" xfId="0" applyNumberFormat="1" applyFont="1" applyBorder="1" applyAlignment="1">
      <alignment horizontal="center" vertical="center"/>
    </xf>
    <xf numFmtId="0" fontId="10" fillId="7" borderId="43" xfId="0" applyFont="1" applyFill="1" applyBorder="1" applyAlignment="1">
      <alignment horizontal="center" vertical="center"/>
    </xf>
    <xf numFmtId="0" fontId="10" fillId="7" borderId="25" xfId="0" applyFont="1" applyFill="1" applyBorder="1" applyAlignment="1">
      <alignment horizontal="center" vertical="center"/>
    </xf>
    <xf numFmtId="0" fontId="10" fillId="0" borderId="18" xfId="0" applyFont="1" applyBorder="1" applyAlignment="1">
      <alignment horizontal="center" vertical="center"/>
    </xf>
    <xf numFmtId="0" fontId="0" fillId="12" borderId="0" xfId="0" applyFill="1"/>
    <xf numFmtId="0" fontId="39" fillId="2" borderId="19" xfId="0" applyFont="1" applyFill="1" applyBorder="1" applyAlignment="1">
      <alignment horizontal="center" vertical="center"/>
    </xf>
    <xf numFmtId="2" fontId="42" fillId="0" borderId="19" xfId="0" applyNumberFormat="1" applyFont="1" applyBorder="1" applyAlignment="1">
      <alignment horizontal="center" vertical="center" wrapText="1"/>
    </xf>
    <xf numFmtId="0" fontId="43" fillId="0" borderId="0" xfId="0" applyFont="1" applyAlignment="1">
      <alignment horizontal="left" vertical="center"/>
    </xf>
    <xf numFmtId="4" fontId="30" fillId="0" borderId="5" xfId="0" applyNumberFormat="1" applyFont="1" applyBorder="1" applyAlignment="1">
      <alignment horizontal="center" vertical="center"/>
    </xf>
    <xf numFmtId="0" fontId="41" fillId="0" borderId="55" xfId="3" applyFont="1"/>
    <xf numFmtId="0" fontId="42" fillId="0" borderId="55" xfId="3" applyFont="1" applyAlignment="1">
      <alignment horizontal="left" vertical="center"/>
    </xf>
    <xf numFmtId="0" fontId="39" fillId="0" borderId="55" xfId="3" applyFont="1" applyAlignment="1">
      <alignment horizontal="center" vertical="center"/>
    </xf>
    <xf numFmtId="0" fontId="39" fillId="2" borderId="19" xfId="3" applyFont="1" applyFill="1" applyBorder="1" applyAlignment="1">
      <alignment horizontal="center" vertical="center"/>
    </xf>
    <xf numFmtId="2" fontId="42" fillId="0" borderId="19" xfId="3" applyNumberFormat="1" applyFont="1" applyBorder="1" applyAlignment="1">
      <alignment horizontal="center" vertical="center"/>
    </xf>
    <xf numFmtId="2" fontId="42" fillId="0" borderId="19" xfId="3" applyNumberFormat="1" applyFont="1" applyBorder="1" applyAlignment="1">
      <alignment horizontal="center" vertical="center" wrapText="1"/>
    </xf>
    <xf numFmtId="0" fontId="39" fillId="0" borderId="34" xfId="3" applyFont="1" applyBorder="1" applyAlignment="1">
      <alignment horizontal="center" vertical="center"/>
    </xf>
    <xf numFmtId="0" fontId="39" fillId="0" borderId="33" xfId="3" applyFont="1" applyBorder="1" applyAlignment="1">
      <alignment horizontal="center" vertical="center"/>
    </xf>
    <xf numFmtId="0" fontId="39" fillId="0" borderId="19" xfId="3" applyFont="1" applyBorder="1" applyAlignment="1">
      <alignment horizontal="center" vertical="center"/>
    </xf>
    <xf numFmtId="9" fontId="42" fillId="0" borderId="19" xfId="3" applyNumberFormat="1" applyFont="1" applyBorder="1" applyAlignment="1">
      <alignment horizontal="center" vertical="center" wrapText="1"/>
    </xf>
    <xf numFmtId="2" fontId="42" fillId="0" borderId="34" xfId="3" applyNumberFormat="1" applyFont="1" applyBorder="1" applyAlignment="1">
      <alignment horizontal="center" vertical="center"/>
    </xf>
    <xf numFmtId="2" fontId="42" fillId="0" borderId="34" xfId="3" applyNumberFormat="1" applyFont="1" applyBorder="1" applyAlignment="1">
      <alignment horizontal="center" vertical="center" wrapText="1"/>
    </xf>
    <xf numFmtId="2" fontId="42" fillId="0" borderId="49" xfId="3" applyNumberFormat="1" applyFont="1" applyBorder="1" applyAlignment="1">
      <alignment horizontal="center" vertical="center" wrapText="1"/>
    </xf>
    <xf numFmtId="0" fontId="42" fillId="0" borderId="55" xfId="3" applyFont="1"/>
    <xf numFmtId="0" fontId="39" fillId="2" borderId="19" xfId="3" applyFont="1" applyFill="1" applyBorder="1" applyAlignment="1">
      <alignment vertical="center" wrapText="1"/>
    </xf>
    <xf numFmtId="0" fontId="39" fillId="2" borderId="19" xfId="3" applyFont="1" applyFill="1" applyBorder="1" applyAlignment="1">
      <alignment horizontal="center" vertical="center" wrapText="1"/>
    </xf>
    <xf numFmtId="2" fontId="45" fillId="0" borderId="19" xfId="3" applyNumberFormat="1" applyFont="1" applyBorder="1" applyAlignment="1">
      <alignment horizontal="center"/>
    </xf>
    <xf numFmtId="0" fontId="42" fillId="0" borderId="19" xfId="3" applyFont="1" applyBorder="1"/>
    <xf numFmtId="0" fontId="45" fillId="0" borderId="19" xfId="3" applyFont="1" applyBorder="1" applyAlignment="1">
      <alignment horizontal="center"/>
    </xf>
    <xf numFmtId="2" fontId="42" fillId="0" borderId="19" xfId="3" applyNumberFormat="1" applyFont="1" applyBorder="1" applyAlignment="1">
      <alignment horizontal="center"/>
    </xf>
    <xf numFmtId="0" fontId="45" fillId="0" borderId="19" xfId="3" applyFont="1" applyBorder="1"/>
    <xf numFmtId="0" fontId="39" fillId="2" borderId="19" xfId="3" applyFont="1" applyFill="1" applyBorder="1" applyAlignment="1">
      <alignment horizontal="center"/>
    </xf>
    <xf numFmtId="0" fontId="45" fillId="0" borderId="34" xfId="3" applyFont="1" applyBorder="1" applyAlignment="1">
      <alignment horizontal="center"/>
    </xf>
    <xf numFmtId="2" fontId="42" fillId="0" borderId="34" xfId="3" applyNumberFormat="1" applyFont="1" applyBorder="1" applyAlignment="1">
      <alignment horizontal="center"/>
    </xf>
    <xf numFmtId="2" fontId="42" fillId="0" borderId="55" xfId="3" applyNumberFormat="1" applyFont="1"/>
    <xf numFmtId="2" fontId="42" fillId="0" borderId="19" xfId="3" applyNumberFormat="1" applyFont="1" applyBorder="1"/>
    <xf numFmtId="0" fontId="7" fillId="2" borderId="49" xfId="0" applyFont="1" applyFill="1" applyBorder="1" applyAlignment="1">
      <alignment horizontal="center" vertical="center"/>
    </xf>
    <xf numFmtId="10" fontId="10" fillId="0" borderId="49" xfId="0" applyNumberFormat="1" applyFont="1" applyBorder="1" applyAlignment="1">
      <alignment horizontal="center" vertical="center"/>
    </xf>
    <xf numFmtId="166" fontId="0" fillId="0" borderId="0" xfId="0" applyNumberFormat="1"/>
    <xf numFmtId="44" fontId="0" fillId="0" borderId="0" xfId="0" applyNumberFormat="1"/>
    <xf numFmtId="0" fontId="30" fillId="13" borderId="19" xfId="0" applyFont="1" applyFill="1" applyBorder="1" applyAlignment="1">
      <alignment horizontal="center" vertical="center"/>
    </xf>
    <xf numFmtId="0" fontId="30" fillId="0" borderId="34" xfId="0" applyFont="1" applyBorder="1" applyAlignment="1">
      <alignment horizontal="left" vertical="center"/>
    </xf>
    <xf numFmtId="0" fontId="30" fillId="0" borderId="49" xfId="0" applyFont="1" applyBorder="1" applyAlignment="1">
      <alignment horizontal="left" vertical="center"/>
    </xf>
    <xf numFmtId="0" fontId="0" fillId="0" borderId="59" xfId="0" applyBorder="1"/>
    <xf numFmtId="0" fontId="0" fillId="0" borderId="0" xfId="0" applyAlignment="1">
      <alignment horizontal="center" vertical="center"/>
    </xf>
    <xf numFmtId="0" fontId="5" fillId="0" borderId="0" xfId="0" applyFont="1" applyAlignment="1">
      <alignment horizontal="center" vertical="center" wrapText="1"/>
    </xf>
    <xf numFmtId="166" fontId="0" fillId="0" borderId="0" xfId="0" applyNumberFormat="1" applyAlignment="1">
      <alignment horizontal="center" vertical="center"/>
    </xf>
    <xf numFmtId="44" fontId="0" fillId="0" borderId="0" xfId="1" applyFont="1" applyAlignment="1">
      <alignment horizontal="center" vertical="center"/>
    </xf>
    <xf numFmtId="166" fontId="49" fillId="0" borderId="0" xfId="0" applyNumberFormat="1" applyFont="1" applyAlignment="1">
      <alignment horizontal="center" vertical="center"/>
    </xf>
    <xf numFmtId="0" fontId="49" fillId="0" borderId="0" xfId="0" applyFont="1" applyAlignment="1">
      <alignment horizontal="center" vertical="center"/>
    </xf>
    <xf numFmtId="44" fontId="0" fillId="0" borderId="0" xfId="0" applyNumberFormat="1" applyAlignment="1">
      <alignment horizontal="center" vertical="center"/>
    </xf>
    <xf numFmtId="0" fontId="0" fillId="0" borderId="55" xfId="0" applyBorder="1"/>
    <xf numFmtId="0" fontId="0" fillId="0" borderId="59" xfId="0" applyBorder="1" applyAlignment="1">
      <alignment horizontal="center" vertical="center"/>
    </xf>
    <xf numFmtId="44" fontId="5" fillId="0" borderId="0" xfId="1" applyFont="1" applyAlignment="1">
      <alignment horizontal="center" vertical="center" wrapText="1"/>
    </xf>
    <xf numFmtId="176" fontId="14" fillId="15" borderId="0" xfId="0" applyNumberFormat="1" applyFont="1" applyFill="1"/>
    <xf numFmtId="0" fontId="12" fillId="13" borderId="0" xfId="0" applyFont="1" applyFill="1" applyAlignment="1">
      <alignment horizontal="center" vertical="center"/>
    </xf>
    <xf numFmtId="0" fontId="0" fillId="13" borderId="0" xfId="0" applyFill="1"/>
    <xf numFmtId="0" fontId="12" fillId="15" borderId="0" xfId="0" applyFont="1" applyFill="1" applyAlignment="1">
      <alignment horizontal="center" vertical="center"/>
    </xf>
    <xf numFmtId="0" fontId="0" fillId="15" borderId="0" xfId="0" applyFill="1"/>
    <xf numFmtId="44" fontId="0" fillId="0" borderId="0" xfId="1" applyFont="1"/>
    <xf numFmtId="0" fontId="38" fillId="0" borderId="0" xfId="0" applyFont="1"/>
    <xf numFmtId="0" fontId="10" fillId="15" borderId="13" xfId="0" applyFont="1" applyFill="1" applyBorder="1" applyAlignment="1">
      <alignment horizontal="center" vertical="center" wrapText="1"/>
    </xf>
    <xf numFmtId="14" fontId="10" fillId="15" borderId="19" xfId="0" applyNumberFormat="1" applyFont="1" applyFill="1" applyBorder="1" applyAlignment="1">
      <alignment horizontal="center" vertical="center" wrapText="1"/>
    </xf>
    <xf numFmtId="0" fontId="10" fillId="15" borderId="19" xfId="0" applyFont="1" applyFill="1" applyBorder="1" applyAlignment="1">
      <alignment horizontal="center" vertical="center" wrapText="1"/>
    </xf>
    <xf numFmtId="0" fontId="18" fillId="15" borderId="13" xfId="0" applyFont="1" applyFill="1" applyBorder="1" applyAlignment="1">
      <alignment horizontal="center" vertical="center"/>
    </xf>
    <xf numFmtId="14" fontId="10" fillId="15" borderId="19" xfId="0" applyNumberFormat="1" applyFont="1" applyFill="1" applyBorder="1" applyAlignment="1">
      <alignment horizontal="center"/>
    </xf>
    <xf numFmtId="0" fontId="10" fillId="15" borderId="19" xfId="0" applyFont="1" applyFill="1" applyBorder="1" applyAlignment="1">
      <alignment horizontal="center"/>
    </xf>
    <xf numFmtId="0" fontId="10" fillId="15" borderId="19" xfId="0" applyFont="1" applyFill="1" applyBorder="1" applyAlignment="1">
      <alignment horizontal="center" vertical="center"/>
    </xf>
    <xf numFmtId="0" fontId="1" fillId="0" borderId="0" xfId="0" applyFont="1" applyAlignment="1">
      <alignment horizontal="center" vertical="center"/>
    </xf>
    <xf numFmtId="44" fontId="10" fillId="0" borderId="0" xfId="1" applyFont="1" applyAlignment="1">
      <alignment horizontal="center" vertical="center"/>
    </xf>
    <xf numFmtId="169" fontId="10" fillId="15" borderId="19" xfId="0" applyNumberFormat="1" applyFont="1" applyFill="1" applyBorder="1" applyAlignment="1">
      <alignment horizontal="center"/>
    </xf>
    <xf numFmtId="168" fontId="22" fillId="16" borderId="19" xfId="0" applyNumberFormat="1" applyFont="1" applyFill="1" applyBorder="1" applyAlignment="1">
      <alignment horizontal="center" vertical="center"/>
    </xf>
    <xf numFmtId="168" fontId="23" fillId="16" borderId="19" xfId="0" applyNumberFormat="1" applyFont="1" applyFill="1" applyBorder="1"/>
    <xf numFmtId="176" fontId="23" fillId="16" borderId="19" xfId="0" applyNumberFormat="1" applyFont="1" applyFill="1" applyBorder="1"/>
    <xf numFmtId="0" fontId="10" fillId="16" borderId="19" xfId="0" applyFont="1" applyFill="1" applyBorder="1" applyAlignment="1">
      <alignment horizontal="center" vertical="center"/>
    </xf>
    <xf numFmtId="3" fontId="10" fillId="16" borderId="19" xfId="0" applyNumberFormat="1" applyFont="1" applyFill="1" applyBorder="1" applyAlignment="1">
      <alignment horizontal="center" vertical="center"/>
    </xf>
    <xf numFmtId="2" fontId="10" fillId="16" borderId="27" xfId="0" applyNumberFormat="1" applyFont="1" applyFill="1" applyBorder="1" applyAlignment="1">
      <alignment horizontal="center" vertical="center"/>
    </xf>
    <xf numFmtId="0" fontId="56" fillId="0" borderId="0" xfId="0" applyFont="1"/>
    <xf numFmtId="0" fontId="18" fillId="0" borderId="0" xfId="0" applyFont="1" applyAlignment="1">
      <alignment horizontal="center" vertical="center"/>
    </xf>
    <xf numFmtId="176" fontId="23" fillId="15" borderId="19" xfId="0" applyNumberFormat="1" applyFont="1" applyFill="1" applyBorder="1"/>
    <xf numFmtId="168" fontId="22" fillId="15" borderId="19" xfId="0" applyNumberFormat="1" applyFont="1" applyFill="1" applyBorder="1" applyAlignment="1">
      <alignment horizontal="center" vertical="center"/>
    </xf>
    <xf numFmtId="176" fontId="1" fillId="0" borderId="0" xfId="0" applyNumberFormat="1" applyFont="1"/>
    <xf numFmtId="176" fontId="10" fillId="17" borderId="0" xfId="0" applyNumberFormat="1" applyFont="1" applyFill="1"/>
    <xf numFmtId="176" fontId="23" fillId="17" borderId="19" xfId="0" applyNumberFormat="1" applyFont="1" applyFill="1" applyBorder="1"/>
    <xf numFmtId="168" fontId="23" fillId="17" borderId="19" xfId="0" applyNumberFormat="1" applyFont="1" applyFill="1" applyBorder="1"/>
    <xf numFmtId="3" fontId="10" fillId="15" borderId="19" xfId="0" applyNumberFormat="1" applyFont="1" applyFill="1" applyBorder="1" applyAlignment="1">
      <alignment horizontal="center" vertical="center"/>
    </xf>
    <xf numFmtId="2" fontId="10" fillId="15" borderId="19" xfId="0" applyNumberFormat="1" applyFont="1" applyFill="1" applyBorder="1" applyAlignment="1">
      <alignment horizontal="center" vertical="center"/>
    </xf>
    <xf numFmtId="0" fontId="10" fillId="8" borderId="52" xfId="0" applyFont="1" applyFill="1" applyBorder="1" applyAlignment="1">
      <alignment horizontal="center" vertical="center" wrapText="1"/>
    </xf>
    <xf numFmtId="14" fontId="10" fillId="0" borderId="25" xfId="0" applyNumberFormat="1" applyFont="1" applyBorder="1" applyAlignment="1">
      <alignment horizontal="center" vertical="center" wrapText="1"/>
    </xf>
    <xf numFmtId="0" fontId="10" fillId="0" borderId="25" xfId="0" applyFont="1" applyBorder="1" applyAlignment="1">
      <alignment horizontal="center" vertical="center" wrapText="1"/>
    </xf>
    <xf numFmtId="0" fontId="5" fillId="0" borderId="59" xfId="0" applyFont="1" applyBorder="1"/>
    <xf numFmtId="0" fontId="10" fillId="0" borderId="59" xfId="0" applyFont="1" applyBorder="1" applyAlignment="1">
      <alignment horizontal="center" vertical="center" wrapText="1"/>
    </xf>
    <xf numFmtId="0" fontId="1" fillId="0" borderId="19" xfId="0" applyFont="1" applyBorder="1" applyAlignment="1">
      <alignment horizontal="center" vertical="center"/>
    </xf>
    <xf numFmtId="168" fontId="23" fillId="18" borderId="19" xfId="0" applyNumberFormat="1" applyFont="1" applyFill="1" applyBorder="1"/>
    <xf numFmtId="176" fontId="10" fillId="15" borderId="0" xfId="0" applyNumberFormat="1" applyFont="1" applyFill="1"/>
    <xf numFmtId="176" fontId="1" fillId="15" borderId="0" xfId="0" applyNumberFormat="1" applyFont="1" applyFill="1"/>
    <xf numFmtId="176" fontId="23" fillId="19" borderId="19" xfId="0" applyNumberFormat="1" applyFont="1" applyFill="1" applyBorder="1"/>
    <xf numFmtId="0" fontId="10" fillId="16" borderId="19" xfId="0" applyFont="1" applyFill="1" applyBorder="1" applyAlignment="1">
      <alignment horizontal="center" vertical="center" wrapText="1"/>
    </xf>
    <xf numFmtId="176" fontId="10" fillId="16" borderId="0" xfId="0" applyNumberFormat="1" applyFont="1" applyFill="1"/>
    <xf numFmtId="176" fontId="10" fillId="19" borderId="0" xfId="0" applyNumberFormat="1" applyFont="1" applyFill="1"/>
    <xf numFmtId="164" fontId="0" fillId="0" borderId="0" xfId="0" applyNumberFormat="1" applyAlignment="1">
      <alignment horizontal="center" vertical="center"/>
    </xf>
    <xf numFmtId="165" fontId="0" fillId="0" borderId="0" xfId="0" applyNumberFormat="1" applyAlignment="1">
      <alignment horizontal="center" vertical="center"/>
    </xf>
    <xf numFmtId="2" fontId="42" fillId="15" borderId="19" xfId="3" applyNumberFormat="1" applyFont="1" applyFill="1" applyBorder="1" applyAlignment="1">
      <alignment horizontal="center" vertical="center"/>
    </xf>
    <xf numFmtId="2" fontId="42" fillId="12" borderId="19" xfId="3" applyNumberFormat="1" applyFont="1" applyFill="1" applyBorder="1" applyAlignment="1">
      <alignment horizontal="center" vertical="center" wrapText="1"/>
    </xf>
    <xf numFmtId="0" fontId="10" fillId="0" borderId="59" xfId="0" applyFont="1" applyBorder="1" applyAlignment="1">
      <alignment horizontal="center" vertical="center"/>
    </xf>
    <xf numFmtId="44" fontId="10" fillId="0" borderId="59" xfId="1" applyFont="1" applyBorder="1" applyAlignment="1">
      <alignment horizontal="center" vertical="center"/>
    </xf>
    <xf numFmtId="44" fontId="0" fillId="0" borderId="59" xfId="1" applyFont="1" applyBorder="1"/>
    <xf numFmtId="9" fontId="57" fillId="19" borderId="59" xfId="0" applyNumberFormat="1" applyFont="1" applyFill="1" applyBorder="1"/>
    <xf numFmtId="44" fontId="47" fillId="0" borderId="59" xfId="1" applyFont="1" applyBorder="1"/>
    <xf numFmtId="168" fontId="7" fillId="2" borderId="13" xfId="0" applyNumberFormat="1" applyFont="1" applyFill="1" applyBorder="1" applyAlignment="1">
      <alignment horizontal="right" vertical="center"/>
    </xf>
    <xf numFmtId="0" fontId="3" fillId="0" borderId="27" xfId="0" applyFont="1" applyBorder="1"/>
    <xf numFmtId="168" fontId="10" fillId="0" borderId="13" xfId="0" applyNumberFormat="1" applyFont="1" applyBorder="1" applyAlignment="1">
      <alignment horizontal="center" vertical="center" wrapText="1"/>
    </xf>
    <xf numFmtId="0" fontId="3" fillId="0" borderId="14" xfId="0" applyFont="1" applyBorder="1"/>
    <xf numFmtId="168" fontId="7" fillId="2" borderId="4" xfId="0" applyNumberFormat="1" applyFont="1" applyFill="1" applyBorder="1" applyAlignment="1">
      <alignment horizontal="center" vertical="center" wrapText="1"/>
    </xf>
    <xf numFmtId="0" fontId="3" fillId="0" borderId="28" xfId="0" applyFont="1" applyBorder="1"/>
    <xf numFmtId="0" fontId="3" fillId="0" borderId="5" xfId="0" applyFont="1" applyBorder="1"/>
    <xf numFmtId="0" fontId="3" fillId="0" borderId="8" xfId="0" applyFont="1" applyBorder="1"/>
    <xf numFmtId="0" fontId="3" fillId="0" borderId="29" xfId="0" applyFont="1" applyBorder="1"/>
    <xf numFmtId="0" fontId="3" fillId="0" borderId="9" xfId="0" applyFont="1" applyBorder="1"/>
    <xf numFmtId="168" fontId="7" fillId="2" borderId="16" xfId="0" applyNumberFormat="1" applyFont="1" applyFill="1" applyBorder="1" applyAlignment="1">
      <alignment horizontal="center" vertical="center" wrapText="1"/>
    </xf>
    <xf numFmtId="0" fontId="3" fillId="0" borderId="18" xfId="0" applyFont="1" applyBorder="1"/>
    <xf numFmtId="1" fontId="10" fillId="0" borderId="13" xfId="0" applyNumberFormat="1" applyFont="1" applyBorder="1" applyAlignment="1">
      <alignment horizontal="left" vertical="center" wrapText="1"/>
    </xf>
    <xf numFmtId="0" fontId="7" fillId="2" borderId="4" xfId="0" applyFont="1" applyFill="1" applyBorder="1" applyAlignment="1">
      <alignment horizontal="center" vertical="center" wrapText="1"/>
    </xf>
    <xf numFmtId="0" fontId="3" fillId="0" borderId="6" xfId="0" applyFont="1" applyBorder="1"/>
    <xf numFmtId="0" fontId="0" fillId="0" borderId="0" xfId="0"/>
    <xf numFmtId="0" fontId="3" fillId="0" borderId="7" xfId="0" applyFont="1" applyBorder="1"/>
    <xf numFmtId="0" fontId="7" fillId="2" borderId="13" xfId="0" applyFont="1" applyFill="1" applyBorder="1" applyAlignment="1">
      <alignment horizontal="center" vertical="center"/>
    </xf>
    <xf numFmtId="164" fontId="15" fillId="4" borderId="4" xfId="0" applyNumberFormat="1" applyFont="1" applyFill="1" applyBorder="1" applyAlignment="1">
      <alignment horizontal="center" vertical="center" wrapText="1"/>
    </xf>
    <xf numFmtId="14" fontId="16" fillId="3" borderId="4" xfId="0" applyNumberFormat="1" applyFont="1" applyFill="1" applyBorder="1" applyAlignment="1">
      <alignment horizontal="center" vertical="center" wrapText="1"/>
    </xf>
    <xf numFmtId="0" fontId="17" fillId="2" borderId="4" xfId="0" applyFont="1" applyFill="1" applyBorder="1" applyAlignment="1">
      <alignment horizontal="center" vertical="center"/>
    </xf>
    <xf numFmtId="167" fontId="9" fillId="7" borderId="13" xfId="0" applyNumberFormat="1" applyFont="1" applyFill="1" applyBorder="1" applyAlignment="1">
      <alignment horizontal="center" vertical="center" wrapText="1"/>
    </xf>
    <xf numFmtId="1" fontId="7" fillId="2" borderId="35" xfId="0" applyNumberFormat="1" applyFont="1" applyFill="1" applyBorder="1" applyAlignment="1">
      <alignment horizontal="center" vertical="center" wrapText="1"/>
    </xf>
    <xf numFmtId="0" fontId="3" fillId="0" borderId="36" xfId="0" applyFont="1" applyBorder="1"/>
    <xf numFmtId="0" fontId="3" fillId="0" borderId="37" xfId="0" applyFont="1" applyBorder="1"/>
    <xf numFmtId="0" fontId="7" fillId="2" borderId="13" xfId="0" applyFont="1" applyFill="1" applyBorder="1" applyAlignment="1">
      <alignment horizontal="center" vertical="center" wrapText="1"/>
    </xf>
    <xf numFmtId="168" fontId="7" fillId="2" borderId="13" xfId="0" applyNumberFormat="1" applyFont="1" applyFill="1" applyBorder="1" applyAlignment="1">
      <alignment horizontal="center" vertical="center"/>
    </xf>
    <xf numFmtId="2" fontId="10" fillId="0" borderId="13" xfId="0" applyNumberFormat="1" applyFont="1" applyBorder="1" applyAlignment="1">
      <alignment horizontal="right" vertical="center" wrapText="1"/>
    </xf>
    <xf numFmtId="168" fontId="7" fillId="2" borderId="38" xfId="0" applyNumberFormat="1" applyFont="1" applyFill="1" applyBorder="1" applyAlignment="1">
      <alignment horizontal="center" vertical="center" wrapText="1"/>
    </xf>
    <xf numFmtId="0" fontId="3" fillId="0" borderId="39" xfId="0" applyFont="1" applyBorder="1"/>
    <xf numFmtId="0" fontId="3" fillId="0" borderId="53" xfId="0" applyFont="1" applyBorder="1"/>
    <xf numFmtId="0" fontId="3" fillId="0" borderId="57" xfId="0" applyFont="1" applyBorder="1"/>
    <xf numFmtId="0" fontId="10" fillId="0" borderId="32" xfId="0" applyFont="1" applyBorder="1" applyAlignment="1">
      <alignment horizontal="center" vertical="center"/>
    </xf>
    <xf numFmtId="0" fontId="9" fillId="0" borderId="55" xfId="0" applyFont="1" applyBorder="1" applyAlignment="1">
      <alignment horizontal="center"/>
    </xf>
    <xf numFmtId="0" fontId="3" fillId="0" borderId="14" xfId="0" applyFont="1" applyBorder="1" applyAlignment="1">
      <alignment horizontal="right"/>
    </xf>
    <xf numFmtId="168" fontId="14" fillId="0" borderId="52" xfId="0" applyNumberFormat="1" applyFont="1" applyBorder="1" applyAlignment="1">
      <alignment horizontal="center" vertical="center" wrapText="1"/>
    </xf>
    <xf numFmtId="0" fontId="46" fillId="0" borderId="57" xfId="0" applyFont="1" applyBorder="1"/>
    <xf numFmtId="168" fontId="10" fillId="0" borderId="13" xfId="0" applyNumberFormat="1" applyFont="1" applyBorder="1" applyAlignment="1">
      <alignment horizontal="right" vertical="center" wrapText="1"/>
    </xf>
    <xf numFmtId="168" fontId="1" fillId="0" borderId="13" xfId="0" applyNumberFormat="1" applyFont="1" applyBorder="1" applyAlignment="1">
      <alignment horizontal="right" vertical="center" wrapText="1"/>
    </xf>
    <xf numFmtId="0" fontId="10" fillId="0" borderId="13" xfId="0" applyFont="1" applyBorder="1" applyAlignment="1">
      <alignment horizontal="left"/>
    </xf>
    <xf numFmtId="0" fontId="11" fillId="2" borderId="13" xfId="0" applyFont="1" applyFill="1" applyBorder="1" applyAlignment="1">
      <alignment horizontal="center"/>
    </xf>
    <xf numFmtId="0" fontId="3" fillId="0" borderId="26" xfId="0" applyFont="1" applyBorder="1"/>
    <xf numFmtId="0" fontId="7" fillId="2" borderId="13" xfId="0" applyFont="1" applyFill="1" applyBorder="1" applyAlignment="1">
      <alignment horizontal="center"/>
    </xf>
    <xf numFmtId="0" fontId="10" fillId="0" borderId="4" xfId="0" applyFont="1" applyBorder="1" applyAlignment="1">
      <alignment horizontal="center"/>
    </xf>
    <xf numFmtId="0" fontId="7" fillId="2" borderId="1" xfId="0" applyFont="1" applyFill="1" applyBorder="1" applyAlignment="1">
      <alignment horizontal="center" vertical="center" wrapText="1"/>
    </xf>
    <xf numFmtId="0" fontId="3" fillId="0" borderId="2" xfId="0" applyFont="1" applyBorder="1"/>
    <xf numFmtId="0" fontId="3" fillId="0" borderId="30" xfId="0" applyFont="1" applyBorder="1"/>
    <xf numFmtId="0" fontId="3" fillId="0" borderId="10" xfId="0" applyFont="1" applyBorder="1"/>
    <xf numFmtId="0" fontId="3" fillId="0" borderId="11" xfId="0" applyFont="1" applyBorder="1"/>
    <xf numFmtId="0" fontId="3" fillId="0" borderId="31" xfId="0" applyFont="1" applyBorder="1"/>
    <xf numFmtId="0" fontId="2" fillId="2" borderId="1" xfId="0" applyFont="1" applyFill="1" applyBorder="1" applyAlignment="1">
      <alignment horizontal="center" vertical="center" wrapText="1"/>
    </xf>
    <xf numFmtId="0" fontId="3" fillId="0" borderId="3" xfId="0" applyFont="1" applyBorder="1"/>
    <xf numFmtId="0" fontId="3" fillId="0" borderId="12" xfId="0" applyFont="1" applyBorder="1"/>
    <xf numFmtId="14" fontId="4" fillId="3" borderId="4" xfId="0" applyNumberFormat="1" applyFont="1" applyFill="1" applyBorder="1" applyAlignment="1">
      <alignment horizontal="center" vertical="center" wrapText="1"/>
    </xf>
    <xf numFmtId="164" fontId="6" fillId="4" borderId="13" xfId="0" applyNumberFormat="1" applyFont="1" applyFill="1" applyBorder="1" applyAlignment="1">
      <alignment horizontal="center" vertical="center" wrapText="1"/>
    </xf>
    <xf numFmtId="0" fontId="7" fillId="2" borderId="16" xfId="0" applyFont="1" applyFill="1" applyBorder="1" applyAlignment="1">
      <alignment horizontal="center" vertical="center" wrapText="1"/>
    </xf>
    <xf numFmtId="1" fontId="10" fillId="0" borderId="13"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9" fillId="0" borderId="13" xfId="0" applyFont="1" applyBorder="1" applyAlignment="1">
      <alignment horizontal="center" vertical="center" wrapText="1"/>
    </xf>
    <xf numFmtId="0" fontId="7" fillId="2" borderId="15" xfId="0" applyFont="1" applyFill="1" applyBorder="1" applyAlignment="1">
      <alignment horizontal="center" vertical="center" wrapText="1"/>
    </xf>
    <xf numFmtId="0" fontId="3" fillId="0" borderId="17" xfId="0" applyFont="1" applyBorder="1"/>
    <xf numFmtId="0" fontId="7" fillId="2" borderId="20" xfId="0" applyFont="1" applyFill="1" applyBorder="1" applyAlignment="1">
      <alignment horizontal="center"/>
    </xf>
    <xf numFmtId="0" fontId="3" fillId="0" borderId="21" xfId="0" applyFont="1" applyBorder="1"/>
    <xf numFmtId="0" fontId="3" fillId="0" borderId="22" xfId="0" applyFont="1" applyBorder="1"/>
    <xf numFmtId="0" fontId="11" fillId="2" borderId="23" xfId="0" applyFont="1" applyFill="1" applyBorder="1" applyAlignment="1">
      <alignment horizontal="center"/>
    </xf>
    <xf numFmtId="0" fontId="3" fillId="0" borderId="24" xfId="0" applyFont="1" applyBorder="1"/>
    <xf numFmtId="0" fontId="7" fillId="2" borderId="34" xfId="0" applyFont="1" applyFill="1" applyBorder="1" applyAlignment="1">
      <alignment horizontal="center" wrapText="1"/>
    </xf>
    <xf numFmtId="0" fontId="7" fillId="2" borderId="33" xfId="0" applyFont="1" applyFill="1" applyBorder="1" applyAlignment="1">
      <alignment horizontal="center" wrapText="1"/>
    </xf>
    <xf numFmtId="0" fontId="7" fillId="2" borderId="49" xfId="0" applyFont="1" applyFill="1" applyBorder="1" applyAlignment="1">
      <alignment horizontal="center" wrapText="1"/>
    </xf>
    <xf numFmtId="166" fontId="10" fillId="15" borderId="34" xfId="0" applyNumberFormat="1" applyFont="1" applyFill="1" applyBorder="1" applyAlignment="1">
      <alignment horizontal="center"/>
    </xf>
    <xf numFmtId="166" fontId="10" fillId="15" borderId="49" xfId="0" applyNumberFormat="1" applyFont="1" applyFill="1" applyBorder="1" applyAlignment="1">
      <alignment horizontal="center"/>
    </xf>
    <xf numFmtId="164" fontId="54" fillId="0" borderId="55" xfId="0" applyNumberFormat="1" applyFont="1" applyBorder="1" applyAlignment="1">
      <alignment horizontal="right" wrapText="1"/>
    </xf>
    <xf numFmtId="0" fontId="55" fillId="0" borderId="55" xfId="0" applyFont="1" applyBorder="1"/>
    <xf numFmtId="0" fontId="7" fillId="2" borderId="34" xfId="0" applyFont="1" applyFill="1" applyBorder="1" applyAlignment="1">
      <alignment horizontal="right"/>
    </xf>
    <xf numFmtId="0" fontId="7" fillId="2" borderId="33" xfId="0" applyFont="1" applyFill="1" applyBorder="1" applyAlignment="1">
      <alignment horizontal="right"/>
    </xf>
    <xf numFmtId="0" fontId="7" fillId="2" borderId="49" xfId="0" applyFont="1" applyFill="1" applyBorder="1" applyAlignment="1">
      <alignment horizontal="right"/>
    </xf>
    <xf numFmtId="0" fontId="7" fillId="2" borderId="59" xfId="0" applyFont="1" applyFill="1" applyBorder="1" applyAlignment="1">
      <alignment horizontal="left" vertical="center"/>
    </xf>
    <xf numFmtId="0" fontId="7" fillId="2" borderId="13" xfId="0" applyFont="1" applyFill="1" applyBorder="1" applyAlignment="1">
      <alignment horizontal="right" vertical="center" wrapText="1"/>
    </xf>
    <xf numFmtId="0" fontId="3" fillId="0" borderId="27" xfId="0" applyFont="1" applyBorder="1" applyAlignment="1">
      <alignment vertical="center"/>
    </xf>
    <xf numFmtId="0" fontId="3" fillId="0" borderId="14" xfId="0" applyFont="1" applyBorder="1" applyAlignment="1">
      <alignment vertical="center"/>
    </xf>
    <xf numFmtId="0" fontId="7" fillId="2" borderId="13" xfId="0" applyFont="1" applyFill="1" applyBorder="1" applyAlignment="1">
      <alignment horizontal="right" wrapText="1"/>
    </xf>
    <xf numFmtId="0" fontId="7" fillId="2" borderId="34" xfId="0" applyFont="1" applyFill="1" applyBorder="1" applyAlignment="1">
      <alignment horizontal="right" wrapText="1"/>
    </xf>
    <xf numFmtId="0" fontId="7" fillId="2" borderId="33" xfId="0" applyFont="1" applyFill="1" applyBorder="1" applyAlignment="1">
      <alignment horizontal="right" wrapText="1"/>
    </xf>
    <xf numFmtId="0" fontId="7" fillId="2" borderId="49" xfId="0" applyFont="1" applyFill="1" applyBorder="1" applyAlignment="1">
      <alignment horizontal="right" wrapText="1"/>
    </xf>
    <xf numFmtId="165" fontId="10" fillId="0" borderId="34" xfId="0" applyNumberFormat="1" applyFont="1" applyBorder="1" applyAlignment="1">
      <alignment horizontal="center" vertical="center"/>
    </xf>
    <xf numFmtId="0" fontId="3" fillId="0" borderId="49" xfId="0" applyFont="1" applyBorder="1"/>
    <xf numFmtId="0" fontId="7" fillId="2" borderId="13" xfId="0" applyFont="1" applyFill="1" applyBorder="1" applyAlignment="1">
      <alignment horizontal="center" wrapText="1"/>
    </xf>
    <xf numFmtId="164" fontId="14" fillId="4" borderId="13" xfId="0" applyNumberFormat="1" applyFont="1" applyFill="1" applyBorder="1" applyAlignment="1">
      <alignment horizontal="right" wrapText="1"/>
    </xf>
    <xf numFmtId="0" fontId="3" fillId="0" borderId="33" xfId="0" applyFont="1" applyBorder="1"/>
    <xf numFmtId="165" fontId="10" fillId="0" borderId="13" xfId="0" applyNumberFormat="1" applyFont="1" applyBorder="1" applyAlignment="1">
      <alignment horizontal="center" vertical="center"/>
    </xf>
    <xf numFmtId="165" fontId="10" fillId="16" borderId="13" xfId="0" applyNumberFormat="1" applyFont="1" applyFill="1" applyBorder="1" applyAlignment="1">
      <alignment horizontal="center" vertical="center"/>
    </xf>
    <xf numFmtId="0" fontId="3" fillId="16" borderId="14" xfId="0" applyFont="1" applyFill="1" applyBorder="1"/>
    <xf numFmtId="0" fontId="7" fillId="2" borderId="34" xfId="0" applyFont="1" applyFill="1" applyBorder="1" applyAlignment="1">
      <alignment horizontal="left" vertical="center"/>
    </xf>
    <xf numFmtId="0" fontId="7" fillId="2" borderId="33" xfId="0" applyFont="1" applyFill="1" applyBorder="1" applyAlignment="1">
      <alignment horizontal="left" vertical="center"/>
    </xf>
    <xf numFmtId="0" fontId="7" fillId="2" borderId="49" xfId="0" applyFont="1" applyFill="1" applyBorder="1" applyAlignment="1">
      <alignment horizontal="left" vertical="center"/>
    </xf>
    <xf numFmtId="0" fontId="10" fillId="0" borderId="13" xfId="0" applyFont="1" applyBorder="1" applyAlignment="1">
      <alignment horizontal="left" vertical="center" wrapText="1"/>
    </xf>
    <xf numFmtId="0" fontId="14" fillId="3" borderId="33" xfId="0" applyFont="1" applyFill="1" applyBorder="1" applyAlignment="1">
      <alignment horizontal="left" vertical="center"/>
    </xf>
    <xf numFmtId="165" fontId="10" fillId="15" borderId="13" xfId="0" applyNumberFormat="1" applyFont="1" applyFill="1" applyBorder="1" applyAlignment="1">
      <alignment horizontal="center" vertical="center"/>
    </xf>
    <xf numFmtId="0" fontId="3" fillId="15" borderId="14" xfId="0" applyFont="1" applyFill="1" applyBorder="1"/>
    <xf numFmtId="0" fontId="10" fillId="15" borderId="13" xfId="0" applyFont="1" applyFill="1" applyBorder="1" applyAlignment="1">
      <alignment horizontal="left" vertical="center" wrapText="1"/>
    </xf>
    <xf numFmtId="0" fontId="3" fillId="15" borderId="27" xfId="0" applyFont="1" applyFill="1" applyBorder="1"/>
    <xf numFmtId="0" fontId="14" fillId="3" borderId="13" xfId="0" applyFont="1" applyFill="1" applyBorder="1" applyAlignment="1">
      <alignment horizontal="left" vertical="center"/>
    </xf>
    <xf numFmtId="0" fontId="10" fillId="16" borderId="13" xfId="0" applyFont="1" applyFill="1" applyBorder="1" applyAlignment="1">
      <alignment horizontal="left" vertical="center" wrapText="1"/>
    </xf>
    <xf numFmtId="0" fontId="3" fillId="16" borderId="27" xfId="0" applyFont="1" applyFill="1" applyBorder="1"/>
    <xf numFmtId="165" fontId="14" fillId="3" borderId="13" xfId="0" applyNumberFormat="1" applyFont="1" applyFill="1" applyBorder="1" applyAlignment="1">
      <alignment horizontal="center" vertical="center"/>
    </xf>
    <xf numFmtId="165" fontId="7" fillId="2" borderId="13" xfId="0" applyNumberFormat="1" applyFont="1" applyFill="1" applyBorder="1" applyAlignment="1">
      <alignment horizontal="center" vertical="center"/>
    </xf>
    <xf numFmtId="0" fontId="10" fillId="5" borderId="13" xfId="0" applyFont="1" applyFill="1" applyBorder="1" applyAlignment="1">
      <alignment horizontal="left" vertical="center" wrapText="1"/>
    </xf>
    <xf numFmtId="165" fontId="10" fillId="5" borderId="13" xfId="0" applyNumberFormat="1" applyFont="1" applyFill="1" applyBorder="1" applyAlignment="1">
      <alignment horizontal="center" vertical="center"/>
    </xf>
    <xf numFmtId="0" fontId="1" fillId="0" borderId="13" xfId="0" applyFont="1" applyBorder="1" applyAlignment="1">
      <alignment horizontal="left" vertical="center" wrapText="1"/>
    </xf>
    <xf numFmtId="165" fontId="10" fillId="0" borderId="13" xfId="0" applyNumberFormat="1" applyFont="1" applyBorder="1" applyAlignment="1">
      <alignment horizontal="center" vertical="center" wrapText="1"/>
    </xf>
    <xf numFmtId="0" fontId="14" fillId="3" borderId="13" xfId="0" applyFont="1" applyFill="1" applyBorder="1" applyAlignment="1">
      <alignment horizontal="left" vertical="center" wrapText="1"/>
    </xf>
    <xf numFmtId="14" fontId="9" fillId="3" borderId="4" xfId="0" applyNumberFormat="1" applyFont="1" applyFill="1" applyBorder="1" applyAlignment="1">
      <alignment horizontal="center" vertical="center" wrapText="1"/>
    </xf>
    <xf numFmtId="164" fontId="14" fillId="3" borderId="13" xfId="0" applyNumberFormat="1" applyFont="1" applyFill="1" applyBorder="1" applyAlignment="1">
      <alignment horizontal="center" vertical="center"/>
    </xf>
    <xf numFmtId="165" fontId="7" fillId="2" borderId="13" xfId="0" applyNumberFormat="1" applyFont="1" applyFill="1" applyBorder="1" applyAlignment="1">
      <alignment horizontal="center" vertical="center" wrapText="1"/>
    </xf>
    <xf numFmtId="165" fontId="10" fillId="16" borderId="13" xfId="0" applyNumberFormat="1" applyFont="1" applyFill="1" applyBorder="1" applyAlignment="1">
      <alignment horizontal="center" vertical="center" wrapText="1"/>
    </xf>
    <xf numFmtId="166" fontId="10" fillId="0" borderId="13" xfId="0" applyNumberFormat="1" applyFont="1" applyBorder="1" applyAlignment="1">
      <alignment horizontal="center"/>
    </xf>
    <xf numFmtId="166" fontId="10" fillId="16" borderId="13" xfId="0" applyNumberFormat="1" applyFont="1" applyFill="1" applyBorder="1" applyAlignment="1">
      <alignment horizontal="center"/>
    </xf>
    <xf numFmtId="166" fontId="10" fillId="15" borderId="13" xfId="0" applyNumberFormat="1" applyFont="1" applyFill="1" applyBorder="1" applyAlignment="1">
      <alignment horizontal="center"/>
    </xf>
    <xf numFmtId="0" fontId="3" fillId="15" borderId="33" xfId="0" applyFont="1" applyFill="1" applyBorder="1"/>
    <xf numFmtId="0" fontId="7" fillId="2" borderId="59" xfId="0" applyFont="1" applyFill="1" applyBorder="1" applyAlignment="1">
      <alignment horizontal="center" vertical="center"/>
    </xf>
    <xf numFmtId="0" fontId="7" fillId="2" borderId="34" xfId="0" applyFont="1" applyFill="1" applyBorder="1" applyAlignment="1">
      <alignment horizontal="center" vertical="center"/>
    </xf>
    <xf numFmtId="166" fontId="0" fillId="0" borderId="0" xfId="0" applyNumberFormat="1" applyAlignment="1">
      <alignment horizontal="center" vertical="center"/>
    </xf>
    <xf numFmtId="44" fontId="0" fillId="0" borderId="0" xfId="1" applyFont="1" applyAlignment="1">
      <alignment horizontal="center" vertical="center"/>
    </xf>
    <xf numFmtId="0" fontId="10" fillId="0" borderId="13" xfId="0" applyFont="1" applyBorder="1" applyAlignment="1">
      <alignment horizontal="center"/>
    </xf>
    <xf numFmtId="176" fontId="10" fillId="0" borderId="13" xfId="0" applyNumberFormat="1" applyFont="1" applyBorder="1" applyAlignment="1">
      <alignment horizontal="center" vertical="center"/>
    </xf>
    <xf numFmtId="2" fontId="10" fillId="0" borderId="13" xfId="0" applyNumberFormat="1" applyFont="1" applyBorder="1" applyAlignment="1">
      <alignment horizontal="center" vertical="center"/>
    </xf>
    <xf numFmtId="0" fontId="14" fillId="3" borderId="13" xfId="0" applyFont="1" applyFill="1" applyBorder="1" applyAlignment="1">
      <alignment horizontal="center"/>
    </xf>
    <xf numFmtId="0" fontId="7" fillId="2" borderId="4" xfId="0" applyFont="1" applyFill="1" applyBorder="1" applyAlignment="1">
      <alignment horizontal="left" vertical="top" wrapText="1"/>
    </xf>
    <xf numFmtId="0" fontId="14" fillId="3" borderId="13" xfId="0" applyFont="1" applyFill="1" applyBorder="1" applyAlignment="1">
      <alignment horizontal="left"/>
    </xf>
    <xf numFmtId="176" fontId="14" fillId="3" borderId="13" xfId="0" applyNumberFormat="1" applyFont="1" applyFill="1" applyBorder="1" applyAlignment="1">
      <alignment horizontal="center"/>
    </xf>
    <xf numFmtId="0" fontId="13" fillId="0" borderId="13" xfId="0" applyFont="1" applyBorder="1" applyAlignment="1">
      <alignment horizontal="left"/>
    </xf>
    <xf numFmtId="178" fontId="10" fillId="0" borderId="13" xfId="0" applyNumberFormat="1" applyFont="1" applyBorder="1" applyAlignment="1">
      <alignment horizontal="center" vertical="center"/>
    </xf>
    <xf numFmtId="177" fontId="10" fillId="0" borderId="13" xfId="0" applyNumberFormat="1" applyFont="1" applyBorder="1" applyAlignment="1">
      <alignment horizontal="center" vertical="center"/>
    </xf>
    <xf numFmtId="0" fontId="13" fillId="0" borderId="13" xfId="0" applyFont="1" applyBorder="1" applyAlignment="1">
      <alignment horizontal="left" wrapText="1"/>
    </xf>
    <xf numFmtId="9" fontId="10" fillId="0" borderId="13" xfId="0" applyNumberFormat="1" applyFont="1" applyBorder="1" applyAlignment="1">
      <alignment horizontal="center" vertical="center"/>
    </xf>
    <xf numFmtId="9" fontId="10" fillId="0" borderId="13" xfId="2" applyFont="1" applyBorder="1" applyAlignment="1">
      <alignment horizontal="center" vertical="center"/>
    </xf>
    <xf numFmtId="9" fontId="3" fillId="0" borderId="14" xfId="2" applyFont="1" applyBorder="1"/>
    <xf numFmtId="0" fontId="7" fillId="2" borderId="4" xfId="0" applyFont="1" applyFill="1" applyBorder="1" applyAlignment="1">
      <alignment horizontal="left" vertical="top"/>
    </xf>
    <xf numFmtId="169" fontId="10" fillId="0" borderId="13" xfId="0" applyNumberFormat="1" applyFont="1" applyBorder="1" applyAlignment="1">
      <alignment horizontal="center" vertical="center"/>
    </xf>
    <xf numFmtId="176" fontId="10" fillId="17" borderId="13" xfId="0" applyNumberFormat="1" applyFont="1" applyFill="1" applyBorder="1" applyAlignment="1">
      <alignment horizontal="center" vertical="center"/>
    </xf>
    <xf numFmtId="0" fontId="3" fillId="17" borderId="14" xfId="0" applyFont="1" applyFill="1" applyBorder="1"/>
    <xf numFmtId="176" fontId="10" fillId="15" borderId="13" xfId="0" applyNumberFormat="1" applyFont="1" applyFill="1" applyBorder="1" applyAlignment="1">
      <alignment horizontal="center" vertical="center"/>
    </xf>
    <xf numFmtId="176" fontId="10" fillId="16" borderId="13" xfId="0" applyNumberFormat="1" applyFont="1" applyFill="1" applyBorder="1" applyAlignment="1">
      <alignment horizontal="center" vertical="center"/>
    </xf>
    <xf numFmtId="0" fontId="13" fillId="0" borderId="13" xfId="0" applyFont="1" applyBorder="1" applyAlignment="1" applyProtection="1">
      <alignment horizontal="left" wrapText="1"/>
      <protection locked="0"/>
    </xf>
    <xf numFmtId="0" fontId="3" fillId="0" borderId="27" xfId="0" applyFont="1" applyBorder="1" applyProtection="1">
      <protection locked="0"/>
    </xf>
    <xf numFmtId="0" fontId="3" fillId="0" borderId="14" xfId="0" applyFont="1" applyBorder="1" applyProtection="1">
      <protection locked="0"/>
    </xf>
    <xf numFmtId="2" fontId="10" fillId="4" borderId="13" xfId="0" applyNumberFormat="1" applyFont="1" applyFill="1" applyBorder="1" applyAlignment="1">
      <alignment horizontal="center" vertical="center"/>
    </xf>
    <xf numFmtId="1" fontId="10" fillId="0" borderId="13" xfId="0" applyNumberFormat="1" applyFont="1" applyBorder="1" applyAlignment="1">
      <alignment horizontal="center" vertical="center"/>
    </xf>
    <xf numFmtId="0" fontId="3" fillId="0" borderId="28" xfId="0" applyFont="1" applyBorder="1" applyAlignment="1">
      <alignment wrapText="1"/>
    </xf>
    <xf numFmtId="0" fontId="3" fillId="0" borderId="5" xfId="0" applyFont="1" applyBorder="1" applyAlignment="1">
      <alignment wrapText="1"/>
    </xf>
    <xf numFmtId="0" fontId="3" fillId="0" borderId="8" xfId="0" applyFont="1" applyBorder="1" applyAlignment="1">
      <alignment wrapText="1"/>
    </xf>
    <xf numFmtId="0" fontId="3" fillId="0" borderId="29" xfId="0" applyFont="1" applyBorder="1" applyAlignment="1">
      <alignment wrapText="1"/>
    </xf>
    <xf numFmtId="0" fontId="3" fillId="0" borderId="9" xfId="0" applyFont="1" applyBorder="1" applyAlignment="1">
      <alignment wrapText="1"/>
    </xf>
    <xf numFmtId="2" fontId="13" fillId="0" borderId="13" xfId="0" applyNumberFormat="1" applyFont="1" applyBorder="1" applyAlignment="1">
      <alignment horizontal="center" vertical="center"/>
    </xf>
    <xf numFmtId="0" fontId="13" fillId="0" borderId="13" xfId="0" applyFont="1" applyBorder="1" applyAlignment="1" applyProtection="1">
      <alignment horizontal="left"/>
      <protection locked="0"/>
    </xf>
    <xf numFmtId="2" fontId="10" fillId="15" borderId="13" xfId="0" applyNumberFormat="1" applyFont="1" applyFill="1" applyBorder="1" applyAlignment="1">
      <alignment horizontal="center" vertical="center"/>
    </xf>
    <xf numFmtId="0" fontId="10" fillId="0" borderId="13" xfId="0" applyFont="1" applyBorder="1" applyAlignment="1">
      <alignment horizontal="left" wrapText="1"/>
    </xf>
    <xf numFmtId="1" fontId="10" fillId="15" borderId="13" xfId="0" applyNumberFormat="1" applyFont="1" applyFill="1" applyBorder="1" applyAlignment="1">
      <alignment horizontal="center" vertical="center"/>
    </xf>
    <xf numFmtId="2" fontId="3" fillId="0" borderId="14" xfId="0" applyNumberFormat="1" applyFont="1" applyBorder="1"/>
    <xf numFmtId="0" fontId="13" fillId="16" borderId="13" xfId="0" applyFont="1" applyFill="1" applyBorder="1" applyAlignment="1">
      <alignment horizontal="left" wrapText="1"/>
    </xf>
    <xf numFmtId="0" fontId="13" fillId="15" borderId="13" xfId="0" applyFont="1" applyFill="1" applyBorder="1" applyAlignment="1">
      <alignment horizontal="left" wrapText="1"/>
    </xf>
    <xf numFmtId="176" fontId="10" fillId="4" borderId="13" xfId="0" applyNumberFormat="1" applyFont="1" applyFill="1" applyBorder="1" applyAlignment="1">
      <alignment horizontal="center" vertical="center"/>
    </xf>
    <xf numFmtId="176" fontId="1" fillId="20" borderId="33" xfId="0" applyNumberFormat="1" applyFont="1" applyFill="1" applyBorder="1" applyAlignment="1">
      <alignment horizontal="center"/>
    </xf>
    <xf numFmtId="176" fontId="10" fillId="20" borderId="33" xfId="0" applyNumberFormat="1" applyFont="1" applyFill="1" applyBorder="1" applyAlignment="1">
      <alignment horizontal="center"/>
    </xf>
    <xf numFmtId="0" fontId="14" fillId="3" borderId="34" xfId="0" applyFont="1" applyFill="1" applyBorder="1" applyAlignment="1">
      <alignment horizontal="center"/>
    </xf>
    <xf numFmtId="0" fontId="14" fillId="3" borderId="49" xfId="0" applyFont="1" applyFill="1" applyBorder="1" applyAlignment="1">
      <alignment horizontal="center"/>
    </xf>
    <xf numFmtId="176" fontId="10" fillId="0" borderId="34" xfId="0" applyNumberFormat="1" applyFont="1" applyBorder="1" applyAlignment="1">
      <alignment horizontal="center" vertical="center"/>
    </xf>
    <xf numFmtId="176" fontId="10" fillId="0" borderId="49" xfId="0" applyNumberFormat="1" applyFont="1" applyBorder="1" applyAlignment="1">
      <alignment horizontal="center" vertical="center"/>
    </xf>
    <xf numFmtId="164" fontId="10" fillId="0" borderId="13" xfId="0" applyNumberFormat="1" applyFont="1" applyBorder="1" applyAlignment="1">
      <alignment horizontal="center" vertical="center"/>
    </xf>
    <xf numFmtId="164" fontId="10" fillId="0" borderId="13" xfId="0" applyNumberFormat="1" applyFont="1" applyBorder="1" applyAlignment="1">
      <alignment horizontal="center"/>
    </xf>
    <xf numFmtId="164" fontId="10" fillId="0" borderId="13" xfId="0" applyNumberFormat="1" applyFont="1" applyBorder="1" applyAlignment="1">
      <alignment horizontal="center" vertical="center" wrapText="1"/>
    </xf>
    <xf numFmtId="164" fontId="10" fillId="16" borderId="13" xfId="0" applyNumberFormat="1" applyFont="1" applyFill="1" applyBorder="1" applyAlignment="1">
      <alignment horizontal="center" vertical="center" wrapText="1"/>
    </xf>
    <xf numFmtId="164" fontId="10" fillId="15" borderId="13" xfId="0" applyNumberFormat="1" applyFont="1" applyFill="1" applyBorder="1" applyAlignment="1">
      <alignment horizontal="center" vertical="center" wrapText="1"/>
    </xf>
    <xf numFmtId="164" fontId="10" fillId="15" borderId="13" xfId="0" applyNumberFormat="1" applyFont="1" applyFill="1" applyBorder="1" applyAlignment="1">
      <alignment horizontal="center" vertical="center"/>
    </xf>
    <xf numFmtId="164" fontId="10" fillId="15" borderId="13" xfId="0" applyNumberFormat="1" applyFont="1" applyFill="1" applyBorder="1" applyAlignment="1">
      <alignment horizontal="center"/>
    </xf>
    <xf numFmtId="164" fontId="10" fillId="12" borderId="13" xfId="0" applyNumberFormat="1" applyFont="1" applyFill="1" applyBorder="1" applyAlignment="1">
      <alignment horizontal="center"/>
    </xf>
    <xf numFmtId="0" fontId="3" fillId="12" borderId="14" xfId="0" applyFont="1" applyFill="1" applyBorder="1"/>
    <xf numFmtId="170" fontId="10" fillId="0" borderId="13" xfId="0" applyNumberFormat="1" applyFont="1" applyBorder="1" applyAlignment="1">
      <alignment horizontal="center" vertical="center" wrapText="1"/>
    </xf>
    <xf numFmtId="164" fontId="10" fillId="0" borderId="52" xfId="0" applyNumberFormat="1" applyFont="1" applyBorder="1" applyAlignment="1">
      <alignment horizontal="center" vertical="center"/>
    </xf>
    <xf numFmtId="164" fontId="10" fillId="0" borderId="52" xfId="0" applyNumberFormat="1" applyFont="1" applyBorder="1" applyAlignment="1">
      <alignment horizontal="center"/>
    </xf>
    <xf numFmtId="164" fontId="10" fillId="0" borderId="52" xfId="0" applyNumberFormat="1" applyFont="1" applyBorder="1" applyAlignment="1">
      <alignment horizontal="center" vertical="center" wrapText="1"/>
    </xf>
    <xf numFmtId="164" fontId="10" fillId="16" borderId="13" xfId="0" applyNumberFormat="1" applyFont="1" applyFill="1" applyBorder="1" applyAlignment="1">
      <alignment horizontal="center"/>
    </xf>
    <xf numFmtId="0" fontId="7" fillId="2" borderId="35" xfId="0" applyFont="1" applyFill="1" applyBorder="1" applyAlignment="1">
      <alignment horizontal="center"/>
    </xf>
    <xf numFmtId="0" fontId="3" fillId="0" borderId="50" xfId="0" applyFont="1" applyBorder="1"/>
    <xf numFmtId="0" fontId="3" fillId="0" borderId="54" xfId="0" applyFont="1" applyBorder="1"/>
    <xf numFmtId="0" fontId="3" fillId="0" borderId="51" xfId="0" applyFont="1" applyBorder="1"/>
    <xf numFmtId="0" fontId="7" fillId="2" borderId="23" xfId="0" applyFont="1" applyFill="1" applyBorder="1" applyAlignment="1">
      <alignment horizontal="center"/>
    </xf>
    <xf numFmtId="164" fontId="10" fillId="0" borderId="34" xfId="0" applyNumberFormat="1" applyFont="1" applyBorder="1" applyAlignment="1">
      <alignment horizontal="center"/>
    </xf>
    <xf numFmtId="164" fontId="10" fillId="0" borderId="49" xfId="0" applyNumberFormat="1" applyFont="1" applyBorder="1" applyAlignment="1">
      <alignment horizontal="center"/>
    </xf>
    <xf numFmtId="0" fontId="10" fillId="12" borderId="34" xfId="0" applyFont="1" applyFill="1" applyBorder="1" applyAlignment="1">
      <alignment horizontal="left"/>
    </xf>
    <xf numFmtId="0" fontId="10" fillId="12" borderId="33" xfId="0" applyFont="1" applyFill="1" applyBorder="1" applyAlignment="1">
      <alignment horizontal="left"/>
    </xf>
    <xf numFmtId="0" fontId="10" fillId="12" borderId="49" xfId="0" applyFont="1" applyFill="1" applyBorder="1" applyAlignment="1">
      <alignment horizontal="left"/>
    </xf>
    <xf numFmtId="0" fontId="10" fillId="12" borderId="13" xfId="0" applyFont="1" applyFill="1" applyBorder="1" applyAlignment="1">
      <alignment horizontal="left" vertical="center" wrapText="1"/>
    </xf>
    <xf numFmtId="0" fontId="3" fillId="12" borderId="27" xfId="0" applyFont="1" applyFill="1" applyBorder="1"/>
    <xf numFmtId="0" fontId="10" fillId="12" borderId="13" xfId="0" applyFont="1" applyFill="1" applyBorder="1" applyAlignment="1">
      <alignment horizontal="left"/>
    </xf>
    <xf numFmtId="0" fontId="1" fillId="16" borderId="13" xfId="0" applyFont="1" applyFill="1" applyBorder="1" applyAlignment="1">
      <alignment horizontal="left" vertical="center" wrapText="1"/>
    </xf>
    <xf numFmtId="0" fontId="1" fillId="16" borderId="13" xfId="0" applyFont="1" applyFill="1" applyBorder="1" applyAlignment="1">
      <alignment horizontal="left"/>
    </xf>
    <xf numFmtId="0" fontId="10" fillId="12" borderId="13" xfId="0" applyFont="1" applyFill="1" applyBorder="1" applyAlignment="1">
      <alignment horizontal="left" wrapText="1"/>
    </xf>
    <xf numFmtId="0" fontId="10" fillId="15" borderId="13" xfId="0" applyFont="1" applyFill="1" applyBorder="1" applyAlignment="1">
      <alignment horizontal="left"/>
    </xf>
    <xf numFmtId="0" fontId="10" fillId="16" borderId="13" xfId="0" applyFont="1" applyFill="1" applyBorder="1" applyAlignment="1">
      <alignment horizontal="left"/>
    </xf>
    <xf numFmtId="0" fontId="10" fillId="12" borderId="52" xfId="0" applyFont="1" applyFill="1" applyBorder="1" applyAlignment="1">
      <alignment horizontal="left" vertical="center" wrapText="1"/>
    </xf>
    <xf numFmtId="0" fontId="3" fillId="12" borderId="53" xfId="0" applyFont="1" applyFill="1" applyBorder="1"/>
    <xf numFmtId="0" fontId="3" fillId="12" borderId="57" xfId="0" applyFont="1" applyFill="1" applyBorder="1"/>
    <xf numFmtId="0" fontId="1" fillId="12" borderId="59" xfId="0" applyFont="1" applyFill="1" applyBorder="1" applyAlignment="1">
      <alignment horizontal="left"/>
    </xf>
    <xf numFmtId="0" fontId="3" fillId="12" borderId="59" xfId="0" applyFont="1" applyFill="1" applyBorder="1"/>
    <xf numFmtId="44" fontId="5" fillId="0" borderId="59" xfId="1" applyFont="1" applyBorder="1" applyAlignment="1">
      <alignment horizontal="center"/>
    </xf>
    <xf numFmtId="4" fontId="10" fillId="0" borderId="13" xfId="0" applyNumberFormat="1" applyFont="1" applyBorder="1" applyAlignment="1">
      <alignment horizontal="left" vertical="top" wrapText="1"/>
    </xf>
    <xf numFmtId="4" fontId="7" fillId="2" borderId="13" xfId="0" applyNumberFormat="1" applyFont="1" applyFill="1" applyBorder="1" applyAlignment="1">
      <alignment horizontal="center" vertical="center" wrapText="1"/>
    </xf>
    <xf numFmtId="4" fontId="7" fillId="2" borderId="44" xfId="0" applyNumberFormat="1" applyFont="1" applyFill="1" applyBorder="1" applyAlignment="1">
      <alignment horizontal="center" vertical="center" wrapText="1"/>
    </xf>
    <xf numFmtId="0" fontId="3" fillId="0" borderId="45" xfId="0" applyFont="1" applyBorder="1"/>
    <xf numFmtId="4" fontId="10" fillId="0" borderId="13" xfId="0" applyNumberFormat="1" applyFont="1" applyBorder="1" applyAlignment="1">
      <alignment horizontal="left" vertical="center" wrapText="1"/>
    </xf>
    <xf numFmtId="4" fontId="7" fillId="2" borderId="41" xfId="0" applyNumberFormat="1" applyFont="1" applyFill="1" applyBorder="1" applyAlignment="1">
      <alignment horizontal="center" vertical="center" wrapText="1"/>
    </xf>
    <xf numFmtId="0" fontId="3" fillId="0" borderId="42" xfId="0" applyFont="1" applyBorder="1"/>
    <xf numFmtId="172" fontId="20" fillId="0" borderId="13" xfId="0" applyNumberFormat="1" applyFont="1" applyBorder="1" applyAlignment="1">
      <alignment horizontal="center" wrapText="1"/>
    </xf>
    <xf numFmtId="172" fontId="10" fillId="0" borderId="13" xfId="0" applyNumberFormat="1" applyFont="1" applyBorder="1" applyAlignment="1">
      <alignment horizontal="center" wrapText="1"/>
    </xf>
    <xf numFmtId="4" fontId="10" fillId="0" borderId="13" xfId="0" applyNumberFormat="1" applyFont="1" applyBorder="1" applyAlignment="1">
      <alignment vertical="center" wrapText="1"/>
    </xf>
    <xf numFmtId="2" fontId="15" fillId="4" borderId="16" xfId="0" applyNumberFormat="1" applyFont="1" applyFill="1" applyBorder="1" applyAlignment="1">
      <alignment horizontal="center" vertical="center" wrapText="1"/>
    </xf>
    <xf numFmtId="0" fontId="7" fillId="2" borderId="4" xfId="0" applyFont="1" applyFill="1" applyBorder="1" applyAlignment="1">
      <alignment horizontal="center" vertical="center"/>
    </xf>
    <xf numFmtId="0" fontId="7" fillId="2" borderId="16" xfId="0" applyFont="1" applyFill="1" applyBorder="1" applyAlignment="1">
      <alignment horizontal="center" vertical="center"/>
    </xf>
    <xf numFmtId="0" fontId="19" fillId="2" borderId="4" xfId="0" applyFont="1" applyFill="1" applyBorder="1" applyAlignment="1">
      <alignment horizontal="center" vertical="center" wrapText="1"/>
    </xf>
    <xf numFmtId="10" fontId="14" fillId="0" borderId="13" xfId="0" applyNumberFormat="1" applyFont="1" applyBorder="1" applyAlignment="1">
      <alignment horizontal="center"/>
    </xf>
    <xf numFmtId="4" fontId="14" fillId="0" borderId="33" xfId="0" applyNumberFormat="1" applyFont="1" applyBorder="1" applyAlignment="1">
      <alignment horizontal="center" vertical="center" wrapText="1"/>
    </xf>
    <xf numFmtId="4" fontId="14" fillId="0" borderId="49" xfId="0" applyNumberFormat="1" applyFont="1" applyBorder="1" applyAlignment="1">
      <alignment horizontal="center" vertical="center" wrapText="1"/>
    </xf>
    <xf numFmtId="10" fontId="10" fillId="0" borderId="13" xfId="0" applyNumberFormat="1" applyFont="1" applyBorder="1" applyAlignment="1">
      <alignment horizontal="center" vertical="center"/>
    </xf>
    <xf numFmtId="0" fontId="10" fillId="7" borderId="4"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3" fillId="0" borderId="47" xfId="0" applyFont="1" applyBorder="1"/>
    <xf numFmtId="0" fontId="10" fillId="7" borderId="13" xfId="0" applyFont="1" applyFill="1" applyBorder="1" applyAlignment="1">
      <alignment horizontal="center" vertical="center" wrapText="1"/>
    </xf>
    <xf numFmtId="0" fontId="7" fillId="2" borderId="46" xfId="0" applyFont="1" applyFill="1" applyBorder="1" applyAlignment="1">
      <alignment horizontal="center" vertical="center" wrapText="1"/>
    </xf>
    <xf numFmtId="1" fontId="7" fillId="2" borderId="13" xfId="0" applyNumberFormat="1" applyFont="1" applyFill="1" applyBorder="1" applyAlignment="1">
      <alignment horizontal="center" vertical="center" wrapText="1"/>
    </xf>
    <xf numFmtId="173" fontId="14" fillId="7" borderId="13" xfId="0" applyNumberFormat="1" applyFont="1" applyFill="1" applyBorder="1" applyAlignment="1">
      <alignment horizontal="center" vertical="center" wrapText="1"/>
    </xf>
    <xf numFmtId="0" fontId="3" fillId="0" borderId="48" xfId="0" applyFont="1" applyBorder="1"/>
    <xf numFmtId="168" fontId="7" fillId="2" borderId="23" xfId="0" applyNumberFormat="1" applyFont="1" applyFill="1" applyBorder="1" applyAlignment="1">
      <alignment horizontal="center" vertical="center" wrapText="1"/>
    </xf>
    <xf numFmtId="0" fontId="9" fillId="0" borderId="0" xfId="0" applyFont="1" applyAlignment="1">
      <alignment horizontal="center"/>
    </xf>
    <xf numFmtId="174" fontId="10" fillId="7" borderId="13" xfId="0" applyNumberFormat="1" applyFont="1" applyFill="1" applyBorder="1" applyAlignment="1">
      <alignment horizontal="right" vertical="center" wrapText="1"/>
    </xf>
    <xf numFmtId="0" fontId="3" fillId="0" borderId="32" xfId="0" applyFont="1" applyBorder="1"/>
    <xf numFmtId="0" fontId="10" fillId="0" borderId="34" xfId="0" applyFont="1" applyBorder="1" applyAlignment="1">
      <alignment horizontal="left" vertical="center" wrapText="1"/>
    </xf>
    <xf numFmtId="0" fontId="10" fillId="0" borderId="33" xfId="0" applyFont="1" applyBorder="1" applyAlignment="1">
      <alignment horizontal="left" vertical="center" wrapText="1"/>
    </xf>
    <xf numFmtId="0" fontId="10" fillId="0" borderId="49" xfId="0" applyFont="1" applyBorder="1" applyAlignment="1">
      <alignment horizontal="left" vertical="center" wrapText="1"/>
    </xf>
    <xf numFmtId="0" fontId="10" fillId="0" borderId="27" xfId="0" applyFont="1" applyBorder="1" applyAlignment="1">
      <alignment horizontal="left" vertical="center" wrapText="1"/>
    </xf>
    <xf numFmtId="0" fontId="10" fillId="16" borderId="27" xfId="0" applyFont="1" applyFill="1" applyBorder="1" applyAlignment="1">
      <alignment horizontal="left" vertical="center" wrapText="1"/>
    </xf>
    <xf numFmtId="0" fontId="18" fillId="0" borderId="27" xfId="0" applyFont="1" applyBorder="1" applyAlignment="1">
      <alignment horizontal="left" vertical="center" wrapText="1"/>
    </xf>
    <xf numFmtId="0" fontId="10" fillId="16" borderId="34"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49" xfId="0" applyFont="1" applyFill="1" applyBorder="1" applyAlignment="1">
      <alignment horizontal="left" vertical="center" wrapText="1"/>
    </xf>
    <xf numFmtId="0" fontId="10" fillId="15" borderId="34" xfId="0" applyFont="1" applyFill="1" applyBorder="1" applyAlignment="1">
      <alignment horizontal="left" vertical="center" wrapText="1"/>
    </xf>
    <xf numFmtId="0" fontId="10" fillId="15" borderId="33" xfId="0" applyFont="1" applyFill="1" applyBorder="1" applyAlignment="1">
      <alignment horizontal="left" vertical="center" wrapText="1"/>
    </xf>
    <xf numFmtId="0" fontId="10" fillId="15" borderId="49" xfId="0" applyFont="1" applyFill="1" applyBorder="1" applyAlignment="1">
      <alignment horizontal="left" vertical="center" wrapText="1"/>
    </xf>
    <xf numFmtId="172" fontId="10" fillId="0" borderId="13" xfId="0" applyNumberFormat="1" applyFont="1" applyBorder="1" applyAlignment="1">
      <alignment horizontal="center"/>
    </xf>
    <xf numFmtId="172" fontId="10" fillId="0" borderId="13" xfId="0" applyNumberFormat="1" applyFont="1" applyBorder="1" applyAlignment="1">
      <alignment horizontal="center" vertical="center"/>
    </xf>
    <xf numFmtId="0" fontId="7" fillId="2" borderId="23" xfId="0" applyFont="1" applyFill="1" applyBorder="1" applyAlignment="1">
      <alignment horizontal="center" vertical="center"/>
    </xf>
    <xf numFmtId="172" fontId="10" fillId="4" borderId="13" xfId="0" applyNumberFormat="1" applyFont="1" applyFill="1" applyBorder="1" applyAlignment="1">
      <alignment horizontal="center"/>
    </xf>
    <xf numFmtId="0" fontId="10" fillId="4" borderId="13" xfId="0" applyFont="1" applyFill="1" applyBorder="1" applyAlignment="1">
      <alignment horizontal="left"/>
    </xf>
    <xf numFmtId="164" fontId="10" fillId="4" borderId="13" xfId="0" applyNumberFormat="1" applyFont="1" applyFill="1" applyBorder="1" applyAlignment="1">
      <alignment horizontal="center" vertical="center"/>
    </xf>
    <xf numFmtId="0" fontId="40" fillId="0" borderId="33" xfId="0" applyFont="1" applyBorder="1"/>
    <xf numFmtId="0" fontId="40" fillId="0" borderId="35" xfId="0" applyFont="1" applyBorder="1"/>
    <xf numFmtId="0" fontId="40" fillId="0" borderId="53" xfId="0" applyFont="1" applyBorder="1"/>
    <xf numFmtId="0" fontId="40" fillId="0" borderId="57" xfId="0" applyFont="1" applyBorder="1"/>
    <xf numFmtId="0" fontId="40" fillId="0" borderId="41" xfId="0" applyFont="1" applyBorder="1"/>
    <xf numFmtId="0" fontId="40" fillId="0" borderId="51" xfId="0" applyFont="1" applyBorder="1"/>
    <xf numFmtId="0" fontId="40" fillId="0" borderId="58" xfId="0" applyFont="1" applyBorder="1"/>
    <xf numFmtId="0" fontId="26" fillId="2" borderId="55" xfId="0" applyFont="1" applyFill="1" applyBorder="1" applyAlignment="1">
      <alignment horizontal="center" vertical="center"/>
    </xf>
    <xf numFmtId="0" fontId="7" fillId="2" borderId="41" xfId="0" applyFont="1" applyFill="1" applyBorder="1" applyAlignment="1">
      <alignment horizontal="center" vertical="center"/>
    </xf>
    <xf numFmtId="0" fontId="10" fillId="0" borderId="16" xfId="0" applyFont="1" applyBorder="1" applyAlignment="1">
      <alignment horizontal="center" vertical="center" wrapText="1"/>
    </xf>
    <xf numFmtId="0" fontId="3" fillId="0" borderId="56" xfId="0" applyFont="1" applyBorder="1"/>
    <xf numFmtId="0" fontId="10" fillId="0" borderId="4" xfId="0" applyFont="1" applyBorder="1" applyAlignment="1">
      <alignment horizontal="center" vertical="center" wrapText="1"/>
    </xf>
    <xf numFmtId="2" fontId="10" fillId="0" borderId="16" xfId="0" applyNumberFormat="1" applyFont="1" applyBorder="1" applyAlignment="1">
      <alignment horizontal="center" vertical="center"/>
    </xf>
    <xf numFmtId="2" fontId="13" fillId="0" borderId="4" xfId="0" applyNumberFormat="1" applyFont="1" applyBorder="1" applyAlignment="1">
      <alignment horizontal="center" vertical="center"/>
    </xf>
    <xf numFmtId="0" fontId="39" fillId="2" borderId="35" xfId="0" applyFont="1" applyFill="1" applyBorder="1" applyAlignment="1">
      <alignment horizontal="center" vertical="center" wrapText="1"/>
    </xf>
    <xf numFmtId="0" fontId="39" fillId="2" borderId="55" xfId="0" applyFont="1" applyFill="1" applyBorder="1" applyAlignment="1">
      <alignment horizontal="center" vertical="center" wrapText="1"/>
    </xf>
    <xf numFmtId="0" fontId="39" fillId="2" borderId="47" xfId="0" applyFont="1" applyFill="1" applyBorder="1" applyAlignment="1">
      <alignment horizontal="center" vertical="center" wrapText="1"/>
    </xf>
    <xf numFmtId="2" fontId="27" fillId="0" borderId="4" xfId="0" applyNumberFormat="1" applyFont="1" applyBorder="1" applyAlignment="1">
      <alignment horizontal="center" vertical="center"/>
    </xf>
    <xf numFmtId="0" fontId="10" fillId="0" borderId="16" xfId="0" applyFont="1" applyBorder="1" applyAlignment="1">
      <alignment horizontal="center" vertical="center"/>
    </xf>
    <xf numFmtId="0" fontId="7" fillId="2" borderId="55"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28" fillId="2" borderId="55" xfId="0" applyFont="1" applyFill="1" applyBorder="1" applyAlignment="1">
      <alignment horizontal="center" vertical="center"/>
    </xf>
    <xf numFmtId="2" fontId="10" fillId="0" borderId="4" xfId="0" applyNumberFormat="1" applyFont="1" applyBorder="1" applyAlignment="1">
      <alignment horizontal="center" vertical="center"/>
    </xf>
    <xf numFmtId="2" fontId="14" fillId="0" borderId="4" xfId="0" applyNumberFormat="1" applyFont="1" applyBorder="1" applyAlignment="1">
      <alignment horizontal="center" vertical="center"/>
    </xf>
    <xf numFmtId="2" fontId="29" fillId="0" borderId="4" xfId="0" applyNumberFormat="1" applyFont="1" applyBorder="1" applyAlignment="1">
      <alignment horizontal="center" vertical="center"/>
    </xf>
    <xf numFmtId="0" fontId="39" fillId="2" borderId="34" xfId="0" applyFont="1" applyFill="1" applyBorder="1" applyAlignment="1">
      <alignment horizontal="center" vertical="center" wrapText="1"/>
    </xf>
    <xf numFmtId="0" fontId="40" fillId="0" borderId="49" xfId="0" applyFont="1" applyBorder="1"/>
    <xf numFmtId="0" fontId="39" fillId="2" borderId="34" xfId="0" applyFont="1" applyFill="1" applyBorder="1" applyAlignment="1">
      <alignment horizontal="center" vertical="center"/>
    </xf>
    <xf numFmtId="0" fontId="39" fillId="2" borderId="41" xfId="0" applyFont="1" applyFill="1" applyBorder="1" applyAlignment="1">
      <alignment horizontal="center" vertical="center"/>
    </xf>
    <xf numFmtId="0" fontId="42" fillId="0" borderId="25" xfId="0" applyFont="1" applyBorder="1" applyAlignment="1">
      <alignment horizontal="center" vertical="center"/>
    </xf>
    <xf numFmtId="0" fontId="40" fillId="0" borderId="56" xfId="0" applyFont="1" applyBorder="1"/>
    <xf numFmtId="0" fontId="40" fillId="0" borderId="43" xfId="0" applyFont="1" applyBorder="1"/>
    <xf numFmtId="0" fontId="42" fillId="0" borderId="52" xfId="0" applyFont="1" applyBorder="1" applyAlignment="1">
      <alignment horizontal="center" vertical="center" wrapText="1"/>
    </xf>
    <xf numFmtId="0" fontId="41" fillId="0" borderId="0" xfId="0" applyFont="1"/>
    <xf numFmtId="0" fontId="40" fillId="0" borderId="47" xfId="0" applyFont="1" applyBorder="1"/>
    <xf numFmtId="2" fontId="42" fillId="0" borderId="25" xfId="0" applyNumberFormat="1" applyFont="1" applyBorder="1" applyAlignment="1">
      <alignment horizontal="center" vertical="center"/>
    </xf>
    <xf numFmtId="2" fontId="43" fillId="0" borderId="52" xfId="0" applyNumberFormat="1" applyFont="1" applyBorder="1" applyAlignment="1">
      <alignment horizontal="center" vertical="center"/>
    </xf>
    <xf numFmtId="0" fontId="42" fillId="0" borderId="25" xfId="3" applyFont="1" applyBorder="1" applyAlignment="1">
      <alignment horizontal="center" vertical="center"/>
    </xf>
    <xf numFmtId="0" fontId="40" fillId="0" borderId="56" xfId="3" applyFont="1" applyBorder="1"/>
    <xf numFmtId="0" fontId="40" fillId="0" borderId="43" xfId="3" applyFont="1" applyBorder="1"/>
    <xf numFmtId="0" fontId="42" fillId="0" borderId="52" xfId="3" applyFont="1" applyBorder="1" applyAlignment="1">
      <alignment horizontal="center" vertical="center" wrapText="1"/>
    </xf>
    <xf numFmtId="0" fontId="40" fillId="0" borderId="53" xfId="3" applyFont="1" applyBorder="1"/>
    <xf numFmtId="0" fontId="40" fillId="0" borderId="57" xfId="3" applyFont="1" applyBorder="1"/>
    <xf numFmtId="0" fontId="40" fillId="0" borderId="35" xfId="3" applyFont="1" applyBorder="1"/>
    <xf numFmtId="0" fontId="41" fillId="0" borderId="55" xfId="3" applyFont="1"/>
    <xf numFmtId="0" fontId="40" fillId="0" borderId="47" xfId="3" applyFont="1" applyBorder="1"/>
    <xf numFmtId="0" fontId="40" fillId="0" borderId="41" xfId="3" applyFont="1" applyBorder="1"/>
    <xf numFmtId="0" fontId="40" fillId="0" borderId="51" xfId="3" applyFont="1" applyBorder="1"/>
    <xf numFmtId="0" fontId="40" fillId="0" borderId="58" xfId="3" applyFont="1" applyBorder="1"/>
    <xf numFmtId="0" fontId="39" fillId="2" borderId="34" xfId="3" applyFont="1" applyFill="1" applyBorder="1" applyAlignment="1">
      <alignment horizontal="center" vertical="center" wrapText="1"/>
    </xf>
    <xf numFmtId="0" fontId="40" fillId="0" borderId="49" xfId="3" applyFont="1" applyBorder="1"/>
    <xf numFmtId="2" fontId="42" fillId="0" borderId="52" xfId="3" applyNumberFormat="1" applyFont="1" applyBorder="1" applyAlignment="1">
      <alignment horizontal="center" vertical="center"/>
    </xf>
    <xf numFmtId="0" fontId="39" fillId="2" borderId="35" xfId="3" applyFont="1" applyFill="1" applyBorder="1" applyAlignment="1">
      <alignment horizontal="center" vertical="center" wrapText="1"/>
    </xf>
    <xf numFmtId="0" fontId="40" fillId="0" borderId="55" xfId="3" applyFont="1"/>
    <xf numFmtId="0" fontId="39" fillId="2" borderId="34" xfId="3" applyFont="1" applyFill="1" applyBorder="1" applyAlignment="1">
      <alignment horizontal="center" vertical="center"/>
    </xf>
    <xf numFmtId="14" fontId="41" fillId="3" borderId="52" xfId="3" applyNumberFormat="1" applyFont="1" applyFill="1" applyBorder="1" applyAlignment="1">
      <alignment horizontal="center" vertical="center" wrapText="1"/>
    </xf>
    <xf numFmtId="0" fontId="44" fillId="2" borderId="55" xfId="3" applyFont="1" applyFill="1" applyAlignment="1">
      <alignment horizontal="center" vertical="center"/>
    </xf>
    <xf numFmtId="0" fontId="39" fillId="0" borderId="33" xfId="3" applyFont="1" applyBorder="1" applyAlignment="1">
      <alignment horizontal="center" vertical="center"/>
    </xf>
    <xf numFmtId="0" fontId="40" fillId="0" borderId="33" xfId="3" applyFont="1" applyBorder="1"/>
    <xf numFmtId="0" fontId="39" fillId="2" borderId="41" xfId="3" applyFont="1" applyFill="1" applyBorder="1" applyAlignment="1">
      <alignment horizontal="center" vertical="center"/>
    </xf>
    <xf numFmtId="2" fontId="45" fillId="0" borderId="52" xfId="3" applyNumberFormat="1" applyFont="1" applyBorder="1" applyAlignment="1">
      <alignment horizontal="center" vertical="center"/>
    </xf>
    <xf numFmtId="0" fontId="42" fillId="0" borderId="52" xfId="3" applyFont="1" applyBorder="1" applyAlignment="1">
      <alignment horizontal="center"/>
    </xf>
    <xf numFmtId="0" fontId="39" fillId="2" borderId="52" xfId="3" applyFont="1" applyFill="1" applyBorder="1" applyAlignment="1">
      <alignment horizontal="center" vertical="center"/>
    </xf>
    <xf numFmtId="2" fontId="42" fillId="0" borderId="25" xfId="3" applyNumberFormat="1" applyFont="1" applyBorder="1" applyAlignment="1">
      <alignment horizontal="center" vertical="center"/>
    </xf>
    <xf numFmtId="0" fontId="7" fillId="2" borderId="34" xfId="3" applyFont="1" applyFill="1" applyBorder="1" applyAlignment="1">
      <alignment horizontal="center" vertical="center"/>
    </xf>
    <xf numFmtId="2" fontId="45" fillId="0" borderId="25" xfId="3" applyNumberFormat="1" applyFont="1" applyBorder="1" applyAlignment="1">
      <alignment horizontal="center" vertical="center"/>
    </xf>
    <xf numFmtId="0" fontId="45" fillId="0" borderId="25" xfId="3" applyFont="1" applyBorder="1" applyAlignment="1">
      <alignment horizontal="center" vertical="center"/>
    </xf>
    <xf numFmtId="0" fontId="39" fillId="2" borderId="41" xfId="3" applyFont="1" applyFill="1" applyBorder="1" applyAlignment="1">
      <alignment horizontal="center" vertical="center" wrapText="1"/>
    </xf>
    <xf numFmtId="0" fontId="39" fillId="2" borderId="35" xfId="3" applyFont="1" applyFill="1" applyBorder="1" applyAlignment="1">
      <alignment horizontal="center" vertical="center"/>
    </xf>
    <xf numFmtId="0" fontId="39" fillId="2" borderId="34" xfId="3" applyFont="1" applyFill="1" applyBorder="1" applyAlignment="1">
      <alignment horizontal="center"/>
    </xf>
    <xf numFmtId="0" fontId="39" fillId="2" borderId="34" xfId="3" applyFont="1" applyFill="1" applyBorder="1" applyAlignment="1">
      <alignment horizontal="left"/>
    </xf>
    <xf numFmtId="2" fontId="45" fillId="0" borderId="25" xfId="3" applyNumberFormat="1" applyFont="1" applyBorder="1" applyAlignment="1">
      <alignment horizontal="center" vertical="center" wrapText="1"/>
    </xf>
    <xf numFmtId="0" fontId="39" fillId="2" borderId="52" xfId="3" applyFont="1" applyFill="1" applyBorder="1" applyAlignment="1">
      <alignment horizontal="center"/>
    </xf>
    <xf numFmtId="0" fontId="45" fillId="0" borderId="34" xfId="3" applyFont="1" applyBorder="1" applyAlignment="1">
      <alignment horizontal="center"/>
    </xf>
    <xf numFmtId="2" fontId="42" fillId="0" borderId="34" xfId="3" applyNumberFormat="1" applyFont="1" applyBorder="1" applyAlignment="1">
      <alignment horizontal="center"/>
    </xf>
    <xf numFmtId="0" fontId="39" fillId="2" borderId="41" xfId="3" applyFont="1" applyFill="1" applyBorder="1" applyAlignment="1">
      <alignment horizontal="center"/>
    </xf>
    <xf numFmtId="0" fontId="7" fillId="2" borderId="34" xfId="0" applyFont="1" applyFill="1" applyBorder="1" applyAlignment="1">
      <alignment horizontal="center" vertical="center" wrapText="1"/>
    </xf>
    <xf numFmtId="0" fontId="7" fillId="2" borderId="49" xfId="0" applyFont="1" applyFill="1" applyBorder="1" applyAlignment="1">
      <alignment horizontal="center" vertical="center" wrapText="1"/>
    </xf>
    <xf numFmtId="0" fontId="10" fillId="0" borderId="52" xfId="0" applyFont="1" applyBorder="1" applyAlignment="1">
      <alignment horizontal="center" vertical="center" wrapText="1"/>
    </xf>
    <xf numFmtId="0" fontId="10" fillId="0" borderId="53"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1"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58" xfId="0" applyFont="1" applyBorder="1" applyAlignment="1">
      <alignment horizontal="center" vertical="center" wrapText="1"/>
    </xf>
    <xf numFmtId="0" fontId="7" fillId="2" borderId="33" xfId="0" applyFont="1" applyFill="1" applyBorder="1" applyAlignment="1">
      <alignment horizontal="center" vertical="center"/>
    </xf>
    <xf numFmtId="0" fontId="7" fillId="2" borderId="49" xfId="0" applyFont="1" applyFill="1" applyBorder="1" applyAlignment="1">
      <alignment horizontal="center" vertical="center"/>
    </xf>
    <xf numFmtId="0" fontId="10" fillId="0" borderId="25" xfId="0" applyFont="1" applyBorder="1" applyAlignment="1">
      <alignment horizontal="center" vertical="center"/>
    </xf>
    <xf numFmtId="0" fontId="10" fillId="0" borderId="56" xfId="0" applyFont="1" applyBorder="1" applyAlignment="1">
      <alignment horizontal="center" vertical="center"/>
    </xf>
    <xf numFmtId="0" fontId="10" fillId="0" borderId="43" xfId="0" applyFont="1" applyBorder="1" applyAlignment="1">
      <alignment horizontal="center" vertical="center"/>
    </xf>
    <xf numFmtId="2" fontId="10" fillId="0" borderId="25" xfId="0" applyNumberFormat="1" applyFont="1" applyBorder="1" applyAlignment="1">
      <alignment horizontal="center" vertical="center"/>
    </xf>
    <xf numFmtId="2" fontId="10" fillId="0" borderId="56" xfId="0" applyNumberFormat="1" applyFont="1" applyBorder="1" applyAlignment="1">
      <alignment horizontal="center" vertical="center"/>
    </xf>
    <xf numFmtId="2" fontId="10" fillId="0" borderId="43" xfId="0" applyNumberFormat="1" applyFont="1" applyBorder="1" applyAlignment="1">
      <alignment horizontal="center" vertical="center"/>
    </xf>
    <xf numFmtId="2" fontId="10" fillId="0" borderId="52" xfId="0" applyNumberFormat="1" applyFont="1" applyBorder="1" applyAlignment="1">
      <alignment horizontal="center" vertical="center"/>
    </xf>
    <xf numFmtId="2" fontId="10" fillId="0" borderId="53" xfId="0" applyNumberFormat="1" applyFont="1" applyBorder="1" applyAlignment="1">
      <alignment horizontal="center" vertical="center"/>
    </xf>
    <xf numFmtId="2" fontId="10" fillId="0" borderId="57" xfId="0" applyNumberFormat="1" applyFont="1" applyBorder="1" applyAlignment="1">
      <alignment horizontal="center" vertical="center"/>
    </xf>
    <xf numFmtId="2" fontId="10" fillId="0" borderId="35" xfId="0" applyNumberFormat="1" applyFont="1" applyBorder="1" applyAlignment="1">
      <alignment horizontal="center" vertical="center"/>
    </xf>
    <xf numFmtId="2" fontId="10" fillId="0" borderId="55" xfId="0" applyNumberFormat="1" applyFont="1" applyBorder="1" applyAlignment="1">
      <alignment horizontal="center" vertical="center"/>
    </xf>
    <xf numFmtId="2" fontId="10" fillId="0" borderId="47" xfId="0" applyNumberFormat="1" applyFont="1" applyBorder="1" applyAlignment="1">
      <alignment horizontal="center" vertical="center"/>
    </xf>
    <xf numFmtId="2" fontId="10" fillId="0" borderId="41" xfId="0" applyNumberFormat="1" applyFont="1" applyBorder="1" applyAlignment="1">
      <alignment horizontal="center" vertical="center"/>
    </xf>
    <xf numFmtId="2" fontId="10" fillId="0" borderId="51" xfId="0" applyNumberFormat="1" applyFont="1" applyBorder="1" applyAlignment="1">
      <alignment horizontal="center" vertical="center"/>
    </xf>
    <xf numFmtId="2" fontId="10" fillId="0" borderId="58" xfId="0" applyNumberFormat="1" applyFont="1" applyBorder="1" applyAlignment="1">
      <alignment horizontal="center" vertical="center"/>
    </xf>
    <xf numFmtId="0" fontId="7" fillId="2" borderId="58" xfId="0" applyFont="1" applyFill="1" applyBorder="1" applyAlignment="1">
      <alignment horizontal="center" vertical="center"/>
    </xf>
    <xf numFmtId="2" fontId="10" fillId="0" borderId="52" xfId="0" applyNumberFormat="1" applyFont="1" applyBorder="1" applyAlignment="1">
      <alignment horizontal="center" vertical="center" wrapText="1"/>
    </xf>
    <xf numFmtId="2" fontId="10" fillId="0" borderId="53" xfId="0" applyNumberFormat="1" applyFont="1" applyBorder="1" applyAlignment="1">
      <alignment horizontal="center" vertical="center" wrapText="1"/>
    </xf>
    <xf numFmtId="2" fontId="10" fillId="0" borderId="57" xfId="0" applyNumberFormat="1" applyFont="1" applyBorder="1" applyAlignment="1">
      <alignment horizontal="center" vertical="center" wrapText="1"/>
    </xf>
    <xf numFmtId="2" fontId="10" fillId="0" borderId="35" xfId="0" applyNumberFormat="1" applyFont="1" applyBorder="1" applyAlignment="1">
      <alignment horizontal="center" vertical="center" wrapText="1"/>
    </xf>
    <xf numFmtId="2" fontId="10" fillId="0" borderId="55" xfId="0" applyNumberFormat="1" applyFont="1" applyBorder="1" applyAlignment="1">
      <alignment horizontal="center" vertical="center" wrapText="1"/>
    </xf>
    <xf numFmtId="2" fontId="10" fillId="0" borderId="47" xfId="0" applyNumberFormat="1" applyFont="1" applyBorder="1" applyAlignment="1">
      <alignment horizontal="center" vertical="center" wrapText="1"/>
    </xf>
    <xf numFmtId="2" fontId="10" fillId="0" borderId="41" xfId="0" applyNumberFormat="1" applyFont="1" applyBorder="1" applyAlignment="1">
      <alignment horizontal="center" vertical="center" wrapText="1"/>
    </xf>
    <xf numFmtId="2" fontId="10" fillId="0" borderId="51" xfId="0" applyNumberFormat="1" applyFont="1" applyBorder="1" applyAlignment="1">
      <alignment horizontal="center" vertical="center" wrapText="1"/>
    </xf>
    <xf numFmtId="2" fontId="10" fillId="0" borderId="58" xfId="0" applyNumberFormat="1" applyFont="1" applyBorder="1" applyAlignment="1">
      <alignment horizontal="center" vertical="center" wrapText="1"/>
    </xf>
    <xf numFmtId="2" fontId="10" fillId="0" borderId="4" xfId="0" applyNumberFormat="1" applyFont="1" applyBorder="1" applyAlignment="1">
      <alignment horizontal="center" vertical="center" wrapText="1"/>
    </xf>
    <xf numFmtId="0" fontId="30" fillId="0" borderId="13" xfId="0" applyFont="1" applyBorder="1" applyAlignment="1">
      <alignment horizontal="center" vertical="center"/>
    </xf>
    <xf numFmtId="0" fontId="32" fillId="2" borderId="15" xfId="0" applyFont="1" applyFill="1" applyBorder="1" applyAlignment="1">
      <alignment horizontal="center" vertical="center"/>
    </xf>
    <xf numFmtId="0" fontId="10" fillId="0" borderId="13" xfId="0" applyFont="1" applyBorder="1" applyAlignment="1">
      <alignment horizontal="left" vertical="center"/>
    </xf>
    <xf numFmtId="0" fontId="31" fillId="2" borderId="15" xfId="0" applyFont="1" applyFill="1" applyBorder="1" applyAlignment="1">
      <alignment horizontal="center" vertical="center"/>
    </xf>
    <xf numFmtId="0" fontId="26" fillId="2" borderId="52" xfId="0" applyFont="1" applyFill="1" applyBorder="1" applyAlignment="1">
      <alignment horizontal="center" vertical="center" wrapText="1"/>
    </xf>
    <xf numFmtId="0" fontId="26" fillId="2" borderId="53" xfId="0" applyFont="1" applyFill="1" applyBorder="1" applyAlignment="1">
      <alignment horizontal="center" vertical="center" wrapText="1"/>
    </xf>
    <xf numFmtId="0" fontId="26" fillId="2" borderId="57" xfId="0" applyFont="1" applyFill="1" applyBorder="1" applyAlignment="1">
      <alignment horizontal="center" vertical="center" wrapText="1"/>
    </xf>
    <xf numFmtId="0" fontId="26" fillId="2" borderId="41" xfId="0" applyFont="1" applyFill="1" applyBorder="1" applyAlignment="1">
      <alignment horizontal="center" vertical="center" wrapText="1"/>
    </xf>
    <xf numFmtId="0" fontId="26" fillId="2" borderId="51" xfId="0" applyFont="1" applyFill="1" applyBorder="1" applyAlignment="1">
      <alignment horizontal="center" vertical="center" wrapText="1"/>
    </xf>
    <xf numFmtId="0" fontId="26" fillId="2" borderId="58" xfId="0" applyFont="1" applyFill="1" applyBorder="1" applyAlignment="1">
      <alignment horizontal="center" vertical="center" wrapText="1"/>
    </xf>
    <xf numFmtId="0" fontId="30" fillId="0" borderId="13" xfId="0" applyFont="1" applyBorder="1" applyAlignment="1">
      <alignment horizontal="left" vertical="center"/>
    </xf>
    <xf numFmtId="0" fontId="26" fillId="2" borderId="4" xfId="0" applyFont="1" applyFill="1" applyBorder="1" applyAlignment="1">
      <alignment horizontal="center" vertical="center" wrapText="1"/>
    </xf>
    <xf numFmtId="0" fontId="19" fillId="2" borderId="4" xfId="0" applyFont="1" applyFill="1" applyBorder="1" applyAlignment="1">
      <alignment horizontal="center" vertical="center"/>
    </xf>
    <xf numFmtId="0" fontId="30" fillId="13" borderId="13" xfId="0" applyFont="1" applyFill="1" applyBorder="1" applyAlignment="1">
      <alignment horizontal="left" vertical="center"/>
    </xf>
    <xf numFmtId="0" fontId="3" fillId="13" borderId="14" xfId="0" applyFont="1" applyFill="1" applyBorder="1"/>
    <xf numFmtId="0" fontId="30" fillId="0" borderId="34" xfId="0" applyFont="1" applyBorder="1" applyAlignment="1">
      <alignment horizontal="left" vertical="center"/>
    </xf>
    <xf numFmtId="0" fontId="30" fillId="0" borderId="49" xfId="0" applyFont="1" applyBorder="1" applyAlignment="1">
      <alignment horizontal="left" vertical="center"/>
    </xf>
    <xf numFmtId="0" fontId="19" fillId="2" borderId="34" xfId="0" applyFont="1" applyFill="1" applyBorder="1" applyAlignment="1">
      <alignment horizontal="center"/>
    </xf>
    <xf numFmtId="0" fontId="19" fillId="2" borderId="49" xfId="0" applyFont="1" applyFill="1" applyBorder="1" applyAlignment="1">
      <alignment horizontal="center"/>
    </xf>
    <xf numFmtId="0" fontId="30" fillId="0" borderId="53" xfId="0" applyFont="1" applyBorder="1" applyAlignment="1">
      <alignment horizontal="center"/>
    </xf>
    <xf numFmtId="0" fontId="30" fillId="0" borderId="55" xfId="0" applyFont="1" applyBorder="1" applyAlignment="1">
      <alignment horizontal="center"/>
    </xf>
    <xf numFmtId="0" fontId="30" fillId="0" borderId="34" xfId="0" applyFont="1" applyBorder="1" applyAlignment="1">
      <alignment horizontal="left"/>
    </xf>
    <xf numFmtId="0" fontId="30" fillId="0" borderId="49" xfId="0" applyFont="1" applyBorder="1" applyAlignment="1">
      <alignment horizontal="left"/>
    </xf>
    <xf numFmtId="0" fontId="33" fillId="0" borderId="34" xfId="0" applyFont="1" applyBorder="1" applyAlignment="1">
      <alignment horizontal="center"/>
    </xf>
    <xf numFmtId="0" fontId="33" fillId="0" borderId="49" xfId="0" applyFont="1" applyBorder="1" applyAlignment="1">
      <alignment horizontal="center"/>
    </xf>
    <xf numFmtId="0" fontId="30" fillId="0" borderId="52" xfId="0" applyFont="1" applyBorder="1" applyAlignment="1">
      <alignment horizontal="center"/>
    </xf>
    <xf numFmtId="0" fontId="30" fillId="0" borderId="57" xfId="0" applyFont="1" applyBorder="1" applyAlignment="1">
      <alignment horizontal="center"/>
    </xf>
    <xf numFmtId="0" fontId="30" fillId="0" borderId="35" xfId="0" applyFont="1" applyBorder="1" applyAlignment="1">
      <alignment horizontal="center"/>
    </xf>
    <xf numFmtId="0" fontId="30" fillId="0" borderId="47" xfId="0" applyFont="1" applyBorder="1" applyAlignment="1">
      <alignment horizontal="center"/>
    </xf>
    <xf numFmtId="0" fontId="30" fillId="0" borderId="41" xfId="0" applyFont="1" applyBorder="1" applyAlignment="1">
      <alignment horizontal="center"/>
    </xf>
    <xf numFmtId="0" fontId="30" fillId="0" borderId="51" xfId="0" applyFont="1" applyBorder="1" applyAlignment="1">
      <alignment horizontal="center"/>
    </xf>
    <xf numFmtId="0" fontId="30" fillId="0" borderId="58" xfId="0" applyFont="1" applyBorder="1" applyAlignment="1">
      <alignment horizontal="center"/>
    </xf>
    <xf numFmtId="0" fontId="19" fillId="2" borderId="34" xfId="0" applyFont="1" applyFill="1" applyBorder="1" applyAlignment="1">
      <alignment horizontal="center" vertical="center"/>
    </xf>
    <xf numFmtId="0" fontId="19" fillId="2" borderId="33" xfId="0" applyFont="1" applyFill="1" applyBorder="1" applyAlignment="1">
      <alignment horizontal="center" vertical="center"/>
    </xf>
    <xf numFmtId="0" fontId="19" fillId="2" borderId="49" xfId="0" applyFont="1" applyFill="1" applyBorder="1" applyAlignment="1">
      <alignment horizontal="center" vertical="center"/>
    </xf>
    <xf numFmtId="165" fontId="10" fillId="0" borderId="49" xfId="0" applyNumberFormat="1" applyFont="1" applyBorder="1" applyAlignment="1">
      <alignment horizontal="center" vertical="center"/>
    </xf>
    <xf numFmtId="0" fontId="19" fillId="2" borderId="52" xfId="0" applyFont="1" applyFill="1" applyBorder="1" applyAlignment="1">
      <alignment horizontal="center" vertical="center"/>
    </xf>
    <xf numFmtId="0" fontId="19" fillId="2" borderId="57" xfId="0" applyFont="1" applyFill="1" applyBorder="1" applyAlignment="1">
      <alignment horizontal="center" vertical="center"/>
    </xf>
    <xf numFmtId="0" fontId="19" fillId="2" borderId="41" xfId="0" applyFont="1" applyFill="1" applyBorder="1" applyAlignment="1">
      <alignment horizontal="center" vertical="center"/>
    </xf>
    <xf numFmtId="0" fontId="19" fillId="2" borderId="58" xfId="0" applyFont="1" applyFill="1" applyBorder="1" applyAlignment="1">
      <alignment horizontal="center" vertical="center"/>
    </xf>
    <xf numFmtId="0" fontId="19" fillId="2" borderId="25" xfId="0" applyFont="1" applyFill="1" applyBorder="1" applyAlignment="1">
      <alignment horizontal="center" vertical="center"/>
    </xf>
    <xf numFmtId="0" fontId="19" fillId="2" borderId="43" xfId="0" applyFont="1" applyFill="1" applyBorder="1" applyAlignment="1">
      <alignment horizontal="center" vertical="center"/>
    </xf>
    <xf numFmtId="0" fontId="30" fillId="0" borderId="34" xfId="0" applyFont="1" applyBorder="1" applyAlignment="1">
      <alignment horizontal="center" vertical="center"/>
    </xf>
    <xf numFmtId="0" fontId="30" fillId="0" borderId="49" xfId="0" applyFont="1" applyBorder="1" applyAlignment="1">
      <alignment horizontal="center" vertical="center"/>
    </xf>
    <xf numFmtId="0" fontId="26" fillId="2" borderId="1" xfId="0" applyFont="1" applyFill="1" applyBorder="1" applyAlignment="1">
      <alignment horizontal="center" vertical="center" wrapText="1"/>
    </xf>
    <xf numFmtId="0" fontId="7" fillId="2" borderId="55" xfId="0" applyFont="1" applyFill="1" applyBorder="1" applyAlignment="1">
      <alignment horizontal="center" vertical="center"/>
    </xf>
    <xf numFmtId="0" fontId="7" fillId="2" borderId="57" xfId="0" applyFont="1" applyFill="1" applyBorder="1" applyAlignment="1">
      <alignment horizontal="center" vertical="center"/>
    </xf>
    <xf numFmtId="0" fontId="3" fillId="0" borderId="58" xfId="0" applyFont="1" applyBorder="1"/>
    <xf numFmtId="0" fontId="0" fillId="0" borderId="55" xfId="0" applyBorder="1" applyAlignment="1">
      <alignment horizontal="center" vertical="center"/>
    </xf>
    <xf numFmtId="166" fontId="0" fillId="0" borderId="55" xfId="0" applyNumberFormat="1" applyBorder="1" applyAlignment="1">
      <alignment horizontal="center" vertical="center"/>
    </xf>
    <xf numFmtId="166" fontId="48" fillId="14" borderId="55" xfId="0" applyNumberFormat="1" applyFont="1" applyFill="1" applyBorder="1" applyAlignment="1">
      <alignment horizontal="center" vertical="center"/>
    </xf>
    <xf numFmtId="44" fontId="50" fillId="0" borderId="60" xfId="1" applyFont="1" applyBorder="1" applyAlignment="1">
      <alignment horizontal="center" vertical="center"/>
    </xf>
    <xf numFmtId="0" fontId="7" fillId="21" borderId="55" xfId="0" applyFont="1" applyFill="1" applyBorder="1" applyAlignment="1">
      <alignment horizontal="right" wrapText="1"/>
    </xf>
    <xf numFmtId="0" fontId="3" fillId="19" borderId="55" xfId="0" applyFont="1" applyFill="1" applyBorder="1"/>
    <xf numFmtId="10" fontId="14" fillId="19" borderId="55" xfId="0" applyNumberFormat="1" applyFont="1" applyFill="1" applyBorder="1" applyAlignment="1">
      <alignment horizontal="center" vertical="center"/>
    </xf>
    <xf numFmtId="166" fontId="10" fillId="19" borderId="55" xfId="0" applyNumberFormat="1" applyFont="1" applyFill="1" applyBorder="1" applyAlignment="1">
      <alignment horizontal="center"/>
    </xf>
    <xf numFmtId="0" fontId="10" fillId="19" borderId="55" xfId="0" applyFont="1" applyFill="1" applyBorder="1"/>
    <xf numFmtId="0" fontId="7" fillId="21" borderId="55" xfId="0" applyFont="1" applyFill="1" applyBorder="1" applyAlignment="1">
      <alignment horizontal="right"/>
    </xf>
    <xf numFmtId="0" fontId="10" fillId="19" borderId="55" xfId="0" applyFont="1" applyFill="1" applyBorder="1" applyAlignment="1">
      <alignment vertical="center"/>
    </xf>
    <xf numFmtId="0" fontId="7" fillId="21" borderId="55" xfId="0" applyFont="1" applyFill="1" applyBorder="1" applyAlignment="1">
      <alignment horizontal="center" wrapText="1"/>
    </xf>
    <xf numFmtId="0" fontId="0" fillId="19" borderId="55" xfId="0" applyFill="1" applyBorder="1"/>
    <xf numFmtId="164" fontId="14" fillId="22" borderId="55" xfId="0" applyNumberFormat="1" applyFont="1" applyFill="1" applyBorder="1" applyAlignment="1">
      <alignment horizontal="right" wrapText="1"/>
    </xf>
    <xf numFmtId="0" fontId="10" fillId="0" borderId="55" xfId="0" applyFont="1" applyBorder="1"/>
    <xf numFmtId="166" fontId="49" fillId="0" borderId="55" xfId="0" applyNumberFormat="1" applyFont="1" applyBorder="1" applyAlignment="1">
      <alignment horizontal="center" vertical="center"/>
    </xf>
    <xf numFmtId="166" fontId="52" fillId="0" borderId="55" xfId="0" applyNumberFormat="1" applyFont="1" applyBorder="1" applyAlignment="1">
      <alignment horizontal="center"/>
    </xf>
    <xf numFmtId="0" fontId="53" fillId="0" borderId="55" xfId="0" applyFont="1" applyBorder="1"/>
    <xf numFmtId="44" fontId="51" fillId="0" borderId="55" xfId="1" applyFont="1" applyBorder="1" applyAlignment="1">
      <alignment horizontal="center" vertical="center"/>
    </xf>
    <xf numFmtId="44" fontId="0" fillId="0" borderId="55" xfId="1" applyFont="1" applyBorder="1"/>
  </cellXfs>
  <cellStyles count="5">
    <cellStyle name="Moneda" xfId="1" builtinId="4"/>
    <cellStyle name="Normal" xfId="0" builtinId="0"/>
    <cellStyle name="Normal 2" xfId="3" xr:uid="{00000000-0005-0000-0000-000002000000}"/>
    <cellStyle name="Porcentaje" xfId="2" builtinId="5"/>
    <cellStyle name="Porcentaje 2" xfId="4" xr:uid="{00000000-0005-0000-0000-000004000000}"/>
  </cellStyles>
  <dxfs count="493">
    <dxf>
      <fill>
        <patternFill patternType="solid">
          <fgColor rgb="FFBFBFBF"/>
          <bgColor rgb="FFBFBFBF"/>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30" Type="http://schemas.openxmlformats.org/officeDocument/2006/relationships/theme" Target="theme/theme1.xml"/><Relationship Id="rId35"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8.png"/><Relationship Id="rId18" Type="http://schemas.openxmlformats.org/officeDocument/2006/relationships/image" Target="../media/image23.png"/><Relationship Id="rId3" Type="http://schemas.openxmlformats.org/officeDocument/2006/relationships/image" Target="../media/image8.png"/><Relationship Id="rId7" Type="http://schemas.openxmlformats.org/officeDocument/2006/relationships/image" Target="../media/image12.png"/><Relationship Id="rId12" Type="http://schemas.openxmlformats.org/officeDocument/2006/relationships/image" Target="../media/image17.png"/><Relationship Id="rId17" Type="http://schemas.openxmlformats.org/officeDocument/2006/relationships/image" Target="../media/image22.png"/><Relationship Id="rId2" Type="http://schemas.openxmlformats.org/officeDocument/2006/relationships/image" Target="../media/image7.png"/><Relationship Id="rId16" Type="http://schemas.openxmlformats.org/officeDocument/2006/relationships/image" Target="../media/image21.png"/><Relationship Id="rId1" Type="http://schemas.openxmlformats.org/officeDocument/2006/relationships/image" Target="../media/image6.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5" Type="http://schemas.openxmlformats.org/officeDocument/2006/relationships/image" Target="../media/image20.png"/><Relationship Id="rId10" Type="http://schemas.openxmlformats.org/officeDocument/2006/relationships/image" Target="../media/image15.png"/><Relationship Id="rId19" Type="http://schemas.openxmlformats.org/officeDocument/2006/relationships/image" Target="../media/image24.png"/><Relationship Id="rId4" Type="http://schemas.openxmlformats.org/officeDocument/2006/relationships/image" Target="../media/image9.png"/><Relationship Id="rId9" Type="http://schemas.openxmlformats.org/officeDocument/2006/relationships/image" Target="../media/image14.png"/><Relationship Id="rId14" Type="http://schemas.openxmlformats.org/officeDocument/2006/relationships/image" Target="../media/image19.png"/></Relationships>
</file>

<file path=xl/drawings/_rels/drawing5.xml.rels><?xml version="1.0" encoding="UTF-8" standalone="yes"?>
<Relationships xmlns="http://schemas.openxmlformats.org/package/2006/relationships"><Relationship Id="rId8" Type="http://schemas.openxmlformats.org/officeDocument/2006/relationships/image" Target="../media/image32.png"/><Relationship Id="rId13" Type="http://schemas.openxmlformats.org/officeDocument/2006/relationships/image" Target="../media/image37.png"/><Relationship Id="rId18" Type="http://schemas.openxmlformats.org/officeDocument/2006/relationships/image" Target="../media/image42.png"/><Relationship Id="rId3" Type="http://schemas.openxmlformats.org/officeDocument/2006/relationships/image" Target="../media/image27.png"/><Relationship Id="rId7" Type="http://schemas.openxmlformats.org/officeDocument/2006/relationships/image" Target="../media/image31.png"/><Relationship Id="rId12" Type="http://schemas.openxmlformats.org/officeDocument/2006/relationships/image" Target="../media/image36.png"/><Relationship Id="rId17" Type="http://schemas.openxmlformats.org/officeDocument/2006/relationships/image" Target="../media/image41.png"/><Relationship Id="rId2" Type="http://schemas.openxmlformats.org/officeDocument/2006/relationships/image" Target="../media/image26.png"/><Relationship Id="rId16" Type="http://schemas.openxmlformats.org/officeDocument/2006/relationships/image" Target="../media/image40.png"/><Relationship Id="rId20" Type="http://schemas.openxmlformats.org/officeDocument/2006/relationships/image" Target="../media/image44.png"/><Relationship Id="rId1" Type="http://schemas.openxmlformats.org/officeDocument/2006/relationships/image" Target="../media/image25.png"/><Relationship Id="rId6" Type="http://schemas.openxmlformats.org/officeDocument/2006/relationships/image" Target="../media/image30.png"/><Relationship Id="rId11" Type="http://schemas.openxmlformats.org/officeDocument/2006/relationships/image" Target="../media/image35.png"/><Relationship Id="rId5" Type="http://schemas.openxmlformats.org/officeDocument/2006/relationships/image" Target="../media/image29.png"/><Relationship Id="rId15" Type="http://schemas.openxmlformats.org/officeDocument/2006/relationships/image" Target="../media/image39.png"/><Relationship Id="rId10" Type="http://schemas.openxmlformats.org/officeDocument/2006/relationships/image" Target="../media/image34.png"/><Relationship Id="rId19" Type="http://schemas.openxmlformats.org/officeDocument/2006/relationships/image" Target="../media/image43.png"/><Relationship Id="rId4" Type="http://schemas.openxmlformats.org/officeDocument/2006/relationships/image" Target="../media/image28.png"/><Relationship Id="rId9" Type="http://schemas.openxmlformats.org/officeDocument/2006/relationships/image" Target="../media/image33.png"/><Relationship Id="rId14" Type="http://schemas.openxmlformats.org/officeDocument/2006/relationships/image" Target="../media/image38.png"/></Relationships>
</file>

<file path=xl/drawings/_rels/drawing6.xml.rels><?xml version="1.0" encoding="UTF-8" standalone="yes"?>
<Relationships xmlns="http://schemas.openxmlformats.org/package/2006/relationships"><Relationship Id="rId13" Type="http://schemas.openxmlformats.org/officeDocument/2006/relationships/image" Target="../media/image57.png"/><Relationship Id="rId18" Type="http://schemas.openxmlformats.org/officeDocument/2006/relationships/image" Target="../media/image62.png"/><Relationship Id="rId26" Type="http://schemas.openxmlformats.org/officeDocument/2006/relationships/image" Target="../media/image70.png"/><Relationship Id="rId39" Type="http://schemas.openxmlformats.org/officeDocument/2006/relationships/image" Target="../media/image83.png"/><Relationship Id="rId21" Type="http://schemas.openxmlformats.org/officeDocument/2006/relationships/image" Target="../media/image65.png"/><Relationship Id="rId34" Type="http://schemas.openxmlformats.org/officeDocument/2006/relationships/image" Target="../media/image78.png"/><Relationship Id="rId42" Type="http://schemas.openxmlformats.org/officeDocument/2006/relationships/image" Target="../media/image86.png"/><Relationship Id="rId47" Type="http://schemas.openxmlformats.org/officeDocument/2006/relationships/image" Target="../media/image91.png"/><Relationship Id="rId50" Type="http://schemas.openxmlformats.org/officeDocument/2006/relationships/image" Target="../media/image94.png"/><Relationship Id="rId55" Type="http://schemas.openxmlformats.org/officeDocument/2006/relationships/image" Target="../media/image99.png"/><Relationship Id="rId7" Type="http://schemas.openxmlformats.org/officeDocument/2006/relationships/image" Target="../media/image51.png"/><Relationship Id="rId2" Type="http://schemas.openxmlformats.org/officeDocument/2006/relationships/image" Target="../media/image46.png"/><Relationship Id="rId16" Type="http://schemas.openxmlformats.org/officeDocument/2006/relationships/image" Target="../media/image60.png"/><Relationship Id="rId29" Type="http://schemas.openxmlformats.org/officeDocument/2006/relationships/image" Target="../media/image73.png"/><Relationship Id="rId11" Type="http://schemas.openxmlformats.org/officeDocument/2006/relationships/image" Target="../media/image55.png"/><Relationship Id="rId24" Type="http://schemas.openxmlformats.org/officeDocument/2006/relationships/image" Target="../media/image68.png"/><Relationship Id="rId32" Type="http://schemas.openxmlformats.org/officeDocument/2006/relationships/image" Target="../media/image76.png"/><Relationship Id="rId37" Type="http://schemas.openxmlformats.org/officeDocument/2006/relationships/image" Target="../media/image81.png"/><Relationship Id="rId40" Type="http://schemas.openxmlformats.org/officeDocument/2006/relationships/image" Target="../media/image84.png"/><Relationship Id="rId45" Type="http://schemas.openxmlformats.org/officeDocument/2006/relationships/image" Target="../media/image89.png"/><Relationship Id="rId53" Type="http://schemas.openxmlformats.org/officeDocument/2006/relationships/image" Target="../media/image97.png"/><Relationship Id="rId58" Type="http://schemas.openxmlformats.org/officeDocument/2006/relationships/image" Target="../media/image102.png"/><Relationship Id="rId5" Type="http://schemas.openxmlformats.org/officeDocument/2006/relationships/image" Target="../media/image49.png"/><Relationship Id="rId19" Type="http://schemas.openxmlformats.org/officeDocument/2006/relationships/image" Target="../media/image63.png"/><Relationship Id="rId4" Type="http://schemas.openxmlformats.org/officeDocument/2006/relationships/image" Target="../media/image48.png"/><Relationship Id="rId9" Type="http://schemas.openxmlformats.org/officeDocument/2006/relationships/image" Target="../media/image53.png"/><Relationship Id="rId14" Type="http://schemas.openxmlformats.org/officeDocument/2006/relationships/image" Target="../media/image58.png"/><Relationship Id="rId22" Type="http://schemas.openxmlformats.org/officeDocument/2006/relationships/image" Target="../media/image66.png"/><Relationship Id="rId27" Type="http://schemas.openxmlformats.org/officeDocument/2006/relationships/image" Target="../media/image71.png"/><Relationship Id="rId30" Type="http://schemas.openxmlformats.org/officeDocument/2006/relationships/image" Target="../media/image74.png"/><Relationship Id="rId35" Type="http://schemas.openxmlformats.org/officeDocument/2006/relationships/image" Target="../media/image79.png"/><Relationship Id="rId43" Type="http://schemas.openxmlformats.org/officeDocument/2006/relationships/image" Target="../media/image87.png"/><Relationship Id="rId48" Type="http://schemas.openxmlformats.org/officeDocument/2006/relationships/image" Target="../media/image92.png"/><Relationship Id="rId56" Type="http://schemas.openxmlformats.org/officeDocument/2006/relationships/image" Target="../media/image100.png"/><Relationship Id="rId8" Type="http://schemas.openxmlformats.org/officeDocument/2006/relationships/image" Target="../media/image52.png"/><Relationship Id="rId51" Type="http://schemas.openxmlformats.org/officeDocument/2006/relationships/image" Target="../media/image95.png"/><Relationship Id="rId3" Type="http://schemas.openxmlformats.org/officeDocument/2006/relationships/image" Target="../media/image47.png"/><Relationship Id="rId12" Type="http://schemas.openxmlformats.org/officeDocument/2006/relationships/image" Target="../media/image56.png"/><Relationship Id="rId17" Type="http://schemas.openxmlformats.org/officeDocument/2006/relationships/image" Target="../media/image61.png"/><Relationship Id="rId25" Type="http://schemas.openxmlformats.org/officeDocument/2006/relationships/image" Target="../media/image69.png"/><Relationship Id="rId33" Type="http://schemas.openxmlformats.org/officeDocument/2006/relationships/image" Target="../media/image77.png"/><Relationship Id="rId38" Type="http://schemas.openxmlformats.org/officeDocument/2006/relationships/image" Target="../media/image82.png"/><Relationship Id="rId46" Type="http://schemas.openxmlformats.org/officeDocument/2006/relationships/image" Target="../media/image90.png"/><Relationship Id="rId20" Type="http://schemas.openxmlformats.org/officeDocument/2006/relationships/image" Target="../media/image64.png"/><Relationship Id="rId41" Type="http://schemas.openxmlformats.org/officeDocument/2006/relationships/image" Target="../media/image85.png"/><Relationship Id="rId54" Type="http://schemas.openxmlformats.org/officeDocument/2006/relationships/image" Target="../media/image98.png"/><Relationship Id="rId1" Type="http://schemas.openxmlformats.org/officeDocument/2006/relationships/image" Target="../media/image45.png"/><Relationship Id="rId6" Type="http://schemas.openxmlformats.org/officeDocument/2006/relationships/image" Target="../media/image50.png"/><Relationship Id="rId15" Type="http://schemas.openxmlformats.org/officeDocument/2006/relationships/image" Target="../media/image59.png"/><Relationship Id="rId23" Type="http://schemas.openxmlformats.org/officeDocument/2006/relationships/image" Target="../media/image67.png"/><Relationship Id="rId28" Type="http://schemas.openxmlformats.org/officeDocument/2006/relationships/image" Target="../media/image72.png"/><Relationship Id="rId36" Type="http://schemas.openxmlformats.org/officeDocument/2006/relationships/image" Target="../media/image80.png"/><Relationship Id="rId49" Type="http://schemas.openxmlformats.org/officeDocument/2006/relationships/image" Target="../media/image93.png"/><Relationship Id="rId57" Type="http://schemas.openxmlformats.org/officeDocument/2006/relationships/image" Target="../media/image101.png"/><Relationship Id="rId10" Type="http://schemas.openxmlformats.org/officeDocument/2006/relationships/image" Target="../media/image54.png"/><Relationship Id="rId31" Type="http://schemas.openxmlformats.org/officeDocument/2006/relationships/image" Target="../media/image75.png"/><Relationship Id="rId44" Type="http://schemas.openxmlformats.org/officeDocument/2006/relationships/image" Target="../media/image88.png"/><Relationship Id="rId52" Type="http://schemas.openxmlformats.org/officeDocument/2006/relationships/image" Target="../media/image96.png"/></Relationships>
</file>

<file path=xl/drawings/_rels/drawing7.xml.rels><?xml version="1.0" encoding="UTF-8" standalone="yes"?>
<Relationships xmlns="http://schemas.openxmlformats.org/package/2006/relationships"><Relationship Id="rId13" Type="http://schemas.openxmlformats.org/officeDocument/2006/relationships/image" Target="../media/image115.png"/><Relationship Id="rId18" Type="http://schemas.openxmlformats.org/officeDocument/2006/relationships/image" Target="../media/image120.png"/><Relationship Id="rId26" Type="http://schemas.openxmlformats.org/officeDocument/2006/relationships/image" Target="../media/image128.png"/><Relationship Id="rId39" Type="http://schemas.openxmlformats.org/officeDocument/2006/relationships/image" Target="../media/image141.png"/><Relationship Id="rId21" Type="http://schemas.openxmlformats.org/officeDocument/2006/relationships/image" Target="../media/image123.png"/><Relationship Id="rId34" Type="http://schemas.openxmlformats.org/officeDocument/2006/relationships/image" Target="../media/image136.png"/><Relationship Id="rId42" Type="http://schemas.openxmlformats.org/officeDocument/2006/relationships/image" Target="../media/image144.png"/><Relationship Id="rId7" Type="http://schemas.openxmlformats.org/officeDocument/2006/relationships/image" Target="../media/image109.png"/><Relationship Id="rId2" Type="http://schemas.openxmlformats.org/officeDocument/2006/relationships/image" Target="../media/image104.png"/><Relationship Id="rId16" Type="http://schemas.openxmlformats.org/officeDocument/2006/relationships/image" Target="../media/image118.png"/><Relationship Id="rId29" Type="http://schemas.openxmlformats.org/officeDocument/2006/relationships/image" Target="../media/image131.png"/><Relationship Id="rId1" Type="http://schemas.openxmlformats.org/officeDocument/2006/relationships/image" Target="../media/image103.png"/><Relationship Id="rId6" Type="http://schemas.openxmlformats.org/officeDocument/2006/relationships/image" Target="../media/image108.png"/><Relationship Id="rId11" Type="http://schemas.openxmlformats.org/officeDocument/2006/relationships/image" Target="../media/image113.png"/><Relationship Id="rId24" Type="http://schemas.openxmlformats.org/officeDocument/2006/relationships/image" Target="../media/image126.png"/><Relationship Id="rId32" Type="http://schemas.openxmlformats.org/officeDocument/2006/relationships/image" Target="../media/image134.png"/><Relationship Id="rId37" Type="http://schemas.openxmlformats.org/officeDocument/2006/relationships/image" Target="../media/image139.emf"/><Relationship Id="rId40" Type="http://schemas.openxmlformats.org/officeDocument/2006/relationships/image" Target="../media/image142.png"/><Relationship Id="rId45" Type="http://schemas.openxmlformats.org/officeDocument/2006/relationships/image" Target="../media/image147.png"/><Relationship Id="rId5" Type="http://schemas.openxmlformats.org/officeDocument/2006/relationships/image" Target="../media/image107.png"/><Relationship Id="rId15" Type="http://schemas.openxmlformats.org/officeDocument/2006/relationships/image" Target="../media/image117.png"/><Relationship Id="rId23" Type="http://schemas.openxmlformats.org/officeDocument/2006/relationships/image" Target="../media/image125.png"/><Relationship Id="rId28" Type="http://schemas.openxmlformats.org/officeDocument/2006/relationships/image" Target="../media/image130.png"/><Relationship Id="rId36" Type="http://schemas.openxmlformats.org/officeDocument/2006/relationships/image" Target="../media/image138.png"/><Relationship Id="rId10" Type="http://schemas.openxmlformats.org/officeDocument/2006/relationships/image" Target="../media/image112.png"/><Relationship Id="rId19" Type="http://schemas.openxmlformats.org/officeDocument/2006/relationships/image" Target="../media/image121.png"/><Relationship Id="rId31" Type="http://schemas.openxmlformats.org/officeDocument/2006/relationships/image" Target="../media/image133.png"/><Relationship Id="rId44" Type="http://schemas.openxmlformats.org/officeDocument/2006/relationships/image" Target="../media/image146.png"/><Relationship Id="rId4" Type="http://schemas.openxmlformats.org/officeDocument/2006/relationships/image" Target="../media/image106.png"/><Relationship Id="rId9" Type="http://schemas.openxmlformats.org/officeDocument/2006/relationships/image" Target="../media/image111.png"/><Relationship Id="rId14" Type="http://schemas.openxmlformats.org/officeDocument/2006/relationships/image" Target="../media/image116.png"/><Relationship Id="rId22" Type="http://schemas.openxmlformats.org/officeDocument/2006/relationships/image" Target="../media/image124.png"/><Relationship Id="rId27" Type="http://schemas.openxmlformats.org/officeDocument/2006/relationships/image" Target="../media/image129.png"/><Relationship Id="rId30" Type="http://schemas.openxmlformats.org/officeDocument/2006/relationships/image" Target="../media/image132.png"/><Relationship Id="rId35" Type="http://schemas.openxmlformats.org/officeDocument/2006/relationships/image" Target="../media/image137.png"/><Relationship Id="rId43" Type="http://schemas.openxmlformats.org/officeDocument/2006/relationships/image" Target="../media/image145.png"/><Relationship Id="rId8" Type="http://schemas.openxmlformats.org/officeDocument/2006/relationships/image" Target="../media/image110.png"/><Relationship Id="rId3" Type="http://schemas.openxmlformats.org/officeDocument/2006/relationships/image" Target="../media/image105.png"/><Relationship Id="rId12" Type="http://schemas.openxmlformats.org/officeDocument/2006/relationships/image" Target="../media/image114.png"/><Relationship Id="rId17" Type="http://schemas.openxmlformats.org/officeDocument/2006/relationships/image" Target="../media/image119.png"/><Relationship Id="rId25" Type="http://schemas.openxmlformats.org/officeDocument/2006/relationships/image" Target="../media/image127.png"/><Relationship Id="rId33" Type="http://schemas.openxmlformats.org/officeDocument/2006/relationships/image" Target="../media/image135.png"/><Relationship Id="rId38" Type="http://schemas.openxmlformats.org/officeDocument/2006/relationships/image" Target="../media/image140.png"/><Relationship Id="rId20" Type="http://schemas.openxmlformats.org/officeDocument/2006/relationships/image" Target="../media/image122.png"/><Relationship Id="rId41" Type="http://schemas.openxmlformats.org/officeDocument/2006/relationships/image" Target="../media/image143.png"/></Relationships>
</file>

<file path=xl/drawings/_rels/drawing8.xml.rels><?xml version="1.0" encoding="UTF-8" standalone="yes"?>
<Relationships xmlns="http://schemas.openxmlformats.org/package/2006/relationships"><Relationship Id="rId3" Type="http://schemas.openxmlformats.org/officeDocument/2006/relationships/image" Target="../media/image150.png"/><Relationship Id="rId2" Type="http://schemas.openxmlformats.org/officeDocument/2006/relationships/image" Target="../media/image149.png"/><Relationship Id="rId1" Type="http://schemas.openxmlformats.org/officeDocument/2006/relationships/image" Target="../media/image148.png"/><Relationship Id="rId5" Type="http://schemas.openxmlformats.org/officeDocument/2006/relationships/image" Target="../media/image152.png"/><Relationship Id="rId4" Type="http://schemas.openxmlformats.org/officeDocument/2006/relationships/image" Target="../media/image15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53.png"/></Relationships>
</file>

<file path=xl/drawings/drawing1.xml><?xml version="1.0" encoding="utf-8"?>
<xdr:wsDr xmlns:xdr="http://schemas.openxmlformats.org/drawingml/2006/spreadsheetDrawing" xmlns:a="http://schemas.openxmlformats.org/drawingml/2006/main">
  <xdr:oneCellAnchor>
    <xdr:from>
      <xdr:col>0</xdr:col>
      <xdr:colOff>171450</xdr:colOff>
      <xdr:row>24</xdr:row>
      <xdr:rowOff>85725</xdr:rowOff>
    </xdr:from>
    <xdr:ext cx="9667875" cy="27622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161925</xdr:colOff>
      <xdr:row>44</xdr:row>
      <xdr:rowOff>76200</xdr:rowOff>
    </xdr:from>
    <xdr:ext cx="4305300" cy="2828925"/>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447675</xdr:colOff>
      <xdr:row>44</xdr:row>
      <xdr:rowOff>38100</xdr:rowOff>
    </xdr:from>
    <xdr:ext cx="4162425" cy="2952750"/>
    <xdr:pic>
      <xdr:nvPicPr>
        <xdr:cNvPr id="4" name="image2.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14</xdr:col>
      <xdr:colOff>800100</xdr:colOff>
      <xdr:row>9489</xdr:row>
      <xdr:rowOff>28575</xdr:rowOff>
    </xdr:from>
    <xdr:to>
      <xdr:col>20</xdr:col>
      <xdr:colOff>85186</xdr:colOff>
      <xdr:row>9503</xdr:row>
      <xdr:rowOff>152073</xdr:rowOff>
    </xdr:to>
    <xdr:pic>
      <xdr:nvPicPr>
        <xdr:cNvPr id="2" name="Imagen 1">
          <a:extLst>
            <a:ext uri="{FF2B5EF4-FFF2-40B4-BE49-F238E27FC236}">
              <a16:creationId xmlns:a16="http://schemas.microsoft.com/office/drawing/2014/main" id="{08C7AB00-73F4-4F82-3C77-1CB8BF0C64E2}"/>
            </a:ext>
          </a:extLst>
        </xdr:cNvPr>
        <xdr:cNvPicPr>
          <a:picLocks noChangeAspect="1"/>
        </xdr:cNvPicPr>
      </xdr:nvPicPr>
      <xdr:blipFill>
        <a:blip xmlns:r="http://schemas.openxmlformats.org/officeDocument/2006/relationships" r:embed="rId1"/>
        <a:stretch>
          <a:fillRect/>
        </a:stretch>
      </xdr:blipFill>
      <xdr:spPr>
        <a:xfrm>
          <a:off x="12582525" y="1539878175"/>
          <a:ext cx="4314286" cy="2619048"/>
        </a:xfrm>
        <a:prstGeom prst="rect">
          <a:avLst/>
        </a:prstGeom>
      </xdr:spPr>
    </xdr:pic>
    <xdr:clientData/>
  </xdr:twoCellAnchor>
  <xdr:twoCellAnchor editAs="oneCell">
    <xdr:from>
      <xdr:col>21</xdr:col>
      <xdr:colOff>0</xdr:colOff>
      <xdr:row>9490</xdr:row>
      <xdr:rowOff>0</xdr:rowOff>
    </xdr:from>
    <xdr:to>
      <xdr:col>33</xdr:col>
      <xdr:colOff>17790</xdr:colOff>
      <xdr:row>9505</xdr:row>
      <xdr:rowOff>94906</xdr:rowOff>
    </xdr:to>
    <xdr:pic>
      <xdr:nvPicPr>
        <xdr:cNvPr id="3" name="Imagen 2">
          <a:extLst>
            <a:ext uri="{FF2B5EF4-FFF2-40B4-BE49-F238E27FC236}">
              <a16:creationId xmlns:a16="http://schemas.microsoft.com/office/drawing/2014/main" id="{8FC33531-97CC-73B5-519F-1B0A5E180F26}"/>
            </a:ext>
          </a:extLst>
        </xdr:cNvPr>
        <xdr:cNvPicPr>
          <a:picLocks noChangeAspect="1"/>
        </xdr:cNvPicPr>
      </xdr:nvPicPr>
      <xdr:blipFill>
        <a:blip xmlns:r="http://schemas.openxmlformats.org/officeDocument/2006/relationships" r:embed="rId2"/>
        <a:stretch>
          <a:fillRect/>
        </a:stretch>
      </xdr:blipFill>
      <xdr:spPr>
        <a:xfrm>
          <a:off x="17649825" y="1540011525"/>
          <a:ext cx="10076190" cy="27523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10</xdr:col>
      <xdr:colOff>590550</xdr:colOff>
      <xdr:row>5</xdr:row>
      <xdr:rowOff>0</xdr:rowOff>
    </xdr:from>
    <xdr:ext cx="228600" cy="314325"/>
    <xdr:sp macro="" textlink="">
      <xdr:nvSpPr>
        <xdr:cNvPr id="2" name="Shape 4">
          <a:extLst>
            <a:ext uri="{FF2B5EF4-FFF2-40B4-BE49-F238E27FC236}">
              <a16:creationId xmlns:a16="http://schemas.microsoft.com/office/drawing/2014/main" id="{8630D691-D23C-4C79-86AF-4179C210F8EF}"/>
            </a:ext>
          </a:extLst>
        </xdr:cNvPr>
        <xdr:cNvSpPr txBox="1"/>
      </xdr:nvSpPr>
      <xdr:spPr>
        <a:xfrm>
          <a:off x="763905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590550</xdr:colOff>
      <xdr:row>5</xdr:row>
      <xdr:rowOff>0</xdr:rowOff>
    </xdr:from>
    <xdr:ext cx="228600" cy="314325"/>
    <xdr:sp macro="" textlink="">
      <xdr:nvSpPr>
        <xdr:cNvPr id="3" name="Shape 4">
          <a:extLst>
            <a:ext uri="{FF2B5EF4-FFF2-40B4-BE49-F238E27FC236}">
              <a16:creationId xmlns:a16="http://schemas.microsoft.com/office/drawing/2014/main" id="{F1E9D904-0A4A-4067-9181-B54290FD6F18}"/>
            </a:ext>
          </a:extLst>
        </xdr:cNvPr>
        <xdr:cNvSpPr txBox="1"/>
      </xdr:nvSpPr>
      <xdr:spPr>
        <a:xfrm>
          <a:off x="200025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590550</xdr:colOff>
      <xdr:row>5</xdr:row>
      <xdr:rowOff>0</xdr:rowOff>
    </xdr:from>
    <xdr:ext cx="228600" cy="314325"/>
    <xdr:sp macro="" textlink="">
      <xdr:nvSpPr>
        <xdr:cNvPr id="4" name="Shape 4">
          <a:extLst>
            <a:ext uri="{FF2B5EF4-FFF2-40B4-BE49-F238E27FC236}">
              <a16:creationId xmlns:a16="http://schemas.microsoft.com/office/drawing/2014/main" id="{A6EEFBAC-98C3-4741-8A78-B8FE3A07B6C5}"/>
            </a:ext>
          </a:extLst>
        </xdr:cNvPr>
        <xdr:cNvSpPr txBox="1"/>
      </xdr:nvSpPr>
      <xdr:spPr>
        <a:xfrm>
          <a:off x="200025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9</xdr:col>
      <xdr:colOff>590550</xdr:colOff>
      <xdr:row>5</xdr:row>
      <xdr:rowOff>0</xdr:rowOff>
    </xdr:from>
    <xdr:ext cx="228600" cy="314325"/>
    <xdr:sp macro="" textlink="">
      <xdr:nvSpPr>
        <xdr:cNvPr id="5" name="Shape 4">
          <a:extLst>
            <a:ext uri="{FF2B5EF4-FFF2-40B4-BE49-F238E27FC236}">
              <a16:creationId xmlns:a16="http://schemas.microsoft.com/office/drawing/2014/main" id="{9ACFB445-832E-4A07-BFA0-6DEE20FCBAF4}"/>
            </a:ext>
          </a:extLst>
        </xdr:cNvPr>
        <xdr:cNvSpPr txBox="1"/>
      </xdr:nvSpPr>
      <xdr:spPr>
        <a:xfrm>
          <a:off x="693420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10</xdr:col>
      <xdr:colOff>19050</xdr:colOff>
      <xdr:row>108</xdr:row>
      <xdr:rowOff>57150</xdr:rowOff>
    </xdr:from>
    <xdr:ext cx="581025" cy="666750"/>
    <xdr:sp macro="" textlink="">
      <xdr:nvSpPr>
        <xdr:cNvPr id="2" name="Shape 9">
          <a:extLst>
            <a:ext uri="{FF2B5EF4-FFF2-40B4-BE49-F238E27FC236}">
              <a16:creationId xmlns:a16="http://schemas.microsoft.com/office/drawing/2014/main" id="{F1D30DD7-3571-4BB0-9713-B3535EE9261C}"/>
            </a:ext>
          </a:extLst>
        </xdr:cNvPr>
        <xdr:cNvSpPr/>
      </xdr:nvSpPr>
      <xdr:spPr>
        <a:xfrm>
          <a:off x="7067550" y="17545050"/>
          <a:ext cx="581025" cy="666750"/>
        </a:xfrm>
        <a:prstGeom prst="ellipse">
          <a:avLst/>
        </a:prstGeom>
        <a:noFill/>
        <a:ln w="38100" cap="flat" cmpd="sng">
          <a:solidFill>
            <a:srgbClr val="FF0000"/>
          </a:solidFill>
          <a:prstDash val="solid"/>
          <a:round/>
          <a:headEnd type="none" w="sm" len="sm"/>
          <a:tailEnd type="none" w="sm" len="sm"/>
        </a:ln>
      </xdr:spPr>
      <xdr:txBody>
        <a:bodyPr spcFirstLastPara="1" wrap="square" lIns="18275" tIns="0" rIns="0" bIns="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9</xdr:col>
      <xdr:colOff>152400</xdr:colOff>
      <xdr:row>217</xdr:row>
      <xdr:rowOff>38100</xdr:rowOff>
    </xdr:from>
    <xdr:ext cx="1971675" cy="1362075"/>
    <xdr:pic>
      <xdr:nvPicPr>
        <xdr:cNvPr id="3" name="image4.png">
          <a:extLst>
            <a:ext uri="{FF2B5EF4-FFF2-40B4-BE49-F238E27FC236}">
              <a16:creationId xmlns:a16="http://schemas.microsoft.com/office/drawing/2014/main" id="{61F2A4DA-016B-4833-BEF3-4D54E6B9CE4D}"/>
            </a:ext>
          </a:extLst>
        </xdr:cNvPr>
        <xdr:cNvPicPr preferRelativeResize="0"/>
      </xdr:nvPicPr>
      <xdr:blipFill>
        <a:blip xmlns:r="http://schemas.openxmlformats.org/officeDocument/2006/relationships" r:embed="rId1" cstate="print"/>
        <a:stretch>
          <a:fillRect/>
        </a:stretch>
      </xdr:blipFill>
      <xdr:spPr>
        <a:xfrm>
          <a:off x="6496050" y="35175825"/>
          <a:ext cx="1971675" cy="1362075"/>
        </a:xfrm>
        <a:prstGeom prst="rect">
          <a:avLst/>
        </a:prstGeom>
        <a:noFill/>
      </xdr:spPr>
    </xdr:pic>
    <xdr:clientData fLocksWithSheet="0"/>
  </xdr:oneCellAnchor>
  <xdr:oneCellAnchor>
    <xdr:from>
      <xdr:col>9</xdr:col>
      <xdr:colOff>76200</xdr:colOff>
      <xdr:row>76</xdr:row>
      <xdr:rowOff>19050</xdr:rowOff>
    </xdr:from>
    <xdr:ext cx="2105025" cy="752475"/>
    <xdr:pic>
      <xdr:nvPicPr>
        <xdr:cNvPr id="4" name="image10.png">
          <a:extLst>
            <a:ext uri="{FF2B5EF4-FFF2-40B4-BE49-F238E27FC236}">
              <a16:creationId xmlns:a16="http://schemas.microsoft.com/office/drawing/2014/main" id="{183A8F86-DD10-45C8-8DAB-A0B1F8A770F1}"/>
            </a:ext>
          </a:extLst>
        </xdr:cNvPr>
        <xdr:cNvPicPr preferRelativeResize="0"/>
      </xdr:nvPicPr>
      <xdr:blipFill>
        <a:blip xmlns:r="http://schemas.openxmlformats.org/officeDocument/2006/relationships" r:embed="rId2" cstate="print"/>
        <a:stretch>
          <a:fillRect/>
        </a:stretch>
      </xdr:blipFill>
      <xdr:spPr>
        <a:xfrm>
          <a:off x="6419850" y="12325350"/>
          <a:ext cx="2105025" cy="752475"/>
        </a:xfrm>
        <a:prstGeom prst="rect">
          <a:avLst/>
        </a:prstGeom>
        <a:noFill/>
      </xdr:spPr>
    </xdr:pic>
    <xdr:clientData fLocksWithSheet="0"/>
  </xdr:oneCellAnchor>
  <xdr:oneCellAnchor>
    <xdr:from>
      <xdr:col>9</xdr:col>
      <xdr:colOff>19050</xdr:colOff>
      <xdr:row>208</xdr:row>
      <xdr:rowOff>38100</xdr:rowOff>
    </xdr:from>
    <xdr:ext cx="2057400" cy="781050"/>
    <xdr:pic>
      <xdr:nvPicPr>
        <xdr:cNvPr id="5" name="image5.png">
          <a:extLst>
            <a:ext uri="{FF2B5EF4-FFF2-40B4-BE49-F238E27FC236}">
              <a16:creationId xmlns:a16="http://schemas.microsoft.com/office/drawing/2014/main" id="{95A8F683-DF45-4649-8CF5-088B1BD78B48}"/>
            </a:ext>
          </a:extLst>
        </xdr:cNvPr>
        <xdr:cNvPicPr preferRelativeResize="0"/>
      </xdr:nvPicPr>
      <xdr:blipFill>
        <a:blip xmlns:r="http://schemas.openxmlformats.org/officeDocument/2006/relationships" r:embed="rId3" cstate="print"/>
        <a:stretch>
          <a:fillRect/>
        </a:stretch>
      </xdr:blipFill>
      <xdr:spPr>
        <a:xfrm>
          <a:off x="6362700" y="33718500"/>
          <a:ext cx="2057400" cy="781050"/>
        </a:xfrm>
        <a:prstGeom prst="rect">
          <a:avLst/>
        </a:prstGeom>
        <a:noFill/>
      </xdr:spPr>
    </xdr:pic>
    <xdr:clientData fLocksWithSheet="0"/>
  </xdr:oneCellAnchor>
  <xdr:oneCellAnchor>
    <xdr:from>
      <xdr:col>9</xdr:col>
      <xdr:colOff>19050</xdr:colOff>
      <xdr:row>107</xdr:row>
      <xdr:rowOff>95250</xdr:rowOff>
    </xdr:from>
    <xdr:ext cx="2152650" cy="1333500"/>
    <xdr:pic>
      <xdr:nvPicPr>
        <xdr:cNvPr id="6" name="image20.png">
          <a:extLst>
            <a:ext uri="{FF2B5EF4-FFF2-40B4-BE49-F238E27FC236}">
              <a16:creationId xmlns:a16="http://schemas.microsoft.com/office/drawing/2014/main" id="{3243406E-A7A0-495B-9001-0C2C6BE89850}"/>
            </a:ext>
          </a:extLst>
        </xdr:cNvPr>
        <xdr:cNvPicPr preferRelativeResize="0"/>
      </xdr:nvPicPr>
      <xdr:blipFill>
        <a:blip xmlns:r="http://schemas.openxmlformats.org/officeDocument/2006/relationships" r:embed="rId4" cstate="print"/>
        <a:stretch>
          <a:fillRect/>
        </a:stretch>
      </xdr:blipFill>
      <xdr:spPr>
        <a:xfrm>
          <a:off x="6362700" y="17421225"/>
          <a:ext cx="2152650" cy="1333500"/>
        </a:xfrm>
        <a:prstGeom prst="rect">
          <a:avLst/>
        </a:prstGeom>
        <a:noFill/>
      </xdr:spPr>
    </xdr:pic>
    <xdr:clientData fLocksWithSheet="0"/>
  </xdr:oneCellAnchor>
  <xdr:oneCellAnchor>
    <xdr:from>
      <xdr:col>9</xdr:col>
      <xdr:colOff>38100</xdr:colOff>
      <xdr:row>142</xdr:row>
      <xdr:rowOff>38100</xdr:rowOff>
    </xdr:from>
    <xdr:ext cx="2085975" cy="790575"/>
    <xdr:pic>
      <xdr:nvPicPr>
        <xdr:cNvPr id="7" name="image25.png">
          <a:extLst>
            <a:ext uri="{FF2B5EF4-FFF2-40B4-BE49-F238E27FC236}">
              <a16:creationId xmlns:a16="http://schemas.microsoft.com/office/drawing/2014/main" id="{CC00702E-7B97-444E-9251-76782F108AF8}"/>
            </a:ext>
          </a:extLst>
        </xdr:cNvPr>
        <xdr:cNvPicPr preferRelativeResize="0"/>
      </xdr:nvPicPr>
      <xdr:blipFill>
        <a:blip xmlns:r="http://schemas.openxmlformats.org/officeDocument/2006/relationships" r:embed="rId5" cstate="print"/>
        <a:stretch>
          <a:fillRect/>
        </a:stretch>
      </xdr:blipFill>
      <xdr:spPr>
        <a:xfrm>
          <a:off x="6381750" y="23031450"/>
          <a:ext cx="2085975" cy="790575"/>
        </a:xfrm>
        <a:prstGeom prst="rect">
          <a:avLst/>
        </a:prstGeom>
        <a:noFill/>
      </xdr:spPr>
    </xdr:pic>
    <xdr:clientData fLocksWithSheet="0"/>
  </xdr:oneCellAnchor>
  <xdr:oneCellAnchor>
    <xdr:from>
      <xdr:col>9</xdr:col>
      <xdr:colOff>66675</xdr:colOff>
      <xdr:row>152</xdr:row>
      <xdr:rowOff>38100</xdr:rowOff>
    </xdr:from>
    <xdr:ext cx="2085975" cy="1085850"/>
    <xdr:pic>
      <xdr:nvPicPr>
        <xdr:cNvPr id="8" name="image14.png">
          <a:extLst>
            <a:ext uri="{FF2B5EF4-FFF2-40B4-BE49-F238E27FC236}">
              <a16:creationId xmlns:a16="http://schemas.microsoft.com/office/drawing/2014/main" id="{06BFDA7A-25CE-4976-B190-78CFA490E9AA}"/>
            </a:ext>
          </a:extLst>
        </xdr:cNvPr>
        <xdr:cNvPicPr preferRelativeResize="0"/>
      </xdr:nvPicPr>
      <xdr:blipFill>
        <a:blip xmlns:r="http://schemas.openxmlformats.org/officeDocument/2006/relationships" r:embed="rId6" cstate="print"/>
        <a:stretch>
          <a:fillRect/>
        </a:stretch>
      </xdr:blipFill>
      <xdr:spPr>
        <a:xfrm>
          <a:off x="6410325" y="24650700"/>
          <a:ext cx="2085975" cy="1085850"/>
        </a:xfrm>
        <a:prstGeom prst="rect">
          <a:avLst/>
        </a:prstGeom>
        <a:noFill/>
      </xdr:spPr>
    </xdr:pic>
    <xdr:clientData fLocksWithSheet="0"/>
  </xdr:oneCellAnchor>
  <xdr:oneCellAnchor>
    <xdr:from>
      <xdr:col>9</xdr:col>
      <xdr:colOff>57150</xdr:colOff>
      <xdr:row>163</xdr:row>
      <xdr:rowOff>123825</xdr:rowOff>
    </xdr:from>
    <xdr:ext cx="2038350" cy="990600"/>
    <xdr:pic>
      <xdr:nvPicPr>
        <xdr:cNvPr id="9" name="image36.png">
          <a:extLst>
            <a:ext uri="{FF2B5EF4-FFF2-40B4-BE49-F238E27FC236}">
              <a16:creationId xmlns:a16="http://schemas.microsoft.com/office/drawing/2014/main" id="{471FF6FE-6A5E-4293-A20B-C2170232213F}"/>
            </a:ext>
          </a:extLst>
        </xdr:cNvPr>
        <xdr:cNvPicPr preferRelativeResize="0"/>
      </xdr:nvPicPr>
      <xdr:blipFill>
        <a:blip xmlns:r="http://schemas.openxmlformats.org/officeDocument/2006/relationships" r:embed="rId7" cstate="print"/>
        <a:stretch>
          <a:fillRect/>
        </a:stretch>
      </xdr:blipFill>
      <xdr:spPr>
        <a:xfrm>
          <a:off x="6400800" y="26517600"/>
          <a:ext cx="2038350" cy="990600"/>
        </a:xfrm>
        <a:prstGeom prst="rect">
          <a:avLst/>
        </a:prstGeom>
        <a:noFill/>
      </xdr:spPr>
    </xdr:pic>
    <xdr:clientData fLocksWithSheet="0"/>
  </xdr:oneCellAnchor>
  <xdr:oneCellAnchor>
    <xdr:from>
      <xdr:col>9</xdr:col>
      <xdr:colOff>66675</xdr:colOff>
      <xdr:row>174</xdr:row>
      <xdr:rowOff>76200</xdr:rowOff>
    </xdr:from>
    <xdr:ext cx="2019300" cy="1009650"/>
    <xdr:pic>
      <xdr:nvPicPr>
        <xdr:cNvPr id="10" name="image15.png">
          <a:extLst>
            <a:ext uri="{FF2B5EF4-FFF2-40B4-BE49-F238E27FC236}">
              <a16:creationId xmlns:a16="http://schemas.microsoft.com/office/drawing/2014/main" id="{DE137E8F-29D3-464F-9E0D-FC2D69E20E6A}"/>
            </a:ext>
          </a:extLst>
        </xdr:cNvPr>
        <xdr:cNvPicPr preferRelativeResize="0"/>
      </xdr:nvPicPr>
      <xdr:blipFill>
        <a:blip xmlns:r="http://schemas.openxmlformats.org/officeDocument/2006/relationships" r:embed="rId8" cstate="print"/>
        <a:stretch>
          <a:fillRect/>
        </a:stretch>
      </xdr:blipFill>
      <xdr:spPr>
        <a:xfrm>
          <a:off x="6410325" y="28251150"/>
          <a:ext cx="2019300" cy="1009650"/>
        </a:xfrm>
        <a:prstGeom prst="rect">
          <a:avLst/>
        </a:prstGeom>
        <a:noFill/>
      </xdr:spPr>
    </xdr:pic>
    <xdr:clientData fLocksWithSheet="0"/>
  </xdr:oneCellAnchor>
  <xdr:oneCellAnchor>
    <xdr:from>
      <xdr:col>9</xdr:col>
      <xdr:colOff>152400</xdr:colOff>
      <xdr:row>8</xdr:row>
      <xdr:rowOff>47625</xdr:rowOff>
    </xdr:from>
    <xdr:ext cx="1838325" cy="1323975"/>
    <xdr:pic>
      <xdr:nvPicPr>
        <xdr:cNvPr id="11" name="image44.png">
          <a:extLst>
            <a:ext uri="{FF2B5EF4-FFF2-40B4-BE49-F238E27FC236}">
              <a16:creationId xmlns:a16="http://schemas.microsoft.com/office/drawing/2014/main" id="{D6A9106B-6F86-4390-9100-7627515F2948}"/>
            </a:ext>
          </a:extLst>
        </xdr:cNvPr>
        <xdr:cNvPicPr preferRelativeResize="0"/>
      </xdr:nvPicPr>
      <xdr:blipFill>
        <a:blip xmlns:r="http://schemas.openxmlformats.org/officeDocument/2006/relationships" r:embed="rId9" cstate="print"/>
        <a:stretch>
          <a:fillRect/>
        </a:stretch>
      </xdr:blipFill>
      <xdr:spPr>
        <a:xfrm>
          <a:off x="6496050" y="1343025"/>
          <a:ext cx="1838325" cy="1323975"/>
        </a:xfrm>
        <a:prstGeom prst="rect">
          <a:avLst/>
        </a:prstGeom>
        <a:noFill/>
      </xdr:spPr>
    </xdr:pic>
    <xdr:clientData fLocksWithSheet="0"/>
  </xdr:oneCellAnchor>
  <xdr:oneCellAnchor>
    <xdr:from>
      <xdr:col>9</xdr:col>
      <xdr:colOff>304800</xdr:colOff>
      <xdr:row>19</xdr:row>
      <xdr:rowOff>104775</xdr:rowOff>
    </xdr:from>
    <xdr:ext cx="1714500" cy="1304925"/>
    <xdr:pic>
      <xdr:nvPicPr>
        <xdr:cNvPr id="12" name="image47.png">
          <a:extLst>
            <a:ext uri="{FF2B5EF4-FFF2-40B4-BE49-F238E27FC236}">
              <a16:creationId xmlns:a16="http://schemas.microsoft.com/office/drawing/2014/main" id="{CA8FA2D7-327B-44EE-89B7-77290E2CE3C9}"/>
            </a:ext>
          </a:extLst>
        </xdr:cNvPr>
        <xdr:cNvPicPr preferRelativeResize="0"/>
      </xdr:nvPicPr>
      <xdr:blipFill>
        <a:blip xmlns:r="http://schemas.openxmlformats.org/officeDocument/2006/relationships" r:embed="rId10" cstate="print"/>
        <a:stretch>
          <a:fillRect/>
        </a:stretch>
      </xdr:blipFill>
      <xdr:spPr>
        <a:xfrm>
          <a:off x="6648450" y="3181350"/>
          <a:ext cx="1714500" cy="1304925"/>
        </a:xfrm>
        <a:prstGeom prst="rect">
          <a:avLst/>
        </a:prstGeom>
        <a:noFill/>
      </xdr:spPr>
    </xdr:pic>
    <xdr:clientData fLocksWithSheet="0"/>
  </xdr:oneCellAnchor>
  <xdr:oneCellAnchor>
    <xdr:from>
      <xdr:col>9</xdr:col>
      <xdr:colOff>19050</xdr:colOff>
      <xdr:row>32</xdr:row>
      <xdr:rowOff>38100</xdr:rowOff>
    </xdr:from>
    <xdr:ext cx="2152650" cy="914400"/>
    <xdr:pic>
      <xdr:nvPicPr>
        <xdr:cNvPr id="13" name="image60.png">
          <a:extLst>
            <a:ext uri="{FF2B5EF4-FFF2-40B4-BE49-F238E27FC236}">
              <a16:creationId xmlns:a16="http://schemas.microsoft.com/office/drawing/2014/main" id="{1B2FFB27-6214-421B-96CB-FA6E0531132B}"/>
            </a:ext>
          </a:extLst>
        </xdr:cNvPr>
        <xdr:cNvPicPr preferRelativeResize="0"/>
      </xdr:nvPicPr>
      <xdr:blipFill>
        <a:blip xmlns:r="http://schemas.openxmlformats.org/officeDocument/2006/relationships" r:embed="rId11" cstate="print"/>
        <a:stretch>
          <a:fillRect/>
        </a:stretch>
      </xdr:blipFill>
      <xdr:spPr>
        <a:xfrm>
          <a:off x="6362700" y="5219700"/>
          <a:ext cx="2152650" cy="914400"/>
        </a:xfrm>
        <a:prstGeom prst="rect">
          <a:avLst/>
        </a:prstGeom>
        <a:noFill/>
      </xdr:spPr>
    </xdr:pic>
    <xdr:clientData fLocksWithSheet="0"/>
  </xdr:oneCellAnchor>
  <xdr:oneCellAnchor>
    <xdr:from>
      <xdr:col>9</xdr:col>
      <xdr:colOff>9525</xdr:colOff>
      <xdr:row>42</xdr:row>
      <xdr:rowOff>95250</xdr:rowOff>
    </xdr:from>
    <xdr:ext cx="2152650" cy="1019175"/>
    <xdr:pic>
      <xdr:nvPicPr>
        <xdr:cNvPr id="14" name="image45.png">
          <a:extLst>
            <a:ext uri="{FF2B5EF4-FFF2-40B4-BE49-F238E27FC236}">
              <a16:creationId xmlns:a16="http://schemas.microsoft.com/office/drawing/2014/main" id="{F9ACDACE-3E19-42C3-97B1-6E2528A4E16C}"/>
            </a:ext>
          </a:extLst>
        </xdr:cNvPr>
        <xdr:cNvPicPr preferRelativeResize="0"/>
      </xdr:nvPicPr>
      <xdr:blipFill>
        <a:blip xmlns:r="http://schemas.openxmlformats.org/officeDocument/2006/relationships" r:embed="rId12" cstate="print"/>
        <a:stretch>
          <a:fillRect/>
        </a:stretch>
      </xdr:blipFill>
      <xdr:spPr>
        <a:xfrm>
          <a:off x="6353175" y="6896100"/>
          <a:ext cx="2152650" cy="1019175"/>
        </a:xfrm>
        <a:prstGeom prst="rect">
          <a:avLst/>
        </a:prstGeom>
        <a:noFill/>
      </xdr:spPr>
    </xdr:pic>
    <xdr:clientData fLocksWithSheet="0"/>
  </xdr:oneCellAnchor>
  <xdr:oneCellAnchor>
    <xdr:from>
      <xdr:col>9</xdr:col>
      <xdr:colOff>352425</xdr:colOff>
      <xdr:row>52</xdr:row>
      <xdr:rowOff>47625</xdr:rowOff>
    </xdr:from>
    <xdr:ext cx="1743075" cy="1362075"/>
    <xdr:pic>
      <xdr:nvPicPr>
        <xdr:cNvPr id="15" name="image52.png">
          <a:extLst>
            <a:ext uri="{FF2B5EF4-FFF2-40B4-BE49-F238E27FC236}">
              <a16:creationId xmlns:a16="http://schemas.microsoft.com/office/drawing/2014/main" id="{89C775E1-662C-4858-AA24-FC1EDFA9C56D}"/>
            </a:ext>
          </a:extLst>
        </xdr:cNvPr>
        <xdr:cNvPicPr preferRelativeResize="0"/>
      </xdr:nvPicPr>
      <xdr:blipFill>
        <a:blip xmlns:r="http://schemas.openxmlformats.org/officeDocument/2006/relationships" r:embed="rId13" cstate="print"/>
        <a:stretch>
          <a:fillRect/>
        </a:stretch>
      </xdr:blipFill>
      <xdr:spPr>
        <a:xfrm>
          <a:off x="6696075" y="8467725"/>
          <a:ext cx="1743075" cy="1362075"/>
        </a:xfrm>
        <a:prstGeom prst="rect">
          <a:avLst/>
        </a:prstGeom>
        <a:noFill/>
      </xdr:spPr>
    </xdr:pic>
    <xdr:clientData fLocksWithSheet="0"/>
  </xdr:oneCellAnchor>
  <xdr:oneCellAnchor>
    <xdr:from>
      <xdr:col>9</xdr:col>
      <xdr:colOff>333375</xdr:colOff>
      <xdr:row>63</xdr:row>
      <xdr:rowOff>19050</xdr:rowOff>
    </xdr:from>
    <xdr:ext cx="1695450" cy="1362075"/>
    <xdr:pic>
      <xdr:nvPicPr>
        <xdr:cNvPr id="16" name="image53.png">
          <a:extLst>
            <a:ext uri="{FF2B5EF4-FFF2-40B4-BE49-F238E27FC236}">
              <a16:creationId xmlns:a16="http://schemas.microsoft.com/office/drawing/2014/main" id="{60A51F63-BEA0-4DDE-B58B-202F9387211B}"/>
            </a:ext>
          </a:extLst>
        </xdr:cNvPr>
        <xdr:cNvPicPr preferRelativeResize="0"/>
      </xdr:nvPicPr>
      <xdr:blipFill>
        <a:blip xmlns:r="http://schemas.openxmlformats.org/officeDocument/2006/relationships" r:embed="rId14" cstate="print"/>
        <a:stretch>
          <a:fillRect/>
        </a:stretch>
      </xdr:blipFill>
      <xdr:spPr>
        <a:xfrm>
          <a:off x="6677025" y="10220325"/>
          <a:ext cx="1695450" cy="1362075"/>
        </a:xfrm>
        <a:prstGeom prst="rect">
          <a:avLst/>
        </a:prstGeom>
        <a:noFill/>
      </xdr:spPr>
    </xdr:pic>
    <xdr:clientData fLocksWithSheet="0"/>
  </xdr:oneCellAnchor>
  <xdr:oneCellAnchor>
    <xdr:from>
      <xdr:col>9</xdr:col>
      <xdr:colOff>266700</xdr:colOff>
      <xdr:row>85</xdr:row>
      <xdr:rowOff>28575</xdr:rowOff>
    </xdr:from>
    <xdr:ext cx="1743075" cy="1362075"/>
    <xdr:pic>
      <xdr:nvPicPr>
        <xdr:cNvPr id="17" name="image43.png">
          <a:extLst>
            <a:ext uri="{FF2B5EF4-FFF2-40B4-BE49-F238E27FC236}">
              <a16:creationId xmlns:a16="http://schemas.microsoft.com/office/drawing/2014/main" id="{2643384B-0AE3-4EAE-9F06-4134EDAA1EBB}"/>
            </a:ext>
          </a:extLst>
        </xdr:cNvPr>
        <xdr:cNvPicPr preferRelativeResize="0"/>
      </xdr:nvPicPr>
      <xdr:blipFill>
        <a:blip xmlns:r="http://schemas.openxmlformats.org/officeDocument/2006/relationships" r:embed="rId15" cstate="print"/>
        <a:stretch>
          <a:fillRect/>
        </a:stretch>
      </xdr:blipFill>
      <xdr:spPr>
        <a:xfrm>
          <a:off x="6610350" y="13792200"/>
          <a:ext cx="1743075" cy="1362075"/>
        </a:xfrm>
        <a:prstGeom prst="rect">
          <a:avLst/>
        </a:prstGeom>
        <a:noFill/>
      </xdr:spPr>
    </xdr:pic>
    <xdr:clientData fLocksWithSheet="0"/>
  </xdr:oneCellAnchor>
  <xdr:oneCellAnchor>
    <xdr:from>
      <xdr:col>9</xdr:col>
      <xdr:colOff>304800</xdr:colOff>
      <xdr:row>96</xdr:row>
      <xdr:rowOff>47625</xdr:rowOff>
    </xdr:from>
    <xdr:ext cx="1600200" cy="1362075"/>
    <xdr:pic>
      <xdr:nvPicPr>
        <xdr:cNvPr id="18" name="image82.png">
          <a:extLst>
            <a:ext uri="{FF2B5EF4-FFF2-40B4-BE49-F238E27FC236}">
              <a16:creationId xmlns:a16="http://schemas.microsoft.com/office/drawing/2014/main" id="{C8E93C70-4502-46F8-9CC6-60B293DBB4D5}"/>
            </a:ext>
          </a:extLst>
        </xdr:cNvPr>
        <xdr:cNvPicPr preferRelativeResize="0"/>
      </xdr:nvPicPr>
      <xdr:blipFill>
        <a:blip xmlns:r="http://schemas.openxmlformats.org/officeDocument/2006/relationships" r:embed="rId16" cstate="print"/>
        <a:stretch>
          <a:fillRect/>
        </a:stretch>
      </xdr:blipFill>
      <xdr:spPr>
        <a:xfrm>
          <a:off x="6648450" y="15592425"/>
          <a:ext cx="1600200" cy="1362075"/>
        </a:xfrm>
        <a:prstGeom prst="rect">
          <a:avLst/>
        </a:prstGeom>
        <a:noFill/>
      </xdr:spPr>
    </xdr:pic>
    <xdr:clientData fLocksWithSheet="0"/>
  </xdr:oneCellAnchor>
  <xdr:oneCellAnchor>
    <xdr:from>
      <xdr:col>9</xdr:col>
      <xdr:colOff>142875</xdr:colOff>
      <xdr:row>118</xdr:row>
      <xdr:rowOff>19050</xdr:rowOff>
    </xdr:from>
    <xdr:ext cx="1895475" cy="1390650"/>
    <xdr:pic>
      <xdr:nvPicPr>
        <xdr:cNvPr id="19" name="image59.png">
          <a:extLst>
            <a:ext uri="{FF2B5EF4-FFF2-40B4-BE49-F238E27FC236}">
              <a16:creationId xmlns:a16="http://schemas.microsoft.com/office/drawing/2014/main" id="{DDF46DAE-91BC-4707-82CA-770AC09053E9}"/>
            </a:ext>
          </a:extLst>
        </xdr:cNvPr>
        <xdr:cNvPicPr preferRelativeResize="0"/>
      </xdr:nvPicPr>
      <xdr:blipFill>
        <a:blip xmlns:r="http://schemas.openxmlformats.org/officeDocument/2006/relationships" r:embed="rId17" cstate="print"/>
        <a:stretch>
          <a:fillRect/>
        </a:stretch>
      </xdr:blipFill>
      <xdr:spPr>
        <a:xfrm>
          <a:off x="6486525" y="19126200"/>
          <a:ext cx="1895475" cy="1390650"/>
        </a:xfrm>
        <a:prstGeom prst="rect">
          <a:avLst/>
        </a:prstGeom>
        <a:noFill/>
      </xdr:spPr>
    </xdr:pic>
    <xdr:clientData fLocksWithSheet="0"/>
  </xdr:oneCellAnchor>
  <xdr:oneCellAnchor>
    <xdr:from>
      <xdr:col>9</xdr:col>
      <xdr:colOff>123825</xdr:colOff>
      <xdr:row>129</xdr:row>
      <xdr:rowOff>85725</xdr:rowOff>
    </xdr:from>
    <xdr:ext cx="1847850" cy="1247775"/>
    <xdr:pic>
      <xdr:nvPicPr>
        <xdr:cNvPr id="20" name="image54.png">
          <a:extLst>
            <a:ext uri="{FF2B5EF4-FFF2-40B4-BE49-F238E27FC236}">
              <a16:creationId xmlns:a16="http://schemas.microsoft.com/office/drawing/2014/main" id="{568CBD7B-601B-42CA-BAEA-5A3FE479785A}"/>
            </a:ext>
          </a:extLst>
        </xdr:cNvPr>
        <xdr:cNvPicPr preferRelativeResize="0"/>
      </xdr:nvPicPr>
      <xdr:blipFill>
        <a:blip xmlns:r="http://schemas.openxmlformats.org/officeDocument/2006/relationships" r:embed="rId18" cstate="print"/>
        <a:stretch>
          <a:fillRect/>
        </a:stretch>
      </xdr:blipFill>
      <xdr:spPr>
        <a:xfrm>
          <a:off x="6467475" y="20974050"/>
          <a:ext cx="1847850" cy="1247775"/>
        </a:xfrm>
        <a:prstGeom prst="rect">
          <a:avLst/>
        </a:prstGeom>
        <a:noFill/>
      </xdr:spPr>
    </xdr:pic>
    <xdr:clientData fLocksWithSheet="0"/>
  </xdr:oneCellAnchor>
  <xdr:oneCellAnchor>
    <xdr:from>
      <xdr:col>9</xdr:col>
      <xdr:colOff>76200</xdr:colOff>
      <xdr:row>184</xdr:row>
      <xdr:rowOff>38100</xdr:rowOff>
    </xdr:from>
    <xdr:ext cx="1971675" cy="1390650"/>
    <xdr:pic>
      <xdr:nvPicPr>
        <xdr:cNvPr id="21" name="image64.png">
          <a:extLst>
            <a:ext uri="{FF2B5EF4-FFF2-40B4-BE49-F238E27FC236}">
              <a16:creationId xmlns:a16="http://schemas.microsoft.com/office/drawing/2014/main" id="{36F72F45-F47A-4006-A3BD-21AF1A4235EA}"/>
            </a:ext>
          </a:extLst>
        </xdr:cNvPr>
        <xdr:cNvPicPr preferRelativeResize="0"/>
      </xdr:nvPicPr>
      <xdr:blipFill>
        <a:blip xmlns:r="http://schemas.openxmlformats.org/officeDocument/2006/relationships" r:embed="rId19" cstate="print"/>
        <a:stretch>
          <a:fillRect/>
        </a:stretch>
      </xdr:blipFill>
      <xdr:spPr>
        <a:xfrm>
          <a:off x="6419850" y="29832300"/>
          <a:ext cx="1971675" cy="13906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9</xdr:col>
      <xdr:colOff>76200</xdr:colOff>
      <xdr:row>9</xdr:row>
      <xdr:rowOff>76200</xdr:rowOff>
    </xdr:from>
    <xdr:ext cx="2133600" cy="971550"/>
    <xdr:pic>
      <xdr:nvPicPr>
        <xdr:cNvPr id="2" name="image89.png">
          <a:extLst>
            <a:ext uri="{FF2B5EF4-FFF2-40B4-BE49-F238E27FC236}">
              <a16:creationId xmlns:a16="http://schemas.microsoft.com/office/drawing/2014/main" id="{BCC1CAD4-EF8C-401D-87A7-9E597FA0B3D4}"/>
            </a:ext>
          </a:extLst>
        </xdr:cNvPr>
        <xdr:cNvPicPr preferRelativeResize="0"/>
      </xdr:nvPicPr>
      <xdr:blipFill>
        <a:blip xmlns:r="http://schemas.openxmlformats.org/officeDocument/2006/relationships" r:embed="rId1" cstate="print"/>
        <a:stretch>
          <a:fillRect/>
        </a:stretch>
      </xdr:blipFill>
      <xdr:spPr>
        <a:xfrm>
          <a:off x="6934200" y="1533525"/>
          <a:ext cx="2133600" cy="971550"/>
        </a:xfrm>
        <a:prstGeom prst="rect">
          <a:avLst/>
        </a:prstGeom>
        <a:noFill/>
      </xdr:spPr>
    </xdr:pic>
    <xdr:clientData fLocksWithSheet="0"/>
  </xdr:oneCellAnchor>
  <xdr:oneCellAnchor>
    <xdr:from>
      <xdr:col>9</xdr:col>
      <xdr:colOff>66675</xdr:colOff>
      <xdr:row>42</xdr:row>
      <xdr:rowOff>38100</xdr:rowOff>
    </xdr:from>
    <xdr:ext cx="2181225" cy="1000125"/>
    <xdr:pic>
      <xdr:nvPicPr>
        <xdr:cNvPr id="3" name="image102.png">
          <a:extLst>
            <a:ext uri="{FF2B5EF4-FFF2-40B4-BE49-F238E27FC236}">
              <a16:creationId xmlns:a16="http://schemas.microsoft.com/office/drawing/2014/main" id="{AED61570-670F-4CC8-A3E1-C0D21726D08F}"/>
            </a:ext>
          </a:extLst>
        </xdr:cNvPr>
        <xdr:cNvPicPr preferRelativeResize="0"/>
      </xdr:nvPicPr>
      <xdr:blipFill>
        <a:blip xmlns:r="http://schemas.openxmlformats.org/officeDocument/2006/relationships" r:embed="rId2" cstate="print"/>
        <a:stretch>
          <a:fillRect/>
        </a:stretch>
      </xdr:blipFill>
      <xdr:spPr>
        <a:xfrm>
          <a:off x="6924675" y="6867525"/>
          <a:ext cx="2181225" cy="1000125"/>
        </a:xfrm>
        <a:prstGeom prst="rect">
          <a:avLst/>
        </a:prstGeom>
        <a:noFill/>
      </xdr:spPr>
    </xdr:pic>
    <xdr:clientData fLocksWithSheet="0"/>
  </xdr:oneCellAnchor>
  <xdr:oneCellAnchor>
    <xdr:from>
      <xdr:col>9</xdr:col>
      <xdr:colOff>152400</xdr:colOff>
      <xdr:row>53</xdr:row>
      <xdr:rowOff>0</xdr:rowOff>
    </xdr:from>
    <xdr:ext cx="2066925" cy="942975"/>
    <xdr:pic>
      <xdr:nvPicPr>
        <xdr:cNvPr id="4" name="image115.png">
          <a:extLst>
            <a:ext uri="{FF2B5EF4-FFF2-40B4-BE49-F238E27FC236}">
              <a16:creationId xmlns:a16="http://schemas.microsoft.com/office/drawing/2014/main" id="{4ACB396D-EB66-4D1B-AA04-75287C9463E7}"/>
            </a:ext>
          </a:extLst>
        </xdr:cNvPr>
        <xdr:cNvPicPr preferRelativeResize="0"/>
      </xdr:nvPicPr>
      <xdr:blipFill>
        <a:blip xmlns:r="http://schemas.openxmlformats.org/officeDocument/2006/relationships" r:embed="rId3" cstate="print"/>
        <a:stretch>
          <a:fillRect/>
        </a:stretch>
      </xdr:blipFill>
      <xdr:spPr>
        <a:xfrm>
          <a:off x="7010400" y="8648700"/>
          <a:ext cx="2066925" cy="942975"/>
        </a:xfrm>
        <a:prstGeom prst="rect">
          <a:avLst/>
        </a:prstGeom>
        <a:noFill/>
      </xdr:spPr>
    </xdr:pic>
    <xdr:clientData fLocksWithSheet="0"/>
  </xdr:oneCellAnchor>
  <xdr:oneCellAnchor>
    <xdr:from>
      <xdr:col>9</xdr:col>
      <xdr:colOff>66675</xdr:colOff>
      <xdr:row>21</xdr:row>
      <xdr:rowOff>9525</xdr:rowOff>
    </xdr:from>
    <xdr:ext cx="2219325" cy="790575"/>
    <xdr:pic>
      <xdr:nvPicPr>
        <xdr:cNvPr id="5" name="image108.png">
          <a:extLst>
            <a:ext uri="{FF2B5EF4-FFF2-40B4-BE49-F238E27FC236}">
              <a16:creationId xmlns:a16="http://schemas.microsoft.com/office/drawing/2014/main" id="{DDF9933E-AB83-416E-BFDF-A25B92A8E8AF}"/>
            </a:ext>
          </a:extLst>
        </xdr:cNvPr>
        <xdr:cNvPicPr preferRelativeResize="0"/>
      </xdr:nvPicPr>
      <xdr:blipFill>
        <a:blip xmlns:r="http://schemas.openxmlformats.org/officeDocument/2006/relationships" r:embed="rId4" cstate="print"/>
        <a:stretch>
          <a:fillRect/>
        </a:stretch>
      </xdr:blipFill>
      <xdr:spPr>
        <a:xfrm>
          <a:off x="6924675" y="3419475"/>
          <a:ext cx="2219325" cy="790575"/>
        </a:xfrm>
        <a:prstGeom prst="rect">
          <a:avLst/>
        </a:prstGeom>
        <a:noFill/>
      </xdr:spPr>
    </xdr:pic>
    <xdr:clientData fLocksWithSheet="0"/>
  </xdr:oneCellAnchor>
  <xdr:oneCellAnchor>
    <xdr:from>
      <xdr:col>9</xdr:col>
      <xdr:colOff>47625</xdr:colOff>
      <xdr:row>64</xdr:row>
      <xdr:rowOff>19050</xdr:rowOff>
    </xdr:from>
    <xdr:ext cx="2228850" cy="1057275"/>
    <xdr:pic>
      <xdr:nvPicPr>
        <xdr:cNvPr id="6" name="image116.png">
          <a:extLst>
            <a:ext uri="{FF2B5EF4-FFF2-40B4-BE49-F238E27FC236}">
              <a16:creationId xmlns:a16="http://schemas.microsoft.com/office/drawing/2014/main" id="{F37AE75E-1832-49F7-9320-40EC0E87DF86}"/>
            </a:ext>
          </a:extLst>
        </xdr:cNvPr>
        <xdr:cNvPicPr preferRelativeResize="0"/>
      </xdr:nvPicPr>
      <xdr:blipFill>
        <a:blip xmlns:r="http://schemas.openxmlformats.org/officeDocument/2006/relationships" r:embed="rId5" cstate="print"/>
        <a:stretch>
          <a:fillRect/>
        </a:stretch>
      </xdr:blipFill>
      <xdr:spPr>
        <a:xfrm>
          <a:off x="6905625" y="10487025"/>
          <a:ext cx="2228850" cy="1057275"/>
        </a:xfrm>
        <a:prstGeom prst="rect">
          <a:avLst/>
        </a:prstGeom>
        <a:noFill/>
      </xdr:spPr>
    </xdr:pic>
    <xdr:clientData fLocksWithSheet="0"/>
  </xdr:oneCellAnchor>
  <xdr:oneCellAnchor>
    <xdr:from>
      <xdr:col>9</xdr:col>
      <xdr:colOff>523875</xdr:colOff>
      <xdr:row>74</xdr:row>
      <xdr:rowOff>28575</xdr:rowOff>
    </xdr:from>
    <xdr:ext cx="1181100" cy="1362075"/>
    <xdr:pic>
      <xdr:nvPicPr>
        <xdr:cNvPr id="7" name="image141.png">
          <a:extLst>
            <a:ext uri="{FF2B5EF4-FFF2-40B4-BE49-F238E27FC236}">
              <a16:creationId xmlns:a16="http://schemas.microsoft.com/office/drawing/2014/main" id="{475E2447-91C8-4325-90A1-A0E7EB568087}"/>
            </a:ext>
          </a:extLst>
        </xdr:cNvPr>
        <xdr:cNvPicPr preferRelativeResize="0"/>
      </xdr:nvPicPr>
      <xdr:blipFill>
        <a:blip xmlns:r="http://schemas.openxmlformats.org/officeDocument/2006/relationships" r:embed="rId6" cstate="print"/>
        <a:stretch>
          <a:fillRect/>
        </a:stretch>
      </xdr:blipFill>
      <xdr:spPr>
        <a:xfrm>
          <a:off x="7381875" y="12153900"/>
          <a:ext cx="1181100" cy="1362075"/>
        </a:xfrm>
        <a:prstGeom prst="rect">
          <a:avLst/>
        </a:prstGeom>
        <a:noFill/>
      </xdr:spPr>
    </xdr:pic>
    <xdr:clientData fLocksWithSheet="0"/>
  </xdr:oneCellAnchor>
  <xdr:oneCellAnchor>
    <xdr:from>
      <xdr:col>9</xdr:col>
      <xdr:colOff>171450</xdr:colOff>
      <xdr:row>112</xdr:row>
      <xdr:rowOff>28575</xdr:rowOff>
    </xdr:from>
    <xdr:ext cx="1952625" cy="1352550"/>
    <xdr:pic>
      <xdr:nvPicPr>
        <xdr:cNvPr id="8" name="image138.png">
          <a:extLst>
            <a:ext uri="{FF2B5EF4-FFF2-40B4-BE49-F238E27FC236}">
              <a16:creationId xmlns:a16="http://schemas.microsoft.com/office/drawing/2014/main" id="{713DD5C7-8CF5-45AE-91B8-EFF68305EF33}"/>
            </a:ext>
          </a:extLst>
        </xdr:cNvPr>
        <xdr:cNvPicPr preferRelativeResize="0"/>
      </xdr:nvPicPr>
      <xdr:blipFill>
        <a:blip xmlns:r="http://schemas.openxmlformats.org/officeDocument/2006/relationships" r:embed="rId7" cstate="print"/>
        <a:stretch>
          <a:fillRect/>
        </a:stretch>
      </xdr:blipFill>
      <xdr:spPr>
        <a:xfrm>
          <a:off x="7029450" y="18383250"/>
          <a:ext cx="1952625" cy="1352550"/>
        </a:xfrm>
        <a:prstGeom prst="rect">
          <a:avLst/>
        </a:prstGeom>
        <a:noFill/>
      </xdr:spPr>
    </xdr:pic>
    <xdr:clientData fLocksWithSheet="0"/>
  </xdr:oneCellAnchor>
  <xdr:oneCellAnchor>
    <xdr:from>
      <xdr:col>9</xdr:col>
      <xdr:colOff>323850</xdr:colOff>
      <xdr:row>189</xdr:row>
      <xdr:rowOff>38100</xdr:rowOff>
    </xdr:from>
    <xdr:ext cx="1714500" cy="1362075"/>
    <xdr:pic>
      <xdr:nvPicPr>
        <xdr:cNvPr id="9" name="image158.png">
          <a:extLst>
            <a:ext uri="{FF2B5EF4-FFF2-40B4-BE49-F238E27FC236}">
              <a16:creationId xmlns:a16="http://schemas.microsoft.com/office/drawing/2014/main" id="{DC4F0843-F52F-4425-8274-D49B780CA972}"/>
            </a:ext>
          </a:extLst>
        </xdr:cNvPr>
        <xdr:cNvPicPr preferRelativeResize="0"/>
      </xdr:nvPicPr>
      <xdr:blipFill>
        <a:blip xmlns:r="http://schemas.openxmlformats.org/officeDocument/2006/relationships" r:embed="rId8" cstate="print"/>
        <a:stretch>
          <a:fillRect/>
        </a:stretch>
      </xdr:blipFill>
      <xdr:spPr>
        <a:xfrm>
          <a:off x="7181850" y="30861000"/>
          <a:ext cx="1714500" cy="1362075"/>
        </a:xfrm>
        <a:prstGeom prst="rect">
          <a:avLst/>
        </a:prstGeom>
        <a:noFill/>
      </xdr:spPr>
    </xdr:pic>
    <xdr:clientData fLocksWithSheet="0"/>
  </xdr:oneCellAnchor>
  <xdr:oneCellAnchor>
    <xdr:from>
      <xdr:col>9</xdr:col>
      <xdr:colOff>190500</xdr:colOff>
      <xdr:row>205</xdr:row>
      <xdr:rowOff>123825</xdr:rowOff>
    </xdr:from>
    <xdr:ext cx="1857375" cy="1390650"/>
    <xdr:pic>
      <xdr:nvPicPr>
        <xdr:cNvPr id="10" name="image157.png">
          <a:extLst>
            <a:ext uri="{FF2B5EF4-FFF2-40B4-BE49-F238E27FC236}">
              <a16:creationId xmlns:a16="http://schemas.microsoft.com/office/drawing/2014/main" id="{BC9A4B93-3D08-4050-A105-8B5C6228FC00}"/>
            </a:ext>
          </a:extLst>
        </xdr:cNvPr>
        <xdr:cNvPicPr preferRelativeResize="0"/>
      </xdr:nvPicPr>
      <xdr:blipFill>
        <a:blip xmlns:r="http://schemas.openxmlformats.org/officeDocument/2006/relationships" r:embed="rId9" cstate="print"/>
        <a:stretch>
          <a:fillRect/>
        </a:stretch>
      </xdr:blipFill>
      <xdr:spPr>
        <a:xfrm>
          <a:off x="7048500" y="33537525"/>
          <a:ext cx="1857375" cy="1390650"/>
        </a:xfrm>
        <a:prstGeom prst="rect">
          <a:avLst/>
        </a:prstGeom>
        <a:noFill/>
      </xdr:spPr>
    </xdr:pic>
    <xdr:clientData fLocksWithSheet="0"/>
  </xdr:oneCellAnchor>
  <xdr:oneCellAnchor>
    <xdr:from>
      <xdr:col>9</xdr:col>
      <xdr:colOff>123825</xdr:colOff>
      <xdr:row>288</xdr:row>
      <xdr:rowOff>28575</xdr:rowOff>
    </xdr:from>
    <xdr:ext cx="2105025" cy="1362075"/>
    <xdr:pic>
      <xdr:nvPicPr>
        <xdr:cNvPr id="11" name="image172.png">
          <a:extLst>
            <a:ext uri="{FF2B5EF4-FFF2-40B4-BE49-F238E27FC236}">
              <a16:creationId xmlns:a16="http://schemas.microsoft.com/office/drawing/2014/main" id="{010E7BB3-DE5A-4729-9972-4190B21988CE}"/>
            </a:ext>
          </a:extLst>
        </xdr:cNvPr>
        <xdr:cNvPicPr preferRelativeResize="0"/>
      </xdr:nvPicPr>
      <xdr:blipFill>
        <a:blip xmlns:r="http://schemas.openxmlformats.org/officeDocument/2006/relationships" r:embed="rId10" cstate="print"/>
        <a:stretch>
          <a:fillRect/>
        </a:stretch>
      </xdr:blipFill>
      <xdr:spPr>
        <a:xfrm>
          <a:off x="6981825" y="46882050"/>
          <a:ext cx="2105025" cy="1362075"/>
        </a:xfrm>
        <a:prstGeom prst="rect">
          <a:avLst/>
        </a:prstGeom>
        <a:noFill/>
      </xdr:spPr>
    </xdr:pic>
    <xdr:clientData fLocksWithSheet="0"/>
  </xdr:oneCellAnchor>
  <xdr:oneCellAnchor>
    <xdr:from>
      <xdr:col>9</xdr:col>
      <xdr:colOff>190500</xdr:colOff>
      <xdr:row>231</xdr:row>
      <xdr:rowOff>152400</xdr:rowOff>
    </xdr:from>
    <xdr:ext cx="2000250" cy="1085850"/>
    <xdr:pic>
      <xdr:nvPicPr>
        <xdr:cNvPr id="12" name="image165.png">
          <a:extLst>
            <a:ext uri="{FF2B5EF4-FFF2-40B4-BE49-F238E27FC236}">
              <a16:creationId xmlns:a16="http://schemas.microsoft.com/office/drawing/2014/main" id="{36F2FDE3-5695-4CCC-858E-7E7D646078C7}"/>
            </a:ext>
          </a:extLst>
        </xdr:cNvPr>
        <xdr:cNvPicPr preferRelativeResize="0"/>
      </xdr:nvPicPr>
      <xdr:blipFill>
        <a:blip xmlns:r="http://schemas.openxmlformats.org/officeDocument/2006/relationships" r:embed="rId11" cstate="print"/>
        <a:stretch>
          <a:fillRect/>
        </a:stretch>
      </xdr:blipFill>
      <xdr:spPr>
        <a:xfrm>
          <a:off x="7048500" y="37776150"/>
          <a:ext cx="2000250" cy="1085850"/>
        </a:xfrm>
        <a:prstGeom prst="rect">
          <a:avLst/>
        </a:prstGeom>
        <a:noFill/>
      </xdr:spPr>
    </xdr:pic>
    <xdr:clientData fLocksWithSheet="0"/>
  </xdr:oneCellAnchor>
  <xdr:oneCellAnchor>
    <xdr:from>
      <xdr:col>9</xdr:col>
      <xdr:colOff>171450</xdr:colOff>
      <xdr:row>218</xdr:row>
      <xdr:rowOff>19050</xdr:rowOff>
    </xdr:from>
    <xdr:ext cx="1990725" cy="1466850"/>
    <xdr:pic>
      <xdr:nvPicPr>
        <xdr:cNvPr id="13" name="image175.png">
          <a:extLst>
            <a:ext uri="{FF2B5EF4-FFF2-40B4-BE49-F238E27FC236}">
              <a16:creationId xmlns:a16="http://schemas.microsoft.com/office/drawing/2014/main" id="{0DAA307D-84C1-4354-BEE3-AAAC20FD71FF}"/>
            </a:ext>
          </a:extLst>
        </xdr:cNvPr>
        <xdr:cNvPicPr preferRelativeResize="0"/>
      </xdr:nvPicPr>
      <xdr:blipFill>
        <a:blip xmlns:r="http://schemas.openxmlformats.org/officeDocument/2006/relationships" r:embed="rId12" cstate="print"/>
        <a:stretch>
          <a:fillRect/>
        </a:stretch>
      </xdr:blipFill>
      <xdr:spPr>
        <a:xfrm>
          <a:off x="7029450" y="35537775"/>
          <a:ext cx="1990725" cy="1466850"/>
        </a:xfrm>
        <a:prstGeom prst="rect">
          <a:avLst/>
        </a:prstGeom>
        <a:noFill/>
      </xdr:spPr>
    </xdr:pic>
    <xdr:clientData fLocksWithSheet="0"/>
  </xdr:oneCellAnchor>
  <xdr:oneCellAnchor>
    <xdr:from>
      <xdr:col>9</xdr:col>
      <xdr:colOff>57150</xdr:colOff>
      <xdr:row>100</xdr:row>
      <xdr:rowOff>38100</xdr:rowOff>
    </xdr:from>
    <xdr:ext cx="2105025" cy="1371600"/>
    <xdr:pic>
      <xdr:nvPicPr>
        <xdr:cNvPr id="14" name="image173.png">
          <a:extLst>
            <a:ext uri="{FF2B5EF4-FFF2-40B4-BE49-F238E27FC236}">
              <a16:creationId xmlns:a16="http://schemas.microsoft.com/office/drawing/2014/main" id="{B3C52869-DD98-4A66-A789-CA25AECF68CE}"/>
            </a:ext>
          </a:extLst>
        </xdr:cNvPr>
        <xdr:cNvPicPr preferRelativeResize="0"/>
      </xdr:nvPicPr>
      <xdr:blipFill>
        <a:blip xmlns:r="http://schemas.openxmlformats.org/officeDocument/2006/relationships" r:embed="rId13" cstate="print"/>
        <a:stretch>
          <a:fillRect/>
        </a:stretch>
      </xdr:blipFill>
      <xdr:spPr>
        <a:xfrm>
          <a:off x="6915150" y="16449675"/>
          <a:ext cx="2105025" cy="1371600"/>
        </a:xfrm>
        <a:prstGeom prst="rect">
          <a:avLst/>
        </a:prstGeom>
        <a:noFill/>
      </xdr:spPr>
    </xdr:pic>
    <xdr:clientData fLocksWithSheet="0"/>
  </xdr:oneCellAnchor>
  <xdr:oneCellAnchor>
    <xdr:from>
      <xdr:col>9</xdr:col>
      <xdr:colOff>257175</xdr:colOff>
      <xdr:row>253</xdr:row>
      <xdr:rowOff>28575</xdr:rowOff>
    </xdr:from>
    <xdr:ext cx="1790700" cy="1362075"/>
    <xdr:pic>
      <xdr:nvPicPr>
        <xdr:cNvPr id="15" name="image171.png">
          <a:extLst>
            <a:ext uri="{FF2B5EF4-FFF2-40B4-BE49-F238E27FC236}">
              <a16:creationId xmlns:a16="http://schemas.microsoft.com/office/drawing/2014/main" id="{556CA973-0012-431D-8F63-03CAA99E4C01}"/>
            </a:ext>
          </a:extLst>
        </xdr:cNvPr>
        <xdr:cNvPicPr preferRelativeResize="0"/>
      </xdr:nvPicPr>
      <xdr:blipFill>
        <a:blip xmlns:r="http://schemas.openxmlformats.org/officeDocument/2006/relationships" r:embed="rId14" cstate="print"/>
        <a:stretch>
          <a:fillRect/>
        </a:stretch>
      </xdr:blipFill>
      <xdr:spPr>
        <a:xfrm>
          <a:off x="7115175" y="41214675"/>
          <a:ext cx="1790700" cy="1362075"/>
        </a:xfrm>
        <a:prstGeom prst="rect">
          <a:avLst/>
        </a:prstGeom>
        <a:noFill/>
      </xdr:spPr>
    </xdr:pic>
    <xdr:clientData fLocksWithSheet="0"/>
  </xdr:oneCellAnchor>
  <xdr:oneCellAnchor>
    <xdr:from>
      <xdr:col>9</xdr:col>
      <xdr:colOff>76200</xdr:colOff>
      <xdr:row>264</xdr:row>
      <xdr:rowOff>85725</xdr:rowOff>
    </xdr:from>
    <xdr:ext cx="2209800" cy="1619250"/>
    <xdr:pic>
      <xdr:nvPicPr>
        <xdr:cNvPr id="16" name="image180.png">
          <a:extLst>
            <a:ext uri="{FF2B5EF4-FFF2-40B4-BE49-F238E27FC236}">
              <a16:creationId xmlns:a16="http://schemas.microsoft.com/office/drawing/2014/main" id="{D1D46CC9-437C-46EF-A9C3-58B7CD25C99D}"/>
            </a:ext>
          </a:extLst>
        </xdr:cNvPr>
        <xdr:cNvPicPr preferRelativeResize="0"/>
      </xdr:nvPicPr>
      <xdr:blipFill>
        <a:blip xmlns:r="http://schemas.openxmlformats.org/officeDocument/2006/relationships" r:embed="rId15" cstate="print"/>
        <a:stretch>
          <a:fillRect/>
        </a:stretch>
      </xdr:blipFill>
      <xdr:spPr>
        <a:xfrm>
          <a:off x="6934200" y="43053000"/>
          <a:ext cx="2209800" cy="1619250"/>
        </a:xfrm>
        <a:prstGeom prst="rect">
          <a:avLst/>
        </a:prstGeom>
        <a:noFill/>
      </xdr:spPr>
    </xdr:pic>
    <xdr:clientData fLocksWithSheet="0"/>
  </xdr:oneCellAnchor>
  <xdr:oneCellAnchor>
    <xdr:from>
      <xdr:col>9</xdr:col>
      <xdr:colOff>182880</xdr:colOff>
      <xdr:row>123</xdr:row>
      <xdr:rowOff>30480</xdr:rowOff>
    </xdr:from>
    <xdr:ext cx="1933575" cy="1368000"/>
    <xdr:pic>
      <xdr:nvPicPr>
        <xdr:cNvPr id="17" name="image198.png">
          <a:extLst>
            <a:ext uri="{FF2B5EF4-FFF2-40B4-BE49-F238E27FC236}">
              <a16:creationId xmlns:a16="http://schemas.microsoft.com/office/drawing/2014/main" id="{CAB3332A-81D1-429F-94AC-AB7659339A05}"/>
            </a:ext>
          </a:extLst>
        </xdr:cNvPr>
        <xdr:cNvPicPr preferRelativeResize="0"/>
      </xdr:nvPicPr>
      <xdr:blipFill>
        <a:blip xmlns:r="http://schemas.openxmlformats.org/officeDocument/2006/relationships" r:embed="rId16" cstate="print"/>
        <a:stretch>
          <a:fillRect/>
        </a:stretch>
      </xdr:blipFill>
      <xdr:spPr>
        <a:xfrm>
          <a:off x="7040880" y="20166330"/>
          <a:ext cx="1933575" cy="1368000"/>
        </a:xfrm>
        <a:prstGeom prst="rect">
          <a:avLst/>
        </a:prstGeom>
        <a:noFill/>
      </xdr:spPr>
    </xdr:pic>
    <xdr:clientData fLocksWithSheet="0"/>
  </xdr:oneCellAnchor>
  <xdr:oneCellAnchor>
    <xdr:from>
      <xdr:col>9</xdr:col>
      <xdr:colOff>104775</xdr:colOff>
      <xdr:row>134</xdr:row>
      <xdr:rowOff>36195</xdr:rowOff>
    </xdr:from>
    <xdr:ext cx="2019300" cy="1447800"/>
    <xdr:pic>
      <xdr:nvPicPr>
        <xdr:cNvPr id="18" name="image165.png">
          <a:extLst>
            <a:ext uri="{FF2B5EF4-FFF2-40B4-BE49-F238E27FC236}">
              <a16:creationId xmlns:a16="http://schemas.microsoft.com/office/drawing/2014/main" id="{2D5F466E-4F20-4625-B590-17C070946588}"/>
            </a:ext>
          </a:extLst>
        </xdr:cNvPr>
        <xdr:cNvPicPr preferRelativeResize="0"/>
      </xdr:nvPicPr>
      <xdr:blipFill>
        <a:blip xmlns:r="http://schemas.openxmlformats.org/officeDocument/2006/relationships" r:embed="rId17" cstate="print"/>
        <a:stretch>
          <a:fillRect/>
        </a:stretch>
      </xdr:blipFill>
      <xdr:spPr>
        <a:xfrm>
          <a:off x="6962775" y="21953220"/>
          <a:ext cx="2019300" cy="1447800"/>
        </a:xfrm>
        <a:prstGeom prst="rect">
          <a:avLst/>
        </a:prstGeom>
        <a:noFill/>
      </xdr:spPr>
    </xdr:pic>
    <xdr:clientData fLocksWithSheet="0"/>
  </xdr:oneCellAnchor>
  <xdr:oneCellAnchor>
    <xdr:from>
      <xdr:col>9</xdr:col>
      <xdr:colOff>120015</xdr:colOff>
      <xdr:row>145</xdr:row>
      <xdr:rowOff>20955</xdr:rowOff>
    </xdr:from>
    <xdr:ext cx="2000250" cy="1409700"/>
    <xdr:pic>
      <xdr:nvPicPr>
        <xdr:cNvPr id="19" name="image167.png">
          <a:extLst>
            <a:ext uri="{FF2B5EF4-FFF2-40B4-BE49-F238E27FC236}">
              <a16:creationId xmlns:a16="http://schemas.microsoft.com/office/drawing/2014/main" id="{15DDBA4A-41B4-4CE4-B5D0-CB7CC882140E}"/>
            </a:ext>
          </a:extLst>
        </xdr:cNvPr>
        <xdr:cNvPicPr preferRelativeResize="0"/>
      </xdr:nvPicPr>
      <xdr:blipFill>
        <a:blip xmlns:r="http://schemas.openxmlformats.org/officeDocument/2006/relationships" r:embed="rId18" cstate="print"/>
        <a:stretch>
          <a:fillRect/>
        </a:stretch>
      </xdr:blipFill>
      <xdr:spPr>
        <a:xfrm>
          <a:off x="6978015" y="23719155"/>
          <a:ext cx="2000250" cy="1409700"/>
        </a:xfrm>
        <a:prstGeom prst="rect">
          <a:avLst/>
        </a:prstGeom>
        <a:noFill/>
      </xdr:spPr>
    </xdr:pic>
    <xdr:clientData fLocksWithSheet="0"/>
  </xdr:oneCellAnchor>
  <xdr:oneCellAnchor>
    <xdr:from>
      <xdr:col>9</xdr:col>
      <xdr:colOff>182880</xdr:colOff>
      <xdr:row>156</xdr:row>
      <xdr:rowOff>19050</xdr:rowOff>
    </xdr:from>
    <xdr:ext cx="1933575" cy="1419225"/>
    <xdr:pic>
      <xdr:nvPicPr>
        <xdr:cNvPr id="20" name="image179.png">
          <a:extLst>
            <a:ext uri="{FF2B5EF4-FFF2-40B4-BE49-F238E27FC236}">
              <a16:creationId xmlns:a16="http://schemas.microsoft.com/office/drawing/2014/main" id="{1174FC36-F58F-4339-9CC2-5E016F634113}"/>
            </a:ext>
          </a:extLst>
        </xdr:cNvPr>
        <xdr:cNvPicPr preferRelativeResize="0"/>
      </xdr:nvPicPr>
      <xdr:blipFill>
        <a:blip xmlns:r="http://schemas.openxmlformats.org/officeDocument/2006/relationships" r:embed="rId19" cstate="print"/>
        <a:stretch>
          <a:fillRect/>
        </a:stretch>
      </xdr:blipFill>
      <xdr:spPr>
        <a:xfrm>
          <a:off x="7040880" y="25498425"/>
          <a:ext cx="1933575" cy="1419225"/>
        </a:xfrm>
        <a:prstGeom prst="rect">
          <a:avLst/>
        </a:prstGeom>
        <a:noFill/>
      </xdr:spPr>
    </xdr:pic>
    <xdr:clientData fLocksWithSheet="0"/>
  </xdr:oneCellAnchor>
  <xdr:oneCellAnchor>
    <xdr:from>
      <xdr:col>9</xdr:col>
      <xdr:colOff>131445</xdr:colOff>
      <xdr:row>167</xdr:row>
      <xdr:rowOff>13335</xdr:rowOff>
    </xdr:from>
    <xdr:ext cx="2105025" cy="1409700"/>
    <xdr:pic>
      <xdr:nvPicPr>
        <xdr:cNvPr id="21" name="image177.png">
          <a:extLst>
            <a:ext uri="{FF2B5EF4-FFF2-40B4-BE49-F238E27FC236}">
              <a16:creationId xmlns:a16="http://schemas.microsoft.com/office/drawing/2014/main" id="{AE28DDB5-4500-4BEB-83EB-C6FB18E46788}"/>
            </a:ext>
          </a:extLst>
        </xdr:cNvPr>
        <xdr:cNvPicPr preferRelativeResize="0"/>
      </xdr:nvPicPr>
      <xdr:blipFill>
        <a:blip xmlns:r="http://schemas.openxmlformats.org/officeDocument/2006/relationships" r:embed="rId20" cstate="print"/>
        <a:stretch>
          <a:fillRect/>
        </a:stretch>
      </xdr:blipFill>
      <xdr:spPr>
        <a:xfrm>
          <a:off x="6989445" y="27273885"/>
          <a:ext cx="2105025" cy="1409700"/>
        </a:xfrm>
        <a:prstGeom prst="rect">
          <a:avLst/>
        </a:prstGeom>
        <a:noFill/>
      </xdr:spPr>
    </xdr:pic>
    <xdr:clientData fLocksWithSheet="0"/>
  </xdr:oneCellAnchor>
  <xdr:oneCellAnchor>
    <xdr:from>
      <xdr:col>9</xdr:col>
      <xdr:colOff>205740</xdr:colOff>
      <xdr:row>178</xdr:row>
      <xdr:rowOff>19050</xdr:rowOff>
    </xdr:from>
    <xdr:ext cx="1933575" cy="1419225"/>
    <xdr:pic>
      <xdr:nvPicPr>
        <xdr:cNvPr id="22" name="image179.png">
          <a:extLst>
            <a:ext uri="{FF2B5EF4-FFF2-40B4-BE49-F238E27FC236}">
              <a16:creationId xmlns:a16="http://schemas.microsoft.com/office/drawing/2014/main" id="{BF80C1C4-A06E-4FF2-A5CE-9F1D24D78DA2}"/>
            </a:ext>
          </a:extLst>
        </xdr:cNvPr>
        <xdr:cNvPicPr preferRelativeResize="0"/>
      </xdr:nvPicPr>
      <xdr:blipFill>
        <a:blip xmlns:r="http://schemas.openxmlformats.org/officeDocument/2006/relationships" r:embed="rId19" cstate="print"/>
        <a:stretch>
          <a:fillRect/>
        </a:stretch>
      </xdr:blipFill>
      <xdr:spPr>
        <a:xfrm>
          <a:off x="7063740" y="29060775"/>
          <a:ext cx="1933575" cy="141922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133350</xdr:colOff>
      <xdr:row>20</xdr:row>
      <xdr:rowOff>114300</xdr:rowOff>
    </xdr:from>
    <xdr:ext cx="1914525" cy="933450"/>
    <xdr:pic>
      <xdr:nvPicPr>
        <xdr:cNvPr id="2" name="image209.png" descr="Recorte de pantalla">
          <a:extLst>
            <a:ext uri="{FF2B5EF4-FFF2-40B4-BE49-F238E27FC236}">
              <a16:creationId xmlns:a16="http://schemas.microsoft.com/office/drawing/2014/main" id="{C173C498-921E-4A43-A59C-A539FC23E858}"/>
            </a:ext>
          </a:extLst>
        </xdr:cNvPr>
        <xdr:cNvPicPr preferRelativeResize="0"/>
      </xdr:nvPicPr>
      <xdr:blipFill>
        <a:blip xmlns:r="http://schemas.openxmlformats.org/officeDocument/2006/relationships" r:embed="rId1" cstate="print"/>
        <a:stretch>
          <a:fillRect/>
        </a:stretch>
      </xdr:blipFill>
      <xdr:spPr>
        <a:xfrm>
          <a:off x="5886450" y="3352800"/>
          <a:ext cx="1914525" cy="933450"/>
        </a:xfrm>
        <a:prstGeom prst="rect">
          <a:avLst/>
        </a:prstGeom>
        <a:noFill/>
      </xdr:spPr>
    </xdr:pic>
    <xdr:clientData fLocksWithSheet="0"/>
  </xdr:oneCellAnchor>
  <xdr:oneCellAnchor>
    <xdr:from>
      <xdr:col>8</xdr:col>
      <xdr:colOff>152400</xdr:colOff>
      <xdr:row>31</xdr:row>
      <xdr:rowOff>152400</xdr:rowOff>
    </xdr:from>
    <xdr:ext cx="1914525" cy="933450"/>
    <xdr:pic>
      <xdr:nvPicPr>
        <xdr:cNvPr id="3" name="image209.png" descr="Recorte de pantalla">
          <a:extLst>
            <a:ext uri="{FF2B5EF4-FFF2-40B4-BE49-F238E27FC236}">
              <a16:creationId xmlns:a16="http://schemas.microsoft.com/office/drawing/2014/main" id="{01FB23C7-224B-4BFB-8D82-4D7A90E39C5F}"/>
            </a:ext>
          </a:extLst>
        </xdr:cNvPr>
        <xdr:cNvPicPr preferRelativeResize="0"/>
      </xdr:nvPicPr>
      <xdr:blipFill>
        <a:blip xmlns:r="http://schemas.openxmlformats.org/officeDocument/2006/relationships" r:embed="rId1" cstate="print"/>
        <a:stretch>
          <a:fillRect/>
        </a:stretch>
      </xdr:blipFill>
      <xdr:spPr>
        <a:xfrm>
          <a:off x="5905500" y="5172075"/>
          <a:ext cx="1914525" cy="933450"/>
        </a:xfrm>
        <a:prstGeom prst="rect">
          <a:avLst/>
        </a:prstGeom>
        <a:noFill/>
      </xdr:spPr>
    </xdr:pic>
    <xdr:clientData fLocksWithSheet="0"/>
  </xdr:oneCellAnchor>
  <xdr:oneCellAnchor>
    <xdr:from>
      <xdr:col>16</xdr:col>
      <xdr:colOff>171450</xdr:colOff>
      <xdr:row>20</xdr:row>
      <xdr:rowOff>95250</xdr:rowOff>
    </xdr:from>
    <xdr:ext cx="1914525" cy="933450"/>
    <xdr:pic>
      <xdr:nvPicPr>
        <xdr:cNvPr id="4" name="image209.png" descr="Recorte de pantalla">
          <a:extLst>
            <a:ext uri="{FF2B5EF4-FFF2-40B4-BE49-F238E27FC236}">
              <a16:creationId xmlns:a16="http://schemas.microsoft.com/office/drawing/2014/main" id="{52DBC259-D725-4119-AE65-75FBB18007BB}"/>
            </a:ext>
          </a:extLst>
        </xdr:cNvPr>
        <xdr:cNvPicPr preferRelativeResize="0"/>
      </xdr:nvPicPr>
      <xdr:blipFill>
        <a:blip xmlns:r="http://schemas.openxmlformats.org/officeDocument/2006/relationships" r:embed="rId1" cstate="print"/>
        <a:stretch>
          <a:fillRect/>
        </a:stretch>
      </xdr:blipFill>
      <xdr:spPr>
        <a:xfrm>
          <a:off x="11639550" y="3333750"/>
          <a:ext cx="1914525" cy="933450"/>
        </a:xfrm>
        <a:prstGeom prst="rect">
          <a:avLst/>
        </a:prstGeom>
        <a:noFill/>
      </xdr:spPr>
    </xdr:pic>
    <xdr:clientData fLocksWithSheet="0"/>
  </xdr:oneCellAnchor>
  <xdr:oneCellAnchor>
    <xdr:from>
      <xdr:col>16</xdr:col>
      <xdr:colOff>190500</xdr:colOff>
      <xdr:row>31</xdr:row>
      <xdr:rowOff>133350</xdr:rowOff>
    </xdr:from>
    <xdr:ext cx="1914525" cy="933450"/>
    <xdr:pic>
      <xdr:nvPicPr>
        <xdr:cNvPr id="5" name="image209.png" descr="Recorte de pantalla">
          <a:extLst>
            <a:ext uri="{FF2B5EF4-FFF2-40B4-BE49-F238E27FC236}">
              <a16:creationId xmlns:a16="http://schemas.microsoft.com/office/drawing/2014/main" id="{D4726DD2-0B33-4A9F-9384-15C0212EB645}"/>
            </a:ext>
          </a:extLst>
        </xdr:cNvPr>
        <xdr:cNvPicPr preferRelativeResize="0"/>
      </xdr:nvPicPr>
      <xdr:blipFill>
        <a:blip xmlns:r="http://schemas.openxmlformats.org/officeDocument/2006/relationships" r:embed="rId1" cstate="print"/>
        <a:stretch>
          <a:fillRect/>
        </a:stretch>
      </xdr:blipFill>
      <xdr:spPr>
        <a:xfrm>
          <a:off x="11658600" y="5153025"/>
          <a:ext cx="1914525" cy="933450"/>
        </a:xfrm>
        <a:prstGeom prst="rect">
          <a:avLst/>
        </a:prstGeom>
        <a:noFill/>
      </xdr:spPr>
    </xdr:pic>
    <xdr:clientData fLocksWithSheet="0"/>
  </xdr:oneCellAnchor>
  <xdr:oneCellAnchor>
    <xdr:from>
      <xdr:col>8</xdr:col>
      <xdr:colOff>200025</xdr:colOff>
      <xdr:row>53</xdr:row>
      <xdr:rowOff>142875</xdr:rowOff>
    </xdr:from>
    <xdr:ext cx="1914525" cy="857250"/>
    <xdr:pic>
      <xdr:nvPicPr>
        <xdr:cNvPr id="6" name="image217.png" descr="Recorte de pantalla">
          <a:extLst>
            <a:ext uri="{FF2B5EF4-FFF2-40B4-BE49-F238E27FC236}">
              <a16:creationId xmlns:a16="http://schemas.microsoft.com/office/drawing/2014/main" id="{DDC653D2-7F22-4C02-9DC6-FFBDCB3D22F2}"/>
            </a:ext>
          </a:extLst>
        </xdr:cNvPr>
        <xdr:cNvPicPr preferRelativeResize="0"/>
      </xdr:nvPicPr>
      <xdr:blipFill>
        <a:blip xmlns:r="http://schemas.openxmlformats.org/officeDocument/2006/relationships" r:embed="rId2" cstate="print"/>
        <a:stretch>
          <a:fillRect/>
        </a:stretch>
      </xdr:blipFill>
      <xdr:spPr>
        <a:xfrm>
          <a:off x="5953125" y="8724900"/>
          <a:ext cx="1914525" cy="857250"/>
        </a:xfrm>
        <a:prstGeom prst="rect">
          <a:avLst/>
        </a:prstGeom>
        <a:noFill/>
      </xdr:spPr>
    </xdr:pic>
    <xdr:clientData fLocksWithSheet="0"/>
  </xdr:oneCellAnchor>
  <xdr:oneCellAnchor>
    <xdr:from>
      <xdr:col>16</xdr:col>
      <xdr:colOff>257175</xdr:colOff>
      <xdr:row>54</xdr:row>
      <xdr:rowOff>38100</xdr:rowOff>
    </xdr:from>
    <xdr:ext cx="1914525" cy="857250"/>
    <xdr:pic>
      <xdr:nvPicPr>
        <xdr:cNvPr id="7" name="image217.png" descr="Recorte de pantalla">
          <a:extLst>
            <a:ext uri="{FF2B5EF4-FFF2-40B4-BE49-F238E27FC236}">
              <a16:creationId xmlns:a16="http://schemas.microsoft.com/office/drawing/2014/main" id="{93F642CE-2368-446D-8792-D54F452515F7}"/>
            </a:ext>
          </a:extLst>
        </xdr:cNvPr>
        <xdr:cNvPicPr preferRelativeResize="0"/>
      </xdr:nvPicPr>
      <xdr:blipFill>
        <a:blip xmlns:r="http://schemas.openxmlformats.org/officeDocument/2006/relationships" r:embed="rId2" cstate="print"/>
        <a:stretch>
          <a:fillRect/>
        </a:stretch>
      </xdr:blipFill>
      <xdr:spPr>
        <a:xfrm>
          <a:off x="11725275" y="8782050"/>
          <a:ext cx="1914525" cy="857250"/>
        </a:xfrm>
        <a:prstGeom prst="rect">
          <a:avLst/>
        </a:prstGeom>
        <a:noFill/>
      </xdr:spPr>
    </xdr:pic>
    <xdr:clientData fLocksWithSheet="0"/>
  </xdr:oneCellAnchor>
  <xdr:oneCellAnchor>
    <xdr:from>
      <xdr:col>12</xdr:col>
      <xdr:colOff>60960</xdr:colOff>
      <xdr:row>64</xdr:row>
      <xdr:rowOff>60960</xdr:rowOff>
    </xdr:from>
    <xdr:ext cx="2095500" cy="981075"/>
    <xdr:pic>
      <xdr:nvPicPr>
        <xdr:cNvPr id="8" name="image223.png" descr="Recorte de pantalla">
          <a:extLst>
            <a:ext uri="{FF2B5EF4-FFF2-40B4-BE49-F238E27FC236}">
              <a16:creationId xmlns:a16="http://schemas.microsoft.com/office/drawing/2014/main" id="{84CFB5CB-529B-4134-998D-9CDD386B6F22}"/>
            </a:ext>
          </a:extLst>
        </xdr:cNvPr>
        <xdr:cNvPicPr preferRelativeResize="0"/>
      </xdr:nvPicPr>
      <xdr:blipFill>
        <a:blip xmlns:r="http://schemas.openxmlformats.org/officeDocument/2006/relationships" r:embed="rId3" cstate="print"/>
        <a:stretch>
          <a:fillRect/>
        </a:stretch>
      </xdr:blipFill>
      <xdr:spPr>
        <a:xfrm>
          <a:off x="8671560" y="10424160"/>
          <a:ext cx="2095500" cy="981075"/>
        </a:xfrm>
        <a:prstGeom prst="rect">
          <a:avLst/>
        </a:prstGeom>
        <a:noFill/>
      </xdr:spPr>
    </xdr:pic>
    <xdr:clientData fLocksWithSheet="0"/>
  </xdr:oneCellAnchor>
  <xdr:oneCellAnchor>
    <xdr:from>
      <xdr:col>20</xdr:col>
      <xdr:colOff>57150</xdr:colOff>
      <xdr:row>64</xdr:row>
      <xdr:rowOff>137160</xdr:rowOff>
    </xdr:from>
    <xdr:ext cx="2095500" cy="981075"/>
    <xdr:pic>
      <xdr:nvPicPr>
        <xdr:cNvPr id="9" name="image203.png" descr="Recorte de pantalla">
          <a:extLst>
            <a:ext uri="{FF2B5EF4-FFF2-40B4-BE49-F238E27FC236}">
              <a16:creationId xmlns:a16="http://schemas.microsoft.com/office/drawing/2014/main" id="{0A99822A-FFAC-42C6-B139-2DA15E91DA1F}"/>
            </a:ext>
          </a:extLst>
        </xdr:cNvPr>
        <xdr:cNvPicPr preferRelativeResize="0"/>
      </xdr:nvPicPr>
      <xdr:blipFill>
        <a:blip xmlns:r="http://schemas.openxmlformats.org/officeDocument/2006/relationships" r:embed="rId4" cstate="print"/>
        <a:stretch>
          <a:fillRect/>
        </a:stretch>
      </xdr:blipFill>
      <xdr:spPr>
        <a:xfrm>
          <a:off x="14382750" y="10500360"/>
          <a:ext cx="2095500" cy="981075"/>
        </a:xfrm>
        <a:prstGeom prst="rect">
          <a:avLst/>
        </a:prstGeom>
        <a:noFill/>
      </xdr:spPr>
    </xdr:pic>
    <xdr:clientData fLocksWithSheet="0"/>
  </xdr:oneCellAnchor>
  <xdr:oneCellAnchor>
    <xdr:from>
      <xdr:col>8</xdr:col>
      <xdr:colOff>62865</xdr:colOff>
      <xdr:row>42</xdr:row>
      <xdr:rowOff>53340</xdr:rowOff>
    </xdr:from>
    <xdr:ext cx="2095500" cy="1009650"/>
    <xdr:pic>
      <xdr:nvPicPr>
        <xdr:cNvPr id="10" name="image222.png" descr="Recorte de pantalla">
          <a:extLst>
            <a:ext uri="{FF2B5EF4-FFF2-40B4-BE49-F238E27FC236}">
              <a16:creationId xmlns:a16="http://schemas.microsoft.com/office/drawing/2014/main" id="{67B83D30-FB2C-4BF7-B154-1E0631E93DB7}"/>
            </a:ext>
          </a:extLst>
        </xdr:cNvPr>
        <xdr:cNvPicPr preferRelativeResize="0"/>
      </xdr:nvPicPr>
      <xdr:blipFill>
        <a:blip xmlns:r="http://schemas.openxmlformats.org/officeDocument/2006/relationships" r:embed="rId5" cstate="print"/>
        <a:stretch>
          <a:fillRect/>
        </a:stretch>
      </xdr:blipFill>
      <xdr:spPr>
        <a:xfrm>
          <a:off x="5815965" y="6854190"/>
          <a:ext cx="2095500" cy="1009650"/>
        </a:xfrm>
        <a:prstGeom prst="rect">
          <a:avLst/>
        </a:prstGeom>
        <a:noFill/>
      </xdr:spPr>
    </xdr:pic>
    <xdr:clientData fLocksWithSheet="0"/>
  </xdr:oneCellAnchor>
  <xdr:oneCellAnchor>
    <xdr:from>
      <xdr:col>8</xdr:col>
      <xdr:colOff>209550</xdr:colOff>
      <xdr:row>8</xdr:row>
      <xdr:rowOff>38100</xdr:rowOff>
    </xdr:from>
    <xdr:ext cx="1914525" cy="1368000"/>
    <xdr:pic>
      <xdr:nvPicPr>
        <xdr:cNvPr id="11" name="image216.png" descr="Recorte de pantalla">
          <a:extLst>
            <a:ext uri="{FF2B5EF4-FFF2-40B4-BE49-F238E27FC236}">
              <a16:creationId xmlns:a16="http://schemas.microsoft.com/office/drawing/2014/main" id="{2CE545C7-A68A-4DF9-A4BC-090D3749BDBC}"/>
            </a:ext>
          </a:extLst>
        </xdr:cNvPr>
        <xdr:cNvPicPr preferRelativeResize="0"/>
      </xdr:nvPicPr>
      <xdr:blipFill>
        <a:blip xmlns:r="http://schemas.openxmlformats.org/officeDocument/2006/relationships" r:embed="rId6" cstate="print"/>
        <a:stretch>
          <a:fillRect/>
        </a:stretch>
      </xdr:blipFill>
      <xdr:spPr>
        <a:xfrm>
          <a:off x="5962650" y="1333500"/>
          <a:ext cx="1914525" cy="1368000"/>
        </a:xfrm>
        <a:prstGeom prst="rect">
          <a:avLst/>
        </a:prstGeom>
        <a:noFill/>
      </xdr:spPr>
    </xdr:pic>
    <xdr:clientData fLocksWithSheet="0"/>
  </xdr:oneCellAnchor>
  <xdr:oneCellAnchor>
    <xdr:from>
      <xdr:col>16</xdr:col>
      <xdr:colOff>180975</xdr:colOff>
      <xdr:row>8</xdr:row>
      <xdr:rowOff>28575</xdr:rowOff>
    </xdr:from>
    <xdr:ext cx="1914525" cy="1368000"/>
    <xdr:pic>
      <xdr:nvPicPr>
        <xdr:cNvPr id="12" name="image216.png" descr="Recorte de pantalla">
          <a:extLst>
            <a:ext uri="{FF2B5EF4-FFF2-40B4-BE49-F238E27FC236}">
              <a16:creationId xmlns:a16="http://schemas.microsoft.com/office/drawing/2014/main" id="{8EFF2F9D-44B6-415B-879C-012D91D27BA6}"/>
            </a:ext>
          </a:extLst>
        </xdr:cNvPr>
        <xdr:cNvPicPr preferRelativeResize="0"/>
      </xdr:nvPicPr>
      <xdr:blipFill>
        <a:blip xmlns:r="http://schemas.openxmlformats.org/officeDocument/2006/relationships" r:embed="rId6" cstate="print"/>
        <a:stretch>
          <a:fillRect/>
        </a:stretch>
      </xdr:blipFill>
      <xdr:spPr>
        <a:xfrm>
          <a:off x="11649075" y="1323975"/>
          <a:ext cx="1914525" cy="1368000"/>
        </a:xfrm>
        <a:prstGeom prst="rect">
          <a:avLst/>
        </a:prstGeom>
        <a:noFill/>
      </xdr:spPr>
    </xdr:pic>
    <xdr:clientData fLocksWithSheet="0"/>
  </xdr:oneCellAnchor>
  <xdr:oneCellAnchor>
    <xdr:from>
      <xdr:col>16</xdr:col>
      <xdr:colOff>144780</xdr:colOff>
      <xdr:row>42</xdr:row>
      <xdr:rowOff>76200</xdr:rowOff>
    </xdr:from>
    <xdr:ext cx="2095500" cy="1009650"/>
    <xdr:pic>
      <xdr:nvPicPr>
        <xdr:cNvPr id="13" name="image222.png" descr="Recorte de pantalla">
          <a:extLst>
            <a:ext uri="{FF2B5EF4-FFF2-40B4-BE49-F238E27FC236}">
              <a16:creationId xmlns:a16="http://schemas.microsoft.com/office/drawing/2014/main" id="{022C630D-30ED-4DE4-AD34-B87798C6B926}"/>
            </a:ext>
          </a:extLst>
        </xdr:cNvPr>
        <xdr:cNvPicPr preferRelativeResize="0"/>
      </xdr:nvPicPr>
      <xdr:blipFill>
        <a:blip xmlns:r="http://schemas.openxmlformats.org/officeDocument/2006/relationships" r:embed="rId5" cstate="print"/>
        <a:stretch>
          <a:fillRect/>
        </a:stretch>
      </xdr:blipFill>
      <xdr:spPr>
        <a:xfrm>
          <a:off x="11612880" y="6877050"/>
          <a:ext cx="2095500" cy="1009650"/>
        </a:xfrm>
        <a:prstGeom prst="rect">
          <a:avLst/>
        </a:prstGeom>
        <a:noFill/>
      </xdr:spPr>
    </xdr:pic>
    <xdr:clientData fLocksWithSheet="0"/>
  </xdr:oneCellAnchor>
  <xdr:oneCellAnchor>
    <xdr:from>
      <xdr:col>12</xdr:col>
      <xdr:colOff>400050</xdr:colOff>
      <xdr:row>8</xdr:row>
      <xdr:rowOff>38100</xdr:rowOff>
    </xdr:from>
    <xdr:ext cx="1533525" cy="1368000"/>
    <xdr:pic>
      <xdr:nvPicPr>
        <xdr:cNvPr id="14" name="image234.png" descr="Recorte de pantalla">
          <a:extLst>
            <a:ext uri="{FF2B5EF4-FFF2-40B4-BE49-F238E27FC236}">
              <a16:creationId xmlns:a16="http://schemas.microsoft.com/office/drawing/2014/main" id="{B035B68A-0B11-4C2B-BA4F-AD4C7F1C7207}"/>
            </a:ext>
          </a:extLst>
        </xdr:cNvPr>
        <xdr:cNvPicPr preferRelativeResize="0"/>
      </xdr:nvPicPr>
      <xdr:blipFill>
        <a:blip xmlns:r="http://schemas.openxmlformats.org/officeDocument/2006/relationships" r:embed="rId7" cstate="print"/>
        <a:stretch>
          <a:fillRect/>
        </a:stretch>
      </xdr:blipFill>
      <xdr:spPr>
        <a:xfrm>
          <a:off x="9010650" y="1333500"/>
          <a:ext cx="1533525" cy="1368000"/>
        </a:xfrm>
        <a:prstGeom prst="rect">
          <a:avLst/>
        </a:prstGeom>
        <a:noFill/>
      </xdr:spPr>
    </xdr:pic>
    <xdr:clientData fLocksWithSheet="0"/>
  </xdr:oneCellAnchor>
  <xdr:oneCellAnchor>
    <xdr:from>
      <xdr:col>20</xdr:col>
      <xdr:colOff>419100</xdr:colOff>
      <xdr:row>8</xdr:row>
      <xdr:rowOff>38100</xdr:rowOff>
    </xdr:from>
    <xdr:ext cx="1533525" cy="1368000"/>
    <xdr:pic>
      <xdr:nvPicPr>
        <xdr:cNvPr id="15" name="image234.png" descr="Recorte de pantalla">
          <a:extLst>
            <a:ext uri="{FF2B5EF4-FFF2-40B4-BE49-F238E27FC236}">
              <a16:creationId xmlns:a16="http://schemas.microsoft.com/office/drawing/2014/main" id="{910C0B6B-830A-44E3-9B22-360C0CF1B367}"/>
            </a:ext>
          </a:extLst>
        </xdr:cNvPr>
        <xdr:cNvPicPr preferRelativeResize="0"/>
      </xdr:nvPicPr>
      <xdr:blipFill>
        <a:blip xmlns:r="http://schemas.openxmlformats.org/officeDocument/2006/relationships" r:embed="rId7" cstate="print"/>
        <a:stretch>
          <a:fillRect/>
        </a:stretch>
      </xdr:blipFill>
      <xdr:spPr>
        <a:xfrm>
          <a:off x="14744700" y="1333500"/>
          <a:ext cx="1533525" cy="1368000"/>
        </a:xfrm>
        <a:prstGeom prst="rect">
          <a:avLst/>
        </a:prstGeom>
        <a:noFill/>
      </xdr:spPr>
    </xdr:pic>
    <xdr:clientData fLocksWithSheet="0"/>
  </xdr:oneCellAnchor>
  <xdr:oneCellAnchor>
    <xdr:from>
      <xdr:col>12</xdr:col>
      <xdr:colOff>36195</xdr:colOff>
      <xdr:row>20</xdr:row>
      <xdr:rowOff>85725</xdr:rowOff>
    </xdr:from>
    <xdr:ext cx="2095500" cy="885825"/>
    <xdr:pic>
      <xdr:nvPicPr>
        <xdr:cNvPr id="16" name="image219.png" descr="Recorte de pantalla">
          <a:extLst>
            <a:ext uri="{FF2B5EF4-FFF2-40B4-BE49-F238E27FC236}">
              <a16:creationId xmlns:a16="http://schemas.microsoft.com/office/drawing/2014/main" id="{7830CA6A-B377-433B-B93F-9E91C506273C}"/>
            </a:ext>
          </a:extLst>
        </xdr:cNvPr>
        <xdr:cNvPicPr preferRelativeResize="0"/>
      </xdr:nvPicPr>
      <xdr:blipFill>
        <a:blip xmlns:r="http://schemas.openxmlformats.org/officeDocument/2006/relationships" r:embed="rId8" cstate="print"/>
        <a:stretch>
          <a:fillRect/>
        </a:stretch>
      </xdr:blipFill>
      <xdr:spPr>
        <a:xfrm>
          <a:off x="8646795" y="3324225"/>
          <a:ext cx="2095500" cy="885825"/>
        </a:xfrm>
        <a:prstGeom prst="rect">
          <a:avLst/>
        </a:prstGeom>
        <a:noFill/>
      </xdr:spPr>
    </xdr:pic>
    <xdr:clientData fLocksWithSheet="0"/>
  </xdr:oneCellAnchor>
  <xdr:oneCellAnchor>
    <xdr:from>
      <xdr:col>20</xdr:col>
      <xdr:colOff>68580</xdr:colOff>
      <xdr:row>20</xdr:row>
      <xdr:rowOff>106680</xdr:rowOff>
    </xdr:from>
    <xdr:ext cx="2095500" cy="885825"/>
    <xdr:pic>
      <xdr:nvPicPr>
        <xdr:cNvPr id="17" name="image218.png" descr="Recorte de pantalla">
          <a:extLst>
            <a:ext uri="{FF2B5EF4-FFF2-40B4-BE49-F238E27FC236}">
              <a16:creationId xmlns:a16="http://schemas.microsoft.com/office/drawing/2014/main" id="{04BB308E-C86A-47EE-815F-886E8DB03A33}"/>
            </a:ext>
          </a:extLst>
        </xdr:cNvPr>
        <xdr:cNvPicPr preferRelativeResize="0"/>
      </xdr:nvPicPr>
      <xdr:blipFill>
        <a:blip xmlns:r="http://schemas.openxmlformats.org/officeDocument/2006/relationships" r:embed="rId9" cstate="print"/>
        <a:stretch>
          <a:fillRect/>
        </a:stretch>
      </xdr:blipFill>
      <xdr:spPr>
        <a:xfrm>
          <a:off x="14394180" y="3345180"/>
          <a:ext cx="2095500" cy="885825"/>
        </a:xfrm>
        <a:prstGeom prst="rect">
          <a:avLst/>
        </a:prstGeom>
        <a:noFill/>
      </xdr:spPr>
    </xdr:pic>
    <xdr:clientData fLocksWithSheet="0"/>
  </xdr:oneCellAnchor>
  <xdr:oneCellAnchor>
    <xdr:from>
      <xdr:col>12</xdr:col>
      <xdr:colOff>85725</xdr:colOff>
      <xdr:row>31</xdr:row>
      <xdr:rowOff>114300</xdr:rowOff>
    </xdr:from>
    <xdr:ext cx="2095500" cy="885825"/>
    <xdr:pic>
      <xdr:nvPicPr>
        <xdr:cNvPr id="18" name="image218.png" descr="Recorte de pantalla">
          <a:extLst>
            <a:ext uri="{FF2B5EF4-FFF2-40B4-BE49-F238E27FC236}">
              <a16:creationId xmlns:a16="http://schemas.microsoft.com/office/drawing/2014/main" id="{97320C28-DDBA-487A-9400-46039E7B7C4C}"/>
            </a:ext>
          </a:extLst>
        </xdr:cNvPr>
        <xdr:cNvPicPr preferRelativeResize="0"/>
      </xdr:nvPicPr>
      <xdr:blipFill>
        <a:blip xmlns:r="http://schemas.openxmlformats.org/officeDocument/2006/relationships" r:embed="rId9" cstate="print"/>
        <a:stretch>
          <a:fillRect/>
        </a:stretch>
      </xdr:blipFill>
      <xdr:spPr>
        <a:xfrm>
          <a:off x="8696325" y="5133975"/>
          <a:ext cx="2095500" cy="885825"/>
        </a:xfrm>
        <a:prstGeom prst="rect">
          <a:avLst/>
        </a:prstGeom>
        <a:noFill/>
      </xdr:spPr>
    </xdr:pic>
    <xdr:clientData fLocksWithSheet="0"/>
  </xdr:oneCellAnchor>
  <xdr:oneCellAnchor>
    <xdr:from>
      <xdr:col>20</xdr:col>
      <xdr:colOff>72390</xdr:colOff>
      <xdr:row>31</xdr:row>
      <xdr:rowOff>127635</xdr:rowOff>
    </xdr:from>
    <xdr:ext cx="2095500" cy="885825"/>
    <xdr:pic>
      <xdr:nvPicPr>
        <xdr:cNvPr id="19" name="image218.png" descr="Recorte de pantalla">
          <a:extLst>
            <a:ext uri="{FF2B5EF4-FFF2-40B4-BE49-F238E27FC236}">
              <a16:creationId xmlns:a16="http://schemas.microsoft.com/office/drawing/2014/main" id="{28B898F8-41F3-4A73-A214-A9E2F8702340}"/>
            </a:ext>
          </a:extLst>
        </xdr:cNvPr>
        <xdr:cNvPicPr preferRelativeResize="0"/>
      </xdr:nvPicPr>
      <xdr:blipFill>
        <a:blip xmlns:r="http://schemas.openxmlformats.org/officeDocument/2006/relationships" r:embed="rId9" cstate="print"/>
        <a:stretch>
          <a:fillRect/>
        </a:stretch>
      </xdr:blipFill>
      <xdr:spPr>
        <a:xfrm>
          <a:off x="14397990" y="5147310"/>
          <a:ext cx="2095500" cy="885825"/>
        </a:xfrm>
        <a:prstGeom prst="rect">
          <a:avLst/>
        </a:prstGeom>
        <a:noFill/>
      </xdr:spPr>
    </xdr:pic>
    <xdr:clientData fLocksWithSheet="0"/>
  </xdr:oneCellAnchor>
  <xdr:oneCellAnchor>
    <xdr:from>
      <xdr:col>12</xdr:col>
      <xdr:colOff>30480</xdr:colOff>
      <xdr:row>42</xdr:row>
      <xdr:rowOff>49530</xdr:rowOff>
    </xdr:from>
    <xdr:ext cx="2095500" cy="952500"/>
    <xdr:pic>
      <xdr:nvPicPr>
        <xdr:cNvPr id="20" name="image215.png" descr="Recorte de pantalla">
          <a:extLst>
            <a:ext uri="{FF2B5EF4-FFF2-40B4-BE49-F238E27FC236}">
              <a16:creationId xmlns:a16="http://schemas.microsoft.com/office/drawing/2014/main" id="{536304DB-DAFF-401D-9C42-A97B2D1D7A94}"/>
            </a:ext>
          </a:extLst>
        </xdr:cNvPr>
        <xdr:cNvPicPr preferRelativeResize="0"/>
      </xdr:nvPicPr>
      <xdr:blipFill>
        <a:blip xmlns:r="http://schemas.openxmlformats.org/officeDocument/2006/relationships" r:embed="rId10" cstate="print"/>
        <a:stretch>
          <a:fillRect/>
        </a:stretch>
      </xdr:blipFill>
      <xdr:spPr>
        <a:xfrm>
          <a:off x="8641080" y="6850380"/>
          <a:ext cx="2095500" cy="952500"/>
        </a:xfrm>
        <a:prstGeom prst="rect">
          <a:avLst/>
        </a:prstGeom>
        <a:noFill/>
      </xdr:spPr>
    </xdr:pic>
    <xdr:clientData fLocksWithSheet="0"/>
  </xdr:oneCellAnchor>
  <xdr:oneCellAnchor>
    <xdr:from>
      <xdr:col>20</xdr:col>
      <xdr:colOff>76200</xdr:colOff>
      <xdr:row>42</xdr:row>
      <xdr:rowOff>114300</xdr:rowOff>
    </xdr:from>
    <xdr:ext cx="2095500" cy="952500"/>
    <xdr:pic>
      <xdr:nvPicPr>
        <xdr:cNvPr id="21" name="image215.png" descr="Recorte de pantalla">
          <a:extLst>
            <a:ext uri="{FF2B5EF4-FFF2-40B4-BE49-F238E27FC236}">
              <a16:creationId xmlns:a16="http://schemas.microsoft.com/office/drawing/2014/main" id="{EABF7CB2-84B7-4CBA-BDAE-0EC19E6A0C30}"/>
            </a:ext>
          </a:extLst>
        </xdr:cNvPr>
        <xdr:cNvPicPr preferRelativeResize="0"/>
      </xdr:nvPicPr>
      <xdr:blipFill>
        <a:blip xmlns:r="http://schemas.openxmlformats.org/officeDocument/2006/relationships" r:embed="rId10" cstate="print"/>
        <a:stretch>
          <a:fillRect/>
        </a:stretch>
      </xdr:blipFill>
      <xdr:spPr>
        <a:xfrm>
          <a:off x="14401800" y="6915150"/>
          <a:ext cx="2095500" cy="952500"/>
        </a:xfrm>
        <a:prstGeom prst="rect">
          <a:avLst/>
        </a:prstGeom>
        <a:noFill/>
      </xdr:spPr>
    </xdr:pic>
    <xdr:clientData fLocksWithSheet="0"/>
  </xdr:oneCellAnchor>
  <xdr:oneCellAnchor>
    <xdr:from>
      <xdr:col>12</xdr:col>
      <xdr:colOff>114300</xdr:colOff>
      <xdr:row>53</xdr:row>
      <xdr:rowOff>123825</xdr:rowOff>
    </xdr:from>
    <xdr:ext cx="2095500" cy="857250"/>
    <xdr:pic>
      <xdr:nvPicPr>
        <xdr:cNvPr id="22" name="image220.png" descr="Recorte de pantalla">
          <a:extLst>
            <a:ext uri="{FF2B5EF4-FFF2-40B4-BE49-F238E27FC236}">
              <a16:creationId xmlns:a16="http://schemas.microsoft.com/office/drawing/2014/main" id="{4DBAA2C0-D698-498A-B2AA-ED681281B052}"/>
            </a:ext>
          </a:extLst>
        </xdr:cNvPr>
        <xdr:cNvPicPr preferRelativeResize="0"/>
      </xdr:nvPicPr>
      <xdr:blipFill>
        <a:blip xmlns:r="http://schemas.openxmlformats.org/officeDocument/2006/relationships" r:embed="rId11" cstate="print"/>
        <a:stretch>
          <a:fillRect/>
        </a:stretch>
      </xdr:blipFill>
      <xdr:spPr>
        <a:xfrm>
          <a:off x="8724900" y="8705850"/>
          <a:ext cx="2095500" cy="857250"/>
        </a:xfrm>
        <a:prstGeom prst="rect">
          <a:avLst/>
        </a:prstGeom>
        <a:noFill/>
      </xdr:spPr>
    </xdr:pic>
    <xdr:clientData fLocksWithSheet="0"/>
  </xdr:oneCellAnchor>
  <xdr:oneCellAnchor>
    <xdr:from>
      <xdr:col>20</xdr:col>
      <xdr:colOff>95250</xdr:colOff>
      <xdr:row>53</xdr:row>
      <xdr:rowOff>114300</xdr:rowOff>
    </xdr:from>
    <xdr:ext cx="2095500" cy="857250"/>
    <xdr:pic>
      <xdr:nvPicPr>
        <xdr:cNvPr id="23" name="image220.png" descr="Recorte de pantalla">
          <a:extLst>
            <a:ext uri="{FF2B5EF4-FFF2-40B4-BE49-F238E27FC236}">
              <a16:creationId xmlns:a16="http://schemas.microsoft.com/office/drawing/2014/main" id="{35BE5E19-BC30-4AD5-8F49-5F2277D9C689}"/>
            </a:ext>
          </a:extLst>
        </xdr:cNvPr>
        <xdr:cNvPicPr preferRelativeResize="0"/>
      </xdr:nvPicPr>
      <xdr:blipFill>
        <a:blip xmlns:r="http://schemas.openxmlformats.org/officeDocument/2006/relationships" r:embed="rId11" cstate="print"/>
        <a:stretch>
          <a:fillRect/>
        </a:stretch>
      </xdr:blipFill>
      <xdr:spPr>
        <a:xfrm>
          <a:off x="14420850" y="8696325"/>
          <a:ext cx="2095500" cy="857250"/>
        </a:xfrm>
        <a:prstGeom prst="rect">
          <a:avLst/>
        </a:prstGeom>
        <a:noFill/>
      </xdr:spPr>
    </xdr:pic>
    <xdr:clientData fLocksWithSheet="0"/>
  </xdr:oneCellAnchor>
  <xdr:oneCellAnchor>
    <xdr:from>
      <xdr:col>8</xdr:col>
      <xdr:colOff>47625</xdr:colOff>
      <xdr:row>97</xdr:row>
      <xdr:rowOff>11430</xdr:rowOff>
    </xdr:from>
    <xdr:ext cx="2095500" cy="1028700"/>
    <xdr:pic>
      <xdr:nvPicPr>
        <xdr:cNvPr id="24" name="image228.png" descr="Recorte de pantalla">
          <a:extLst>
            <a:ext uri="{FF2B5EF4-FFF2-40B4-BE49-F238E27FC236}">
              <a16:creationId xmlns:a16="http://schemas.microsoft.com/office/drawing/2014/main" id="{092C90E7-FC31-4322-8C49-C69FB8497D5A}"/>
            </a:ext>
          </a:extLst>
        </xdr:cNvPr>
        <xdr:cNvPicPr preferRelativeResize="0"/>
      </xdr:nvPicPr>
      <xdr:blipFill>
        <a:blip xmlns:r="http://schemas.openxmlformats.org/officeDocument/2006/relationships" r:embed="rId12" cstate="print"/>
        <a:stretch>
          <a:fillRect/>
        </a:stretch>
      </xdr:blipFill>
      <xdr:spPr>
        <a:xfrm>
          <a:off x="5800725" y="15718155"/>
          <a:ext cx="2095500" cy="1028700"/>
        </a:xfrm>
        <a:prstGeom prst="rect">
          <a:avLst/>
        </a:prstGeom>
        <a:noFill/>
      </xdr:spPr>
    </xdr:pic>
    <xdr:clientData fLocksWithSheet="0"/>
  </xdr:oneCellAnchor>
  <xdr:oneCellAnchor>
    <xdr:from>
      <xdr:col>16</xdr:col>
      <xdr:colOff>133350</xdr:colOff>
      <xdr:row>97</xdr:row>
      <xdr:rowOff>66675</xdr:rowOff>
    </xdr:from>
    <xdr:ext cx="2095500" cy="1028700"/>
    <xdr:pic>
      <xdr:nvPicPr>
        <xdr:cNvPr id="25" name="image228.png" descr="Recorte de pantalla">
          <a:extLst>
            <a:ext uri="{FF2B5EF4-FFF2-40B4-BE49-F238E27FC236}">
              <a16:creationId xmlns:a16="http://schemas.microsoft.com/office/drawing/2014/main" id="{63EA0623-2624-487E-9C47-0CD83039E202}"/>
            </a:ext>
          </a:extLst>
        </xdr:cNvPr>
        <xdr:cNvPicPr preferRelativeResize="0"/>
      </xdr:nvPicPr>
      <xdr:blipFill>
        <a:blip xmlns:r="http://schemas.openxmlformats.org/officeDocument/2006/relationships" r:embed="rId12" cstate="print"/>
        <a:stretch>
          <a:fillRect/>
        </a:stretch>
      </xdr:blipFill>
      <xdr:spPr>
        <a:xfrm>
          <a:off x="11601450" y="15773400"/>
          <a:ext cx="2095500" cy="1028700"/>
        </a:xfrm>
        <a:prstGeom prst="rect">
          <a:avLst/>
        </a:prstGeom>
        <a:noFill/>
      </xdr:spPr>
    </xdr:pic>
    <xdr:clientData fLocksWithSheet="0"/>
  </xdr:oneCellAnchor>
  <xdr:oneCellAnchor>
    <xdr:from>
      <xdr:col>12</xdr:col>
      <xdr:colOff>49530</xdr:colOff>
      <xdr:row>97</xdr:row>
      <xdr:rowOff>49530</xdr:rowOff>
    </xdr:from>
    <xdr:ext cx="2095500" cy="1066800"/>
    <xdr:pic>
      <xdr:nvPicPr>
        <xdr:cNvPr id="26" name="image231.png" descr="Recorte de pantalla">
          <a:extLst>
            <a:ext uri="{FF2B5EF4-FFF2-40B4-BE49-F238E27FC236}">
              <a16:creationId xmlns:a16="http://schemas.microsoft.com/office/drawing/2014/main" id="{E46A751E-EE8E-42D4-B921-77261ECF312B}"/>
            </a:ext>
          </a:extLst>
        </xdr:cNvPr>
        <xdr:cNvPicPr preferRelativeResize="0"/>
      </xdr:nvPicPr>
      <xdr:blipFill>
        <a:blip xmlns:r="http://schemas.openxmlformats.org/officeDocument/2006/relationships" r:embed="rId13" cstate="print"/>
        <a:stretch>
          <a:fillRect/>
        </a:stretch>
      </xdr:blipFill>
      <xdr:spPr>
        <a:xfrm>
          <a:off x="8660130" y="15756255"/>
          <a:ext cx="2095500" cy="1066800"/>
        </a:xfrm>
        <a:prstGeom prst="rect">
          <a:avLst/>
        </a:prstGeom>
        <a:noFill/>
      </xdr:spPr>
    </xdr:pic>
    <xdr:clientData fLocksWithSheet="0"/>
  </xdr:oneCellAnchor>
  <xdr:oneCellAnchor>
    <xdr:from>
      <xdr:col>20</xdr:col>
      <xdr:colOff>41910</xdr:colOff>
      <xdr:row>97</xdr:row>
      <xdr:rowOff>34290</xdr:rowOff>
    </xdr:from>
    <xdr:ext cx="2095500" cy="1076325"/>
    <xdr:pic>
      <xdr:nvPicPr>
        <xdr:cNvPr id="27" name="image242.png" descr="Recorte de pantalla">
          <a:extLst>
            <a:ext uri="{FF2B5EF4-FFF2-40B4-BE49-F238E27FC236}">
              <a16:creationId xmlns:a16="http://schemas.microsoft.com/office/drawing/2014/main" id="{CFFD9D7D-7024-4108-86C6-90320B5EEF35}"/>
            </a:ext>
          </a:extLst>
        </xdr:cNvPr>
        <xdr:cNvPicPr preferRelativeResize="0"/>
      </xdr:nvPicPr>
      <xdr:blipFill>
        <a:blip xmlns:r="http://schemas.openxmlformats.org/officeDocument/2006/relationships" r:embed="rId14" cstate="print"/>
        <a:stretch>
          <a:fillRect/>
        </a:stretch>
      </xdr:blipFill>
      <xdr:spPr>
        <a:xfrm>
          <a:off x="14367510" y="15741015"/>
          <a:ext cx="2095500" cy="1076325"/>
        </a:xfrm>
        <a:prstGeom prst="rect">
          <a:avLst/>
        </a:prstGeom>
        <a:noFill/>
      </xdr:spPr>
    </xdr:pic>
    <xdr:clientData fLocksWithSheet="0"/>
  </xdr:oneCellAnchor>
  <xdr:oneCellAnchor>
    <xdr:from>
      <xdr:col>12</xdr:col>
      <xdr:colOff>59055</xdr:colOff>
      <xdr:row>130</xdr:row>
      <xdr:rowOff>5715</xdr:rowOff>
    </xdr:from>
    <xdr:ext cx="2095500" cy="1133475"/>
    <xdr:pic>
      <xdr:nvPicPr>
        <xdr:cNvPr id="28" name="image254.png" descr="Recorte de pantalla">
          <a:extLst>
            <a:ext uri="{FF2B5EF4-FFF2-40B4-BE49-F238E27FC236}">
              <a16:creationId xmlns:a16="http://schemas.microsoft.com/office/drawing/2014/main" id="{1918D51D-27EA-4F59-99EA-F518A66A5ADF}"/>
            </a:ext>
          </a:extLst>
        </xdr:cNvPr>
        <xdr:cNvPicPr preferRelativeResize="0"/>
      </xdr:nvPicPr>
      <xdr:blipFill>
        <a:blip xmlns:r="http://schemas.openxmlformats.org/officeDocument/2006/relationships" r:embed="rId15" cstate="print"/>
        <a:stretch>
          <a:fillRect/>
        </a:stretch>
      </xdr:blipFill>
      <xdr:spPr>
        <a:xfrm>
          <a:off x="8669655" y="21055965"/>
          <a:ext cx="2095500" cy="1133475"/>
        </a:xfrm>
        <a:prstGeom prst="rect">
          <a:avLst/>
        </a:prstGeom>
        <a:noFill/>
      </xdr:spPr>
    </xdr:pic>
    <xdr:clientData fLocksWithSheet="0"/>
  </xdr:oneCellAnchor>
  <xdr:oneCellAnchor>
    <xdr:from>
      <xdr:col>20</xdr:col>
      <xdr:colOff>60960</xdr:colOff>
      <xdr:row>130</xdr:row>
      <xdr:rowOff>28575</xdr:rowOff>
    </xdr:from>
    <xdr:ext cx="2095500" cy="1133475"/>
    <xdr:pic>
      <xdr:nvPicPr>
        <xdr:cNvPr id="29" name="image254.png" descr="Recorte de pantalla">
          <a:extLst>
            <a:ext uri="{FF2B5EF4-FFF2-40B4-BE49-F238E27FC236}">
              <a16:creationId xmlns:a16="http://schemas.microsoft.com/office/drawing/2014/main" id="{F3C30E1A-3FA9-42D0-9248-FA6B473DA23B}"/>
            </a:ext>
          </a:extLst>
        </xdr:cNvPr>
        <xdr:cNvPicPr preferRelativeResize="0"/>
      </xdr:nvPicPr>
      <xdr:blipFill>
        <a:blip xmlns:r="http://schemas.openxmlformats.org/officeDocument/2006/relationships" r:embed="rId15" cstate="print"/>
        <a:stretch>
          <a:fillRect/>
        </a:stretch>
      </xdr:blipFill>
      <xdr:spPr>
        <a:xfrm>
          <a:off x="14386560" y="21078825"/>
          <a:ext cx="2095500" cy="1133475"/>
        </a:xfrm>
        <a:prstGeom prst="rect">
          <a:avLst/>
        </a:prstGeom>
        <a:noFill/>
      </xdr:spPr>
    </xdr:pic>
    <xdr:clientData fLocksWithSheet="0"/>
  </xdr:oneCellAnchor>
  <xdr:oneCellAnchor>
    <xdr:from>
      <xdr:col>8</xdr:col>
      <xdr:colOff>57150</xdr:colOff>
      <xdr:row>130</xdr:row>
      <xdr:rowOff>76200</xdr:rowOff>
    </xdr:from>
    <xdr:ext cx="2095500" cy="971550"/>
    <xdr:pic>
      <xdr:nvPicPr>
        <xdr:cNvPr id="30" name="image221.png" descr="Recorte de pantalla">
          <a:extLst>
            <a:ext uri="{FF2B5EF4-FFF2-40B4-BE49-F238E27FC236}">
              <a16:creationId xmlns:a16="http://schemas.microsoft.com/office/drawing/2014/main" id="{6B3C0BB7-0782-4C9E-846B-D5FC00277DC0}"/>
            </a:ext>
          </a:extLst>
        </xdr:cNvPr>
        <xdr:cNvPicPr preferRelativeResize="0"/>
      </xdr:nvPicPr>
      <xdr:blipFill>
        <a:blip xmlns:r="http://schemas.openxmlformats.org/officeDocument/2006/relationships" r:embed="rId16" cstate="print"/>
        <a:stretch>
          <a:fillRect/>
        </a:stretch>
      </xdr:blipFill>
      <xdr:spPr>
        <a:xfrm>
          <a:off x="5810250" y="21126450"/>
          <a:ext cx="2095500" cy="971550"/>
        </a:xfrm>
        <a:prstGeom prst="rect">
          <a:avLst/>
        </a:prstGeom>
        <a:noFill/>
      </xdr:spPr>
    </xdr:pic>
    <xdr:clientData fLocksWithSheet="0"/>
  </xdr:oneCellAnchor>
  <xdr:oneCellAnchor>
    <xdr:from>
      <xdr:col>16</xdr:col>
      <xdr:colOff>104775</xdr:colOff>
      <xdr:row>130</xdr:row>
      <xdr:rowOff>142875</xdr:rowOff>
    </xdr:from>
    <xdr:ext cx="2095500" cy="971550"/>
    <xdr:pic>
      <xdr:nvPicPr>
        <xdr:cNvPr id="31" name="image221.png" descr="Recorte de pantalla">
          <a:extLst>
            <a:ext uri="{FF2B5EF4-FFF2-40B4-BE49-F238E27FC236}">
              <a16:creationId xmlns:a16="http://schemas.microsoft.com/office/drawing/2014/main" id="{32489BD0-9D27-4765-82AD-7DAA4F4252A8}"/>
            </a:ext>
          </a:extLst>
        </xdr:cNvPr>
        <xdr:cNvPicPr preferRelativeResize="0"/>
      </xdr:nvPicPr>
      <xdr:blipFill>
        <a:blip xmlns:r="http://schemas.openxmlformats.org/officeDocument/2006/relationships" r:embed="rId16" cstate="print"/>
        <a:stretch>
          <a:fillRect/>
        </a:stretch>
      </xdr:blipFill>
      <xdr:spPr>
        <a:xfrm>
          <a:off x="11572875" y="21193125"/>
          <a:ext cx="2095500" cy="971550"/>
        </a:xfrm>
        <a:prstGeom prst="rect">
          <a:avLst/>
        </a:prstGeom>
        <a:noFill/>
      </xdr:spPr>
    </xdr:pic>
    <xdr:clientData fLocksWithSheet="0"/>
  </xdr:oneCellAnchor>
  <xdr:oneCellAnchor>
    <xdr:from>
      <xdr:col>8</xdr:col>
      <xdr:colOff>190500</xdr:colOff>
      <xdr:row>151</xdr:row>
      <xdr:rowOff>19050</xdr:rowOff>
    </xdr:from>
    <xdr:ext cx="1914525" cy="1390650"/>
    <xdr:pic>
      <xdr:nvPicPr>
        <xdr:cNvPr id="32" name="image229.png" descr="Recorte de pantalla">
          <a:extLst>
            <a:ext uri="{FF2B5EF4-FFF2-40B4-BE49-F238E27FC236}">
              <a16:creationId xmlns:a16="http://schemas.microsoft.com/office/drawing/2014/main" id="{C3DB2904-8C0B-4D5D-9F76-E08B46BE7C63}"/>
            </a:ext>
          </a:extLst>
        </xdr:cNvPr>
        <xdr:cNvPicPr preferRelativeResize="0"/>
      </xdr:nvPicPr>
      <xdr:blipFill>
        <a:blip xmlns:r="http://schemas.openxmlformats.org/officeDocument/2006/relationships" r:embed="rId17" cstate="print"/>
        <a:stretch>
          <a:fillRect/>
        </a:stretch>
      </xdr:blipFill>
      <xdr:spPr>
        <a:xfrm>
          <a:off x="5943600" y="24469725"/>
          <a:ext cx="1914525" cy="1390650"/>
        </a:xfrm>
        <a:prstGeom prst="rect">
          <a:avLst/>
        </a:prstGeom>
        <a:noFill/>
      </xdr:spPr>
    </xdr:pic>
    <xdr:clientData fLocksWithSheet="0"/>
  </xdr:oneCellAnchor>
  <xdr:oneCellAnchor>
    <xdr:from>
      <xdr:col>16</xdr:col>
      <xdr:colOff>142875</xdr:colOff>
      <xdr:row>151</xdr:row>
      <xdr:rowOff>19050</xdr:rowOff>
    </xdr:from>
    <xdr:ext cx="1914525" cy="1390650"/>
    <xdr:pic>
      <xdr:nvPicPr>
        <xdr:cNvPr id="33" name="image229.png" descr="Recorte de pantalla">
          <a:extLst>
            <a:ext uri="{FF2B5EF4-FFF2-40B4-BE49-F238E27FC236}">
              <a16:creationId xmlns:a16="http://schemas.microsoft.com/office/drawing/2014/main" id="{1463358E-3E09-42CA-9ABC-3059F4D2984A}"/>
            </a:ext>
          </a:extLst>
        </xdr:cNvPr>
        <xdr:cNvPicPr preferRelativeResize="0"/>
      </xdr:nvPicPr>
      <xdr:blipFill>
        <a:blip xmlns:r="http://schemas.openxmlformats.org/officeDocument/2006/relationships" r:embed="rId17" cstate="print"/>
        <a:stretch>
          <a:fillRect/>
        </a:stretch>
      </xdr:blipFill>
      <xdr:spPr>
        <a:xfrm>
          <a:off x="11610975" y="24469725"/>
          <a:ext cx="1914525" cy="1390650"/>
        </a:xfrm>
        <a:prstGeom prst="rect">
          <a:avLst/>
        </a:prstGeom>
        <a:noFill/>
      </xdr:spPr>
    </xdr:pic>
    <xdr:clientData fLocksWithSheet="0"/>
  </xdr:oneCellAnchor>
  <xdr:oneCellAnchor>
    <xdr:from>
      <xdr:col>12</xdr:col>
      <xdr:colOff>449580</xdr:colOff>
      <xdr:row>151</xdr:row>
      <xdr:rowOff>36195</xdr:rowOff>
    </xdr:from>
    <xdr:ext cx="1266825" cy="1400175"/>
    <xdr:pic>
      <xdr:nvPicPr>
        <xdr:cNvPr id="34" name="image230.png" descr="Recorte de pantalla">
          <a:extLst>
            <a:ext uri="{FF2B5EF4-FFF2-40B4-BE49-F238E27FC236}">
              <a16:creationId xmlns:a16="http://schemas.microsoft.com/office/drawing/2014/main" id="{E9040B09-27EB-4243-8302-342B10173B9F}"/>
            </a:ext>
          </a:extLst>
        </xdr:cNvPr>
        <xdr:cNvPicPr preferRelativeResize="0"/>
      </xdr:nvPicPr>
      <xdr:blipFill>
        <a:blip xmlns:r="http://schemas.openxmlformats.org/officeDocument/2006/relationships" r:embed="rId18" cstate="print"/>
        <a:stretch>
          <a:fillRect/>
        </a:stretch>
      </xdr:blipFill>
      <xdr:spPr>
        <a:xfrm>
          <a:off x="9060180" y="24486870"/>
          <a:ext cx="1266825" cy="1400175"/>
        </a:xfrm>
        <a:prstGeom prst="rect">
          <a:avLst/>
        </a:prstGeom>
        <a:noFill/>
      </xdr:spPr>
    </xdr:pic>
    <xdr:clientData fLocksWithSheet="0"/>
  </xdr:oneCellAnchor>
  <xdr:oneCellAnchor>
    <xdr:from>
      <xdr:col>20</xdr:col>
      <xdr:colOff>514350</xdr:colOff>
      <xdr:row>151</xdr:row>
      <xdr:rowOff>38100</xdr:rowOff>
    </xdr:from>
    <xdr:ext cx="1266825" cy="1400175"/>
    <xdr:pic>
      <xdr:nvPicPr>
        <xdr:cNvPr id="35" name="image230.png" descr="Recorte de pantalla">
          <a:extLst>
            <a:ext uri="{FF2B5EF4-FFF2-40B4-BE49-F238E27FC236}">
              <a16:creationId xmlns:a16="http://schemas.microsoft.com/office/drawing/2014/main" id="{E25D45EC-045E-4496-AF7A-52222B7C94FE}"/>
            </a:ext>
          </a:extLst>
        </xdr:cNvPr>
        <xdr:cNvPicPr preferRelativeResize="0"/>
      </xdr:nvPicPr>
      <xdr:blipFill>
        <a:blip xmlns:r="http://schemas.openxmlformats.org/officeDocument/2006/relationships" r:embed="rId18" cstate="print"/>
        <a:stretch>
          <a:fillRect/>
        </a:stretch>
      </xdr:blipFill>
      <xdr:spPr>
        <a:xfrm>
          <a:off x="14839950" y="24488775"/>
          <a:ext cx="1266825" cy="1400175"/>
        </a:xfrm>
        <a:prstGeom prst="rect">
          <a:avLst/>
        </a:prstGeom>
        <a:noFill/>
      </xdr:spPr>
    </xdr:pic>
    <xdr:clientData fLocksWithSheet="0"/>
  </xdr:oneCellAnchor>
  <xdr:oneCellAnchor>
    <xdr:from>
      <xdr:col>8</xdr:col>
      <xdr:colOff>49530</xdr:colOff>
      <xdr:row>140</xdr:row>
      <xdr:rowOff>43815</xdr:rowOff>
    </xdr:from>
    <xdr:ext cx="2088000" cy="1368000"/>
    <xdr:pic>
      <xdr:nvPicPr>
        <xdr:cNvPr id="36" name="image232.png" descr="Recorte de pantalla">
          <a:extLst>
            <a:ext uri="{FF2B5EF4-FFF2-40B4-BE49-F238E27FC236}">
              <a16:creationId xmlns:a16="http://schemas.microsoft.com/office/drawing/2014/main" id="{5FF38663-8B91-4E9E-B25A-B8B2987EAAD4}"/>
            </a:ext>
          </a:extLst>
        </xdr:cNvPr>
        <xdr:cNvPicPr preferRelativeResize="0"/>
      </xdr:nvPicPr>
      <xdr:blipFill>
        <a:blip xmlns:r="http://schemas.openxmlformats.org/officeDocument/2006/relationships" r:embed="rId19" cstate="print"/>
        <a:stretch>
          <a:fillRect/>
        </a:stretch>
      </xdr:blipFill>
      <xdr:spPr>
        <a:xfrm>
          <a:off x="5802630" y="22713315"/>
          <a:ext cx="2088000" cy="1368000"/>
        </a:xfrm>
        <a:prstGeom prst="rect">
          <a:avLst/>
        </a:prstGeom>
        <a:noFill/>
      </xdr:spPr>
    </xdr:pic>
    <xdr:clientData fLocksWithSheet="0"/>
  </xdr:oneCellAnchor>
  <xdr:oneCellAnchor>
    <xdr:from>
      <xdr:col>16</xdr:col>
      <xdr:colOff>66675</xdr:colOff>
      <xdr:row>140</xdr:row>
      <xdr:rowOff>19050</xdr:rowOff>
    </xdr:from>
    <xdr:ext cx="2095500" cy="1419225"/>
    <xdr:pic>
      <xdr:nvPicPr>
        <xdr:cNvPr id="37" name="image232.png" descr="Recorte de pantalla">
          <a:extLst>
            <a:ext uri="{FF2B5EF4-FFF2-40B4-BE49-F238E27FC236}">
              <a16:creationId xmlns:a16="http://schemas.microsoft.com/office/drawing/2014/main" id="{F482A0EC-5027-43EE-8CE7-E8C6D9B76EB7}"/>
            </a:ext>
          </a:extLst>
        </xdr:cNvPr>
        <xdr:cNvPicPr preferRelativeResize="0"/>
      </xdr:nvPicPr>
      <xdr:blipFill>
        <a:blip xmlns:r="http://schemas.openxmlformats.org/officeDocument/2006/relationships" r:embed="rId19" cstate="print"/>
        <a:stretch>
          <a:fillRect/>
        </a:stretch>
      </xdr:blipFill>
      <xdr:spPr>
        <a:xfrm>
          <a:off x="11534775" y="22688550"/>
          <a:ext cx="2095500" cy="1419225"/>
        </a:xfrm>
        <a:prstGeom prst="rect">
          <a:avLst/>
        </a:prstGeom>
        <a:noFill/>
      </xdr:spPr>
    </xdr:pic>
    <xdr:clientData fLocksWithSheet="0"/>
  </xdr:oneCellAnchor>
  <xdr:oneCellAnchor>
    <xdr:from>
      <xdr:col>12</xdr:col>
      <xdr:colOff>561975</xdr:colOff>
      <xdr:row>140</xdr:row>
      <xdr:rowOff>57150</xdr:rowOff>
    </xdr:from>
    <xdr:ext cx="1314450" cy="1400175"/>
    <xdr:pic>
      <xdr:nvPicPr>
        <xdr:cNvPr id="38" name="image233.png" descr="Recorte de pantalla">
          <a:extLst>
            <a:ext uri="{FF2B5EF4-FFF2-40B4-BE49-F238E27FC236}">
              <a16:creationId xmlns:a16="http://schemas.microsoft.com/office/drawing/2014/main" id="{BFDB4DFA-E51B-44C1-B8E3-A42C894C6D37}"/>
            </a:ext>
          </a:extLst>
        </xdr:cNvPr>
        <xdr:cNvPicPr preferRelativeResize="0"/>
      </xdr:nvPicPr>
      <xdr:blipFill>
        <a:blip xmlns:r="http://schemas.openxmlformats.org/officeDocument/2006/relationships" r:embed="rId20" cstate="print"/>
        <a:stretch>
          <a:fillRect/>
        </a:stretch>
      </xdr:blipFill>
      <xdr:spPr>
        <a:xfrm>
          <a:off x="9172575" y="22726650"/>
          <a:ext cx="1314450" cy="1400175"/>
        </a:xfrm>
        <a:prstGeom prst="rect">
          <a:avLst/>
        </a:prstGeom>
        <a:noFill/>
      </xdr:spPr>
    </xdr:pic>
    <xdr:clientData fLocksWithSheet="0"/>
  </xdr:oneCellAnchor>
  <xdr:oneCellAnchor>
    <xdr:from>
      <xdr:col>20</xdr:col>
      <xdr:colOff>447675</xdr:colOff>
      <xdr:row>140</xdr:row>
      <xdr:rowOff>28575</xdr:rowOff>
    </xdr:from>
    <xdr:ext cx="1314450" cy="1400175"/>
    <xdr:pic>
      <xdr:nvPicPr>
        <xdr:cNvPr id="39" name="image233.png" descr="Recorte de pantalla">
          <a:extLst>
            <a:ext uri="{FF2B5EF4-FFF2-40B4-BE49-F238E27FC236}">
              <a16:creationId xmlns:a16="http://schemas.microsoft.com/office/drawing/2014/main" id="{7AEBA5A6-F5BE-4446-A100-99B1BB79CBE3}"/>
            </a:ext>
          </a:extLst>
        </xdr:cNvPr>
        <xdr:cNvPicPr preferRelativeResize="0"/>
      </xdr:nvPicPr>
      <xdr:blipFill>
        <a:blip xmlns:r="http://schemas.openxmlformats.org/officeDocument/2006/relationships" r:embed="rId20" cstate="print"/>
        <a:stretch>
          <a:fillRect/>
        </a:stretch>
      </xdr:blipFill>
      <xdr:spPr>
        <a:xfrm>
          <a:off x="14773275" y="22698075"/>
          <a:ext cx="1314450" cy="1400175"/>
        </a:xfrm>
        <a:prstGeom prst="rect">
          <a:avLst/>
        </a:prstGeom>
        <a:noFill/>
      </xdr:spPr>
    </xdr:pic>
    <xdr:clientData fLocksWithSheet="0"/>
  </xdr:oneCellAnchor>
  <xdr:oneCellAnchor>
    <xdr:from>
      <xdr:col>12</xdr:col>
      <xdr:colOff>53340</xdr:colOff>
      <xdr:row>174</xdr:row>
      <xdr:rowOff>70485</xdr:rowOff>
    </xdr:from>
    <xdr:ext cx="2095500" cy="971550"/>
    <xdr:pic>
      <xdr:nvPicPr>
        <xdr:cNvPr id="40" name="image257.png" descr="Recorte de pantalla">
          <a:extLst>
            <a:ext uri="{FF2B5EF4-FFF2-40B4-BE49-F238E27FC236}">
              <a16:creationId xmlns:a16="http://schemas.microsoft.com/office/drawing/2014/main" id="{5ECA1C04-D27C-456B-BCB5-BE641291FAF4}"/>
            </a:ext>
          </a:extLst>
        </xdr:cNvPr>
        <xdr:cNvPicPr preferRelativeResize="0"/>
      </xdr:nvPicPr>
      <xdr:blipFill>
        <a:blip xmlns:r="http://schemas.openxmlformats.org/officeDocument/2006/relationships" r:embed="rId21" cstate="print"/>
        <a:stretch>
          <a:fillRect/>
        </a:stretch>
      </xdr:blipFill>
      <xdr:spPr>
        <a:xfrm>
          <a:off x="8663940" y="28245435"/>
          <a:ext cx="2095500" cy="971550"/>
        </a:xfrm>
        <a:prstGeom prst="rect">
          <a:avLst/>
        </a:prstGeom>
        <a:noFill/>
      </xdr:spPr>
    </xdr:pic>
    <xdr:clientData fLocksWithSheet="0"/>
  </xdr:oneCellAnchor>
  <xdr:oneCellAnchor>
    <xdr:from>
      <xdr:col>8</xdr:col>
      <xdr:colOff>76200</xdr:colOff>
      <xdr:row>75</xdr:row>
      <xdr:rowOff>38100</xdr:rowOff>
    </xdr:from>
    <xdr:ext cx="2095500" cy="1114425"/>
    <xdr:pic>
      <xdr:nvPicPr>
        <xdr:cNvPr id="41" name="image236.png" descr="Recorte de pantalla">
          <a:extLst>
            <a:ext uri="{FF2B5EF4-FFF2-40B4-BE49-F238E27FC236}">
              <a16:creationId xmlns:a16="http://schemas.microsoft.com/office/drawing/2014/main" id="{071C2E0D-8BD7-43D5-A362-0FDAA22FD4F8}"/>
            </a:ext>
          </a:extLst>
        </xdr:cNvPr>
        <xdr:cNvPicPr preferRelativeResize="0"/>
      </xdr:nvPicPr>
      <xdr:blipFill>
        <a:blip xmlns:r="http://schemas.openxmlformats.org/officeDocument/2006/relationships" r:embed="rId22" cstate="print"/>
        <a:stretch>
          <a:fillRect/>
        </a:stretch>
      </xdr:blipFill>
      <xdr:spPr>
        <a:xfrm>
          <a:off x="5829300" y="12182475"/>
          <a:ext cx="2095500" cy="1114425"/>
        </a:xfrm>
        <a:prstGeom prst="rect">
          <a:avLst/>
        </a:prstGeom>
        <a:noFill/>
      </xdr:spPr>
    </xdr:pic>
    <xdr:clientData fLocksWithSheet="0"/>
  </xdr:oneCellAnchor>
  <xdr:oneCellAnchor>
    <xdr:from>
      <xdr:col>16</xdr:col>
      <xdr:colOff>104775</xdr:colOff>
      <xdr:row>75</xdr:row>
      <xdr:rowOff>85725</xdr:rowOff>
    </xdr:from>
    <xdr:ext cx="2095500" cy="1104900"/>
    <xdr:pic>
      <xdr:nvPicPr>
        <xdr:cNvPr id="42" name="image248.png" descr="Recorte de pantalla">
          <a:extLst>
            <a:ext uri="{FF2B5EF4-FFF2-40B4-BE49-F238E27FC236}">
              <a16:creationId xmlns:a16="http://schemas.microsoft.com/office/drawing/2014/main" id="{D2408E9E-63A2-412D-8529-FD40AEAB6CDA}"/>
            </a:ext>
          </a:extLst>
        </xdr:cNvPr>
        <xdr:cNvPicPr preferRelativeResize="0"/>
      </xdr:nvPicPr>
      <xdr:blipFill>
        <a:blip xmlns:r="http://schemas.openxmlformats.org/officeDocument/2006/relationships" r:embed="rId23" cstate="print"/>
        <a:stretch>
          <a:fillRect/>
        </a:stretch>
      </xdr:blipFill>
      <xdr:spPr>
        <a:xfrm>
          <a:off x="11572875" y="12230100"/>
          <a:ext cx="2095500" cy="1104900"/>
        </a:xfrm>
        <a:prstGeom prst="rect">
          <a:avLst/>
        </a:prstGeom>
        <a:noFill/>
      </xdr:spPr>
    </xdr:pic>
    <xdr:clientData fLocksWithSheet="0"/>
  </xdr:oneCellAnchor>
  <xdr:oneCellAnchor>
    <xdr:from>
      <xdr:col>8</xdr:col>
      <xdr:colOff>59055</xdr:colOff>
      <xdr:row>86</xdr:row>
      <xdr:rowOff>152400</xdr:rowOff>
    </xdr:from>
    <xdr:ext cx="2095500" cy="895350"/>
    <xdr:pic>
      <xdr:nvPicPr>
        <xdr:cNvPr id="43" name="image241.png" descr="Recorte de pantalla">
          <a:extLst>
            <a:ext uri="{FF2B5EF4-FFF2-40B4-BE49-F238E27FC236}">
              <a16:creationId xmlns:a16="http://schemas.microsoft.com/office/drawing/2014/main" id="{1564ECB5-C85F-40D2-AF76-8AE3797E40C4}"/>
            </a:ext>
          </a:extLst>
        </xdr:cNvPr>
        <xdr:cNvPicPr preferRelativeResize="0"/>
      </xdr:nvPicPr>
      <xdr:blipFill>
        <a:blip xmlns:r="http://schemas.openxmlformats.org/officeDocument/2006/relationships" r:embed="rId24" cstate="print"/>
        <a:stretch>
          <a:fillRect/>
        </a:stretch>
      </xdr:blipFill>
      <xdr:spPr>
        <a:xfrm>
          <a:off x="5812155" y="14077950"/>
          <a:ext cx="2095500" cy="895350"/>
        </a:xfrm>
        <a:prstGeom prst="rect">
          <a:avLst/>
        </a:prstGeom>
        <a:noFill/>
      </xdr:spPr>
    </xdr:pic>
    <xdr:clientData fLocksWithSheet="0"/>
  </xdr:oneCellAnchor>
  <xdr:oneCellAnchor>
    <xdr:from>
      <xdr:col>16</xdr:col>
      <xdr:colOff>85725</xdr:colOff>
      <xdr:row>87</xdr:row>
      <xdr:rowOff>9525</xdr:rowOff>
    </xdr:from>
    <xdr:ext cx="2095500" cy="895350"/>
    <xdr:pic>
      <xdr:nvPicPr>
        <xdr:cNvPr id="44" name="image241.png" descr="Recorte de pantalla">
          <a:extLst>
            <a:ext uri="{FF2B5EF4-FFF2-40B4-BE49-F238E27FC236}">
              <a16:creationId xmlns:a16="http://schemas.microsoft.com/office/drawing/2014/main" id="{5769A8BB-B7C4-42B8-98FD-45B29FE68223}"/>
            </a:ext>
          </a:extLst>
        </xdr:cNvPr>
        <xdr:cNvPicPr preferRelativeResize="0"/>
      </xdr:nvPicPr>
      <xdr:blipFill>
        <a:blip xmlns:r="http://schemas.openxmlformats.org/officeDocument/2006/relationships" r:embed="rId24" cstate="print"/>
        <a:stretch>
          <a:fillRect/>
        </a:stretch>
      </xdr:blipFill>
      <xdr:spPr>
        <a:xfrm>
          <a:off x="11553825" y="14097000"/>
          <a:ext cx="2095500" cy="895350"/>
        </a:xfrm>
        <a:prstGeom prst="rect">
          <a:avLst/>
        </a:prstGeom>
        <a:noFill/>
      </xdr:spPr>
    </xdr:pic>
    <xdr:clientData fLocksWithSheet="0"/>
  </xdr:oneCellAnchor>
  <xdr:oneCellAnchor>
    <xdr:from>
      <xdr:col>12</xdr:col>
      <xdr:colOff>41910</xdr:colOff>
      <xdr:row>75</xdr:row>
      <xdr:rowOff>45720</xdr:rowOff>
    </xdr:from>
    <xdr:ext cx="2095500" cy="1228725"/>
    <xdr:pic>
      <xdr:nvPicPr>
        <xdr:cNvPr id="45" name="image237.png" descr="Recorte de pantalla">
          <a:extLst>
            <a:ext uri="{FF2B5EF4-FFF2-40B4-BE49-F238E27FC236}">
              <a16:creationId xmlns:a16="http://schemas.microsoft.com/office/drawing/2014/main" id="{CD83C8E7-EEC9-4AA9-8052-522A54BF846C}"/>
            </a:ext>
          </a:extLst>
        </xdr:cNvPr>
        <xdr:cNvPicPr preferRelativeResize="0"/>
      </xdr:nvPicPr>
      <xdr:blipFill>
        <a:blip xmlns:r="http://schemas.openxmlformats.org/officeDocument/2006/relationships" r:embed="rId25" cstate="print"/>
        <a:stretch>
          <a:fillRect/>
        </a:stretch>
      </xdr:blipFill>
      <xdr:spPr>
        <a:xfrm>
          <a:off x="8652510" y="12190095"/>
          <a:ext cx="2095500" cy="1228725"/>
        </a:xfrm>
        <a:prstGeom prst="rect">
          <a:avLst/>
        </a:prstGeom>
        <a:noFill/>
      </xdr:spPr>
    </xdr:pic>
    <xdr:clientData fLocksWithSheet="0"/>
  </xdr:oneCellAnchor>
  <xdr:oneCellAnchor>
    <xdr:from>
      <xdr:col>20</xdr:col>
      <xdr:colOff>51435</xdr:colOff>
      <xdr:row>75</xdr:row>
      <xdr:rowOff>28575</xdr:rowOff>
    </xdr:from>
    <xdr:ext cx="2095500" cy="1228725"/>
    <xdr:pic>
      <xdr:nvPicPr>
        <xdr:cNvPr id="46" name="image237.png" descr="Recorte de pantalla">
          <a:extLst>
            <a:ext uri="{FF2B5EF4-FFF2-40B4-BE49-F238E27FC236}">
              <a16:creationId xmlns:a16="http://schemas.microsoft.com/office/drawing/2014/main" id="{5A278EEE-D360-4A1F-9CF1-D1ED73AACB56}"/>
            </a:ext>
          </a:extLst>
        </xdr:cNvPr>
        <xdr:cNvPicPr preferRelativeResize="0"/>
      </xdr:nvPicPr>
      <xdr:blipFill>
        <a:blip xmlns:r="http://schemas.openxmlformats.org/officeDocument/2006/relationships" r:embed="rId25" cstate="print"/>
        <a:stretch>
          <a:fillRect/>
        </a:stretch>
      </xdr:blipFill>
      <xdr:spPr>
        <a:xfrm>
          <a:off x="14377035" y="12172950"/>
          <a:ext cx="2095500" cy="1228725"/>
        </a:xfrm>
        <a:prstGeom prst="rect">
          <a:avLst/>
        </a:prstGeom>
        <a:noFill/>
      </xdr:spPr>
    </xdr:pic>
    <xdr:clientData fLocksWithSheet="0"/>
  </xdr:oneCellAnchor>
  <xdr:oneCellAnchor>
    <xdr:from>
      <xdr:col>12</xdr:col>
      <xdr:colOff>85725</xdr:colOff>
      <xdr:row>87</xdr:row>
      <xdr:rowOff>0</xdr:rowOff>
    </xdr:from>
    <xdr:ext cx="2095500" cy="809625"/>
    <xdr:pic>
      <xdr:nvPicPr>
        <xdr:cNvPr id="47" name="image265.png" descr="Recorte de pantalla">
          <a:extLst>
            <a:ext uri="{FF2B5EF4-FFF2-40B4-BE49-F238E27FC236}">
              <a16:creationId xmlns:a16="http://schemas.microsoft.com/office/drawing/2014/main" id="{E8E3B202-165D-4A6A-AD42-08C04DD50DA2}"/>
            </a:ext>
          </a:extLst>
        </xdr:cNvPr>
        <xdr:cNvPicPr preferRelativeResize="0"/>
      </xdr:nvPicPr>
      <xdr:blipFill>
        <a:blip xmlns:r="http://schemas.openxmlformats.org/officeDocument/2006/relationships" r:embed="rId26" cstate="print"/>
        <a:stretch>
          <a:fillRect/>
        </a:stretch>
      </xdr:blipFill>
      <xdr:spPr>
        <a:xfrm>
          <a:off x="8696325" y="14087475"/>
          <a:ext cx="2095500" cy="809625"/>
        </a:xfrm>
        <a:prstGeom prst="rect">
          <a:avLst/>
        </a:prstGeom>
        <a:noFill/>
      </xdr:spPr>
    </xdr:pic>
    <xdr:clientData fLocksWithSheet="0"/>
  </xdr:oneCellAnchor>
  <xdr:oneCellAnchor>
    <xdr:from>
      <xdr:col>20</xdr:col>
      <xdr:colOff>47625</xdr:colOff>
      <xdr:row>87</xdr:row>
      <xdr:rowOff>47625</xdr:rowOff>
    </xdr:from>
    <xdr:ext cx="2095500" cy="809625"/>
    <xdr:pic>
      <xdr:nvPicPr>
        <xdr:cNvPr id="48" name="image245.png" descr="Recorte de pantalla">
          <a:extLst>
            <a:ext uri="{FF2B5EF4-FFF2-40B4-BE49-F238E27FC236}">
              <a16:creationId xmlns:a16="http://schemas.microsoft.com/office/drawing/2014/main" id="{6956B7FD-A869-49C9-9756-3044F591573D}"/>
            </a:ext>
          </a:extLst>
        </xdr:cNvPr>
        <xdr:cNvPicPr preferRelativeResize="0"/>
      </xdr:nvPicPr>
      <xdr:blipFill>
        <a:blip xmlns:r="http://schemas.openxmlformats.org/officeDocument/2006/relationships" r:embed="rId27" cstate="print"/>
        <a:stretch>
          <a:fillRect/>
        </a:stretch>
      </xdr:blipFill>
      <xdr:spPr>
        <a:xfrm>
          <a:off x="14373225" y="14135100"/>
          <a:ext cx="2095500" cy="809625"/>
        </a:xfrm>
        <a:prstGeom prst="rect">
          <a:avLst/>
        </a:prstGeom>
        <a:noFill/>
      </xdr:spPr>
    </xdr:pic>
    <xdr:clientData fLocksWithSheet="0"/>
  </xdr:oneCellAnchor>
  <xdr:oneCellAnchor>
    <xdr:from>
      <xdr:col>8</xdr:col>
      <xdr:colOff>45720</xdr:colOff>
      <xdr:row>197</xdr:row>
      <xdr:rowOff>1905</xdr:rowOff>
    </xdr:from>
    <xdr:ext cx="2095500" cy="828675"/>
    <xdr:pic>
      <xdr:nvPicPr>
        <xdr:cNvPr id="49" name="image255.png" descr="Recorte de pantalla">
          <a:extLst>
            <a:ext uri="{FF2B5EF4-FFF2-40B4-BE49-F238E27FC236}">
              <a16:creationId xmlns:a16="http://schemas.microsoft.com/office/drawing/2014/main" id="{4BF53EB7-2A69-4BB0-90EF-1C1C1566C1E4}"/>
            </a:ext>
          </a:extLst>
        </xdr:cNvPr>
        <xdr:cNvPicPr preferRelativeResize="0"/>
      </xdr:nvPicPr>
      <xdr:blipFill>
        <a:blip xmlns:r="http://schemas.openxmlformats.org/officeDocument/2006/relationships" r:embed="rId28" cstate="print"/>
        <a:stretch>
          <a:fillRect/>
        </a:stretch>
      </xdr:blipFill>
      <xdr:spPr>
        <a:xfrm>
          <a:off x="5798820" y="31901130"/>
          <a:ext cx="2095500" cy="828675"/>
        </a:xfrm>
        <a:prstGeom prst="rect">
          <a:avLst/>
        </a:prstGeom>
        <a:noFill/>
      </xdr:spPr>
    </xdr:pic>
    <xdr:clientData fLocksWithSheet="0"/>
  </xdr:oneCellAnchor>
  <xdr:oneCellAnchor>
    <xdr:from>
      <xdr:col>16</xdr:col>
      <xdr:colOff>116205</xdr:colOff>
      <xdr:row>197</xdr:row>
      <xdr:rowOff>19050</xdr:rowOff>
    </xdr:from>
    <xdr:ext cx="2095500" cy="828675"/>
    <xdr:pic>
      <xdr:nvPicPr>
        <xdr:cNvPr id="50" name="image255.png" descr="Recorte de pantalla">
          <a:extLst>
            <a:ext uri="{FF2B5EF4-FFF2-40B4-BE49-F238E27FC236}">
              <a16:creationId xmlns:a16="http://schemas.microsoft.com/office/drawing/2014/main" id="{5BFDA85C-6A96-449F-A76B-50BA40E517CB}"/>
            </a:ext>
          </a:extLst>
        </xdr:cNvPr>
        <xdr:cNvPicPr preferRelativeResize="0"/>
      </xdr:nvPicPr>
      <xdr:blipFill>
        <a:blip xmlns:r="http://schemas.openxmlformats.org/officeDocument/2006/relationships" r:embed="rId28" cstate="print"/>
        <a:stretch>
          <a:fillRect/>
        </a:stretch>
      </xdr:blipFill>
      <xdr:spPr>
        <a:xfrm>
          <a:off x="11584305" y="31918275"/>
          <a:ext cx="2095500" cy="828675"/>
        </a:xfrm>
        <a:prstGeom prst="rect">
          <a:avLst/>
        </a:prstGeom>
        <a:noFill/>
      </xdr:spPr>
    </xdr:pic>
    <xdr:clientData fLocksWithSheet="0"/>
  </xdr:oneCellAnchor>
  <xdr:oneCellAnchor>
    <xdr:from>
      <xdr:col>8</xdr:col>
      <xdr:colOff>51435</xdr:colOff>
      <xdr:row>208</xdr:row>
      <xdr:rowOff>20955</xdr:rowOff>
    </xdr:from>
    <xdr:ext cx="2095500" cy="790575"/>
    <xdr:pic>
      <xdr:nvPicPr>
        <xdr:cNvPr id="51" name="image264.png" descr="Recorte de pantalla">
          <a:extLst>
            <a:ext uri="{FF2B5EF4-FFF2-40B4-BE49-F238E27FC236}">
              <a16:creationId xmlns:a16="http://schemas.microsoft.com/office/drawing/2014/main" id="{CD79A167-A389-43AC-A1B4-B8C999FA2845}"/>
            </a:ext>
          </a:extLst>
        </xdr:cNvPr>
        <xdr:cNvPicPr preferRelativeResize="0"/>
      </xdr:nvPicPr>
      <xdr:blipFill>
        <a:blip xmlns:r="http://schemas.openxmlformats.org/officeDocument/2006/relationships" r:embed="rId29" cstate="print"/>
        <a:stretch>
          <a:fillRect/>
        </a:stretch>
      </xdr:blipFill>
      <xdr:spPr>
        <a:xfrm>
          <a:off x="5804535" y="33701355"/>
          <a:ext cx="2095500" cy="790575"/>
        </a:xfrm>
        <a:prstGeom prst="rect">
          <a:avLst/>
        </a:prstGeom>
        <a:noFill/>
      </xdr:spPr>
    </xdr:pic>
    <xdr:clientData fLocksWithSheet="0"/>
  </xdr:oneCellAnchor>
  <xdr:oneCellAnchor>
    <xdr:from>
      <xdr:col>16</xdr:col>
      <xdr:colOff>123825</xdr:colOff>
      <xdr:row>208</xdr:row>
      <xdr:rowOff>9525</xdr:rowOff>
    </xdr:from>
    <xdr:ext cx="2095500" cy="790575"/>
    <xdr:pic>
      <xdr:nvPicPr>
        <xdr:cNvPr id="52" name="image264.png" descr="Recorte de pantalla">
          <a:extLst>
            <a:ext uri="{FF2B5EF4-FFF2-40B4-BE49-F238E27FC236}">
              <a16:creationId xmlns:a16="http://schemas.microsoft.com/office/drawing/2014/main" id="{0DE44948-EBE8-4050-BFCC-166AE1D920F6}"/>
            </a:ext>
          </a:extLst>
        </xdr:cNvPr>
        <xdr:cNvPicPr preferRelativeResize="0"/>
      </xdr:nvPicPr>
      <xdr:blipFill>
        <a:blip xmlns:r="http://schemas.openxmlformats.org/officeDocument/2006/relationships" r:embed="rId29" cstate="print"/>
        <a:stretch>
          <a:fillRect/>
        </a:stretch>
      </xdr:blipFill>
      <xdr:spPr>
        <a:xfrm>
          <a:off x="11591925" y="33689925"/>
          <a:ext cx="2095500" cy="790575"/>
        </a:xfrm>
        <a:prstGeom prst="rect">
          <a:avLst/>
        </a:prstGeom>
        <a:noFill/>
      </xdr:spPr>
    </xdr:pic>
    <xdr:clientData fLocksWithSheet="0"/>
  </xdr:oneCellAnchor>
  <xdr:oneCellAnchor>
    <xdr:from>
      <xdr:col>13</xdr:col>
      <xdr:colOff>1905</xdr:colOff>
      <xdr:row>206</xdr:row>
      <xdr:rowOff>41910</xdr:rowOff>
    </xdr:from>
    <xdr:ext cx="828675" cy="1368000"/>
    <xdr:pic>
      <xdr:nvPicPr>
        <xdr:cNvPr id="53" name="image262.png" descr="Recorte de pantalla">
          <a:extLst>
            <a:ext uri="{FF2B5EF4-FFF2-40B4-BE49-F238E27FC236}">
              <a16:creationId xmlns:a16="http://schemas.microsoft.com/office/drawing/2014/main" id="{68C09203-3844-42E5-9136-454EF70E90E8}"/>
            </a:ext>
          </a:extLst>
        </xdr:cNvPr>
        <xdr:cNvPicPr preferRelativeResize="0"/>
      </xdr:nvPicPr>
      <xdr:blipFill>
        <a:blip xmlns:r="http://schemas.openxmlformats.org/officeDocument/2006/relationships" r:embed="rId30" cstate="print"/>
        <a:stretch>
          <a:fillRect/>
        </a:stretch>
      </xdr:blipFill>
      <xdr:spPr>
        <a:xfrm>
          <a:off x="9326880" y="33398460"/>
          <a:ext cx="828675" cy="1368000"/>
        </a:xfrm>
        <a:prstGeom prst="rect">
          <a:avLst/>
        </a:prstGeom>
        <a:noFill/>
      </xdr:spPr>
    </xdr:pic>
    <xdr:clientData fLocksWithSheet="0"/>
  </xdr:oneCellAnchor>
  <xdr:oneCellAnchor>
    <xdr:from>
      <xdr:col>21</xdr:col>
      <xdr:colOff>9525</xdr:colOff>
      <xdr:row>206</xdr:row>
      <xdr:rowOff>40005</xdr:rowOff>
    </xdr:from>
    <xdr:ext cx="847725" cy="1368000"/>
    <xdr:pic>
      <xdr:nvPicPr>
        <xdr:cNvPr id="54" name="image239.png" descr="Recorte de pantalla">
          <a:extLst>
            <a:ext uri="{FF2B5EF4-FFF2-40B4-BE49-F238E27FC236}">
              <a16:creationId xmlns:a16="http://schemas.microsoft.com/office/drawing/2014/main" id="{19037C2C-A02D-45BB-B006-44E0E8EC489D}"/>
            </a:ext>
          </a:extLst>
        </xdr:cNvPr>
        <xdr:cNvPicPr preferRelativeResize="0"/>
      </xdr:nvPicPr>
      <xdr:blipFill>
        <a:blip xmlns:r="http://schemas.openxmlformats.org/officeDocument/2006/relationships" r:embed="rId31" cstate="print"/>
        <a:stretch>
          <a:fillRect/>
        </a:stretch>
      </xdr:blipFill>
      <xdr:spPr>
        <a:xfrm>
          <a:off x="15049500" y="33396555"/>
          <a:ext cx="847725" cy="1368000"/>
        </a:xfrm>
        <a:prstGeom prst="rect">
          <a:avLst/>
        </a:prstGeom>
        <a:noFill/>
      </xdr:spPr>
    </xdr:pic>
    <xdr:clientData fLocksWithSheet="0"/>
  </xdr:oneCellAnchor>
  <xdr:oneCellAnchor>
    <xdr:from>
      <xdr:col>8</xdr:col>
      <xdr:colOff>78105</xdr:colOff>
      <xdr:row>218</xdr:row>
      <xdr:rowOff>41910</xdr:rowOff>
    </xdr:from>
    <xdr:ext cx="2095500" cy="1047750"/>
    <xdr:pic>
      <xdr:nvPicPr>
        <xdr:cNvPr id="55" name="image247.png" descr="Recorte de pantalla">
          <a:extLst>
            <a:ext uri="{FF2B5EF4-FFF2-40B4-BE49-F238E27FC236}">
              <a16:creationId xmlns:a16="http://schemas.microsoft.com/office/drawing/2014/main" id="{AFE103C5-00B6-41CF-92BB-97BC009723DE}"/>
            </a:ext>
          </a:extLst>
        </xdr:cNvPr>
        <xdr:cNvPicPr preferRelativeResize="0"/>
      </xdr:nvPicPr>
      <xdr:blipFill>
        <a:blip xmlns:r="http://schemas.openxmlformats.org/officeDocument/2006/relationships" r:embed="rId32" cstate="print"/>
        <a:stretch>
          <a:fillRect/>
        </a:stretch>
      </xdr:blipFill>
      <xdr:spPr>
        <a:xfrm>
          <a:off x="5831205" y="35341560"/>
          <a:ext cx="2095500" cy="1047750"/>
        </a:xfrm>
        <a:prstGeom prst="rect">
          <a:avLst/>
        </a:prstGeom>
        <a:noFill/>
      </xdr:spPr>
    </xdr:pic>
    <xdr:clientData fLocksWithSheet="0"/>
  </xdr:oneCellAnchor>
  <xdr:oneCellAnchor>
    <xdr:from>
      <xdr:col>16</xdr:col>
      <xdr:colOff>137160</xdr:colOff>
      <xdr:row>218</xdr:row>
      <xdr:rowOff>40005</xdr:rowOff>
    </xdr:from>
    <xdr:ext cx="2095500" cy="1047750"/>
    <xdr:pic>
      <xdr:nvPicPr>
        <xdr:cNvPr id="56" name="image247.png" descr="Recorte de pantalla">
          <a:extLst>
            <a:ext uri="{FF2B5EF4-FFF2-40B4-BE49-F238E27FC236}">
              <a16:creationId xmlns:a16="http://schemas.microsoft.com/office/drawing/2014/main" id="{F9487A2B-B3F1-4110-8C7F-55552FC07968}"/>
            </a:ext>
          </a:extLst>
        </xdr:cNvPr>
        <xdr:cNvPicPr preferRelativeResize="0"/>
      </xdr:nvPicPr>
      <xdr:blipFill>
        <a:blip xmlns:r="http://schemas.openxmlformats.org/officeDocument/2006/relationships" r:embed="rId32" cstate="print"/>
        <a:stretch>
          <a:fillRect/>
        </a:stretch>
      </xdr:blipFill>
      <xdr:spPr>
        <a:xfrm>
          <a:off x="11605260" y="35339655"/>
          <a:ext cx="2095500" cy="1047750"/>
        </a:xfrm>
        <a:prstGeom prst="rect">
          <a:avLst/>
        </a:prstGeom>
        <a:noFill/>
      </xdr:spPr>
    </xdr:pic>
    <xdr:clientData fLocksWithSheet="0"/>
  </xdr:oneCellAnchor>
  <xdr:oneCellAnchor>
    <xdr:from>
      <xdr:col>12</xdr:col>
      <xdr:colOff>714375</xdr:colOff>
      <xdr:row>228</xdr:row>
      <xdr:rowOff>20955</xdr:rowOff>
    </xdr:from>
    <xdr:ext cx="895350" cy="1400175"/>
    <xdr:pic>
      <xdr:nvPicPr>
        <xdr:cNvPr id="57" name="image256.png" descr="Recorte de pantalla">
          <a:extLst>
            <a:ext uri="{FF2B5EF4-FFF2-40B4-BE49-F238E27FC236}">
              <a16:creationId xmlns:a16="http://schemas.microsoft.com/office/drawing/2014/main" id="{95CC0D81-C2BA-47C2-8669-463C1884FD4A}"/>
            </a:ext>
          </a:extLst>
        </xdr:cNvPr>
        <xdr:cNvPicPr preferRelativeResize="0"/>
      </xdr:nvPicPr>
      <xdr:blipFill>
        <a:blip xmlns:r="http://schemas.openxmlformats.org/officeDocument/2006/relationships" r:embed="rId33" cstate="print"/>
        <a:stretch>
          <a:fillRect/>
        </a:stretch>
      </xdr:blipFill>
      <xdr:spPr>
        <a:xfrm>
          <a:off x="9324975" y="36939855"/>
          <a:ext cx="895350" cy="1400175"/>
        </a:xfrm>
        <a:prstGeom prst="rect">
          <a:avLst/>
        </a:prstGeom>
        <a:noFill/>
      </xdr:spPr>
    </xdr:pic>
    <xdr:clientData fLocksWithSheet="0"/>
  </xdr:oneCellAnchor>
  <xdr:oneCellAnchor>
    <xdr:from>
      <xdr:col>20</xdr:col>
      <xdr:colOff>727710</xdr:colOff>
      <xdr:row>228</xdr:row>
      <xdr:rowOff>13335</xdr:rowOff>
    </xdr:from>
    <xdr:ext cx="895350" cy="1400175"/>
    <xdr:pic>
      <xdr:nvPicPr>
        <xdr:cNvPr id="58" name="image256.png" descr="Recorte de pantalla">
          <a:extLst>
            <a:ext uri="{FF2B5EF4-FFF2-40B4-BE49-F238E27FC236}">
              <a16:creationId xmlns:a16="http://schemas.microsoft.com/office/drawing/2014/main" id="{CE5D568F-7645-46DE-B743-A2F66B4FC53F}"/>
            </a:ext>
          </a:extLst>
        </xdr:cNvPr>
        <xdr:cNvPicPr preferRelativeResize="0"/>
      </xdr:nvPicPr>
      <xdr:blipFill>
        <a:blip xmlns:r="http://schemas.openxmlformats.org/officeDocument/2006/relationships" r:embed="rId33" cstate="print"/>
        <a:stretch>
          <a:fillRect/>
        </a:stretch>
      </xdr:blipFill>
      <xdr:spPr>
        <a:xfrm>
          <a:off x="15043785" y="36932235"/>
          <a:ext cx="895350" cy="1400175"/>
        </a:xfrm>
        <a:prstGeom prst="rect">
          <a:avLst/>
        </a:prstGeom>
        <a:noFill/>
      </xdr:spPr>
    </xdr:pic>
    <xdr:clientData fLocksWithSheet="0"/>
  </xdr:oneCellAnchor>
  <xdr:oneCellAnchor>
    <xdr:from>
      <xdr:col>12</xdr:col>
      <xdr:colOff>83820</xdr:colOff>
      <xdr:row>239</xdr:row>
      <xdr:rowOff>32385</xdr:rowOff>
    </xdr:from>
    <xdr:ext cx="2066925" cy="1368000"/>
    <xdr:pic>
      <xdr:nvPicPr>
        <xdr:cNvPr id="59" name="image266.png" descr="Recorte de pantalla">
          <a:extLst>
            <a:ext uri="{FF2B5EF4-FFF2-40B4-BE49-F238E27FC236}">
              <a16:creationId xmlns:a16="http://schemas.microsoft.com/office/drawing/2014/main" id="{B5AF2D22-6593-44D5-8318-1F1CC81AA3C7}"/>
            </a:ext>
          </a:extLst>
        </xdr:cNvPr>
        <xdr:cNvPicPr preferRelativeResize="0"/>
      </xdr:nvPicPr>
      <xdr:blipFill>
        <a:blip xmlns:r="http://schemas.openxmlformats.org/officeDocument/2006/relationships" r:embed="rId34" cstate="print"/>
        <a:stretch>
          <a:fillRect/>
        </a:stretch>
      </xdr:blipFill>
      <xdr:spPr>
        <a:xfrm>
          <a:off x="8694420" y="38732460"/>
          <a:ext cx="2066925" cy="1368000"/>
        </a:xfrm>
        <a:prstGeom prst="rect">
          <a:avLst/>
        </a:prstGeom>
        <a:noFill/>
      </xdr:spPr>
    </xdr:pic>
    <xdr:clientData fLocksWithSheet="0"/>
  </xdr:oneCellAnchor>
  <xdr:oneCellAnchor>
    <xdr:from>
      <xdr:col>20</xdr:col>
      <xdr:colOff>62865</xdr:colOff>
      <xdr:row>239</xdr:row>
      <xdr:rowOff>19050</xdr:rowOff>
    </xdr:from>
    <xdr:ext cx="2095500" cy="1368000"/>
    <xdr:pic>
      <xdr:nvPicPr>
        <xdr:cNvPr id="60" name="image246.png" descr="Recorte de pantalla">
          <a:extLst>
            <a:ext uri="{FF2B5EF4-FFF2-40B4-BE49-F238E27FC236}">
              <a16:creationId xmlns:a16="http://schemas.microsoft.com/office/drawing/2014/main" id="{E1517B5B-FCF2-4F5B-8433-179D6AD41DF5}"/>
            </a:ext>
          </a:extLst>
        </xdr:cNvPr>
        <xdr:cNvPicPr preferRelativeResize="0"/>
      </xdr:nvPicPr>
      <xdr:blipFill>
        <a:blip xmlns:r="http://schemas.openxmlformats.org/officeDocument/2006/relationships" r:embed="rId35" cstate="print"/>
        <a:stretch>
          <a:fillRect/>
        </a:stretch>
      </xdr:blipFill>
      <xdr:spPr>
        <a:xfrm>
          <a:off x="14388465" y="38719125"/>
          <a:ext cx="2095500" cy="1368000"/>
        </a:xfrm>
        <a:prstGeom prst="rect">
          <a:avLst/>
        </a:prstGeom>
        <a:noFill/>
      </xdr:spPr>
    </xdr:pic>
    <xdr:clientData fLocksWithSheet="0"/>
  </xdr:oneCellAnchor>
  <xdr:oneCellAnchor>
    <xdr:from>
      <xdr:col>12</xdr:col>
      <xdr:colOff>74295</xdr:colOff>
      <xdr:row>261</xdr:row>
      <xdr:rowOff>32385</xdr:rowOff>
    </xdr:from>
    <xdr:ext cx="2009775" cy="1400175"/>
    <xdr:pic>
      <xdr:nvPicPr>
        <xdr:cNvPr id="61" name="image280.png" descr="Recorte de pantalla">
          <a:extLst>
            <a:ext uri="{FF2B5EF4-FFF2-40B4-BE49-F238E27FC236}">
              <a16:creationId xmlns:a16="http://schemas.microsoft.com/office/drawing/2014/main" id="{D3BD9A38-092C-4FFC-B664-6625AFE598A2}"/>
            </a:ext>
          </a:extLst>
        </xdr:cNvPr>
        <xdr:cNvPicPr preferRelativeResize="0"/>
      </xdr:nvPicPr>
      <xdr:blipFill>
        <a:blip xmlns:r="http://schemas.openxmlformats.org/officeDocument/2006/relationships" r:embed="rId36" cstate="print"/>
        <a:stretch>
          <a:fillRect/>
        </a:stretch>
      </xdr:blipFill>
      <xdr:spPr>
        <a:xfrm>
          <a:off x="8684895" y="42294810"/>
          <a:ext cx="2009775" cy="1400175"/>
        </a:xfrm>
        <a:prstGeom prst="rect">
          <a:avLst/>
        </a:prstGeom>
        <a:noFill/>
      </xdr:spPr>
    </xdr:pic>
    <xdr:clientData fLocksWithSheet="0"/>
  </xdr:oneCellAnchor>
  <xdr:oneCellAnchor>
    <xdr:from>
      <xdr:col>20</xdr:col>
      <xdr:colOff>112395</xdr:colOff>
      <xdr:row>261</xdr:row>
      <xdr:rowOff>28575</xdr:rowOff>
    </xdr:from>
    <xdr:ext cx="2009775" cy="1400175"/>
    <xdr:pic>
      <xdr:nvPicPr>
        <xdr:cNvPr id="62" name="image280.png" descr="Recorte de pantalla">
          <a:extLst>
            <a:ext uri="{FF2B5EF4-FFF2-40B4-BE49-F238E27FC236}">
              <a16:creationId xmlns:a16="http://schemas.microsoft.com/office/drawing/2014/main" id="{7228F704-4A26-45EA-A3AA-7A0F021819E3}"/>
            </a:ext>
          </a:extLst>
        </xdr:cNvPr>
        <xdr:cNvPicPr preferRelativeResize="0"/>
      </xdr:nvPicPr>
      <xdr:blipFill>
        <a:blip xmlns:r="http://schemas.openxmlformats.org/officeDocument/2006/relationships" r:embed="rId36" cstate="print"/>
        <a:stretch>
          <a:fillRect/>
        </a:stretch>
      </xdr:blipFill>
      <xdr:spPr>
        <a:xfrm>
          <a:off x="14437995" y="42291000"/>
          <a:ext cx="2009775" cy="1400175"/>
        </a:xfrm>
        <a:prstGeom prst="rect">
          <a:avLst/>
        </a:prstGeom>
        <a:noFill/>
      </xdr:spPr>
    </xdr:pic>
    <xdr:clientData fLocksWithSheet="0"/>
  </xdr:oneCellAnchor>
  <xdr:oneCellAnchor>
    <xdr:from>
      <xdr:col>8</xdr:col>
      <xdr:colOff>70485</xdr:colOff>
      <xdr:row>273</xdr:row>
      <xdr:rowOff>22860</xdr:rowOff>
    </xdr:from>
    <xdr:ext cx="2095500" cy="1066800"/>
    <xdr:pic>
      <xdr:nvPicPr>
        <xdr:cNvPr id="63" name="image260.png" descr="Recorte de pantalla">
          <a:extLst>
            <a:ext uri="{FF2B5EF4-FFF2-40B4-BE49-F238E27FC236}">
              <a16:creationId xmlns:a16="http://schemas.microsoft.com/office/drawing/2014/main" id="{1A3875F0-7E3C-4F77-ABE8-4C7C0A7E7AD1}"/>
            </a:ext>
          </a:extLst>
        </xdr:cNvPr>
        <xdr:cNvPicPr preferRelativeResize="0"/>
      </xdr:nvPicPr>
      <xdr:blipFill>
        <a:blip xmlns:r="http://schemas.openxmlformats.org/officeDocument/2006/relationships" r:embed="rId37" cstate="print"/>
        <a:stretch>
          <a:fillRect/>
        </a:stretch>
      </xdr:blipFill>
      <xdr:spPr>
        <a:xfrm>
          <a:off x="5823585" y="44228385"/>
          <a:ext cx="2095500" cy="1066800"/>
        </a:xfrm>
        <a:prstGeom prst="rect">
          <a:avLst/>
        </a:prstGeom>
        <a:noFill/>
      </xdr:spPr>
    </xdr:pic>
    <xdr:clientData fLocksWithSheet="0"/>
  </xdr:oneCellAnchor>
  <xdr:oneCellAnchor>
    <xdr:from>
      <xdr:col>16</xdr:col>
      <xdr:colOff>85725</xdr:colOff>
      <xdr:row>273</xdr:row>
      <xdr:rowOff>57150</xdr:rowOff>
    </xdr:from>
    <xdr:ext cx="2095500" cy="1066800"/>
    <xdr:pic>
      <xdr:nvPicPr>
        <xdr:cNvPr id="64" name="image260.png" descr="Recorte de pantalla">
          <a:extLst>
            <a:ext uri="{FF2B5EF4-FFF2-40B4-BE49-F238E27FC236}">
              <a16:creationId xmlns:a16="http://schemas.microsoft.com/office/drawing/2014/main" id="{D6B46172-631C-452F-94B9-7725D2364B4B}"/>
            </a:ext>
          </a:extLst>
        </xdr:cNvPr>
        <xdr:cNvPicPr preferRelativeResize="0"/>
      </xdr:nvPicPr>
      <xdr:blipFill>
        <a:blip xmlns:r="http://schemas.openxmlformats.org/officeDocument/2006/relationships" r:embed="rId37" cstate="print"/>
        <a:stretch>
          <a:fillRect/>
        </a:stretch>
      </xdr:blipFill>
      <xdr:spPr>
        <a:xfrm>
          <a:off x="11553825" y="44262675"/>
          <a:ext cx="2095500" cy="1066800"/>
        </a:xfrm>
        <a:prstGeom prst="rect">
          <a:avLst/>
        </a:prstGeom>
        <a:noFill/>
      </xdr:spPr>
    </xdr:pic>
    <xdr:clientData fLocksWithSheet="0"/>
  </xdr:oneCellAnchor>
  <xdr:oneCellAnchor>
    <xdr:from>
      <xdr:col>12</xdr:col>
      <xdr:colOff>200025</xdr:colOff>
      <xdr:row>272</xdr:row>
      <xdr:rowOff>28575</xdr:rowOff>
    </xdr:from>
    <xdr:ext cx="1952625" cy="1368000"/>
    <xdr:pic>
      <xdr:nvPicPr>
        <xdr:cNvPr id="65" name="image271.png" descr="Recorte de pantalla">
          <a:extLst>
            <a:ext uri="{FF2B5EF4-FFF2-40B4-BE49-F238E27FC236}">
              <a16:creationId xmlns:a16="http://schemas.microsoft.com/office/drawing/2014/main" id="{EF3898FD-901C-4AAE-B8C6-5A662E72EDBC}"/>
            </a:ext>
          </a:extLst>
        </xdr:cNvPr>
        <xdr:cNvPicPr preferRelativeResize="0"/>
      </xdr:nvPicPr>
      <xdr:blipFill>
        <a:blip xmlns:r="http://schemas.openxmlformats.org/officeDocument/2006/relationships" r:embed="rId38" cstate="print"/>
        <a:stretch>
          <a:fillRect/>
        </a:stretch>
      </xdr:blipFill>
      <xdr:spPr>
        <a:xfrm>
          <a:off x="8810625" y="44072175"/>
          <a:ext cx="1952625" cy="1368000"/>
        </a:xfrm>
        <a:prstGeom prst="rect">
          <a:avLst/>
        </a:prstGeom>
        <a:noFill/>
      </xdr:spPr>
    </xdr:pic>
    <xdr:clientData fLocksWithSheet="0"/>
  </xdr:oneCellAnchor>
  <xdr:oneCellAnchor>
    <xdr:from>
      <xdr:col>20</xdr:col>
      <xdr:colOff>146685</xdr:colOff>
      <xdr:row>272</xdr:row>
      <xdr:rowOff>30480</xdr:rowOff>
    </xdr:from>
    <xdr:ext cx="1952625" cy="1368000"/>
    <xdr:pic>
      <xdr:nvPicPr>
        <xdr:cNvPr id="66" name="image271.png" descr="Recorte de pantalla">
          <a:extLst>
            <a:ext uri="{FF2B5EF4-FFF2-40B4-BE49-F238E27FC236}">
              <a16:creationId xmlns:a16="http://schemas.microsoft.com/office/drawing/2014/main" id="{23FB06BA-1CCC-4F68-9AE8-2914A5587638}"/>
            </a:ext>
          </a:extLst>
        </xdr:cNvPr>
        <xdr:cNvPicPr preferRelativeResize="0"/>
      </xdr:nvPicPr>
      <xdr:blipFill>
        <a:blip xmlns:r="http://schemas.openxmlformats.org/officeDocument/2006/relationships" r:embed="rId38" cstate="print"/>
        <a:stretch>
          <a:fillRect/>
        </a:stretch>
      </xdr:blipFill>
      <xdr:spPr>
        <a:xfrm>
          <a:off x="14472285" y="44074080"/>
          <a:ext cx="1952625" cy="1368000"/>
        </a:xfrm>
        <a:prstGeom prst="rect">
          <a:avLst/>
        </a:prstGeom>
        <a:noFill/>
      </xdr:spPr>
    </xdr:pic>
    <xdr:clientData fLocksWithSheet="0"/>
  </xdr:oneCellAnchor>
  <xdr:oneCellAnchor>
    <xdr:from>
      <xdr:col>8</xdr:col>
      <xdr:colOff>51435</xdr:colOff>
      <xdr:row>284</xdr:row>
      <xdr:rowOff>66675</xdr:rowOff>
    </xdr:from>
    <xdr:ext cx="2095500" cy="1009650"/>
    <xdr:pic>
      <xdr:nvPicPr>
        <xdr:cNvPr id="67" name="image261.png" descr="Recorte de pantalla">
          <a:extLst>
            <a:ext uri="{FF2B5EF4-FFF2-40B4-BE49-F238E27FC236}">
              <a16:creationId xmlns:a16="http://schemas.microsoft.com/office/drawing/2014/main" id="{236E6A70-6F23-458F-BDAB-6D848DF6B88F}"/>
            </a:ext>
          </a:extLst>
        </xdr:cNvPr>
        <xdr:cNvPicPr preferRelativeResize="0"/>
      </xdr:nvPicPr>
      <xdr:blipFill>
        <a:blip xmlns:r="http://schemas.openxmlformats.org/officeDocument/2006/relationships" r:embed="rId39" cstate="print"/>
        <a:stretch>
          <a:fillRect/>
        </a:stretch>
      </xdr:blipFill>
      <xdr:spPr>
        <a:xfrm>
          <a:off x="5804535" y="46053375"/>
          <a:ext cx="2095500" cy="1009650"/>
        </a:xfrm>
        <a:prstGeom prst="rect">
          <a:avLst/>
        </a:prstGeom>
        <a:noFill/>
      </xdr:spPr>
    </xdr:pic>
    <xdr:clientData fLocksWithSheet="0"/>
  </xdr:oneCellAnchor>
  <xdr:oneCellAnchor>
    <xdr:from>
      <xdr:col>16</xdr:col>
      <xdr:colOff>133350</xdr:colOff>
      <xdr:row>284</xdr:row>
      <xdr:rowOff>28575</xdr:rowOff>
    </xdr:from>
    <xdr:ext cx="2095500" cy="1009650"/>
    <xdr:pic>
      <xdr:nvPicPr>
        <xdr:cNvPr id="68" name="image261.png" descr="Recorte de pantalla">
          <a:extLst>
            <a:ext uri="{FF2B5EF4-FFF2-40B4-BE49-F238E27FC236}">
              <a16:creationId xmlns:a16="http://schemas.microsoft.com/office/drawing/2014/main" id="{9F27C036-DBCA-4A03-83CA-308FE36D24AD}"/>
            </a:ext>
          </a:extLst>
        </xdr:cNvPr>
        <xdr:cNvPicPr preferRelativeResize="0"/>
      </xdr:nvPicPr>
      <xdr:blipFill>
        <a:blip xmlns:r="http://schemas.openxmlformats.org/officeDocument/2006/relationships" r:embed="rId39" cstate="print"/>
        <a:stretch>
          <a:fillRect/>
        </a:stretch>
      </xdr:blipFill>
      <xdr:spPr>
        <a:xfrm>
          <a:off x="11601450" y="46015275"/>
          <a:ext cx="2095500" cy="1009650"/>
        </a:xfrm>
        <a:prstGeom prst="rect">
          <a:avLst/>
        </a:prstGeom>
        <a:noFill/>
      </xdr:spPr>
    </xdr:pic>
    <xdr:clientData fLocksWithSheet="0"/>
  </xdr:oneCellAnchor>
  <xdr:oneCellAnchor>
    <xdr:from>
      <xdr:col>12</xdr:col>
      <xdr:colOff>78105</xdr:colOff>
      <xdr:row>283</xdr:row>
      <xdr:rowOff>95250</xdr:rowOff>
    </xdr:from>
    <xdr:ext cx="2095500" cy="1295400"/>
    <xdr:pic>
      <xdr:nvPicPr>
        <xdr:cNvPr id="69" name="image258.png" descr="Recorte de pantalla">
          <a:extLst>
            <a:ext uri="{FF2B5EF4-FFF2-40B4-BE49-F238E27FC236}">
              <a16:creationId xmlns:a16="http://schemas.microsoft.com/office/drawing/2014/main" id="{BA834BE1-6FE1-4023-9F05-AAAB80189132}"/>
            </a:ext>
          </a:extLst>
        </xdr:cNvPr>
        <xdr:cNvPicPr preferRelativeResize="0"/>
      </xdr:nvPicPr>
      <xdr:blipFill>
        <a:blip xmlns:r="http://schemas.openxmlformats.org/officeDocument/2006/relationships" r:embed="rId40" cstate="print"/>
        <a:stretch>
          <a:fillRect/>
        </a:stretch>
      </xdr:blipFill>
      <xdr:spPr>
        <a:xfrm>
          <a:off x="8688705" y="45920025"/>
          <a:ext cx="2095500" cy="1295400"/>
        </a:xfrm>
        <a:prstGeom prst="rect">
          <a:avLst/>
        </a:prstGeom>
        <a:noFill/>
      </xdr:spPr>
    </xdr:pic>
    <xdr:clientData fLocksWithSheet="0"/>
  </xdr:oneCellAnchor>
  <xdr:oneCellAnchor>
    <xdr:from>
      <xdr:col>20</xdr:col>
      <xdr:colOff>62865</xdr:colOff>
      <xdr:row>283</xdr:row>
      <xdr:rowOff>57150</xdr:rowOff>
    </xdr:from>
    <xdr:ext cx="2095500" cy="1295400"/>
    <xdr:pic>
      <xdr:nvPicPr>
        <xdr:cNvPr id="70" name="image258.png" descr="Recorte de pantalla">
          <a:extLst>
            <a:ext uri="{FF2B5EF4-FFF2-40B4-BE49-F238E27FC236}">
              <a16:creationId xmlns:a16="http://schemas.microsoft.com/office/drawing/2014/main" id="{082D1D60-4DBA-4E0B-813A-7EBEB48E4C92}"/>
            </a:ext>
          </a:extLst>
        </xdr:cNvPr>
        <xdr:cNvPicPr preferRelativeResize="0"/>
      </xdr:nvPicPr>
      <xdr:blipFill>
        <a:blip xmlns:r="http://schemas.openxmlformats.org/officeDocument/2006/relationships" r:embed="rId40" cstate="print"/>
        <a:stretch>
          <a:fillRect/>
        </a:stretch>
      </xdr:blipFill>
      <xdr:spPr>
        <a:xfrm>
          <a:off x="14388465" y="45881925"/>
          <a:ext cx="2095500" cy="1295400"/>
        </a:xfrm>
        <a:prstGeom prst="rect">
          <a:avLst/>
        </a:prstGeom>
        <a:noFill/>
      </xdr:spPr>
    </xdr:pic>
    <xdr:clientData fLocksWithSheet="0"/>
  </xdr:oneCellAnchor>
  <xdr:oneCellAnchor>
    <xdr:from>
      <xdr:col>8</xdr:col>
      <xdr:colOff>60960</xdr:colOff>
      <xdr:row>295</xdr:row>
      <xdr:rowOff>57150</xdr:rowOff>
    </xdr:from>
    <xdr:ext cx="2095500" cy="1114425"/>
    <xdr:pic>
      <xdr:nvPicPr>
        <xdr:cNvPr id="71" name="image270.png" descr="Recorte de pantalla">
          <a:extLst>
            <a:ext uri="{FF2B5EF4-FFF2-40B4-BE49-F238E27FC236}">
              <a16:creationId xmlns:a16="http://schemas.microsoft.com/office/drawing/2014/main" id="{0C2BD622-B13A-4536-9553-9C623A1C0BAB}"/>
            </a:ext>
          </a:extLst>
        </xdr:cNvPr>
        <xdr:cNvPicPr preferRelativeResize="0"/>
      </xdr:nvPicPr>
      <xdr:blipFill>
        <a:blip xmlns:r="http://schemas.openxmlformats.org/officeDocument/2006/relationships" r:embed="rId41" cstate="print"/>
        <a:stretch>
          <a:fillRect/>
        </a:stretch>
      </xdr:blipFill>
      <xdr:spPr>
        <a:xfrm>
          <a:off x="5814060" y="47825025"/>
          <a:ext cx="2095500" cy="1114425"/>
        </a:xfrm>
        <a:prstGeom prst="rect">
          <a:avLst/>
        </a:prstGeom>
        <a:noFill/>
      </xdr:spPr>
    </xdr:pic>
    <xdr:clientData fLocksWithSheet="0"/>
  </xdr:oneCellAnchor>
  <xdr:oneCellAnchor>
    <xdr:from>
      <xdr:col>16</xdr:col>
      <xdr:colOff>104775</xdr:colOff>
      <xdr:row>295</xdr:row>
      <xdr:rowOff>85725</xdr:rowOff>
    </xdr:from>
    <xdr:ext cx="2095500" cy="1114425"/>
    <xdr:pic>
      <xdr:nvPicPr>
        <xdr:cNvPr id="72" name="image270.png" descr="Recorte de pantalla">
          <a:extLst>
            <a:ext uri="{FF2B5EF4-FFF2-40B4-BE49-F238E27FC236}">
              <a16:creationId xmlns:a16="http://schemas.microsoft.com/office/drawing/2014/main" id="{FF60CE6E-6DBE-4CF9-B4B4-B9288BFB34EE}"/>
            </a:ext>
          </a:extLst>
        </xdr:cNvPr>
        <xdr:cNvPicPr preferRelativeResize="0"/>
      </xdr:nvPicPr>
      <xdr:blipFill>
        <a:blip xmlns:r="http://schemas.openxmlformats.org/officeDocument/2006/relationships" r:embed="rId41" cstate="print"/>
        <a:stretch>
          <a:fillRect/>
        </a:stretch>
      </xdr:blipFill>
      <xdr:spPr>
        <a:xfrm>
          <a:off x="11572875" y="47853600"/>
          <a:ext cx="2095500" cy="1114425"/>
        </a:xfrm>
        <a:prstGeom prst="rect">
          <a:avLst/>
        </a:prstGeom>
        <a:noFill/>
      </xdr:spPr>
    </xdr:pic>
    <xdr:clientData fLocksWithSheet="0"/>
  </xdr:oneCellAnchor>
  <xdr:oneCellAnchor>
    <xdr:from>
      <xdr:col>12</xdr:col>
      <xdr:colOff>51435</xdr:colOff>
      <xdr:row>294</xdr:row>
      <xdr:rowOff>100965</xdr:rowOff>
    </xdr:from>
    <xdr:ext cx="2095500" cy="1314450"/>
    <xdr:pic>
      <xdr:nvPicPr>
        <xdr:cNvPr id="73" name="image272.png" descr="Recorte de pantalla">
          <a:extLst>
            <a:ext uri="{FF2B5EF4-FFF2-40B4-BE49-F238E27FC236}">
              <a16:creationId xmlns:a16="http://schemas.microsoft.com/office/drawing/2014/main" id="{D95D908A-C83D-49B0-A6EF-0F1AD15BF1E2}"/>
            </a:ext>
          </a:extLst>
        </xdr:cNvPr>
        <xdr:cNvPicPr preferRelativeResize="0"/>
      </xdr:nvPicPr>
      <xdr:blipFill>
        <a:blip xmlns:r="http://schemas.openxmlformats.org/officeDocument/2006/relationships" r:embed="rId42" cstate="print"/>
        <a:stretch>
          <a:fillRect/>
        </a:stretch>
      </xdr:blipFill>
      <xdr:spPr>
        <a:xfrm>
          <a:off x="8662035" y="47706915"/>
          <a:ext cx="2095500" cy="1314450"/>
        </a:xfrm>
        <a:prstGeom prst="rect">
          <a:avLst/>
        </a:prstGeom>
        <a:noFill/>
      </xdr:spPr>
    </xdr:pic>
    <xdr:clientData fLocksWithSheet="0"/>
  </xdr:oneCellAnchor>
  <xdr:oneCellAnchor>
    <xdr:from>
      <xdr:col>20</xdr:col>
      <xdr:colOff>68580</xdr:colOff>
      <xdr:row>294</xdr:row>
      <xdr:rowOff>114300</xdr:rowOff>
    </xdr:from>
    <xdr:ext cx="2095500" cy="1314450"/>
    <xdr:pic>
      <xdr:nvPicPr>
        <xdr:cNvPr id="74" name="image272.png" descr="Recorte de pantalla">
          <a:extLst>
            <a:ext uri="{FF2B5EF4-FFF2-40B4-BE49-F238E27FC236}">
              <a16:creationId xmlns:a16="http://schemas.microsoft.com/office/drawing/2014/main" id="{A538615D-5F13-4B1C-8D84-8647BF5B8491}"/>
            </a:ext>
          </a:extLst>
        </xdr:cNvPr>
        <xdr:cNvPicPr preferRelativeResize="0"/>
      </xdr:nvPicPr>
      <xdr:blipFill>
        <a:blip xmlns:r="http://schemas.openxmlformats.org/officeDocument/2006/relationships" r:embed="rId42" cstate="print"/>
        <a:stretch>
          <a:fillRect/>
        </a:stretch>
      </xdr:blipFill>
      <xdr:spPr>
        <a:xfrm>
          <a:off x="14394180" y="47720250"/>
          <a:ext cx="2095500" cy="1314450"/>
        </a:xfrm>
        <a:prstGeom prst="rect">
          <a:avLst/>
        </a:prstGeom>
        <a:noFill/>
      </xdr:spPr>
    </xdr:pic>
    <xdr:clientData fLocksWithSheet="0"/>
  </xdr:oneCellAnchor>
  <xdr:oneCellAnchor>
    <xdr:from>
      <xdr:col>16</xdr:col>
      <xdr:colOff>85725</xdr:colOff>
      <xdr:row>317</xdr:row>
      <xdr:rowOff>133350</xdr:rowOff>
    </xdr:from>
    <xdr:ext cx="2095500" cy="1019175"/>
    <xdr:pic>
      <xdr:nvPicPr>
        <xdr:cNvPr id="75" name="image276.png" descr="Recorte de pantalla">
          <a:extLst>
            <a:ext uri="{FF2B5EF4-FFF2-40B4-BE49-F238E27FC236}">
              <a16:creationId xmlns:a16="http://schemas.microsoft.com/office/drawing/2014/main" id="{890A8940-7368-41D2-87F0-1448C41580CE}"/>
            </a:ext>
          </a:extLst>
        </xdr:cNvPr>
        <xdr:cNvPicPr preferRelativeResize="0"/>
      </xdr:nvPicPr>
      <xdr:blipFill>
        <a:blip xmlns:r="http://schemas.openxmlformats.org/officeDocument/2006/relationships" r:embed="rId43" cstate="print"/>
        <a:stretch>
          <a:fillRect/>
        </a:stretch>
      </xdr:blipFill>
      <xdr:spPr>
        <a:xfrm>
          <a:off x="11553825" y="51463575"/>
          <a:ext cx="2095500" cy="1019175"/>
        </a:xfrm>
        <a:prstGeom prst="rect">
          <a:avLst/>
        </a:prstGeom>
        <a:noFill/>
      </xdr:spPr>
    </xdr:pic>
    <xdr:clientData fLocksWithSheet="0"/>
  </xdr:oneCellAnchor>
  <xdr:oneCellAnchor>
    <xdr:from>
      <xdr:col>8</xdr:col>
      <xdr:colOff>49530</xdr:colOff>
      <xdr:row>317</xdr:row>
      <xdr:rowOff>40005</xdr:rowOff>
    </xdr:from>
    <xdr:ext cx="2095500" cy="1047750"/>
    <xdr:pic>
      <xdr:nvPicPr>
        <xdr:cNvPr id="76" name="image281.png" descr="Recorte de pantalla">
          <a:extLst>
            <a:ext uri="{FF2B5EF4-FFF2-40B4-BE49-F238E27FC236}">
              <a16:creationId xmlns:a16="http://schemas.microsoft.com/office/drawing/2014/main" id="{97A83E37-C7EA-4B38-9C8E-2D32A64A74C5}"/>
            </a:ext>
          </a:extLst>
        </xdr:cNvPr>
        <xdr:cNvPicPr preferRelativeResize="0"/>
      </xdr:nvPicPr>
      <xdr:blipFill>
        <a:blip xmlns:r="http://schemas.openxmlformats.org/officeDocument/2006/relationships" r:embed="rId44" cstate="print"/>
        <a:stretch>
          <a:fillRect/>
        </a:stretch>
      </xdr:blipFill>
      <xdr:spPr>
        <a:xfrm>
          <a:off x="5802630" y="51370230"/>
          <a:ext cx="2095500" cy="1047750"/>
        </a:xfrm>
        <a:prstGeom prst="rect">
          <a:avLst/>
        </a:prstGeom>
        <a:noFill/>
      </xdr:spPr>
    </xdr:pic>
    <xdr:clientData fLocksWithSheet="0"/>
  </xdr:oneCellAnchor>
  <xdr:oneCellAnchor>
    <xdr:from>
      <xdr:col>12</xdr:col>
      <xdr:colOff>68580</xdr:colOff>
      <xdr:row>316</xdr:row>
      <xdr:rowOff>34290</xdr:rowOff>
    </xdr:from>
    <xdr:ext cx="2088000" cy="1368000"/>
    <xdr:pic>
      <xdr:nvPicPr>
        <xdr:cNvPr id="77" name="image267.png" descr="Recorte de pantalla">
          <a:extLst>
            <a:ext uri="{FF2B5EF4-FFF2-40B4-BE49-F238E27FC236}">
              <a16:creationId xmlns:a16="http://schemas.microsoft.com/office/drawing/2014/main" id="{51BD35D5-A296-412B-8C76-4DF33C92A835}"/>
            </a:ext>
          </a:extLst>
        </xdr:cNvPr>
        <xdr:cNvPicPr preferRelativeResize="0"/>
      </xdr:nvPicPr>
      <xdr:blipFill>
        <a:blip xmlns:r="http://schemas.openxmlformats.org/officeDocument/2006/relationships" r:embed="rId45" cstate="print"/>
        <a:stretch>
          <a:fillRect/>
        </a:stretch>
      </xdr:blipFill>
      <xdr:spPr>
        <a:xfrm>
          <a:off x="8679180" y="51202590"/>
          <a:ext cx="2088000" cy="1368000"/>
        </a:xfrm>
        <a:prstGeom prst="rect">
          <a:avLst/>
        </a:prstGeom>
        <a:noFill/>
      </xdr:spPr>
    </xdr:pic>
    <xdr:clientData fLocksWithSheet="0"/>
  </xdr:oneCellAnchor>
  <xdr:oneCellAnchor>
    <xdr:from>
      <xdr:col>20</xdr:col>
      <xdr:colOff>57150</xdr:colOff>
      <xdr:row>316</xdr:row>
      <xdr:rowOff>38100</xdr:rowOff>
    </xdr:from>
    <xdr:ext cx="2088000" cy="1368000"/>
    <xdr:pic>
      <xdr:nvPicPr>
        <xdr:cNvPr id="78" name="image267.png" descr="Recorte de pantalla">
          <a:extLst>
            <a:ext uri="{FF2B5EF4-FFF2-40B4-BE49-F238E27FC236}">
              <a16:creationId xmlns:a16="http://schemas.microsoft.com/office/drawing/2014/main" id="{A671987B-FD33-4DBC-A2AD-49C6485FE293}"/>
            </a:ext>
          </a:extLst>
        </xdr:cNvPr>
        <xdr:cNvPicPr preferRelativeResize="0"/>
      </xdr:nvPicPr>
      <xdr:blipFill>
        <a:blip xmlns:r="http://schemas.openxmlformats.org/officeDocument/2006/relationships" r:embed="rId45" cstate="print"/>
        <a:stretch>
          <a:fillRect/>
        </a:stretch>
      </xdr:blipFill>
      <xdr:spPr>
        <a:xfrm>
          <a:off x="14382750" y="51206400"/>
          <a:ext cx="2088000" cy="1368000"/>
        </a:xfrm>
        <a:prstGeom prst="rect">
          <a:avLst/>
        </a:prstGeom>
        <a:noFill/>
      </xdr:spPr>
    </xdr:pic>
    <xdr:clientData fLocksWithSheet="0"/>
  </xdr:oneCellAnchor>
  <xdr:oneCellAnchor>
    <xdr:from>
      <xdr:col>12</xdr:col>
      <xdr:colOff>285750</xdr:colOff>
      <xdr:row>250</xdr:row>
      <xdr:rowOff>19050</xdr:rowOff>
    </xdr:from>
    <xdr:ext cx="1857375" cy="1400175"/>
    <xdr:pic>
      <xdr:nvPicPr>
        <xdr:cNvPr id="79" name="image274.png" descr="Recorte de pantalla">
          <a:extLst>
            <a:ext uri="{FF2B5EF4-FFF2-40B4-BE49-F238E27FC236}">
              <a16:creationId xmlns:a16="http://schemas.microsoft.com/office/drawing/2014/main" id="{8872E660-2377-4938-89F0-A34AA353C439}"/>
            </a:ext>
          </a:extLst>
        </xdr:cNvPr>
        <xdr:cNvPicPr preferRelativeResize="0"/>
      </xdr:nvPicPr>
      <xdr:blipFill>
        <a:blip xmlns:r="http://schemas.openxmlformats.org/officeDocument/2006/relationships" r:embed="rId46" cstate="print"/>
        <a:stretch>
          <a:fillRect/>
        </a:stretch>
      </xdr:blipFill>
      <xdr:spPr>
        <a:xfrm>
          <a:off x="8896350" y="40500300"/>
          <a:ext cx="1857375" cy="1400175"/>
        </a:xfrm>
        <a:prstGeom prst="rect">
          <a:avLst/>
        </a:prstGeom>
        <a:noFill/>
      </xdr:spPr>
    </xdr:pic>
    <xdr:clientData fLocksWithSheet="0"/>
  </xdr:oneCellAnchor>
  <xdr:oneCellAnchor>
    <xdr:from>
      <xdr:col>20</xdr:col>
      <xdr:colOff>186690</xdr:colOff>
      <xdr:row>250</xdr:row>
      <xdr:rowOff>22860</xdr:rowOff>
    </xdr:from>
    <xdr:ext cx="1857375" cy="1390650"/>
    <xdr:pic>
      <xdr:nvPicPr>
        <xdr:cNvPr id="80" name="image273.png" descr="Recorte de pantalla">
          <a:extLst>
            <a:ext uri="{FF2B5EF4-FFF2-40B4-BE49-F238E27FC236}">
              <a16:creationId xmlns:a16="http://schemas.microsoft.com/office/drawing/2014/main" id="{2903E781-6896-449D-8CD1-14680DA60E2F}"/>
            </a:ext>
          </a:extLst>
        </xdr:cNvPr>
        <xdr:cNvPicPr preferRelativeResize="0"/>
      </xdr:nvPicPr>
      <xdr:blipFill>
        <a:blip xmlns:r="http://schemas.openxmlformats.org/officeDocument/2006/relationships" r:embed="rId47" cstate="print"/>
        <a:stretch>
          <a:fillRect/>
        </a:stretch>
      </xdr:blipFill>
      <xdr:spPr>
        <a:xfrm>
          <a:off x="14512290" y="40504110"/>
          <a:ext cx="1857375" cy="1390650"/>
        </a:xfrm>
        <a:prstGeom prst="rect">
          <a:avLst/>
        </a:prstGeom>
        <a:noFill/>
      </xdr:spPr>
    </xdr:pic>
    <xdr:clientData fLocksWithSheet="0"/>
  </xdr:oneCellAnchor>
  <xdr:oneCellAnchor>
    <xdr:from>
      <xdr:col>8</xdr:col>
      <xdr:colOff>173355</xdr:colOff>
      <xdr:row>349</xdr:row>
      <xdr:rowOff>19050</xdr:rowOff>
    </xdr:from>
    <xdr:ext cx="1914525" cy="1400175"/>
    <xdr:pic>
      <xdr:nvPicPr>
        <xdr:cNvPr id="81" name="image269.png" descr="Recorte de pantalla">
          <a:extLst>
            <a:ext uri="{FF2B5EF4-FFF2-40B4-BE49-F238E27FC236}">
              <a16:creationId xmlns:a16="http://schemas.microsoft.com/office/drawing/2014/main" id="{3A0B3021-908E-479C-89C7-7D9D1F350A30}"/>
            </a:ext>
          </a:extLst>
        </xdr:cNvPr>
        <xdr:cNvPicPr preferRelativeResize="0"/>
      </xdr:nvPicPr>
      <xdr:blipFill>
        <a:blip xmlns:r="http://schemas.openxmlformats.org/officeDocument/2006/relationships" r:embed="rId48" cstate="print"/>
        <a:stretch>
          <a:fillRect/>
        </a:stretch>
      </xdr:blipFill>
      <xdr:spPr>
        <a:xfrm>
          <a:off x="5926455" y="56530875"/>
          <a:ext cx="1914525" cy="1400175"/>
        </a:xfrm>
        <a:prstGeom prst="rect">
          <a:avLst/>
        </a:prstGeom>
        <a:noFill/>
      </xdr:spPr>
    </xdr:pic>
    <xdr:clientData fLocksWithSheet="0"/>
  </xdr:oneCellAnchor>
  <xdr:oneCellAnchor>
    <xdr:from>
      <xdr:col>16</xdr:col>
      <xdr:colOff>285750</xdr:colOff>
      <xdr:row>349</xdr:row>
      <xdr:rowOff>28575</xdr:rowOff>
    </xdr:from>
    <xdr:ext cx="1914525" cy="1400175"/>
    <xdr:pic>
      <xdr:nvPicPr>
        <xdr:cNvPr id="82" name="image269.png" descr="Recorte de pantalla">
          <a:extLst>
            <a:ext uri="{FF2B5EF4-FFF2-40B4-BE49-F238E27FC236}">
              <a16:creationId xmlns:a16="http://schemas.microsoft.com/office/drawing/2014/main" id="{C89DACA9-381E-473D-839E-51FCDA42AF15}"/>
            </a:ext>
          </a:extLst>
        </xdr:cNvPr>
        <xdr:cNvPicPr preferRelativeResize="0"/>
      </xdr:nvPicPr>
      <xdr:blipFill>
        <a:blip xmlns:r="http://schemas.openxmlformats.org/officeDocument/2006/relationships" r:embed="rId48" cstate="print"/>
        <a:stretch>
          <a:fillRect/>
        </a:stretch>
      </xdr:blipFill>
      <xdr:spPr>
        <a:xfrm>
          <a:off x="11753850" y="56540400"/>
          <a:ext cx="1914525" cy="1400175"/>
        </a:xfrm>
        <a:prstGeom prst="rect">
          <a:avLst/>
        </a:prstGeom>
        <a:noFill/>
      </xdr:spPr>
    </xdr:pic>
    <xdr:clientData fLocksWithSheet="0"/>
  </xdr:oneCellAnchor>
  <xdr:oneCellAnchor>
    <xdr:from>
      <xdr:col>12</xdr:col>
      <xdr:colOff>247650</xdr:colOff>
      <xdr:row>349</xdr:row>
      <xdr:rowOff>38100</xdr:rowOff>
    </xdr:from>
    <xdr:ext cx="1838325" cy="1400175"/>
    <xdr:pic>
      <xdr:nvPicPr>
        <xdr:cNvPr id="83" name="image275.png" descr="Recorte de pantalla">
          <a:extLst>
            <a:ext uri="{FF2B5EF4-FFF2-40B4-BE49-F238E27FC236}">
              <a16:creationId xmlns:a16="http://schemas.microsoft.com/office/drawing/2014/main" id="{2C98D355-A50A-46AA-A92D-4AB803F53F85}"/>
            </a:ext>
          </a:extLst>
        </xdr:cNvPr>
        <xdr:cNvPicPr preferRelativeResize="0"/>
      </xdr:nvPicPr>
      <xdr:blipFill>
        <a:blip xmlns:r="http://schemas.openxmlformats.org/officeDocument/2006/relationships" r:embed="rId49" cstate="print"/>
        <a:stretch>
          <a:fillRect/>
        </a:stretch>
      </xdr:blipFill>
      <xdr:spPr>
        <a:xfrm>
          <a:off x="8858250" y="56549925"/>
          <a:ext cx="1838325" cy="1400175"/>
        </a:xfrm>
        <a:prstGeom prst="rect">
          <a:avLst/>
        </a:prstGeom>
        <a:noFill/>
      </xdr:spPr>
    </xdr:pic>
    <xdr:clientData fLocksWithSheet="0"/>
  </xdr:oneCellAnchor>
  <xdr:oneCellAnchor>
    <xdr:from>
      <xdr:col>20</xdr:col>
      <xdr:colOff>209550</xdr:colOff>
      <xdr:row>349</xdr:row>
      <xdr:rowOff>24765</xdr:rowOff>
    </xdr:from>
    <xdr:ext cx="1838325" cy="1400175"/>
    <xdr:pic>
      <xdr:nvPicPr>
        <xdr:cNvPr id="84" name="image275.png" descr="Recorte de pantalla">
          <a:extLst>
            <a:ext uri="{FF2B5EF4-FFF2-40B4-BE49-F238E27FC236}">
              <a16:creationId xmlns:a16="http://schemas.microsoft.com/office/drawing/2014/main" id="{9AE7018F-D067-481D-ACE6-4A16E9F20569}"/>
            </a:ext>
          </a:extLst>
        </xdr:cNvPr>
        <xdr:cNvPicPr preferRelativeResize="0"/>
      </xdr:nvPicPr>
      <xdr:blipFill>
        <a:blip xmlns:r="http://schemas.openxmlformats.org/officeDocument/2006/relationships" r:embed="rId49" cstate="print"/>
        <a:stretch>
          <a:fillRect/>
        </a:stretch>
      </xdr:blipFill>
      <xdr:spPr>
        <a:xfrm>
          <a:off x="14535150" y="56536590"/>
          <a:ext cx="1838325" cy="1400175"/>
        </a:xfrm>
        <a:prstGeom prst="rect">
          <a:avLst/>
        </a:prstGeom>
        <a:noFill/>
      </xdr:spPr>
    </xdr:pic>
    <xdr:clientData fLocksWithSheet="0"/>
  </xdr:oneCellAnchor>
  <xdr:oneCellAnchor>
    <xdr:from>
      <xdr:col>8</xdr:col>
      <xdr:colOff>49530</xdr:colOff>
      <xdr:row>328</xdr:row>
      <xdr:rowOff>85725</xdr:rowOff>
    </xdr:from>
    <xdr:ext cx="2095500" cy="1009650"/>
    <xdr:pic>
      <xdr:nvPicPr>
        <xdr:cNvPr id="85" name="image284.png" descr="Recorte de pantalla">
          <a:extLst>
            <a:ext uri="{FF2B5EF4-FFF2-40B4-BE49-F238E27FC236}">
              <a16:creationId xmlns:a16="http://schemas.microsoft.com/office/drawing/2014/main" id="{C9D27FF0-D576-4CBB-BC8C-F3BD8DBF13D8}"/>
            </a:ext>
          </a:extLst>
        </xdr:cNvPr>
        <xdr:cNvPicPr preferRelativeResize="0"/>
      </xdr:nvPicPr>
      <xdr:blipFill>
        <a:blip xmlns:r="http://schemas.openxmlformats.org/officeDocument/2006/relationships" r:embed="rId50" cstate="print"/>
        <a:stretch>
          <a:fillRect/>
        </a:stretch>
      </xdr:blipFill>
      <xdr:spPr>
        <a:xfrm>
          <a:off x="5802630" y="53197125"/>
          <a:ext cx="2095500" cy="1009650"/>
        </a:xfrm>
        <a:prstGeom prst="rect">
          <a:avLst/>
        </a:prstGeom>
        <a:noFill/>
      </xdr:spPr>
    </xdr:pic>
    <xdr:clientData fLocksWithSheet="0"/>
  </xdr:oneCellAnchor>
  <xdr:oneCellAnchor>
    <xdr:from>
      <xdr:col>16</xdr:col>
      <xdr:colOff>66675</xdr:colOff>
      <xdr:row>328</xdr:row>
      <xdr:rowOff>76200</xdr:rowOff>
    </xdr:from>
    <xdr:ext cx="2095500" cy="1009650"/>
    <xdr:pic>
      <xdr:nvPicPr>
        <xdr:cNvPr id="86" name="image284.png" descr="Recorte de pantalla">
          <a:extLst>
            <a:ext uri="{FF2B5EF4-FFF2-40B4-BE49-F238E27FC236}">
              <a16:creationId xmlns:a16="http://schemas.microsoft.com/office/drawing/2014/main" id="{49BBC171-67F4-4358-88EA-A3F8AFA18E59}"/>
            </a:ext>
          </a:extLst>
        </xdr:cNvPr>
        <xdr:cNvPicPr preferRelativeResize="0"/>
      </xdr:nvPicPr>
      <xdr:blipFill>
        <a:blip xmlns:r="http://schemas.openxmlformats.org/officeDocument/2006/relationships" r:embed="rId50" cstate="print"/>
        <a:stretch>
          <a:fillRect/>
        </a:stretch>
      </xdr:blipFill>
      <xdr:spPr>
        <a:xfrm>
          <a:off x="11534775" y="53187600"/>
          <a:ext cx="2095500" cy="1009650"/>
        </a:xfrm>
        <a:prstGeom prst="rect">
          <a:avLst/>
        </a:prstGeom>
        <a:noFill/>
      </xdr:spPr>
    </xdr:pic>
    <xdr:clientData fLocksWithSheet="0"/>
  </xdr:oneCellAnchor>
  <xdr:oneCellAnchor>
    <xdr:from>
      <xdr:col>8</xdr:col>
      <xdr:colOff>55245</xdr:colOff>
      <xdr:row>339</xdr:row>
      <xdr:rowOff>0</xdr:rowOff>
    </xdr:from>
    <xdr:ext cx="2095500" cy="1200150"/>
    <xdr:pic>
      <xdr:nvPicPr>
        <xdr:cNvPr id="87" name="image285.png" descr="Recorte de pantalla">
          <a:extLst>
            <a:ext uri="{FF2B5EF4-FFF2-40B4-BE49-F238E27FC236}">
              <a16:creationId xmlns:a16="http://schemas.microsoft.com/office/drawing/2014/main" id="{EC521082-DFA9-468C-8597-7F157B287DB3}"/>
            </a:ext>
          </a:extLst>
        </xdr:cNvPr>
        <xdr:cNvPicPr preferRelativeResize="0"/>
      </xdr:nvPicPr>
      <xdr:blipFill>
        <a:blip xmlns:r="http://schemas.openxmlformats.org/officeDocument/2006/relationships" r:embed="rId51" cstate="print"/>
        <a:stretch>
          <a:fillRect/>
        </a:stretch>
      </xdr:blipFill>
      <xdr:spPr>
        <a:xfrm>
          <a:off x="5808345" y="54892575"/>
          <a:ext cx="2095500" cy="1200150"/>
        </a:xfrm>
        <a:prstGeom prst="rect">
          <a:avLst/>
        </a:prstGeom>
        <a:noFill/>
      </xdr:spPr>
    </xdr:pic>
    <xdr:clientData fLocksWithSheet="0"/>
  </xdr:oneCellAnchor>
  <xdr:oneCellAnchor>
    <xdr:from>
      <xdr:col>16</xdr:col>
      <xdr:colOff>95250</xdr:colOff>
      <xdr:row>338</xdr:row>
      <xdr:rowOff>114300</xdr:rowOff>
    </xdr:from>
    <xdr:ext cx="2095500" cy="1200150"/>
    <xdr:pic>
      <xdr:nvPicPr>
        <xdr:cNvPr id="88" name="image285.png" descr="Recorte de pantalla">
          <a:extLst>
            <a:ext uri="{FF2B5EF4-FFF2-40B4-BE49-F238E27FC236}">
              <a16:creationId xmlns:a16="http://schemas.microsoft.com/office/drawing/2014/main" id="{C887E305-34A4-4D13-9A04-3CFEF1715F06}"/>
            </a:ext>
          </a:extLst>
        </xdr:cNvPr>
        <xdr:cNvPicPr preferRelativeResize="0"/>
      </xdr:nvPicPr>
      <xdr:blipFill>
        <a:blip xmlns:r="http://schemas.openxmlformats.org/officeDocument/2006/relationships" r:embed="rId51" cstate="print"/>
        <a:stretch>
          <a:fillRect/>
        </a:stretch>
      </xdr:blipFill>
      <xdr:spPr>
        <a:xfrm>
          <a:off x="11563350" y="54844950"/>
          <a:ext cx="2095500" cy="1200150"/>
        </a:xfrm>
        <a:prstGeom prst="rect">
          <a:avLst/>
        </a:prstGeom>
        <a:noFill/>
      </xdr:spPr>
    </xdr:pic>
    <xdr:clientData fLocksWithSheet="0"/>
  </xdr:oneCellAnchor>
  <xdr:oneCellAnchor>
    <xdr:from>
      <xdr:col>8</xdr:col>
      <xdr:colOff>76200</xdr:colOff>
      <xdr:row>119</xdr:row>
      <xdr:rowOff>85725</xdr:rowOff>
    </xdr:from>
    <xdr:ext cx="2095500" cy="952500"/>
    <xdr:pic>
      <xdr:nvPicPr>
        <xdr:cNvPr id="89" name="image299.png" descr="Recorte de pantalla">
          <a:extLst>
            <a:ext uri="{FF2B5EF4-FFF2-40B4-BE49-F238E27FC236}">
              <a16:creationId xmlns:a16="http://schemas.microsoft.com/office/drawing/2014/main" id="{C89154C1-2C66-4577-8F00-B4E2F76BB92C}"/>
            </a:ext>
          </a:extLst>
        </xdr:cNvPr>
        <xdr:cNvPicPr preferRelativeResize="0"/>
      </xdr:nvPicPr>
      <xdr:blipFill>
        <a:blip xmlns:r="http://schemas.openxmlformats.org/officeDocument/2006/relationships" r:embed="rId52" cstate="print"/>
        <a:stretch>
          <a:fillRect/>
        </a:stretch>
      </xdr:blipFill>
      <xdr:spPr>
        <a:xfrm>
          <a:off x="5829300" y="19354800"/>
          <a:ext cx="2095500" cy="952500"/>
        </a:xfrm>
        <a:prstGeom prst="rect">
          <a:avLst/>
        </a:prstGeom>
        <a:noFill/>
      </xdr:spPr>
    </xdr:pic>
    <xdr:clientData fLocksWithSheet="0"/>
  </xdr:oneCellAnchor>
  <xdr:oneCellAnchor>
    <xdr:from>
      <xdr:col>16</xdr:col>
      <xdr:colOff>104775</xdr:colOff>
      <xdr:row>119</xdr:row>
      <xdr:rowOff>104775</xdr:rowOff>
    </xdr:from>
    <xdr:ext cx="2095500" cy="952500"/>
    <xdr:pic>
      <xdr:nvPicPr>
        <xdr:cNvPr id="90" name="image299.png" descr="Recorte de pantalla">
          <a:extLst>
            <a:ext uri="{FF2B5EF4-FFF2-40B4-BE49-F238E27FC236}">
              <a16:creationId xmlns:a16="http://schemas.microsoft.com/office/drawing/2014/main" id="{3AC11A9C-CBED-4118-AE9C-F62E859D0118}"/>
            </a:ext>
          </a:extLst>
        </xdr:cNvPr>
        <xdr:cNvPicPr preferRelativeResize="0"/>
      </xdr:nvPicPr>
      <xdr:blipFill>
        <a:blip xmlns:r="http://schemas.openxmlformats.org/officeDocument/2006/relationships" r:embed="rId52" cstate="print"/>
        <a:stretch>
          <a:fillRect/>
        </a:stretch>
      </xdr:blipFill>
      <xdr:spPr>
        <a:xfrm>
          <a:off x="11572875" y="19373850"/>
          <a:ext cx="2095500" cy="952500"/>
        </a:xfrm>
        <a:prstGeom prst="rect">
          <a:avLst/>
        </a:prstGeom>
        <a:noFill/>
      </xdr:spPr>
    </xdr:pic>
    <xdr:clientData fLocksWithSheet="0"/>
  </xdr:oneCellAnchor>
  <xdr:oneCellAnchor>
    <xdr:from>
      <xdr:col>8</xdr:col>
      <xdr:colOff>49530</xdr:colOff>
      <xdr:row>108</xdr:row>
      <xdr:rowOff>116205</xdr:rowOff>
    </xdr:from>
    <xdr:ext cx="2095500" cy="942975"/>
    <xdr:pic>
      <xdr:nvPicPr>
        <xdr:cNvPr id="91" name="image279.png" descr="Recorte de pantalla">
          <a:extLst>
            <a:ext uri="{FF2B5EF4-FFF2-40B4-BE49-F238E27FC236}">
              <a16:creationId xmlns:a16="http://schemas.microsoft.com/office/drawing/2014/main" id="{49AB58D9-9923-49D1-B18A-0BEB09080438}"/>
            </a:ext>
          </a:extLst>
        </xdr:cNvPr>
        <xdr:cNvPicPr preferRelativeResize="0"/>
      </xdr:nvPicPr>
      <xdr:blipFill>
        <a:blip xmlns:r="http://schemas.openxmlformats.org/officeDocument/2006/relationships" r:embed="rId53" cstate="print"/>
        <a:stretch>
          <a:fillRect/>
        </a:stretch>
      </xdr:blipFill>
      <xdr:spPr>
        <a:xfrm>
          <a:off x="5802630" y="17604105"/>
          <a:ext cx="2095500" cy="942975"/>
        </a:xfrm>
        <a:prstGeom prst="rect">
          <a:avLst/>
        </a:prstGeom>
        <a:noFill/>
      </xdr:spPr>
    </xdr:pic>
    <xdr:clientData fLocksWithSheet="0"/>
  </xdr:oneCellAnchor>
  <xdr:oneCellAnchor>
    <xdr:from>
      <xdr:col>16</xdr:col>
      <xdr:colOff>114300</xdr:colOff>
      <xdr:row>109</xdr:row>
      <xdr:rowOff>19050</xdr:rowOff>
    </xdr:from>
    <xdr:ext cx="2095500" cy="952500"/>
    <xdr:pic>
      <xdr:nvPicPr>
        <xdr:cNvPr id="92" name="image278.png" descr="Recorte de pantalla">
          <a:extLst>
            <a:ext uri="{FF2B5EF4-FFF2-40B4-BE49-F238E27FC236}">
              <a16:creationId xmlns:a16="http://schemas.microsoft.com/office/drawing/2014/main" id="{F21D5A9C-298D-403B-889A-1366B5F14C27}"/>
            </a:ext>
          </a:extLst>
        </xdr:cNvPr>
        <xdr:cNvPicPr preferRelativeResize="0"/>
      </xdr:nvPicPr>
      <xdr:blipFill>
        <a:blip xmlns:r="http://schemas.openxmlformats.org/officeDocument/2006/relationships" r:embed="rId54" cstate="print"/>
        <a:stretch>
          <a:fillRect/>
        </a:stretch>
      </xdr:blipFill>
      <xdr:spPr>
        <a:xfrm>
          <a:off x="11582400" y="17668875"/>
          <a:ext cx="2095500" cy="952500"/>
        </a:xfrm>
        <a:prstGeom prst="rect">
          <a:avLst/>
        </a:prstGeom>
        <a:noFill/>
      </xdr:spPr>
    </xdr:pic>
    <xdr:clientData fLocksWithSheet="0"/>
  </xdr:oneCellAnchor>
  <xdr:oneCellAnchor>
    <xdr:from>
      <xdr:col>12</xdr:col>
      <xdr:colOff>268605</xdr:colOff>
      <xdr:row>107</xdr:row>
      <xdr:rowOff>26670</xdr:rowOff>
    </xdr:from>
    <xdr:ext cx="1676400" cy="1400175"/>
    <xdr:pic>
      <xdr:nvPicPr>
        <xdr:cNvPr id="93" name="image282.png" descr="Recorte de pantalla">
          <a:extLst>
            <a:ext uri="{FF2B5EF4-FFF2-40B4-BE49-F238E27FC236}">
              <a16:creationId xmlns:a16="http://schemas.microsoft.com/office/drawing/2014/main" id="{C781A588-3F32-4EAF-9091-E250112FBC55}"/>
            </a:ext>
          </a:extLst>
        </xdr:cNvPr>
        <xdr:cNvPicPr preferRelativeResize="0"/>
      </xdr:nvPicPr>
      <xdr:blipFill>
        <a:blip xmlns:r="http://schemas.openxmlformats.org/officeDocument/2006/relationships" r:embed="rId55" cstate="print"/>
        <a:stretch>
          <a:fillRect/>
        </a:stretch>
      </xdr:blipFill>
      <xdr:spPr>
        <a:xfrm>
          <a:off x="8879205" y="17352645"/>
          <a:ext cx="1676400" cy="1400175"/>
        </a:xfrm>
        <a:prstGeom prst="rect">
          <a:avLst/>
        </a:prstGeom>
        <a:noFill/>
      </xdr:spPr>
    </xdr:pic>
    <xdr:clientData fLocksWithSheet="0"/>
  </xdr:oneCellAnchor>
  <xdr:oneCellAnchor>
    <xdr:from>
      <xdr:col>20</xdr:col>
      <xdr:colOff>276225</xdr:colOff>
      <xdr:row>107</xdr:row>
      <xdr:rowOff>19050</xdr:rowOff>
    </xdr:from>
    <xdr:ext cx="1676400" cy="1400175"/>
    <xdr:pic>
      <xdr:nvPicPr>
        <xdr:cNvPr id="94" name="image282.png" descr="Recorte de pantalla">
          <a:extLst>
            <a:ext uri="{FF2B5EF4-FFF2-40B4-BE49-F238E27FC236}">
              <a16:creationId xmlns:a16="http://schemas.microsoft.com/office/drawing/2014/main" id="{8178E5F2-2280-46C9-9896-A2B507A9A8F8}"/>
            </a:ext>
          </a:extLst>
        </xdr:cNvPr>
        <xdr:cNvPicPr preferRelativeResize="0"/>
      </xdr:nvPicPr>
      <xdr:blipFill>
        <a:blip xmlns:r="http://schemas.openxmlformats.org/officeDocument/2006/relationships" r:embed="rId55" cstate="print"/>
        <a:stretch>
          <a:fillRect/>
        </a:stretch>
      </xdr:blipFill>
      <xdr:spPr>
        <a:xfrm>
          <a:off x="14601825" y="17345025"/>
          <a:ext cx="1676400" cy="1400175"/>
        </a:xfrm>
        <a:prstGeom prst="rect">
          <a:avLst/>
        </a:prstGeom>
        <a:noFill/>
      </xdr:spPr>
    </xdr:pic>
    <xdr:clientData fLocksWithSheet="0"/>
  </xdr:oneCellAnchor>
  <xdr:oneCellAnchor>
    <xdr:from>
      <xdr:col>12</xdr:col>
      <xdr:colOff>352425</xdr:colOff>
      <xdr:row>118</xdr:row>
      <xdr:rowOff>28575</xdr:rowOff>
    </xdr:from>
    <xdr:ext cx="1676400" cy="1400175"/>
    <xdr:pic>
      <xdr:nvPicPr>
        <xdr:cNvPr id="95" name="image287.png" descr="Recorte de pantalla">
          <a:extLst>
            <a:ext uri="{FF2B5EF4-FFF2-40B4-BE49-F238E27FC236}">
              <a16:creationId xmlns:a16="http://schemas.microsoft.com/office/drawing/2014/main" id="{7BF398AF-BD99-43DF-96D4-02E561EDD901}"/>
            </a:ext>
          </a:extLst>
        </xdr:cNvPr>
        <xdr:cNvPicPr preferRelativeResize="0"/>
      </xdr:nvPicPr>
      <xdr:blipFill>
        <a:blip xmlns:r="http://schemas.openxmlformats.org/officeDocument/2006/relationships" r:embed="rId56" cstate="print"/>
        <a:stretch>
          <a:fillRect/>
        </a:stretch>
      </xdr:blipFill>
      <xdr:spPr>
        <a:xfrm>
          <a:off x="8963025" y="19135725"/>
          <a:ext cx="1676400" cy="1400175"/>
        </a:xfrm>
        <a:prstGeom prst="rect">
          <a:avLst/>
        </a:prstGeom>
        <a:noFill/>
      </xdr:spPr>
    </xdr:pic>
    <xdr:clientData fLocksWithSheet="0"/>
  </xdr:oneCellAnchor>
  <xdr:oneCellAnchor>
    <xdr:from>
      <xdr:col>20</xdr:col>
      <xdr:colOff>369570</xdr:colOff>
      <xdr:row>118</xdr:row>
      <xdr:rowOff>24765</xdr:rowOff>
    </xdr:from>
    <xdr:ext cx="1676400" cy="1400175"/>
    <xdr:pic>
      <xdr:nvPicPr>
        <xdr:cNvPr id="96" name="image287.png" descr="Recorte de pantalla">
          <a:extLst>
            <a:ext uri="{FF2B5EF4-FFF2-40B4-BE49-F238E27FC236}">
              <a16:creationId xmlns:a16="http://schemas.microsoft.com/office/drawing/2014/main" id="{AEE8FECE-0EB9-41B9-841D-1FCC3FFB7902}"/>
            </a:ext>
          </a:extLst>
        </xdr:cNvPr>
        <xdr:cNvPicPr preferRelativeResize="0"/>
      </xdr:nvPicPr>
      <xdr:blipFill>
        <a:blip xmlns:r="http://schemas.openxmlformats.org/officeDocument/2006/relationships" r:embed="rId56" cstate="print"/>
        <a:stretch>
          <a:fillRect/>
        </a:stretch>
      </xdr:blipFill>
      <xdr:spPr>
        <a:xfrm>
          <a:off x="14695170" y="19131915"/>
          <a:ext cx="1676400" cy="1400175"/>
        </a:xfrm>
        <a:prstGeom prst="rect">
          <a:avLst/>
        </a:prstGeom>
        <a:noFill/>
      </xdr:spPr>
    </xdr:pic>
    <xdr:clientData fLocksWithSheet="0"/>
  </xdr:oneCellAnchor>
  <xdr:oneCellAnchor>
    <xdr:from>
      <xdr:col>8</xdr:col>
      <xdr:colOff>228600</xdr:colOff>
      <xdr:row>305</xdr:row>
      <xdr:rowOff>47625</xdr:rowOff>
    </xdr:from>
    <xdr:ext cx="1828800" cy="1381125"/>
    <xdr:pic>
      <xdr:nvPicPr>
        <xdr:cNvPr id="97" name="image290.png" descr="Recorte de pantalla">
          <a:extLst>
            <a:ext uri="{FF2B5EF4-FFF2-40B4-BE49-F238E27FC236}">
              <a16:creationId xmlns:a16="http://schemas.microsoft.com/office/drawing/2014/main" id="{B21B20A6-A099-45BA-BAF3-791FF0432021}"/>
            </a:ext>
          </a:extLst>
        </xdr:cNvPr>
        <xdr:cNvPicPr preferRelativeResize="0"/>
      </xdr:nvPicPr>
      <xdr:blipFill>
        <a:blip xmlns:r="http://schemas.openxmlformats.org/officeDocument/2006/relationships" r:embed="rId57" cstate="print"/>
        <a:stretch>
          <a:fillRect/>
        </a:stretch>
      </xdr:blipFill>
      <xdr:spPr>
        <a:xfrm>
          <a:off x="5981700" y="49434750"/>
          <a:ext cx="1828800" cy="1381125"/>
        </a:xfrm>
        <a:prstGeom prst="rect">
          <a:avLst/>
        </a:prstGeom>
        <a:noFill/>
      </xdr:spPr>
    </xdr:pic>
    <xdr:clientData fLocksWithSheet="0"/>
  </xdr:oneCellAnchor>
  <xdr:oneCellAnchor>
    <xdr:from>
      <xdr:col>16</xdr:col>
      <xdr:colOff>247650</xdr:colOff>
      <xdr:row>305</xdr:row>
      <xdr:rowOff>47625</xdr:rowOff>
    </xdr:from>
    <xdr:ext cx="1905000" cy="1381125"/>
    <xdr:pic>
      <xdr:nvPicPr>
        <xdr:cNvPr id="98" name="image286.png" descr="Recorte de pantalla">
          <a:extLst>
            <a:ext uri="{FF2B5EF4-FFF2-40B4-BE49-F238E27FC236}">
              <a16:creationId xmlns:a16="http://schemas.microsoft.com/office/drawing/2014/main" id="{BF255374-CF7B-4E9C-8B90-129A5DBA4EFE}"/>
            </a:ext>
          </a:extLst>
        </xdr:cNvPr>
        <xdr:cNvPicPr preferRelativeResize="0"/>
      </xdr:nvPicPr>
      <xdr:blipFill>
        <a:blip xmlns:r="http://schemas.openxmlformats.org/officeDocument/2006/relationships" r:embed="rId58" cstate="print"/>
        <a:stretch>
          <a:fillRect/>
        </a:stretch>
      </xdr:blipFill>
      <xdr:spPr>
        <a:xfrm>
          <a:off x="11715750" y="49434750"/>
          <a:ext cx="1905000" cy="138112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9</xdr:col>
      <xdr:colOff>0</xdr:colOff>
      <xdr:row>301</xdr:row>
      <xdr:rowOff>0</xdr:rowOff>
    </xdr:from>
    <xdr:ext cx="1619250" cy="1257300"/>
    <xdr:pic>
      <xdr:nvPicPr>
        <xdr:cNvPr id="2" name="image273.png">
          <a:extLst>
            <a:ext uri="{FF2B5EF4-FFF2-40B4-BE49-F238E27FC236}">
              <a16:creationId xmlns:a16="http://schemas.microsoft.com/office/drawing/2014/main" id="{29075EFC-2F62-4DA0-A177-5A6FEEC0D5A2}"/>
            </a:ext>
          </a:extLst>
        </xdr:cNvPr>
        <xdr:cNvPicPr preferRelativeResize="0"/>
      </xdr:nvPicPr>
      <xdr:blipFill>
        <a:blip xmlns:r="http://schemas.openxmlformats.org/officeDocument/2006/relationships" r:embed="rId1" cstate="print"/>
        <a:stretch>
          <a:fillRect/>
        </a:stretch>
      </xdr:blipFill>
      <xdr:spPr>
        <a:xfrm>
          <a:off x="6343650" y="48796575"/>
          <a:ext cx="1619250" cy="1257300"/>
        </a:xfrm>
        <a:prstGeom prst="rect">
          <a:avLst/>
        </a:prstGeom>
        <a:noFill/>
      </xdr:spPr>
    </xdr:pic>
    <xdr:clientData fLocksWithSheet="0"/>
  </xdr:oneCellAnchor>
  <xdr:oneCellAnchor>
    <xdr:from>
      <xdr:col>9</xdr:col>
      <xdr:colOff>19050</xdr:colOff>
      <xdr:row>292</xdr:row>
      <xdr:rowOff>85725</xdr:rowOff>
    </xdr:from>
    <xdr:ext cx="2152650" cy="619125"/>
    <xdr:pic>
      <xdr:nvPicPr>
        <xdr:cNvPr id="3" name="image270.png">
          <a:extLst>
            <a:ext uri="{FF2B5EF4-FFF2-40B4-BE49-F238E27FC236}">
              <a16:creationId xmlns:a16="http://schemas.microsoft.com/office/drawing/2014/main" id="{68864E2F-42AE-43E4-B1DC-EEB793CAA052}"/>
            </a:ext>
          </a:extLst>
        </xdr:cNvPr>
        <xdr:cNvPicPr preferRelativeResize="0"/>
      </xdr:nvPicPr>
      <xdr:blipFill>
        <a:blip xmlns:r="http://schemas.openxmlformats.org/officeDocument/2006/relationships" r:embed="rId2" cstate="print"/>
        <a:stretch>
          <a:fillRect/>
        </a:stretch>
      </xdr:blipFill>
      <xdr:spPr>
        <a:xfrm>
          <a:off x="6362700" y="47424975"/>
          <a:ext cx="2152650" cy="619125"/>
        </a:xfrm>
        <a:prstGeom prst="rect">
          <a:avLst/>
        </a:prstGeom>
        <a:noFill/>
      </xdr:spPr>
    </xdr:pic>
    <xdr:clientData fLocksWithSheet="0"/>
  </xdr:oneCellAnchor>
  <xdr:oneCellAnchor>
    <xdr:from>
      <xdr:col>9</xdr:col>
      <xdr:colOff>19050</xdr:colOff>
      <xdr:row>279</xdr:row>
      <xdr:rowOff>38100</xdr:rowOff>
    </xdr:from>
    <xdr:ext cx="2152650" cy="1362075"/>
    <xdr:pic>
      <xdr:nvPicPr>
        <xdr:cNvPr id="4" name="image299.png">
          <a:extLst>
            <a:ext uri="{FF2B5EF4-FFF2-40B4-BE49-F238E27FC236}">
              <a16:creationId xmlns:a16="http://schemas.microsoft.com/office/drawing/2014/main" id="{49D44AE5-2FE9-4102-87FB-EED8B9FCB9E8}"/>
            </a:ext>
          </a:extLst>
        </xdr:cNvPr>
        <xdr:cNvPicPr preferRelativeResize="0"/>
      </xdr:nvPicPr>
      <xdr:blipFill>
        <a:blip xmlns:r="http://schemas.openxmlformats.org/officeDocument/2006/relationships" r:embed="rId3" cstate="print"/>
        <a:stretch>
          <a:fillRect/>
        </a:stretch>
      </xdr:blipFill>
      <xdr:spPr>
        <a:xfrm>
          <a:off x="6362700" y="45272325"/>
          <a:ext cx="2152650" cy="1362075"/>
        </a:xfrm>
        <a:prstGeom prst="rect">
          <a:avLst/>
        </a:prstGeom>
        <a:noFill/>
      </xdr:spPr>
    </xdr:pic>
    <xdr:clientData fLocksWithSheet="0"/>
  </xdr:oneCellAnchor>
  <xdr:oneCellAnchor>
    <xdr:from>
      <xdr:col>9</xdr:col>
      <xdr:colOff>28575</xdr:colOff>
      <xdr:row>224</xdr:row>
      <xdr:rowOff>57150</xdr:rowOff>
    </xdr:from>
    <xdr:ext cx="2057400" cy="1323975"/>
    <xdr:pic>
      <xdr:nvPicPr>
        <xdr:cNvPr id="5" name="image296.png">
          <a:extLst>
            <a:ext uri="{FF2B5EF4-FFF2-40B4-BE49-F238E27FC236}">
              <a16:creationId xmlns:a16="http://schemas.microsoft.com/office/drawing/2014/main" id="{62B84824-DF11-449D-B617-E07CB5A81088}"/>
            </a:ext>
          </a:extLst>
        </xdr:cNvPr>
        <xdr:cNvPicPr preferRelativeResize="0"/>
      </xdr:nvPicPr>
      <xdr:blipFill>
        <a:blip xmlns:r="http://schemas.openxmlformats.org/officeDocument/2006/relationships" r:embed="rId4" cstate="print"/>
        <a:stretch>
          <a:fillRect/>
        </a:stretch>
      </xdr:blipFill>
      <xdr:spPr>
        <a:xfrm>
          <a:off x="6372225" y="36385500"/>
          <a:ext cx="2057400" cy="1323975"/>
        </a:xfrm>
        <a:prstGeom prst="rect">
          <a:avLst/>
        </a:prstGeom>
        <a:noFill/>
      </xdr:spPr>
    </xdr:pic>
    <xdr:clientData fLocksWithSheet="0"/>
  </xdr:oneCellAnchor>
  <xdr:oneCellAnchor>
    <xdr:from>
      <xdr:col>9</xdr:col>
      <xdr:colOff>152400</xdr:colOff>
      <xdr:row>213</xdr:row>
      <xdr:rowOff>28575</xdr:rowOff>
    </xdr:from>
    <xdr:ext cx="1924050" cy="1362075"/>
    <xdr:pic>
      <xdr:nvPicPr>
        <xdr:cNvPr id="6" name="image281.png">
          <a:extLst>
            <a:ext uri="{FF2B5EF4-FFF2-40B4-BE49-F238E27FC236}">
              <a16:creationId xmlns:a16="http://schemas.microsoft.com/office/drawing/2014/main" id="{63ADD9D2-0A96-4B1E-8279-06F228E5B158}"/>
            </a:ext>
          </a:extLst>
        </xdr:cNvPr>
        <xdr:cNvPicPr preferRelativeResize="0"/>
      </xdr:nvPicPr>
      <xdr:blipFill>
        <a:blip xmlns:r="http://schemas.openxmlformats.org/officeDocument/2006/relationships" r:embed="rId5" cstate="print"/>
        <a:stretch>
          <a:fillRect/>
        </a:stretch>
      </xdr:blipFill>
      <xdr:spPr>
        <a:xfrm>
          <a:off x="6496050" y="34575750"/>
          <a:ext cx="1924050" cy="1362075"/>
        </a:xfrm>
        <a:prstGeom prst="rect">
          <a:avLst/>
        </a:prstGeom>
        <a:noFill/>
      </xdr:spPr>
    </xdr:pic>
    <xdr:clientData fLocksWithSheet="0"/>
  </xdr:oneCellAnchor>
  <xdr:oneCellAnchor>
    <xdr:from>
      <xdr:col>9</xdr:col>
      <xdr:colOff>95250</xdr:colOff>
      <xdr:row>235</xdr:row>
      <xdr:rowOff>114300</xdr:rowOff>
    </xdr:from>
    <xdr:ext cx="2057400" cy="1276350"/>
    <xdr:pic>
      <xdr:nvPicPr>
        <xdr:cNvPr id="7" name="image284.png">
          <a:extLst>
            <a:ext uri="{FF2B5EF4-FFF2-40B4-BE49-F238E27FC236}">
              <a16:creationId xmlns:a16="http://schemas.microsoft.com/office/drawing/2014/main" id="{1B130A78-A8A6-4F0F-9EE8-50AAFE8E6D8F}"/>
            </a:ext>
          </a:extLst>
        </xdr:cNvPr>
        <xdr:cNvPicPr preferRelativeResize="0"/>
      </xdr:nvPicPr>
      <xdr:blipFill>
        <a:blip xmlns:r="http://schemas.openxmlformats.org/officeDocument/2006/relationships" r:embed="rId6" cstate="print"/>
        <a:stretch>
          <a:fillRect/>
        </a:stretch>
      </xdr:blipFill>
      <xdr:spPr>
        <a:xfrm>
          <a:off x="6438900" y="38223825"/>
          <a:ext cx="2057400" cy="1276350"/>
        </a:xfrm>
        <a:prstGeom prst="rect">
          <a:avLst/>
        </a:prstGeom>
        <a:noFill/>
      </xdr:spPr>
    </xdr:pic>
    <xdr:clientData fLocksWithSheet="0"/>
  </xdr:oneCellAnchor>
  <xdr:oneCellAnchor>
    <xdr:from>
      <xdr:col>9</xdr:col>
      <xdr:colOff>66675</xdr:colOff>
      <xdr:row>268</xdr:row>
      <xdr:rowOff>28575</xdr:rowOff>
    </xdr:from>
    <xdr:ext cx="2085975" cy="1371600"/>
    <xdr:pic>
      <xdr:nvPicPr>
        <xdr:cNvPr id="8" name="image294.png">
          <a:extLst>
            <a:ext uri="{FF2B5EF4-FFF2-40B4-BE49-F238E27FC236}">
              <a16:creationId xmlns:a16="http://schemas.microsoft.com/office/drawing/2014/main" id="{F7A2FC2C-57B0-4178-8B78-F165317E5C3B}"/>
            </a:ext>
          </a:extLst>
        </xdr:cNvPr>
        <xdr:cNvPicPr preferRelativeResize="0"/>
      </xdr:nvPicPr>
      <xdr:blipFill>
        <a:blip xmlns:r="http://schemas.openxmlformats.org/officeDocument/2006/relationships" r:embed="rId7" cstate="print"/>
        <a:stretch>
          <a:fillRect/>
        </a:stretch>
      </xdr:blipFill>
      <xdr:spPr>
        <a:xfrm>
          <a:off x="6410325" y="43481625"/>
          <a:ext cx="2085975" cy="1371600"/>
        </a:xfrm>
        <a:prstGeom prst="rect">
          <a:avLst/>
        </a:prstGeom>
        <a:noFill/>
      </xdr:spPr>
    </xdr:pic>
    <xdr:clientData fLocksWithSheet="0"/>
  </xdr:oneCellAnchor>
  <xdr:oneCellAnchor>
    <xdr:from>
      <xdr:col>9</xdr:col>
      <xdr:colOff>523875</xdr:colOff>
      <xdr:row>312</xdr:row>
      <xdr:rowOff>47625</xdr:rowOff>
    </xdr:from>
    <xdr:ext cx="1247775" cy="1362075"/>
    <xdr:pic>
      <xdr:nvPicPr>
        <xdr:cNvPr id="9" name="image278.png">
          <a:extLst>
            <a:ext uri="{FF2B5EF4-FFF2-40B4-BE49-F238E27FC236}">
              <a16:creationId xmlns:a16="http://schemas.microsoft.com/office/drawing/2014/main" id="{E7FB7773-F795-4240-B371-AFE133635CE6}"/>
            </a:ext>
          </a:extLst>
        </xdr:cNvPr>
        <xdr:cNvPicPr preferRelativeResize="0"/>
      </xdr:nvPicPr>
      <xdr:blipFill>
        <a:blip xmlns:r="http://schemas.openxmlformats.org/officeDocument/2006/relationships" r:embed="rId8" cstate="print"/>
        <a:stretch>
          <a:fillRect/>
        </a:stretch>
      </xdr:blipFill>
      <xdr:spPr>
        <a:xfrm>
          <a:off x="6867525" y="50625375"/>
          <a:ext cx="1247775" cy="1362075"/>
        </a:xfrm>
        <a:prstGeom prst="rect">
          <a:avLst/>
        </a:prstGeom>
        <a:noFill/>
      </xdr:spPr>
    </xdr:pic>
    <xdr:clientData fLocksWithSheet="0"/>
  </xdr:oneCellAnchor>
  <xdr:oneCellAnchor>
    <xdr:from>
      <xdr:col>9</xdr:col>
      <xdr:colOff>19050</xdr:colOff>
      <xdr:row>324</xdr:row>
      <xdr:rowOff>104775</xdr:rowOff>
    </xdr:from>
    <xdr:ext cx="2152650" cy="971550"/>
    <xdr:pic>
      <xdr:nvPicPr>
        <xdr:cNvPr id="10" name="image282.png">
          <a:extLst>
            <a:ext uri="{FF2B5EF4-FFF2-40B4-BE49-F238E27FC236}">
              <a16:creationId xmlns:a16="http://schemas.microsoft.com/office/drawing/2014/main" id="{44AF0092-7DB8-4C89-B128-89F724453DFF}"/>
            </a:ext>
          </a:extLst>
        </xdr:cNvPr>
        <xdr:cNvPicPr preferRelativeResize="0"/>
      </xdr:nvPicPr>
      <xdr:blipFill>
        <a:blip xmlns:r="http://schemas.openxmlformats.org/officeDocument/2006/relationships" r:embed="rId9" cstate="print"/>
        <a:stretch>
          <a:fillRect/>
        </a:stretch>
      </xdr:blipFill>
      <xdr:spPr>
        <a:xfrm>
          <a:off x="6362700" y="52625625"/>
          <a:ext cx="2152650" cy="971550"/>
        </a:xfrm>
        <a:prstGeom prst="rect">
          <a:avLst/>
        </a:prstGeom>
        <a:noFill/>
      </xdr:spPr>
    </xdr:pic>
    <xdr:clientData fLocksWithSheet="0"/>
  </xdr:oneCellAnchor>
  <xdr:oneCellAnchor>
    <xdr:from>
      <xdr:col>9</xdr:col>
      <xdr:colOff>28575</xdr:colOff>
      <xdr:row>368</xdr:row>
      <xdr:rowOff>0</xdr:rowOff>
    </xdr:from>
    <xdr:ext cx="2152650" cy="1114425"/>
    <xdr:pic>
      <xdr:nvPicPr>
        <xdr:cNvPr id="11" name="image292.png">
          <a:extLst>
            <a:ext uri="{FF2B5EF4-FFF2-40B4-BE49-F238E27FC236}">
              <a16:creationId xmlns:a16="http://schemas.microsoft.com/office/drawing/2014/main" id="{30C6C9F9-6E4F-4A58-9AC8-BFEA38BF575C}"/>
            </a:ext>
          </a:extLst>
        </xdr:cNvPr>
        <xdr:cNvPicPr preferRelativeResize="0"/>
      </xdr:nvPicPr>
      <xdr:blipFill>
        <a:blip xmlns:r="http://schemas.openxmlformats.org/officeDocument/2006/relationships" r:embed="rId10" cstate="print"/>
        <a:stretch>
          <a:fillRect/>
        </a:stretch>
      </xdr:blipFill>
      <xdr:spPr>
        <a:xfrm>
          <a:off x="6372225" y="59645550"/>
          <a:ext cx="2152650" cy="1114425"/>
        </a:xfrm>
        <a:prstGeom prst="rect">
          <a:avLst/>
        </a:prstGeom>
        <a:noFill/>
      </xdr:spPr>
    </xdr:pic>
    <xdr:clientData fLocksWithSheet="0"/>
  </xdr:oneCellAnchor>
  <xdr:oneCellAnchor>
    <xdr:from>
      <xdr:col>9</xdr:col>
      <xdr:colOff>19050</xdr:colOff>
      <xdr:row>379</xdr:row>
      <xdr:rowOff>9525</xdr:rowOff>
    </xdr:from>
    <xdr:ext cx="2152650" cy="1133475"/>
    <xdr:pic>
      <xdr:nvPicPr>
        <xdr:cNvPr id="12" name="image337.png">
          <a:extLst>
            <a:ext uri="{FF2B5EF4-FFF2-40B4-BE49-F238E27FC236}">
              <a16:creationId xmlns:a16="http://schemas.microsoft.com/office/drawing/2014/main" id="{BC8D0FF7-EA59-4443-B190-45003ED5A3BC}"/>
            </a:ext>
          </a:extLst>
        </xdr:cNvPr>
        <xdr:cNvPicPr preferRelativeResize="0"/>
      </xdr:nvPicPr>
      <xdr:blipFill>
        <a:blip xmlns:r="http://schemas.openxmlformats.org/officeDocument/2006/relationships" r:embed="rId11" cstate="print"/>
        <a:stretch>
          <a:fillRect/>
        </a:stretch>
      </xdr:blipFill>
      <xdr:spPr>
        <a:xfrm>
          <a:off x="6362700" y="61436250"/>
          <a:ext cx="2152650" cy="1133475"/>
        </a:xfrm>
        <a:prstGeom prst="rect">
          <a:avLst/>
        </a:prstGeom>
        <a:noFill/>
      </xdr:spPr>
    </xdr:pic>
    <xdr:clientData fLocksWithSheet="0"/>
  </xdr:oneCellAnchor>
  <xdr:oneCellAnchor>
    <xdr:from>
      <xdr:col>9</xdr:col>
      <xdr:colOff>9525</xdr:colOff>
      <xdr:row>390</xdr:row>
      <xdr:rowOff>0</xdr:rowOff>
    </xdr:from>
    <xdr:ext cx="2152650" cy="1133475"/>
    <xdr:pic>
      <xdr:nvPicPr>
        <xdr:cNvPr id="13" name="image337.png">
          <a:extLst>
            <a:ext uri="{FF2B5EF4-FFF2-40B4-BE49-F238E27FC236}">
              <a16:creationId xmlns:a16="http://schemas.microsoft.com/office/drawing/2014/main" id="{3CA65D83-90CB-4782-AD87-19D02D895F6F}"/>
            </a:ext>
          </a:extLst>
        </xdr:cNvPr>
        <xdr:cNvPicPr preferRelativeResize="0"/>
      </xdr:nvPicPr>
      <xdr:blipFill>
        <a:blip xmlns:r="http://schemas.openxmlformats.org/officeDocument/2006/relationships" r:embed="rId11" cstate="print"/>
        <a:stretch>
          <a:fillRect/>
        </a:stretch>
      </xdr:blipFill>
      <xdr:spPr>
        <a:xfrm>
          <a:off x="6353175" y="63207900"/>
          <a:ext cx="2152650" cy="1133475"/>
        </a:xfrm>
        <a:prstGeom prst="rect">
          <a:avLst/>
        </a:prstGeom>
        <a:noFill/>
      </xdr:spPr>
    </xdr:pic>
    <xdr:clientData fLocksWithSheet="0"/>
  </xdr:oneCellAnchor>
  <xdr:oneCellAnchor>
    <xdr:from>
      <xdr:col>9</xdr:col>
      <xdr:colOff>19050</xdr:colOff>
      <xdr:row>335</xdr:row>
      <xdr:rowOff>9525</xdr:rowOff>
    </xdr:from>
    <xdr:ext cx="2152650" cy="1133475"/>
    <xdr:pic>
      <xdr:nvPicPr>
        <xdr:cNvPr id="14" name="image288.png">
          <a:extLst>
            <a:ext uri="{FF2B5EF4-FFF2-40B4-BE49-F238E27FC236}">
              <a16:creationId xmlns:a16="http://schemas.microsoft.com/office/drawing/2014/main" id="{3DDB915E-6E63-46D2-97F3-6B45F30BB1FE}"/>
            </a:ext>
          </a:extLst>
        </xdr:cNvPr>
        <xdr:cNvPicPr preferRelativeResize="0"/>
      </xdr:nvPicPr>
      <xdr:blipFill>
        <a:blip xmlns:r="http://schemas.openxmlformats.org/officeDocument/2006/relationships" r:embed="rId12" cstate="print"/>
        <a:stretch>
          <a:fillRect/>
        </a:stretch>
      </xdr:blipFill>
      <xdr:spPr>
        <a:xfrm>
          <a:off x="6362700" y="54311550"/>
          <a:ext cx="2152650" cy="1133475"/>
        </a:xfrm>
        <a:prstGeom prst="rect">
          <a:avLst/>
        </a:prstGeom>
        <a:noFill/>
      </xdr:spPr>
    </xdr:pic>
    <xdr:clientData fLocksWithSheet="0"/>
  </xdr:oneCellAnchor>
  <xdr:oneCellAnchor>
    <xdr:from>
      <xdr:col>9</xdr:col>
      <xdr:colOff>19050</xdr:colOff>
      <xdr:row>346</xdr:row>
      <xdr:rowOff>47625</xdr:rowOff>
    </xdr:from>
    <xdr:ext cx="2152650" cy="1028700"/>
    <xdr:pic>
      <xdr:nvPicPr>
        <xdr:cNvPr id="15" name="image283.png">
          <a:extLst>
            <a:ext uri="{FF2B5EF4-FFF2-40B4-BE49-F238E27FC236}">
              <a16:creationId xmlns:a16="http://schemas.microsoft.com/office/drawing/2014/main" id="{3E575EEE-CCB9-42E3-8B68-BC841E4EE653}"/>
            </a:ext>
          </a:extLst>
        </xdr:cNvPr>
        <xdr:cNvPicPr preferRelativeResize="0"/>
      </xdr:nvPicPr>
      <xdr:blipFill>
        <a:blip xmlns:r="http://schemas.openxmlformats.org/officeDocument/2006/relationships" r:embed="rId13" cstate="print"/>
        <a:stretch>
          <a:fillRect/>
        </a:stretch>
      </xdr:blipFill>
      <xdr:spPr>
        <a:xfrm>
          <a:off x="6362700" y="56130825"/>
          <a:ext cx="2152650" cy="1028700"/>
        </a:xfrm>
        <a:prstGeom prst="rect">
          <a:avLst/>
        </a:prstGeom>
        <a:noFill/>
      </xdr:spPr>
    </xdr:pic>
    <xdr:clientData fLocksWithSheet="0"/>
  </xdr:oneCellAnchor>
  <xdr:oneCellAnchor>
    <xdr:from>
      <xdr:col>9</xdr:col>
      <xdr:colOff>19050</xdr:colOff>
      <xdr:row>357</xdr:row>
      <xdr:rowOff>28575</xdr:rowOff>
    </xdr:from>
    <xdr:ext cx="2152650" cy="1152525"/>
    <xdr:pic>
      <xdr:nvPicPr>
        <xdr:cNvPr id="16" name="image308.png">
          <a:extLst>
            <a:ext uri="{FF2B5EF4-FFF2-40B4-BE49-F238E27FC236}">
              <a16:creationId xmlns:a16="http://schemas.microsoft.com/office/drawing/2014/main" id="{46343640-FE63-4481-A15D-FBCE3AD6392E}"/>
            </a:ext>
          </a:extLst>
        </xdr:cNvPr>
        <xdr:cNvPicPr preferRelativeResize="0"/>
      </xdr:nvPicPr>
      <xdr:blipFill>
        <a:blip xmlns:r="http://schemas.openxmlformats.org/officeDocument/2006/relationships" r:embed="rId14" cstate="print"/>
        <a:stretch>
          <a:fillRect/>
        </a:stretch>
      </xdr:blipFill>
      <xdr:spPr>
        <a:xfrm>
          <a:off x="6362700" y="57892950"/>
          <a:ext cx="2152650" cy="1152525"/>
        </a:xfrm>
        <a:prstGeom prst="rect">
          <a:avLst/>
        </a:prstGeom>
        <a:noFill/>
      </xdr:spPr>
    </xdr:pic>
    <xdr:clientData fLocksWithSheet="0"/>
  </xdr:oneCellAnchor>
  <xdr:oneCellAnchor>
    <xdr:from>
      <xdr:col>9</xdr:col>
      <xdr:colOff>619125</xdr:colOff>
      <xdr:row>400</xdr:row>
      <xdr:rowOff>47625</xdr:rowOff>
    </xdr:from>
    <xdr:ext cx="914400" cy="1352550"/>
    <xdr:pic>
      <xdr:nvPicPr>
        <xdr:cNvPr id="17" name="image289.png">
          <a:extLst>
            <a:ext uri="{FF2B5EF4-FFF2-40B4-BE49-F238E27FC236}">
              <a16:creationId xmlns:a16="http://schemas.microsoft.com/office/drawing/2014/main" id="{AE5DBCC7-3E6F-4031-BCB6-9195A1DD1E24}"/>
            </a:ext>
          </a:extLst>
        </xdr:cNvPr>
        <xdr:cNvPicPr preferRelativeResize="0"/>
      </xdr:nvPicPr>
      <xdr:blipFill>
        <a:blip xmlns:r="http://schemas.openxmlformats.org/officeDocument/2006/relationships" r:embed="rId15" cstate="print"/>
        <a:stretch>
          <a:fillRect/>
        </a:stretch>
      </xdr:blipFill>
      <xdr:spPr>
        <a:xfrm>
          <a:off x="6962775" y="64874775"/>
          <a:ext cx="914400" cy="1352550"/>
        </a:xfrm>
        <a:prstGeom prst="rect">
          <a:avLst/>
        </a:prstGeom>
        <a:noFill/>
      </xdr:spPr>
    </xdr:pic>
    <xdr:clientData fLocksWithSheet="0"/>
  </xdr:oneCellAnchor>
  <xdr:oneCellAnchor>
    <xdr:from>
      <xdr:col>9</xdr:col>
      <xdr:colOff>38100</xdr:colOff>
      <xdr:row>100</xdr:row>
      <xdr:rowOff>133350</xdr:rowOff>
    </xdr:from>
    <xdr:ext cx="1266825" cy="1285875"/>
    <xdr:pic>
      <xdr:nvPicPr>
        <xdr:cNvPr id="18" name="image298.png">
          <a:extLst>
            <a:ext uri="{FF2B5EF4-FFF2-40B4-BE49-F238E27FC236}">
              <a16:creationId xmlns:a16="http://schemas.microsoft.com/office/drawing/2014/main" id="{8A0927FE-DB31-4A22-81B5-EF9B1C865A91}"/>
            </a:ext>
          </a:extLst>
        </xdr:cNvPr>
        <xdr:cNvPicPr preferRelativeResize="0"/>
      </xdr:nvPicPr>
      <xdr:blipFill>
        <a:blip xmlns:r="http://schemas.openxmlformats.org/officeDocument/2006/relationships" r:embed="rId16" cstate="print"/>
        <a:stretch>
          <a:fillRect/>
        </a:stretch>
      </xdr:blipFill>
      <xdr:spPr>
        <a:xfrm>
          <a:off x="6381750" y="16383000"/>
          <a:ext cx="1266825" cy="1285875"/>
        </a:xfrm>
        <a:prstGeom prst="rect">
          <a:avLst/>
        </a:prstGeom>
        <a:noFill/>
      </xdr:spPr>
    </xdr:pic>
    <xdr:clientData fLocksWithSheet="0"/>
  </xdr:oneCellAnchor>
  <xdr:oneCellAnchor>
    <xdr:from>
      <xdr:col>9</xdr:col>
      <xdr:colOff>238125</xdr:colOff>
      <xdr:row>12</xdr:row>
      <xdr:rowOff>28575</xdr:rowOff>
    </xdr:from>
    <xdr:ext cx="1847850" cy="1362075"/>
    <xdr:pic>
      <xdr:nvPicPr>
        <xdr:cNvPr id="19" name="image305.png">
          <a:extLst>
            <a:ext uri="{FF2B5EF4-FFF2-40B4-BE49-F238E27FC236}">
              <a16:creationId xmlns:a16="http://schemas.microsoft.com/office/drawing/2014/main" id="{F57057FF-FD78-4189-9CC9-26E0D2AB6112}"/>
            </a:ext>
          </a:extLst>
        </xdr:cNvPr>
        <xdr:cNvPicPr preferRelativeResize="0"/>
      </xdr:nvPicPr>
      <xdr:blipFill>
        <a:blip xmlns:r="http://schemas.openxmlformats.org/officeDocument/2006/relationships" r:embed="rId17" cstate="print"/>
        <a:stretch>
          <a:fillRect/>
        </a:stretch>
      </xdr:blipFill>
      <xdr:spPr>
        <a:xfrm>
          <a:off x="6581775" y="2028825"/>
          <a:ext cx="1847850" cy="1362075"/>
        </a:xfrm>
        <a:prstGeom prst="rect">
          <a:avLst/>
        </a:prstGeom>
        <a:noFill/>
      </xdr:spPr>
    </xdr:pic>
    <xdr:clientData fLocksWithSheet="0"/>
  </xdr:oneCellAnchor>
  <xdr:oneCellAnchor>
    <xdr:from>
      <xdr:col>9</xdr:col>
      <xdr:colOff>619125</xdr:colOff>
      <xdr:row>188</xdr:row>
      <xdr:rowOff>38100</xdr:rowOff>
    </xdr:from>
    <xdr:ext cx="914400" cy="1362075"/>
    <xdr:pic>
      <xdr:nvPicPr>
        <xdr:cNvPr id="20" name="image289.png">
          <a:extLst>
            <a:ext uri="{FF2B5EF4-FFF2-40B4-BE49-F238E27FC236}">
              <a16:creationId xmlns:a16="http://schemas.microsoft.com/office/drawing/2014/main" id="{0C5B2E87-F9F3-4617-90B7-2C27AD4A593C}"/>
            </a:ext>
          </a:extLst>
        </xdr:cNvPr>
        <xdr:cNvPicPr preferRelativeResize="0"/>
      </xdr:nvPicPr>
      <xdr:blipFill>
        <a:blip xmlns:r="http://schemas.openxmlformats.org/officeDocument/2006/relationships" r:embed="rId15" cstate="print"/>
        <a:stretch>
          <a:fillRect/>
        </a:stretch>
      </xdr:blipFill>
      <xdr:spPr>
        <a:xfrm>
          <a:off x="6962775" y="30537150"/>
          <a:ext cx="914400" cy="1362075"/>
        </a:xfrm>
        <a:prstGeom prst="rect">
          <a:avLst/>
        </a:prstGeom>
        <a:noFill/>
      </xdr:spPr>
    </xdr:pic>
    <xdr:clientData fLocksWithSheet="0"/>
  </xdr:oneCellAnchor>
  <xdr:oneCellAnchor>
    <xdr:from>
      <xdr:col>9</xdr:col>
      <xdr:colOff>238125</xdr:colOff>
      <xdr:row>34</xdr:row>
      <xdr:rowOff>28575</xdr:rowOff>
    </xdr:from>
    <xdr:ext cx="1790700" cy="1362075"/>
    <xdr:pic>
      <xdr:nvPicPr>
        <xdr:cNvPr id="21" name="image285.png">
          <a:extLst>
            <a:ext uri="{FF2B5EF4-FFF2-40B4-BE49-F238E27FC236}">
              <a16:creationId xmlns:a16="http://schemas.microsoft.com/office/drawing/2014/main" id="{19D0629F-DBB7-4851-82DC-56C7C593F190}"/>
            </a:ext>
          </a:extLst>
        </xdr:cNvPr>
        <xdr:cNvPicPr preferRelativeResize="0"/>
      </xdr:nvPicPr>
      <xdr:blipFill>
        <a:blip xmlns:r="http://schemas.openxmlformats.org/officeDocument/2006/relationships" r:embed="rId18" cstate="print"/>
        <a:stretch>
          <a:fillRect/>
        </a:stretch>
      </xdr:blipFill>
      <xdr:spPr>
        <a:xfrm>
          <a:off x="6581775" y="5591175"/>
          <a:ext cx="1790700" cy="1362075"/>
        </a:xfrm>
        <a:prstGeom prst="rect">
          <a:avLst/>
        </a:prstGeom>
        <a:noFill/>
      </xdr:spPr>
    </xdr:pic>
    <xdr:clientData fLocksWithSheet="0"/>
  </xdr:oneCellAnchor>
  <xdr:oneCellAnchor>
    <xdr:from>
      <xdr:col>9</xdr:col>
      <xdr:colOff>66675</xdr:colOff>
      <xdr:row>68</xdr:row>
      <xdr:rowOff>161925</xdr:rowOff>
    </xdr:from>
    <xdr:ext cx="2085975" cy="828675"/>
    <xdr:pic>
      <xdr:nvPicPr>
        <xdr:cNvPr id="22" name="image291.png">
          <a:extLst>
            <a:ext uri="{FF2B5EF4-FFF2-40B4-BE49-F238E27FC236}">
              <a16:creationId xmlns:a16="http://schemas.microsoft.com/office/drawing/2014/main" id="{9581F7E0-77DE-4FBA-AD77-599EF0A63393}"/>
            </a:ext>
          </a:extLst>
        </xdr:cNvPr>
        <xdr:cNvPicPr preferRelativeResize="0"/>
      </xdr:nvPicPr>
      <xdr:blipFill>
        <a:blip xmlns:r="http://schemas.openxmlformats.org/officeDocument/2006/relationships" r:embed="rId19" cstate="print"/>
        <a:stretch>
          <a:fillRect/>
        </a:stretch>
      </xdr:blipFill>
      <xdr:spPr>
        <a:xfrm>
          <a:off x="6410325" y="11229975"/>
          <a:ext cx="2085975" cy="828675"/>
        </a:xfrm>
        <a:prstGeom prst="rect">
          <a:avLst/>
        </a:prstGeom>
        <a:noFill/>
      </xdr:spPr>
    </xdr:pic>
    <xdr:clientData fLocksWithSheet="0"/>
  </xdr:oneCellAnchor>
  <xdr:oneCellAnchor>
    <xdr:from>
      <xdr:col>9</xdr:col>
      <xdr:colOff>438150</xdr:colOff>
      <xdr:row>89</xdr:row>
      <xdr:rowOff>38100</xdr:rowOff>
    </xdr:from>
    <xdr:ext cx="1362075" cy="1362075"/>
    <xdr:pic>
      <xdr:nvPicPr>
        <xdr:cNvPr id="23" name="image304.png">
          <a:extLst>
            <a:ext uri="{FF2B5EF4-FFF2-40B4-BE49-F238E27FC236}">
              <a16:creationId xmlns:a16="http://schemas.microsoft.com/office/drawing/2014/main" id="{81A27D0E-A537-4A63-851A-C4A8E9B57424}"/>
            </a:ext>
          </a:extLst>
        </xdr:cNvPr>
        <xdr:cNvPicPr preferRelativeResize="0"/>
      </xdr:nvPicPr>
      <xdr:blipFill>
        <a:blip xmlns:r="http://schemas.openxmlformats.org/officeDocument/2006/relationships" r:embed="rId20" cstate="print"/>
        <a:stretch>
          <a:fillRect/>
        </a:stretch>
      </xdr:blipFill>
      <xdr:spPr>
        <a:xfrm>
          <a:off x="6781800" y="14506575"/>
          <a:ext cx="1362075" cy="1362075"/>
        </a:xfrm>
        <a:prstGeom prst="rect">
          <a:avLst/>
        </a:prstGeom>
        <a:noFill/>
      </xdr:spPr>
    </xdr:pic>
    <xdr:clientData fLocksWithSheet="0"/>
  </xdr:oneCellAnchor>
  <xdr:oneCellAnchor>
    <xdr:from>
      <xdr:col>9</xdr:col>
      <xdr:colOff>485775</xdr:colOff>
      <xdr:row>23</xdr:row>
      <xdr:rowOff>123825</xdr:rowOff>
    </xdr:from>
    <xdr:ext cx="1419225" cy="1228725"/>
    <xdr:pic>
      <xdr:nvPicPr>
        <xdr:cNvPr id="24" name="image293.png">
          <a:extLst>
            <a:ext uri="{FF2B5EF4-FFF2-40B4-BE49-F238E27FC236}">
              <a16:creationId xmlns:a16="http://schemas.microsoft.com/office/drawing/2014/main" id="{2BD31BA3-2DAF-486F-96BD-866450FDE542}"/>
            </a:ext>
          </a:extLst>
        </xdr:cNvPr>
        <xdr:cNvPicPr preferRelativeResize="0"/>
      </xdr:nvPicPr>
      <xdr:blipFill>
        <a:blip xmlns:r="http://schemas.openxmlformats.org/officeDocument/2006/relationships" r:embed="rId21" cstate="print"/>
        <a:stretch>
          <a:fillRect/>
        </a:stretch>
      </xdr:blipFill>
      <xdr:spPr>
        <a:xfrm>
          <a:off x="6829425" y="3905250"/>
          <a:ext cx="1419225" cy="1228725"/>
        </a:xfrm>
        <a:prstGeom prst="rect">
          <a:avLst/>
        </a:prstGeom>
        <a:noFill/>
      </xdr:spPr>
    </xdr:pic>
    <xdr:clientData fLocksWithSheet="0"/>
  </xdr:oneCellAnchor>
  <xdr:oneCellAnchor>
    <xdr:from>
      <xdr:col>10</xdr:col>
      <xdr:colOff>495300</xdr:colOff>
      <xdr:row>102</xdr:row>
      <xdr:rowOff>9525</xdr:rowOff>
    </xdr:from>
    <xdr:ext cx="952500" cy="790575"/>
    <xdr:pic>
      <xdr:nvPicPr>
        <xdr:cNvPr id="25" name="image297.png">
          <a:extLst>
            <a:ext uri="{FF2B5EF4-FFF2-40B4-BE49-F238E27FC236}">
              <a16:creationId xmlns:a16="http://schemas.microsoft.com/office/drawing/2014/main" id="{579A7B17-97AD-490D-B4D7-CE23BDB7ABEE}"/>
            </a:ext>
          </a:extLst>
        </xdr:cNvPr>
        <xdr:cNvPicPr preferRelativeResize="0"/>
      </xdr:nvPicPr>
      <xdr:blipFill>
        <a:blip xmlns:r="http://schemas.openxmlformats.org/officeDocument/2006/relationships" r:embed="rId22" cstate="print"/>
        <a:stretch>
          <a:fillRect/>
        </a:stretch>
      </xdr:blipFill>
      <xdr:spPr>
        <a:xfrm>
          <a:off x="7543800" y="16583025"/>
          <a:ext cx="952500" cy="790575"/>
        </a:xfrm>
        <a:prstGeom prst="rect">
          <a:avLst/>
        </a:prstGeom>
        <a:noFill/>
      </xdr:spPr>
    </xdr:pic>
    <xdr:clientData fLocksWithSheet="0"/>
  </xdr:oneCellAnchor>
  <xdr:oneCellAnchor>
    <xdr:from>
      <xdr:col>9</xdr:col>
      <xdr:colOff>533400</xdr:colOff>
      <xdr:row>112</xdr:row>
      <xdr:rowOff>9525</xdr:rowOff>
    </xdr:from>
    <xdr:ext cx="923925" cy="1114425"/>
    <xdr:pic>
      <xdr:nvPicPr>
        <xdr:cNvPr id="26" name="image329.png">
          <a:extLst>
            <a:ext uri="{FF2B5EF4-FFF2-40B4-BE49-F238E27FC236}">
              <a16:creationId xmlns:a16="http://schemas.microsoft.com/office/drawing/2014/main" id="{90E7DF89-DFDB-497B-B4FE-455489B60193}"/>
            </a:ext>
          </a:extLst>
        </xdr:cNvPr>
        <xdr:cNvPicPr preferRelativeResize="0"/>
      </xdr:nvPicPr>
      <xdr:blipFill>
        <a:blip xmlns:r="http://schemas.openxmlformats.org/officeDocument/2006/relationships" r:embed="rId23" cstate="print"/>
        <a:stretch>
          <a:fillRect/>
        </a:stretch>
      </xdr:blipFill>
      <xdr:spPr>
        <a:xfrm>
          <a:off x="6877050" y="18202275"/>
          <a:ext cx="923925" cy="1114425"/>
        </a:xfrm>
        <a:prstGeom prst="rect">
          <a:avLst/>
        </a:prstGeom>
        <a:noFill/>
      </xdr:spPr>
    </xdr:pic>
    <xdr:clientData fLocksWithSheet="0"/>
  </xdr:oneCellAnchor>
  <xdr:oneCellAnchor>
    <xdr:from>
      <xdr:col>9</xdr:col>
      <xdr:colOff>619125</xdr:colOff>
      <xdr:row>79</xdr:row>
      <xdr:rowOff>19050</xdr:rowOff>
    </xdr:from>
    <xdr:ext cx="1409700" cy="1219200"/>
    <xdr:pic>
      <xdr:nvPicPr>
        <xdr:cNvPr id="27" name="image287.png">
          <a:extLst>
            <a:ext uri="{FF2B5EF4-FFF2-40B4-BE49-F238E27FC236}">
              <a16:creationId xmlns:a16="http://schemas.microsoft.com/office/drawing/2014/main" id="{8D652B7F-BA15-4A79-A8C8-9300E3141FA4}"/>
            </a:ext>
          </a:extLst>
        </xdr:cNvPr>
        <xdr:cNvPicPr preferRelativeResize="0"/>
      </xdr:nvPicPr>
      <xdr:blipFill>
        <a:blip xmlns:r="http://schemas.openxmlformats.org/officeDocument/2006/relationships" r:embed="rId24" cstate="print"/>
        <a:stretch>
          <a:fillRect/>
        </a:stretch>
      </xdr:blipFill>
      <xdr:spPr>
        <a:xfrm>
          <a:off x="6962775" y="12868275"/>
          <a:ext cx="1409700" cy="1219200"/>
        </a:xfrm>
        <a:prstGeom prst="rect">
          <a:avLst/>
        </a:prstGeom>
        <a:noFill/>
      </xdr:spPr>
    </xdr:pic>
    <xdr:clientData fLocksWithSheet="0"/>
  </xdr:oneCellAnchor>
  <xdr:oneCellAnchor>
    <xdr:from>
      <xdr:col>9</xdr:col>
      <xdr:colOff>200025</xdr:colOff>
      <xdr:row>177</xdr:row>
      <xdr:rowOff>38100</xdr:rowOff>
    </xdr:from>
    <xdr:ext cx="1895475" cy="1362075"/>
    <xdr:pic>
      <xdr:nvPicPr>
        <xdr:cNvPr id="28" name="image295.png">
          <a:extLst>
            <a:ext uri="{FF2B5EF4-FFF2-40B4-BE49-F238E27FC236}">
              <a16:creationId xmlns:a16="http://schemas.microsoft.com/office/drawing/2014/main" id="{D8D82533-B1E7-4CCE-86A4-0AA1E400B67B}"/>
            </a:ext>
          </a:extLst>
        </xdr:cNvPr>
        <xdr:cNvPicPr preferRelativeResize="0"/>
      </xdr:nvPicPr>
      <xdr:blipFill>
        <a:blip xmlns:r="http://schemas.openxmlformats.org/officeDocument/2006/relationships" r:embed="rId25" cstate="print"/>
        <a:stretch>
          <a:fillRect/>
        </a:stretch>
      </xdr:blipFill>
      <xdr:spPr>
        <a:xfrm>
          <a:off x="6543675" y="28755975"/>
          <a:ext cx="1895475" cy="1362075"/>
        </a:xfrm>
        <a:prstGeom prst="rect">
          <a:avLst/>
        </a:prstGeom>
        <a:noFill/>
      </xdr:spPr>
    </xdr:pic>
    <xdr:clientData fLocksWithSheet="0"/>
  </xdr:oneCellAnchor>
  <xdr:oneCellAnchor>
    <xdr:from>
      <xdr:col>9</xdr:col>
      <xdr:colOff>161925</xdr:colOff>
      <xdr:row>155</xdr:row>
      <xdr:rowOff>38100</xdr:rowOff>
    </xdr:from>
    <xdr:ext cx="1800225" cy="1352550"/>
    <xdr:pic>
      <xdr:nvPicPr>
        <xdr:cNvPr id="29" name="image314.png">
          <a:extLst>
            <a:ext uri="{FF2B5EF4-FFF2-40B4-BE49-F238E27FC236}">
              <a16:creationId xmlns:a16="http://schemas.microsoft.com/office/drawing/2014/main" id="{1F56C260-9FF8-4648-8714-DF8CECC9048E}"/>
            </a:ext>
          </a:extLst>
        </xdr:cNvPr>
        <xdr:cNvPicPr preferRelativeResize="0"/>
      </xdr:nvPicPr>
      <xdr:blipFill>
        <a:blip xmlns:r="http://schemas.openxmlformats.org/officeDocument/2006/relationships" r:embed="rId26" cstate="print"/>
        <a:stretch>
          <a:fillRect/>
        </a:stretch>
      </xdr:blipFill>
      <xdr:spPr>
        <a:xfrm>
          <a:off x="6505575" y="25193625"/>
          <a:ext cx="1800225" cy="1352550"/>
        </a:xfrm>
        <a:prstGeom prst="rect">
          <a:avLst/>
        </a:prstGeom>
        <a:noFill/>
      </xdr:spPr>
    </xdr:pic>
    <xdr:clientData fLocksWithSheet="0"/>
  </xdr:oneCellAnchor>
  <xdr:oneCellAnchor>
    <xdr:from>
      <xdr:col>9</xdr:col>
      <xdr:colOff>247650</xdr:colOff>
      <xdr:row>144</xdr:row>
      <xdr:rowOff>57150</xdr:rowOff>
    </xdr:from>
    <xdr:ext cx="1819275" cy="1362075"/>
    <xdr:pic>
      <xdr:nvPicPr>
        <xdr:cNvPr id="30" name="image300.png">
          <a:extLst>
            <a:ext uri="{FF2B5EF4-FFF2-40B4-BE49-F238E27FC236}">
              <a16:creationId xmlns:a16="http://schemas.microsoft.com/office/drawing/2014/main" id="{933B9C99-27BA-4914-A142-EC78788F5831}"/>
            </a:ext>
          </a:extLst>
        </xdr:cNvPr>
        <xdr:cNvPicPr preferRelativeResize="0"/>
      </xdr:nvPicPr>
      <xdr:blipFill>
        <a:blip xmlns:r="http://schemas.openxmlformats.org/officeDocument/2006/relationships" r:embed="rId27" cstate="print"/>
        <a:stretch>
          <a:fillRect/>
        </a:stretch>
      </xdr:blipFill>
      <xdr:spPr>
        <a:xfrm>
          <a:off x="6591300" y="23431500"/>
          <a:ext cx="1819275" cy="1362075"/>
        </a:xfrm>
        <a:prstGeom prst="rect">
          <a:avLst/>
        </a:prstGeom>
        <a:noFill/>
      </xdr:spPr>
    </xdr:pic>
    <xdr:clientData fLocksWithSheet="0"/>
  </xdr:oneCellAnchor>
  <xdr:oneCellAnchor>
    <xdr:from>
      <xdr:col>9</xdr:col>
      <xdr:colOff>123825</xdr:colOff>
      <xdr:row>45</xdr:row>
      <xdr:rowOff>38100</xdr:rowOff>
    </xdr:from>
    <xdr:ext cx="1847850" cy="1362075"/>
    <xdr:pic>
      <xdr:nvPicPr>
        <xdr:cNvPr id="31" name="image301.png">
          <a:extLst>
            <a:ext uri="{FF2B5EF4-FFF2-40B4-BE49-F238E27FC236}">
              <a16:creationId xmlns:a16="http://schemas.microsoft.com/office/drawing/2014/main" id="{F74AF58C-FBB2-4C36-9664-D915A4D23125}"/>
            </a:ext>
          </a:extLst>
        </xdr:cNvPr>
        <xdr:cNvPicPr preferRelativeResize="0"/>
      </xdr:nvPicPr>
      <xdr:blipFill>
        <a:blip xmlns:r="http://schemas.openxmlformats.org/officeDocument/2006/relationships" r:embed="rId28" cstate="print"/>
        <a:stretch>
          <a:fillRect/>
        </a:stretch>
      </xdr:blipFill>
      <xdr:spPr>
        <a:xfrm>
          <a:off x="6467475" y="7381875"/>
          <a:ext cx="1847850" cy="1362075"/>
        </a:xfrm>
        <a:prstGeom prst="rect">
          <a:avLst/>
        </a:prstGeom>
        <a:noFill/>
      </xdr:spPr>
    </xdr:pic>
    <xdr:clientData fLocksWithSheet="0"/>
  </xdr:oneCellAnchor>
  <xdr:oneCellAnchor>
    <xdr:from>
      <xdr:col>9</xdr:col>
      <xdr:colOff>333375</xdr:colOff>
      <xdr:row>58</xdr:row>
      <xdr:rowOff>152400</xdr:rowOff>
    </xdr:from>
    <xdr:ext cx="1838325" cy="457200"/>
    <xdr:pic>
      <xdr:nvPicPr>
        <xdr:cNvPr id="32" name="image303.png">
          <a:extLst>
            <a:ext uri="{FF2B5EF4-FFF2-40B4-BE49-F238E27FC236}">
              <a16:creationId xmlns:a16="http://schemas.microsoft.com/office/drawing/2014/main" id="{603A7F29-0EB7-42A6-BFE6-F1698E0253F0}"/>
            </a:ext>
          </a:extLst>
        </xdr:cNvPr>
        <xdr:cNvPicPr preferRelativeResize="0"/>
      </xdr:nvPicPr>
      <xdr:blipFill>
        <a:blip xmlns:r="http://schemas.openxmlformats.org/officeDocument/2006/relationships" r:embed="rId29" cstate="print"/>
        <a:stretch>
          <a:fillRect/>
        </a:stretch>
      </xdr:blipFill>
      <xdr:spPr>
        <a:xfrm>
          <a:off x="6677025" y="9601200"/>
          <a:ext cx="1838325" cy="457200"/>
        </a:xfrm>
        <a:prstGeom prst="rect">
          <a:avLst/>
        </a:prstGeom>
        <a:noFill/>
      </xdr:spPr>
    </xdr:pic>
    <xdr:clientData fLocksWithSheet="0"/>
  </xdr:oneCellAnchor>
  <xdr:oneCellAnchor>
    <xdr:from>
      <xdr:col>9</xdr:col>
      <xdr:colOff>123825</xdr:colOff>
      <xdr:row>133</xdr:row>
      <xdr:rowOff>47625</xdr:rowOff>
    </xdr:from>
    <xdr:ext cx="2000250" cy="1362075"/>
    <xdr:pic>
      <xdr:nvPicPr>
        <xdr:cNvPr id="33" name="image313.png">
          <a:extLst>
            <a:ext uri="{FF2B5EF4-FFF2-40B4-BE49-F238E27FC236}">
              <a16:creationId xmlns:a16="http://schemas.microsoft.com/office/drawing/2014/main" id="{6B5C093B-B895-4179-92AB-BF8D29C5C36C}"/>
            </a:ext>
          </a:extLst>
        </xdr:cNvPr>
        <xdr:cNvPicPr preferRelativeResize="0"/>
      </xdr:nvPicPr>
      <xdr:blipFill>
        <a:blip xmlns:r="http://schemas.openxmlformats.org/officeDocument/2006/relationships" r:embed="rId30" cstate="print"/>
        <a:stretch>
          <a:fillRect/>
        </a:stretch>
      </xdr:blipFill>
      <xdr:spPr>
        <a:xfrm>
          <a:off x="6467475" y="21640800"/>
          <a:ext cx="2000250" cy="1362075"/>
        </a:xfrm>
        <a:prstGeom prst="rect">
          <a:avLst/>
        </a:prstGeom>
        <a:noFill/>
      </xdr:spPr>
    </xdr:pic>
    <xdr:clientData fLocksWithSheet="0"/>
  </xdr:oneCellAnchor>
  <xdr:oneCellAnchor>
    <xdr:from>
      <xdr:col>9</xdr:col>
      <xdr:colOff>190500</xdr:colOff>
      <xdr:row>122</xdr:row>
      <xdr:rowOff>38100</xdr:rowOff>
    </xdr:from>
    <xdr:ext cx="1800225" cy="1362075"/>
    <xdr:pic>
      <xdr:nvPicPr>
        <xdr:cNvPr id="34" name="image290.png">
          <a:extLst>
            <a:ext uri="{FF2B5EF4-FFF2-40B4-BE49-F238E27FC236}">
              <a16:creationId xmlns:a16="http://schemas.microsoft.com/office/drawing/2014/main" id="{CC94F026-3719-4E0B-B69B-AD438DB263DD}"/>
            </a:ext>
          </a:extLst>
        </xdr:cNvPr>
        <xdr:cNvPicPr preferRelativeResize="0"/>
      </xdr:nvPicPr>
      <xdr:blipFill>
        <a:blip xmlns:r="http://schemas.openxmlformats.org/officeDocument/2006/relationships" r:embed="rId31" cstate="print"/>
        <a:stretch>
          <a:fillRect/>
        </a:stretch>
      </xdr:blipFill>
      <xdr:spPr>
        <a:xfrm>
          <a:off x="6534150" y="19850100"/>
          <a:ext cx="1800225" cy="1362075"/>
        </a:xfrm>
        <a:prstGeom prst="rect">
          <a:avLst/>
        </a:prstGeom>
        <a:noFill/>
      </xdr:spPr>
    </xdr:pic>
    <xdr:clientData fLocksWithSheet="0"/>
  </xdr:oneCellAnchor>
  <xdr:oneCellAnchor>
    <xdr:from>
      <xdr:col>9</xdr:col>
      <xdr:colOff>57150</xdr:colOff>
      <xdr:row>202</xdr:row>
      <xdr:rowOff>85725</xdr:rowOff>
    </xdr:from>
    <xdr:ext cx="2057400" cy="1323975"/>
    <xdr:pic>
      <xdr:nvPicPr>
        <xdr:cNvPr id="35" name="image296.png">
          <a:extLst>
            <a:ext uri="{FF2B5EF4-FFF2-40B4-BE49-F238E27FC236}">
              <a16:creationId xmlns:a16="http://schemas.microsoft.com/office/drawing/2014/main" id="{74E02796-1606-4484-A80E-BFD1B1829E86}"/>
            </a:ext>
          </a:extLst>
        </xdr:cNvPr>
        <xdr:cNvPicPr preferRelativeResize="0"/>
      </xdr:nvPicPr>
      <xdr:blipFill>
        <a:blip xmlns:r="http://schemas.openxmlformats.org/officeDocument/2006/relationships" r:embed="rId4" cstate="print"/>
        <a:stretch>
          <a:fillRect/>
        </a:stretch>
      </xdr:blipFill>
      <xdr:spPr>
        <a:xfrm>
          <a:off x="6400800" y="32851725"/>
          <a:ext cx="2057400" cy="1323975"/>
        </a:xfrm>
        <a:prstGeom prst="rect">
          <a:avLst/>
        </a:prstGeom>
        <a:noFill/>
      </xdr:spPr>
    </xdr:pic>
    <xdr:clientData fLocksWithSheet="0"/>
  </xdr:oneCellAnchor>
  <xdr:oneCellAnchor>
    <xdr:from>
      <xdr:col>9</xdr:col>
      <xdr:colOff>209550</xdr:colOff>
      <xdr:row>167</xdr:row>
      <xdr:rowOff>0</xdr:rowOff>
    </xdr:from>
    <xdr:ext cx="1828800" cy="1152525"/>
    <xdr:pic>
      <xdr:nvPicPr>
        <xdr:cNvPr id="36" name="image310.png" descr="Recorte de pantalla">
          <a:extLst>
            <a:ext uri="{FF2B5EF4-FFF2-40B4-BE49-F238E27FC236}">
              <a16:creationId xmlns:a16="http://schemas.microsoft.com/office/drawing/2014/main" id="{BB61692F-8DE7-4663-9F08-997F9F5C8C06}"/>
            </a:ext>
          </a:extLst>
        </xdr:cNvPr>
        <xdr:cNvPicPr preferRelativeResize="0"/>
      </xdr:nvPicPr>
      <xdr:blipFill>
        <a:blip xmlns:r="http://schemas.openxmlformats.org/officeDocument/2006/relationships" r:embed="rId32" cstate="print"/>
        <a:stretch>
          <a:fillRect/>
        </a:stretch>
      </xdr:blipFill>
      <xdr:spPr>
        <a:xfrm>
          <a:off x="6553200" y="27098625"/>
          <a:ext cx="1828800" cy="1152525"/>
        </a:xfrm>
        <a:prstGeom prst="rect">
          <a:avLst/>
        </a:prstGeom>
        <a:noFill/>
      </xdr:spPr>
    </xdr:pic>
    <xdr:clientData fLocksWithSheet="0"/>
  </xdr:oneCellAnchor>
  <xdr:oneCellAnchor>
    <xdr:from>
      <xdr:col>9</xdr:col>
      <xdr:colOff>304800</xdr:colOff>
      <xdr:row>247</xdr:row>
      <xdr:rowOff>123825</xdr:rowOff>
    </xdr:from>
    <xdr:ext cx="1828800" cy="942975"/>
    <xdr:pic>
      <xdr:nvPicPr>
        <xdr:cNvPr id="37" name="image312.png" descr="Recorte de pantalla">
          <a:extLst>
            <a:ext uri="{FF2B5EF4-FFF2-40B4-BE49-F238E27FC236}">
              <a16:creationId xmlns:a16="http://schemas.microsoft.com/office/drawing/2014/main" id="{B5404CFD-4329-4DD2-8DED-B5D029E0E6E1}"/>
            </a:ext>
          </a:extLst>
        </xdr:cNvPr>
        <xdr:cNvPicPr preferRelativeResize="0"/>
      </xdr:nvPicPr>
      <xdr:blipFill>
        <a:blip xmlns:r="http://schemas.openxmlformats.org/officeDocument/2006/relationships" r:embed="rId33" cstate="print"/>
        <a:stretch>
          <a:fillRect/>
        </a:stretch>
      </xdr:blipFill>
      <xdr:spPr>
        <a:xfrm>
          <a:off x="6648450" y="40176450"/>
          <a:ext cx="1828800" cy="942975"/>
        </a:xfrm>
        <a:prstGeom prst="rect">
          <a:avLst/>
        </a:prstGeom>
        <a:noFill/>
      </xdr:spPr>
    </xdr:pic>
    <xdr:clientData fLocksWithSheet="0"/>
  </xdr:oneCellAnchor>
  <xdr:oneCellAnchor>
    <xdr:from>
      <xdr:col>9</xdr:col>
      <xdr:colOff>200025</xdr:colOff>
      <xdr:row>258</xdr:row>
      <xdr:rowOff>133350</xdr:rowOff>
    </xdr:from>
    <xdr:ext cx="1905000" cy="295275"/>
    <xdr:pic>
      <xdr:nvPicPr>
        <xdr:cNvPr id="38" name="image309.png" descr="Recorte de pantalla">
          <a:extLst>
            <a:ext uri="{FF2B5EF4-FFF2-40B4-BE49-F238E27FC236}">
              <a16:creationId xmlns:a16="http://schemas.microsoft.com/office/drawing/2014/main" id="{B107E60F-2016-4253-902D-91A4E8963077}"/>
            </a:ext>
          </a:extLst>
        </xdr:cNvPr>
        <xdr:cNvPicPr preferRelativeResize="0"/>
      </xdr:nvPicPr>
      <xdr:blipFill>
        <a:blip xmlns:r="http://schemas.openxmlformats.org/officeDocument/2006/relationships" r:embed="rId34" cstate="print"/>
        <a:stretch>
          <a:fillRect/>
        </a:stretch>
      </xdr:blipFill>
      <xdr:spPr>
        <a:xfrm>
          <a:off x="6543675" y="41967150"/>
          <a:ext cx="1905000" cy="295275"/>
        </a:xfrm>
        <a:prstGeom prst="rect">
          <a:avLst/>
        </a:prstGeom>
        <a:noFill/>
      </xdr:spPr>
    </xdr:pic>
    <xdr:clientData fLocksWithSheet="0"/>
  </xdr:oneCellAnchor>
  <xdr:oneCellAnchor>
    <xdr:from>
      <xdr:col>9</xdr:col>
      <xdr:colOff>428625</xdr:colOff>
      <xdr:row>260</xdr:row>
      <xdr:rowOff>76200</xdr:rowOff>
    </xdr:from>
    <xdr:ext cx="1343025" cy="238125"/>
    <xdr:pic>
      <xdr:nvPicPr>
        <xdr:cNvPr id="39" name="image302.png" descr="Recorte de pantalla">
          <a:extLst>
            <a:ext uri="{FF2B5EF4-FFF2-40B4-BE49-F238E27FC236}">
              <a16:creationId xmlns:a16="http://schemas.microsoft.com/office/drawing/2014/main" id="{9D673E86-9FFC-4299-B8ED-CF562D1FF203}"/>
            </a:ext>
          </a:extLst>
        </xdr:cNvPr>
        <xdr:cNvPicPr preferRelativeResize="0"/>
      </xdr:nvPicPr>
      <xdr:blipFill>
        <a:blip xmlns:r="http://schemas.openxmlformats.org/officeDocument/2006/relationships" r:embed="rId35" cstate="print"/>
        <a:stretch>
          <a:fillRect/>
        </a:stretch>
      </xdr:blipFill>
      <xdr:spPr>
        <a:xfrm>
          <a:off x="6772275" y="42233850"/>
          <a:ext cx="1343025" cy="238125"/>
        </a:xfrm>
        <a:prstGeom prst="rect">
          <a:avLst/>
        </a:prstGeom>
        <a:noFill/>
      </xdr:spPr>
    </xdr:pic>
    <xdr:clientData fLocksWithSheet="0"/>
  </xdr:oneCellAnchor>
  <xdr:oneCellAnchor>
    <xdr:from>
      <xdr:col>10</xdr:col>
      <xdr:colOff>523875</xdr:colOff>
      <xdr:row>305</xdr:row>
      <xdr:rowOff>28575</xdr:rowOff>
    </xdr:from>
    <xdr:ext cx="933450" cy="762000"/>
    <xdr:pic>
      <xdr:nvPicPr>
        <xdr:cNvPr id="40" name="image339.png">
          <a:extLst>
            <a:ext uri="{FF2B5EF4-FFF2-40B4-BE49-F238E27FC236}">
              <a16:creationId xmlns:a16="http://schemas.microsoft.com/office/drawing/2014/main" id="{82E6FF6F-0853-4AC5-A37D-429BFD99611C}"/>
            </a:ext>
          </a:extLst>
        </xdr:cNvPr>
        <xdr:cNvPicPr preferRelativeResize="0"/>
      </xdr:nvPicPr>
      <xdr:blipFill>
        <a:blip xmlns:r="http://schemas.openxmlformats.org/officeDocument/2006/relationships" r:embed="rId36" cstate="print"/>
        <a:stretch>
          <a:fillRect/>
        </a:stretch>
      </xdr:blipFill>
      <xdr:spPr>
        <a:xfrm>
          <a:off x="7572375" y="49472850"/>
          <a:ext cx="933450" cy="762000"/>
        </a:xfrm>
        <a:prstGeom prst="rect">
          <a:avLst/>
        </a:prstGeom>
        <a:noFill/>
      </xdr:spPr>
    </xdr:pic>
    <xdr:clientData fLocksWithSheet="0"/>
  </xdr:oneCellAnchor>
  <xdr:oneCellAnchor>
    <xdr:from>
      <xdr:col>8</xdr:col>
      <xdr:colOff>0</xdr:colOff>
      <xdr:row>289</xdr:row>
      <xdr:rowOff>0</xdr:rowOff>
    </xdr:from>
    <xdr:ext cx="2886075" cy="171450"/>
    <xdr:pic>
      <xdr:nvPicPr>
        <xdr:cNvPr id="41" name="Imagen 40">
          <a:extLst>
            <a:ext uri="{FF2B5EF4-FFF2-40B4-BE49-F238E27FC236}">
              <a16:creationId xmlns:a16="http://schemas.microsoft.com/office/drawing/2014/main" id="{1368AA82-B581-46AC-84A5-2F498BC73CA3}"/>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5638800" y="46853475"/>
          <a:ext cx="2886075" cy="1714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38100</xdr:colOff>
      <xdr:row>483</xdr:row>
      <xdr:rowOff>0</xdr:rowOff>
    </xdr:from>
    <xdr:ext cx="2114550" cy="628650"/>
    <xdr:pic>
      <xdr:nvPicPr>
        <xdr:cNvPr id="42" name="image272.png">
          <a:extLst>
            <a:ext uri="{FF2B5EF4-FFF2-40B4-BE49-F238E27FC236}">
              <a16:creationId xmlns:a16="http://schemas.microsoft.com/office/drawing/2014/main" id="{D6B42415-A84E-4A0D-B388-7FC5DDFF92CA}"/>
            </a:ext>
          </a:extLst>
        </xdr:cNvPr>
        <xdr:cNvPicPr preferRelativeResize="0"/>
      </xdr:nvPicPr>
      <xdr:blipFill>
        <a:blip xmlns:r="http://schemas.openxmlformats.org/officeDocument/2006/relationships" r:embed="rId38" cstate="print"/>
        <a:stretch>
          <a:fillRect/>
        </a:stretch>
      </xdr:blipFill>
      <xdr:spPr>
        <a:xfrm>
          <a:off x="6381750" y="78266925"/>
          <a:ext cx="2114550" cy="628650"/>
        </a:xfrm>
        <a:prstGeom prst="rect">
          <a:avLst/>
        </a:prstGeom>
        <a:noFill/>
      </xdr:spPr>
    </xdr:pic>
    <xdr:clientData fLocksWithSheet="0"/>
  </xdr:oneCellAnchor>
  <xdr:oneCellAnchor>
    <xdr:from>
      <xdr:col>9</xdr:col>
      <xdr:colOff>542925</xdr:colOff>
      <xdr:row>414</xdr:row>
      <xdr:rowOff>28575</xdr:rowOff>
    </xdr:from>
    <xdr:ext cx="1343025" cy="1362075"/>
    <xdr:pic>
      <xdr:nvPicPr>
        <xdr:cNvPr id="43" name="image261.png">
          <a:extLst>
            <a:ext uri="{FF2B5EF4-FFF2-40B4-BE49-F238E27FC236}">
              <a16:creationId xmlns:a16="http://schemas.microsoft.com/office/drawing/2014/main" id="{31E63FDE-BC66-46E5-9B18-DF830F544941}"/>
            </a:ext>
          </a:extLst>
        </xdr:cNvPr>
        <xdr:cNvPicPr preferRelativeResize="0"/>
      </xdr:nvPicPr>
      <xdr:blipFill>
        <a:blip xmlns:r="http://schemas.openxmlformats.org/officeDocument/2006/relationships" r:embed="rId39" cstate="print"/>
        <a:stretch>
          <a:fillRect/>
        </a:stretch>
      </xdr:blipFill>
      <xdr:spPr>
        <a:xfrm>
          <a:off x="6886575" y="67122675"/>
          <a:ext cx="1343025" cy="1362075"/>
        </a:xfrm>
        <a:prstGeom prst="rect">
          <a:avLst/>
        </a:prstGeom>
        <a:noFill/>
      </xdr:spPr>
    </xdr:pic>
    <xdr:clientData fLocksWithSheet="0"/>
  </xdr:oneCellAnchor>
  <xdr:oneCellAnchor>
    <xdr:from>
      <xdr:col>9</xdr:col>
      <xdr:colOff>28575</xdr:colOff>
      <xdr:row>426</xdr:row>
      <xdr:rowOff>47625</xdr:rowOff>
    </xdr:from>
    <xdr:ext cx="2152650" cy="981075"/>
    <xdr:pic>
      <xdr:nvPicPr>
        <xdr:cNvPr id="44" name="image264.png">
          <a:extLst>
            <a:ext uri="{FF2B5EF4-FFF2-40B4-BE49-F238E27FC236}">
              <a16:creationId xmlns:a16="http://schemas.microsoft.com/office/drawing/2014/main" id="{37EDA813-7713-41B7-A997-6CFF3EF87482}"/>
            </a:ext>
          </a:extLst>
        </xdr:cNvPr>
        <xdr:cNvPicPr preferRelativeResize="0"/>
      </xdr:nvPicPr>
      <xdr:blipFill>
        <a:blip xmlns:r="http://schemas.openxmlformats.org/officeDocument/2006/relationships" r:embed="rId40" cstate="print"/>
        <a:stretch>
          <a:fillRect/>
        </a:stretch>
      </xdr:blipFill>
      <xdr:spPr>
        <a:xfrm>
          <a:off x="6372225" y="69084825"/>
          <a:ext cx="2152650" cy="981075"/>
        </a:xfrm>
        <a:prstGeom prst="rect">
          <a:avLst/>
        </a:prstGeom>
        <a:noFill/>
      </xdr:spPr>
    </xdr:pic>
    <xdr:clientData fLocksWithSheet="0"/>
  </xdr:oneCellAnchor>
  <xdr:oneCellAnchor>
    <xdr:from>
      <xdr:col>9</xdr:col>
      <xdr:colOff>295275</xdr:colOff>
      <xdr:row>448</xdr:row>
      <xdr:rowOff>38100</xdr:rowOff>
    </xdr:from>
    <xdr:ext cx="1628775" cy="1362075"/>
    <xdr:pic>
      <xdr:nvPicPr>
        <xdr:cNvPr id="45" name="image277.png">
          <a:extLst>
            <a:ext uri="{FF2B5EF4-FFF2-40B4-BE49-F238E27FC236}">
              <a16:creationId xmlns:a16="http://schemas.microsoft.com/office/drawing/2014/main" id="{11213C00-DC16-4EAF-9392-2E90A8970FA0}"/>
            </a:ext>
          </a:extLst>
        </xdr:cNvPr>
        <xdr:cNvPicPr preferRelativeResize="0"/>
      </xdr:nvPicPr>
      <xdr:blipFill>
        <a:blip xmlns:r="http://schemas.openxmlformats.org/officeDocument/2006/relationships" r:embed="rId41" cstate="print"/>
        <a:stretch>
          <a:fillRect/>
        </a:stretch>
      </xdr:blipFill>
      <xdr:spPr>
        <a:xfrm>
          <a:off x="6638925" y="72637650"/>
          <a:ext cx="1628775" cy="1362075"/>
        </a:xfrm>
        <a:prstGeom prst="rect">
          <a:avLst/>
        </a:prstGeom>
        <a:noFill/>
      </xdr:spPr>
    </xdr:pic>
    <xdr:clientData fLocksWithSheet="0"/>
  </xdr:oneCellAnchor>
  <xdr:oneCellAnchor>
    <xdr:from>
      <xdr:col>9</xdr:col>
      <xdr:colOff>276225</xdr:colOff>
      <xdr:row>437</xdr:row>
      <xdr:rowOff>38100</xdr:rowOff>
    </xdr:from>
    <xdr:ext cx="1790700" cy="1362075"/>
    <xdr:pic>
      <xdr:nvPicPr>
        <xdr:cNvPr id="46" name="image286.png">
          <a:extLst>
            <a:ext uri="{FF2B5EF4-FFF2-40B4-BE49-F238E27FC236}">
              <a16:creationId xmlns:a16="http://schemas.microsoft.com/office/drawing/2014/main" id="{9FA4A075-BEEC-41FA-A64B-0647E5BBE573}"/>
            </a:ext>
          </a:extLst>
        </xdr:cNvPr>
        <xdr:cNvPicPr preferRelativeResize="0"/>
      </xdr:nvPicPr>
      <xdr:blipFill>
        <a:blip xmlns:r="http://schemas.openxmlformats.org/officeDocument/2006/relationships" r:embed="rId42" cstate="print"/>
        <a:stretch>
          <a:fillRect/>
        </a:stretch>
      </xdr:blipFill>
      <xdr:spPr>
        <a:xfrm>
          <a:off x="6619875" y="70856475"/>
          <a:ext cx="1790700" cy="1362075"/>
        </a:xfrm>
        <a:prstGeom prst="rect">
          <a:avLst/>
        </a:prstGeom>
        <a:noFill/>
      </xdr:spPr>
    </xdr:pic>
    <xdr:clientData fLocksWithSheet="0"/>
  </xdr:oneCellAnchor>
  <xdr:oneCellAnchor>
    <xdr:from>
      <xdr:col>9</xdr:col>
      <xdr:colOff>600075</xdr:colOff>
      <xdr:row>485</xdr:row>
      <xdr:rowOff>57150</xdr:rowOff>
    </xdr:from>
    <xdr:ext cx="352425" cy="171450"/>
    <xdr:pic>
      <xdr:nvPicPr>
        <xdr:cNvPr id="47" name="image279.png">
          <a:extLst>
            <a:ext uri="{FF2B5EF4-FFF2-40B4-BE49-F238E27FC236}">
              <a16:creationId xmlns:a16="http://schemas.microsoft.com/office/drawing/2014/main" id="{063986FA-F970-4EE7-B447-28FB1F2164C4}"/>
            </a:ext>
          </a:extLst>
        </xdr:cNvPr>
        <xdr:cNvPicPr preferRelativeResize="0"/>
      </xdr:nvPicPr>
      <xdr:blipFill>
        <a:blip xmlns:r="http://schemas.openxmlformats.org/officeDocument/2006/relationships" r:embed="rId43" cstate="print"/>
        <a:stretch>
          <a:fillRect/>
        </a:stretch>
      </xdr:blipFill>
      <xdr:spPr>
        <a:xfrm>
          <a:off x="6943725" y="78647925"/>
          <a:ext cx="352425" cy="171450"/>
        </a:xfrm>
        <a:prstGeom prst="rect">
          <a:avLst/>
        </a:prstGeom>
        <a:noFill/>
      </xdr:spPr>
    </xdr:pic>
    <xdr:clientData fLocksWithSheet="0"/>
  </xdr:oneCellAnchor>
  <xdr:oneCellAnchor>
    <xdr:from>
      <xdr:col>9</xdr:col>
      <xdr:colOff>419100</xdr:colOff>
      <xdr:row>470</xdr:row>
      <xdr:rowOff>38100</xdr:rowOff>
    </xdr:from>
    <xdr:ext cx="1381125" cy="1362075"/>
    <xdr:pic>
      <xdr:nvPicPr>
        <xdr:cNvPr id="48" name="image274.png">
          <a:extLst>
            <a:ext uri="{FF2B5EF4-FFF2-40B4-BE49-F238E27FC236}">
              <a16:creationId xmlns:a16="http://schemas.microsoft.com/office/drawing/2014/main" id="{D8606BFE-CFD1-40E6-803C-403DFACCF58E}"/>
            </a:ext>
          </a:extLst>
        </xdr:cNvPr>
        <xdr:cNvPicPr preferRelativeResize="0"/>
      </xdr:nvPicPr>
      <xdr:blipFill>
        <a:blip xmlns:r="http://schemas.openxmlformats.org/officeDocument/2006/relationships" r:embed="rId44" cstate="print"/>
        <a:stretch>
          <a:fillRect/>
        </a:stretch>
      </xdr:blipFill>
      <xdr:spPr>
        <a:xfrm>
          <a:off x="6762750" y="76200000"/>
          <a:ext cx="1381125" cy="1362075"/>
        </a:xfrm>
        <a:prstGeom prst="rect">
          <a:avLst/>
        </a:prstGeom>
        <a:noFill/>
      </xdr:spPr>
    </xdr:pic>
    <xdr:clientData fLocksWithSheet="0"/>
  </xdr:oneCellAnchor>
  <xdr:oneCellAnchor>
    <xdr:from>
      <xdr:col>9</xdr:col>
      <xdr:colOff>47625</xdr:colOff>
      <xdr:row>460</xdr:row>
      <xdr:rowOff>114300</xdr:rowOff>
    </xdr:from>
    <xdr:ext cx="2114550" cy="628650"/>
    <xdr:pic>
      <xdr:nvPicPr>
        <xdr:cNvPr id="49" name="image272.png">
          <a:extLst>
            <a:ext uri="{FF2B5EF4-FFF2-40B4-BE49-F238E27FC236}">
              <a16:creationId xmlns:a16="http://schemas.microsoft.com/office/drawing/2014/main" id="{A0C34725-7F0A-4CB2-AE01-E133CBC54746}"/>
            </a:ext>
          </a:extLst>
        </xdr:cNvPr>
        <xdr:cNvPicPr preferRelativeResize="0"/>
      </xdr:nvPicPr>
      <xdr:blipFill>
        <a:blip xmlns:r="http://schemas.openxmlformats.org/officeDocument/2006/relationships" r:embed="rId38" cstate="print"/>
        <a:stretch>
          <a:fillRect/>
        </a:stretch>
      </xdr:blipFill>
      <xdr:spPr>
        <a:xfrm>
          <a:off x="6391275" y="74656950"/>
          <a:ext cx="2114550" cy="628650"/>
        </a:xfrm>
        <a:prstGeom prst="rect">
          <a:avLst/>
        </a:prstGeom>
        <a:noFill/>
      </xdr:spPr>
    </xdr:pic>
    <xdr:clientData fLocksWithSheet="0"/>
  </xdr:oneCellAnchor>
  <xdr:oneCellAnchor>
    <xdr:from>
      <xdr:col>11</xdr:col>
      <xdr:colOff>57150</xdr:colOff>
      <xdr:row>463</xdr:row>
      <xdr:rowOff>0</xdr:rowOff>
    </xdr:from>
    <xdr:ext cx="352425" cy="190500"/>
    <xdr:pic>
      <xdr:nvPicPr>
        <xdr:cNvPr id="50" name="image280.png">
          <a:extLst>
            <a:ext uri="{FF2B5EF4-FFF2-40B4-BE49-F238E27FC236}">
              <a16:creationId xmlns:a16="http://schemas.microsoft.com/office/drawing/2014/main" id="{F27C0A30-197D-454B-B8E3-31E6FB6E2A1B}"/>
            </a:ext>
          </a:extLst>
        </xdr:cNvPr>
        <xdr:cNvPicPr preferRelativeResize="0"/>
      </xdr:nvPicPr>
      <xdr:blipFill>
        <a:blip xmlns:r="http://schemas.openxmlformats.org/officeDocument/2006/relationships" r:embed="rId45" cstate="print"/>
        <a:stretch>
          <a:fillRect/>
        </a:stretch>
      </xdr:blipFill>
      <xdr:spPr>
        <a:xfrm>
          <a:off x="7810500" y="75028425"/>
          <a:ext cx="352425" cy="19050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247650</xdr:colOff>
      <xdr:row>61</xdr:row>
      <xdr:rowOff>95250</xdr:rowOff>
    </xdr:from>
    <xdr:ext cx="4200525" cy="1695450"/>
    <xdr:pic>
      <xdr:nvPicPr>
        <xdr:cNvPr id="2" name="image325.png">
          <a:extLst>
            <a:ext uri="{FF2B5EF4-FFF2-40B4-BE49-F238E27FC236}">
              <a16:creationId xmlns:a16="http://schemas.microsoft.com/office/drawing/2014/main" id="{0D4104AD-250E-4A26-BFB7-ACD18CD41E26}"/>
            </a:ext>
          </a:extLst>
        </xdr:cNvPr>
        <xdr:cNvPicPr preferRelativeResize="0"/>
      </xdr:nvPicPr>
      <xdr:blipFill>
        <a:blip xmlns:r="http://schemas.openxmlformats.org/officeDocument/2006/relationships" r:embed="rId1" cstate="print"/>
        <a:stretch>
          <a:fillRect/>
        </a:stretch>
      </xdr:blipFill>
      <xdr:spPr>
        <a:xfrm>
          <a:off x="952500" y="10553700"/>
          <a:ext cx="4200525" cy="1695450"/>
        </a:xfrm>
        <a:prstGeom prst="rect">
          <a:avLst/>
        </a:prstGeom>
        <a:noFill/>
      </xdr:spPr>
    </xdr:pic>
    <xdr:clientData fLocksWithSheet="0"/>
  </xdr:oneCellAnchor>
  <xdr:oneCellAnchor>
    <xdr:from>
      <xdr:col>1</xdr:col>
      <xdr:colOff>95250</xdr:colOff>
      <xdr:row>91</xdr:row>
      <xdr:rowOff>66675</xdr:rowOff>
    </xdr:from>
    <xdr:ext cx="4400550" cy="1762125"/>
    <xdr:pic>
      <xdr:nvPicPr>
        <xdr:cNvPr id="3" name="image307.png">
          <a:extLst>
            <a:ext uri="{FF2B5EF4-FFF2-40B4-BE49-F238E27FC236}">
              <a16:creationId xmlns:a16="http://schemas.microsoft.com/office/drawing/2014/main" id="{E6932B8F-69B4-441B-9B49-F378B1644B51}"/>
            </a:ext>
          </a:extLst>
        </xdr:cNvPr>
        <xdr:cNvPicPr preferRelativeResize="0"/>
      </xdr:nvPicPr>
      <xdr:blipFill>
        <a:blip xmlns:r="http://schemas.openxmlformats.org/officeDocument/2006/relationships" r:embed="rId2" cstate="print"/>
        <a:stretch>
          <a:fillRect/>
        </a:stretch>
      </xdr:blipFill>
      <xdr:spPr>
        <a:xfrm>
          <a:off x="800100" y="15668625"/>
          <a:ext cx="4400550" cy="1762125"/>
        </a:xfrm>
        <a:prstGeom prst="rect">
          <a:avLst/>
        </a:prstGeom>
        <a:noFill/>
      </xdr:spPr>
    </xdr:pic>
    <xdr:clientData fLocksWithSheet="0"/>
  </xdr:oneCellAnchor>
  <xdr:oneCellAnchor>
    <xdr:from>
      <xdr:col>1</xdr:col>
      <xdr:colOff>57150</xdr:colOff>
      <xdr:row>102</xdr:row>
      <xdr:rowOff>38100</xdr:rowOff>
    </xdr:from>
    <xdr:ext cx="4486275" cy="1609725"/>
    <xdr:pic>
      <xdr:nvPicPr>
        <xdr:cNvPr id="4" name="image330.png">
          <a:extLst>
            <a:ext uri="{FF2B5EF4-FFF2-40B4-BE49-F238E27FC236}">
              <a16:creationId xmlns:a16="http://schemas.microsoft.com/office/drawing/2014/main" id="{8179EDCB-01CD-48F7-AFB4-B0133BE31F66}"/>
            </a:ext>
          </a:extLst>
        </xdr:cNvPr>
        <xdr:cNvPicPr preferRelativeResize="0"/>
      </xdr:nvPicPr>
      <xdr:blipFill>
        <a:blip xmlns:r="http://schemas.openxmlformats.org/officeDocument/2006/relationships" r:embed="rId3" cstate="print"/>
        <a:stretch>
          <a:fillRect/>
        </a:stretch>
      </xdr:blipFill>
      <xdr:spPr>
        <a:xfrm>
          <a:off x="762000" y="17526000"/>
          <a:ext cx="4486275" cy="1609725"/>
        </a:xfrm>
        <a:prstGeom prst="rect">
          <a:avLst/>
        </a:prstGeom>
        <a:noFill/>
      </xdr:spPr>
    </xdr:pic>
    <xdr:clientData fLocksWithSheet="0"/>
  </xdr:oneCellAnchor>
  <xdr:oneCellAnchor>
    <xdr:from>
      <xdr:col>5</xdr:col>
      <xdr:colOff>219075</xdr:colOff>
      <xdr:row>113</xdr:row>
      <xdr:rowOff>47625</xdr:rowOff>
    </xdr:from>
    <xdr:ext cx="1724025" cy="1581150"/>
    <xdr:pic>
      <xdr:nvPicPr>
        <xdr:cNvPr id="5" name="image306.png">
          <a:extLst>
            <a:ext uri="{FF2B5EF4-FFF2-40B4-BE49-F238E27FC236}">
              <a16:creationId xmlns:a16="http://schemas.microsoft.com/office/drawing/2014/main" id="{4FEC2875-A806-4EAA-BA83-A13439ACAE3F}"/>
            </a:ext>
          </a:extLst>
        </xdr:cNvPr>
        <xdr:cNvPicPr preferRelativeResize="0"/>
      </xdr:nvPicPr>
      <xdr:blipFill>
        <a:blip xmlns:r="http://schemas.openxmlformats.org/officeDocument/2006/relationships" r:embed="rId4" cstate="print"/>
        <a:stretch>
          <a:fillRect/>
        </a:stretch>
      </xdr:blipFill>
      <xdr:spPr>
        <a:xfrm>
          <a:off x="3743325" y="19421475"/>
          <a:ext cx="1724025" cy="1581150"/>
        </a:xfrm>
        <a:prstGeom prst="rect">
          <a:avLst/>
        </a:prstGeom>
        <a:noFill/>
      </xdr:spPr>
    </xdr:pic>
    <xdr:clientData fLocksWithSheet="0"/>
  </xdr:oneCellAnchor>
  <xdr:oneCellAnchor>
    <xdr:from>
      <xdr:col>0</xdr:col>
      <xdr:colOff>0</xdr:colOff>
      <xdr:row>33</xdr:row>
      <xdr:rowOff>15688</xdr:rowOff>
    </xdr:from>
    <xdr:ext cx="6343650" cy="4314825"/>
    <xdr:pic>
      <xdr:nvPicPr>
        <xdr:cNvPr id="6" name="image342.png">
          <a:extLst>
            <a:ext uri="{FF2B5EF4-FFF2-40B4-BE49-F238E27FC236}">
              <a16:creationId xmlns:a16="http://schemas.microsoft.com/office/drawing/2014/main" id="{E60A5937-729E-4E44-840A-E5CEDCCB5679}"/>
            </a:ext>
          </a:extLst>
        </xdr:cNvPr>
        <xdr:cNvPicPr preferRelativeResize="0"/>
      </xdr:nvPicPr>
      <xdr:blipFill>
        <a:blip xmlns:r="http://schemas.openxmlformats.org/officeDocument/2006/relationships" r:embed="rId5" cstate="print"/>
        <a:stretch>
          <a:fillRect/>
        </a:stretch>
      </xdr:blipFill>
      <xdr:spPr>
        <a:xfrm>
          <a:off x="0" y="5673538"/>
          <a:ext cx="6343650" cy="4314825"/>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9</xdr:row>
      <xdr:rowOff>66675</xdr:rowOff>
    </xdr:from>
    <xdr:to>
      <xdr:col>8</xdr:col>
      <xdr:colOff>191377</xdr:colOff>
      <xdr:row>33</xdr:row>
      <xdr:rowOff>57692</xdr:rowOff>
    </xdr:to>
    <xdr:pic>
      <xdr:nvPicPr>
        <xdr:cNvPr id="2" name="Imagen 1">
          <a:extLst>
            <a:ext uri="{FF2B5EF4-FFF2-40B4-BE49-F238E27FC236}">
              <a16:creationId xmlns:a16="http://schemas.microsoft.com/office/drawing/2014/main" id="{B33F8122-BE1A-4585-9090-F157209EADDB}"/>
            </a:ext>
          </a:extLst>
        </xdr:cNvPr>
        <xdr:cNvPicPr>
          <a:picLocks noChangeAspect="1"/>
        </xdr:cNvPicPr>
      </xdr:nvPicPr>
      <xdr:blipFill>
        <a:blip xmlns:r="http://schemas.openxmlformats.org/officeDocument/2006/relationships" r:embed="rId1"/>
        <a:stretch>
          <a:fillRect/>
        </a:stretch>
      </xdr:blipFill>
      <xdr:spPr>
        <a:xfrm>
          <a:off x="0" y="1609725"/>
          <a:ext cx="6287377" cy="38867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einer%20Obregon%20P\Documents\GOOGLE%20DRIVE\Cumbre\2025.10.09%20Presupuesto%20Cumbr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
      <sheetName val="2"/>
      <sheetName val="3"/>
      <sheetName val="4"/>
      <sheetName val="5"/>
      <sheetName val="6"/>
      <sheetName val="7"/>
      <sheetName val="8"/>
      <sheetName val="9"/>
      <sheetName val="10"/>
      <sheetName val="11"/>
      <sheetName val="12"/>
      <sheetName val="13"/>
      <sheetName val="14"/>
      <sheetName val="15"/>
      <sheetName val="16"/>
      <sheetName val="Aduccion"/>
      <sheetName val="17"/>
      <sheetName val="18"/>
      <sheetName val="19"/>
      <sheetName val="20"/>
      <sheetName val="21"/>
      <sheetName val="22"/>
      <sheetName val="23"/>
      <sheetName val="24"/>
    </sheetNames>
    <sheetDataSet>
      <sheetData sheetId="0">
        <row r="31">
          <cell r="K31" t="str">
            <v>Z. Verde</v>
          </cell>
        </row>
      </sheetData>
      <sheetData sheetId="1">
        <row r="1">
          <cell r="M1" t="str">
            <v>FECHA</v>
          </cell>
        </row>
      </sheetData>
      <sheetData sheetId="2"/>
      <sheetData sheetId="3" refreshError="1"/>
      <sheetData sheetId="4"/>
      <sheetData sheetId="5" refreshError="1"/>
      <sheetData sheetId="6" refreshError="1"/>
      <sheetData sheetId="7">
        <row r="1">
          <cell r="N1" t="str">
            <v>FECHA</v>
          </cell>
        </row>
      </sheetData>
      <sheetData sheetId="8">
        <row r="1">
          <cell r="A1" t="str">
            <v>LOCALIZACIÓN Y REPLANTEO DE REDES</v>
          </cell>
        </row>
      </sheetData>
      <sheetData sheetId="9" refreshError="1"/>
      <sheetData sheetId="10">
        <row r="22">
          <cell r="A22" t="str">
            <v>CUADRILLA</v>
          </cell>
        </row>
      </sheetData>
      <sheetData sheetId="11">
        <row r="1">
          <cell r="R1" t="str">
            <v>LISTA DE MATERIALES</v>
          </cell>
        </row>
      </sheetData>
      <sheetData sheetId="12">
        <row r="5">
          <cell r="C5" t="str">
            <v>MATERIAL</v>
          </cell>
        </row>
      </sheetData>
      <sheetData sheetId="13" refreshError="1"/>
      <sheetData sheetId="14" refreshError="1"/>
      <sheetData sheetId="15" refreshError="1"/>
      <sheetData sheetId="16" refreshError="1"/>
      <sheetData sheetId="17">
        <row r="3">
          <cell r="M3" t="str">
            <v>RDE</v>
          </cell>
        </row>
        <row r="4">
          <cell r="M4">
            <v>112</v>
          </cell>
          <cell r="N4" t="str">
            <v>PVC UM RDE 26</v>
          </cell>
        </row>
        <row r="5">
          <cell r="M5">
            <v>140</v>
          </cell>
          <cell r="N5" t="str">
            <v>PVC UM RDE 21</v>
          </cell>
        </row>
        <row r="6">
          <cell r="M6">
            <v>175</v>
          </cell>
          <cell r="N6" t="str">
            <v>PVC UM RDE 17</v>
          </cell>
        </row>
        <row r="7">
          <cell r="M7">
            <v>220.5</v>
          </cell>
          <cell r="N7" t="str">
            <v>PVC UM RDE 13.5</v>
          </cell>
        </row>
      </sheetData>
      <sheetData sheetId="18">
        <row r="4">
          <cell r="E4">
            <v>25</v>
          </cell>
          <cell r="G4">
            <v>75</v>
          </cell>
          <cell r="I4">
            <v>125</v>
          </cell>
          <cell r="K4">
            <v>175</v>
          </cell>
        </row>
        <row r="5">
          <cell r="C5" t="str">
            <v>Codo 11.25 - Ø2</v>
          </cell>
          <cell r="E5">
            <v>4.8000000000000001E-2</v>
          </cell>
          <cell r="F5">
            <v>4.2332000000000001</v>
          </cell>
          <cell r="G5">
            <v>0.08</v>
          </cell>
          <cell r="H5">
            <v>7.0739000000000001</v>
          </cell>
          <cell r="I5">
            <v>0.13800000000000001</v>
          </cell>
          <cell r="J5">
            <v>7.4638000000000009</v>
          </cell>
          <cell r="K5">
            <v>0.21</v>
          </cell>
          <cell r="L5">
            <v>9.2462000000000018</v>
          </cell>
        </row>
        <row r="6">
          <cell r="C6" t="str">
            <v>Codo 11.25 - Ø3</v>
          </cell>
          <cell r="E6">
            <v>4.8000000000000001E-2</v>
          </cell>
          <cell r="F6">
            <v>4.2332000000000001</v>
          </cell>
          <cell r="G6">
            <v>0.08</v>
          </cell>
          <cell r="H6">
            <v>7.0739000000000001</v>
          </cell>
          <cell r="I6">
            <v>0.13800000000000001</v>
          </cell>
          <cell r="J6">
            <v>7.4638000000000009</v>
          </cell>
          <cell r="K6">
            <v>0.21</v>
          </cell>
          <cell r="L6">
            <v>9.2462000000000018</v>
          </cell>
        </row>
        <row r="7">
          <cell r="C7" t="str">
            <v>Codo 11.25 - Ø4</v>
          </cell>
          <cell r="E7">
            <v>4.8000000000000001E-2</v>
          </cell>
          <cell r="F7">
            <v>4.2332000000000001</v>
          </cell>
          <cell r="G7">
            <v>0.08</v>
          </cell>
          <cell r="H7">
            <v>7.0739000000000001</v>
          </cell>
          <cell r="I7">
            <v>0.13800000000000001</v>
          </cell>
          <cell r="J7">
            <v>7.4638000000000009</v>
          </cell>
          <cell r="K7">
            <v>0.21</v>
          </cell>
          <cell r="L7">
            <v>9.2462000000000018</v>
          </cell>
        </row>
        <row r="8">
          <cell r="C8" t="str">
            <v>Codo 11.25 - Ø6</v>
          </cell>
          <cell r="E8">
            <v>4.8000000000000001E-2</v>
          </cell>
          <cell r="F8">
            <v>4.2332000000000001</v>
          </cell>
          <cell r="G8">
            <v>0.08</v>
          </cell>
          <cell r="H8">
            <v>7.0739000000000001</v>
          </cell>
          <cell r="I8">
            <v>0.13800000000000001</v>
          </cell>
          <cell r="J8">
            <v>7.4638000000000009</v>
          </cell>
          <cell r="K8">
            <v>0.21</v>
          </cell>
          <cell r="L8">
            <v>9.2462000000000018</v>
          </cell>
        </row>
        <row r="9">
          <cell r="C9" t="str">
            <v>Codo 11.25 - Ø8</v>
          </cell>
          <cell r="E9">
            <v>4.8000000000000001E-2</v>
          </cell>
          <cell r="F9">
            <v>4.2332000000000001</v>
          </cell>
          <cell r="G9">
            <v>0.08</v>
          </cell>
          <cell r="H9">
            <v>7.0739000000000001</v>
          </cell>
          <cell r="I9">
            <v>0.13800000000000001</v>
          </cell>
          <cell r="J9">
            <v>7.4638000000000009</v>
          </cell>
          <cell r="K9">
            <v>0.21</v>
          </cell>
          <cell r="L9">
            <v>9.2462000000000018</v>
          </cell>
        </row>
        <row r="10">
          <cell r="C10" t="str">
            <v>Codo 22.5 - Ø2</v>
          </cell>
          <cell r="E10">
            <v>4.8000000000000001E-2</v>
          </cell>
          <cell r="F10">
            <v>4.2332000000000001</v>
          </cell>
          <cell r="G10">
            <v>0.08</v>
          </cell>
          <cell r="H10">
            <v>7.0739000000000001</v>
          </cell>
          <cell r="I10">
            <v>0.13800000000000001</v>
          </cell>
          <cell r="J10">
            <v>7.4638000000000009</v>
          </cell>
          <cell r="K10">
            <v>0.21</v>
          </cell>
          <cell r="L10">
            <v>9.2462000000000018</v>
          </cell>
        </row>
        <row r="11">
          <cell r="C11" t="str">
            <v>Codo 22.5 - Ø3</v>
          </cell>
          <cell r="E11">
            <v>4.8000000000000001E-2</v>
          </cell>
          <cell r="F11">
            <v>4.2332000000000001</v>
          </cell>
          <cell r="G11">
            <v>0.08</v>
          </cell>
          <cell r="H11">
            <v>7.0739000000000001</v>
          </cell>
          <cell r="I11">
            <v>0.13800000000000001</v>
          </cell>
          <cell r="J11">
            <v>7.4638000000000009</v>
          </cell>
          <cell r="K11">
            <v>0.21</v>
          </cell>
          <cell r="L11">
            <v>9.2462000000000018</v>
          </cell>
        </row>
        <row r="12">
          <cell r="C12" t="str">
            <v>Codo 22.5 - Ø4</v>
          </cell>
          <cell r="E12">
            <v>4.8000000000000001E-2</v>
          </cell>
          <cell r="F12">
            <v>4.2332000000000001</v>
          </cell>
          <cell r="G12">
            <v>0.08</v>
          </cell>
          <cell r="H12">
            <v>7.0739000000000001</v>
          </cell>
          <cell r="I12">
            <v>0.13800000000000001</v>
          </cell>
          <cell r="J12">
            <v>7.4638000000000009</v>
          </cell>
          <cell r="K12">
            <v>0.21</v>
          </cell>
          <cell r="L12">
            <v>9.2462000000000018</v>
          </cell>
        </row>
        <row r="13">
          <cell r="C13" t="str">
            <v>Codo 22.5 - Ø6</v>
          </cell>
          <cell r="E13">
            <v>4.8000000000000001E-2</v>
          </cell>
          <cell r="F13">
            <v>4.2332000000000001</v>
          </cell>
          <cell r="G13">
            <v>0.08</v>
          </cell>
          <cell r="H13">
            <v>7.0739000000000001</v>
          </cell>
          <cell r="I13">
            <v>0.13800000000000001</v>
          </cell>
          <cell r="J13">
            <v>7.4638000000000009</v>
          </cell>
          <cell r="K13">
            <v>0.21</v>
          </cell>
          <cell r="L13">
            <v>9.2462000000000018</v>
          </cell>
        </row>
        <row r="14">
          <cell r="C14" t="str">
            <v>Codo 22.5 - Ø8</v>
          </cell>
          <cell r="E14">
            <v>4.8000000000000001E-2</v>
          </cell>
          <cell r="F14">
            <v>4.2332000000000001</v>
          </cell>
          <cell r="G14">
            <v>0.08</v>
          </cell>
          <cell r="H14">
            <v>7.0739000000000001</v>
          </cell>
          <cell r="I14">
            <v>0.13800000000000001</v>
          </cell>
          <cell r="J14">
            <v>7.4638000000000009</v>
          </cell>
          <cell r="K14">
            <v>0.21</v>
          </cell>
          <cell r="L14">
            <v>9.2462000000000018</v>
          </cell>
        </row>
        <row r="15">
          <cell r="C15" t="str">
            <v>Codo 45 - Ø2</v>
          </cell>
          <cell r="E15">
            <v>6.4000000000000001E-2</v>
          </cell>
          <cell r="F15">
            <v>5.4307500000000006</v>
          </cell>
          <cell r="G15">
            <v>0.15</v>
          </cell>
          <cell r="H15">
            <v>8.0208000000000013</v>
          </cell>
          <cell r="I15">
            <v>0.29399999999999998</v>
          </cell>
          <cell r="J15">
            <v>15.317500000000001</v>
          </cell>
          <cell r="K15">
            <v>0.46800000000000003</v>
          </cell>
          <cell r="L15">
            <v>20.107700000000001</v>
          </cell>
        </row>
        <row r="16">
          <cell r="C16" t="str">
            <v>Codo 45 - Ø3</v>
          </cell>
          <cell r="E16">
            <v>6.4000000000000001E-2</v>
          </cell>
          <cell r="F16">
            <v>5.4307500000000006</v>
          </cell>
          <cell r="G16">
            <v>0.15</v>
          </cell>
          <cell r="H16">
            <v>8.0208000000000013</v>
          </cell>
          <cell r="I16">
            <v>0.29399999999999998</v>
          </cell>
          <cell r="J16">
            <v>15.317500000000001</v>
          </cell>
          <cell r="K16">
            <v>0.46800000000000003</v>
          </cell>
          <cell r="L16">
            <v>20.107700000000001</v>
          </cell>
        </row>
        <row r="17">
          <cell r="C17" t="str">
            <v>Codo 45 - Ø4</v>
          </cell>
          <cell r="E17">
            <v>6.4000000000000001E-2</v>
          </cell>
          <cell r="F17">
            <v>5.4307500000000006</v>
          </cell>
          <cell r="G17">
            <v>0.15</v>
          </cell>
          <cell r="H17">
            <v>8.0208000000000013</v>
          </cell>
          <cell r="I17">
            <v>0.29399999999999998</v>
          </cell>
          <cell r="J17">
            <v>15.317500000000001</v>
          </cell>
          <cell r="K17">
            <v>0.46800000000000003</v>
          </cell>
          <cell r="L17">
            <v>20.107700000000001</v>
          </cell>
        </row>
        <row r="18">
          <cell r="C18" t="str">
            <v>Codo 45 - Ø6</v>
          </cell>
          <cell r="E18">
            <v>6.4000000000000001E-2</v>
          </cell>
          <cell r="F18">
            <v>5.4307500000000006</v>
          </cell>
          <cell r="G18">
            <v>0.15</v>
          </cell>
          <cell r="H18">
            <v>8.0208000000000013</v>
          </cell>
          <cell r="I18">
            <v>0.29399999999999998</v>
          </cell>
          <cell r="J18">
            <v>15.317500000000001</v>
          </cell>
          <cell r="K18">
            <v>0.46800000000000003</v>
          </cell>
          <cell r="L18">
            <v>20.107700000000001</v>
          </cell>
        </row>
        <row r="19">
          <cell r="C19" t="str">
            <v>Codo 45 - Ø8</v>
          </cell>
          <cell r="E19">
            <v>6.4000000000000001E-2</v>
          </cell>
          <cell r="F19">
            <v>5.4307500000000006</v>
          </cell>
          <cell r="G19">
            <v>0.15</v>
          </cell>
          <cell r="H19">
            <v>8.0208000000000013</v>
          </cell>
          <cell r="I19">
            <v>0.29399999999999998</v>
          </cell>
          <cell r="J19">
            <v>15.317500000000001</v>
          </cell>
          <cell r="K19">
            <v>0.46800000000000003</v>
          </cell>
          <cell r="L19">
            <v>20.107700000000001</v>
          </cell>
        </row>
        <row r="20">
          <cell r="C20" t="str">
            <v>Codo 90 - Ø2</v>
          </cell>
          <cell r="E20">
            <v>6.4000000000000001E-2</v>
          </cell>
          <cell r="F20">
            <v>5.4307500000000006</v>
          </cell>
          <cell r="G20">
            <v>0.19600000000000001</v>
          </cell>
          <cell r="H20">
            <v>11.808400000000001</v>
          </cell>
          <cell r="I20">
            <v>0.40500000000000003</v>
          </cell>
          <cell r="J20">
            <v>22.447099999999999</v>
          </cell>
          <cell r="K20">
            <v>0.6</v>
          </cell>
          <cell r="L20">
            <v>26.791700000000002</v>
          </cell>
        </row>
        <row r="21">
          <cell r="C21" t="str">
            <v>Codo 90 - Ø3</v>
          </cell>
          <cell r="E21">
            <v>6.4000000000000001E-2</v>
          </cell>
          <cell r="F21">
            <v>5.4307500000000006</v>
          </cell>
          <cell r="G21">
            <v>0.19600000000000001</v>
          </cell>
          <cell r="H21">
            <v>11.808400000000001</v>
          </cell>
          <cell r="I21">
            <v>0.40500000000000003</v>
          </cell>
          <cell r="J21">
            <v>22.447099999999999</v>
          </cell>
          <cell r="K21">
            <v>0.6</v>
          </cell>
          <cell r="L21">
            <v>26.791700000000002</v>
          </cell>
        </row>
        <row r="22">
          <cell r="C22" t="str">
            <v>Codo 90 - Ø6</v>
          </cell>
          <cell r="E22">
            <v>6.4000000000000001E-2</v>
          </cell>
          <cell r="F22">
            <v>5.4307500000000006</v>
          </cell>
          <cell r="G22">
            <v>0.19600000000000001</v>
          </cell>
          <cell r="H22">
            <v>11.808400000000001</v>
          </cell>
          <cell r="I22">
            <v>0.40500000000000003</v>
          </cell>
          <cell r="J22">
            <v>22.447099999999999</v>
          </cell>
          <cell r="K22">
            <v>0.6</v>
          </cell>
          <cell r="L22">
            <v>26.791700000000002</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57" workbookViewId="0">
      <selection activeCell="L19" sqref="L19"/>
    </sheetView>
  </sheetViews>
  <sheetFormatPr baseColWidth="10" defaultColWidth="12.5703125" defaultRowHeight="15" customHeight="1" x14ac:dyDescent="0.2"/>
  <cols>
    <col min="1" max="26" width="11.42578125" customWidth="1"/>
  </cols>
  <sheetData>
    <row r="1" spans="1:26" ht="12.75" customHeight="1" x14ac:dyDescent="0.2">
      <c r="A1" s="320" t="s">
        <v>0</v>
      </c>
      <c r="B1" s="315"/>
      <c r="C1" s="315"/>
      <c r="D1" s="315"/>
      <c r="E1" s="315"/>
      <c r="F1" s="315"/>
      <c r="G1" s="315"/>
      <c r="H1" s="315"/>
      <c r="I1" s="315"/>
      <c r="J1" s="315"/>
      <c r="K1" s="321"/>
      <c r="L1" s="323">
        <v>46203</v>
      </c>
      <c r="M1" s="276"/>
      <c r="N1" s="1"/>
      <c r="Q1" s="1"/>
      <c r="R1" s="1"/>
    </row>
    <row r="2" spans="1:26" ht="12.75" customHeight="1" x14ac:dyDescent="0.2">
      <c r="A2" s="284"/>
      <c r="B2" s="285"/>
      <c r="C2" s="285"/>
      <c r="D2" s="285"/>
      <c r="E2" s="285"/>
      <c r="F2" s="285"/>
      <c r="G2" s="285"/>
      <c r="H2" s="285"/>
      <c r="I2" s="285"/>
      <c r="J2" s="285"/>
      <c r="K2" s="286"/>
      <c r="L2" s="277"/>
      <c r="M2" s="279"/>
      <c r="Q2" s="1"/>
      <c r="R2" s="1"/>
    </row>
    <row r="3" spans="1:26" ht="12.75" customHeight="1" x14ac:dyDescent="0.2">
      <c r="A3" s="317"/>
      <c r="B3" s="318"/>
      <c r="C3" s="318"/>
      <c r="D3" s="318"/>
      <c r="E3" s="318"/>
      <c r="F3" s="318"/>
      <c r="G3" s="318"/>
      <c r="H3" s="318"/>
      <c r="I3" s="318"/>
      <c r="J3" s="318"/>
      <c r="K3" s="322"/>
      <c r="L3" s="324">
        <f>presup!M368</f>
        <v>0</v>
      </c>
      <c r="M3" s="273"/>
      <c r="Q3" s="1"/>
      <c r="R3" s="1"/>
    </row>
    <row r="4" spans="1:26" ht="12.75" customHeight="1" x14ac:dyDescent="0.2">
      <c r="A4" s="1"/>
      <c r="B4" s="1"/>
      <c r="C4" s="1"/>
      <c r="D4" s="1"/>
      <c r="E4" s="1"/>
      <c r="F4" s="1"/>
      <c r="G4" s="1"/>
      <c r="H4" s="1"/>
      <c r="I4" s="1"/>
      <c r="J4" s="1"/>
      <c r="K4" s="1"/>
      <c r="L4" s="1"/>
      <c r="M4" s="1"/>
      <c r="N4" s="1"/>
      <c r="O4" s="1"/>
      <c r="P4" s="1"/>
      <c r="Q4" s="1"/>
      <c r="R4" s="1"/>
      <c r="S4" s="1"/>
      <c r="T4" s="1"/>
      <c r="U4" s="1"/>
      <c r="V4" s="1"/>
      <c r="W4" s="1"/>
      <c r="X4" s="1"/>
      <c r="Y4" s="1"/>
      <c r="Z4" s="1"/>
    </row>
    <row r="5" spans="1:26" ht="12.75" customHeight="1" x14ac:dyDescent="0.2">
      <c r="A5" s="1"/>
      <c r="B5" s="287" t="s">
        <v>1</v>
      </c>
      <c r="C5" s="273"/>
      <c r="D5" s="1"/>
      <c r="E5" s="287" t="s">
        <v>2</v>
      </c>
      <c r="F5" s="273"/>
      <c r="G5" s="1"/>
      <c r="H5" s="287" t="s">
        <v>3</v>
      </c>
      <c r="I5" s="273"/>
      <c r="J5" s="1"/>
      <c r="K5" s="287" t="s">
        <v>4</v>
      </c>
      <c r="L5" s="273"/>
      <c r="M5" s="1"/>
      <c r="N5" s="1"/>
      <c r="O5" s="2"/>
      <c r="P5" s="1"/>
      <c r="Q5" s="1"/>
      <c r="R5" s="1"/>
      <c r="S5" s="1"/>
      <c r="T5" s="1"/>
      <c r="U5" s="1"/>
      <c r="V5" s="1"/>
      <c r="W5" s="1"/>
      <c r="X5" s="1"/>
      <c r="Y5" s="1"/>
      <c r="Z5" s="1"/>
    </row>
    <row r="6" spans="1:26" ht="12.75" customHeight="1" x14ac:dyDescent="0.2">
      <c r="A6" s="1"/>
      <c r="B6" s="327" t="s">
        <v>5</v>
      </c>
      <c r="C6" s="273"/>
      <c r="D6" s="1"/>
      <c r="E6" s="328" t="s">
        <v>6</v>
      </c>
      <c r="F6" s="273"/>
      <c r="G6" s="1"/>
      <c r="H6" s="328" t="s">
        <v>7</v>
      </c>
      <c r="I6" s="273"/>
      <c r="J6" s="1"/>
      <c r="K6" s="328" t="s">
        <v>8</v>
      </c>
      <c r="L6" s="273"/>
      <c r="M6" s="1"/>
      <c r="N6" s="1"/>
      <c r="O6" s="1"/>
      <c r="P6" s="1"/>
      <c r="Q6" s="1"/>
      <c r="R6" s="1"/>
      <c r="S6" s="1"/>
      <c r="T6" s="1"/>
      <c r="U6" s="1"/>
      <c r="V6" s="1"/>
      <c r="W6" s="1"/>
      <c r="X6" s="1"/>
      <c r="Y6" s="1"/>
      <c r="Z6" s="1"/>
    </row>
    <row r="7" spans="1:26" ht="12.75" customHeight="1" x14ac:dyDescent="0.2">
      <c r="A7" s="1"/>
      <c r="B7" s="1"/>
      <c r="C7" s="1"/>
      <c r="D7" s="1"/>
      <c r="E7" s="1"/>
      <c r="F7" s="1"/>
      <c r="G7" s="1"/>
      <c r="H7" s="1"/>
      <c r="I7" s="1"/>
      <c r="J7" s="1"/>
      <c r="K7" s="1"/>
      <c r="L7" s="1"/>
      <c r="M7" s="1"/>
      <c r="N7" s="1"/>
      <c r="O7" s="1"/>
      <c r="P7" s="1"/>
      <c r="Q7" s="1"/>
      <c r="R7" s="1"/>
      <c r="S7" s="1"/>
      <c r="T7" s="1"/>
      <c r="U7" s="1"/>
      <c r="V7" s="1"/>
      <c r="W7" s="1"/>
      <c r="X7" s="1"/>
      <c r="Y7" s="1"/>
      <c r="Z7" s="1"/>
    </row>
    <row r="8" spans="1:26" ht="12.75" customHeight="1" x14ac:dyDescent="0.2">
      <c r="A8" s="329" t="s">
        <v>9</v>
      </c>
      <c r="B8" s="276"/>
      <c r="C8" s="1"/>
      <c r="D8" s="329" t="s">
        <v>10</v>
      </c>
      <c r="E8" s="276"/>
      <c r="F8" s="1"/>
      <c r="G8" s="329" t="s">
        <v>11</v>
      </c>
      <c r="H8" s="276"/>
      <c r="I8" s="1"/>
      <c r="J8" s="329" t="s">
        <v>12</v>
      </c>
      <c r="K8" s="276"/>
      <c r="L8" s="1"/>
      <c r="M8" s="325" t="s">
        <v>13</v>
      </c>
      <c r="N8" s="1"/>
      <c r="O8" s="1"/>
      <c r="P8" s="1"/>
      <c r="Q8" s="1"/>
      <c r="R8" s="1"/>
      <c r="S8" s="1"/>
      <c r="T8" s="1"/>
      <c r="U8" s="1"/>
      <c r="V8" s="1"/>
      <c r="W8" s="1"/>
      <c r="X8" s="1"/>
      <c r="Y8" s="1"/>
      <c r="Z8" s="1"/>
    </row>
    <row r="9" spans="1:26" ht="12.75" customHeight="1" x14ac:dyDescent="0.2">
      <c r="A9" s="330"/>
      <c r="B9" s="279"/>
      <c r="C9" s="1"/>
      <c r="D9" s="330"/>
      <c r="E9" s="279"/>
      <c r="F9" s="1"/>
      <c r="G9" s="330"/>
      <c r="H9" s="279"/>
      <c r="I9" s="1"/>
      <c r="J9" s="330"/>
      <c r="K9" s="279"/>
      <c r="L9" s="1"/>
      <c r="M9" s="281"/>
      <c r="N9" s="1"/>
      <c r="O9" s="1"/>
      <c r="P9" s="1"/>
      <c r="Q9" s="1"/>
      <c r="R9" s="1"/>
      <c r="S9" s="1"/>
      <c r="T9" s="1"/>
      <c r="U9" s="1"/>
      <c r="V9" s="1"/>
      <c r="W9" s="1"/>
      <c r="X9" s="1"/>
      <c r="Y9" s="1"/>
      <c r="Z9" s="1"/>
    </row>
    <row r="10" spans="1:26" ht="12.75" customHeight="1" x14ac:dyDescent="0.2">
      <c r="A10" s="326">
        <v>2</v>
      </c>
      <c r="B10" s="273"/>
      <c r="C10" s="1"/>
      <c r="D10" s="326">
        <v>1</v>
      </c>
      <c r="E10" s="273"/>
      <c r="F10" s="1"/>
      <c r="G10" s="326">
        <v>6</v>
      </c>
      <c r="H10" s="273"/>
      <c r="I10" s="1"/>
      <c r="J10" s="326">
        <v>1</v>
      </c>
      <c r="K10" s="273"/>
      <c r="L10" s="1"/>
      <c r="M10" s="3">
        <f>G10+J10</f>
        <v>7</v>
      </c>
      <c r="N10" s="1"/>
      <c r="O10" s="1"/>
      <c r="P10" s="1"/>
      <c r="Q10" s="1"/>
      <c r="R10" s="1"/>
      <c r="S10" s="1"/>
      <c r="T10" s="1"/>
      <c r="U10" s="1"/>
      <c r="V10" s="1"/>
      <c r="W10" s="1"/>
      <c r="X10" s="1"/>
      <c r="Y10" s="1"/>
      <c r="Z10" s="1"/>
    </row>
    <row r="11" spans="1:26" ht="12.75" customHeight="1" x14ac:dyDescent="0.25">
      <c r="A11" s="4"/>
      <c r="B11" s="4"/>
      <c r="C11" s="4"/>
      <c r="D11" s="4"/>
      <c r="E11" s="4"/>
      <c r="F11" s="4"/>
      <c r="G11" s="4"/>
      <c r="H11" s="4"/>
      <c r="I11" s="4"/>
      <c r="J11" s="4"/>
      <c r="K11" s="4"/>
      <c r="L11" s="4"/>
      <c r="M11" s="4"/>
      <c r="Q11" s="1"/>
      <c r="R11" s="1"/>
    </row>
    <row r="12" spans="1:26" ht="12.75" customHeight="1" x14ac:dyDescent="0.25">
      <c r="A12" s="1"/>
      <c r="B12" s="331" t="s">
        <v>14</v>
      </c>
      <c r="C12" s="332"/>
      <c r="D12" s="333"/>
      <c r="E12" s="5" t="s">
        <v>15</v>
      </c>
      <c r="F12" s="5" t="s">
        <v>16</v>
      </c>
      <c r="G12" s="5" t="s">
        <v>17</v>
      </c>
      <c r="H12" s="6">
        <v>1</v>
      </c>
      <c r="I12" s="1"/>
      <c r="L12" s="1"/>
      <c r="M12" s="1"/>
      <c r="Q12" s="1"/>
      <c r="R12" s="1"/>
    </row>
    <row r="13" spans="1:26" ht="12.75" customHeight="1" x14ac:dyDescent="0.25">
      <c r="A13" s="1"/>
      <c r="B13" s="310" t="s">
        <v>18</v>
      </c>
      <c r="C13" s="273"/>
      <c r="D13" s="5" t="s">
        <v>19</v>
      </c>
      <c r="E13" s="7">
        <v>0.6</v>
      </c>
      <c r="F13" s="7">
        <v>0.6</v>
      </c>
      <c r="G13" s="7">
        <v>0.6</v>
      </c>
      <c r="H13" s="6">
        <v>2</v>
      </c>
      <c r="I13" s="310" t="s">
        <v>20</v>
      </c>
      <c r="J13" s="273"/>
      <c r="K13" s="8" t="s">
        <v>21</v>
      </c>
      <c r="L13" s="9">
        <v>100</v>
      </c>
      <c r="M13" s="4"/>
      <c r="Q13" s="1"/>
      <c r="R13" s="1"/>
    </row>
    <row r="14" spans="1:26" ht="12.75" customHeight="1" x14ac:dyDescent="0.25">
      <c r="A14" s="1"/>
      <c r="B14" s="310" t="s">
        <v>22</v>
      </c>
      <c r="C14" s="273"/>
      <c r="D14" s="5" t="s">
        <v>19</v>
      </c>
      <c r="E14" s="9">
        <v>1.2</v>
      </c>
      <c r="F14" s="9">
        <v>1.25</v>
      </c>
      <c r="G14" s="9">
        <v>1.25</v>
      </c>
      <c r="H14" s="6">
        <v>3</v>
      </c>
      <c r="I14" s="310" t="s">
        <v>23</v>
      </c>
      <c r="J14" s="273"/>
      <c r="K14" s="8" t="s">
        <v>24</v>
      </c>
      <c r="L14" s="10">
        <v>0.3</v>
      </c>
      <c r="M14" s="1"/>
      <c r="N14" s="4"/>
      <c r="O14" s="4"/>
      <c r="Q14" s="1"/>
      <c r="R14" s="1"/>
    </row>
    <row r="15" spans="1:26" ht="12.75" customHeight="1" x14ac:dyDescent="0.25">
      <c r="A15" s="1"/>
      <c r="B15" s="310" t="s">
        <v>25</v>
      </c>
      <c r="C15" s="273"/>
      <c r="D15" s="8" t="s">
        <v>24</v>
      </c>
      <c r="E15" s="11">
        <v>0.1</v>
      </c>
      <c r="F15" s="11">
        <v>0.1</v>
      </c>
      <c r="G15" s="11">
        <v>0</v>
      </c>
      <c r="H15" s="6">
        <v>4</v>
      </c>
      <c r="I15" s="310" t="s">
        <v>26</v>
      </c>
      <c r="J15" s="273"/>
      <c r="K15" s="8" t="s">
        <v>24</v>
      </c>
      <c r="L15" s="10">
        <v>0.25</v>
      </c>
      <c r="M15" s="1"/>
      <c r="N15" s="4"/>
      <c r="O15" s="4"/>
      <c r="Q15" s="1"/>
      <c r="R15" s="1"/>
    </row>
    <row r="16" spans="1:26" ht="12.75" customHeight="1" x14ac:dyDescent="0.25">
      <c r="A16" s="1"/>
      <c r="B16" s="310" t="s">
        <v>27</v>
      </c>
      <c r="C16" s="273"/>
      <c r="D16" s="5" t="s">
        <v>24</v>
      </c>
      <c r="E16" s="11">
        <v>0.9</v>
      </c>
      <c r="F16" s="11">
        <v>0.7</v>
      </c>
      <c r="G16" s="11">
        <v>0.6</v>
      </c>
      <c r="H16" s="6">
        <v>5</v>
      </c>
      <c r="I16" s="1"/>
      <c r="J16" s="1"/>
      <c r="K16" s="1"/>
      <c r="L16" s="1"/>
      <c r="M16" s="1"/>
      <c r="N16" s="4"/>
      <c r="O16" s="4"/>
      <c r="Q16" s="1"/>
      <c r="R16" s="1"/>
    </row>
    <row r="17" spans="1:18" ht="12.75" customHeight="1" x14ac:dyDescent="0.25">
      <c r="A17" s="1"/>
      <c r="B17" s="310" t="s">
        <v>28</v>
      </c>
      <c r="C17" s="273"/>
      <c r="D17" s="8" t="s">
        <v>24</v>
      </c>
      <c r="E17" s="11">
        <v>0</v>
      </c>
      <c r="F17" s="11">
        <v>0.2</v>
      </c>
      <c r="G17" s="11">
        <v>0.4</v>
      </c>
      <c r="H17" s="6">
        <v>6</v>
      </c>
      <c r="I17" s="12"/>
      <c r="J17" s="4"/>
      <c r="K17" s="4"/>
      <c r="L17" s="13"/>
      <c r="M17" s="12"/>
      <c r="N17" s="4"/>
      <c r="O17" s="4"/>
      <c r="Q17" s="1"/>
      <c r="R17" s="1"/>
    </row>
    <row r="18" spans="1:18" ht="12.75" customHeight="1" x14ac:dyDescent="0.25">
      <c r="A18" s="1"/>
      <c r="B18" s="334" t="s">
        <v>29</v>
      </c>
      <c r="C18" s="335"/>
      <c r="D18" s="14" t="s">
        <v>19</v>
      </c>
      <c r="E18" s="15">
        <v>0.2</v>
      </c>
      <c r="F18" s="15">
        <v>0.2</v>
      </c>
      <c r="G18" s="15">
        <v>0.2</v>
      </c>
      <c r="H18" s="6">
        <v>7</v>
      </c>
      <c r="I18" s="12"/>
      <c r="J18" s="1"/>
      <c r="K18" s="1"/>
      <c r="L18" s="13"/>
      <c r="M18" s="12"/>
      <c r="N18" s="4"/>
      <c r="O18" s="4"/>
      <c r="Q18" s="1"/>
      <c r="R18" s="1"/>
    </row>
    <row r="19" spans="1:18" ht="12.75" customHeight="1" x14ac:dyDescent="0.25">
      <c r="A19" s="1"/>
      <c r="B19" s="310" t="s">
        <v>30</v>
      </c>
      <c r="C19" s="273"/>
      <c r="D19" s="5" t="s">
        <v>19</v>
      </c>
      <c r="E19" s="9">
        <v>0.5</v>
      </c>
      <c r="F19" s="9">
        <v>0.5</v>
      </c>
      <c r="G19" s="9">
        <v>0.5</v>
      </c>
      <c r="H19" s="6">
        <v>8</v>
      </c>
      <c r="I19" s="287" t="s">
        <v>31</v>
      </c>
      <c r="J19" s="311"/>
      <c r="K19" s="16" t="s">
        <v>32</v>
      </c>
      <c r="L19" s="17">
        <v>5</v>
      </c>
      <c r="M19" s="12"/>
      <c r="N19" s="4"/>
      <c r="O19" s="4"/>
      <c r="Q19" s="1"/>
      <c r="R19" s="1"/>
    </row>
    <row r="20" spans="1:18" ht="12.75" customHeight="1" x14ac:dyDescent="0.25">
      <c r="A20" s="1"/>
      <c r="B20" s="310" t="s">
        <v>33</v>
      </c>
      <c r="C20" s="273"/>
      <c r="D20" s="5" t="s">
        <v>19</v>
      </c>
      <c r="E20" s="9">
        <v>0</v>
      </c>
      <c r="F20" s="9">
        <v>0.3</v>
      </c>
      <c r="G20" s="9">
        <v>0.3</v>
      </c>
      <c r="H20" s="6">
        <v>9</v>
      </c>
      <c r="I20" s="287" t="s">
        <v>34</v>
      </c>
      <c r="J20" s="311"/>
      <c r="K20" s="16" t="s">
        <v>32</v>
      </c>
      <c r="L20" s="17">
        <v>61.1</v>
      </c>
      <c r="M20" s="1"/>
      <c r="N20" s="4"/>
      <c r="O20" s="4"/>
      <c r="Q20" s="1"/>
      <c r="R20" s="1"/>
    </row>
    <row r="21" spans="1:18" ht="12.75" customHeight="1" x14ac:dyDescent="0.25">
      <c r="A21" s="1"/>
      <c r="B21" s="310" t="s">
        <v>35</v>
      </c>
      <c r="C21" s="273"/>
      <c r="D21" s="5" t="s">
        <v>19</v>
      </c>
      <c r="E21" s="9">
        <v>0</v>
      </c>
      <c r="F21" s="9">
        <v>0.25</v>
      </c>
      <c r="G21" s="9">
        <v>0.25</v>
      </c>
      <c r="H21" s="6">
        <v>10</v>
      </c>
      <c r="I21" s="287" t="s">
        <v>36</v>
      </c>
      <c r="J21" s="311"/>
      <c r="K21" s="16" t="s">
        <v>32</v>
      </c>
      <c r="L21" s="17">
        <v>49</v>
      </c>
      <c r="M21" s="1"/>
      <c r="N21" s="4"/>
      <c r="O21" s="4"/>
      <c r="Q21" s="1"/>
      <c r="R21" s="1"/>
    </row>
    <row r="22" spans="1:18" ht="12.75" customHeight="1" x14ac:dyDescent="0.25">
      <c r="A22" s="1"/>
      <c r="B22" s="310" t="s">
        <v>37</v>
      </c>
      <c r="C22" s="273"/>
      <c r="D22" s="5" t="s">
        <v>19</v>
      </c>
      <c r="E22" s="9">
        <v>0</v>
      </c>
      <c r="F22" s="9">
        <v>0</v>
      </c>
      <c r="G22" s="9">
        <v>0.2</v>
      </c>
      <c r="H22" s="6">
        <v>11</v>
      </c>
      <c r="I22" s="1"/>
      <c r="J22" s="1"/>
      <c r="K22" s="1"/>
      <c r="L22" s="1"/>
      <c r="M22" s="1"/>
      <c r="N22" s="4"/>
      <c r="O22" s="4"/>
      <c r="Q22" s="1"/>
      <c r="R22" s="1"/>
    </row>
    <row r="23" spans="1:18" ht="12.75" customHeight="1" x14ac:dyDescent="0.25">
      <c r="A23" s="1"/>
      <c r="B23" s="310" t="s">
        <v>38</v>
      </c>
      <c r="C23" s="273"/>
      <c r="D23" s="5" t="s">
        <v>19</v>
      </c>
      <c r="E23" s="9">
        <v>1</v>
      </c>
      <c r="F23" s="9">
        <v>1</v>
      </c>
      <c r="G23" s="9">
        <v>1</v>
      </c>
      <c r="H23" s="6">
        <v>12</v>
      </c>
      <c r="I23" s="1"/>
      <c r="J23" s="1"/>
      <c r="K23" s="1"/>
      <c r="L23" s="1"/>
      <c r="M23" s="1"/>
      <c r="N23" s="4"/>
      <c r="O23" s="4"/>
      <c r="Q23" s="1"/>
      <c r="R23" s="1"/>
    </row>
    <row r="24" spans="1:18" ht="12.75" customHeight="1" x14ac:dyDescent="0.25">
      <c r="A24" s="1"/>
      <c r="B24" s="4"/>
      <c r="C24" s="4"/>
      <c r="D24" s="4"/>
      <c r="E24" s="4"/>
      <c r="F24" s="4"/>
      <c r="G24" s="4"/>
      <c r="H24" s="4"/>
      <c r="I24" s="1"/>
      <c r="J24" s="1"/>
      <c r="K24" s="1"/>
      <c r="L24" s="1"/>
      <c r="M24" s="1"/>
      <c r="N24" s="4"/>
      <c r="O24" s="4"/>
      <c r="Q24" s="1"/>
      <c r="R24" s="1"/>
    </row>
    <row r="25" spans="1:18" ht="12.75" customHeight="1" x14ac:dyDescent="0.2">
      <c r="Q25" s="1"/>
      <c r="R25" s="1"/>
    </row>
    <row r="26" spans="1:18" ht="12.75" customHeight="1" x14ac:dyDescent="0.2">
      <c r="Q26" s="1"/>
      <c r="R26" s="1"/>
    </row>
    <row r="27" spans="1:18" ht="12.75" customHeight="1" x14ac:dyDescent="0.2">
      <c r="Q27" s="1"/>
      <c r="R27" s="1"/>
    </row>
    <row r="28" spans="1:18" ht="12.75" customHeight="1" x14ac:dyDescent="0.2">
      <c r="Q28" s="1"/>
      <c r="R28" s="1"/>
    </row>
    <row r="29" spans="1:18" ht="12.75" customHeight="1" x14ac:dyDescent="0.2">
      <c r="Q29" s="1"/>
      <c r="R29" s="1"/>
    </row>
    <row r="30" spans="1:18" ht="12.75" customHeight="1" x14ac:dyDescent="0.2">
      <c r="Q30" s="1"/>
      <c r="R30" s="1"/>
    </row>
    <row r="31" spans="1:18" ht="12.75" customHeight="1" x14ac:dyDescent="0.2">
      <c r="Q31" s="1"/>
      <c r="R31" s="1"/>
    </row>
    <row r="32" spans="1:18" ht="12.75" customHeight="1" x14ac:dyDescent="0.2">
      <c r="Q32" s="1"/>
      <c r="R32" s="1"/>
    </row>
    <row r="33" spans="1:26" ht="12.75" customHeight="1" x14ac:dyDescent="0.2">
      <c r="Q33" s="1"/>
      <c r="R33" s="1"/>
    </row>
    <row r="34" spans="1:26" ht="12.75" customHeight="1" x14ac:dyDescent="0.2">
      <c r="Q34" s="1"/>
      <c r="R34" s="1"/>
    </row>
    <row r="35" spans="1:26" ht="12.75" customHeight="1" x14ac:dyDescent="0.2">
      <c r="Q35" s="1"/>
      <c r="R35" s="1"/>
    </row>
    <row r="36" spans="1:26" ht="12.75" customHeight="1" x14ac:dyDescent="0.2">
      <c r="Q36" s="1"/>
      <c r="R36" s="1"/>
    </row>
    <row r="37" spans="1:26" ht="12.75" customHeight="1" x14ac:dyDescent="0.2">
      <c r="Q37" s="1"/>
      <c r="R37" s="1"/>
    </row>
    <row r="38" spans="1:26" ht="12.75" customHeight="1" x14ac:dyDescent="0.2">
      <c r="Q38" s="1"/>
      <c r="R38" s="1"/>
    </row>
    <row r="39" spans="1:26" ht="12.75" customHeight="1" x14ac:dyDescent="0.2">
      <c r="Q39" s="1"/>
      <c r="R39" s="1"/>
    </row>
    <row r="40" spans="1:26" ht="12.75" customHeight="1" x14ac:dyDescent="0.2">
      <c r="Q40" s="1"/>
      <c r="R40" s="1"/>
    </row>
    <row r="41" spans="1:26" ht="12.75" customHeight="1" x14ac:dyDescent="0.2">
      <c r="Q41" s="1"/>
      <c r="R41" s="1"/>
    </row>
    <row r="42" spans="1:26" ht="12.75" customHeight="1" x14ac:dyDescent="0.2">
      <c r="Q42" s="1"/>
      <c r="R42" s="1"/>
    </row>
    <row r="43" spans="1:26" ht="12.75" customHeight="1" x14ac:dyDescent="0.2">
      <c r="Q43" s="1"/>
      <c r="R43" s="1"/>
    </row>
    <row r="44" spans="1:26" ht="12.75" customHeight="1" x14ac:dyDescent="0.2">
      <c r="A44" s="312" t="s">
        <v>39</v>
      </c>
      <c r="B44" s="271"/>
      <c r="C44" s="271"/>
      <c r="D44" s="271"/>
      <c r="E44" s="271"/>
      <c r="F44" s="273"/>
      <c r="G44" s="1"/>
      <c r="H44" s="312" t="s">
        <v>40</v>
      </c>
      <c r="I44" s="271"/>
      <c r="J44" s="271"/>
      <c r="K44" s="271"/>
      <c r="L44" s="271"/>
      <c r="M44" s="273"/>
      <c r="O44" s="1"/>
      <c r="P44" s="1"/>
      <c r="Q44" s="1"/>
      <c r="R44" s="1"/>
      <c r="S44" s="1"/>
      <c r="T44" s="1"/>
      <c r="U44" s="1"/>
      <c r="V44" s="1"/>
      <c r="W44" s="1"/>
      <c r="X44" s="1"/>
      <c r="Y44" s="1"/>
      <c r="Z44" s="1"/>
    </row>
    <row r="45" spans="1:26" ht="12.75" customHeight="1" x14ac:dyDescent="0.2">
      <c r="A45" s="313"/>
      <c r="B45" s="275"/>
      <c r="C45" s="275"/>
      <c r="D45" s="275"/>
      <c r="E45" s="275"/>
      <c r="F45" s="276"/>
      <c r="G45" s="1"/>
      <c r="H45" s="313"/>
      <c r="I45" s="275"/>
      <c r="J45" s="275"/>
      <c r="K45" s="275"/>
      <c r="L45" s="275"/>
      <c r="M45" s="276"/>
      <c r="O45" s="1"/>
      <c r="P45" s="1"/>
      <c r="Q45" s="1"/>
      <c r="R45" s="1"/>
      <c r="S45" s="1"/>
      <c r="T45" s="1"/>
      <c r="U45" s="1"/>
      <c r="V45" s="1"/>
      <c r="W45" s="1"/>
      <c r="X45" s="1"/>
      <c r="Y45" s="1"/>
      <c r="Z45" s="1"/>
    </row>
    <row r="46" spans="1:26" ht="12.75" customHeight="1" x14ac:dyDescent="0.2">
      <c r="A46" s="284"/>
      <c r="B46" s="285"/>
      <c r="C46" s="285"/>
      <c r="D46" s="285"/>
      <c r="E46" s="285"/>
      <c r="F46" s="286"/>
      <c r="G46" s="1"/>
      <c r="H46" s="284"/>
      <c r="I46" s="285"/>
      <c r="J46" s="285"/>
      <c r="K46" s="285"/>
      <c r="L46" s="285"/>
      <c r="M46" s="286"/>
      <c r="N46" s="1"/>
      <c r="O46" s="1"/>
      <c r="P46" s="1"/>
      <c r="Q46" s="1"/>
      <c r="R46" s="1"/>
      <c r="S46" s="1"/>
      <c r="T46" s="1"/>
      <c r="U46" s="1"/>
      <c r="V46" s="1"/>
      <c r="W46" s="1"/>
      <c r="X46" s="1"/>
      <c r="Y46" s="1"/>
      <c r="Z46" s="1"/>
    </row>
    <row r="47" spans="1:26" ht="12.75" customHeight="1" x14ac:dyDescent="0.2">
      <c r="A47" s="284"/>
      <c r="B47" s="285"/>
      <c r="C47" s="285"/>
      <c r="D47" s="285"/>
      <c r="E47" s="285"/>
      <c r="F47" s="286"/>
      <c r="G47" s="1"/>
      <c r="H47" s="284"/>
      <c r="I47" s="285"/>
      <c r="J47" s="285"/>
      <c r="K47" s="285"/>
      <c r="L47" s="285"/>
      <c r="M47" s="286"/>
      <c r="N47" s="1"/>
      <c r="O47" s="1"/>
      <c r="P47" s="1"/>
      <c r="Q47" s="1"/>
      <c r="R47" s="1"/>
      <c r="S47" s="1"/>
      <c r="T47" s="1"/>
      <c r="U47" s="1"/>
      <c r="V47" s="1"/>
      <c r="W47" s="1"/>
      <c r="X47" s="1"/>
      <c r="Y47" s="1"/>
      <c r="Z47" s="1"/>
    </row>
    <row r="48" spans="1:26" ht="12.75" customHeight="1" x14ac:dyDescent="0.2">
      <c r="A48" s="284"/>
      <c r="B48" s="285"/>
      <c r="C48" s="285"/>
      <c r="D48" s="285"/>
      <c r="E48" s="285"/>
      <c r="F48" s="286"/>
      <c r="G48" s="1"/>
      <c r="H48" s="284"/>
      <c r="I48" s="285"/>
      <c r="J48" s="285"/>
      <c r="K48" s="285"/>
      <c r="L48" s="285"/>
      <c r="M48" s="286"/>
      <c r="N48" s="1"/>
      <c r="O48" s="1"/>
      <c r="P48" s="1"/>
      <c r="Q48" s="1"/>
      <c r="R48" s="1"/>
      <c r="S48" s="1"/>
      <c r="T48" s="1"/>
      <c r="U48" s="1"/>
      <c r="V48" s="1"/>
      <c r="W48" s="1"/>
      <c r="X48" s="1"/>
      <c r="Y48" s="1"/>
      <c r="Z48" s="1"/>
    </row>
    <row r="49" spans="1:26" ht="12.75" customHeight="1" x14ac:dyDescent="0.2">
      <c r="A49" s="284"/>
      <c r="B49" s="285"/>
      <c r="C49" s="285"/>
      <c r="D49" s="285"/>
      <c r="E49" s="285"/>
      <c r="F49" s="286"/>
      <c r="G49" s="1"/>
      <c r="H49" s="284"/>
      <c r="I49" s="285"/>
      <c r="J49" s="285"/>
      <c r="K49" s="285"/>
      <c r="L49" s="285"/>
      <c r="M49" s="286"/>
      <c r="N49" s="1"/>
      <c r="O49" s="1"/>
      <c r="P49" s="1"/>
      <c r="Q49" s="1"/>
      <c r="R49" s="1"/>
      <c r="S49" s="1"/>
      <c r="T49" s="1"/>
      <c r="U49" s="1"/>
      <c r="V49" s="1"/>
      <c r="W49" s="1"/>
      <c r="X49" s="1"/>
      <c r="Y49" s="1"/>
      <c r="Z49" s="1"/>
    </row>
    <row r="50" spans="1:26" ht="12.75" customHeight="1" x14ac:dyDescent="0.2">
      <c r="A50" s="284"/>
      <c r="B50" s="285"/>
      <c r="C50" s="285"/>
      <c r="D50" s="285"/>
      <c r="E50" s="285"/>
      <c r="F50" s="286"/>
      <c r="G50" s="1"/>
      <c r="H50" s="284"/>
      <c r="I50" s="285"/>
      <c r="J50" s="285"/>
      <c r="K50" s="285"/>
      <c r="L50" s="285"/>
      <c r="M50" s="286"/>
      <c r="N50" s="1"/>
      <c r="O50" s="1"/>
      <c r="P50" s="1"/>
      <c r="Q50" s="1"/>
      <c r="R50" s="1"/>
      <c r="S50" s="1"/>
      <c r="T50" s="1"/>
      <c r="U50" s="1"/>
      <c r="V50" s="1"/>
      <c r="W50" s="1"/>
      <c r="X50" s="1"/>
      <c r="Y50" s="1"/>
      <c r="Z50" s="1"/>
    </row>
    <row r="51" spans="1:26" ht="12.75" customHeight="1" x14ac:dyDescent="0.2">
      <c r="A51" s="284"/>
      <c r="B51" s="285"/>
      <c r="C51" s="285"/>
      <c r="D51" s="285"/>
      <c r="E51" s="285"/>
      <c r="F51" s="286"/>
      <c r="G51" s="1"/>
      <c r="H51" s="284"/>
      <c r="I51" s="285"/>
      <c r="J51" s="285"/>
      <c r="K51" s="285"/>
      <c r="L51" s="285"/>
      <c r="M51" s="286"/>
      <c r="N51" s="1"/>
      <c r="O51" s="1"/>
      <c r="P51" s="1"/>
      <c r="Q51" s="1"/>
      <c r="R51" s="1"/>
      <c r="S51" s="1"/>
      <c r="T51" s="1"/>
      <c r="U51" s="1"/>
      <c r="V51" s="1"/>
      <c r="W51" s="1"/>
      <c r="X51" s="1"/>
      <c r="Y51" s="1"/>
      <c r="Z51" s="1"/>
    </row>
    <row r="52" spans="1:26" ht="12.75" customHeight="1" x14ac:dyDescent="0.2">
      <c r="A52" s="284"/>
      <c r="B52" s="285"/>
      <c r="C52" s="285"/>
      <c r="D52" s="285"/>
      <c r="E52" s="285"/>
      <c r="F52" s="286"/>
      <c r="G52" s="1"/>
      <c r="H52" s="284"/>
      <c r="I52" s="285"/>
      <c r="J52" s="285"/>
      <c r="K52" s="285"/>
      <c r="L52" s="285"/>
      <c r="M52" s="286"/>
      <c r="N52" s="1"/>
      <c r="O52" s="1"/>
      <c r="P52" s="1"/>
      <c r="Q52" s="1"/>
      <c r="R52" s="1"/>
      <c r="S52" s="1"/>
      <c r="T52" s="1"/>
      <c r="U52" s="1"/>
      <c r="V52" s="1"/>
      <c r="W52" s="1"/>
      <c r="X52" s="1"/>
      <c r="Y52" s="1"/>
      <c r="Z52" s="1"/>
    </row>
    <row r="53" spans="1:26" ht="12.75" customHeight="1" x14ac:dyDescent="0.2">
      <c r="A53" s="284"/>
      <c r="B53" s="285"/>
      <c r="C53" s="285"/>
      <c r="D53" s="285"/>
      <c r="E53" s="285"/>
      <c r="F53" s="286"/>
      <c r="G53" s="1"/>
      <c r="H53" s="284"/>
      <c r="I53" s="285"/>
      <c r="J53" s="285"/>
      <c r="K53" s="285"/>
      <c r="L53" s="285"/>
      <c r="M53" s="286"/>
      <c r="N53" s="1"/>
      <c r="O53" s="1"/>
      <c r="P53" s="1"/>
      <c r="Q53" s="1"/>
      <c r="R53" s="1"/>
      <c r="S53" s="1"/>
      <c r="T53" s="1"/>
      <c r="U53" s="1"/>
      <c r="V53" s="1"/>
      <c r="W53" s="1"/>
      <c r="X53" s="1"/>
      <c r="Y53" s="1"/>
      <c r="Z53" s="1"/>
    </row>
    <row r="54" spans="1:26" ht="12.75" customHeight="1" x14ac:dyDescent="0.2">
      <c r="A54" s="284"/>
      <c r="B54" s="285"/>
      <c r="C54" s="285"/>
      <c r="D54" s="285"/>
      <c r="E54" s="285"/>
      <c r="F54" s="286"/>
      <c r="G54" s="1"/>
      <c r="H54" s="284"/>
      <c r="I54" s="285"/>
      <c r="J54" s="285"/>
      <c r="K54" s="285"/>
      <c r="L54" s="285"/>
      <c r="M54" s="286"/>
      <c r="N54" s="1"/>
      <c r="O54" s="1"/>
      <c r="P54" s="1"/>
      <c r="Q54" s="1"/>
      <c r="R54" s="1"/>
      <c r="S54" s="1"/>
      <c r="T54" s="1"/>
      <c r="U54" s="1"/>
      <c r="V54" s="1"/>
      <c r="W54" s="1"/>
      <c r="X54" s="1"/>
      <c r="Y54" s="1"/>
      <c r="Z54" s="1"/>
    </row>
    <row r="55" spans="1:26" ht="12.75" customHeight="1" x14ac:dyDescent="0.2">
      <c r="A55" s="284"/>
      <c r="B55" s="285"/>
      <c r="C55" s="285"/>
      <c r="D55" s="285"/>
      <c r="E55" s="285"/>
      <c r="F55" s="286"/>
      <c r="G55" s="1"/>
      <c r="H55" s="284"/>
      <c r="I55" s="285"/>
      <c r="J55" s="285"/>
      <c r="K55" s="285"/>
      <c r="L55" s="285"/>
      <c r="M55" s="286"/>
      <c r="N55" s="1"/>
      <c r="O55" s="1"/>
      <c r="P55" s="1"/>
      <c r="Q55" s="1"/>
      <c r="R55" s="1"/>
      <c r="S55" s="1"/>
      <c r="T55" s="1"/>
      <c r="U55" s="1"/>
      <c r="V55" s="1"/>
      <c r="W55" s="1"/>
      <c r="X55" s="1"/>
      <c r="Y55" s="1"/>
      <c r="Z55" s="1"/>
    </row>
    <row r="56" spans="1:26" ht="12.75" customHeight="1" x14ac:dyDescent="0.2">
      <c r="A56" s="284"/>
      <c r="B56" s="285"/>
      <c r="C56" s="285"/>
      <c r="D56" s="285"/>
      <c r="E56" s="285"/>
      <c r="F56" s="286"/>
      <c r="G56" s="1"/>
      <c r="H56" s="284"/>
      <c r="I56" s="285"/>
      <c r="J56" s="285"/>
      <c r="K56" s="285"/>
      <c r="L56" s="285"/>
      <c r="M56" s="286"/>
      <c r="N56" s="1"/>
      <c r="O56" s="1"/>
      <c r="P56" s="1"/>
      <c r="Q56" s="1"/>
      <c r="R56" s="1"/>
      <c r="S56" s="1"/>
      <c r="T56" s="1"/>
      <c r="U56" s="1"/>
      <c r="V56" s="1"/>
      <c r="W56" s="1"/>
      <c r="X56" s="1"/>
      <c r="Y56" s="1"/>
      <c r="Z56" s="1"/>
    </row>
    <row r="57" spans="1:26" ht="12.75" customHeight="1" x14ac:dyDescent="0.2">
      <c r="A57" s="284"/>
      <c r="B57" s="285"/>
      <c r="C57" s="285"/>
      <c r="D57" s="285"/>
      <c r="E57" s="285"/>
      <c r="F57" s="286"/>
      <c r="G57" s="1"/>
      <c r="H57" s="284"/>
      <c r="I57" s="285"/>
      <c r="J57" s="285"/>
      <c r="K57" s="285"/>
      <c r="L57" s="285"/>
      <c r="M57" s="286"/>
      <c r="N57" s="1"/>
      <c r="O57" s="1"/>
      <c r="P57" s="1"/>
      <c r="Q57" s="1"/>
      <c r="R57" s="1"/>
      <c r="S57" s="1"/>
      <c r="T57" s="1"/>
      <c r="U57" s="1"/>
      <c r="V57" s="1"/>
      <c r="W57" s="1"/>
      <c r="X57" s="1"/>
      <c r="Y57" s="1"/>
      <c r="Z57" s="1"/>
    </row>
    <row r="58" spans="1:26" ht="12.75" customHeight="1" x14ac:dyDescent="0.2">
      <c r="A58" s="284"/>
      <c r="B58" s="285"/>
      <c r="C58" s="285"/>
      <c r="D58" s="285"/>
      <c r="E58" s="285"/>
      <c r="F58" s="286"/>
      <c r="G58" s="1"/>
      <c r="H58" s="284"/>
      <c r="I58" s="285"/>
      <c r="J58" s="285"/>
      <c r="K58" s="285"/>
      <c r="L58" s="285"/>
      <c r="M58" s="286"/>
      <c r="N58" s="1"/>
      <c r="O58" s="1"/>
      <c r="P58" s="1"/>
      <c r="Q58" s="1"/>
      <c r="R58" s="1"/>
      <c r="S58" s="1"/>
      <c r="T58" s="1"/>
      <c r="U58" s="1"/>
      <c r="V58" s="1"/>
      <c r="W58" s="1"/>
      <c r="X58" s="1"/>
      <c r="Y58" s="1"/>
      <c r="Z58" s="1"/>
    </row>
    <row r="59" spans="1:26" ht="12.75" customHeight="1" x14ac:dyDescent="0.2">
      <c r="A59" s="284"/>
      <c r="B59" s="285"/>
      <c r="C59" s="285"/>
      <c r="D59" s="285"/>
      <c r="E59" s="285"/>
      <c r="F59" s="286"/>
      <c r="G59" s="1"/>
      <c r="H59" s="284"/>
      <c r="I59" s="285"/>
      <c r="J59" s="285"/>
      <c r="K59" s="285"/>
      <c r="L59" s="285"/>
      <c r="M59" s="286"/>
      <c r="N59" s="1"/>
      <c r="O59" s="1"/>
      <c r="P59" s="1"/>
      <c r="Q59" s="1"/>
      <c r="R59" s="1"/>
      <c r="S59" s="1"/>
      <c r="T59" s="1"/>
      <c r="U59" s="1"/>
      <c r="V59" s="1"/>
      <c r="W59" s="1"/>
      <c r="X59" s="1"/>
      <c r="Y59" s="1"/>
      <c r="Z59" s="1"/>
    </row>
    <row r="60" spans="1:26" ht="12.75" customHeight="1" x14ac:dyDescent="0.2">
      <c r="A60" s="284"/>
      <c r="B60" s="285"/>
      <c r="C60" s="285"/>
      <c r="D60" s="285"/>
      <c r="E60" s="285"/>
      <c r="F60" s="286"/>
      <c r="G60" s="1"/>
      <c r="H60" s="284"/>
      <c r="I60" s="285"/>
      <c r="J60" s="285"/>
      <c r="K60" s="285"/>
      <c r="L60" s="285"/>
      <c r="M60" s="286"/>
      <c r="N60" s="1"/>
      <c r="O60" s="1"/>
      <c r="P60" s="1"/>
      <c r="Q60" s="1"/>
      <c r="R60" s="1"/>
      <c r="S60" s="1"/>
      <c r="T60" s="1"/>
      <c r="U60" s="1"/>
      <c r="V60" s="1"/>
      <c r="W60" s="1"/>
      <c r="X60" s="1"/>
      <c r="Y60" s="1"/>
      <c r="Z60" s="1"/>
    </row>
    <row r="61" spans="1:26" ht="12.75" customHeight="1" x14ac:dyDescent="0.2">
      <c r="A61" s="284"/>
      <c r="B61" s="285"/>
      <c r="C61" s="285"/>
      <c r="D61" s="285"/>
      <c r="E61" s="285"/>
      <c r="F61" s="286"/>
      <c r="G61" s="1"/>
      <c r="H61" s="284"/>
      <c r="I61" s="285"/>
      <c r="J61" s="285"/>
      <c r="K61" s="285"/>
      <c r="L61" s="285"/>
      <c r="M61" s="286"/>
      <c r="N61" s="1"/>
      <c r="O61" s="1"/>
      <c r="P61" s="1"/>
      <c r="Q61" s="1"/>
      <c r="R61" s="1"/>
      <c r="S61" s="1"/>
      <c r="T61" s="1"/>
      <c r="U61" s="1"/>
      <c r="V61" s="1"/>
      <c r="W61" s="1"/>
      <c r="X61" s="1"/>
      <c r="Y61" s="1"/>
      <c r="Z61" s="1"/>
    </row>
    <row r="62" spans="1:26" ht="12.75" customHeight="1" x14ac:dyDescent="0.2">
      <c r="A62" s="284"/>
      <c r="B62" s="285"/>
      <c r="C62" s="285"/>
      <c r="D62" s="285"/>
      <c r="E62" s="285"/>
      <c r="F62" s="286"/>
      <c r="G62" s="1"/>
      <c r="H62" s="284"/>
      <c r="I62" s="285"/>
      <c r="J62" s="285"/>
      <c r="K62" s="285"/>
      <c r="L62" s="285"/>
      <c r="M62" s="286"/>
      <c r="N62" s="1"/>
      <c r="O62" s="1"/>
      <c r="P62" s="1"/>
      <c r="Q62" s="1"/>
      <c r="R62" s="1"/>
      <c r="S62" s="1"/>
      <c r="T62" s="1"/>
      <c r="U62" s="1"/>
      <c r="V62" s="1"/>
      <c r="W62" s="1"/>
      <c r="X62" s="1"/>
      <c r="Y62" s="1"/>
      <c r="Z62" s="1"/>
    </row>
    <row r="63" spans="1:26" ht="12.75" customHeight="1" x14ac:dyDescent="0.2">
      <c r="A63" s="277"/>
      <c r="B63" s="278"/>
      <c r="C63" s="278"/>
      <c r="D63" s="278"/>
      <c r="E63" s="278"/>
      <c r="F63" s="279"/>
      <c r="G63" s="1"/>
      <c r="H63" s="277"/>
      <c r="I63" s="278"/>
      <c r="J63" s="278"/>
      <c r="K63" s="278"/>
      <c r="L63" s="278"/>
      <c r="M63" s="279"/>
      <c r="N63" s="1"/>
      <c r="O63" s="1"/>
      <c r="P63" s="1"/>
      <c r="Q63" s="1"/>
      <c r="R63" s="1"/>
      <c r="S63" s="1"/>
      <c r="T63" s="1"/>
      <c r="U63" s="1"/>
      <c r="V63" s="1"/>
      <c r="W63" s="1"/>
      <c r="X63" s="1"/>
      <c r="Y63" s="1"/>
      <c r="Z63" s="1"/>
    </row>
    <row r="64" spans="1:26" ht="12.75" customHeight="1" x14ac:dyDescent="0.25">
      <c r="A64" s="18"/>
      <c r="B64" s="18"/>
      <c r="C64" s="18"/>
      <c r="D64" s="18"/>
      <c r="E64" s="18"/>
      <c r="F64" s="18"/>
      <c r="G64" s="18"/>
      <c r="H64" s="18"/>
      <c r="I64" s="18"/>
      <c r="J64" s="18"/>
      <c r="K64" s="18"/>
      <c r="L64" s="18"/>
      <c r="M64" s="18"/>
      <c r="N64" s="18"/>
      <c r="O64" s="18"/>
      <c r="P64" s="18"/>
      <c r="Q64" s="18"/>
      <c r="R64" s="18"/>
      <c r="S64" s="1"/>
      <c r="T64" s="1"/>
      <c r="U64" s="1"/>
      <c r="V64" s="1"/>
      <c r="W64" s="1"/>
      <c r="X64" s="1"/>
      <c r="Y64" s="1"/>
      <c r="Z64" s="1"/>
    </row>
    <row r="65" spans="1:26" ht="12.75" customHeight="1" x14ac:dyDescent="0.25">
      <c r="A65" s="314" t="s">
        <v>41</v>
      </c>
      <c r="B65" s="315"/>
      <c r="C65" s="315"/>
      <c r="D65" s="315"/>
      <c r="E65" s="315"/>
      <c r="F65" s="315"/>
      <c r="G65" s="315"/>
      <c r="H65" s="315"/>
      <c r="I65" s="315"/>
      <c r="J65" s="315"/>
      <c r="K65" s="315"/>
      <c r="L65" s="315"/>
      <c r="M65" s="316"/>
      <c r="N65" s="18"/>
      <c r="O65" s="18"/>
      <c r="P65" s="18"/>
      <c r="Q65" s="18"/>
      <c r="R65" s="18"/>
      <c r="S65" s="1"/>
      <c r="T65" s="1"/>
      <c r="U65" s="1"/>
      <c r="V65" s="1"/>
      <c r="W65" s="1"/>
      <c r="X65" s="1"/>
      <c r="Y65" s="1"/>
      <c r="Z65" s="1"/>
    </row>
    <row r="66" spans="1:26" ht="12.75" customHeight="1" x14ac:dyDescent="0.25">
      <c r="A66" s="317"/>
      <c r="B66" s="318"/>
      <c r="C66" s="318"/>
      <c r="D66" s="318"/>
      <c r="E66" s="318"/>
      <c r="F66" s="318"/>
      <c r="G66" s="318"/>
      <c r="H66" s="318"/>
      <c r="I66" s="318"/>
      <c r="J66" s="318"/>
      <c r="K66" s="318"/>
      <c r="L66" s="318"/>
      <c r="M66" s="319"/>
      <c r="N66" s="18"/>
      <c r="O66" s="18"/>
      <c r="P66" s="18"/>
      <c r="Q66" s="18"/>
      <c r="R66" s="18"/>
      <c r="S66" s="1"/>
      <c r="T66" s="1"/>
      <c r="U66" s="1"/>
      <c r="V66" s="1"/>
      <c r="W66" s="1"/>
      <c r="X66" s="1"/>
      <c r="Y66" s="1"/>
      <c r="Z66" s="1"/>
    </row>
    <row r="67" spans="1:26" ht="12.75" customHeight="1" x14ac:dyDescent="0.25">
      <c r="A67" s="19" t="s">
        <v>42</v>
      </c>
      <c r="B67" s="309" t="s">
        <v>43</v>
      </c>
      <c r="C67" s="271"/>
      <c r="D67" s="271"/>
      <c r="E67" s="271"/>
      <c r="F67" s="273"/>
      <c r="G67" s="18"/>
      <c r="H67" s="20">
        <v>11</v>
      </c>
      <c r="I67" s="309" t="s">
        <v>44</v>
      </c>
      <c r="J67" s="271"/>
      <c r="K67" s="271"/>
      <c r="L67" s="271"/>
      <c r="M67" s="273"/>
      <c r="N67" s="18"/>
      <c r="O67" s="18"/>
      <c r="P67" s="18"/>
      <c r="Q67" s="18"/>
      <c r="R67" s="18"/>
      <c r="S67" s="1"/>
      <c r="T67" s="1"/>
      <c r="U67" s="1"/>
      <c r="V67" s="1"/>
      <c r="W67" s="1"/>
      <c r="X67" s="1"/>
      <c r="Y67" s="1"/>
      <c r="Z67" s="1"/>
    </row>
    <row r="68" spans="1:26" ht="12.75" customHeight="1" x14ac:dyDescent="0.25">
      <c r="A68" s="19" t="s">
        <v>45</v>
      </c>
      <c r="B68" s="309" t="s">
        <v>46</v>
      </c>
      <c r="C68" s="271"/>
      <c r="D68" s="271"/>
      <c r="E68" s="271"/>
      <c r="F68" s="273"/>
      <c r="G68" s="18"/>
      <c r="H68" s="20">
        <v>12</v>
      </c>
      <c r="I68" s="309" t="s">
        <v>47</v>
      </c>
      <c r="J68" s="271"/>
      <c r="K68" s="271"/>
      <c r="L68" s="271"/>
      <c r="M68" s="273"/>
      <c r="N68" s="18"/>
      <c r="O68" s="18"/>
      <c r="P68" s="18"/>
      <c r="Q68" s="18"/>
      <c r="R68" s="18"/>
      <c r="S68" s="1"/>
      <c r="T68" s="1"/>
      <c r="U68" s="1"/>
      <c r="V68" s="1"/>
      <c r="W68" s="1"/>
      <c r="X68" s="1"/>
      <c r="Y68" s="1"/>
      <c r="Z68" s="1"/>
    </row>
    <row r="69" spans="1:26" ht="12.75" customHeight="1" x14ac:dyDescent="0.25">
      <c r="A69" s="19" t="s">
        <v>48</v>
      </c>
      <c r="B69" s="309" t="s">
        <v>49</v>
      </c>
      <c r="C69" s="271"/>
      <c r="D69" s="271"/>
      <c r="E69" s="271"/>
      <c r="F69" s="273"/>
      <c r="G69" s="18"/>
      <c r="H69" s="20">
        <v>13</v>
      </c>
      <c r="I69" s="309" t="s">
        <v>50</v>
      </c>
      <c r="J69" s="271"/>
      <c r="K69" s="271"/>
      <c r="L69" s="271"/>
      <c r="M69" s="273"/>
      <c r="N69" s="18"/>
      <c r="O69" s="18"/>
      <c r="P69" s="18"/>
      <c r="Q69" s="18"/>
      <c r="R69" s="18"/>
      <c r="S69" s="1"/>
      <c r="T69" s="1"/>
      <c r="U69" s="1"/>
      <c r="V69" s="1"/>
      <c r="W69" s="1"/>
      <c r="X69" s="1"/>
      <c r="Y69" s="1"/>
      <c r="Z69" s="1"/>
    </row>
    <row r="70" spans="1:26" ht="12.75" customHeight="1" x14ac:dyDescent="0.25">
      <c r="A70" s="19" t="s">
        <v>51</v>
      </c>
      <c r="B70" s="309" t="s">
        <v>52</v>
      </c>
      <c r="C70" s="271"/>
      <c r="D70" s="271"/>
      <c r="E70" s="271"/>
      <c r="F70" s="273"/>
      <c r="G70" s="18"/>
      <c r="H70" s="20">
        <v>14</v>
      </c>
      <c r="I70" s="309" t="s">
        <v>53</v>
      </c>
      <c r="J70" s="271"/>
      <c r="K70" s="271"/>
      <c r="L70" s="271"/>
      <c r="M70" s="273"/>
      <c r="N70" s="18"/>
      <c r="O70" s="18"/>
      <c r="P70" s="18"/>
      <c r="Q70" s="18"/>
      <c r="R70" s="18"/>
      <c r="S70" s="1"/>
      <c r="T70" s="1"/>
      <c r="U70" s="1"/>
      <c r="V70" s="1"/>
      <c r="W70" s="1"/>
      <c r="X70" s="1"/>
      <c r="Y70" s="1"/>
      <c r="Z70" s="1"/>
    </row>
    <row r="71" spans="1:26" ht="12.75" customHeight="1" x14ac:dyDescent="0.25">
      <c r="A71" s="19" t="s">
        <v>54</v>
      </c>
      <c r="B71" s="309" t="s">
        <v>55</v>
      </c>
      <c r="C71" s="271"/>
      <c r="D71" s="271"/>
      <c r="E71" s="271"/>
      <c r="F71" s="273"/>
      <c r="G71" s="18"/>
      <c r="H71" s="20">
        <v>15</v>
      </c>
      <c r="I71" s="309" t="s">
        <v>56</v>
      </c>
      <c r="J71" s="271"/>
      <c r="K71" s="271"/>
      <c r="L71" s="271"/>
      <c r="M71" s="273"/>
      <c r="N71" s="18"/>
      <c r="O71" s="18"/>
      <c r="P71" s="18"/>
      <c r="Q71" s="18"/>
      <c r="R71" s="18"/>
      <c r="S71" s="1"/>
      <c r="T71" s="1"/>
      <c r="U71" s="1"/>
      <c r="V71" s="1"/>
      <c r="W71" s="1"/>
      <c r="X71" s="1"/>
      <c r="Y71" s="1"/>
      <c r="Z71" s="1"/>
    </row>
    <row r="72" spans="1:26" ht="12.75" customHeight="1" x14ac:dyDescent="0.25">
      <c r="A72" s="19" t="s">
        <v>57</v>
      </c>
      <c r="B72" s="309" t="s">
        <v>58</v>
      </c>
      <c r="C72" s="271"/>
      <c r="D72" s="271"/>
      <c r="E72" s="271"/>
      <c r="F72" s="273"/>
      <c r="G72" s="18"/>
      <c r="H72" s="20">
        <v>16</v>
      </c>
      <c r="I72" s="309" t="s">
        <v>59</v>
      </c>
      <c r="J72" s="271"/>
      <c r="K72" s="271"/>
      <c r="L72" s="271"/>
      <c r="M72" s="273"/>
      <c r="N72" s="18"/>
      <c r="O72" s="18"/>
      <c r="P72" s="18"/>
      <c r="Q72" s="18"/>
      <c r="R72" s="18"/>
      <c r="S72" s="1"/>
      <c r="T72" s="1"/>
      <c r="U72" s="1"/>
      <c r="V72" s="1"/>
      <c r="W72" s="1"/>
      <c r="X72" s="1"/>
      <c r="Y72" s="1"/>
      <c r="Z72" s="1"/>
    </row>
    <row r="73" spans="1:26" ht="12.75" customHeight="1" x14ac:dyDescent="0.25">
      <c r="A73" s="19" t="s">
        <v>60</v>
      </c>
      <c r="B73" s="309" t="s">
        <v>61</v>
      </c>
      <c r="C73" s="271"/>
      <c r="D73" s="271"/>
      <c r="E73" s="271"/>
      <c r="F73" s="273"/>
      <c r="G73" s="18"/>
      <c r="H73" s="20">
        <v>17</v>
      </c>
      <c r="I73" s="309" t="s">
        <v>62</v>
      </c>
      <c r="J73" s="271"/>
      <c r="K73" s="271"/>
      <c r="L73" s="271"/>
      <c r="M73" s="273"/>
      <c r="N73" s="18"/>
      <c r="O73" s="18"/>
      <c r="P73" s="18"/>
      <c r="Q73" s="18"/>
      <c r="R73" s="18"/>
      <c r="S73" s="1"/>
      <c r="T73" s="1"/>
      <c r="U73" s="1"/>
      <c r="V73" s="1"/>
      <c r="W73" s="1"/>
      <c r="X73" s="1"/>
      <c r="Y73" s="1"/>
      <c r="Z73" s="1"/>
    </row>
    <row r="74" spans="1:26" ht="12.75" customHeight="1" x14ac:dyDescent="0.25">
      <c r="A74" s="19" t="s">
        <v>63</v>
      </c>
      <c r="B74" s="309" t="s">
        <v>64</v>
      </c>
      <c r="C74" s="271"/>
      <c r="D74" s="271"/>
      <c r="E74" s="271"/>
      <c r="F74" s="273"/>
      <c r="G74" s="18"/>
      <c r="H74" s="20">
        <v>18</v>
      </c>
      <c r="I74" s="309" t="s">
        <v>65</v>
      </c>
      <c r="J74" s="271"/>
      <c r="K74" s="271"/>
      <c r="L74" s="271"/>
      <c r="M74" s="273"/>
      <c r="N74" s="18"/>
      <c r="O74" s="18"/>
      <c r="P74" s="18"/>
      <c r="Q74" s="18"/>
      <c r="R74" s="18"/>
      <c r="S74" s="1"/>
      <c r="T74" s="1"/>
      <c r="U74" s="1"/>
      <c r="V74" s="1"/>
      <c r="W74" s="1"/>
      <c r="X74" s="1"/>
      <c r="Y74" s="1"/>
      <c r="Z74" s="1"/>
    </row>
    <row r="75" spans="1:26" ht="12.75" customHeight="1" x14ac:dyDescent="0.25">
      <c r="A75" s="19" t="s">
        <v>66</v>
      </c>
      <c r="B75" s="309" t="s">
        <v>67</v>
      </c>
      <c r="C75" s="271"/>
      <c r="D75" s="271"/>
      <c r="E75" s="271"/>
      <c r="F75" s="273"/>
      <c r="G75" s="18"/>
      <c r="H75" s="20">
        <v>19</v>
      </c>
      <c r="I75" s="309" t="s">
        <v>68</v>
      </c>
      <c r="J75" s="271"/>
      <c r="K75" s="271"/>
      <c r="L75" s="271"/>
      <c r="M75" s="273"/>
      <c r="N75" s="18"/>
      <c r="O75" s="18"/>
      <c r="P75" s="18"/>
      <c r="Q75" s="18"/>
      <c r="R75" s="18"/>
      <c r="S75" s="1"/>
      <c r="T75" s="1"/>
      <c r="U75" s="1"/>
      <c r="V75" s="1"/>
      <c r="W75" s="1"/>
      <c r="X75" s="1"/>
      <c r="Y75" s="1"/>
      <c r="Z75" s="1"/>
    </row>
    <row r="76" spans="1:26" ht="12.75" customHeight="1" x14ac:dyDescent="0.25">
      <c r="A76" s="19" t="s">
        <v>69</v>
      </c>
      <c r="B76" s="309" t="s">
        <v>70</v>
      </c>
      <c r="C76" s="271"/>
      <c r="D76" s="271"/>
      <c r="E76" s="271"/>
      <c r="F76" s="273"/>
      <c r="G76" s="18"/>
      <c r="H76" s="18"/>
      <c r="I76" s="18"/>
      <c r="J76" s="18"/>
      <c r="K76" s="18"/>
      <c r="L76" s="18"/>
      <c r="M76" s="18"/>
      <c r="N76" s="18"/>
      <c r="O76" s="18"/>
      <c r="P76" s="18"/>
      <c r="Q76" s="18"/>
      <c r="R76" s="18"/>
      <c r="S76" s="1"/>
      <c r="T76" s="1"/>
      <c r="U76" s="1"/>
      <c r="V76" s="1"/>
      <c r="W76" s="1"/>
      <c r="X76" s="1"/>
      <c r="Y76" s="1"/>
      <c r="Z76" s="1"/>
    </row>
    <row r="77" spans="1:26" ht="12.75" customHeight="1" x14ac:dyDescent="0.25">
      <c r="A77" s="18"/>
      <c r="B77" s="18"/>
      <c r="C77" s="1"/>
      <c r="D77" s="1"/>
      <c r="E77" s="1"/>
      <c r="F77" s="1"/>
      <c r="G77" s="18"/>
      <c r="H77" s="18"/>
      <c r="I77" s="18"/>
      <c r="J77" s="18"/>
      <c r="K77" s="18"/>
      <c r="L77" s="18"/>
      <c r="M77" s="18"/>
      <c r="N77" s="18"/>
      <c r="O77" s="18"/>
      <c r="P77" s="18"/>
      <c r="Q77" s="18"/>
      <c r="R77" s="18"/>
      <c r="S77" s="1"/>
      <c r="T77" s="1"/>
      <c r="U77" s="1"/>
      <c r="V77" s="1"/>
      <c r="W77" s="1"/>
      <c r="X77" s="1"/>
      <c r="Y77" s="1"/>
      <c r="Z77" s="1"/>
    </row>
    <row r="78" spans="1:26" ht="15.75" customHeight="1" x14ac:dyDescent="0.2">
      <c r="Q78" s="1"/>
      <c r="R78" s="1"/>
    </row>
    <row r="79" spans="1:26" ht="15" customHeight="1" thickBot="1" x14ac:dyDescent="0.25">
      <c r="J79" s="1"/>
      <c r="K79" s="1"/>
      <c r="L79" s="1"/>
      <c r="M79" s="1"/>
      <c r="Q79" s="1"/>
      <c r="R79" s="1"/>
    </row>
    <row r="80" spans="1:26" ht="15" customHeight="1" thickTop="1" x14ac:dyDescent="0.2">
      <c r="J80" s="302" t="s">
        <v>71</v>
      </c>
      <c r="K80" s="302"/>
      <c r="L80" s="302"/>
      <c r="M80" s="302"/>
      <c r="Q80" s="1"/>
      <c r="R80" s="1"/>
    </row>
    <row r="81" spans="10:18" ht="15" customHeight="1" x14ac:dyDescent="0.25">
      <c r="J81" s="303" t="s">
        <v>72</v>
      </c>
      <c r="K81" s="303"/>
      <c r="L81" s="303"/>
      <c r="M81" s="303"/>
      <c r="Q81" s="1"/>
      <c r="R81" s="1"/>
    </row>
    <row r="82" spans="10:18" ht="15" customHeight="1" x14ac:dyDescent="0.25">
      <c r="J82" s="303" t="s">
        <v>73</v>
      </c>
      <c r="K82" s="303"/>
      <c r="L82" s="303"/>
      <c r="M82" s="303"/>
      <c r="Q82" s="1"/>
      <c r="R82" s="1"/>
    </row>
    <row r="83" spans="10:18" ht="15.75" customHeight="1" x14ac:dyDescent="0.2">
      <c r="Q83" s="1"/>
      <c r="R83" s="1"/>
    </row>
    <row r="84" spans="10:18" ht="15.75" customHeight="1" x14ac:dyDescent="0.2">
      <c r="Q84" s="1"/>
      <c r="R84" s="1"/>
    </row>
    <row r="85" spans="10:18" ht="15.75" customHeight="1" x14ac:dyDescent="0.2">
      <c r="Q85" s="1"/>
      <c r="R85" s="1"/>
    </row>
    <row r="86" spans="10:18" ht="15.75" customHeight="1" x14ac:dyDescent="0.2">
      <c r="Q86" s="1"/>
      <c r="R86" s="1"/>
    </row>
    <row r="87" spans="10:18" ht="15.75" customHeight="1" x14ac:dyDescent="0.2">
      <c r="Q87" s="1"/>
      <c r="R87" s="1"/>
    </row>
    <row r="88" spans="10:18" ht="15.75" customHeight="1" x14ac:dyDescent="0.2">
      <c r="Q88" s="1"/>
      <c r="R88" s="1"/>
    </row>
    <row r="89" spans="10:18" ht="15.75" customHeight="1" x14ac:dyDescent="0.2">
      <c r="Q89" s="1"/>
      <c r="R89" s="1"/>
    </row>
    <row r="90" spans="10:18" ht="15.75" customHeight="1" x14ac:dyDescent="0.2">
      <c r="Q90" s="1"/>
      <c r="R90" s="1"/>
    </row>
    <row r="91" spans="10:18" ht="15.75" customHeight="1" x14ac:dyDescent="0.2">
      <c r="Q91" s="1"/>
      <c r="R91" s="1"/>
    </row>
    <row r="92" spans="10:18" ht="15.75" customHeight="1" x14ac:dyDescent="0.2">
      <c r="Q92" s="1"/>
      <c r="R92" s="1"/>
    </row>
    <row r="93" spans="10:18" ht="15.75" customHeight="1" x14ac:dyDescent="0.2">
      <c r="Q93" s="1"/>
      <c r="R93" s="1"/>
    </row>
    <row r="94" spans="10:18" ht="15.75" customHeight="1" x14ac:dyDescent="0.2">
      <c r="Q94" s="1"/>
      <c r="R94" s="1"/>
    </row>
    <row r="95" spans="10:18" ht="15.75" customHeight="1" x14ac:dyDescent="0.2">
      <c r="Q95" s="1"/>
      <c r="R95" s="1"/>
    </row>
    <row r="96" spans="10:18" ht="15.75" customHeight="1" x14ac:dyDescent="0.2">
      <c r="Q96" s="1"/>
      <c r="R96" s="1"/>
    </row>
    <row r="97" spans="17:18" ht="15.75" customHeight="1" x14ac:dyDescent="0.2">
      <c r="Q97" s="1"/>
      <c r="R97" s="1"/>
    </row>
    <row r="98" spans="17:18" ht="15.75" customHeight="1" x14ac:dyDescent="0.2">
      <c r="Q98" s="1"/>
      <c r="R98" s="1"/>
    </row>
    <row r="99" spans="17:18" ht="15.75" customHeight="1" x14ac:dyDescent="0.2">
      <c r="Q99" s="1"/>
      <c r="R99" s="1"/>
    </row>
    <row r="100" spans="17:18" ht="15.75" customHeight="1" x14ac:dyDescent="0.2">
      <c r="Q100" s="1"/>
      <c r="R100" s="1"/>
    </row>
    <row r="101" spans="17:18" ht="15.75" customHeight="1" x14ac:dyDescent="0.2">
      <c r="Q101" s="1"/>
      <c r="R101" s="1"/>
    </row>
    <row r="102" spans="17:18" ht="15.75" customHeight="1" x14ac:dyDescent="0.2">
      <c r="Q102" s="1"/>
      <c r="R102" s="1"/>
    </row>
    <row r="103" spans="17:18" ht="15.75" customHeight="1" x14ac:dyDescent="0.2">
      <c r="Q103" s="1"/>
      <c r="R103" s="1"/>
    </row>
    <row r="104" spans="17:18" ht="15.75" customHeight="1" x14ac:dyDescent="0.2">
      <c r="Q104" s="1"/>
      <c r="R104" s="1"/>
    </row>
    <row r="105" spans="17:18" ht="15.75" customHeight="1" x14ac:dyDescent="0.2">
      <c r="Q105" s="1"/>
      <c r="R105" s="1"/>
    </row>
    <row r="106" spans="17:18" ht="15.75" customHeight="1" x14ac:dyDescent="0.2">
      <c r="Q106" s="1"/>
      <c r="R106" s="1"/>
    </row>
    <row r="107" spans="17:18" ht="15.75" customHeight="1" x14ac:dyDescent="0.2">
      <c r="Q107" s="1"/>
      <c r="R107" s="1"/>
    </row>
    <row r="108" spans="17:18" ht="15.75" customHeight="1" x14ac:dyDescent="0.2">
      <c r="Q108" s="1"/>
      <c r="R108" s="1"/>
    </row>
    <row r="109" spans="17:18" ht="15.75" customHeight="1" x14ac:dyDescent="0.2">
      <c r="Q109" s="1"/>
      <c r="R109" s="1"/>
    </row>
    <row r="110" spans="17:18" ht="15.75" customHeight="1" x14ac:dyDescent="0.2">
      <c r="Q110" s="1"/>
      <c r="R110" s="1"/>
    </row>
    <row r="111" spans="17:18" ht="15.75" customHeight="1" x14ac:dyDescent="0.2">
      <c r="Q111" s="1"/>
      <c r="R111" s="1"/>
    </row>
    <row r="112" spans="17:18" ht="15.75" customHeight="1" x14ac:dyDescent="0.2">
      <c r="Q112" s="1"/>
      <c r="R112" s="1"/>
    </row>
    <row r="113" spans="17:18" ht="15.75" customHeight="1" x14ac:dyDescent="0.2">
      <c r="Q113" s="1"/>
      <c r="R113" s="1"/>
    </row>
    <row r="114" spans="17:18" ht="15.75" customHeight="1" x14ac:dyDescent="0.2">
      <c r="Q114" s="1"/>
      <c r="R114" s="1"/>
    </row>
    <row r="115" spans="17:18" ht="15.75" customHeight="1" x14ac:dyDescent="0.2">
      <c r="Q115" s="1"/>
      <c r="R115" s="1"/>
    </row>
    <row r="116" spans="17:18" ht="15.75" customHeight="1" x14ac:dyDescent="0.2">
      <c r="Q116" s="1"/>
      <c r="R116" s="1"/>
    </row>
    <row r="117" spans="17:18" ht="15.75" customHeight="1" x14ac:dyDescent="0.2">
      <c r="Q117" s="1"/>
      <c r="R117" s="1"/>
    </row>
    <row r="118" spans="17:18" ht="15.75" customHeight="1" x14ac:dyDescent="0.2">
      <c r="Q118" s="1"/>
      <c r="R118" s="1"/>
    </row>
    <row r="119" spans="17:18" ht="15.75" customHeight="1" x14ac:dyDescent="0.2">
      <c r="Q119" s="1"/>
      <c r="R119" s="1"/>
    </row>
    <row r="120" spans="17:18" ht="15.75" customHeight="1" x14ac:dyDescent="0.2">
      <c r="Q120" s="1"/>
      <c r="R120" s="1"/>
    </row>
    <row r="121" spans="17:18" ht="15.75" customHeight="1" x14ac:dyDescent="0.2">
      <c r="Q121" s="1"/>
      <c r="R121" s="1"/>
    </row>
    <row r="122" spans="17:18" ht="15.75" customHeight="1" x14ac:dyDescent="0.2">
      <c r="Q122" s="1"/>
      <c r="R122" s="1"/>
    </row>
    <row r="123" spans="17:18" ht="15.75" customHeight="1" x14ac:dyDescent="0.2">
      <c r="Q123" s="1"/>
      <c r="R123" s="1"/>
    </row>
    <row r="124" spans="17:18" ht="15.75" customHeight="1" x14ac:dyDescent="0.2">
      <c r="Q124" s="1"/>
      <c r="R124" s="1"/>
    </row>
    <row r="125" spans="17:18" ht="15.75" customHeight="1" x14ac:dyDescent="0.2">
      <c r="Q125" s="1"/>
      <c r="R125" s="1"/>
    </row>
    <row r="126" spans="17:18" ht="15.75" customHeight="1" x14ac:dyDescent="0.2">
      <c r="Q126" s="1"/>
      <c r="R126" s="1"/>
    </row>
    <row r="127" spans="17:18" ht="15.75" customHeight="1" x14ac:dyDescent="0.2">
      <c r="Q127" s="1"/>
      <c r="R127" s="1"/>
    </row>
    <row r="128" spans="17:18" ht="15.75" customHeight="1" x14ac:dyDescent="0.2">
      <c r="Q128" s="1"/>
      <c r="R128" s="1"/>
    </row>
    <row r="129" spans="17:18" ht="15.75" customHeight="1" x14ac:dyDescent="0.2">
      <c r="Q129" s="1"/>
      <c r="R129" s="1"/>
    </row>
    <row r="130" spans="17:18" ht="15.75" customHeight="1" x14ac:dyDescent="0.2">
      <c r="Q130" s="1"/>
      <c r="R130" s="1"/>
    </row>
    <row r="131" spans="17:18" ht="15.75" customHeight="1" x14ac:dyDescent="0.2">
      <c r="Q131" s="1"/>
      <c r="R131" s="1"/>
    </row>
    <row r="132" spans="17:18" ht="15.75" customHeight="1" x14ac:dyDescent="0.2">
      <c r="Q132" s="1"/>
      <c r="R132" s="1"/>
    </row>
    <row r="133" spans="17:18" ht="15.75" customHeight="1" x14ac:dyDescent="0.2">
      <c r="Q133" s="1"/>
      <c r="R133" s="1"/>
    </row>
    <row r="134" spans="17:18" ht="15.75" customHeight="1" x14ac:dyDescent="0.2">
      <c r="Q134" s="1"/>
      <c r="R134" s="1"/>
    </row>
    <row r="135" spans="17:18" ht="15.75" customHeight="1" x14ac:dyDescent="0.2">
      <c r="Q135" s="1"/>
      <c r="R135" s="1"/>
    </row>
    <row r="136" spans="17:18" ht="15.75" customHeight="1" x14ac:dyDescent="0.2">
      <c r="Q136" s="1"/>
      <c r="R136" s="1"/>
    </row>
    <row r="137" spans="17:18" ht="15.75" customHeight="1" x14ac:dyDescent="0.2">
      <c r="Q137" s="1"/>
      <c r="R137" s="1"/>
    </row>
    <row r="138" spans="17:18" ht="15.75" customHeight="1" x14ac:dyDescent="0.2">
      <c r="Q138" s="1"/>
      <c r="R138" s="1"/>
    </row>
    <row r="139" spans="17:18" ht="15.75" customHeight="1" x14ac:dyDescent="0.2">
      <c r="Q139" s="1"/>
      <c r="R139" s="1"/>
    </row>
    <row r="140" spans="17:18" ht="15.75" customHeight="1" x14ac:dyDescent="0.2">
      <c r="Q140" s="1"/>
      <c r="R140" s="1"/>
    </row>
    <row r="141" spans="17:18" ht="15.75" customHeight="1" x14ac:dyDescent="0.2">
      <c r="Q141" s="1"/>
      <c r="R141" s="1"/>
    </row>
    <row r="142" spans="17:18" ht="15.75" customHeight="1" x14ac:dyDescent="0.2">
      <c r="Q142" s="1"/>
      <c r="R142" s="1"/>
    </row>
    <row r="143" spans="17:18" ht="15.75" customHeight="1" x14ac:dyDescent="0.2">
      <c r="Q143" s="1"/>
      <c r="R143" s="1"/>
    </row>
    <row r="144" spans="17:18" ht="15.75" customHeight="1" x14ac:dyDescent="0.2">
      <c r="Q144" s="1"/>
      <c r="R144" s="1"/>
    </row>
    <row r="145" spans="17:18" ht="15.75" customHeight="1" x14ac:dyDescent="0.2">
      <c r="Q145" s="1"/>
      <c r="R145" s="1"/>
    </row>
    <row r="146" spans="17:18" ht="15.75" customHeight="1" x14ac:dyDescent="0.2">
      <c r="Q146" s="1"/>
      <c r="R146" s="1"/>
    </row>
    <row r="147" spans="17:18" ht="15.75" customHeight="1" x14ac:dyDescent="0.2">
      <c r="Q147" s="1"/>
      <c r="R147" s="1"/>
    </row>
    <row r="148" spans="17:18" ht="15.75" customHeight="1" x14ac:dyDescent="0.2">
      <c r="Q148" s="1"/>
      <c r="R148" s="1"/>
    </row>
    <row r="149" spans="17:18" ht="15.75" customHeight="1" x14ac:dyDescent="0.2">
      <c r="Q149" s="1"/>
      <c r="R149" s="1"/>
    </row>
    <row r="150" spans="17:18" ht="15.75" customHeight="1" x14ac:dyDescent="0.2">
      <c r="Q150" s="1"/>
      <c r="R150" s="1"/>
    </row>
    <row r="151" spans="17:18" ht="15.75" customHeight="1" x14ac:dyDescent="0.2">
      <c r="Q151" s="1"/>
      <c r="R151" s="1"/>
    </row>
    <row r="152" spans="17:18" ht="15.75" customHeight="1" x14ac:dyDescent="0.2">
      <c r="Q152" s="1"/>
      <c r="R152" s="1"/>
    </row>
    <row r="153" spans="17:18" ht="15.75" customHeight="1" x14ac:dyDescent="0.2">
      <c r="Q153" s="1"/>
      <c r="R153" s="1"/>
    </row>
    <row r="154" spans="17:18" ht="15.75" customHeight="1" x14ac:dyDescent="0.2">
      <c r="Q154" s="1"/>
      <c r="R154" s="1"/>
    </row>
    <row r="155" spans="17:18" ht="15.75" customHeight="1" x14ac:dyDescent="0.2">
      <c r="Q155" s="1"/>
      <c r="R155" s="1"/>
    </row>
    <row r="156" spans="17:18" ht="15.75" customHeight="1" x14ac:dyDescent="0.2">
      <c r="Q156" s="1"/>
      <c r="R156" s="1"/>
    </row>
    <row r="157" spans="17:18" ht="15.75" customHeight="1" x14ac:dyDescent="0.2">
      <c r="Q157" s="1"/>
      <c r="R157" s="1"/>
    </row>
    <row r="158" spans="17:18" ht="15.75" customHeight="1" x14ac:dyDescent="0.2">
      <c r="Q158" s="1"/>
      <c r="R158" s="1"/>
    </row>
    <row r="159" spans="17:18" ht="15.75" customHeight="1" x14ac:dyDescent="0.2">
      <c r="Q159" s="1"/>
      <c r="R159" s="1"/>
    </row>
    <row r="160" spans="17:18" ht="15.75" customHeight="1" x14ac:dyDescent="0.2">
      <c r="Q160" s="1"/>
      <c r="R160" s="1"/>
    </row>
    <row r="161" spans="17:18" ht="15.75" customHeight="1" x14ac:dyDescent="0.2">
      <c r="Q161" s="1"/>
      <c r="R161" s="1"/>
    </row>
    <row r="162" spans="17:18" ht="15.75" customHeight="1" x14ac:dyDescent="0.2">
      <c r="Q162" s="1"/>
      <c r="R162" s="1"/>
    </row>
    <row r="163" spans="17:18" ht="15.75" customHeight="1" x14ac:dyDescent="0.2">
      <c r="Q163" s="1"/>
      <c r="R163" s="1"/>
    </row>
    <row r="164" spans="17:18" ht="15.75" customHeight="1" x14ac:dyDescent="0.2">
      <c r="Q164" s="1"/>
      <c r="R164" s="1"/>
    </row>
    <row r="165" spans="17:18" ht="15.75" customHeight="1" x14ac:dyDescent="0.2">
      <c r="Q165" s="1"/>
      <c r="R165" s="1"/>
    </row>
    <row r="166" spans="17:18" ht="15.75" customHeight="1" x14ac:dyDescent="0.2">
      <c r="Q166" s="1"/>
      <c r="R166" s="1"/>
    </row>
    <row r="167" spans="17:18" ht="15.75" customHeight="1" x14ac:dyDescent="0.2">
      <c r="Q167" s="1"/>
      <c r="R167" s="1"/>
    </row>
    <row r="168" spans="17:18" ht="15.75" customHeight="1" x14ac:dyDescent="0.2">
      <c r="Q168" s="1"/>
      <c r="R168" s="1"/>
    </row>
    <row r="169" spans="17:18" ht="15.75" customHeight="1" x14ac:dyDescent="0.2">
      <c r="Q169" s="1"/>
      <c r="R169" s="1"/>
    </row>
    <row r="170" spans="17:18" ht="15.75" customHeight="1" x14ac:dyDescent="0.2">
      <c r="Q170" s="1"/>
      <c r="R170" s="1"/>
    </row>
    <row r="171" spans="17:18" ht="15.75" customHeight="1" x14ac:dyDescent="0.2">
      <c r="Q171" s="1"/>
      <c r="R171" s="1"/>
    </row>
    <row r="172" spans="17:18" ht="15.75" customHeight="1" x14ac:dyDescent="0.2">
      <c r="Q172" s="1"/>
      <c r="R172" s="1"/>
    </row>
    <row r="173" spans="17:18" ht="15.75" customHeight="1" x14ac:dyDescent="0.2">
      <c r="Q173" s="1"/>
      <c r="R173" s="1"/>
    </row>
    <row r="174" spans="17:18" ht="15.75" customHeight="1" x14ac:dyDescent="0.2">
      <c r="Q174" s="1"/>
      <c r="R174" s="1"/>
    </row>
    <row r="175" spans="17:18" ht="15.75" customHeight="1" x14ac:dyDescent="0.2">
      <c r="Q175" s="1"/>
      <c r="R175" s="1"/>
    </row>
    <row r="176" spans="17:18" ht="15.75" customHeight="1" x14ac:dyDescent="0.2">
      <c r="Q176" s="1"/>
      <c r="R176" s="1"/>
    </row>
    <row r="177" spans="17:18" ht="15.75" customHeight="1" x14ac:dyDescent="0.2">
      <c r="Q177" s="1"/>
      <c r="R177" s="1"/>
    </row>
    <row r="178" spans="17:18" ht="15.75" customHeight="1" x14ac:dyDescent="0.2">
      <c r="Q178" s="1"/>
      <c r="R178" s="1"/>
    </row>
    <row r="179" spans="17:18" ht="15.75" customHeight="1" x14ac:dyDescent="0.2">
      <c r="Q179" s="1"/>
      <c r="R179" s="1"/>
    </row>
    <row r="180" spans="17:18" ht="15.75" customHeight="1" x14ac:dyDescent="0.2">
      <c r="Q180" s="1"/>
      <c r="R180" s="1"/>
    </row>
    <row r="181" spans="17:18" ht="15.75" customHeight="1" x14ac:dyDescent="0.2">
      <c r="Q181" s="1"/>
      <c r="R181" s="1"/>
    </row>
    <row r="182" spans="17:18" ht="15.75" customHeight="1" x14ac:dyDescent="0.2">
      <c r="Q182" s="1"/>
      <c r="R182" s="1"/>
    </row>
    <row r="183" spans="17:18" ht="15.75" customHeight="1" x14ac:dyDescent="0.2">
      <c r="Q183" s="1"/>
      <c r="R183" s="1"/>
    </row>
    <row r="184" spans="17:18" ht="15.75" customHeight="1" x14ac:dyDescent="0.2">
      <c r="Q184" s="1"/>
      <c r="R184" s="1"/>
    </row>
    <row r="185" spans="17:18" ht="15.75" customHeight="1" x14ac:dyDescent="0.2">
      <c r="Q185" s="1"/>
      <c r="R185" s="1"/>
    </row>
    <row r="186" spans="17:18" ht="15.75" customHeight="1" x14ac:dyDescent="0.2">
      <c r="Q186" s="1"/>
      <c r="R186" s="1"/>
    </row>
    <row r="187" spans="17:18" ht="15.75" customHeight="1" x14ac:dyDescent="0.2">
      <c r="Q187" s="1"/>
      <c r="R187" s="1"/>
    </row>
    <row r="188" spans="17:18" ht="15.75" customHeight="1" x14ac:dyDescent="0.2">
      <c r="Q188" s="1"/>
      <c r="R188" s="1"/>
    </row>
    <row r="189" spans="17:18" ht="15.75" customHeight="1" x14ac:dyDescent="0.2">
      <c r="Q189" s="1"/>
      <c r="R189" s="1"/>
    </row>
    <row r="190" spans="17:18" ht="15.75" customHeight="1" x14ac:dyDescent="0.2">
      <c r="Q190" s="1"/>
      <c r="R190" s="1"/>
    </row>
    <row r="191" spans="17:18" ht="15.75" customHeight="1" x14ac:dyDescent="0.2">
      <c r="Q191" s="1"/>
      <c r="R191" s="1"/>
    </row>
    <row r="192" spans="17:18" ht="15.75" customHeight="1" x14ac:dyDescent="0.2">
      <c r="Q192" s="1"/>
      <c r="R192" s="1"/>
    </row>
    <row r="193" spans="17:18" ht="15.75" customHeight="1" x14ac:dyDescent="0.2">
      <c r="Q193" s="1"/>
      <c r="R193" s="1"/>
    </row>
    <row r="194" spans="17:18" ht="15.75" customHeight="1" x14ac:dyDescent="0.2">
      <c r="Q194" s="1"/>
      <c r="R194" s="1"/>
    </row>
    <row r="195" spans="17:18" ht="15.75" customHeight="1" x14ac:dyDescent="0.2">
      <c r="Q195" s="1"/>
      <c r="R195" s="1"/>
    </row>
    <row r="196" spans="17:18" ht="15.75" customHeight="1" x14ac:dyDescent="0.2">
      <c r="Q196" s="1"/>
      <c r="R196" s="1"/>
    </row>
    <row r="197" spans="17:18" ht="15.75" customHeight="1" x14ac:dyDescent="0.2">
      <c r="Q197" s="1"/>
      <c r="R197" s="1"/>
    </row>
    <row r="198" spans="17:18" ht="15.75" customHeight="1" x14ac:dyDescent="0.2">
      <c r="Q198" s="1"/>
      <c r="R198" s="1"/>
    </row>
    <row r="199" spans="17:18" ht="15.75" customHeight="1" x14ac:dyDescent="0.2">
      <c r="Q199" s="1"/>
      <c r="R199" s="1"/>
    </row>
    <row r="200" spans="17:18" ht="15.75" customHeight="1" x14ac:dyDescent="0.2">
      <c r="Q200" s="1"/>
      <c r="R200" s="1"/>
    </row>
    <row r="201" spans="17:18" ht="15.75" customHeight="1" x14ac:dyDescent="0.2">
      <c r="Q201" s="1"/>
      <c r="R201" s="1"/>
    </row>
    <row r="202" spans="17:18" ht="15.75" customHeight="1" x14ac:dyDescent="0.2">
      <c r="Q202" s="1"/>
      <c r="R202" s="1"/>
    </row>
    <row r="203" spans="17:18" ht="15.75" customHeight="1" x14ac:dyDescent="0.2">
      <c r="Q203" s="1"/>
      <c r="R203" s="1"/>
    </row>
    <row r="204" spans="17:18" ht="15.75" customHeight="1" x14ac:dyDescent="0.2">
      <c r="Q204" s="1"/>
      <c r="R204" s="1"/>
    </row>
    <row r="205" spans="17:18" ht="15.75" customHeight="1" x14ac:dyDescent="0.2">
      <c r="Q205" s="1"/>
      <c r="R205" s="1"/>
    </row>
    <row r="206" spans="17:18" ht="15.75" customHeight="1" x14ac:dyDescent="0.2">
      <c r="Q206" s="1"/>
      <c r="R206" s="1"/>
    </row>
    <row r="207" spans="17:18" ht="15.75" customHeight="1" x14ac:dyDescent="0.2">
      <c r="Q207" s="1"/>
      <c r="R207" s="1"/>
    </row>
    <row r="208" spans="17:18" ht="15.75" customHeight="1" x14ac:dyDescent="0.2">
      <c r="Q208" s="1"/>
      <c r="R208" s="1"/>
    </row>
    <row r="209" spans="17:18" ht="15.75" customHeight="1" x14ac:dyDescent="0.2">
      <c r="Q209" s="1"/>
      <c r="R209" s="1"/>
    </row>
    <row r="210" spans="17:18" ht="15.75" customHeight="1" x14ac:dyDescent="0.2">
      <c r="Q210" s="1"/>
      <c r="R210" s="1"/>
    </row>
    <row r="211" spans="17:18" ht="15.75" customHeight="1" x14ac:dyDescent="0.2">
      <c r="Q211" s="1"/>
      <c r="R211" s="1"/>
    </row>
    <row r="212" spans="17:18" ht="15.75" customHeight="1" x14ac:dyDescent="0.2">
      <c r="Q212" s="1"/>
      <c r="R212" s="1"/>
    </row>
    <row r="213" spans="17:18" ht="15.75" customHeight="1" x14ac:dyDescent="0.2">
      <c r="Q213" s="1"/>
      <c r="R213" s="1"/>
    </row>
    <row r="214" spans="17:18" ht="15.75" customHeight="1" x14ac:dyDescent="0.2">
      <c r="Q214" s="1"/>
      <c r="R214" s="1"/>
    </row>
    <row r="215" spans="17:18" ht="15.75" customHeight="1" x14ac:dyDescent="0.2">
      <c r="Q215" s="1"/>
      <c r="R215" s="1"/>
    </row>
    <row r="216" spans="17:18" ht="15.75" customHeight="1" x14ac:dyDescent="0.2">
      <c r="Q216" s="1"/>
      <c r="R216" s="1"/>
    </row>
    <row r="217" spans="17:18" ht="15.75" customHeight="1" x14ac:dyDescent="0.2">
      <c r="Q217" s="1"/>
      <c r="R217" s="1"/>
    </row>
    <row r="218" spans="17:18" ht="15.75" customHeight="1" x14ac:dyDescent="0.2">
      <c r="Q218" s="1"/>
      <c r="R218" s="1"/>
    </row>
    <row r="219" spans="17:18" ht="15.75" customHeight="1" x14ac:dyDescent="0.2">
      <c r="Q219" s="1"/>
      <c r="R219" s="1"/>
    </row>
    <row r="220" spans="17:18" ht="15.75" customHeight="1" x14ac:dyDescent="0.2">
      <c r="Q220" s="1"/>
      <c r="R220" s="1"/>
    </row>
    <row r="221" spans="17:18" ht="15.75" customHeight="1" x14ac:dyDescent="0.2">
      <c r="Q221" s="1"/>
      <c r="R221" s="1"/>
    </row>
    <row r="222" spans="17:18" ht="15.75" customHeight="1" x14ac:dyDescent="0.2">
      <c r="Q222" s="1"/>
      <c r="R222" s="1"/>
    </row>
    <row r="223" spans="17:18" ht="15.75" customHeight="1" x14ac:dyDescent="0.2">
      <c r="Q223" s="1"/>
      <c r="R223" s="1"/>
    </row>
    <row r="224" spans="17:18" ht="15.75" customHeight="1" x14ac:dyDescent="0.2">
      <c r="Q224" s="1"/>
      <c r="R224" s="1"/>
    </row>
    <row r="225" spans="17:18" ht="15.75" customHeight="1" x14ac:dyDescent="0.2">
      <c r="Q225" s="1"/>
      <c r="R225" s="1"/>
    </row>
    <row r="226" spans="17:18" ht="15.75" customHeight="1" x14ac:dyDescent="0.2">
      <c r="Q226" s="1"/>
      <c r="R226" s="1"/>
    </row>
    <row r="227" spans="17:18" ht="15.75" customHeight="1" x14ac:dyDescent="0.2">
      <c r="Q227" s="1"/>
      <c r="R227" s="1"/>
    </row>
    <row r="228" spans="17:18" ht="15.75" customHeight="1" x14ac:dyDescent="0.2">
      <c r="Q228" s="1"/>
      <c r="R228" s="1"/>
    </row>
    <row r="229" spans="17:18" ht="15.75" customHeight="1" x14ac:dyDescent="0.2">
      <c r="Q229" s="1"/>
      <c r="R229" s="1"/>
    </row>
    <row r="230" spans="17:18" ht="15.75" customHeight="1" x14ac:dyDescent="0.2">
      <c r="Q230" s="1"/>
      <c r="R230" s="1"/>
    </row>
    <row r="231" spans="17:18" ht="15.75" customHeight="1" x14ac:dyDescent="0.2">
      <c r="Q231" s="1"/>
      <c r="R231" s="1"/>
    </row>
    <row r="232" spans="17:18" ht="15.75" customHeight="1" x14ac:dyDescent="0.2">
      <c r="Q232" s="1"/>
      <c r="R232" s="1"/>
    </row>
    <row r="233" spans="17:18" ht="15.75" customHeight="1" x14ac:dyDescent="0.2">
      <c r="Q233" s="1"/>
      <c r="R233" s="1"/>
    </row>
    <row r="234" spans="17:18" ht="15.75" customHeight="1" x14ac:dyDescent="0.2">
      <c r="Q234" s="1"/>
      <c r="R234" s="1"/>
    </row>
    <row r="235" spans="17:18" ht="15.75" customHeight="1" x14ac:dyDescent="0.2">
      <c r="Q235" s="1"/>
      <c r="R235" s="1"/>
    </row>
    <row r="236" spans="17:18" ht="15.75" customHeight="1" x14ac:dyDescent="0.2">
      <c r="Q236" s="1"/>
      <c r="R236" s="1"/>
    </row>
    <row r="237" spans="17:18" ht="15.75" customHeight="1" x14ac:dyDescent="0.2">
      <c r="Q237" s="1"/>
      <c r="R237" s="1"/>
    </row>
    <row r="238" spans="17:18" ht="15.75" customHeight="1" x14ac:dyDescent="0.2">
      <c r="Q238" s="1"/>
      <c r="R238" s="1"/>
    </row>
    <row r="239" spans="17:18" ht="15.75" customHeight="1" x14ac:dyDescent="0.2">
      <c r="Q239" s="1"/>
      <c r="R239" s="1"/>
    </row>
    <row r="240" spans="17:18" ht="15.75" customHeight="1" x14ac:dyDescent="0.2">
      <c r="Q240" s="1"/>
      <c r="R240" s="1"/>
    </row>
    <row r="241" spans="17:18" ht="15.75" customHeight="1" x14ac:dyDescent="0.2">
      <c r="Q241" s="1"/>
      <c r="R241" s="1"/>
    </row>
    <row r="242" spans="17:18" ht="15.75" customHeight="1" x14ac:dyDescent="0.2">
      <c r="Q242" s="1"/>
      <c r="R242" s="1"/>
    </row>
    <row r="243" spans="17:18" ht="15.75" customHeight="1" x14ac:dyDescent="0.2">
      <c r="Q243" s="1"/>
      <c r="R243" s="1"/>
    </row>
    <row r="244" spans="17:18" ht="15.75" customHeight="1" x14ac:dyDescent="0.2">
      <c r="Q244" s="1"/>
      <c r="R244" s="1"/>
    </row>
    <row r="245" spans="17:18" ht="15.75" customHeight="1" x14ac:dyDescent="0.2">
      <c r="Q245" s="1"/>
      <c r="R245" s="1"/>
    </row>
    <row r="246" spans="17:18" ht="15.75" customHeight="1" x14ac:dyDescent="0.2">
      <c r="Q246" s="1"/>
      <c r="R246" s="1"/>
    </row>
    <row r="247" spans="17:18" ht="15.75" customHeight="1" x14ac:dyDescent="0.2">
      <c r="Q247" s="1"/>
      <c r="R247" s="1"/>
    </row>
    <row r="248" spans="17:18" ht="15.75" customHeight="1" x14ac:dyDescent="0.2">
      <c r="Q248" s="1"/>
      <c r="R248" s="1"/>
    </row>
    <row r="249" spans="17:18" ht="15.75" customHeight="1" x14ac:dyDescent="0.2">
      <c r="Q249" s="1"/>
      <c r="R249" s="1"/>
    </row>
    <row r="250" spans="17:18" ht="15.75" customHeight="1" x14ac:dyDescent="0.2">
      <c r="Q250" s="1"/>
      <c r="R250" s="1"/>
    </row>
    <row r="251" spans="17:18" ht="15.75" customHeight="1" x14ac:dyDescent="0.2">
      <c r="Q251" s="1"/>
      <c r="R251" s="1"/>
    </row>
    <row r="252" spans="17:18" ht="15.75" customHeight="1" x14ac:dyDescent="0.2">
      <c r="Q252" s="1"/>
      <c r="R252" s="1"/>
    </row>
    <row r="253" spans="17:18" ht="15.75" customHeight="1" x14ac:dyDescent="0.2">
      <c r="Q253" s="1"/>
      <c r="R253" s="1"/>
    </row>
    <row r="254" spans="17:18" ht="15.75" customHeight="1" x14ac:dyDescent="0.2">
      <c r="Q254" s="1"/>
      <c r="R254" s="1"/>
    </row>
    <row r="255" spans="17:18" ht="15.75" customHeight="1" x14ac:dyDescent="0.2">
      <c r="Q255" s="1"/>
      <c r="R255" s="1"/>
    </row>
    <row r="256" spans="17:18" ht="15.75" customHeight="1" x14ac:dyDescent="0.2">
      <c r="Q256" s="1"/>
      <c r="R256" s="1"/>
    </row>
    <row r="257" spans="17:18" ht="15.75" customHeight="1" x14ac:dyDescent="0.2">
      <c r="Q257" s="1"/>
      <c r="R257" s="1"/>
    </row>
    <row r="258" spans="17:18" ht="15.75" customHeight="1" x14ac:dyDescent="0.2">
      <c r="Q258" s="1"/>
      <c r="R258" s="1"/>
    </row>
    <row r="259" spans="17:18" ht="15.75" customHeight="1" x14ac:dyDescent="0.2">
      <c r="Q259" s="1"/>
      <c r="R259" s="1"/>
    </row>
    <row r="260" spans="17:18" ht="15.75" customHeight="1" x14ac:dyDescent="0.2">
      <c r="Q260" s="1"/>
      <c r="R260" s="1"/>
    </row>
    <row r="261" spans="17:18" ht="15.75" customHeight="1" x14ac:dyDescent="0.2">
      <c r="Q261" s="1"/>
      <c r="R261" s="1"/>
    </row>
    <row r="262" spans="17:18" ht="15.75" customHeight="1" x14ac:dyDescent="0.2">
      <c r="Q262" s="1"/>
      <c r="R262" s="1"/>
    </row>
    <row r="263" spans="17:18" ht="15.75" customHeight="1" x14ac:dyDescent="0.2">
      <c r="Q263" s="1"/>
      <c r="R263" s="1"/>
    </row>
    <row r="264" spans="17:18" ht="15.75" customHeight="1" x14ac:dyDescent="0.2">
      <c r="Q264" s="1"/>
      <c r="R264" s="1"/>
    </row>
    <row r="265" spans="17:18" ht="15.75" customHeight="1" x14ac:dyDescent="0.2">
      <c r="Q265" s="1"/>
      <c r="R265" s="1"/>
    </row>
    <row r="266" spans="17:18" ht="15.75" customHeight="1" x14ac:dyDescent="0.2">
      <c r="Q266" s="1"/>
      <c r="R266" s="1"/>
    </row>
    <row r="267" spans="17:18" ht="15.75" customHeight="1" x14ac:dyDescent="0.2">
      <c r="Q267" s="1"/>
      <c r="R267" s="1"/>
    </row>
    <row r="268" spans="17:18" ht="15.75" customHeight="1" x14ac:dyDescent="0.2">
      <c r="Q268" s="1"/>
      <c r="R268" s="1"/>
    </row>
    <row r="269" spans="17:18" ht="15.75" customHeight="1" x14ac:dyDescent="0.2">
      <c r="Q269" s="1"/>
      <c r="R269" s="1"/>
    </row>
    <row r="270" spans="17:18" ht="15.75" customHeight="1" x14ac:dyDescent="0.2">
      <c r="Q270" s="1"/>
      <c r="R270" s="1"/>
    </row>
    <row r="271" spans="17:18" ht="15.75" customHeight="1" x14ac:dyDescent="0.2">
      <c r="Q271" s="1"/>
      <c r="R271" s="1"/>
    </row>
    <row r="272" spans="17:18" ht="15.75" customHeight="1" x14ac:dyDescent="0.2">
      <c r="Q272" s="1"/>
      <c r="R272" s="1"/>
    </row>
    <row r="273" spans="17:18" ht="15.75" customHeight="1" x14ac:dyDescent="0.2">
      <c r="Q273" s="1"/>
      <c r="R273" s="1"/>
    </row>
    <row r="274" spans="17:18" ht="15.75" customHeight="1" x14ac:dyDescent="0.2">
      <c r="Q274" s="1"/>
      <c r="R274" s="1"/>
    </row>
    <row r="275" spans="17:18" ht="15.75" customHeight="1" x14ac:dyDescent="0.2">
      <c r="Q275" s="1"/>
      <c r="R275" s="1"/>
    </row>
    <row r="276" spans="17:18" ht="15.75" customHeight="1" x14ac:dyDescent="0.2">
      <c r="Q276" s="1"/>
      <c r="R276" s="1"/>
    </row>
    <row r="277" spans="17:18" ht="15.75" customHeight="1" x14ac:dyDescent="0.2">
      <c r="Q277" s="1"/>
      <c r="R277" s="1"/>
    </row>
    <row r="278" spans="17:18" ht="15.75" customHeight="1" x14ac:dyDescent="0.2">
      <c r="Q278" s="1"/>
      <c r="R278" s="1"/>
    </row>
    <row r="279" spans="17:18" ht="15.75" customHeight="1" x14ac:dyDescent="0.2">
      <c r="Q279" s="1"/>
      <c r="R279" s="1"/>
    </row>
    <row r="280" spans="17:18" ht="15.75" customHeight="1" x14ac:dyDescent="0.2">
      <c r="Q280" s="1"/>
      <c r="R280" s="1"/>
    </row>
    <row r="281" spans="17:18" ht="15.75" customHeight="1" x14ac:dyDescent="0.2">
      <c r="Q281" s="1"/>
      <c r="R281" s="1"/>
    </row>
    <row r="282" spans="17:18" ht="15.75" customHeight="1" x14ac:dyDescent="0.2">
      <c r="Q282" s="1"/>
      <c r="R282" s="1"/>
    </row>
    <row r="283" spans="17:18" ht="15.75" customHeight="1" x14ac:dyDescent="0.2">
      <c r="Q283" s="1"/>
      <c r="R283" s="1"/>
    </row>
    <row r="284" spans="17:18" ht="15.75" customHeight="1" x14ac:dyDescent="0.2">
      <c r="Q284" s="1"/>
      <c r="R284" s="1"/>
    </row>
    <row r="285" spans="17:18" ht="15.75" customHeight="1" x14ac:dyDescent="0.2">
      <c r="Q285" s="1"/>
      <c r="R285" s="1"/>
    </row>
    <row r="286" spans="17:18" ht="15.75" customHeight="1" x14ac:dyDescent="0.2">
      <c r="Q286" s="1"/>
      <c r="R286" s="1"/>
    </row>
    <row r="287" spans="17:18" ht="15.75" customHeight="1" x14ac:dyDescent="0.2">
      <c r="Q287" s="1"/>
      <c r="R287" s="1"/>
    </row>
    <row r="288" spans="17:18" ht="15.75" customHeight="1" x14ac:dyDescent="0.2">
      <c r="Q288" s="1"/>
      <c r="R288" s="1"/>
    </row>
    <row r="289" spans="17:18" ht="15.75" customHeight="1" x14ac:dyDescent="0.2">
      <c r="Q289" s="1"/>
      <c r="R289" s="1"/>
    </row>
    <row r="290" spans="17:18" ht="15.75" customHeight="1" x14ac:dyDescent="0.2">
      <c r="Q290" s="1"/>
      <c r="R290" s="1"/>
    </row>
    <row r="291" spans="17:18" ht="15.75" customHeight="1" x14ac:dyDescent="0.2">
      <c r="Q291" s="1"/>
      <c r="R291" s="1"/>
    </row>
    <row r="292" spans="17:18" ht="15.75" customHeight="1" x14ac:dyDescent="0.2">
      <c r="Q292" s="1"/>
      <c r="R292" s="1"/>
    </row>
    <row r="293" spans="17:18" ht="15.75" customHeight="1" x14ac:dyDescent="0.2">
      <c r="Q293" s="1"/>
      <c r="R293" s="1"/>
    </row>
    <row r="294" spans="17:18" ht="15.75" customHeight="1" x14ac:dyDescent="0.2">
      <c r="Q294" s="1"/>
      <c r="R294" s="1"/>
    </row>
    <row r="295" spans="17:18" ht="15.75" customHeight="1" x14ac:dyDescent="0.2">
      <c r="Q295" s="1"/>
      <c r="R295" s="1"/>
    </row>
    <row r="296" spans="17:18" ht="15.75" customHeight="1" x14ac:dyDescent="0.2">
      <c r="Q296" s="1"/>
      <c r="R296" s="1"/>
    </row>
    <row r="297" spans="17:18" ht="15.75" customHeight="1" x14ac:dyDescent="0.2">
      <c r="Q297" s="1"/>
      <c r="R297" s="1"/>
    </row>
    <row r="298" spans="17:18" ht="15.75" customHeight="1" x14ac:dyDescent="0.2">
      <c r="Q298" s="1"/>
      <c r="R298" s="1"/>
    </row>
    <row r="299" spans="17:18" ht="15.75" customHeight="1" x14ac:dyDescent="0.2">
      <c r="Q299" s="1"/>
      <c r="R299" s="1"/>
    </row>
    <row r="300" spans="17:18" ht="15.75" customHeight="1" x14ac:dyDescent="0.2">
      <c r="Q300" s="1"/>
      <c r="R300" s="1"/>
    </row>
    <row r="301" spans="17:18" ht="15.75" customHeight="1" x14ac:dyDescent="0.2">
      <c r="Q301" s="1"/>
      <c r="R301" s="1"/>
    </row>
    <row r="302" spans="17:18" ht="15.75" customHeight="1" x14ac:dyDescent="0.2">
      <c r="Q302" s="1"/>
      <c r="R302" s="1"/>
    </row>
    <row r="303" spans="17:18" ht="15.75" customHeight="1" x14ac:dyDescent="0.2">
      <c r="Q303" s="1"/>
      <c r="R303" s="1"/>
    </row>
    <row r="304" spans="17:18" ht="15.75" customHeight="1" x14ac:dyDescent="0.2">
      <c r="Q304" s="1"/>
      <c r="R304" s="1"/>
    </row>
    <row r="305" spans="17:18" ht="15.75" customHeight="1" x14ac:dyDescent="0.2">
      <c r="Q305" s="1"/>
      <c r="R305" s="1"/>
    </row>
    <row r="306" spans="17:18" ht="15.75" customHeight="1" x14ac:dyDescent="0.2">
      <c r="Q306" s="1"/>
      <c r="R306" s="1"/>
    </row>
    <row r="307" spans="17:18" ht="15.75" customHeight="1" x14ac:dyDescent="0.2">
      <c r="Q307" s="1"/>
      <c r="R307" s="1"/>
    </row>
    <row r="308" spans="17:18" ht="15.75" customHeight="1" x14ac:dyDescent="0.2">
      <c r="Q308" s="1"/>
      <c r="R308" s="1"/>
    </row>
    <row r="309" spans="17:18" ht="15.75" customHeight="1" x14ac:dyDescent="0.2">
      <c r="Q309" s="1"/>
      <c r="R309" s="1"/>
    </row>
    <row r="310" spans="17:18" ht="15.75" customHeight="1" x14ac:dyDescent="0.2">
      <c r="Q310" s="1"/>
      <c r="R310" s="1"/>
    </row>
    <row r="311" spans="17:18" ht="15.75" customHeight="1" x14ac:dyDescent="0.2">
      <c r="Q311" s="1"/>
      <c r="R311" s="1"/>
    </row>
    <row r="312" spans="17:18" ht="15.75" customHeight="1" x14ac:dyDescent="0.2">
      <c r="Q312" s="1"/>
      <c r="R312" s="1"/>
    </row>
    <row r="313" spans="17:18" ht="15.75" customHeight="1" x14ac:dyDescent="0.2">
      <c r="Q313" s="1"/>
      <c r="R313" s="1"/>
    </row>
    <row r="314" spans="17:18" ht="15.75" customHeight="1" x14ac:dyDescent="0.2">
      <c r="Q314" s="1"/>
      <c r="R314" s="1"/>
    </row>
    <row r="315" spans="17:18" ht="15.75" customHeight="1" x14ac:dyDescent="0.2">
      <c r="Q315" s="1"/>
      <c r="R315" s="1"/>
    </row>
    <row r="316" spans="17:18" ht="15.75" customHeight="1" x14ac:dyDescent="0.2">
      <c r="Q316" s="1"/>
      <c r="R316" s="1"/>
    </row>
    <row r="317" spans="17:18" ht="15.75" customHeight="1" x14ac:dyDescent="0.2">
      <c r="Q317" s="1"/>
      <c r="R317" s="1"/>
    </row>
    <row r="318" spans="17:18" ht="15.75" customHeight="1" x14ac:dyDescent="0.2">
      <c r="Q318" s="1"/>
      <c r="R318" s="1"/>
    </row>
    <row r="319" spans="17:18" ht="15.75" customHeight="1" x14ac:dyDescent="0.2">
      <c r="Q319" s="1"/>
      <c r="R319" s="1"/>
    </row>
    <row r="320" spans="17:18" ht="15.75" customHeight="1" x14ac:dyDescent="0.2">
      <c r="Q320" s="1"/>
      <c r="R320" s="1"/>
    </row>
    <row r="321" spans="17:18" ht="15.75" customHeight="1" x14ac:dyDescent="0.2">
      <c r="Q321" s="1"/>
      <c r="R321" s="1"/>
    </row>
    <row r="322" spans="17:18" ht="15.75" customHeight="1" x14ac:dyDescent="0.2">
      <c r="Q322" s="1"/>
      <c r="R322" s="1"/>
    </row>
    <row r="323" spans="17:18" ht="15.75" customHeight="1" x14ac:dyDescent="0.2">
      <c r="Q323" s="1"/>
      <c r="R323" s="1"/>
    </row>
    <row r="324" spans="17:18" ht="15.75" customHeight="1" x14ac:dyDescent="0.2">
      <c r="Q324" s="1"/>
      <c r="R324" s="1"/>
    </row>
    <row r="325" spans="17:18" ht="15.75" customHeight="1" x14ac:dyDescent="0.2">
      <c r="Q325" s="1"/>
      <c r="R325" s="1"/>
    </row>
    <row r="326" spans="17:18" ht="15.75" customHeight="1" x14ac:dyDescent="0.2">
      <c r="Q326" s="1"/>
      <c r="R326" s="1"/>
    </row>
    <row r="327" spans="17:18" ht="15.75" customHeight="1" x14ac:dyDescent="0.2">
      <c r="Q327" s="1"/>
      <c r="R327" s="1"/>
    </row>
    <row r="328" spans="17:18" ht="15.75" customHeight="1" x14ac:dyDescent="0.2">
      <c r="Q328" s="1"/>
      <c r="R328" s="1"/>
    </row>
    <row r="329" spans="17:18" ht="15.75" customHeight="1" x14ac:dyDescent="0.2">
      <c r="Q329" s="1"/>
      <c r="R329" s="1"/>
    </row>
    <row r="330" spans="17:18" ht="15.75" customHeight="1" x14ac:dyDescent="0.2">
      <c r="Q330" s="1"/>
      <c r="R330" s="1"/>
    </row>
    <row r="331" spans="17:18" ht="15.75" customHeight="1" x14ac:dyDescent="0.2">
      <c r="Q331" s="1"/>
      <c r="R331" s="1"/>
    </row>
    <row r="332" spans="17:18" ht="15.75" customHeight="1" x14ac:dyDescent="0.2">
      <c r="Q332" s="1"/>
      <c r="R332" s="1"/>
    </row>
    <row r="333" spans="17:18" ht="15.75" customHeight="1" x14ac:dyDescent="0.2">
      <c r="Q333" s="1"/>
      <c r="R333" s="1"/>
    </row>
    <row r="334" spans="17:18" ht="15.75" customHeight="1" x14ac:dyDescent="0.2">
      <c r="Q334" s="1"/>
      <c r="R334" s="1"/>
    </row>
    <row r="335" spans="17:18" ht="15.75" customHeight="1" x14ac:dyDescent="0.2">
      <c r="Q335" s="1"/>
      <c r="R335" s="1"/>
    </row>
    <row r="336" spans="17:18" ht="15.75" customHeight="1" x14ac:dyDescent="0.2">
      <c r="Q336" s="1"/>
      <c r="R336" s="1"/>
    </row>
    <row r="337" spans="17:18" ht="15.75" customHeight="1" x14ac:dyDescent="0.2">
      <c r="Q337" s="1"/>
      <c r="R337" s="1"/>
    </row>
    <row r="338" spans="17:18" ht="15.75" customHeight="1" x14ac:dyDescent="0.2">
      <c r="Q338" s="1"/>
      <c r="R338" s="1"/>
    </row>
    <row r="339" spans="17:18" ht="15.75" customHeight="1" x14ac:dyDescent="0.2">
      <c r="Q339" s="1"/>
      <c r="R339" s="1"/>
    </row>
    <row r="340" spans="17:18" ht="15.75" customHeight="1" x14ac:dyDescent="0.2">
      <c r="Q340" s="1"/>
      <c r="R340" s="1"/>
    </row>
    <row r="341" spans="17:18" ht="15.75" customHeight="1" x14ac:dyDescent="0.2">
      <c r="Q341" s="1"/>
      <c r="R341" s="1"/>
    </row>
    <row r="342" spans="17:18" ht="15.75" customHeight="1" x14ac:dyDescent="0.2">
      <c r="Q342" s="1"/>
      <c r="R342" s="1"/>
    </row>
    <row r="343" spans="17:18" ht="15.75" customHeight="1" x14ac:dyDescent="0.2">
      <c r="Q343" s="1"/>
      <c r="R343" s="1"/>
    </row>
    <row r="344" spans="17:18" ht="15.75" customHeight="1" x14ac:dyDescent="0.2">
      <c r="Q344" s="1"/>
      <c r="R344" s="1"/>
    </row>
    <row r="345" spans="17:18" ht="15.75" customHeight="1" x14ac:dyDescent="0.2">
      <c r="Q345" s="1"/>
      <c r="R345" s="1"/>
    </row>
    <row r="346" spans="17:18" ht="15.75" customHeight="1" x14ac:dyDescent="0.2">
      <c r="Q346" s="1"/>
      <c r="R346" s="1"/>
    </row>
    <row r="347" spans="17:18" ht="15.75" customHeight="1" x14ac:dyDescent="0.2">
      <c r="Q347" s="1"/>
      <c r="R347" s="1"/>
    </row>
    <row r="348" spans="17:18" ht="15.75" customHeight="1" x14ac:dyDescent="0.2">
      <c r="Q348" s="1"/>
      <c r="R348" s="1"/>
    </row>
    <row r="349" spans="17:18" ht="15.75" customHeight="1" x14ac:dyDescent="0.2">
      <c r="Q349" s="1"/>
      <c r="R349" s="1"/>
    </row>
    <row r="350" spans="17:18" ht="15.75" customHeight="1" x14ac:dyDescent="0.2">
      <c r="Q350" s="1"/>
      <c r="R350" s="1"/>
    </row>
    <row r="351" spans="17:18" ht="15.75" customHeight="1" x14ac:dyDescent="0.2">
      <c r="Q351" s="1"/>
      <c r="R351" s="1"/>
    </row>
    <row r="352" spans="17:18" ht="15.75" customHeight="1" x14ac:dyDescent="0.2">
      <c r="Q352" s="1"/>
      <c r="R352" s="1"/>
    </row>
    <row r="353" spans="17:18" ht="15.75" customHeight="1" x14ac:dyDescent="0.2">
      <c r="Q353" s="1"/>
      <c r="R353" s="1"/>
    </row>
    <row r="354" spans="17:18" ht="15.75" customHeight="1" x14ac:dyDescent="0.2">
      <c r="Q354" s="1"/>
      <c r="R354" s="1"/>
    </row>
    <row r="355" spans="17:18" ht="15.75" customHeight="1" x14ac:dyDescent="0.2">
      <c r="Q355" s="1"/>
      <c r="R355" s="1"/>
    </row>
    <row r="356" spans="17:18" ht="15.75" customHeight="1" x14ac:dyDescent="0.2">
      <c r="Q356" s="1"/>
      <c r="R356" s="1"/>
    </row>
    <row r="357" spans="17:18" ht="15.75" customHeight="1" x14ac:dyDescent="0.2">
      <c r="Q357" s="1"/>
      <c r="R357" s="1"/>
    </row>
    <row r="358" spans="17:18" ht="15.75" customHeight="1" x14ac:dyDescent="0.2">
      <c r="Q358" s="1"/>
      <c r="R358" s="1"/>
    </row>
    <row r="359" spans="17:18" ht="15.75" customHeight="1" x14ac:dyDescent="0.2">
      <c r="Q359" s="1"/>
      <c r="R359" s="1"/>
    </row>
    <row r="360" spans="17:18" ht="15.75" customHeight="1" x14ac:dyDescent="0.2">
      <c r="Q360" s="1"/>
      <c r="R360" s="1"/>
    </row>
    <row r="361" spans="17:18" ht="15.75" customHeight="1" x14ac:dyDescent="0.2">
      <c r="Q361" s="1"/>
      <c r="R361" s="1"/>
    </row>
    <row r="362" spans="17:18" ht="15.75" customHeight="1" x14ac:dyDescent="0.2">
      <c r="Q362" s="1"/>
      <c r="R362" s="1"/>
    </row>
    <row r="363" spans="17:18" ht="15.75" customHeight="1" x14ac:dyDescent="0.2">
      <c r="Q363" s="1"/>
      <c r="R363" s="1"/>
    </row>
    <row r="364" spans="17:18" ht="15.75" customHeight="1" x14ac:dyDescent="0.2">
      <c r="Q364" s="1"/>
      <c r="R364" s="1"/>
    </row>
    <row r="365" spans="17:18" ht="15.75" customHeight="1" x14ac:dyDescent="0.2">
      <c r="Q365" s="1"/>
      <c r="R365" s="1"/>
    </row>
    <row r="366" spans="17:18" ht="15.75" customHeight="1" x14ac:dyDescent="0.2">
      <c r="Q366" s="1"/>
      <c r="R366" s="1"/>
    </row>
    <row r="367" spans="17:18" ht="15.75" customHeight="1" x14ac:dyDescent="0.2">
      <c r="Q367" s="1"/>
      <c r="R367" s="1"/>
    </row>
    <row r="368" spans="17:18" ht="15.75" customHeight="1" x14ac:dyDescent="0.2">
      <c r="Q368" s="1"/>
      <c r="R368" s="1"/>
    </row>
    <row r="369" spans="17:18" ht="15.75" customHeight="1" x14ac:dyDescent="0.2">
      <c r="Q369" s="1"/>
      <c r="R369" s="1"/>
    </row>
    <row r="370" spans="17:18" ht="15.75" customHeight="1" x14ac:dyDescent="0.2">
      <c r="Q370" s="1"/>
      <c r="R370" s="1"/>
    </row>
    <row r="371" spans="17:18" ht="15.75" customHeight="1" x14ac:dyDescent="0.2">
      <c r="Q371" s="1"/>
      <c r="R371" s="1"/>
    </row>
    <row r="372" spans="17:18" ht="15.75" customHeight="1" x14ac:dyDescent="0.2">
      <c r="Q372" s="1"/>
      <c r="R372" s="1"/>
    </row>
    <row r="373" spans="17:18" ht="15.75" customHeight="1" x14ac:dyDescent="0.2">
      <c r="Q373" s="1"/>
      <c r="R373" s="1"/>
    </row>
    <row r="374" spans="17:18" ht="15.75" customHeight="1" x14ac:dyDescent="0.2">
      <c r="Q374" s="1"/>
      <c r="R374" s="1"/>
    </row>
    <row r="375" spans="17:18" ht="15.75" customHeight="1" x14ac:dyDescent="0.2">
      <c r="Q375" s="1"/>
      <c r="R375" s="1"/>
    </row>
    <row r="376" spans="17:18" ht="15.75" customHeight="1" x14ac:dyDescent="0.2">
      <c r="Q376" s="1"/>
      <c r="R376" s="1"/>
    </row>
    <row r="377" spans="17:18" ht="15.75" customHeight="1" x14ac:dyDescent="0.2">
      <c r="Q377" s="1"/>
      <c r="R377" s="1"/>
    </row>
    <row r="378" spans="17:18" ht="15.75" customHeight="1" x14ac:dyDescent="0.2">
      <c r="Q378" s="1"/>
      <c r="R378" s="1"/>
    </row>
    <row r="379" spans="17:18" ht="15.75" customHeight="1" x14ac:dyDescent="0.2">
      <c r="Q379" s="1"/>
      <c r="R379" s="1"/>
    </row>
    <row r="380" spans="17:18" ht="15.75" customHeight="1" x14ac:dyDescent="0.2">
      <c r="Q380" s="1"/>
      <c r="R380" s="1"/>
    </row>
    <row r="381" spans="17:18" ht="15.75" customHeight="1" x14ac:dyDescent="0.2">
      <c r="Q381" s="1"/>
      <c r="R381" s="1"/>
    </row>
    <row r="382" spans="17:18" ht="15.75" customHeight="1" x14ac:dyDescent="0.2">
      <c r="Q382" s="1"/>
      <c r="R382" s="1"/>
    </row>
    <row r="383" spans="17:18" ht="15.75" customHeight="1" x14ac:dyDescent="0.2">
      <c r="Q383" s="1"/>
      <c r="R383" s="1"/>
    </row>
    <row r="384" spans="17:18" ht="15.75" customHeight="1" x14ac:dyDescent="0.2">
      <c r="Q384" s="1"/>
      <c r="R384" s="1"/>
    </row>
    <row r="385" spans="17:18" ht="15.75" customHeight="1" x14ac:dyDescent="0.2">
      <c r="Q385" s="1"/>
      <c r="R385" s="1"/>
    </row>
    <row r="386" spans="17:18" ht="15.75" customHeight="1" x14ac:dyDescent="0.2">
      <c r="Q386" s="1"/>
      <c r="R386" s="1"/>
    </row>
    <row r="387" spans="17:18" ht="15.75" customHeight="1" x14ac:dyDescent="0.2">
      <c r="Q387" s="1"/>
      <c r="R387" s="1"/>
    </row>
    <row r="388" spans="17:18" ht="15.75" customHeight="1" x14ac:dyDescent="0.2">
      <c r="Q388" s="1"/>
      <c r="R388" s="1"/>
    </row>
    <row r="389" spans="17:18" ht="15.75" customHeight="1" x14ac:dyDescent="0.2">
      <c r="Q389" s="1"/>
      <c r="R389" s="1"/>
    </row>
    <row r="390" spans="17:18" ht="15.75" customHeight="1" x14ac:dyDescent="0.2">
      <c r="Q390" s="1"/>
      <c r="R390" s="1"/>
    </row>
    <row r="391" spans="17:18" ht="15.75" customHeight="1" x14ac:dyDescent="0.2">
      <c r="Q391" s="1"/>
      <c r="R391" s="1"/>
    </row>
    <row r="392" spans="17:18" ht="15.75" customHeight="1" x14ac:dyDescent="0.2">
      <c r="Q392" s="1"/>
      <c r="R392" s="1"/>
    </row>
    <row r="393" spans="17:18" ht="15.75" customHeight="1" x14ac:dyDescent="0.2">
      <c r="Q393" s="1"/>
      <c r="R393" s="1"/>
    </row>
    <row r="394" spans="17:18" ht="15.75" customHeight="1" x14ac:dyDescent="0.2">
      <c r="Q394" s="1"/>
      <c r="R394" s="1"/>
    </row>
    <row r="395" spans="17:18" ht="15.75" customHeight="1" x14ac:dyDescent="0.2">
      <c r="Q395" s="1"/>
      <c r="R395" s="1"/>
    </row>
    <row r="396" spans="17:18" ht="15.75" customHeight="1" x14ac:dyDescent="0.2">
      <c r="Q396" s="1"/>
      <c r="R396" s="1"/>
    </row>
    <row r="397" spans="17:18" ht="15.75" customHeight="1" x14ac:dyDescent="0.2">
      <c r="Q397" s="1"/>
      <c r="R397" s="1"/>
    </row>
    <row r="398" spans="17:18" ht="15.75" customHeight="1" x14ac:dyDescent="0.2">
      <c r="Q398" s="1"/>
      <c r="R398" s="1"/>
    </row>
    <row r="399" spans="17:18" ht="15.75" customHeight="1" x14ac:dyDescent="0.2">
      <c r="Q399" s="1"/>
      <c r="R399" s="1"/>
    </row>
    <row r="400" spans="17:18" ht="15.75" customHeight="1" x14ac:dyDescent="0.2">
      <c r="Q400" s="1"/>
      <c r="R400" s="1"/>
    </row>
    <row r="401" spans="17:18" ht="15.75" customHeight="1" x14ac:dyDescent="0.2">
      <c r="Q401" s="1"/>
      <c r="R401" s="1"/>
    </row>
    <row r="402" spans="17:18" ht="15.75" customHeight="1" x14ac:dyDescent="0.2">
      <c r="Q402" s="1"/>
      <c r="R402" s="1"/>
    </row>
    <row r="403" spans="17:18" ht="15.75" customHeight="1" x14ac:dyDescent="0.2">
      <c r="Q403" s="1"/>
      <c r="R403" s="1"/>
    </row>
    <row r="404" spans="17:18" ht="15.75" customHeight="1" x14ac:dyDescent="0.2">
      <c r="Q404" s="1"/>
      <c r="R404" s="1"/>
    </row>
    <row r="405" spans="17:18" ht="15.75" customHeight="1" x14ac:dyDescent="0.2">
      <c r="Q405" s="1"/>
      <c r="R405" s="1"/>
    </row>
    <row r="406" spans="17:18" ht="15.75" customHeight="1" x14ac:dyDescent="0.2">
      <c r="Q406" s="1"/>
      <c r="R406" s="1"/>
    </row>
    <row r="407" spans="17:18" ht="15.75" customHeight="1" x14ac:dyDescent="0.2">
      <c r="Q407" s="1"/>
      <c r="R407" s="1"/>
    </row>
    <row r="408" spans="17:18" ht="15.75" customHeight="1" x14ac:dyDescent="0.2">
      <c r="Q408" s="1"/>
      <c r="R408" s="1"/>
    </row>
    <row r="409" spans="17:18" ht="15.75" customHeight="1" x14ac:dyDescent="0.2">
      <c r="Q409" s="1"/>
      <c r="R409" s="1"/>
    </row>
    <row r="410" spans="17:18" ht="15.75" customHeight="1" x14ac:dyDescent="0.2">
      <c r="Q410" s="1"/>
      <c r="R410" s="1"/>
    </row>
    <row r="411" spans="17:18" ht="15.75" customHeight="1" x14ac:dyDescent="0.2">
      <c r="Q411" s="1"/>
      <c r="R411" s="1"/>
    </row>
    <row r="412" spans="17:18" ht="15.75" customHeight="1" x14ac:dyDescent="0.2">
      <c r="Q412" s="1"/>
      <c r="R412" s="1"/>
    </row>
    <row r="413" spans="17:18" ht="15.75" customHeight="1" x14ac:dyDescent="0.2">
      <c r="Q413" s="1"/>
      <c r="R413" s="1"/>
    </row>
    <row r="414" spans="17:18" ht="15.75" customHeight="1" x14ac:dyDescent="0.2">
      <c r="Q414" s="1"/>
      <c r="R414" s="1"/>
    </row>
    <row r="415" spans="17:18" ht="15.75" customHeight="1" x14ac:dyDescent="0.2">
      <c r="Q415" s="1"/>
      <c r="R415" s="1"/>
    </row>
    <row r="416" spans="17:18" ht="15.75" customHeight="1" x14ac:dyDescent="0.2">
      <c r="Q416" s="1"/>
      <c r="R416" s="1"/>
    </row>
    <row r="417" spans="17:18" ht="15.75" customHeight="1" x14ac:dyDescent="0.2">
      <c r="Q417" s="1"/>
      <c r="R417" s="1"/>
    </row>
    <row r="418" spans="17:18" ht="15.75" customHeight="1" x14ac:dyDescent="0.2">
      <c r="Q418" s="1"/>
      <c r="R418" s="1"/>
    </row>
    <row r="419" spans="17:18" ht="15.75" customHeight="1" x14ac:dyDescent="0.2">
      <c r="Q419" s="1"/>
      <c r="R419" s="1"/>
    </row>
    <row r="420" spans="17:18" ht="15.75" customHeight="1" x14ac:dyDescent="0.2">
      <c r="Q420" s="1"/>
      <c r="R420" s="1"/>
    </row>
    <row r="421" spans="17:18" ht="15.75" customHeight="1" x14ac:dyDescent="0.2">
      <c r="Q421" s="1"/>
      <c r="R421" s="1"/>
    </row>
    <row r="422" spans="17:18" ht="15.75" customHeight="1" x14ac:dyDescent="0.2">
      <c r="Q422" s="1"/>
      <c r="R422" s="1"/>
    </row>
    <row r="423" spans="17:18" ht="15.75" customHeight="1" x14ac:dyDescent="0.2">
      <c r="Q423" s="1"/>
      <c r="R423" s="1"/>
    </row>
    <row r="424" spans="17:18" ht="15.75" customHeight="1" x14ac:dyDescent="0.2">
      <c r="Q424" s="1"/>
      <c r="R424" s="1"/>
    </row>
    <row r="425" spans="17:18" ht="15.75" customHeight="1" x14ac:dyDescent="0.2">
      <c r="Q425" s="1"/>
      <c r="R425" s="1"/>
    </row>
    <row r="426" spans="17:18" ht="15.75" customHeight="1" x14ac:dyDescent="0.2">
      <c r="Q426" s="1"/>
      <c r="R426" s="1"/>
    </row>
    <row r="427" spans="17:18" ht="15.75" customHeight="1" x14ac:dyDescent="0.2">
      <c r="Q427" s="1"/>
      <c r="R427" s="1"/>
    </row>
    <row r="428" spans="17:18" ht="15.75" customHeight="1" x14ac:dyDescent="0.2">
      <c r="Q428" s="1"/>
      <c r="R428" s="1"/>
    </row>
    <row r="429" spans="17:18" ht="15.75" customHeight="1" x14ac:dyDescent="0.2">
      <c r="Q429" s="1"/>
      <c r="R429" s="1"/>
    </row>
    <row r="430" spans="17:18" ht="15.75" customHeight="1" x14ac:dyDescent="0.2">
      <c r="Q430" s="1"/>
      <c r="R430" s="1"/>
    </row>
    <row r="431" spans="17:18" ht="15.75" customHeight="1" x14ac:dyDescent="0.2">
      <c r="Q431" s="1"/>
      <c r="R431" s="1"/>
    </row>
    <row r="432" spans="17:18" ht="15.75" customHeight="1" x14ac:dyDescent="0.2">
      <c r="Q432" s="1"/>
      <c r="R432" s="1"/>
    </row>
    <row r="433" spans="17:18" ht="15.75" customHeight="1" x14ac:dyDescent="0.2">
      <c r="Q433" s="1"/>
      <c r="R433" s="1"/>
    </row>
    <row r="434" spans="17:18" ht="15.75" customHeight="1" x14ac:dyDescent="0.2">
      <c r="Q434" s="1"/>
      <c r="R434" s="1"/>
    </row>
    <row r="435" spans="17:18" ht="15.75" customHeight="1" x14ac:dyDescent="0.2">
      <c r="Q435" s="1"/>
      <c r="R435" s="1"/>
    </row>
    <row r="436" spans="17:18" ht="15.75" customHeight="1" x14ac:dyDescent="0.2">
      <c r="Q436" s="1"/>
      <c r="R436" s="1"/>
    </row>
    <row r="437" spans="17:18" ht="15.75" customHeight="1" x14ac:dyDescent="0.2">
      <c r="Q437" s="1"/>
      <c r="R437" s="1"/>
    </row>
    <row r="438" spans="17:18" ht="15.75" customHeight="1" x14ac:dyDescent="0.2">
      <c r="Q438" s="1"/>
      <c r="R438" s="1"/>
    </row>
    <row r="439" spans="17:18" ht="15.75" customHeight="1" x14ac:dyDescent="0.2">
      <c r="Q439" s="1"/>
      <c r="R439" s="1"/>
    </row>
    <row r="440" spans="17:18" ht="15.75" customHeight="1" x14ac:dyDescent="0.2">
      <c r="Q440" s="1"/>
      <c r="R440" s="1"/>
    </row>
    <row r="441" spans="17:18" ht="15.75" customHeight="1" x14ac:dyDescent="0.2">
      <c r="Q441" s="1"/>
      <c r="R441" s="1"/>
    </row>
    <row r="442" spans="17:18" ht="15.75" customHeight="1" x14ac:dyDescent="0.2">
      <c r="Q442" s="1"/>
      <c r="R442" s="1"/>
    </row>
    <row r="443" spans="17:18" ht="15.75" customHeight="1" x14ac:dyDescent="0.2">
      <c r="Q443" s="1"/>
      <c r="R443" s="1"/>
    </row>
    <row r="444" spans="17:18" ht="15.75" customHeight="1" x14ac:dyDescent="0.2">
      <c r="Q444" s="1"/>
      <c r="R444" s="1"/>
    </row>
    <row r="445" spans="17:18" ht="15.75" customHeight="1" x14ac:dyDescent="0.2">
      <c r="Q445" s="1"/>
      <c r="R445" s="1"/>
    </row>
    <row r="446" spans="17:18" ht="15.75" customHeight="1" x14ac:dyDescent="0.2">
      <c r="Q446" s="1"/>
      <c r="R446" s="1"/>
    </row>
    <row r="447" spans="17:18" ht="15.75" customHeight="1" x14ac:dyDescent="0.2">
      <c r="Q447" s="1"/>
      <c r="R447" s="1"/>
    </row>
    <row r="448" spans="17:18" ht="15.75" customHeight="1" x14ac:dyDescent="0.2">
      <c r="Q448" s="1"/>
      <c r="R448" s="1"/>
    </row>
    <row r="449" spans="17:18" ht="15.75" customHeight="1" x14ac:dyDescent="0.2">
      <c r="Q449" s="1"/>
      <c r="R449" s="1"/>
    </row>
    <row r="450" spans="17:18" ht="15.75" customHeight="1" x14ac:dyDescent="0.2">
      <c r="Q450" s="1"/>
      <c r="R450" s="1"/>
    </row>
    <row r="451" spans="17:18" ht="15.75" customHeight="1" x14ac:dyDescent="0.2">
      <c r="Q451" s="1"/>
      <c r="R451" s="1"/>
    </row>
    <row r="452" spans="17:18" ht="15.75" customHeight="1" x14ac:dyDescent="0.2">
      <c r="Q452" s="1"/>
      <c r="R452" s="1"/>
    </row>
    <row r="453" spans="17:18" ht="15.75" customHeight="1" x14ac:dyDescent="0.2">
      <c r="Q453" s="1"/>
      <c r="R453" s="1"/>
    </row>
    <row r="454" spans="17:18" ht="15.75" customHeight="1" x14ac:dyDescent="0.2">
      <c r="Q454" s="1"/>
      <c r="R454" s="1"/>
    </row>
    <row r="455" spans="17:18" ht="15.75" customHeight="1" x14ac:dyDescent="0.2">
      <c r="Q455" s="1"/>
      <c r="R455" s="1"/>
    </row>
    <row r="456" spans="17:18" ht="15.75" customHeight="1" x14ac:dyDescent="0.2">
      <c r="Q456" s="1"/>
      <c r="R456" s="1"/>
    </row>
    <row r="457" spans="17:18" ht="15.75" customHeight="1" x14ac:dyDescent="0.2">
      <c r="Q457" s="1"/>
      <c r="R457" s="1"/>
    </row>
    <row r="458" spans="17:18" ht="15.75" customHeight="1" x14ac:dyDescent="0.2">
      <c r="Q458" s="1"/>
      <c r="R458" s="1"/>
    </row>
    <row r="459" spans="17:18" ht="15.75" customHeight="1" x14ac:dyDescent="0.2">
      <c r="Q459" s="1"/>
      <c r="R459" s="1"/>
    </row>
    <row r="460" spans="17:18" ht="15.75" customHeight="1" x14ac:dyDescent="0.2">
      <c r="Q460" s="1"/>
      <c r="R460" s="1"/>
    </row>
    <row r="461" spans="17:18" ht="15.75" customHeight="1" x14ac:dyDescent="0.2">
      <c r="Q461" s="1"/>
      <c r="R461" s="1"/>
    </row>
    <row r="462" spans="17:18" ht="15.75" customHeight="1" x14ac:dyDescent="0.2">
      <c r="Q462" s="1"/>
      <c r="R462" s="1"/>
    </row>
    <row r="463" spans="17:18" ht="15.75" customHeight="1" x14ac:dyDescent="0.2">
      <c r="Q463" s="1"/>
      <c r="R463" s="1"/>
    </row>
    <row r="464" spans="17:18" ht="15.75" customHeight="1" x14ac:dyDescent="0.2">
      <c r="Q464" s="1"/>
      <c r="R464" s="1"/>
    </row>
    <row r="465" spans="17:18" ht="15.75" customHeight="1" x14ac:dyDescent="0.2">
      <c r="Q465" s="1"/>
      <c r="R465" s="1"/>
    </row>
    <row r="466" spans="17:18" ht="15.75" customHeight="1" x14ac:dyDescent="0.2">
      <c r="Q466" s="1"/>
      <c r="R466" s="1"/>
    </row>
    <row r="467" spans="17:18" ht="15.75" customHeight="1" x14ac:dyDescent="0.2">
      <c r="Q467" s="1"/>
      <c r="R467" s="1"/>
    </row>
    <row r="468" spans="17:18" ht="15.75" customHeight="1" x14ac:dyDescent="0.2">
      <c r="Q468" s="1"/>
      <c r="R468" s="1"/>
    </row>
    <row r="469" spans="17:18" ht="15.75" customHeight="1" x14ac:dyDescent="0.2">
      <c r="Q469" s="1"/>
      <c r="R469" s="1"/>
    </row>
    <row r="470" spans="17:18" ht="15.75" customHeight="1" x14ac:dyDescent="0.2">
      <c r="Q470" s="1"/>
      <c r="R470" s="1"/>
    </row>
    <row r="471" spans="17:18" ht="15.75" customHeight="1" x14ac:dyDescent="0.2">
      <c r="Q471" s="1"/>
      <c r="R471" s="1"/>
    </row>
    <row r="472" spans="17:18" ht="15.75" customHeight="1" x14ac:dyDescent="0.2">
      <c r="Q472" s="1"/>
      <c r="R472" s="1"/>
    </row>
    <row r="473" spans="17:18" ht="15.75" customHeight="1" x14ac:dyDescent="0.2">
      <c r="Q473" s="1"/>
      <c r="R473" s="1"/>
    </row>
    <row r="474" spans="17:18" ht="15.75" customHeight="1" x14ac:dyDescent="0.2">
      <c r="Q474" s="1"/>
      <c r="R474" s="1"/>
    </row>
    <row r="475" spans="17:18" ht="15.75" customHeight="1" x14ac:dyDescent="0.2">
      <c r="Q475" s="1"/>
      <c r="R475" s="1"/>
    </row>
    <row r="476" spans="17:18" ht="15.75" customHeight="1" x14ac:dyDescent="0.2">
      <c r="Q476" s="1"/>
      <c r="R476" s="1"/>
    </row>
    <row r="477" spans="17:18" ht="15.75" customHeight="1" x14ac:dyDescent="0.2">
      <c r="Q477" s="1"/>
      <c r="R477" s="1"/>
    </row>
    <row r="478" spans="17:18" ht="15.75" customHeight="1" x14ac:dyDescent="0.2">
      <c r="Q478" s="1"/>
      <c r="R478" s="1"/>
    </row>
    <row r="479" spans="17:18" ht="15.75" customHeight="1" x14ac:dyDescent="0.2">
      <c r="Q479" s="1"/>
      <c r="R479" s="1"/>
    </row>
    <row r="480" spans="17:18" ht="15.75" customHeight="1" x14ac:dyDescent="0.2">
      <c r="Q480" s="1"/>
      <c r="R480" s="1"/>
    </row>
    <row r="481" spans="17:18" ht="15.75" customHeight="1" x14ac:dyDescent="0.2">
      <c r="Q481" s="1"/>
      <c r="R481" s="1"/>
    </row>
    <row r="482" spans="17:18" ht="15.75" customHeight="1" x14ac:dyDescent="0.2">
      <c r="Q482" s="1"/>
      <c r="R482" s="1"/>
    </row>
    <row r="483" spans="17:18" ht="15.75" customHeight="1" x14ac:dyDescent="0.2">
      <c r="Q483" s="1"/>
      <c r="R483" s="1"/>
    </row>
    <row r="484" spans="17:18" ht="15.75" customHeight="1" x14ac:dyDescent="0.2">
      <c r="Q484" s="1"/>
      <c r="R484" s="1"/>
    </row>
    <row r="485" spans="17:18" ht="15.75" customHeight="1" x14ac:dyDescent="0.2">
      <c r="Q485" s="1"/>
      <c r="R485" s="1"/>
    </row>
    <row r="486" spans="17:18" ht="15.75" customHeight="1" x14ac:dyDescent="0.2">
      <c r="Q486" s="1"/>
      <c r="R486" s="1"/>
    </row>
    <row r="487" spans="17:18" ht="15.75" customHeight="1" x14ac:dyDescent="0.2">
      <c r="Q487" s="1"/>
      <c r="R487" s="1"/>
    </row>
    <row r="488" spans="17:18" ht="15.75" customHeight="1" x14ac:dyDescent="0.2">
      <c r="Q488" s="1"/>
      <c r="R488" s="1"/>
    </row>
    <row r="489" spans="17:18" ht="15.75" customHeight="1" x14ac:dyDescent="0.2">
      <c r="Q489" s="1"/>
      <c r="R489" s="1"/>
    </row>
    <row r="490" spans="17:18" ht="15.75" customHeight="1" x14ac:dyDescent="0.2">
      <c r="Q490" s="1"/>
      <c r="R490" s="1"/>
    </row>
    <row r="491" spans="17:18" ht="15.75" customHeight="1" x14ac:dyDescent="0.2">
      <c r="Q491" s="1"/>
      <c r="R491" s="1"/>
    </row>
    <row r="492" spans="17:18" ht="15.75" customHeight="1" x14ac:dyDescent="0.2">
      <c r="Q492" s="1"/>
      <c r="R492" s="1"/>
    </row>
    <row r="493" spans="17:18" ht="15.75" customHeight="1" x14ac:dyDescent="0.2">
      <c r="Q493" s="1"/>
      <c r="R493" s="1"/>
    </row>
    <row r="494" spans="17:18" ht="15.75" customHeight="1" x14ac:dyDescent="0.2">
      <c r="Q494" s="1"/>
      <c r="R494" s="1"/>
    </row>
    <row r="495" spans="17:18" ht="15.75" customHeight="1" x14ac:dyDescent="0.2">
      <c r="Q495" s="1"/>
      <c r="R495" s="1"/>
    </row>
    <row r="496" spans="17:18" ht="15.75" customHeight="1" x14ac:dyDescent="0.2">
      <c r="Q496" s="1"/>
      <c r="R496" s="1"/>
    </row>
    <row r="497" spans="17:18" ht="15.75" customHeight="1" x14ac:dyDescent="0.2">
      <c r="Q497" s="1"/>
      <c r="R497" s="1"/>
    </row>
    <row r="498" spans="17:18" ht="15.75" customHeight="1" x14ac:dyDescent="0.2">
      <c r="Q498" s="1"/>
      <c r="R498" s="1"/>
    </row>
    <row r="499" spans="17:18" ht="15.75" customHeight="1" x14ac:dyDescent="0.2">
      <c r="Q499" s="1"/>
      <c r="R499" s="1"/>
    </row>
    <row r="500" spans="17:18" ht="15.75" customHeight="1" x14ac:dyDescent="0.2">
      <c r="Q500" s="1"/>
      <c r="R500" s="1"/>
    </row>
    <row r="501" spans="17:18" ht="15.75" customHeight="1" x14ac:dyDescent="0.2">
      <c r="Q501" s="1"/>
      <c r="R501" s="1"/>
    </row>
    <row r="502" spans="17:18" ht="15.75" customHeight="1" x14ac:dyDescent="0.2">
      <c r="Q502" s="1"/>
      <c r="R502" s="1"/>
    </row>
    <row r="503" spans="17:18" ht="15.75" customHeight="1" x14ac:dyDescent="0.2">
      <c r="Q503" s="1"/>
      <c r="R503" s="1"/>
    </row>
    <row r="504" spans="17:18" ht="15.75" customHeight="1" x14ac:dyDescent="0.2">
      <c r="Q504" s="1"/>
      <c r="R504" s="1"/>
    </row>
    <row r="505" spans="17:18" ht="15.75" customHeight="1" x14ac:dyDescent="0.2">
      <c r="Q505" s="1"/>
      <c r="R505" s="1"/>
    </row>
    <row r="506" spans="17:18" ht="15.75" customHeight="1" x14ac:dyDescent="0.2">
      <c r="Q506" s="1"/>
      <c r="R506" s="1"/>
    </row>
    <row r="507" spans="17:18" ht="15.75" customHeight="1" x14ac:dyDescent="0.2">
      <c r="Q507" s="1"/>
      <c r="R507" s="1"/>
    </row>
    <row r="508" spans="17:18" ht="15.75" customHeight="1" x14ac:dyDescent="0.2">
      <c r="Q508" s="1"/>
      <c r="R508" s="1"/>
    </row>
    <row r="509" spans="17:18" ht="15.75" customHeight="1" x14ac:dyDescent="0.2">
      <c r="Q509" s="1"/>
      <c r="R509" s="1"/>
    </row>
    <row r="510" spans="17:18" ht="15.75" customHeight="1" x14ac:dyDescent="0.2">
      <c r="Q510" s="1"/>
      <c r="R510" s="1"/>
    </row>
    <row r="511" spans="17:18" ht="15.75" customHeight="1" x14ac:dyDescent="0.2">
      <c r="Q511" s="1"/>
      <c r="R511" s="1"/>
    </row>
    <row r="512" spans="17:18" ht="15.75" customHeight="1" x14ac:dyDescent="0.2">
      <c r="Q512" s="1"/>
      <c r="R512" s="1"/>
    </row>
    <row r="513" spans="17:18" ht="15.75" customHeight="1" x14ac:dyDescent="0.2">
      <c r="Q513" s="1"/>
      <c r="R513" s="1"/>
    </row>
    <row r="514" spans="17:18" ht="15.75" customHeight="1" x14ac:dyDescent="0.2">
      <c r="Q514" s="1"/>
      <c r="R514" s="1"/>
    </row>
    <row r="515" spans="17:18" ht="15.75" customHeight="1" x14ac:dyDescent="0.2">
      <c r="Q515" s="1"/>
      <c r="R515" s="1"/>
    </row>
    <row r="516" spans="17:18" ht="15.75" customHeight="1" x14ac:dyDescent="0.2">
      <c r="Q516" s="1"/>
      <c r="R516" s="1"/>
    </row>
    <row r="517" spans="17:18" ht="15.75" customHeight="1" x14ac:dyDescent="0.2">
      <c r="Q517" s="1"/>
      <c r="R517" s="1"/>
    </row>
    <row r="518" spans="17:18" ht="15.75" customHeight="1" x14ac:dyDescent="0.2">
      <c r="Q518" s="1"/>
      <c r="R518" s="1"/>
    </row>
    <row r="519" spans="17:18" ht="15.75" customHeight="1" x14ac:dyDescent="0.2">
      <c r="Q519" s="1"/>
      <c r="R519" s="1"/>
    </row>
    <row r="520" spans="17:18" ht="15.75" customHeight="1" x14ac:dyDescent="0.2">
      <c r="Q520" s="1"/>
      <c r="R520" s="1"/>
    </row>
    <row r="521" spans="17:18" ht="15.75" customHeight="1" x14ac:dyDescent="0.2">
      <c r="Q521" s="1"/>
      <c r="R521" s="1"/>
    </row>
    <row r="522" spans="17:18" ht="15.75" customHeight="1" x14ac:dyDescent="0.2">
      <c r="Q522" s="1"/>
      <c r="R522" s="1"/>
    </row>
    <row r="523" spans="17:18" ht="15.75" customHeight="1" x14ac:dyDescent="0.2">
      <c r="Q523" s="1"/>
      <c r="R523" s="1"/>
    </row>
    <row r="524" spans="17:18" ht="15.75" customHeight="1" x14ac:dyDescent="0.2">
      <c r="Q524" s="1"/>
      <c r="R524" s="1"/>
    </row>
    <row r="525" spans="17:18" ht="15.75" customHeight="1" x14ac:dyDescent="0.2">
      <c r="Q525" s="1"/>
      <c r="R525" s="1"/>
    </row>
    <row r="526" spans="17:18" ht="15.75" customHeight="1" x14ac:dyDescent="0.2">
      <c r="Q526" s="1"/>
      <c r="R526" s="1"/>
    </row>
    <row r="527" spans="17:18" ht="15.75" customHeight="1" x14ac:dyDescent="0.2">
      <c r="Q527" s="1"/>
      <c r="R527" s="1"/>
    </row>
    <row r="528" spans="17:18" ht="15.75" customHeight="1" x14ac:dyDescent="0.2">
      <c r="Q528" s="1"/>
      <c r="R528" s="1"/>
    </row>
    <row r="529" spans="17:18" ht="15.75" customHeight="1" x14ac:dyDescent="0.2">
      <c r="Q529" s="1"/>
      <c r="R529" s="1"/>
    </row>
    <row r="530" spans="17:18" ht="15.75" customHeight="1" x14ac:dyDescent="0.2">
      <c r="Q530" s="1"/>
      <c r="R530" s="1"/>
    </row>
    <row r="531" spans="17:18" ht="15.75" customHeight="1" x14ac:dyDescent="0.2">
      <c r="Q531" s="1"/>
      <c r="R531" s="1"/>
    </row>
    <row r="532" spans="17:18" ht="15.75" customHeight="1" x14ac:dyDescent="0.2">
      <c r="Q532" s="1"/>
      <c r="R532" s="1"/>
    </row>
    <row r="533" spans="17:18" ht="15.75" customHeight="1" x14ac:dyDescent="0.2">
      <c r="Q533" s="1"/>
      <c r="R533" s="1"/>
    </row>
    <row r="534" spans="17:18" ht="15.75" customHeight="1" x14ac:dyDescent="0.2">
      <c r="Q534" s="1"/>
      <c r="R534" s="1"/>
    </row>
    <row r="535" spans="17:18" ht="15.75" customHeight="1" x14ac:dyDescent="0.2">
      <c r="Q535" s="1"/>
      <c r="R535" s="1"/>
    </row>
    <row r="536" spans="17:18" ht="15.75" customHeight="1" x14ac:dyDescent="0.2">
      <c r="Q536" s="1"/>
      <c r="R536" s="1"/>
    </row>
    <row r="537" spans="17:18" ht="15.75" customHeight="1" x14ac:dyDescent="0.2">
      <c r="Q537" s="1"/>
      <c r="R537" s="1"/>
    </row>
    <row r="538" spans="17:18" ht="15.75" customHeight="1" x14ac:dyDescent="0.2">
      <c r="Q538" s="1"/>
      <c r="R538" s="1"/>
    </row>
    <row r="539" spans="17:18" ht="15.75" customHeight="1" x14ac:dyDescent="0.2">
      <c r="Q539" s="1"/>
      <c r="R539" s="1"/>
    </row>
    <row r="540" spans="17:18" ht="15.75" customHeight="1" x14ac:dyDescent="0.2">
      <c r="Q540" s="1"/>
      <c r="R540" s="1"/>
    </row>
    <row r="541" spans="17:18" ht="15.75" customHeight="1" x14ac:dyDescent="0.2">
      <c r="Q541" s="1"/>
      <c r="R541" s="1"/>
    </row>
    <row r="542" spans="17:18" ht="15.75" customHeight="1" x14ac:dyDescent="0.2">
      <c r="Q542" s="1"/>
      <c r="R542" s="1"/>
    </row>
    <row r="543" spans="17:18" ht="15.75" customHeight="1" x14ac:dyDescent="0.2">
      <c r="Q543" s="1"/>
      <c r="R543" s="1"/>
    </row>
    <row r="544" spans="17:18" ht="15.75" customHeight="1" x14ac:dyDescent="0.2">
      <c r="Q544" s="1"/>
      <c r="R544" s="1"/>
    </row>
    <row r="545" spans="17:18" ht="15.75" customHeight="1" x14ac:dyDescent="0.2">
      <c r="Q545" s="1"/>
      <c r="R545" s="1"/>
    </row>
    <row r="546" spans="17:18" ht="15.75" customHeight="1" x14ac:dyDescent="0.2">
      <c r="Q546" s="1"/>
      <c r="R546" s="1"/>
    </row>
    <row r="547" spans="17:18" ht="15.75" customHeight="1" x14ac:dyDescent="0.2">
      <c r="Q547" s="1"/>
      <c r="R547" s="1"/>
    </row>
    <row r="548" spans="17:18" ht="15.75" customHeight="1" x14ac:dyDescent="0.2">
      <c r="Q548" s="1"/>
      <c r="R548" s="1"/>
    </row>
    <row r="549" spans="17:18" ht="15.75" customHeight="1" x14ac:dyDescent="0.2">
      <c r="Q549" s="1"/>
      <c r="R549" s="1"/>
    </row>
    <row r="550" spans="17:18" ht="15.75" customHeight="1" x14ac:dyDescent="0.2">
      <c r="Q550" s="1"/>
      <c r="R550" s="1"/>
    </row>
    <row r="551" spans="17:18" ht="15.75" customHeight="1" x14ac:dyDescent="0.2">
      <c r="Q551" s="1"/>
      <c r="R551" s="1"/>
    </row>
    <row r="552" spans="17:18" ht="15.75" customHeight="1" x14ac:dyDescent="0.2">
      <c r="Q552" s="1"/>
      <c r="R552" s="1"/>
    </row>
    <row r="553" spans="17:18" ht="15.75" customHeight="1" x14ac:dyDescent="0.2">
      <c r="Q553" s="1"/>
      <c r="R553" s="1"/>
    </row>
    <row r="554" spans="17:18" ht="15.75" customHeight="1" x14ac:dyDescent="0.2">
      <c r="Q554" s="1"/>
      <c r="R554" s="1"/>
    </row>
    <row r="555" spans="17:18" ht="15.75" customHeight="1" x14ac:dyDescent="0.2">
      <c r="Q555" s="1"/>
      <c r="R555" s="1"/>
    </row>
    <row r="556" spans="17:18" ht="15.75" customHeight="1" x14ac:dyDescent="0.2">
      <c r="Q556" s="1"/>
      <c r="R556" s="1"/>
    </row>
    <row r="557" spans="17:18" ht="15.75" customHeight="1" x14ac:dyDescent="0.2">
      <c r="Q557" s="1"/>
      <c r="R557" s="1"/>
    </row>
    <row r="558" spans="17:18" ht="15.75" customHeight="1" x14ac:dyDescent="0.2">
      <c r="Q558" s="1"/>
      <c r="R558" s="1"/>
    </row>
    <row r="559" spans="17:18" ht="15.75" customHeight="1" x14ac:dyDescent="0.2">
      <c r="Q559" s="1"/>
      <c r="R559" s="1"/>
    </row>
    <row r="560" spans="17:18" ht="15.75" customHeight="1" x14ac:dyDescent="0.2">
      <c r="Q560" s="1"/>
      <c r="R560" s="1"/>
    </row>
    <row r="561" spans="17:18" ht="15.75" customHeight="1" x14ac:dyDescent="0.2">
      <c r="Q561" s="1"/>
      <c r="R561" s="1"/>
    </row>
    <row r="562" spans="17:18" ht="15.75" customHeight="1" x14ac:dyDescent="0.2">
      <c r="Q562" s="1"/>
      <c r="R562" s="1"/>
    </row>
    <row r="563" spans="17:18" ht="15.75" customHeight="1" x14ac:dyDescent="0.2">
      <c r="Q563" s="1"/>
      <c r="R563" s="1"/>
    </row>
    <row r="564" spans="17:18" ht="15.75" customHeight="1" x14ac:dyDescent="0.2">
      <c r="Q564" s="1"/>
      <c r="R564" s="1"/>
    </row>
    <row r="565" spans="17:18" ht="15.75" customHeight="1" x14ac:dyDescent="0.2">
      <c r="Q565" s="1"/>
      <c r="R565" s="1"/>
    </row>
    <row r="566" spans="17:18" ht="15.75" customHeight="1" x14ac:dyDescent="0.2">
      <c r="Q566" s="1"/>
      <c r="R566" s="1"/>
    </row>
    <row r="567" spans="17:18" ht="15.75" customHeight="1" x14ac:dyDescent="0.2">
      <c r="Q567" s="1"/>
      <c r="R567" s="1"/>
    </row>
    <row r="568" spans="17:18" ht="15.75" customHeight="1" x14ac:dyDescent="0.2">
      <c r="Q568" s="1"/>
      <c r="R568" s="1"/>
    </row>
    <row r="569" spans="17:18" ht="15.75" customHeight="1" x14ac:dyDescent="0.2">
      <c r="Q569" s="1"/>
      <c r="R569" s="1"/>
    </row>
    <row r="570" spans="17:18" ht="15.75" customHeight="1" x14ac:dyDescent="0.2">
      <c r="Q570" s="1"/>
      <c r="R570" s="1"/>
    </row>
    <row r="571" spans="17:18" ht="15.75" customHeight="1" x14ac:dyDescent="0.2">
      <c r="Q571" s="1"/>
      <c r="R571" s="1"/>
    </row>
    <row r="572" spans="17:18" ht="15.75" customHeight="1" x14ac:dyDescent="0.2">
      <c r="Q572" s="1"/>
      <c r="R572" s="1"/>
    </row>
    <row r="573" spans="17:18" ht="15.75" customHeight="1" x14ac:dyDescent="0.2">
      <c r="Q573" s="1"/>
      <c r="R573" s="1"/>
    </row>
    <row r="574" spans="17:18" ht="15.75" customHeight="1" x14ac:dyDescent="0.2">
      <c r="Q574" s="1"/>
      <c r="R574" s="1"/>
    </row>
    <row r="575" spans="17:18" ht="15.75" customHeight="1" x14ac:dyDescent="0.2">
      <c r="Q575" s="1"/>
      <c r="R575" s="1"/>
    </row>
    <row r="576" spans="17:18" ht="15.75" customHeight="1" x14ac:dyDescent="0.2">
      <c r="Q576" s="1"/>
      <c r="R576" s="1"/>
    </row>
    <row r="577" spans="17:18" ht="15.75" customHeight="1" x14ac:dyDescent="0.2">
      <c r="Q577" s="1"/>
      <c r="R577" s="1"/>
    </row>
    <row r="578" spans="17:18" ht="15.75" customHeight="1" x14ac:dyDescent="0.2">
      <c r="Q578" s="1"/>
      <c r="R578" s="1"/>
    </row>
    <row r="579" spans="17:18" ht="15.75" customHeight="1" x14ac:dyDescent="0.2">
      <c r="Q579" s="1"/>
      <c r="R579" s="1"/>
    </row>
    <row r="580" spans="17:18" ht="15.75" customHeight="1" x14ac:dyDescent="0.2">
      <c r="Q580" s="1"/>
      <c r="R580" s="1"/>
    </row>
    <row r="581" spans="17:18" ht="15.75" customHeight="1" x14ac:dyDescent="0.2">
      <c r="Q581" s="1"/>
      <c r="R581" s="1"/>
    </row>
    <row r="582" spans="17:18" ht="15.75" customHeight="1" x14ac:dyDescent="0.2">
      <c r="Q582" s="1"/>
      <c r="R582" s="1"/>
    </row>
    <row r="583" spans="17:18" ht="15.75" customHeight="1" x14ac:dyDescent="0.2">
      <c r="Q583" s="1"/>
      <c r="R583" s="1"/>
    </row>
    <row r="584" spans="17:18" ht="15.75" customHeight="1" x14ac:dyDescent="0.2">
      <c r="Q584" s="1"/>
      <c r="R584" s="1"/>
    </row>
    <row r="585" spans="17:18" ht="15.75" customHeight="1" x14ac:dyDescent="0.2">
      <c r="Q585" s="1"/>
      <c r="R585" s="1"/>
    </row>
    <row r="586" spans="17:18" ht="15.75" customHeight="1" x14ac:dyDescent="0.2">
      <c r="Q586" s="1"/>
      <c r="R586" s="1"/>
    </row>
    <row r="587" spans="17:18" ht="15.75" customHeight="1" x14ac:dyDescent="0.2">
      <c r="Q587" s="1"/>
      <c r="R587" s="1"/>
    </row>
    <row r="588" spans="17:18" ht="15.75" customHeight="1" x14ac:dyDescent="0.2">
      <c r="Q588" s="1"/>
      <c r="R588" s="1"/>
    </row>
    <row r="589" spans="17:18" ht="15.75" customHeight="1" x14ac:dyDescent="0.2">
      <c r="Q589" s="1"/>
      <c r="R589" s="1"/>
    </row>
    <row r="590" spans="17:18" ht="15.75" customHeight="1" x14ac:dyDescent="0.2">
      <c r="Q590" s="1"/>
      <c r="R590" s="1"/>
    </row>
    <row r="591" spans="17:18" ht="15.75" customHeight="1" x14ac:dyDescent="0.2">
      <c r="Q591" s="1"/>
      <c r="R591" s="1"/>
    </row>
    <row r="592" spans="17:18" ht="15.75" customHeight="1" x14ac:dyDescent="0.2">
      <c r="Q592" s="1"/>
      <c r="R592" s="1"/>
    </row>
    <row r="593" spans="17:18" ht="15.75" customHeight="1" x14ac:dyDescent="0.2">
      <c r="Q593" s="1"/>
      <c r="R593" s="1"/>
    </row>
    <row r="594" spans="17:18" ht="15.75" customHeight="1" x14ac:dyDescent="0.2">
      <c r="Q594" s="1"/>
      <c r="R594" s="1"/>
    </row>
    <row r="595" spans="17:18" ht="15.75" customHeight="1" x14ac:dyDescent="0.2">
      <c r="Q595" s="1"/>
      <c r="R595" s="1"/>
    </row>
    <row r="596" spans="17:18" ht="15.75" customHeight="1" x14ac:dyDescent="0.2">
      <c r="Q596" s="1"/>
      <c r="R596" s="1"/>
    </row>
    <row r="597" spans="17:18" ht="15.75" customHeight="1" x14ac:dyDescent="0.2">
      <c r="Q597" s="1"/>
      <c r="R597" s="1"/>
    </row>
    <row r="598" spans="17:18" ht="15.75" customHeight="1" x14ac:dyDescent="0.2">
      <c r="Q598" s="1"/>
      <c r="R598" s="1"/>
    </row>
    <row r="599" spans="17:18" ht="15.75" customHeight="1" x14ac:dyDescent="0.2">
      <c r="Q599" s="1"/>
      <c r="R599" s="1"/>
    </row>
    <row r="600" spans="17:18" ht="15.75" customHeight="1" x14ac:dyDescent="0.2">
      <c r="Q600" s="1"/>
      <c r="R600" s="1"/>
    </row>
    <row r="601" spans="17:18" ht="15.75" customHeight="1" x14ac:dyDescent="0.2">
      <c r="Q601" s="1"/>
      <c r="R601" s="1"/>
    </row>
    <row r="602" spans="17:18" ht="15.75" customHeight="1" x14ac:dyDescent="0.2">
      <c r="Q602" s="1"/>
      <c r="R602" s="1"/>
    </row>
    <row r="603" spans="17:18" ht="15.75" customHeight="1" x14ac:dyDescent="0.2">
      <c r="Q603" s="1"/>
      <c r="R603" s="1"/>
    </row>
    <row r="604" spans="17:18" ht="15.75" customHeight="1" x14ac:dyDescent="0.2">
      <c r="Q604" s="1"/>
      <c r="R604" s="1"/>
    </row>
    <row r="605" spans="17:18" ht="15.75" customHeight="1" x14ac:dyDescent="0.2">
      <c r="Q605" s="1"/>
      <c r="R605" s="1"/>
    </row>
    <row r="606" spans="17:18" ht="15.75" customHeight="1" x14ac:dyDescent="0.2">
      <c r="Q606" s="1"/>
      <c r="R606" s="1"/>
    </row>
    <row r="607" spans="17:18" ht="15.75" customHeight="1" x14ac:dyDescent="0.2">
      <c r="Q607" s="1"/>
      <c r="R607" s="1"/>
    </row>
    <row r="608" spans="17:18" ht="15.75" customHeight="1" x14ac:dyDescent="0.2">
      <c r="Q608" s="1"/>
      <c r="R608" s="1"/>
    </row>
    <row r="609" spans="17:18" ht="15.75" customHeight="1" x14ac:dyDescent="0.2">
      <c r="Q609" s="1"/>
      <c r="R609" s="1"/>
    </row>
    <row r="610" spans="17:18" ht="15.75" customHeight="1" x14ac:dyDescent="0.2">
      <c r="Q610" s="1"/>
      <c r="R610" s="1"/>
    </row>
    <row r="611" spans="17:18" ht="15.75" customHeight="1" x14ac:dyDescent="0.2">
      <c r="Q611" s="1"/>
      <c r="R611" s="1"/>
    </row>
    <row r="612" spans="17:18" ht="15.75" customHeight="1" x14ac:dyDescent="0.2">
      <c r="Q612" s="1"/>
      <c r="R612" s="1"/>
    </row>
    <row r="613" spans="17:18" ht="15.75" customHeight="1" x14ac:dyDescent="0.2">
      <c r="Q613" s="1"/>
      <c r="R613" s="1"/>
    </row>
    <row r="614" spans="17:18" ht="15.75" customHeight="1" x14ac:dyDescent="0.2">
      <c r="Q614" s="1"/>
      <c r="R614" s="1"/>
    </row>
    <row r="615" spans="17:18" ht="15.75" customHeight="1" x14ac:dyDescent="0.2">
      <c r="Q615" s="1"/>
      <c r="R615" s="1"/>
    </row>
    <row r="616" spans="17:18" ht="15.75" customHeight="1" x14ac:dyDescent="0.2">
      <c r="Q616" s="1"/>
      <c r="R616" s="1"/>
    </row>
    <row r="617" spans="17:18" ht="15.75" customHeight="1" x14ac:dyDescent="0.2">
      <c r="Q617" s="1"/>
      <c r="R617" s="1"/>
    </row>
    <row r="618" spans="17:18" ht="15.75" customHeight="1" x14ac:dyDescent="0.2">
      <c r="Q618" s="1"/>
      <c r="R618" s="1"/>
    </row>
    <row r="619" spans="17:18" ht="15.75" customHeight="1" x14ac:dyDescent="0.2">
      <c r="Q619" s="1"/>
      <c r="R619" s="1"/>
    </row>
    <row r="620" spans="17:18" ht="15.75" customHeight="1" x14ac:dyDescent="0.2">
      <c r="Q620" s="1"/>
      <c r="R620" s="1"/>
    </row>
    <row r="621" spans="17:18" ht="15.75" customHeight="1" x14ac:dyDescent="0.2">
      <c r="Q621" s="1"/>
      <c r="R621" s="1"/>
    </row>
    <row r="622" spans="17:18" ht="15.75" customHeight="1" x14ac:dyDescent="0.2">
      <c r="Q622" s="1"/>
      <c r="R622" s="1"/>
    </row>
    <row r="623" spans="17:18" ht="15.75" customHeight="1" x14ac:dyDescent="0.2">
      <c r="Q623" s="1"/>
      <c r="R623" s="1"/>
    </row>
    <row r="624" spans="17:18" ht="15.75" customHeight="1" x14ac:dyDescent="0.2">
      <c r="Q624" s="1"/>
      <c r="R624" s="1"/>
    </row>
    <row r="625" spans="17:18" ht="15.75" customHeight="1" x14ac:dyDescent="0.2">
      <c r="Q625" s="1"/>
      <c r="R625" s="1"/>
    </row>
    <row r="626" spans="17:18" ht="15.75" customHeight="1" x14ac:dyDescent="0.2">
      <c r="Q626" s="1"/>
      <c r="R626" s="1"/>
    </row>
    <row r="627" spans="17:18" ht="15.75" customHeight="1" x14ac:dyDescent="0.2">
      <c r="Q627" s="1"/>
      <c r="R627" s="1"/>
    </row>
    <row r="628" spans="17:18" ht="15.75" customHeight="1" x14ac:dyDescent="0.2">
      <c r="Q628" s="1"/>
      <c r="R628" s="1"/>
    </row>
    <row r="629" spans="17:18" ht="15.75" customHeight="1" x14ac:dyDescent="0.2">
      <c r="Q629" s="1"/>
      <c r="R629" s="1"/>
    </row>
    <row r="630" spans="17:18" ht="15.75" customHeight="1" x14ac:dyDescent="0.2">
      <c r="Q630" s="1"/>
      <c r="R630" s="1"/>
    </row>
    <row r="631" spans="17:18" ht="15.75" customHeight="1" x14ac:dyDescent="0.2">
      <c r="Q631" s="1"/>
      <c r="R631" s="1"/>
    </row>
    <row r="632" spans="17:18" ht="15.75" customHeight="1" x14ac:dyDescent="0.2">
      <c r="Q632" s="1"/>
      <c r="R632" s="1"/>
    </row>
    <row r="633" spans="17:18" ht="15.75" customHeight="1" x14ac:dyDescent="0.2">
      <c r="Q633" s="1"/>
      <c r="R633" s="1"/>
    </row>
    <row r="634" spans="17:18" ht="15.75" customHeight="1" x14ac:dyDescent="0.2">
      <c r="Q634" s="1"/>
      <c r="R634" s="1"/>
    </row>
    <row r="635" spans="17:18" ht="15.75" customHeight="1" x14ac:dyDescent="0.2">
      <c r="Q635" s="1"/>
      <c r="R635" s="1"/>
    </row>
    <row r="636" spans="17:18" ht="15.75" customHeight="1" x14ac:dyDescent="0.2">
      <c r="Q636" s="1"/>
      <c r="R636" s="1"/>
    </row>
    <row r="637" spans="17:18" ht="15.75" customHeight="1" x14ac:dyDescent="0.2">
      <c r="Q637" s="1"/>
      <c r="R637" s="1"/>
    </row>
    <row r="638" spans="17:18" ht="15.75" customHeight="1" x14ac:dyDescent="0.2">
      <c r="Q638" s="1"/>
      <c r="R638" s="1"/>
    </row>
    <row r="639" spans="17:18" ht="15.75" customHeight="1" x14ac:dyDescent="0.2">
      <c r="Q639" s="1"/>
      <c r="R639" s="1"/>
    </row>
    <row r="640" spans="17:18" ht="15.75" customHeight="1" x14ac:dyDescent="0.2">
      <c r="Q640" s="1"/>
      <c r="R640" s="1"/>
    </row>
    <row r="641" spans="17:18" ht="15.75" customHeight="1" x14ac:dyDescent="0.2">
      <c r="Q641" s="1"/>
      <c r="R641" s="1"/>
    </row>
    <row r="642" spans="17:18" ht="15.75" customHeight="1" x14ac:dyDescent="0.2">
      <c r="Q642" s="1"/>
      <c r="R642" s="1"/>
    </row>
    <row r="643" spans="17:18" ht="15.75" customHeight="1" x14ac:dyDescent="0.2">
      <c r="Q643" s="1"/>
      <c r="R643" s="1"/>
    </row>
    <row r="644" spans="17:18" ht="15.75" customHeight="1" x14ac:dyDescent="0.2">
      <c r="Q644" s="1"/>
      <c r="R644" s="1"/>
    </row>
    <row r="645" spans="17:18" ht="15.75" customHeight="1" x14ac:dyDescent="0.2">
      <c r="Q645" s="1"/>
      <c r="R645" s="1"/>
    </row>
    <row r="646" spans="17:18" ht="15.75" customHeight="1" x14ac:dyDescent="0.2">
      <c r="Q646" s="1"/>
      <c r="R646" s="1"/>
    </row>
    <row r="647" spans="17:18" ht="15.75" customHeight="1" x14ac:dyDescent="0.2">
      <c r="Q647" s="1"/>
      <c r="R647" s="1"/>
    </row>
    <row r="648" spans="17:18" ht="15.75" customHeight="1" x14ac:dyDescent="0.2">
      <c r="Q648" s="1"/>
      <c r="R648" s="1"/>
    </row>
    <row r="649" spans="17:18" ht="15.75" customHeight="1" x14ac:dyDescent="0.2">
      <c r="Q649" s="1"/>
      <c r="R649" s="1"/>
    </row>
    <row r="650" spans="17:18" ht="15.75" customHeight="1" x14ac:dyDescent="0.2">
      <c r="Q650" s="1"/>
      <c r="R650" s="1"/>
    </row>
    <row r="651" spans="17:18" ht="15.75" customHeight="1" x14ac:dyDescent="0.2">
      <c r="Q651" s="1"/>
      <c r="R651" s="1"/>
    </row>
    <row r="652" spans="17:18" ht="15.75" customHeight="1" x14ac:dyDescent="0.2">
      <c r="Q652" s="1"/>
      <c r="R652" s="1"/>
    </row>
    <row r="653" spans="17:18" ht="15.75" customHeight="1" x14ac:dyDescent="0.2">
      <c r="Q653" s="1"/>
      <c r="R653" s="1"/>
    </row>
    <row r="654" spans="17:18" ht="15.75" customHeight="1" x14ac:dyDescent="0.2">
      <c r="Q654" s="1"/>
      <c r="R654" s="1"/>
    </row>
    <row r="655" spans="17:18" ht="15.75" customHeight="1" x14ac:dyDescent="0.2">
      <c r="Q655" s="1"/>
      <c r="R655" s="1"/>
    </row>
    <row r="656" spans="17:18" ht="15.75" customHeight="1" x14ac:dyDescent="0.2">
      <c r="Q656" s="1"/>
      <c r="R656" s="1"/>
    </row>
    <row r="657" spans="17:18" ht="15.75" customHeight="1" x14ac:dyDescent="0.2">
      <c r="Q657" s="1"/>
      <c r="R657" s="1"/>
    </row>
    <row r="658" spans="17:18" ht="15.75" customHeight="1" x14ac:dyDescent="0.2">
      <c r="Q658" s="1"/>
      <c r="R658" s="1"/>
    </row>
    <row r="659" spans="17:18" ht="15.75" customHeight="1" x14ac:dyDescent="0.2">
      <c r="Q659" s="1"/>
      <c r="R659" s="1"/>
    </row>
    <row r="660" spans="17:18" ht="15.75" customHeight="1" x14ac:dyDescent="0.2">
      <c r="Q660" s="1"/>
      <c r="R660" s="1"/>
    </row>
    <row r="661" spans="17:18" ht="15.75" customHeight="1" x14ac:dyDescent="0.2">
      <c r="Q661" s="1"/>
      <c r="R661" s="1"/>
    </row>
    <row r="662" spans="17:18" ht="15.75" customHeight="1" x14ac:dyDescent="0.2">
      <c r="Q662" s="1"/>
      <c r="R662" s="1"/>
    </row>
    <row r="663" spans="17:18" ht="15.75" customHeight="1" x14ac:dyDescent="0.2">
      <c r="Q663" s="1"/>
      <c r="R663" s="1"/>
    </row>
    <row r="664" spans="17:18" ht="15.75" customHeight="1" x14ac:dyDescent="0.2">
      <c r="Q664" s="1"/>
      <c r="R664" s="1"/>
    </row>
    <row r="665" spans="17:18" ht="15.75" customHeight="1" x14ac:dyDescent="0.2">
      <c r="Q665" s="1"/>
      <c r="R665" s="1"/>
    </row>
    <row r="666" spans="17:18" ht="15.75" customHeight="1" x14ac:dyDescent="0.2">
      <c r="Q666" s="1"/>
      <c r="R666" s="1"/>
    </row>
    <row r="667" spans="17:18" ht="15.75" customHeight="1" x14ac:dyDescent="0.2">
      <c r="Q667" s="1"/>
      <c r="R667" s="1"/>
    </row>
    <row r="668" spans="17:18" ht="15.75" customHeight="1" x14ac:dyDescent="0.2">
      <c r="Q668" s="1"/>
      <c r="R668" s="1"/>
    </row>
    <row r="669" spans="17:18" ht="15.75" customHeight="1" x14ac:dyDescent="0.2">
      <c r="Q669" s="1"/>
      <c r="R669" s="1"/>
    </row>
    <row r="670" spans="17:18" ht="15.75" customHeight="1" x14ac:dyDescent="0.2">
      <c r="Q670" s="1"/>
      <c r="R670" s="1"/>
    </row>
    <row r="671" spans="17:18" ht="15.75" customHeight="1" x14ac:dyDescent="0.2">
      <c r="Q671" s="1"/>
      <c r="R671" s="1"/>
    </row>
    <row r="672" spans="17:18" ht="15.75" customHeight="1" x14ac:dyDescent="0.2">
      <c r="Q672" s="1"/>
      <c r="R672" s="1"/>
    </row>
    <row r="673" spans="17:18" ht="15.75" customHeight="1" x14ac:dyDescent="0.2">
      <c r="Q673" s="1"/>
      <c r="R673" s="1"/>
    </row>
    <row r="674" spans="17:18" ht="15.75" customHeight="1" x14ac:dyDescent="0.2">
      <c r="Q674" s="1"/>
      <c r="R674" s="1"/>
    </row>
    <row r="675" spans="17:18" ht="15.75" customHeight="1" x14ac:dyDescent="0.2">
      <c r="Q675" s="1"/>
      <c r="R675" s="1"/>
    </row>
    <row r="676" spans="17:18" ht="15.75" customHeight="1" x14ac:dyDescent="0.2">
      <c r="Q676" s="1"/>
      <c r="R676" s="1"/>
    </row>
    <row r="677" spans="17:18" ht="15.75" customHeight="1" x14ac:dyDescent="0.2">
      <c r="Q677" s="1"/>
      <c r="R677" s="1"/>
    </row>
    <row r="678" spans="17:18" ht="15.75" customHeight="1" x14ac:dyDescent="0.2">
      <c r="Q678" s="1"/>
      <c r="R678" s="1"/>
    </row>
    <row r="679" spans="17:18" ht="15.75" customHeight="1" x14ac:dyDescent="0.2">
      <c r="Q679" s="1"/>
      <c r="R679" s="1"/>
    </row>
    <row r="680" spans="17:18" ht="15.75" customHeight="1" x14ac:dyDescent="0.2">
      <c r="Q680" s="1"/>
      <c r="R680" s="1"/>
    </row>
    <row r="681" spans="17:18" ht="15.75" customHeight="1" x14ac:dyDescent="0.2">
      <c r="Q681" s="1"/>
      <c r="R681" s="1"/>
    </row>
    <row r="682" spans="17:18" ht="15.75" customHeight="1" x14ac:dyDescent="0.2">
      <c r="Q682" s="1"/>
      <c r="R682" s="1"/>
    </row>
    <row r="683" spans="17:18" ht="15.75" customHeight="1" x14ac:dyDescent="0.2">
      <c r="Q683" s="1"/>
      <c r="R683" s="1"/>
    </row>
    <row r="684" spans="17:18" ht="15.75" customHeight="1" x14ac:dyDescent="0.2">
      <c r="Q684" s="1"/>
      <c r="R684" s="1"/>
    </row>
    <row r="685" spans="17:18" ht="15.75" customHeight="1" x14ac:dyDescent="0.2">
      <c r="Q685" s="1"/>
      <c r="R685" s="1"/>
    </row>
    <row r="686" spans="17:18" ht="15.75" customHeight="1" x14ac:dyDescent="0.2">
      <c r="Q686" s="1"/>
      <c r="R686" s="1"/>
    </row>
    <row r="687" spans="17:18" ht="15.75" customHeight="1" x14ac:dyDescent="0.2">
      <c r="Q687" s="1"/>
      <c r="R687" s="1"/>
    </row>
    <row r="688" spans="17:18" ht="15.75" customHeight="1" x14ac:dyDescent="0.2">
      <c r="Q688" s="1"/>
      <c r="R688" s="1"/>
    </row>
    <row r="689" spans="17:18" ht="15.75" customHeight="1" x14ac:dyDescent="0.2">
      <c r="Q689" s="1"/>
      <c r="R689" s="1"/>
    </row>
    <row r="690" spans="17:18" ht="15.75" customHeight="1" x14ac:dyDescent="0.2">
      <c r="Q690" s="1"/>
      <c r="R690" s="1"/>
    </row>
    <row r="691" spans="17:18" ht="15.75" customHeight="1" x14ac:dyDescent="0.2">
      <c r="Q691" s="1"/>
      <c r="R691" s="1"/>
    </row>
    <row r="692" spans="17:18" ht="15.75" customHeight="1" x14ac:dyDescent="0.2">
      <c r="Q692" s="1"/>
      <c r="R692" s="1"/>
    </row>
    <row r="693" spans="17:18" ht="15.75" customHeight="1" x14ac:dyDescent="0.2">
      <c r="Q693" s="1"/>
      <c r="R693" s="1"/>
    </row>
    <row r="694" spans="17:18" ht="15.75" customHeight="1" x14ac:dyDescent="0.2">
      <c r="Q694" s="1"/>
      <c r="R694" s="1"/>
    </row>
    <row r="695" spans="17:18" ht="15.75" customHeight="1" x14ac:dyDescent="0.2">
      <c r="Q695" s="1"/>
      <c r="R695" s="1"/>
    </row>
    <row r="696" spans="17:18" ht="15.75" customHeight="1" x14ac:dyDescent="0.2">
      <c r="Q696" s="1"/>
      <c r="R696" s="1"/>
    </row>
    <row r="697" spans="17:18" ht="15.75" customHeight="1" x14ac:dyDescent="0.2">
      <c r="Q697" s="1"/>
      <c r="R697" s="1"/>
    </row>
    <row r="698" spans="17:18" ht="15.75" customHeight="1" x14ac:dyDescent="0.2">
      <c r="Q698" s="1"/>
      <c r="R698" s="1"/>
    </row>
    <row r="699" spans="17:18" ht="15.75" customHeight="1" x14ac:dyDescent="0.2">
      <c r="Q699" s="1"/>
      <c r="R699" s="1"/>
    </row>
    <row r="700" spans="17:18" ht="15.75" customHeight="1" x14ac:dyDescent="0.2">
      <c r="Q700" s="1"/>
      <c r="R700" s="1"/>
    </row>
    <row r="701" spans="17:18" ht="15.75" customHeight="1" x14ac:dyDescent="0.2">
      <c r="Q701" s="1"/>
      <c r="R701" s="1"/>
    </row>
    <row r="702" spans="17:18" ht="15.75" customHeight="1" x14ac:dyDescent="0.2">
      <c r="Q702" s="1"/>
      <c r="R702" s="1"/>
    </row>
    <row r="703" spans="17:18" ht="15.75" customHeight="1" x14ac:dyDescent="0.2">
      <c r="Q703" s="1"/>
      <c r="R703" s="1"/>
    </row>
    <row r="704" spans="17:18" ht="15.75" customHeight="1" x14ac:dyDescent="0.2">
      <c r="Q704" s="1"/>
      <c r="R704" s="1"/>
    </row>
    <row r="705" spans="17:18" ht="15.75" customHeight="1" x14ac:dyDescent="0.2">
      <c r="Q705" s="1"/>
      <c r="R705" s="1"/>
    </row>
    <row r="706" spans="17:18" ht="15.75" customHeight="1" x14ac:dyDescent="0.2">
      <c r="Q706" s="1"/>
      <c r="R706" s="1"/>
    </row>
    <row r="707" spans="17:18" ht="15.75" customHeight="1" x14ac:dyDescent="0.2">
      <c r="Q707" s="1"/>
      <c r="R707" s="1"/>
    </row>
    <row r="708" spans="17:18" ht="15.75" customHeight="1" x14ac:dyDescent="0.2">
      <c r="Q708" s="1"/>
      <c r="R708" s="1"/>
    </row>
    <row r="709" spans="17:18" ht="15.75" customHeight="1" x14ac:dyDescent="0.2">
      <c r="Q709" s="1"/>
      <c r="R709" s="1"/>
    </row>
    <row r="710" spans="17:18" ht="15.75" customHeight="1" x14ac:dyDescent="0.2">
      <c r="Q710" s="1"/>
      <c r="R710" s="1"/>
    </row>
    <row r="711" spans="17:18" ht="15.75" customHeight="1" x14ac:dyDescent="0.2">
      <c r="Q711" s="1"/>
      <c r="R711" s="1"/>
    </row>
    <row r="712" spans="17:18" ht="15.75" customHeight="1" x14ac:dyDescent="0.2">
      <c r="Q712" s="1"/>
      <c r="R712" s="1"/>
    </row>
    <row r="713" spans="17:18" ht="15.75" customHeight="1" x14ac:dyDescent="0.2">
      <c r="Q713" s="1"/>
      <c r="R713" s="1"/>
    </row>
    <row r="714" spans="17:18" ht="15.75" customHeight="1" x14ac:dyDescent="0.2">
      <c r="Q714" s="1"/>
      <c r="R714" s="1"/>
    </row>
    <row r="715" spans="17:18" ht="15.75" customHeight="1" x14ac:dyDescent="0.2">
      <c r="Q715" s="1"/>
      <c r="R715" s="1"/>
    </row>
    <row r="716" spans="17:18" ht="15.75" customHeight="1" x14ac:dyDescent="0.2">
      <c r="Q716" s="1"/>
      <c r="R716" s="1"/>
    </row>
    <row r="717" spans="17:18" ht="15.75" customHeight="1" x14ac:dyDescent="0.2">
      <c r="Q717" s="1"/>
      <c r="R717" s="1"/>
    </row>
    <row r="718" spans="17:18" ht="15.75" customHeight="1" x14ac:dyDescent="0.2">
      <c r="Q718" s="1"/>
      <c r="R718" s="1"/>
    </row>
    <row r="719" spans="17:18" ht="15.75" customHeight="1" x14ac:dyDescent="0.2">
      <c r="Q719" s="1"/>
      <c r="R719" s="1"/>
    </row>
    <row r="720" spans="17:18" ht="15.75" customHeight="1" x14ac:dyDescent="0.2">
      <c r="Q720" s="1"/>
      <c r="R720" s="1"/>
    </row>
    <row r="721" spans="17:18" ht="15.75" customHeight="1" x14ac:dyDescent="0.2">
      <c r="Q721" s="1"/>
      <c r="R721" s="1"/>
    </row>
    <row r="722" spans="17:18" ht="15.75" customHeight="1" x14ac:dyDescent="0.2">
      <c r="Q722" s="1"/>
      <c r="R722" s="1"/>
    </row>
    <row r="723" spans="17:18" ht="15.75" customHeight="1" x14ac:dyDescent="0.2">
      <c r="Q723" s="1"/>
      <c r="R723" s="1"/>
    </row>
    <row r="724" spans="17:18" ht="15.75" customHeight="1" x14ac:dyDescent="0.2">
      <c r="Q724" s="1"/>
      <c r="R724" s="1"/>
    </row>
    <row r="725" spans="17:18" ht="15.75" customHeight="1" x14ac:dyDescent="0.2">
      <c r="Q725" s="1"/>
      <c r="R725" s="1"/>
    </row>
    <row r="726" spans="17:18" ht="15.75" customHeight="1" x14ac:dyDescent="0.2">
      <c r="Q726" s="1"/>
      <c r="R726" s="1"/>
    </row>
    <row r="727" spans="17:18" ht="15.75" customHeight="1" x14ac:dyDescent="0.2">
      <c r="Q727" s="1"/>
      <c r="R727" s="1"/>
    </row>
    <row r="728" spans="17:18" ht="15.75" customHeight="1" x14ac:dyDescent="0.2">
      <c r="Q728" s="1"/>
      <c r="R728" s="1"/>
    </row>
    <row r="729" spans="17:18" ht="15.75" customHeight="1" x14ac:dyDescent="0.2">
      <c r="Q729" s="1"/>
      <c r="R729" s="1"/>
    </row>
    <row r="730" spans="17:18" ht="15.75" customHeight="1" x14ac:dyDescent="0.2">
      <c r="Q730" s="1"/>
      <c r="R730" s="1"/>
    </row>
    <row r="731" spans="17:18" ht="15.75" customHeight="1" x14ac:dyDescent="0.2">
      <c r="Q731" s="1"/>
      <c r="R731" s="1"/>
    </row>
    <row r="732" spans="17:18" ht="15.75" customHeight="1" x14ac:dyDescent="0.2">
      <c r="Q732" s="1"/>
      <c r="R732" s="1"/>
    </row>
    <row r="733" spans="17:18" ht="15.75" customHeight="1" x14ac:dyDescent="0.2">
      <c r="Q733" s="1"/>
      <c r="R733" s="1"/>
    </row>
    <row r="734" spans="17:18" ht="15.75" customHeight="1" x14ac:dyDescent="0.2">
      <c r="Q734" s="1"/>
      <c r="R734" s="1"/>
    </row>
    <row r="735" spans="17:18" ht="15.75" customHeight="1" x14ac:dyDescent="0.2">
      <c r="Q735" s="1"/>
      <c r="R735" s="1"/>
    </row>
    <row r="736" spans="17:18" ht="15.75" customHeight="1" x14ac:dyDescent="0.2">
      <c r="Q736" s="1"/>
      <c r="R736" s="1"/>
    </row>
    <row r="737" spans="17:18" ht="15.75" customHeight="1" x14ac:dyDescent="0.2">
      <c r="Q737" s="1"/>
      <c r="R737" s="1"/>
    </row>
    <row r="738" spans="17:18" ht="15.75" customHeight="1" x14ac:dyDescent="0.2">
      <c r="Q738" s="1"/>
      <c r="R738" s="1"/>
    </row>
    <row r="739" spans="17:18" ht="15.75" customHeight="1" x14ac:dyDescent="0.2">
      <c r="Q739" s="1"/>
      <c r="R739" s="1"/>
    </row>
    <row r="740" spans="17:18" ht="15.75" customHeight="1" x14ac:dyDescent="0.2">
      <c r="Q740" s="1"/>
      <c r="R740" s="1"/>
    </row>
    <row r="741" spans="17:18" ht="15.75" customHeight="1" x14ac:dyDescent="0.2">
      <c r="Q741" s="1"/>
      <c r="R741" s="1"/>
    </row>
    <row r="742" spans="17:18" ht="15.75" customHeight="1" x14ac:dyDescent="0.2">
      <c r="Q742" s="1"/>
      <c r="R742" s="1"/>
    </row>
    <row r="743" spans="17:18" ht="15.75" customHeight="1" x14ac:dyDescent="0.2">
      <c r="Q743" s="1"/>
      <c r="R743" s="1"/>
    </row>
    <row r="744" spans="17:18" ht="15.75" customHeight="1" x14ac:dyDescent="0.2">
      <c r="Q744" s="1"/>
      <c r="R744" s="1"/>
    </row>
    <row r="745" spans="17:18" ht="15.75" customHeight="1" x14ac:dyDescent="0.2">
      <c r="Q745" s="1"/>
      <c r="R745" s="1"/>
    </row>
    <row r="746" spans="17:18" ht="15.75" customHeight="1" x14ac:dyDescent="0.2">
      <c r="Q746" s="1"/>
      <c r="R746" s="1"/>
    </row>
    <row r="747" spans="17:18" ht="15.75" customHeight="1" x14ac:dyDescent="0.2">
      <c r="Q747" s="1"/>
      <c r="R747" s="1"/>
    </row>
    <row r="748" spans="17:18" ht="15.75" customHeight="1" x14ac:dyDescent="0.2">
      <c r="Q748" s="1"/>
      <c r="R748" s="1"/>
    </row>
    <row r="749" spans="17:18" ht="15.75" customHeight="1" x14ac:dyDescent="0.2">
      <c r="Q749" s="1"/>
      <c r="R749" s="1"/>
    </row>
    <row r="750" spans="17:18" ht="15.75" customHeight="1" x14ac:dyDescent="0.2">
      <c r="Q750" s="1"/>
      <c r="R750" s="1"/>
    </row>
    <row r="751" spans="17:18" ht="15.75" customHeight="1" x14ac:dyDescent="0.2">
      <c r="Q751" s="1"/>
      <c r="R751" s="1"/>
    </row>
    <row r="752" spans="17:18" ht="15.75" customHeight="1" x14ac:dyDescent="0.2">
      <c r="Q752" s="1"/>
      <c r="R752" s="1"/>
    </row>
    <row r="753" spans="17:18" ht="15.75" customHeight="1" x14ac:dyDescent="0.2">
      <c r="Q753" s="1"/>
      <c r="R753" s="1"/>
    </row>
    <row r="754" spans="17:18" ht="15.75" customHeight="1" x14ac:dyDescent="0.2">
      <c r="Q754" s="1"/>
      <c r="R754" s="1"/>
    </row>
    <row r="755" spans="17:18" ht="15.75" customHeight="1" x14ac:dyDescent="0.2">
      <c r="Q755" s="1"/>
      <c r="R755" s="1"/>
    </row>
    <row r="756" spans="17:18" ht="15.75" customHeight="1" x14ac:dyDescent="0.2">
      <c r="Q756" s="1"/>
      <c r="R756" s="1"/>
    </row>
    <row r="757" spans="17:18" ht="15.75" customHeight="1" x14ac:dyDescent="0.2">
      <c r="Q757" s="1"/>
      <c r="R757" s="1"/>
    </row>
    <row r="758" spans="17:18" ht="15.75" customHeight="1" x14ac:dyDescent="0.2">
      <c r="Q758" s="1"/>
      <c r="R758" s="1"/>
    </row>
    <row r="759" spans="17:18" ht="15.75" customHeight="1" x14ac:dyDescent="0.2">
      <c r="Q759" s="1"/>
      <c r="R759" s="1"/>
    </row>
    <row r="760" spans="17:18" ht="15.75" customHeight="1" x14ac:dyDescent="0.2">
      <c r="Q760" s="1"/>
      <c r="R760" s="1"/>
    </row>
    <row r="761" spans="17:18" ht="15.75" customHeight="1" x14ac:dyDescent="0.2">
      <c r="Q761" s="1"/>
      <c r="R761" s="1"/>
    </row>
    <row r="762" spans="17:18" ht="15.75" customHeight="1" x14ac:dyDescent="0.2">
      <c r="Q762" s="1"/>
      <c r="R762" s="1"/>
    </row>
    <row r="763" spans="17:18" ht="15.75" customHeight="1" x14ac:dyDescent="0.2">
      <c r="Q763" s="1"/>
      <c r="R763" s="1"/>
    </row>
    <row r="764" spans="17:18" ht="15.75" customHeight="1" x14ac:dyDescent="0.2">
      <c r="Q764" s="1"/>
      <c r="R764" s="1"/>
    </row>
    <row r="765" spans="17:18" ht="15.75" customHeight="1" x14ac:dyDescent="0.2">
      <c r="Q765" s="1"/>
      <c r="R765" s="1"/>
    </row>
    <row r="766" spans="17:18" ht="15.75" customHeight="1" x14ac:dyDescent="0.2">
      <c r="Q766" s="1"/>
      <c r="R766" s="1"/>
    </row>
    <row r="767" spans="17:18" ht="15.75" customHeight="1" x14ac:dyDescent="0.2">
      <c r="Q767" s="1"/>
      <c r="R767" s="1"/>
    </row>
    <row r="768" spans="17:18" ht="15.75" customHeight="1" x14ac:dyDescent="0.2">
      <c r="Q768" s="1"/>
      <c r="R768" s="1"/>
    </row>
    <row r="769" spans="17:18" ht="15.75" customHeight="1" x14ac:dyDescent="0.2">
      <c r="Q769" s="1"/>
      <c r="R769" s="1"/>
    </row>
    <row r="770" spans="17:18" ht="15.75" customHeight="1" x14ac:dyDescent="0.2">
      <c r="Q770" s="1"/>
      <c r="R770" s="1"/>
    </row>
    <row r="771" spans="17:18" ht="15.75" customHeight="1" x14ac:dyDescent="0.2">
      <c r="Q771" s="1"/>
      <c r="R771" s="1"/>
    </row>
    <row r="772" spans="17:18" ht="15.75" customHeight="1" x14ac:dyDescent="0.2">
      <c r="Q772" s="1"/>
      <c r="R772" s="1"/>
    </row>
    <row r="773" spans="17:18" ht="15.75" customHeight="1" x14ac:dyDescent="0.2">
      <c r="Q773" s="1"/>
      <c r="R773" s="1"/>
    </row>
    <row r="774" spans="17:18" ht="15.75" customHeight="1" x14ac:dyDescent="0.2">
      <c r="Q774" s="1"/>
      <c r="R774" s="1"/>
    </row>
    <row r="775" spans="17:18" ht="15.75" customHeight="1" x14ac:dyDescent="0.2">
      <c r="Q775" s="1"/>
      <c r="R775" s="1"/>
    </row>
    <row r="776" spans="17:18" ht="15.75" customHeight="1" x14ac:dyDescent="0.2">
      <c r="Q776" s="1"/>
      <c r="R776" s="1"/>
    </row>
    <row r="777" spans="17:18" ht="15.75" customHeight="1" x14ac:dyDescent="0.2">
      <c r="Q777" s="1"/>
      <c r="R777" s="1"/>
    </row>
    <row r="778" spans="17:18" ht="15.75" customHeight="1" x14ac:dyDescent="0.2">
      <c r="Q778" s="1"/>
      <c r="R778" s="1"/>
    </row>
    <row r="779" spans="17:18" ht="15.75" customHeight="1" x14ac:dyDescent="0.2">
      <c r="Q779" s="1"/>
      <c r="R779" s="1"/>
    </row>
    <row r="780" spans="17:18" ht="15.75" customHeight="1" x14ac:dyDescent="0.2">
      <c r="Q780" s="1"/>
      <c r="R780" s="1"/>
    </row>
    <row r="781" spans="17:18" ht="15.75" customHeight="1" x14ac:dyDescent="0.2">
      <c r="Q781" s="1"/>
      <c r="R781" s="1"/>
    </row>
    <row r="782" spans="17:18" ht="15.75" customHeight="1" x14ac:dyDescent="0.2">
      <c r="Q782" s="1"/>
      <c r="R782" s="1"/>
    </row>
    <row r="783" spans="17:18" ht="15.75" customHeight="1" x14ac:dyDescent="0.2">
      <c r="Q783" s="1"/>
      <c r="R783" s="1"/>
    </row>
    <row r="784" spans="17:18" ht="15.75" customHeight="1" x14ac:dyDescent="0.2">
      <c r="Q784" s="1"/>
      <c r="R784" s="1"/>
    </row>
    <row r="785" spans="17:18" ht="15.75" customHeight="1" x14ac:dyDescent="0.2">
      <c r="Q785" s="1"/>
      <c r="R785" s="1"/>
    </row>
    <row r="786" spans="17:18" ht="15.75" customHeight="1" x14ac:dyDescent="0.2">
      <c r="Q786" s="1"/>
      <c r="R786" s="1"/>
    </row>
    <row r="787" spans="17:18" ht="15.75" customHeight="1" x14ac:dyDescent="0.2">
      <c r="Q787" s="1"/>
      <c r="R787" s="1"/>
    </row>
    <row r="788" spans="17:18" ht="15.75" customHeight="1" x14ac:dyDescent="0.2">
      <c r="Q788" s="1"/>
      <c r="R788" s="1"/>
    </row>
    <row r="789" spans="17:18" ht="15.75" customHeight="1" x14ac:dyDescent="0.2">
      <c r="Q789" s="1"/>
      <c r="R789" s="1"/>
    </row>
    <row r="790" spans="17:18" ht="15.75" customHeight="1" x14ac:dyDescent="0.2">
      <c r="Q790" s="1"/>
      <c r="R790" s="1"/>
    </row>
    <row r="791" spans="17:18" ht="15.75" customHeight="1" x14ac:dyDescent="0.2">
      <c r="Q791" s="1"/>
      <c r="R791" s="1"/>
    </row>
    <row r="792" spans="17:18" ht="15.75" customHeight="1" x14ac:dyDescent="0.2">
      <c r="Q792" s="1"/>
      <c r="R792" s="1"/>
    </row>
    <row r="793" spans="17:18" ht="15.75" customHeight="1" x14ac:dyDescent="0.2">
      <c r="Q793" s="1"/>
      <c r="R793" s="1"/>
    </row>
    <row r="794" spans="17:18" ht="15.75" customHeight="1" x14ac:dyDescent="0.2">
      <c r="Q794" s="1"/>
      <c r="R794" s="1"/>
    </row>
    <row r="795" spans="17:18" ht="15.75" customHeight="1" x14ac:dyDescent="0.2">
      <c r="Q795" s="1"/>
      <c r="R795" s="1"/>
    </row>
    <row r="796" spans="17:18" ht="15.75" customHeight="1" x14ac:dyDescent="0.2">
      <c r="Q796" s="1"/>
      <c r="R796" s="1"/>
    </row>
    <row r="797" spans="17:18" ht="15.75" customHeight="1" x14ac:dyDescent="0.2">
      <c r="Q797" s="1"/>
      <c r="R797" s="1"/>
    </row>
    <row r="798" spans="17:18" ht="15.75" customHeight="1" x14ac:dyDescent="0.2">
      <c r="Q798" s="1"/>
      <c r="R798" s="1"/>
    </row>
    <row r="799" spans="17:18" ht="15.75" customHeight="1" x14ac:dyDescent="0.2">
      <c r="Q799" s="1"/>
      <c r="R799" s="1"/>
    </row>
    <row r="800" spans="17:18" ht="15.75" customHeight="1" x14ac:dyDescent="0.2">
      <c r="Q800" s="1"/>
      <c r="R800" s="1"/>
    </row>
    <row r="801" spans="17:18" ht="15.75" customHeight="1" x14ac:dyDescent="0.2">
      <c r="Q801" s="1"/>
      <c r="R801" s="1"/>
    </row>
    <row r="802" spans="17:18" ht="15.75" customHeight="1" x14ac:dyDescent="0.2">
      <c r="Q802" s="1"/>
      <c r="R802" s="1"/>
    </row>
    <row r="803" spans="17:18" ht="15.75" customHeight="1" x14ac:dyDescent="0.2">
      <c r="Q803" s="1"/>
      <c r="R803" s="1"/>
    </row>
    <row r="804" spans="17:18" ht="15.75" customHeight="1" x14ac:dyDescent="0.2">
      <c r="Q804" s="1"/>
      <c r="R804" s="1"/>
    </row>
    <row r="805" spans="17:18" ht="15.75" customHeight="1" x14ac:dyDescent="0.2">
      <c r="Q805" s="1"/>
      <c r="R805" s="1"/>
    </row>
    <row r="806" spans="17:18" ht="15.75" customHeight="1" x14ac:dyDescent="0.2">
      <c r="Q806" s="1"/>
      <c r="R806" s="1"/>
    </row>
    <row r="807" spans="17:18" ht="15.75" customHeight="1" x14ac:dyDescent="0.2">
      <c r="Q807" s="1"/>
      <c r="R807" s="1"/>
    </row>
    <row r="808" spans="17:18" ht="15.75" customHeight="1" x14ac:dyDescent="0.2">
      <c r="Q808" s="1"/>
      <c r="R808" s="1"/>
    </row>
    <row r="809" spans="17:18" ht="15.75" customHeight="1" x14ac:dyDescent="0.2">
      <c r="Q809" s="1"/>
      <c r="R809" s="1"/>
    </row>
    <row r="810" spans="17:18" ht="15.75" customHeight="1" x14ac:dyDescent="0.2">
      <c r="Q810" s="1"/>
      <c r="R810" s="1"/>
    </row>
    <row r="811" spans="17:18" ht="15.75" customHeight="1" x14ac:dyDescent="0.2">
      <c r="Q811" s="1"/>
      <c r="R811" s="1"/>
    </row>
    <row r="812" spans="17:18" ht="15.75" customHeight="1" x14ac:dyDescent="0.2">
      <c r="Q812" s="1"/>
      <c r="R812" s="1"/>
    </row>
    <row r="813" spans="17:18" ht="15.75" customHeight="1" x14ac:dyDescent="0.2">
      <c r="Q813" s="1"/>
      <c r="R813" s="1"/>
    </row>
    <row r="814" spans="17:18" ht="15.75" customHeight="1" x14ac:dyDescent="0.2">
      <c r="Q814" s="1"/>
      <c r="R814" s="1"/>
    </row>
    <row r="815" spans="17:18" ht="15.75" customHeight="1" x14ac:dyDescent="0.2">
      <c r="Q815" s="1"/>
      <c r="R815" s="1"/>
    </row>
    <row r="816" spans="17:18" ht="15.75" customHeight="1" x14ac:dyDescent="0.2">
      <c r="Q816" s="1"/>
      <c r="R816" s="1"/>
    </row>
    <row r="817" spans="17:18" ht="15.75" customHeight="1" x14ac:dyDescent="0.2">
      <c r="Q817" s="1"/>
      <c r="R817" s="1"/>
    </row>
    <row r="818" spans="17:18" ht="15.75" customHeight="1" x14ac:dyDescent="0.2">
      <c r="Q818" s="1"/>
      <c r="R818" s="1"/>
    </row>
    <row r="819" spans="17:18" ht="15.75" customHeight="1" x14ac:dyDescent="0.2">
      <c r="Q819" s="1"/>
      <c r="R819" s="1"/>
    </row>
    <row r="820" spans="17:18" ht="15.75" customHeight="1" x14ac:dyDescent="0.2">
      <c r="Q820" s="1"/>
      <c r="R820" s="1"/>
    </row>
    <row r="821" spans="17:18" ht="15.75" customHeight="1" x14ac:dyDescent="0.2">
      <c r="Q821" s="1"/>
      <c r="R821" s="1"/>
    </row>
    <row r="822" spans="17:18" ht="15.75" customHeight="1" x14ac:dyDescent="0.2">
      <c r="Q822" s="1"/>
      <c r="R822" s="1"/>
    </row>
    <row r="823" spans="17:18" ht="15.75" customHeight="1" x14ac:dyDescent="0.2">
      <c r="Q823" s="1"/>
      <c r="R823" s="1"/>
    </row>
    <row r="824" spans="17:18" ht="15.75" customHeight="1" x14ac:dyDescent="0.2">
      <c r="Q824" s="1"/>
      <c r="R824" s="1"/>
    </row>
    <row r="825" spans="17:18" ht="15.75" customHeight="1" x14ac:dyDescent="0.2">
      <c r="Q825" s="1"/>
      <c r="R825" s="1"/>
    </row>
    <row r="826" spans="17:18" ht="15.75" customHeight="1" x14ac:dyDescent="0.2">
      <c r="Q826" s="1"/>
      <c r="R826" s="1"/>
    </row>
    <row r="827" spans="17:18" ht="15.75" customHeight="1" x14ac:dyDescent="0.2">
      <c r="Q827" s="1"/>
      <c r="R827" s="1"/>
    </row>
    <row r="828" spans="17:18" ht="15.75" customHeight="1" x14ac:dyDescent="0.2">
      <c r="Q828" s="1"/>
      <c r="R828" s="1"/>
    </row>
    <row r="829" spans="17:18" ht="15.75" customHeight="1" x14ac:dyDescent="0.2">
      <c r="Q829" s="1"/>
      <c r="R829" s="1"/>
    </row>
    <row r="830" spans="17:18" ht="15.75" customHeight="1" x14ac:dyDescent="0.2">
      <c r="Q830" s="1"/>
      <c r="R830" s="1"/>
    </row>
    <row r="831" spans="17:18" ht="15.75" customHeight="1" x14ac:dyDescent="0.2">
      <c r="Q831" s="1"/>
      <c r="R831" s="1"/>
    </row>
    <row r="832" spans="17:18" ht="15.75" customHeight="1" x14ac:dyDescent="0.2">
      <c r="Q832" s="1"/>
      <c r="R832" s="1"/>
    </row>
    <row r="833" spans="17:18" ht="15.75" customHeight="1" x14ac:dyDescent="0.2">
      <c r="Q833" s="1"/>
      <c r="R833" s="1"/>
    </row>
    <row r="834" spans="17:18" ht="15.75" customHeight="1" x14ac:dyDescent="0.2">
      <c r="Q834" s="1"/>
      <c r="R834" s="1"/>
    </row>
    <row r="835" spans="17:18" ht="15.75" customHeight="1" x14ac:dyDescent="0.2">
      <c r="Q835" s="1"/>
      <c r="R835" s="1"/>
    </row>
    <row r="836" spans="17:18" ht="15.75" customHeight="1" x14ac:dyDescent="0.2">
      <c r="Q836" s="1"/>
      <c r="R836" s="1"/>
    </row>
    <row r="837" spans="17:18" ht="15.75" customHeight="1" x14ac:dyDescent="0.2">
      <c r="Q837" s="1"/>
      <c r="R837" s="1"/>
    </row>
    <row r="838" spans="17:18" ht="15.75" customHeight="1" x14ac:dyDescent="0.2">
      <c r="Q838" s="1"/>
      <c r="R838" s="1"/>
    </row>
    <row r="839" spans="17:18" ht="15.75" customHeight="1" x14ac:dyDescent="0.2">
      <c r="Q839" s="1"/>
      <c r="R839" s="1"/>
    </row>
    <row r="840" spans="17:18" ht="15.75" customHeight="1" x14ac:dyDescent="0.2">
      <c r="Q840" s="1"/>
      <c r="R840" s="1"/>
    </row>
    <row r="841" spans="17:18" ht="15.75" customHeight="1" x14ac:dyDescent="0.2">
      <c r="Q841" s="1"/>
      <c r="R841" s="1"/>
    </row>
    <row r="842" spans="17:18" ht="15.75" customHeight="1" x14ac:dyDescent="0.2">
      <c r="Q842" s="1"/>
      <c r="R842" s="1"/>
    </row>
    <row r="843" spans="17:18" ht="15.75" customHeight="1" x14ac:dyDescent="0.2">
      <c r="Q843" s="1"/>
      <c r="R843" s="1"/>
    </row>
    <row r="844" spans="17:18" ht="15.75" customHeight="1" x14ac:dyDescent="0.2">
      <c r="Q844" s="1"/>
      <c r="R844" s="1"/>
    </row>
    <row r="845" spans="17:18" ht="15.75" customHeight="1" x14ac:dyDescent="0.2">
      <c r="Q845" s="1"/>
      <c r="R845" s="1"/>
    </row>
    <row r="846" spans="17:18" ht="15.75" customHeight="1" x14ac:dyDescent="0.2">
      <c r="Q846" s="1"/>
      <c r="R846" s="1"/>
    </row>
    <row r="847" spans="17:18" ht="15.75" customHeight="1" x14ac:dyDescent="0.2">
      <c r="Q847" s="1"/>
      <c r="R847" s="1"/>
    </row>
    <row r="848" spans="17:18" ht="15.75" customHeight="1" x14ac:dyDescent="0.2">
      <c r="Q848" s="1"/>
      <c r="R848" s="1"/>
    </row>
    <row r="849" spans="17:18" ht="15.75" customHeight="1" x14ac:dyDescent="0.2">
      <c r="Q849" s="1"/>
      <c r="R849" s="1"/>
    </row>
    <row r="850" spans="17:18" ht="15.75" customHeight="1" x14ac:dyDescent="0.2">
      <c r="Q850" s="1"/>
      <c r="R850" s="1"/>
    </row>
    <row r="851" spans="17:18" ht="15.75" customHeight="1" x14ac:dyDescent="0.2">
      <c r="Q851" s="1"/>
      <c r="R851" s="1"/>
    </row>
    <row r="852" spans="17:18" ht="15.75" customHeight="1" x14ac:dyDescent="0.2">
      <c r="Q852" s="1"/>
      <c r="R852" s="1"/>
    </row>
    <row r="853" spans="17:18" ht="15.75" customHeight="1" x14ac:dyDescent="0.2">
      <c r="Q853" s="1"/>
      <c r="R853" s="1"/>
    </row>
    <row r="854" spans="17:18" ht="15.75" customHeight="1" x14ac:dyDescent="0.2">
      <c r="Q854" s="1"/>
      <c r="R854" s="1"/>
    </row>
    <row r="855" spans="17:18" ht="15.75" customHeight="1" x14ac:dyDescent="0.2">
      <c r="Q855" s="1"/>
      <c r="R855" s="1"/>
    </row>
    <row r="856" spans="17:18" ht="15.75" customHeight="1" x14ac:dyDescent="0.2">
      <c r="Q856" s="1"/>
      <c r="R856" s="1"/>
    </row>
    <row r="857" spans="17:18" ht="15.75" customHeight="1" x14ac:dyDescent="0.2">
      <c r="Q857" s="1"/>
      <c r="R857" s="1"/>
    </row>
    <row r="858" spans="17:18" ht="15.75" customHeight="1" x14ac:dyDescent="0.2">
      <c r="Q858" s="1"/>
      <c r="R858" s="1"/>
    </row>
    <row r="859" spans="17:18" ht="15.75" customHeight="1" x14ac:dyDescent="0.2">
      <c r="Q859" s="1"/>
      <c r="R859" s="1"/>
    </row>
    <row r="860" spans="17:18" ht="15.75" customHeight="1" x14ac:dyDescent="0.2">
      <c r="Q860" s="1"/>
      <c r="R860" s="1"/>
    </row>
    <row r="861" spans="17:18" ht="15.75" customHeight="1" x14ac:dyDescent="0.2">
      <c r="Q861" s="1"/>
      <c r="R861" s="1"/>
    </row>
    <row r="862" spans="17:18" ht="15.75" customHeight="1" x14ac:dyDescent="0.2">
      <c r="Q862" s="1"/>
      <c r="R862" s="1"/>
    </row>
    <row r="863" spans="17:18" ht="15.75" customHeight="1" x14ac:dyDescent="0.2">
      <c r="Q863" s="1"/>
      <c r="R863" s="1"/>
    </row>
    <row r="864" spans="17:18" ht="15.75" customHeight="1" x14ac:dyDescent="0.2">
      <c r="Q864" s="1"/>
      <c r="R864" s="1"/>
    </row>
    <row r="865" spans="17:18" ht="15.75" customHeight="1" x14ac:dyDescent="0.2">
      <c r="Q865" s="1"/>
      <c r="R865" s="1"/>
    </row>
    <row r="866" spans="17:18" ht="15.75" customHeight="1" x14ac:dyDescent="0.2">
      <c r="Q866" s="1"/>
      <c r="R866" s="1"/>
    </row>
    <row r="867" spans="17:18" ht="15.75" customHeight="1" x14ac:dyDescent="0.2">
      <c r="Q867" s="1"/>
      <c r="R867" s="1"/>
    </row>
    <row r="868" spans="17:18" ht="15.75" customHeight="1" x14ac:dyDescent="0.2">
      <c r="Q868" s="1"/>
      <c r="R868" s="1"/>
    </row>
    <row r="869" spans="17:18" ht="15.75" customHeight="1" x14ac:dyDescent="0.2">
      <c r="Q869" s="1"/>
      <c r="R869" s="1"/>
    </row>
    <row r="870" spans="17:18" ht="15.75" customHeight="1" x14ac:dyDescent="0.2">
      <c r="Q870" s="1"/>
      <c r="R870" s="1"/>
    </row>
    <row r="871" spans="17:18" ht="15.75" customHeight="1" x14ac:dyDescent="0.2">
      <c r="Q871" s="1"/>
      <c r="R871" s="1"/>
    </row>
    <row r="872" spans="17:18" ht="15.75" customHeight="1" x14ac:dyDescent="0.2">
      <c r="Q872" s="1"/>
      <c r="R872" s="1"/>
    </row>
    <row r="873" spans="17:18" ht="15.75" customHeight="1" x14ac:dyDescent="0.2">
      <c r="Q873" s="1"/>
      <c r="R873" s="1"/>
    </row>
    <row r="874" spans="17:18" ht="15.75" customHeight="1" x14ac:dyDescent="0.2">
      <c r="Q874" s="1"/>
      <c r="R874" s="1"/>
    </row>
    <row r="875" spans="17:18" ht="15.75" customHeight="1" x14ac:dyDescent="0.2">
      <c r="Q875" s="1"/>
      <c r="R875" s="1"/>
    </row>
    <row r="876" spans="17:18" ht="15.75" customHeight="1" x14ac:dyDescent="0.2">
      <c r="Q876" s="1"/>
      <c r="R876" s="1"/>
    </row>
    <row r="877" spans="17:18" ht="15.75" customHeight="1" x14ac:dyDescent="0.2">
      <c r="Q877" s="1"/>
      <c r="R877" s="1"/>
    </row>
    <row r="878" spans="17:18" ht="15.75" customHeight="1" x14ac:dyDescent="0.2">
      <c r="Q878" s="1"/>
      <c r="R878" s="1"/>
    </row>
    <row r="879" spans="17:18" ht="15.75" customHeight="1" x14ac:dyDescent="0.2">
      <c r="Q879" s="1"/>
      <c r="R879" s="1"/>
    </row>
    <row r="880" spans="17:18" ht="15.75" customHeight="1" x14ac:dyDescent="0.2">
      <c r="Q880" s="1"/>
      <c r="R880" s="1"/>
    </row>
    <row r="881" spans="17:18" ht="15.75" customHeight="1" x14ac:dyDescent="0.2">
      <c r="Q881" s="1"/>
      <c r="R881" s="1"/>
    </row>
    <row r="882" spans="17:18" ht="15.75" customHeight="1" x14ac:dyDescent="0.2">
      <c r="Q882" s="1"/>
      <c r="R882" s="1"/>
    </row>
    <row r="883" spans="17:18" ht="15.75" customHeight="1" x14ac:dyDescent="0.2">
      <c r="Q883" s="1"/>
      <c r="R883" s="1"/>
    </row>
    <row r="884" spans="17:18" ht="15.75" customHeight="1" x14ac:dyDescent="0.2">
      <c r="Q884" s="1"/>
      <c r="R884" s="1"/>
    </row>
    <row r="885" spans="17:18" ht="15.75" customHeight="1" x14ac:dyDescent="0.2">
      <c r="Q885" s="1"/>
      <c r="R885" s="1"/>
    </row>
    <row r="886" spans="17:18" ht="15.75" customHeight="1" x14ac:dyDescent="0.2">
      <c r="Q886" s="1"/>
      <c r="R886" s="1"/>
    </row>
    <row r="887" spans="17:18" ht="15.75" customHeight="1" x14ac:dyDescent="0.2">
      <c r="Q887" s="1"/>
      <c r="R887" s="1"/>
    </row>
    <row r="888" spans="17:18" ht="15.75" customHeight="1" x14ac:dyDescent="0.2">
      <c r="Q888" s="1"/>
      <c r="R888" s="1"/>
    </row>
    <row r="889" spans="17:18" ht="15.75" customHeight="1" x14ac:dyDescent="0.2">
      <c r="Q889" s="1"/>
      <c r="R889" s="1"/>
    </row>
    <row r="890" spans="17:18" ht="15.75" customHeight="1" x14ac:dyDescent="0.2">
      <c r="Q890" s="1"/>
      <c r="R890" s="1"/>
    </row>
    <row r="891" spans="17:18" ht="15.75" customHeight="1" x14ac:dyDescent="0.2">
      <c r="Q891" s="1"/>
      <c r="R891" s="1"/>
    </row>
    <row r="892" spans="17:18" ht="15.75" customHeight="1" x14ac:dyDescent="0.2">
      <c r="Q892" s="1"/>
      <c r="R892" s="1"/>
    </row>
    <row r="893" spans="17:18" ht="15.75" customHeight="1" x14ac:dyDescent="0.2">
      <c r="Q893" s="1"/>
      <c r="R893" s="1"/>
    </row>
    <row r="894" spans="17:18" ht="15.75" customHeight="1" x14ac:dyDescent="0.2">
      <c r="Q894" s="1"/>
      <c r="R894" s="1"/>
    </row>
    <row r="895" spans="17:18" ht="15.75" customHeight="1" x14ac:dyDescent="0.2">
      <c r="Q895" s="1"/>
      <c r="R895" s="1"/>
    </row>
    <row r="896" spans="17:18" ht="15.75" customHeight="1" x14ac:dyDescent="0.2">
      <c r="Q896" s="1"/>
      <c r="R896" s="1"/>
    </row>
    <row r="897" spans="17:18" ht="15.75" customHeight="1" x14ac:dyDescent="0.2">
      <c r="Q897" s="1"/>
      <c r="R897" s="1"/>
    </row>
    <row r="898" spans="17:18" ht="15.75" customHeight="1" x14ac:dyDescent="0.2">
      <c r="Q898" s="1"/>
      <c r="R898" s="1"/>
    </row>
    <row r="899" spans="17:18" ht="15.75" customHeight="1" x14ac:dyDescent="0.2">
      <c r="Q899" s="1"/>
      <c r="R899" s="1"/>
    </row>
    <row r="900" spans="17:18" ht="15.75" customHeight="1" x14ac:dyDescent="0.2">
      <c r="Q900" s="1"/>
      <c r="R900" s="1"/>
    </row>
    <row r="901" spans="17:18" ht="15.75" customHeight="1" x14ac:dyDescent="0.2">
      <c r="Q901" s="1"/>
      <c r="R901" s="1"/>
    </row>
    <row r="902" spans="17:18" ht="15.75" customHeight="1" x14ac:dyDescent="0.2">
      <c r="Q902" s="1"/>
      <c r="R902" s="1"/>
    </row>
    <row r="903" spans="17:18" ht="15.75" customHeight="1" x14ac:dyDescent="0.2">
      <c r="Q903" s="1"/>
      <c r="R903" s="1"/>
    </row>
    <row r="904" spans="17:18" ht="15.75" customHeight="1" x14ac:dyDescent="0.2">
      <c r="Q904" s="1"/>
      <c r="R904" s="1"/>
    </row>
    <row r="905" spans="17:18" ht="15.75" customHeight="1" x14ac:dyDescent="0.2">
      <c r="Q905" s="1"/>
      <c r="R905" s="1"/>
    </row>
    <row r="906" spans="17:18" ht="15.75" customHeight="1" x14ac:dyDescent="0.2">
      <c r="Q906" s="1"/>
      <c r="R906" s="1"/>
    </row>
    <row r="907" spans="17:18" ht="15.75" customHeight="1" x14ac:dyDescent="0.2">
      <c r="Q907" s="1"/>
      <c r="R907" s="1"/>
    </row>
    <row r="908" spans="17:18" ht="15.75" customHeight="1" x14ac:dyDescent="0.2">
      <c r="Q908" s="1"/>
      <c r="R908" s="1"/>
    </row>
    <row r="909" spans="17:18" ht="15.75" customHeight="1" x14ac:dyDescent="0.2">
      <c r="Q909" s="1"/>
      <c r="R909" s="1"/>
    </row>
    <row r="910" spans="17:18" ht="15.75" customHeight="1" x14ac:dyDescent="0.2">
      <c r="Q910" s="1"/>
      <c r="R910" s="1"/>
    </row>
    <row r="911" spans="17:18" ht="15.75" customHeight="1" x14ac:dyDescent="0.2">
      <c r="Q911" s="1"/>
      <c r="R911" s="1"/>
    </row>
    <row r="912" spans="17:18" ht="15.75" customHeight="1" x14ac:dyDescent="0.2">
      <c r="Q912" s="1"/>
      <c r="R912" s="1"/>
    </row>
    <row r="913" spans="17:18" ht="15.75" customHeight="1" x14ac:dyDescent="0.2">
      <c r="Q913" s="1"/>
      <c r="R913" s="1"/>
    </row>
    <row r="914" spans="17:18" ht="15.75" customHeight="1" x14ac:dyDescent="0.2">
      <c r="Q914" s="1"/>
      <c r="R914" s="1"/>
    </row>
    <row r="915" spans="17:18" ht="15.75" customHeight="1" x14ac:dyDescent="0.2">
      <c r="Q915" s="1"/>
      <c r="R915" s="1"/>
    </row>
    <row r="916" spans="17:18" ht="15.75" customHeight="1" x14ac:dyDescent="0.2">
      <c r="Q916" s="1"/>
      <c r="R916" s="1"/>
    </row>
    <row r="917" spans="17:18" ht="15.75" customHeight="1" x14ac:dyDescent="0.2">
      <c r="Q917" s="1"/>
      <c r="R917" s="1"/>
    </row>
    <row r="918" spans="17:18" ht="15.75" customHeight="1" x14ac:dyDescent="0.2">
      <c r="Q918" s="1"/>
      <c r="R918" s="1"/>
    </row>
    <row r="919" spans="17:18" ht="15.75" customHeight="1" x14ac:dyDescent="0.2">
      <c r="Q919" s="1"/>
      <c r="R919" s="1"/>
    </row>
    <row r="920" spans="17:18" ht="15.75" customHeight="1" x14ac:dyDescent="0.2">
      <c r="Q920" s="1"/>
      <c r="R920" s="1"/>
    </row>
    <row r="921" spans="17:18" ht="15.75" customHeight="1" x14ac:dyDescent="0.2">
      <c r="Q921" s="1"/>
      <c r="R921" s="1"/>
    </row>
    <row r="922" spans="17:18" ht="15.75" customHeight="1" x14ac:dyDescent="0.2">
      <c r="Q922" s="1"/>
      <c r="R922" s="1"/>
    </row>
    <row r="923" spans="17:18" ht="15.75" customHeight="1" x14ac:dyDescent="0.2">
      <c r="Q923" s="1"/>
      <c r="R923" s="1"/>
    </row>
    <row r="924" spans="17:18" ht="15.75" customHeight="1" x14ac:dyDescent="0.2">
      <c r="Q924" s="1"/>
      <c r="R924" s="1"/>
    </row>
    <row r="925" spans="17:18" ht="15.75" customHeight="1" x14ac:dyDescent="0.2">
      <c r="Q925" s="1"/>
      <c r="R925" s="1"/>
    </row>
    <row r="926" spans="17:18" ht="15.75" customHeight="1" x14ac:dyDescent="0.2">
      <c r="Q926" s="1"/>
      <c r="R926" s="1"/>
    </row>
    <row r="927" spans="17:18" ht="15.75" customHeight="1" x14ac:dyDescent="0.2">
      <c r="Q927" s="1"/>
      <c r="R927" s="1"/>
    </row>
    <row r="928" spans="17:18" ht="15.75" customHeight="1" x14ac:dyDescent="0.2">
      <c r="Q928" s="1"/>
      <c r="R928" s="1"/>
    </row>
    <row r="929" spans="17:18" ht="15.75" customHeight="1" x14ac:dyDescent="0.2">
      <c r="Q929" s="1"/>
      <c r="R929" s="1"/>
    </row>
    <row r="930" spans="17:18" ht="15.75" customHeight="1" x14ac:dyDescent="0.2">
      <c r="Q930" s="1"/>
      <c r="R930" s="1"/>
    </row>
    <row r="931" spans="17:18" ht="15.75" customHeight="1" x14ac:dyDescent="0.2">
      <c r="Q931" s="1"/>
      <c r="R931" s="1"/>
    </row>
    <row r="932" spans="17:18" ht="15.75" customHeight="1" x14ac:dyDescent="0.2">
      <c r="Q932" s="1"/>
      <c r="R932" s="1"/>
    </row>
    <row r="933" spans="17:18" ht="15.75" customHeight="1" x14ac:dyDescent="0.2">
      <c r="Q933" s="1"/>
      <c r="R933" s="1"/>
    </row>
    <row r="934" spans="17:18" ht="15.75" customHeight="1" x14ac:dyDescent="0.2">
      <c r="Q934" s="1"/>
      <c r="R934" s="1"/>
    </row>
    <row r="935" spans="17:18" ht="15.75" customHeight="1" x14ac:dyDescent="0.2">
      <c r="Q935" s="1"/>
      <c r="R935" s="1"/>
    </row>
    <row r="936" spans="17:18" ht="15.75" customHeight="1" x14ac:dyDescent="0.2">
      <c r="Q936" s="1"/>
      <c r="R936" s="1"/>
    </row>
    <row r="937" spans="17:18" ht="15.75" customHeight="1" x14ac:dyDescent="0.2">
      <c r="Q937" s="1"/>
      <c r="R937" s="1"/>
    </row>
    <row r="938" spans="17:18" ht="15.75" customHeight="1" x14ac:dyDescent="0.2">
      <c r="Q938" s="1"/>
      <c r="R938" s="1"/>
    </row>
    <row r="939" spans="17:18" ht="15.75" customHeight="1" x14ac:dyDescent="0.2">
      <c r="Q939" s="1"/>
      <c r="R939" s="1"/>
    </row>
    <row r="940" spans="17:18" ht="15.75" customHeight="1" x14ac:dyDescent="0.2">
      <c r="Q940" s="1"/>
      <c r="R940" s="1"/>
    </row>
    <row r="941" spans="17:18" ht="15.75" customHeight="1" x14ac:dyDescent="0.2">
      <c r="Q941" s="1"/>
      <c r="R941" s="1"/>
    </row>
    <row r="942" spans="17:18" ht="15.75" customHeight="1" x14ac:dyDescent="0.2">
      <c r="Q942" s="1"/>
      <c r="R942" s="1"/>
    </row>
    <row r="943" spans="17:18" ht="15.75" customHeight="1" x14ac:dyDescent="0.2">
      <c r="Q943" s="1"/>
      <c r="R943" s="1"/>
    </row>
    <row r="944" spans="17:18" ht="15.75" customHeight="1" x14ac:dyDescent="0.2">
      <c r="Q944" s="1"/>
      <c r="R944" s="1"/>
    </row>
    <row r="945" spans="17:18" ht="15.75" customHeight="1" x14ac:dyDescent="0.2">
      <c r="Q945" s="1"/>
      <c r="R945" s="1"/>
    </row>
    <row r="946" spans="17:18" ht="15.75" customHeight="1" x14ac:dyDescent="0.2">
      <c r="Q946" s="1"/>
      <c r="R946" s="1"/>
    </row>
    <row r="947" spans="17:18" ht="15.75" customHeight="1" x14ac:dyDescent="0.2">
      <c r="Q947" s="1"/>
      <c r="R947" s="1"/>
    </row>
    <row r="948" spans="17:18" ht="15.75" customHeight="1" x14ac:dyDescent="0.2">
      <c r="Q948" s="1"/>
      <c r="R948" s="1"/>
    </row>
    <row r="949" spans="17:18" ht="15.75" customHeight="1" x14ac:dyDescent="0.2">
      <c r="Q949" s="1"/>
      <c r="R949" s="1"/>
    </row>
    <row r="950" spans="17:18" ht="15.75" customHeight="1" x14ac:dyDescent="0.2">
      <c r="Q950" s="1"/>
      <c r="R950" s="1"/>
    </row>
    <row r="951" spans="17:18" ht="15.75" customHeight="1" x14ac:dyDescent="0.2">
      <c r="Q951" s="1"/>
      <c r="R951" s="1"/>
    </row>
    <row r="952" spans="17:18" ht="15.75" customHeight="1" x14ac:dyDescent="0.2">
      <c r="Q952" s="1"/>
      <c r="R952" s="1"/>
    </row>
    <row r="953" spans="17:18" ht="15.75" customHeight="1" x14ac:dyDescent="0.2">
      <c r="Q953" s="1"/>
      <c r="R953" s="1"/>
    </row>
    <row r="954" spans="17:18" ht="15.75" customHeight="1" x14ac:dyDescent="0.2">
      <c r="Q954" s="1"/>
      <c r="R954" s="1"/>
    </row>
    <row r="955" spans="17:18" ht="15.75" customHeight="1" x14ac:dyDescent="0.2">
      <c r="Q955" s="1"/>
      <c r="R955" s="1"/>
    </row>
    <row r="956" spans="17:18" ht="15.75" customHeight="1" x14ac:dyDescent="0.2">
      <c r="Q956" s="1"/>
      <c r="R956" s="1"/>
    </row>
    <row r="957" spans="17:18" ht="15.75" customHeight="1" x14ac:dyDescent="0.2">
      <c r="Q957" s="1"/>
      <c r="R957" s="1"/>
    </row>
    <row r="958" spans="17:18" ht="15.75" customHeight="1" x14ac:dyDescent="0.2">
      <c r="Q958" s="1"/>
      <c r="R958" s="1"/>
    </row>
    <row r="959" spans="17:18" ht="15.75" customHeight="1" x14ac:dyDescent="0.2">
      <c r="Q959" s="1"/>
      <c r="R959" s="1"/>
    </row>
    <row r="960" spans="17:18" ht="15.75" customHeight="1" x14ac:dyDescent="0.2">
      <c r="Q960" s="1"/>
      <c r="R960" s="1"/>
    </row>
    <row r="961" spans="17:18" ht="15.75" customHeight="1" x14ac:dyDescent="0.2">
      <c r="Q961" s="1"/>
      <c r="R961" s="1"/>
    </row>
    <row r="962" spans="17:18" ht="15.75" customHeight="1" x14ac:dyDescent="0.2">
      <c r="Q962" s="1"/>
      <c r="R962" s="1"/>
    </row>
    <row r="963" spans="17:18" ht="15.75" customHeight="1" x14ac:dyDescent="0.2">
      <c r="Q963" s="1"/>
      <c r="R963" s="1"/>
    </row>
    <row r="964" spans="17:18" ht="15.75" customHeight="1" x14ac:dyDescent="0.2">
      <c r="Q964" s="1"/>
      <c r="R964" s="1"/>
    </row>
    <row r="965" spans="17:18" ht="15.75" customHeight="1" x14ac:dyDescent="0.2">
      <c r="Q965" s="1"/>
      <c r="R965" s="1"/>
    </row>
    <row r="966" spans="17:18" ht="15.75" customHeight="1" x14ac:dyDescent="0.2">
      <c r="Q966" s="1"/>
      <c r="R966" s="1"/>
    </row>
    <row r="967" spans="17:18" ht="15.75" customHeight="1" x14ac:dyDescent="0.2">
      <c r="Q967" s="1"/>
      <c r="R967" s="1"/>
    </row>
    <row r="968" spans="17:18" ht="15.75" customHeight="1" x14ac:dyDescent="0.2">
      <c r="Q968" s="1"/>
      <c r="R968" s="1"/>
    </row>
    <row r="969" spans="17:18" ht="15.75" customHeight="1" x14ac:dyDescent="0.2">
      <c r="Q969" s="1"/>
      <c r="R969" s="1"/>
    </row>
    <row r="970" spans="17:18" ht="15.75" customHeight="1" x14ac:dyDescent="0.2">
      <c r="Q970" s="1"/>
      <c r="R970" s="1"/>
    </row>
    <row r="971" spans="17:18" ht="15.75" customHeight="1" x14ac:dyDescent="0.2">
      <c r="Q971" s="1"/>
      <c r="R971" s="1"/>
    </row>
    <row r="972" spans="17:18" ht="15.75" customHeight="1" x14ac:dyDescent="0.2">
      <c r="Q972" s="1"/>
      <c r="R972" s="1"/>
    </row>
    <row r="973" spans="17:18" ht="15.75" customHeight="1" x14ac:dyDescent="0.2">
      <c r="Q973" s="1"/>
      <c r="R973" s="1"/>
    </row>
    <row r="974" spans="17:18" ht="15.75" customHeight="1" x14ac:dyDescent="0.2">
      <c r="Q974" s="1"/>
      <c r="R974" s="1"/>
    </row>
    <row r="975" spans="17:18" ht="15.75" customHeight="1" x14ac:dyDescent="0.2">
      <c r="Q975" s="1"/>
      <c r="R975" s="1"/>
    </row>
    <row r="976" spans="17:18" ht="15.75" customHeight="1" x14ac:dyDescent="0.2">
      <c r="Q976" s="1"/>
      <c r="R976" s="1"/>
    </row>
    <row r="977" spans="17:18" ht="15.75" customHeight="1" x14ac:dyDescent="0.2">
      <c r="Q977" s="1"/>
      <c r="R977" s="1"/>
    </row>
    <row r="978" spans="17:18" ht="15.75" customHeight="1" x14ac:dyDescent="0.2">
      <c r="Q978" s="1"/>
      <c r="R978" s="1"/>
    </row>
    <row r="979" spans="17:18" ht="15.75" customHeight="1" x14ac:dyDescent="0.2">
      <c r="Q979" s="1"/>
      <c r="R979" s="1"/>
    </row>
    <row r="980" spans="17:18" ht="15.75" customHeight="1" x14ac:dyDescent="0.2">
      <c r="Q980" s="1"/>
      <c r="R980" s="1"/>
    </row>
    <row r="981" spans="17:18" ht="15.75" customHeight="1" x14ac:dyDescent="0.2">
      <c r="Q981" s="1"/>
      <c r="R981" s="1"/>
    </row>
    <row r="982" spans="17:18" ht="15.75" customHeight="1" x14ac:dyDescent="0.2">
      <c r="Q982" s="1"/>
      <c r="R982" s="1"/>
    </row>
    <row r="983" spans="17:18" ht="15.75" customHeight="1" x14ac:dyDescent="0.2">
      <c r="Q983" s="1"/>
      <c r="R983" s="1"/>
    </row>
    <row r="984" spans="17:18" ht="15.75" customHeight="1" x14ac:dyDescent="0.2">
      <c r="Q984" s="1"/>
      <c r="R984" s="1"/>
    </row>
    <row r="985" spans="17:18" ht="15.75" customHeight="1" x14ac:dyDescent="0.2">
      <c r="Q985" s="1"/>
      <c r="R985" s="1"/>
    </row>
    <row r="986" spans="17:18" ht="15.75" customHeight="1" x14ac:dyDescent="0.2">
      <c r="Q986" s="1"/>
      <c r="R986" s="1"/>
    </row>
    <row r="987" spans="17:18" ht="15.75" customHeight="1" x14ac:dyDescent="0.2">
      <c r="Q987" s="1"/>
      <c r="R987" s="1"/>
    </row>
    <row r="988" spans="17:18" ht="15.75" customHeight="1" x14ac:dyDescent="0.2">
      <c r="Q988" s="1"/>
      <c r="R988" s="1"/>
    </row>
    <row r="989" spans="17:18" ht="15.75" customHeight="1" x14ac:dyDescent="0.2">
      <c r="Q989" s="1"/>
      <c r="R989" s="1"/>
    </row>
    <row r="990" spans="17:18" ht="15.75" customHeight="1" x14ac:dyDescent="0.2">
      <c r="Q990" s="1"/>
      <c r="R990" s="1"/>
    </row>
    <row r="991" spans="17:18" ht="15.75" customHeight="1" x14ac:dyDescent="0.2">
      <c r="Q991" s="1"/>
      <c r="R991" s="1"/>
    </row>
    <row r="992" spans="17:18" ht="15.75" customHeight="1" x14ac:dyDescent="0.2">
      <c r="Q992" s="1"/>
      <c r="R992" s="1"/>
    </row>
    <row r="993" spans="17:18" ht="15.75" customHeight="1" x14ac:dyDescent="0.2">
      <c r="Q993" s="1"/>
      <c r="R993" s="1"/>
    </row>
    <row r="994" spans="17:18" ht="15.75" customHeight="1" x14ac:dyDescent="0.2">
      <c r="Q994" s="1"/>
      <c r="R994" s="1"/>
    </row>
    <row r="995" spans="17:18" ht="15.75" customHeight="1" x14ac:dyDescent="0.2">
      <c r="Q995" s="1"/>
      <c r="R995" s="1"/>
    </row>
    <row r="996" spans="17:18" ht="15.75" customHeight="1" x14ac:dyDescent="0.2">
      <c r="Q996" s="1"/>
      <c r="R996" s="1"/>
    </row>
    <row r="997" spans="17:18" ht="15.75" customHeight="1" x14ac:dyDescent="0.2">
      <c r="Q997" s="1"/>
      <c r="R997" s="1"/>
    </row>
    <row r="998" spans="17:18" ht="15.75" customHeight="1" x14ac:dyDescent="0.2">
      <c r="Q998" s="1"/>
      <c r="R998" s="1"/>
    </row>
    <row r="999" spans="17:18" ht="15.75" customHeight="1" x14ac:dyDescent="0.2">
      <c r="Q999" s="1"/>
      <c r="R999" s="1"/>
    </row>
    <row r="1000" spans="17:18" ht="15.75" customHeight="1" x14ac:dyDescent="0.2">
      <c r="Q1000" s="1"/>
      <c r="R1000" s="1"/>
    </row>
  </sheetData>
  <mergeCells count="65">
    <mergeCell ref="A44:F44"/>
    <mergeCell ref="K6:L6"/>
    <mergeCell ref="J8:K9"/>
    <mergeCell ref="B12:D12"/>
    <mergeCell ref="B13:C13"/>
    <mergeCell ref="I13:J13"/>
    <mergeCell ref="B14:C14"/>
    <mergeCell ref="I14:J14"/>
    <mergeCell ref="I15:J15"/>
    <mergeCell ref="B15:C15"/>
    <mergeCell ref="B16:C16"/>
    <mergeCell ref="B17:C17"/>
    <mergeCell ref="B18:C18"/>
    <mergeCell ref="B19:C19"/>
    <mergeCell ref="I19:J19"/>
    <mergeCell ref="I20:J20"/>
    <mergeCell ref="M8:M9"/>
    <mergeCell ref="J10:K10"/>
    <mergeCell ref="B6:C6"/>
    <mergeCell ref="H6:I6"/>
    <mergeCell ref="E6:F6"/>
    <mergeCell ref="A8:B9"/>
    <mergeCell ref="D8:E9"/>
    <mergeCell ref="G8:H9"/>
    <mergeCell ref="A10:B10"/>
    <mergeCell ref="G10:H10"/>
    <mergeCell ref="D10:E10"/>
    <mergeCell ref="A1:K3"/>
    <mergeCell ref="L1:M2"/>
    <mergeCell ref="L3:M3"/>
    <mergeCell ref="B5:C5"/>
    <mergeCell ref="H5:I5"/>
    <mergeCell ref="E5:F5"/>
    <mergeCell ref="K5:L5"/>
    <mergeCell ref="B20:C20"/>
    <mergeCell ref="B21:C21"/>
    <mergeCell ref="B22:C22"/>
    <mergeCell ref="B23:C23"/>
    <mergeCell ref="J80:M80"/>
    <mergeCell ref="I21:J21"/>
    <mergeCell ref="I70:M70"/>
    <mergeCell ref="B68:F68"/>
    <mergeCell ref="I68:M68"/>
    <mergeCell ref="I69:M69"/>
    <mergeCell ref="H44:M44"/>
    <mergeCell ref="A45:F63"/>
    <mergeCell ref="H45:M63"/>
    <mergeCell ref="A65:M66"/>
    <mergeCell ref="B67:F67"/>
    <mergeCell ref="I67:M67"/>
    <mergeCell ref="J81:M81"/>
    <mergeCell ref="J82:M82"/>
    <mergeCell ref="B76:F76"/>
    <mergeCell ref="B69:F69"/>
    <mergeCell ref="B70:F70"/>
    <mergeCell ref="B71:F71"/>
    <mergeCell ref="B72:F72"/>
    <mergeCell ref="B73:F73"/>
    <mergeCell ref="B74:F74"/>
    <mergeCell ref="B75:F75"/>
    <mergeCell ref="I71:M71"/>
    <mergeCell ref="I72:M72"/>
    <mergeCell ref="I73:M73"/>
    <mergeCell ref="I74:M74"/>
    <mergeCell ref="I75:M75"/>
  </mergeCells>
  <printOptions horizontalCentered="1"/>
  <pageMargins left="0.78740157480314965" right="0.78740157480314965" top="0.78740157480314965" bottom="0.78740157480314965" header="0" footer="0"/>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19"/>
  <sheetViews>
    <sheetView tabSelected="1" view="pageBreakPreview" topLeftCell="A330" zoomScaleNormal="100" zoomScaleSheetLayoutView="100" workbookViewId="0">
      <selection activeCell="S332" sqref="S332"/>
    </sheetView>
  </sheetViews>
  <sheetFormatPr baseColWidth="10" defaultColWidth="12.5703125" defaultRowHeight="15" customHeight="1" outlineLevelRow="1" x14ac:dyDescent="0.2"/>
  <cols>
    <col min="1" max="8" width="10.5703125" customWidth="1"/>
    <col min="9" max="12" width="10.7109375" customWidth="1"/>
    <col min="13" max="13" width="10.5703125" customWidth="1"/>
    <col min="14" max="14" width="13.7109375" customWidth="1"/>
    <col min="15" max="15" width="23.28515625" style="205" hidden="1" customWidth="1"/>
    <col min="16" max="16" width="23" hidden="1" customWidth="1"/>
    <col min="17" max="17" width="18.28515625" hidden="1" customWidth="1"/>
    <col min="18" max="25" width="10.5703125" customWidth="1"/>
  </cols>
  <sheetData>
    <row r="1" spans="1:25" ht="12.75" customHeight="1" x14ac:dyDescent="0.2">
      <c r="A1" s="314" t="str">
        <f>Indice!$A$1</f>
        <v>OPTIMIZACIÓN DE SISTEMA DE ACUEDUCTO DE LA ZONA URBANA DEL MUNICIPIO DE VILLAVIEJA Y LOS CENTROS POBLADOS POTOSÍ, HATO NUEVO, POLONIA Y SAN ALFONSO DEL MUNICIPIO DE VILLAVIEJA, DEPARTAMENTO DEL HUILA</v>
      </c>
      <c r="B1" s="315"/>
      <c r="C1" s="315"/>
      <c r="D1" s="315"/>
      <c r="E1" s="315"/>
      <c r="F1" s="315"/>
      <c r="G1" s="315"/>
      <c r="H1" s="315"/>
      <c r="I1" s="315"/>
      <c r="J1" s="315"/>
      <c r="K1" s="315"/>
      <c r="L1" s="321"/>
      <c r="M1" s="287" t="s">
        <v>74</v>
      </c>
      <c r="N1" s="273"/>
    </row>
    <row r="2" spans="1:25" ht="12.75" customHeight="1" x14ac:dyDescent="0.2">
      <c r="A2" s="284"/>
      <c r="B2" s="285"/>
      <c r="C2" s="285"/>
      <c r="D2" s="285"/>
      <c r="E2" s="285"/>
      <c r="F2" s="285"/>
      <c r="G2" s="285"/>
      <c r="H2" s="285"/>
      <c r="I2" s="285"/>
      <c r="J2" s="285"/>
      <c r="K2" s="285"/>
      <c r="L2" s="286"/>
      <c r="M2" s="381">
        <f>Indice!$L$1</f>
        <v>46203</v>
      </c>
      <c r="N2" s="276"/>
      <c r="O2" s="205">
        <v>0.29247686872748802</v>
      </c>
    </row>
    <row r="3" spans="1:25" ht="12.75" customHeight="1" x14ac:dyDescent="0.2">
      <c r="A3" s="317"/>
      <c r="B3" s="318"/>
      <c r="C3" s="318"/>
      <c r="D3" s="318"/>
      <c r="E3" s="318"/>
      <c r="F3" s="318"/>
      <c r="G3" s="318"/>
      <c r="H3" s="318"/>
      <c r="I3" s="318"/>
      <c r="J3" s="318"/>
      <c r="K3" s="318"/>
      <c r="L3" s="322"/>
      <c r="M3" s="277"/>
      <c r="N3" s="279"/>
    </row>
    <row r="4" spans="1:25" ht="12.75" customHeight="1" x14ac:dyDescent="0.2">
      <c r="J4" s="21"/>
      <c r="N4" s="212"/>
      <c r="O4" s="213" t="s">
        <v>3216</v>
      </c>
      <c r="P4" s="204"/>
    </row>
    <row r="5" spans="1:25" ht="12.75" customHeight="1" x14ac:dyDescent="0.2">
      <c r="B5" s="22"/>
      <c r="C5" s="22"/>
      <c r="D5" s="22"/>
      <c r="E5" s="22"/>
      <c r="F5" s="362" t="s">
        <v>75</v>
      </c>
      <c r="G5" s="363"/>
      <c r="H5" s="363"/>
      <c r="I5" s="363"/>
      <c r="J5" s="363"/>
      <c r="K5" s="363"/>
      <c r="L5" s="364"/>
      <c r="M5" s="382">
        <f>+SUM(M8:N34)</f>
        <v>39087859.807404399</v>
      </c>
      <c r="N5" s="358"/>
      <c r="O5" s="213">
        <v>1.3</v>
      </c>
      <c r="P5" s="204"/>
    </row>
    <row r="6" spans="1:25" ht="12.75" customHeight="1" outlineLevel="1" x14ac:dyDescent="0.2">
      <c r="A6" s="295" t="s">
        <v>76</v>
      </c>
      <c r="B6" s="271"/>
      <c r="C6" s="271"/>
      <c r="D6" s="271"/>
      <c r="E6" s="271"/>
      <c r="F6" s="271"/>
      <c r="G6" s="271"/>
      <c r="H6" s="273"/>
      <c r="I6" s="23" t="s">
        <v>77</v>
      </c>
      <c r="J6" s="23" t="s">
        <v>78</v>
      </c>
      <c r="K6" s="383" t="s">
        <v>79</v>
      </c>
      <c r="L6" s="273"/>
      <c r="M6" s="383" t="s">
        <v>80</v>
      </c>
      <c r="N6" s="273"/>
      <c r="O6" s="206"/>
      <c r="P6" s="24"/>
      <c r="Q6" s="24"/>
      <c r="R6" s="24"/>
      <c r="S6" s="24"/>
      <c r="T6" s="24"/>
      <c r="U6" s="24"/>
      <c r="V6" s="24"/>
      <c r="W6" s="24"/>
      <c r="X6" s="24"/>
      <c r="Y6" s="24"/>
    </row>
    <row r="7" spans="1:25" ht="12.75" customHeight="1" outlineLevel="1" x14ac:dyDescent="0.2">
      <c r="A7" s="25" t="s">
        <v>81</v>
      </c>
      <c r="B7" s="380" t="s">
        <v>82</v>
      </c>
      <c r="C7" s="271"/>
      <c r="D7" s="271"/>
      <c r="E7" s="271"/>
      <c r="F7" s="271"/>
      <c r="G7" s="271"/>
      <c r="H7" s="271"/>
      <c r="I7" s="271"/>
      <c r="J7" s="271"/>
      <c r="K7" s="271"/>
      <c r="L7" s="271"/>
      <c r="M7" s="271"/>
      <c r="N7" s="273"/>
      <c r="O7" s="206"/>
      <c r="P7" s="24"/>
      <c r="Q7" s="24"/>
      <c r="R7" s="24"/>
      <c r="S7" s="24"/>
      <c r="T7" s="24"/>
      <c r="U7" s="24"/>
      <c r="V7" s="24"/>
      <c r="W7" s="24"/>
      <c r="X7" s="24"/>
      <c r="Y7" s="24"/>
    </row>
    <row r="8" spans="1:25" ht="27" customHeight="1" outlineLevel="1" x14ac:dyDescent="0.2">
      <c r="A8" s="26" t="s">
        <v>83</v>
      </c>
      <c r="B8" s="365" t="s">
        <v>84</v>
      </c>
      <c r="C8" s="271"/>
      <c r="D8" s="271"/>
      <c r="E8" s="271"/>
      <c r="F8" s="271"/>
      <c r="G8" s="271"/>
      <c r="H8" s="273"/>
      <c r="I8" s="27" t="str">
        <f>VLOOKUP(B8,AA_Unitarios,consolidado!$H$7,FALSE)</f>
        <v>M2</v>
      </c>
      <c r="J8" s="28">
        <f>'CANT BOCA HATO'!F9</f>
        <v>20.368799999999997</v>
      </c>
      <c r="K8" s="384">
        <f>VLOOKUP(B8,AA_Unitarios,consolidado!$M$7,FALSE)</f>
        <v>5395.0282271600026</v>
      </c>
      <c r="L8" s="361"/>
      <c r="M8" s="379">
        <f>J8*K8</f>
        <v>109890.25095337664</v>
      </c>
      <c r="N8" s="273"/>
      <c r="O8" s="214">
        <v>8926.592787338428</v>
      </c>
      <c r="P8" s="214">
        <v>181823.98316673894</v>
      </c>
      <c r="Q8" s="24"/>
      <c r="R8" s="24"/>
      <c r="S8" s="24"/>
      <c r="T8" s="24"/>
      <c r="U8" s="24"/>
      <c r="V8" s="24"/>
      <c r="W8" s="24"/>
      <c r="X8" s="24"/>
      <c r="Y8" s="24"/>
    </row>
    <row r="9" spans="1:25" ht="12.75" customHeight="1" outlineLevel="1" x14ac:dyDescent="0.2">
      <c r="A9" s="25" t="s">
        <v>85</v>
      </c>
      <c r="B9" s="380" t="s">
        <v>86</v>
      </c>
      <c r="C9" s="271"/>
      <c r="D9" s="271"/>
      <c r="E9" s="271"/>
      <c r="F9" s="271"/>
      <c r="G9" s="271"/>
      <c r="H9" s="271"/>
      <c r="I9" s="271"/>
      <c r="J9" s="271"/>
      <c r="K9" s="271"/>
      <c r="L9" s="271"/>
      <c r="M9" s="271"/>
      <c r="N9" s="273"/>
      <c r="O9" s="214"/>
      <c r="P9" s="214"/>
      <c r="Q9" s="24"/>
      <c r="R9" s="24"/>
      <c r="S9" s="24"/>
      <c r="T9" s="24"/>
      <c r="U9" s="24"/>
      <c r="V9" s="24"/>
      <c r="W9" s="24"/>
      <c r="X9" s="24"/>
      <c r="Y9" s="24"/>
    </row>
    <row r="10" spans="1:25" ht="27" customHeight="1" outlineLevel="1" x14ac:dyDescent="0.2">
      <c r="A10" s="26" t="s">
        <v>87</v>
      </c>
      <c r="B10" s="365" t="s">
        <v>88</v>
      </c>
      <c r="C10" s="271"/>
      <c r="D10" s="271"/>
      <c r="E10" s="271"/>
      <c r="F10" s="271"/>
      <c r="G10" s="271"/>
      <c r="H10" s="273"/>
      <c r="I10" s="27" t="str">
        <f>VLOOKUP(B10,AA_Unitarios,consolidado!$H$7,FALSE)</f>
        <v>M3</v>
      </c>
      <c r="J10" s="28">
        <f>+'CANT BOCA HATO'!F20</f>
        <v>5.4359999999999991</v>
      </c>
      <c r="K10" s="384">
        <f>VLOOKUP(B10,AA_Unitarios,consolidado!$M$7,FALSE)</f>
        <v>51472.658045714285</v>
      </c>
      <c r="L10" s="361"/>
      <c r="M10" s="379">
        <f>J10*K10</f>
        <v>279805.36913650279</v>
      </c>
      <c r="N10" s="273"/>
      <c r="O10" s="214">
        <v>54401.303795170286</v>
      </c>
      <c r="P10" s="214">
        <v>295725.48743054562</v>
      </c>
      <c r="Q10" s="24"/>
      <c r="R10" s="24"/>
      <c r="S10" s="24"/>
      <c r="T10" s="24"/>
      <c r="U10" s="24"/>
      <c r="V10" s="24"/>
      <c r="W10" s="24"/>
      <c r="X10" s="24"/>
      <c r="Y10" s="24"/>
    </row>
    <row r="11" spans="1:25" ht="12.75" customHeight="1" outlineLevel="1" x14ac:dyDescent="0.2">
      <c r="A11" s="25" t="s">
        <v>89</v>
      </c>
      <c r="B11" s="380" t="s">
        <v>90</v>
      </c>
      <c r="C11" s="271"/>
      <c r="D11" s="271"/>
      <c r="E11" s="271"/>
      <c r="F11" s="271"/>
      <c r="G11" s="271"/>
      <c r="H11" s="271"/>
      <c r="I11" s="271"/>
      <c r="J11" s="271"/>
      <c r="K11" s="271"/>
      <c r="L11" s="271"/>
      <c r="M11" s="271"/>
      <c r="N11" s="273"/>
      <c r="O11" s="214"/>
      <c r="P11" s="214"/>
      <c r="Q11" s="24"/>
      <c r="R11" s="24"/>
      <c r="S11" s="24"/>
      <c r="T11" s="24"/>
      <c r="U11" s="24"/>
      <c r="V11" s="24"/>
      <c r="W11" s="24"/>
      <c r="X11" s="24"/>
      <c r="Y11" s="24"/>
    </row>
    <row r="12" spans="1:25" ht="40.5" customHeight="1" outlineLevel="1" x14ac:dyDescent="0.2">
      <c r="A12" s="26" t="s">
        <v>91</v>
      </c>
      <c r="B12" s="365" t="s">
        <v>92</v>
      </c>
      <c r="C12" s="271"/>
      <c r="D12" s="271"/>
      <c r="E12" s="271"/>
      <c r="F12" s="271"/>
      <c r="G12" s="271"/>
      <c r="H12" s="273"/>
      <c r="I12" s="27" t="str">
        <f>VLOOKUP(B12,AA_Unitarios,consolidado!$H$7,FALSE)</f>
        <v>M3</v>
      </c>
      <c r="J12" s="28">
        <f>+'CANT BOCA HATO'!F31</f>
        <v>3.6239999999999997</v>
      </c>
      <c r="K12" s="384">
        <f>VLOOKUP(B12,AA_Unitarios,consolidado!$M$7,FALSE)</f>
        <v>229192.31748567708</v>
      </c>
      <c r="L12" s="361"/>
      <c r="M12" s="379">
        <f>J12*K12</f>
        <v>830592.9585680936</v>
      </c>
      <c r="N12" s="273"/>
      <c r="O12" s="214">
        <v>224323.18043617744</v>
      </c>
      <c r="P12" s="214">
        <v>812947.20590070693</v>
      </c>
      <c r="Q12" s="24"/>
      <c r="R12" s="24"/>
      <c r="S12" s="24"/>
      <c r="T12" s="24"/>
      <c r="U12" s="24"/>
      <c r="V12" s="24"/>
      <c r="W12" s="24"/>
      <c r="X12" s="24"/>
      <c r="Y12" s="24"/>
    </row>
    <row r="13" spans="1:25" ht="12.75" customHeight="1" outlineLevel="1" x14ac:dyDescent="0.2">
      <c r="A13" s="25" t="s">
        <v>93</v>
      </c>
      <c r="B13" s="380" t="s">
        <v>94</v>
      </c>
      <c r="C13" s="271"/>
      <c r="D13" s="271"/>
      <c r="E13" s="271"/>
      <c r="F13" s="271"/>
      <c r="G13" s="271"/>
      <c r="H13" s="271"/>
      <c r="I13" s="271"/>
      <c r="J13" s="271"/>
      <c r="K13" s="271"/>
      <c r="L13" s="271"/>
      <c r="M13" s="271"/>
      <c r="N13" s="273"/>
      <c r="O13" s="214"/>
      <c r="P13" s="214"/>
      <c r="Q13" s="24"/>
      <c r="R13" s="24"/>
      <c r="S13" s="24"/>
      <c r="T13" s="24"/>
      <c r="U13" s="24"/>
      <c r="V13" s="24"/>
      <c r="W13" s="24"/>
      <c r="X13" s="24"/>
      <c r="Y13" s="24"/>
    </row>
    <row r="14" spans="1:25" ht="12.75" customHeight="1" outlineLevel="1" x14ac:dyDescent="0.2">
      <c r="A14" s="26" t="s">
        <v>95</v>
      </c>
      <c r="B14" s="365" t="s">
        <v>96</v>
      </c>
      <c r="C14" s="271"/>
      <c r="D14" s="271"/>
      <c r="E14" s="271"/>
      <c r="F14" s="271"/>
      <c r="G14" s="271"/>
      <c r="H14" s="273"/>
      <c r="I14" s="27" t="str">
        <f>VLOOKUP(B14,AA_Unitarios,consolidado!$H$7,FALSE)</f>
        <v>M3</v>
      </c>
      <c r="J14" s="28">
        <f>+'CANT BOCA HATO'!F42</f>
        <v>0.5</v>
      </c>
      <c r="K14" s="384">
        <f>VLOOKUP(B14,AA_Unitarios,consolidado!$M$7,FALSE)</f>
        <v>805839.35208278813</v>
      </c>
      <c r="L14" s="361"/>
      <c r="M14" s="379">
        <f t="shared" ref="M14:M18" si="0">J14*K14</f>
        <v>402919.67604139406</v>
      </c>
      <c r="N14" s="273"/>
      <c r="O14" s="214">
        <v>739822.86471154669</v>
      </c>
      <c r="P14" s="214">
        <v>369911.43235577334</v>
      </c>
      <c r="Q14" s="24"/>
      <c r="R14" s="24"/>
      <c r="S14" s="24"/>
      <c r="T14" s="24"/>
      <c r="U14" s="24"/>
      <c r="V14" s="24"/>
      <c r="W14" s="24"/>
      <c r="X14" s="24"/>
      <c r="Y14" s="24"/>
    </row>
    <row r="15" spans="1:25" ht="12.75" customHeight="1" outlineLevel="1" x14ac:dyDescent="0.2">
      <c r="A15" s="26" t="s">
        <v>97</v>
      </c>
      <c r="B15" s="365" t="s">
        <v>98</v>
      </c>
      <c r="C15" s="271"/>
      <c r="D15" s="271"/>
      <c r="E15" s="271"/>
      <c r="F15" s="271"/>
      <c r="G15" s="271"/>
      <c r="H15" s="273"/>
      <c r="I15" s="27" t="str">
        <f>VLOOKUP(B15,AA_Unitarios,consolidado!$H$7,FALSE)</f>
        <v>M3</v>
      </c>
      <c r="J15" s="28">
        <f>+'CANT BOCA HATO'!F53</f>
        <v>1.8119999999999998</v>
      </c>
      <c r="K15" s="384">
        <f>VLOOKUP(B15,AA_Unitarios,consolidado!$M$7,FALSE)</f>
        <v>965054.12208278815</v>
      </c>
      <c r="L15" s="361"/>
      <c r="M15" s="379">
        <f t="shared" si="0"/>
        <v>1748678.069214012</v>
      </c>
      <c r="N15" s="273"/>
      <c r="O15" s="214">
        <v>879153.17126285122</v>
      </c>
      <c r="P15" s="214">
        <v>1593025.5463282862</v>
      </c>
      <c r="Q15" s="24"/>
      <c r="R15" s="24"/>
      <c r="S15" s="24"/>
      <c r="T15" s="24"/>
      <c r="U15" s="24"/>
      <c r="V15" s="24"/>
      <c r="W15" s="24"/>
      <c r="X15" s="24"/>
      <c r="Y15" s="24"/>
    </row>
    <row r="16" spans="1:25" ht="12.75" customHeight="1" outlineLevel="1" x14ac:dyDescent="0.2">
      <c r="A16" s="26" t="s">
        <v>99</v>
      </c>
      <c r="B16" s="365" t="s">
        <v>100</v>
      </c>
      <c r="C16" s="271"/>
      <c r="D16" s="271"/>
      <c r="E16" s="271"/>
      <c r="F16" s="271"/>
      <c r="G16" s="271"/>
      <c r="H16" s="273"/>
      <c r="I16" s="27" t="str">
        <f>VLOOKUP(B16,AA_Unitarios,consolidado!$H$7,FALSE)</f>
        <v>M2</v>
      </c>
      <c r="J16" s="28">
        <f>+'CANT BOCA HATO'!F64</f>
        <v>18.119999999999997</v>
      </c>
      <c r="K16" s="384">
        <f>VLOOKUP(B16,AA_Unitarios,consolidado!$M$7,FALSE)</f>
        <v>11901.358633060001</v>
      </c>
      <c r="L16" s="361"/>
      <c r="M16" s="379">
        <f t="shared" si="0"/>
        <v>215652.61843104719</v>
      </c>
      <c r="N16" s="273"/>
      <c r="O16" s="214">
        <v>11765.775463398502</v>
      </c>
      <c r="P16" s="214">
        <v>213195.85139678084</v>
      </c>
      <c r="Q16" s="24"/>
      <c r="R16" s="24"/>
      <c r="S16" s="24"/>
      <c r="T16" s="24"/>
      <c r="U16" s="24"/>
      <c r="V16" s="24"/>
      <c r="W16" s="24"/>
      <c r="X16" s="24"/>
      <c r="Y16" s="24"/>
    </row>
    <row r="17" spans="1:25" ht="27" customHeight="1" outlineLevel="1" x14ac:dyDescent="0.2">
      <c r="A17" s="26" t="s">
        <v>101</v>
      </c>
      <c r="B17" s="365" t="s">
        <v>102</v>
      </c>
      <c r="C17" s="271"/>
      <c r="D17" s="271"/>
      <c r="E17" s="271"/>
      <c r="F17" s="271"/>
      <c r="G17" s="271"/>
      <c r="H17" s="273"/>
      <c r="I17" s="27" t="str">
        <f>VLOOKUP(B17,AA_Unitarios,consolidado!$H$7,FALSE)</f>
        <v>M2</v>
      </c>
      <c r="J17" s="28">
        <f>+'CANT BOCA HATO'!F75</f>
        <v>28.336000000000002</v>
      </c>
      <c r="K17" s="384">
        <f>VLOOKUP(B17,AA_Unitarios,consolidado!$M$7,FALSE)</f>
        <v>54796.612011818179</v>
      </c>
      <c r="L17" s="361"/>
      <c r="M17" s="379">
        <f t="shared" si="0"/>
        <v>1552716.79796688</v>
      </c>
      <c r="N17" s="273"/>
      <c r="O17" s="214">
        <v>51447.242656500355</v>
      </c>
      <c r="P17" s="214">
        <v>1457809.0679145942</v>
      </c>
      <c r="Q17" s="24"/>
      <c r="R17" s="24"/>
      <c r="S17" s="24"/>
      <c r="T17" s="24"/>
      <c r="U17" s="24"/>
      <c r="V17" s="24"/>
      <c r="W17" s="24"/>
      <c r="X17" s="24"/>
      <c r="Y17" s="24"/>
    </row>
    <row r="18" spans="1:25" ht="27" customHeight="1" outlineLevel="1" x14ac:dyDescent="0.2">
      <c r="A18" s="26" t="s">
        <v>103</v>
      </c>
      <c r="B18" s="365" t="s">
        <v>105</v>
      </c>
      <c r="C18" s="271"/>
      <c r="D18" s="271"/>
      <c r="E18" s="271"/>
      <c r="F18" s="271"/>
      <c r="G18" s="271"/>
      <c r="H18" s="273"/>
      <c r="I18" s="27" t="str">
        <f>VLOOKUP(B18,AA_Unitarios,consolidado!$H$7,FALSE)</f>
        <v>M2</v>
      </c>
      <c r="J18" s="28">
        <f>+'CANT BOCA HATO'!F86</f>
        <v>1.4625000000000001</v>
      </c>
      <c r="K18" s="384">
        <f>VLOOKUP(B18,AA_Unitarios,consolidado!$M$7,FALSE)</f>
        <v>423410.24051659688</v>
      </c>
      <c r="L18" s="361"/>
      <c r="M18" s="379">
        <f t="shared" si="0"/>
        <v>619237.47675552301</v>
      </c>
      <c r="N18" s="273"/>
      <c r="O18" s="214">
        <v>362987.29851894127</v>
      </c>
      <c r="P18" s="214">
        <v>530868.92408395163</v>
      </c>
      <c r="Q18" s="24"/>
      <c r="R18" s="24"/>
      <c r="S18" s="24"/>
      <c r="T18" s="24"/>
      <c r="U18" s="24"/>
      <c r="V18" s="24"/>
      <c r="W18" s="24"/>
      <c r="X18" s="24"/>
      <c r="Y18" s="24"/>
    </row>
    <row r="19" spans="1:25" ht="12.75" customHeight="1" outlineLevel="1" x14ac:dyDescent="0.2">
      <c r="A19" s="25" t="s">
        <v>106</v>
      </c>
      <c r="B19" s="380" t="s">
        <v>107</v>
      </c>
      <c r="C19" s="271"/>
      <c r="D19" s="271"/>
      <c r="E19" s="271"/>
      <c r="F19" s="271"/>
      <c r="G19" s="271"/>
      <c r="H19" s="271"/>
      <c r="I19" s="271"/>
      <c r="J19" s="271"/>
      <c r="K19" s="271"/>
      <c r="L19" s="271"/>
      <c r="M19" s="271"/>
      <c r="N19" s="273"/>
      <c r="O19" s="214">
        <v>0</v>
      </c>
      <c r="P19" s="214">
        <v>0</v>
      </c>
      <c r="Q19" s="24"/>
      <c r="R19" s="24"/>
      <c r="S19" s="24"/>
      <c r="T19" s="24"/>
      <c r="U19" s="24"/>
      <c r="V19" s="24"/>
      <c r="W19" s="24"/>
      <c r="X19" s="24"/>
      <c r="Y19" s="24"/>
    </row>
    <row r="20" spans="1:25" ht="27" customHeight="1" outlineLevel="1" x14ac:dyDescent="0.2">
      <c r="A20" s="29" t="s">
        <v>108</v>
      </c>
      <c r="B20" s="365" t="s">
        <v>109</v>
      </c>
      <c r="C20" s="271"/>
      <c r="D20" s="271"/>
      <c r="E20" s="271"/>
      <c r="F20" s="271"/>
      <c r="G20" s="271"/>
      <c r="H20" s="273"/>
      <c r="I20" s="30" t="str">
        <f>VLOOKUP(B20,AA_Unitarios,consolidado!$H$7,FALSE)</f>
        <v>M3-KM</v>
      </c>
      <c r="J20" s="9">
        <f>J21*Indice!$L$19</f>
        <v>27.179999999999996</v>
      </c>
      <c r="K20" s="360">
        <f>VLOOKUP(B20,AA_Unitarios,consolidado!$M$7,FALSE)</f>
        <v>10890.40783384375</v>
      </c>
      <c r="L20" s="361"/>
      <c r="M20" s="359">
        <f t="shared" ref="M20:M21" si="1">J20*K20</f>
        <v>296001.28492387309</v>
      </c>
      <c r="N20" s="273"/>
      <c r="O20" s="214">
        <v>10739.718453389989</v>
      </c>
      <c r="P20" s="214">
        <v>291905.54756313987</v>
      </c>
    </row>
    <row r="21" spans="1:25" ht="27" customHeight="1" outlineLevel="1" x14ac:dyDescent="0.2">
      <c r="A21" s="29" t="s">
        <v>110</v>
      </c>
      <c r="B21" s="365" t="s">
        <v>111</v>
      </c>
      <c r="C21" s="271"/>
      <c r="D21" s="271"/>
      <c r="E21" s="271"/>
      <c r="F21" s="271"/>
      <c r="G21" s="271"/>
      <c r="H21" s="273"/>
      <c r="I21" s="30" t="str">
        <f>VLOOKUP(B21,AA_Unitarios,consolidado!$H$7,FALSE)</f>
        <v>M3</v>
      </c>
      <c r="J21" s="9">
        <f>J10</f>
        <v>5.4359999999999991</v>
      </c>
      <c r="K21" s="360">
        <f>VLOOKUP(B21,AA_Unitarios,consolidado!$M$7,FALSE)</f>
        <v>6384.6287895000005</v>
      </c>
      <c r="L21" s="361"/>
      <c r="M21" s="359">
        <f t="shared" si="1"/>
        <v>34706.842099721995</v>
      </c>
      <c r="N21" s="273"/>
      <c r="O21" s="214">
        <v>7257.1004178808416</v>
      </c>
      <c r="P21" s="214">
        <v>39449.59787160025</v>
      </c>
    </row>
    <row r="22" spans="1:25" ht="12.75" customHeight="1" outlineLevel="1" x14ac:dyDescent="0.2">
      <c r="A22" s="31" t="s">
        <v>112</v>
      </c>
      <c r="B22" s="371" t="s">
        <v>113</v>
      </c>
      <c r="C22" s="271"/>
      <c r="D22" s="271"/>
      <c r="E22" s="271"/>
      <c r="F22" s="271"/>
      <c r="G22" s="271"/>
      <c r="H22" s="271"/>
      <c r="I22" s="271"/>
      <c r="J22" s="271"/>
      <c r="K22" s="271"/>
      <c r="L22" s="271"/>
      <c r="M22" s="271"/>
      <c r="N22" s="273"/>
      <c r="O22" s="214">
        <v>0</v>
      </c>
      <c r="P22" s="214">
        <v>0</v>
      </c>
    </row>
    <row r="23" spans="1:25" ht="40.5" customHeight="1" outlineLevel="1" x14ac:dyDescent="0.2">
      <c r="A23" s="29" t="s">
        <v>114</v>
      </c>
      <c r="B23" s="365" t="s">
        <v>115</v>
      </c>
      <c r="C23" s="271"/>
      <c r="D23" s="271"/>
      <c r="E23" s="271"/>
      <c r="F23" s="271"/>
      <c r="G23" s="271"/>
      <c r="H23" s="273"/>
      <c r="I23" s="30" t="str">
        <f>VLOOKUP(B23,AA_Unitarios,consolidado!$H$7,FALSE)</f>
        <v>ML</v>
      </c>
      <c r="J23" s="9">
        <f>+'CANT BOCA HATO'!F97</f>
        <v>6.14</v>
      </c>
      <c r="K23" s="360">
        <f>VLOOKUP(B23,AA_Unitarios,consolidado!$M$7,FALSE)</f>
        <v>438978.28376566671</v>
      </c>
      <c r="L23" s="361"/>
      <c r="M23" s="359">
        <f t="shared" ref="M23:M34" si="2">J23*K23</f>
        <v>2695326.6623211936</v>
      </c>
      <c r="N23" s="273"/>
      <c r="O23" s="214">
        <v>430194.65537583589</v>
      </c>
      <c r="P23" s="214">
        <v>2641395.1840076321</v>
      </c>
    </row>
    <row r="24" spans="1:25" ht="40.5" customHeight="1" outlineLevel="1" x14ac:dyDescent="0.2">
      <c r="A24" s="29" t="s">
        <v>116</v>
      </c>
      <c r="B24" s="365" t="s">
        <v>117</v>
      </c>
      <c r="C24" s="271"/>
      <c r="D24" s="271"/>
      <c r="E24" s="271"/>
      <c r="F24" s="271"/>
      <c r="G24" s="271"/>
      <c r="H24" s="273"/>
      <c r="I24" s="30" t="str">
        <f>VLOOKUP(B24,AA_Unitarios,consolidado!$H$7,FALSE)</f>
        <v>UND</v>
      </c>
      <c r="J24" s="9">
        <f>+'CANT BOCA HATO'!F108</f>
        <v>1</v>
      </c>
      <c r="K24" s="360">
        <f>VLOOKUP(B24,AA_Unitarios,consolidado!$M$7,FALSE)</f>
        <v>1841030.5171414001</v>
      </c>
      <c r="L24" s="361"/>
      <c r="M24" s="359">
        <f t="shared" si="2"/>
        <v>1841030.5171414001</v>
      </c>
      <c r="N24" s="273"/>
      <c r="O24" s="214">
        <v>1807695.1241264131</v>
      </c>
      <c r="P24" s="214">
        <v>1807695.1241264131</v>
      </c>
    </row>
    <row r="25" spans="1:25" ht="27" customHeight="1" outlineLevel="1" x14ac:dyDescent="0.2">
      <c r="A25" s="29" t="s">
        <v>118</v>
      </c>
      <c r="B25" s="365" t="s">
        <v>119</v>
      </c>
      <c r="C25" s="271"/>
      <c r="D25" s="271"/>
      <c r="E25" s="271"/>
      <c r="F25" s="271"/>
      <c r="G25" s="271"/>
      <c r="H25" s="273"/>
      <c r="I25" s="30" t="str">
        <f>VLOOKUP(B25,AA_Unitarios,consolidado!$H$7,FALSE)</f>
        <v>M2</v>
      </c>
      <c r="J25" s="9">
        <f>+'CANT BOCA HATO'!F119</f>
        <v>4.8208000000000002</v>
      </c>
      <c r="K25" s="360">
        <f>VLOOKUP(B25,AA_Unitarios,consolidado!$M$7,FALSE)</f>
        <v>176760.03327710004</v>
      </c>
      <c r="L25" s="361"/>
      <c r="M25" s="359">
        <f t="shared" si="2"/>
        <v>852124.76842224388</v>
      </c>
      <c r="N25" s="273"/>
      <c r="O25" s="214">
        <v>177845.05162225536</v>
      </c>
      <c r="P25" s="214">
        <v>857355.4248605686</v>
      </c>
    </row>
    <row r="26" spans="1:25" ht="27" customHeight="1" outlineLevel="1" x14ac:dyDescent="0.2">
      <c r="A26" s="29" t="s">
        <v>120</v>
      </c>
      <c r="B26" s="365" t="s">
        <v>121</v>
      </c>
      <c r="C26" s="271"/>
      <c r="D26" s="271"/>
      <c r="E26" s="271"/>
      <c r="F26" s="271"/>
      <c r="G26" s="271"/>
      <c r="H26" s="273"/>
      <c r="I26" s="30" t="str">
        <f>VLOOKUP(B26,AA_Unitarios,consolidado!$H$7,FALSE)</f>
        <v>M2</v>
      </c>
      <c r="J26" s="9">
        <f>+'CANT BOCA HATO'!F130</f>
        <v>13.379999999999999</v>
      </c>
      <c r="K26" s="360">
        <f>VLOOKUP(B26,AA_Unitarios,consolidado!$M$7,FALSE)</f>
        <v>98195.323972352955</v>
      </c>
      <c r="L26" s="361"/>
      <c r="M26" s="359">
        <f t="shared" si="2"/>
        <v>1313853.4347500824</v>
      </c>
      <c r="N26" s="273"/>
      <c r="O26" s="214">
        <v>99398.437463494818</v>
      </c>
      <c r="P26" s="214">
        <v>1329951.0932615607</v>
      </c>
    </row>
    <row r="27" spans="1:25" ht="27" customHeight="1" outlineLevel="1" x14ac:dyDescent="0.2">
      <c r="A27" s="29" t="s">
        <v>122</v>
      </c>
      <c r="B27" s="365" t="s">
        <v>123</v>
      </c>
      <c r="C27" s="271"/>
      <c r="D27" s="271"/>
      <c r="E27" s="271"/>
      <c r="F27" s="271"/>
      <c r="G27" s="271"/>
      <c r="H27" s="273"/>
      <c r="I27" s="30" t="str">
        <f>VLOOKUP(B27,AA_Unitarios,consolidado!$H$7,FALSE)</f>
        <v>M2</v>
      </c>
      <c r="J27" s="9">
        <f>+'CANT BOCA HATO'!F141</f>
        <v>28.336000000000002</v>
      </c>
      <c r="K27" s="360">
        <f>VLOOKUP(B27,AA_Unitarios,consolidado!$M$7,FALSE)</f>
        <v>22142.3649759</v>
      </c>
      <c r="L27" s="361"/>
      <c r="M27" s="359">
        <f t="shared" si="2"/>
        <v>627426.05395710247</v>
      </c>
      <c r="N27" s="273"/>
      <c r="O27" s="214">
        <v>22917.626395631589</v>
      </c>
      <c r="P27" s="214">
        <v>649393.86154661677</v>
      </c>
    </row>
    <row r="28" spans="1:25" ht="27" customHeight="1" outlineLevel="1" x14ac:dyDescent="0.2">
      <c r="A28" s="29" t="s">
        <v>124</v>
      </c>
      <c r="B28" s="365" t="s">
        <v>125</v>
      </c>
      <c r="C28" s="271"/>
      <c r="D28" s="271"/>
      <c r="E28" s="271"/>
      <c r="F28" s="271"/>
      <c r="G28" s="271"/>
      <c r="H28" s="273"/>
      <c r="I28" s="30" t="str">
        <f>VLOOKUP(B28,AA_Unitarios,consolidado!$H$7,FALSE)</f>
        <v>M2</v>
      </c>
      <c r="J28" s="9">
        <f>+'CANT BOCA HATO'!F152</f>
        <v>3</v>
      </c>
      <c r="K28" s="360">
        <f>VLOOKUP(B28,AA_Unitarios,consolidado!$M$7,FALSE)</f>
        <v>36323.880783125001</v>
      </c>
      <c r="L28" s="361"/>
      <c r="M28" s="359">
        <f t="shared" si="2"/>
        <v>108971.642349375</v>
      </c>
      <c r="N28" s="273"/>
      <c r="O28" s="214">
        <v>37995.756566440017</v>
      </c>
      <c r="P28" s="214">
        <v>113987.26969932005</v>
      </c>
    </row>
    <row r="29" spans="1:25" ht="40.5" customHeight="1" outlineLevel="1" x14ac:dyDescent="0.2">
      <c r="A29" s="29" t="s">
        <v>126</v>
      </c>
      <c r="B29" s="365" t="s">
        <v>127</v>
      </c>
      <c r="C29" s="271"/>
      <c r="D29" s="271"/>
      <c r="E29" s="271"/>
      <c r="F29" s="271"/>
      <c r="G29" s="271"/>
      <c r="H29" s="273"/>
      <c r="I29" s="30" t="str">
        <f>VLOOKUP(B29,AA_Unitarios,consolidado!$H$7,FALSE)</f>
        <v>UND</v>
      </c>
      <c r="J29" s="9">
        <f>+'CANT BOCA HATO'!F163</f>
        <v>1</v>
      </c>
      <c r="K29" s="360">
        <f>VLOOKUP(B29,AA_Unitarios,consolidado!$M$7,FALSE)</f>
        <v>320355.86368499999</v>
      </c>
      <c r="L29" s="361"/>
      <c r="M29" s="359">
        <f t="shared" si="2"/>
        <v>320355.86368499999</v>
      </c>
      <c r="N29" s="273"/>
      <c r="O29" s="214">
        <v>322736.76312390674</v>
      </c>
      <c r="P29" s="214">
        <v>322736.76312390674</v>
      </c>
    </row>
    <row r="30" spans="1:25" ht="27" customHeight="1" outlineLevel="1" x14ac:dyDescent="0.2">
      <c r="A30" s="29" t="s">
        <v>128</v>
      </c>
      <c r="B30" s="365" t="s">
        <v>129</v>
      </c>
      <c r="C30" s="271"/>
      <c r="D30" s="271"/>
      <c r="E30" s="271"/>
      <c r="F30" s="271"/>
      <c r="G30" s="271"/>
      <c r="H30" s="273"/>
      <c r="I30" s="30" t="str">
        <f>VLOOKUP(B30,AA_Unitarios,consolidado!$H$7,FALSE)</f>
        <v>M2</v>
      </c>
      <c r="J30" s="9">
        <f>+'CANT BOCA HATO'!F174</f>
        <v>2.5499999999999998</v>
      </c>
      <c r="K30" s="360">
        <f>VLOOKUP(B30,AA_Unitarios,consolidado!$M$7,FALSE)</f>
        <v>40775.582126500005</v>
      </c>
      <c r="L30" s="361"/>
      <c r="M30" s="359">
        <f t="shared" si="2"/>
        <v>103977.734422575</v>
      </c>
      <c r="N30" s="273"/>
      <c r="O30" s="214">
        <v>42045.279216010451</v>
      </c>
      <c r="P30" s="214">
        <v>107215.46200082664</v>
      </c>
    </row>
    <row r="31" spans="1:25" ht="40.5" customHeight="1" outlineLevel="1" x14ac:dyDescent="0.2">
      <c r="A31" s="29" t="s">
        <v>130</v>
      </c>
      <c r="B31" s="365" t="s">
        <v>131</v>
      </c>
      <c r="C31" s="271"/>
      <c r="D31" s="271"/>
      <c r="E31" s="271"/>
      <c r="F31" s="271"/>
      <c r="G31" s="271"/>
      <c r="H31" s="273"/>
      <c r="I31" s="30" t="str">
        <f>VLOOKUP(B31,AA_Unitarios,consolidado!$H$7,FALSE)</f>
        <v>UND</v>
      </c>
      <c r="J31" s="9">
        <f>+'CANT BOCA HATO'!F185</f>
        <v>1</v>
      </c>
      <c r="K31" s="360">
        <f>VLOOKUP(B31,AA_Unitarios,consolidado!$M$7,FALSE)</f>
        <v>3376873.5</v>
      </c>
      <c r="L31" s="361"/>
      <c r="M31" s="359">
        <f t="shared" si="2"/>
        <v>3376873.5</v>
      </c>
      <c r="N31" s="273"/>
      <c r="O31" s="214">
        <v>3357331.4518221579</v>
      </c>
      <c r="P31" s="214">
        <v>3357331.4518221579</v>
      </c>
      <c r="Q31" s="1"/>
      <c r="R31" s="1"/>
      <c r="S31" s="1"/>
      <c r="T31" s="1"/>
      <c r="U31" s="1"/>
      <c r="V31" s="1"/>
      <c r="W31" s="1"/>
      <c r="X31" s="1"/>
      <c r="Y31" s="1"/>
    </row>
    <row r="32" spans="1:25" ht="25.5" customHeight="1" outlineLevel="1" x14ac:dyDescent="0.2">
      <c r="A32" s="29" t="s">
        <v>132</v>
      </c>
      <c r="B32" s="365" t="s">
        <v>135</v>
      </c>
      <c r="C32" s="271"/>
      <c r="D32" s="271"/>
      <c r="E32" s="271"/>
      <c r="F32" s="271"/>
      <c r="G32" s="271"/>
      <c r="H32" s="273"/>
      <c r="I32" s="30" t="str">
        <f>VLOOKUP(B32,AA_Unitarios,consolidado!$H$7,FALSE)</f>
        <v>UND</v>
      </c>
      <c r="J32" s="9">
        <f>+'CANT BOCA HATO'!F196</f>
        <v>1</v>
      </c>
      <c r="K32" s="360">
        <f>VLOOKUP(B32,AA_Unitarios,consolidado!$M$7,FALSE)</f>
        <v>3470953.6862650006</v>
      </c>
      <c r="L32" s="361"/>
      <c r="M32" s="359">
        <f t="shared" si="2"/>
        <v>3470953.6862650006</v>
      </c>
      <c r="N32" s="273"/>
      <c r="O32" s="214">
        <v>3801127.7333321935</v>
      </c>
      <c r="P32" s="214">
        <v>3801127.7333321935</v>
      </c>
    </row>
    <row r="33" spans="1:16" ht="27" customHeight="1" outlineLevel="1" x14ac:dyDescent="0.2">
      <c r="A33" s="29" t="s">
        <v>134</v>
      </c>
      <c r="B33" s="365" t="s">
        <v>138</v>
      </c>
      <c r="C33" s="271"/>
      <c r="D33" s="271"/>
      <c r="E33" s="271"/>
      <c r="F33" s="271"/>
      <c r="G33" s="271"/>
      <c r="H33" s="273"/>
      <c r="I33" s="30" t="str">
        <f>VLOOKUP(B33,AA_Unitarios,consolidado!$H$7,FALSE)</f>
        <v>UND</v>
      </c>
      <c r="J33" s="9">
        <f>+'CANT BOCA HATO'!F207</f>
        <v>1</v>
      </c>
      <c r="K33" s="360">
        <f>VLOOKUP(B33,AA_Unitarios,consolidado!$M$7,FALSE)</f>
        <v>4069392.6</v>
      </c>
      <c r="L33" s="361"/>
      <c r="M33" s="359">
        <f t="shared" si="2"/>
        <v>4069392.6</v>
      </c>
      <c r="N33" s="273"/>
      <c r="O33" s="214">
        <v>4045842.9271313678</v>
      </c>
      <c r="P33" s="214">
        <v>4045842.9271313678</v>
      </c>
    </row>
    <row r="34" spans="1:16" ht="12.75" customHeight="1" outlineLevel="1" x14ac:dyDescent="0.2">
      <c r="A34" s="29" t="s">
        <v>136</v>
      </c>
      <c r="B34" s="365" t="s">
        <v>141</v>
      </c>
      <c r="C34" s="271"/>
      <c r="D34" s="271"/>
      <c r="E34" s="271"/>
      <c r="F34" s="271"/>
      <c r="G34" s="271"/>
      <c r="H34" s="273"/>
      <c r="I34" s="30" t="str">
        <f>VLOOKUP(B34,AA_Unitarios,consolidado!$H$7,FALSE)</f>
        <v>UND</v>
      </c>
      <c r="J34" s="9">
        <f>+'CANT BOCA HATO'!F218</f>
        <v>1</v>
      </c>
      <c r="K34" s="360">
        <f>VLOOKUP(B34,AA_Unitarios,consolidado!$M$7,FALSE)</f>
        <v>14217372</v>
      </c>
      <c r="L34" s="361"/>
      <c r="M34" s="359">
        <f t="shared" si="2"/>
        <v>14217372</v>
      </c>
      <c r="N34" s="273"/>
      <c r="O34" s="214">
        <v>14135095.726225961</v>
      </c>
      <c r="P34" s="214">
        <v>14135095.726225961</v>
      </c>
    </row>
    <row r="35" spans="1:16" ht="12.75" customHeight="1" x14ac:dyDescent="0.2"/>
    <row r="36" spans="1:16" ht="12.75" customHeight="1" x14ac:dyDescent="0.2">
      <c r="B36" s="22"/>
      <c r="D36" s="22"/>
      <c r="F36" s="362" t="s">
        <v>3203</v>
      </c>
      <c r="G36" s="363"/>
      <c r="H36" s="363"/>
      <c r="I36" s="363"/>
      <c r="J36" s="363"/>
      <c r="K36" s="363"/>
      <c r="L36" s="364"/>
      <c r="M36" s="374">
        <f>+SUM(M39:N56)</f>
        <v>153599781.52590153</v>
      </c>
      <c r="N36" s="273"/>
    </row>
    <row r="37" spans="1:16" ht="12.75" customHeight="1" outlineLevel="1" x14ac:dyDescent="0.2">
      <c r="A37" s="287" t="s">
        <v>143</v>
      </c>
      <c r="B37" s="271"/>
      <c r="C37" s="271"/>
      <c r="D37" s="271"/>
      <c r="E37" s="271"/>
      <c r="F37" s="271"/>
      <c r="G37" s="271"/>
      <c r="H37" s="273"/>
      <c r="I37" s="16" t="s">
        <v>144</v>
      </c>
      <c r="J37" s="16" t="s">
        <v>78</v>
      </c>
      <c r="K37" s="375" t="s">
        <v>145</v>
      </c>
      <c r="L37" s="273"/>
      <c r="M37" s="375" t="s">
        <v>80</v>
      </c>
      <c r="N37" s="273"/>
    </row>
    <row r="38" spans="1:16" ht="12.75" customHeight="1" outlineLevel="1" x14ac:dyDescent="0.2">
      <c r="A38" s="33" t="s">
        <v>156</v>
      </c>
      <c r="B38" s="371" t="s">
        <v>82</v>
      </c>
      <c r="C38" s="271"/>
      <c r="D38" s="271"/>
      <c r="E38" s="271"/>
      <c r="F38" s="271"/>
      <c r="G38" s="271"/>
      <c r="H38" s="271"/>
      <c r="I38" s="271"/>
      <c r="J38" s="271"/>
      <c r="K38" s="271"/>
      <c r="L38" s="271"/>
      <c r="M38" s="271"/>
      <c r="N38" s="273"/>
    </row>
    <row r="39" spans="1:16" ht="12.75" customHeight="1" outlineLevel="1" x14ac:dyDescent="0.2">
      <c r="A39" s="29" t="s">
        <v>157</v>
      </c>
      <c r="B39" s="365" t="s">
        <v>158</v>
      </c>
      <c r="C39" s="271"/>
      <c r="D39" s="271"/>
      <c r="E39" s="271"/>
      <c r="F39" s="271"/>
      <c r="G39" s="271"/>
      <c r="H39" s="273"/>
      <c r="I39" s="30" t="str">
        <f>VLOOKUP(B39,AA_Unitarios,consolidado!$H$7,FALSE)</f>
        <v>M</v>
      </c>
      <c r="J39" s="9">
        <f>SUM('21'!C4:C4)</f>
        <v>35</v>
      </c>
      <c r="K39" s="360">
        <f>VLOOKUP(B39,AA_Unitarios,consolidado!$M$7,FALSE)</f>
        <v>5461.913227160001</v>
      </c>
      <c r="L39" s="361"/>
      <c r="M39" s="359">
        <f>J39*K39</f>
        <v>191166.96295060005</v>
      </c>
      <c r="N39" s="273"/>
      <c r="O39" s="214">
        <v>6137.022272988017</v>
      </c>
      <c r="P39" s="214">
        <v>214795.7795545806</v>
      </c>
    </row>
    <row r="40" spans="1:16" ht="12.75" customHeight="1" outlineLevel="1" x14ac:dyDescent="0.2">
      <c r="A40" s="33" t="s">
        <v>159</v>
      </c>
      <c r="B40" s="366" t="s">
        <v>86</v>
      </c>
      <c r="C40" s="271"/>
      <c r="D40" s="271"/>
      <c r="E40" s="271"/>
      <c r="F40" s="271"/>
      <c r="G40" s="271"/>
      <c r="H40" s="271"/>
      <c r="I40" s="271"/>
      <c r="J40" s="271"/>
      <c r="K40" s="271"/>
      <c r="L40" s="271"/>
      <c r="M40" s="271"/>
      <c r="N40" s="273"/>
      <c r="O40" s="214">
        <v>0</v>
      </c>
      <c r="P40" s="214">
        <v>0</v>
      </c>
    </row>
    <row r="41" spans="1:16" ht="27" customHeight="1" outlineLevel="1" x14ac:dyDescent="0.2">
      <c r="A41" s="29" t="s">
        <v>160</v>
      </c>
      <c r="B41" s="365" t="s">
        <v>163</v>
      </c>
      <c r="C41" s="271"/>
      <c r="D41" s="271"/>
      <c r="E41" s="271"/>
      <c r="F41" s="271"/>
      <c r="G41" s="271"/>
      <c r="H41" s="273"/>
      <c r="I41" s="30" t="str">
        <f>VLOOKUP(B41,AA_Unitarios,consolidado!$H$7,FALSE)</f>
        <v>M3</v>
      </c>
      <c r="J41" s="9">
        <f>'21'!J4</f>
        <v>53.564699999999995</v>
      </c>
      <c r="K41" s="360">
        <f>VLOOKUP(B41,AA_Unitarios,consolidado!$M$7,FALSE)</f>
        <v>34807.032784727271</v>
      </c>
      <c r="L41" s="361"/>
      <c r="M41" s="359">
        <f t="shared" ref="M41" si="3">J41*K41</f>
        <v>1864428.2690040807</v>
      </c>
      <c r="N41" s="273"/>
      <c r="O41" s="214">
        <v>35580.238968387159</v>
      </c>
      <c r="P41" s="214">
        <v>1905844.8262699675</v>
      </c>
    </row>
    <row r="42" spans="1:16" ht="12.75" customHeight="1" outlineLevel="1" x14ac:dyDescent="0.2">
      <c r="A42" s="31" t="s">
        <v>164</v>
      </c>
      <c r="B42" s="371" t="s">
        <v>90</v>
      </c>
      <c r="C42" s="271"/>
      <c r="D42" s="271"/>
      <c r="E42" s="271"/>
      <c r="F42" s="271"/>
      <c r="G42" s="271"/>
      <c r="H42" s="271"/>
      <c r="I42" s="271"/>
      <c r="J42" s="271"/>
      <c r="K42" s="271"/>
      <c r="L42" s="271"/>
      <c r="M42" s="271"/>
      <c r="N42" s="273"/>
      <c r="O42" s="214">
        <v>0</v>
      </c>
      <c r="P42" s="214">
        <v>0</v>
      </c>
    </row>
    <row r="43" spans="1:16" ht="27" customHeight="1" outlineLevel="1" x14ac:dyDescent="0.2">
      <c r="A43" s="29" t="s">
        <v>165</v>
      </c>
      <c r="B43" s="365" t="s">
        <v>166</v>
      </c>
      <c r="C43" s="271"/>
      <c r="D43" s="271"/>
      <c r="E43" s="271"/>
      <c r="F43" s="271"/>
      <c r="G43" s="271"/>
      <c r="H43" s="273"/>
      <c r="I43" s="30" t="str">
        <f>VLOOKUP(B43,AA_Unitarios,consolidado!$H$7,FALSE)</f>
        <v>M3</v>
      </c>
      <c r="J43" s="9">
        <f>'21'!N2</f>
        <v>7</v>
      </c>
      <c r="K43" s="360">
        <f>VLOOKUP(B43,AA_Unitarios,consolidado!$M$7,FALSE)</f>
        <v>272247.47269367712</v>
      </c>
      <c r="L43" s="361"/>
      <c r="M43" s="359">
        <f t="shared" ref="M43:M45" si="4">J43*K43</f>
        <v>1905732.3088557399</v>
      </c>
      <c r="N43" s="273"/>
      <c r="O43" s="214">
        <v>239728.62377963949</v>
      </c>
      <c r="P43" s="214">
        <v>1678100.3664574763</v>
      </c>
    </row>
    <row r="44" spans="1:16" ht="40.5" customHeight="1" outlineLevel="1" x14ac:dyDescent="0.2">
      <c r="A44" s="29" t="s">
        <v>167</v>
      </c>
      <c r="B44" s="365" t="s">
        <v>92</v>
      </c>
      <c r="C44" s="271"/>
      <c r="D44" s="271"/>
      <c r="E44" s="271"/>
      <c r="F44" s="271"/>
      <c r="G44" s="271"/>
      <c r="H44" s="273"/>
      <c r="I44" s="30" t="str">
        <f>VLOOKUP(B44,AA_Unitarios,consolidado!$H$7,FALSE)</f>
        <v>M3</v>
      </c>
      <c r="J44" s="9">
        <f>'21'!O2</f>
        <v>17.5</v>
      </c>
      <c r="K44" s="360">
        <f>VLOOKUP(B44,AA_Unitarios,consolidado!$M$7,FALSE)</f>
        <v>229192.31748567708</v>
      </c>
      <c r="L44" s="361"/>
      <c r="M44" s="359">
        <f t="shared" si="4"/>
        <v>4010865.5559993489</v>
      </c>
      <c r="N44" s="273"/>
      <c r="O44" s="214">
        <v>224323.18043617744</v>
      </c>
      <c r="P44" s="214">
        <v>3925655.6576331053</v>
      </c>
    </row>
    <row r="45" spans="1:16" ht="40.5" customHeight="1" outlineLevel="1" x14ac:dyDescent="0.2">
      <c r="A45" s="29" t="s">
        <v>168</v>
      </c>
      <c r="B45" s="365" t="s">
        <v>169</v>
      </c>
      <c r="C45" s="271"/>
      <c r="D45" s="271"/>
      <c r="E45" s="271"/>
      <c r="F45" s="271"/>
      <c r="G45" s="271"/>
      <c r="H45" s="273"/>
      <c r="I45" s="30" t="str">
        <f>VLOOKUP(B45,AA_Unitarios,consolidado!$H$7,FALSE)</f>
        <v>M3</v>
      </c>
      <c r="J45" s="9">
        <f>J41-J43-J44</f>
        <v>29.064699999999995</v>
      </c>
      <c r="K45" s="360">
        <f>VLOOKUP(B45,AA_Unitarios,consolidado!$M$7,FALSE)</f>
        <v>26524.081196363637</v>
      </c>
      <c r="L45" s="361"/>
      <c r="M45" s="359">
        <f t="shared" si="4"/>
        <v>770914.46274795011</v>
      </c>
      <c r="N45" s="273"/>
      <c r="O45" s="214">
        <v>27397.2054648987</v>
      </c>
      <c r="P45" s="214">
        <v>796291.55767564115</v>
      </c>
    </row>
    <row r="46" spans="1:16" ht="12.75" customHeight="1" outlineLevel="1" x14ac:dyDescent="0.2">
      <c r="A46" s="31" t="s">
        <v>170</v>
      </c>
      <c r="B46" s="371" t="s">
        <v>94</v>
      </c>
      <c r="C46" s="271"/>
      <c r="D46" s="271"/>
      <c r="E46" s="271"/>
      <c r="F46" s="271"/>
      <c r="G46" s="271"/>
      <c r="H46" s="271"/>
      <c r="I46" s="271"/>
      <c r="J46" s="271"/>
      <c r="K46" s="271"/>
      <c r="L46" s="271"/>
      <c r="M46" s="271"/>
      <c r="N46" s="273"/>
      <c r="O46" s="214">
        <v>0</v>
      </c>
      <c r="P46" s="214">
        <v>0</v>
      </c>
    </row>
    <row r="47" spans="1:16" ht="27" customHeight="1" outlineLevel="1" x14ac:dyDescent="0.2">
      <c r="A47" s="29" t="s">
        <v>171</v>
      </c>
      <c r="B47" s="365" t="s">
        <v>172</v>
      </c>
      <c r="C47" s="271"/>
      <c r="D47" s="271"/>
      <c r="E47" s="271"/>
      <c r="F47" s="271"/>
      <c r="G47" s="271"/>
      <c r="H47" s="273"/>
      <c r="I47" s="30" t="str">
        <f>VLOOKUP(B47,AA_Unitarios,consolidado!$H$7,FALSE)</f>
        <v>M3</v>
      </c>
      <c r="J47" s="9">
        <f>VIADUCTO!E9*0.5*0.5</f>
        <v>8.75</v>
      </c>
      <c r="K47" s="360">
        <f>VLOOKUP(B47,AA_Unitarios,consolidado!$M$7,FALSE)</f>
        <v>965054.12208278815</v>
      </c>
      <c r="L47" s="361"/>
      <c r="M47" s="359">
        <f t="shared" ref="M47:M48" si="5">J47*K47</f>
        <v>8444223.5682243966</v>
      </c>
      <c r="N47" s="273"/>
      <c r="O47" s="214">
        <v>879153.17126285122</v>
      </c>
      <c r="P47" s="214">
        <v>7692590.2485499484</v>
      </c>
    </row>
    <row r="48" spans="1:16" ht="21" customHeight="1" outlineLevel="1" x14ac:dyDescent="0.2">
      <c r="A48" s="29" t="s">
        <v>173</v>
      </c>
      <c r="B48" s="365" t="s">
        <v>100</v>
      </c>
      <c r="C48" s="271"/>
      <c r="D48" s="271"/>
      <c r="E48" s="271"/>
      <c r="F48" s="271"/>
      <c r="G48" s="271"/>
      <c r="H48" s="273"/>
      <c r="I48" s="30" t="str">
        <f>VLOOKUP(B48,AA_Unitarios,consolidado!$H$7,FALSE)</f>
        <v>M2</v>
      </c>
      <c r="J48" s="9">
        <f>VIADUCTO!E9*(0.5*4)</f>
        <v>70</v>
      </c>
      <c r="K48" s="360">
        <f>VLOOKUP(B48,AA_Unitarios,consolidado!$M$7,FALSE)</f>
        <v>11901.358633060001</v>
      </c>
      <c r="L48" s="361"/>
      <c r="M48" s="359">
        <f t="shared" si="5"/>
        <v>833095.10431420011</v>
      </c>
      <c r="N48" s="273"/>
      <c r="O48" s="214">
        <v>11765.775463398502</v>
      </c>
      <c r="P48" s="214">
        <v>823604.28243789519</v>
      </c>
    </row>
    <row r="49" spans="1:25" ht="12.75" customHeight="1" outlineLevel="1" x14ac:dyDescent="0.2">
      <c r="A49" s="31" t="s">
        <v>174</v>
      </c>
      <c r="B49" s="371" t="s">
        <v>107</v>
      </c>
      <c r="C49" s="271"/>
      <c r="D49" s="271"/>
      <c r="E49" s="271"/>
      <c r="F49" s="271"/>
      <c r="G49" s="271"/>
      <c r="H49" s="271"/>
      <c r="I49" s="271"/>
      <c r="J49" s="271"/>
      <c r="K49" s="271"/>
      <c r="L49" s="271"/>
      <c r="M49" s="271"/>
      <c r="N49" s="273"/>
      <c r="O49" s="214">
        <v>0</v>
      </c>
      <c r="P49" s="214">
        <v>0</v>
      </c>
    </row>
    <row r="50" spans="1:25" ht="27" customHeight="1" outlineLevel="1" x14ac:dyDescent="0.2">
      <c r="A50" s="29" t="s">
        <v>175</v>
      </c>
      <c r="B50" s="365" t="s">
        <v>109</v>
      </c>
      <c r="C50" s="271"/>
      <c r="D50" s="271"/>
      <c r="E50" s="271"/>
      <c r="F50" s="271"/>
      <c r="G50" s="271"/>
      <c r="H50" s="273"/>
      <c r="I50" s="30" t="str">
        <f>VLOOKUP(B50,AA_Unitarios,consolidado!$H$7,FALSE)</f>
        <v>M3-KM</v>
      </c>
      <c r="J50" s="9">
        <f>J51*Indice!$L$19</f>
        <v>122.5</v>
      </c>
      <c r="K50" s="360">
        <f>VLOOKUP(B50,AA_Unitarios,consolidado!$M$7,FALSE)</f>
        <v>10890.40783384375</v>
      </c>
      <c r="L50" s="361"/>
      <c r="M50" s="359">
        <f t="shared" ref="M50:M51" si="6">J50*K50</f>
        <v>1334074.9596458594</v>
      </c>
      <c r="N50" s="273"/>
      <c r="O50" s="214">
        <v>10739.718453389989</v>
      </c>
      <c r="P50" s="214">
        <v>1315615.5105402737</v>
      </c>
    </row>
    <row r="51" spans="1:25" ht="27" customHeight="1" outlineLevel="1" x14ac:dyDescent="0.2">
      <c r="A51" s="29" t="s">
        <v>176</v>
      </c>
      <c r="B51" s="365" t="s">
        <v>111</v>
      </c>
      <c r="C51" s="271"/>
      <c r="D51" s="271"/>
      <c r="E51" s="271"/>
      <c r="F51" s="271"/>
      <c r="G51" s="271"/>
      <c r="H51" s="273"/>
      <c r="I51" s="30" t="str">
        <f>VLOOKUP(B51,AA_Unitarios,consolidado!$H$7,FALSE)</f>
        <v>M3</v>
      </c>
      <c r="J51" s="9">
        <f>J41-J45</f>
        <v>24.5</v>
      </c>
      <c r="K51" s="360">
        <f>VLOOKUP(B51,AA_Unitarios,consolidado!$M$7,FALSE)</f>
        <v>6384.6287895000005</v>
      </c>
      <c r="L51" s="361"/>
      <c r="M51" s="359">
        <f t="shared" si="6"/>
        <v>156423.40534275002</v>
      </c>
      <c r="N51" s="273"/>
      <c r="O51" s="214">
        <v>7257.1004178808416</v>
      </c>
      <c r="P51" s="214">
        <v>177798.96023808062</v>
      </c>
    </row>
    <row r="52" spans="1:25" ht="12.75" customHeight="1" outlineLevel="1" x14ac:dyDescent="0.2">
      <c r="A52" s="31" t="s">
        <v>177</v>
      </c>
      <c r="B52" s="366" t="s">
        <v>113</v>
      </c>
      <c r="C52" s="271"/>
      <c r="D52" s="271"/>
      <c r="E52" s="271"/>
      <c r="F52" s="271"/>
      <c r="G52" s="271"/>
      <c r="H52" s="271"/>
      <c r="I52" s="271"/>
      <c r="J52" s="271"/>
      <c r="K52" s="271"/>
      <c r="L52" s="271"/>
      <c r="M52" s="271"/>
      <c r="N52" s="273"/>
      <c r="O52" s="214">
        <v>0</v>
      </c>
      <c r="P52" s="214">
        <v>0</v>
      </c>
    </row>
    <row r="53" spans="1:25" ht="40.5" customHeight="1" outlineLevel="1" x14ac:dyDescent="0.2">
      <c r="A53" s="29" t="s">
        <v>178</v>
      </c>
      <c r="B53" s="365" t="s">
        <v>179</v>
      </c>
      <c r="C53" s="271"/>
      <c r="D53" s="271"/>
      <c r="E53" s="271"/>
      <c r="F53" s="271"/>
      <c r="G53" s="271"/>
      <c r="H53" s="273"/>
      <c r="I53" s="30" t="str">
        <f>VLOOKUP(B53,AA_Unitarios,consolidado!$H$7,FALSE)</f>
        <v>UND</v>
      </c>
      <c r="J53" s="9">
        <f>VENTOSAS!E6</f>
        <v>5</v>
      </c>
      <c r="K53" s="360">
        <f>VLOOKUP(B53,AA_Unitarios,consolidado!$M$7,FALSE)</f>
        <v>13609568.249185361</v>
      </c>
      <c r="L53" s="361"/>
      <c r="M53" s="359">
        <f t="shared" ref="M53:M54" si="7">J53*K53</f>
        <v>68047841.245926797</v>
      </c>
      <c r="N53" s="273"/>
      <c r="O53" s="214">
        <v>13641753.927346617</v>
      </c>
      <c r="P53" s="214">
        <v>68208769.636733085</v>
      </c>
    </row>
    <row r="54" spans="1:25" ht="40.5" customHeight="1" outlineLevel="1" x14ac:dyDescent="0.2">
      <c r="A54" s="29" t="s">
        <v>180</v>
      </c>
      <c r="B54" s="365" t="s">
        <v>181</v>
      </c>
      <c r="C54" s="271"/>
      <c r="D54" s="271"/>
      <c r="E54" s="271"/>
      <c r="F54" s="271"/>
      <c r="G54" s="271"/>
      <c r="H54" s="273"/>
      <c r="I54" s="30" t="str">
        <f>VLOOKUP(B54,AA_Unitarios,consolidado!$H$7,FALSE)</f>
        <v>UND</v>
      </c>
      <c r="J54" s="9">
        <f>VENTOSAS!E7</f>
        <v>4</v>
      </c>
      <c r="K54" s="360">
        <f>VLOOKUP(B54,AA_Unitarios,consolidado!$M$7,FALSE)</f>
        <v>15332184.997981517</v>
      </c>
      <c r="L54" s="361"/>
      <c r="M54" s="359">
        <f t="shared" si="7"/>
        <v>61328739.991926067</v>
      </c>
      <c r="N54" s="273"/>
      <c r="O54" s="214">
        <v>15853090.555409646</v>
      </c>
      <c r="P54" s="214">
        <v>63412362.221638583</v>
      </c>
    </row>
    <row r="55" spans="1:25" ht="12.75" customHeight="1" outlineLevel="1" x14ac:dyDescent="0.2">
      <c r="A55" s="33" t="s">
        <v>183</v>
      </c>
      <c r="B55" s="366" t="s">
        <v>184</v>
      </c>
      <c r="C55" s="271"/>
      <c r="D55" s="271"/>
      <c r="E55" s="271"/>
      <c r="F55" s="271"/>
      <c r="G55" s="271"/>
      <c r="H55" s="271"/>
      <c r="I55" s="271"/>
      <c r="J55" s="271"/>
      <c r="K55" s="271"/>
      <c r="L55" s="271"/>
      <c r="M55" s="271"/>
      <c r="N55" s="273"/>
      <c r="O55" s="214">
        <v>0</v>
      </c>
      <c r="P55" s="214">
        <v>0</v>
      </c>
    </row>
    <row r="56" spans="1:25" ht="27" customHeight="1" outlineLevel="1" x14ac:dyDescent="0.2">
      <c r="A56" s="29" t="s">
        <v>185</v>
      </c>
      <c r="B56" s="365" t="s">
        <v>3185</v>
      </c>
      <c r="C56" s="271"/>
      <c r="D56" s="271"/>
      <c r="E56" s="271"/>
      <c r="F56" s="271"/>
      <c r="G56" s="271"/>
      <c r="H56" s="273"/>
      <c r="I56" s="30" t="str">
        <f>VLOOKUP(B56,AA_Unitarios,consolidado!$H$7,FALSE)</f>
        <v>ML</v>
      </c>
      <c r="J56" s="9">
        <f>J39</f>
        <v>35</v>
      </c>
      <c r="K56" s="360">
        <f>+VLOOKUP(B56,AA_Unitarios,consolidado!$M$7,FALSE)</f>
        <v>134636.44831325</v>
      </c>
      <c r="L56" s="361"/>
      <c r="M56" s="359">
        <f t="shared" ref="M56" si="8">J56*K56</f>
        <v>4712275.6909637498</v>
      </c>
      <c r="N56" s="273"/>
      <c r="O56" s="214">
        <v>134610.1371301584</v>
      </c>
      <c r="P56" s="214">
        <v>4711354.7995555438</v>
      </c>
      <c r="Q56" s="1"/>
      <c r="R56" s="1"/>
      <c r="S56" s="1"/>
      <c r="T56" s="1"/>
      <c r="U56" s="1"/>
      <c r="V56" s="1"/>
      <c r="W56" s="1"/>
      <c r="X56" s="1"/>
      <c r="Y56" s="1"/>
    </row>
    <row r="57" spans="1:25" ht="12.75" customHeight="1" x14ac:dyDescent="0.2">
      <c r="A57" s="32"/>
      <c r="B57" s="34"/>
      <c r="C57" s="34"/>
      <c r="D57" s="34"/>
      <c r="E57" s="34"/>
      <c r="F57" s="34"/>
      <c r="G57" s="34"/>
      <c r="H57" s="34"/>
      <c r="I57" s="32"/>
      <c r="J57" s="32"/>
      <c r="K57" s="32"/>
      <c r="L57" s="32"/>
      <c r="M57" s="32"/>
      <c r="N57" s="32"/>
    </row>
    <row r="58" spans="1:25" ht="12.75" customHeight="1" x14ac:dyDescent="0.2">
      <c r="A58" s="34"/>
      <c r="B58" s="34"/>
      <c r="D58" s="22"/>
      <c r="F58" s="362" t="s">
        <v>3204</v>
      </c>
      <c r="G58" s="363"/>
      <c r="H58" s="363"/>
      <c r="I58" s="363"/>
      <c r="J58" s="363"/>
      <c r="K58" s="363"/>
      <c r="L58" s="364"/>
      <c r="M58" s="374">
        <f>+SUM(M61:N85)</f>
        <v>289070928.72083294</v>
      </c>
      <c r="N58" s="273"/>
    </row>
    <row r="59" spans="1:25" ht="12.75" customHeight="1" outlineLevel="1" x14ac:dyDescent="0.2">
      <c r="A59" s="287" t="s">
        <v>143</v>
      </c>
      <c r="B59" s="271"/>
      <c r="C59" s="271"/>
      <c r="D59" s="271"/>
      <c r="E59" s="271"/>
      <c r="F59" s="271"/>
      <c r="G59" s="271"/>
      <c r="H59" s="273"/>
      <c r="I59" s="16" t="s">
        <v>144</v>
      </c>
      <c r="J59" s="16" t="s">
        <v>78</v>
      </c>
      <c r="K59" s="375" t="s">
        <v>145</v>
      </c>
      <c r="L59" s="273"/>
      <c r="M59" s="375" t="s">
        <v>80</v>
      </c>
      <c r="N59" s="273"/>
    </row>
    <row r="60" spans="1:25" ht="12.75" customHeight="1" outlineLevel="1" x14ac:dyDescent="0.2">
      <c r="A60" s="31" t="s">
        <v>186</v>
      </c>
      <c r="B60" s="371" t="s">
        <v>82</v>
      </c>
      <c r="C60" s="271"/>
      <c r="D60" s="271"/>
      <c r="E60" s="271"/>
      <c r="F60" s="271"/>
      <c r="G60" s="271"/>
      <c r="H60" s="271"/>
      <c r="I60" s="271"/>
      <c r="J60" s="271"/>
      <c r="K60" s="271"/>
      <c r="L60" s="271"/>
      <c r="M60" s="271"/>
      <c r="N60" s="273"/>
    </row>
    <row r="61" spans="1:25" ht="27" customHeight="1" outlineLevel="1" x14ac:dyDescent="0.2">
      <c r="A61" s="29" t="s">
        <v>187</v>
      </c>
      <c r="B61" s="365" t="s">
        <v>84</v>
      </c>
      <c r="C61" s="271"/>
      <c r="D61" s="271"/>
      <c r="E61" s="271"/>
      <c r="F61" s="271"/>
      <c r="G61" s="271"/>
      <c r="H61" s="273"/>
      <c r="I61" s="30" t="str">
        <f>VLOOKUP(B61,AA_Unitarios,consolidado!$H$7,FALSE)</f>
        <v>M2</v>
      </c>
      <c r="J61" s="9">
        <f>+'CANT PTAP HATO'!$F$9</f>
        <v>629</v>
      </c>
      <c r="K61" s="360">
        <f>VLOOKUP(B61,AA_Unitarios,consolidado!$M$7,FALSE)</f>
        <v>5395.0282271600026</v>
      </c>
      <c r="L61" s="361"/>
      <c r="M61" s="359">
        <f>J61*K61</f>
        <v>3393472.7548836418</v>
      </c>
      <c r="N61" s="273"/>
      <c r="O61" s="214">
        <v>8926.592787338428</v>
      </c>
      <c r="P61" s="214">
        <v>5614826.8632358713</v>
      </c>
    </row>
    <row r="62" spans="1:25" ht="12.75" customHeight="1" outlineLevel="1" x14ac:dyDescent="0.2">
      <c r="A62" s="31" t="s">
        <v>188</v>
      </c>
      <c r="B62" s="366" t="s">
        <v>86</v>
      </c>
      <c r="C62" s="271"/>
      <c r="D62" s="271"/>
      <c r="E62" s="271"/>
      <c r="F62" s="271"/>
      <c r="G62" s="271"/>
      <c r="H62" s="271"/>
      <c r="I62" s="271"/>
      <c r="J62" s="271"/>
      <c r="K62" s="271"/>
      <c r="L62" s="271"/>
      <c r="M62" s="271"/>
      <c r="N62" s="273"/>
      <c r="O62" s="214">
        <v>0</v>
      </c>
      <c r="P62" s="214">
        <v>0</v>
      </c>
    </row>
    <row r="63" spans="1:25" ht="12.75" customHeight="1" outlineLevel="1" x14ac:dyDescent="0.2">
      <c r="A63" s="29" t="s">
        <v>189</v>
      </c>
      <c r="B63" s="365" t="s">
        <v>161</v>
      </c>
      <c r="C63" s="271"/>
      <c r="D63" s="271"/>
      <c r="E63" s="271"/>
      <c r="F63" s="271"/>
      <c r="G63" s="271"/>
      <c r="H63" s="273"/>
      <c r="I63" s="30" t="str">
        <f>VLOOKUP(B63,AA_Unitarios,consolidado!$H$7,FALSE)</f>
        <v>M3</v>
      </c>
      <c r="J63" s="9">
        <f>+'CANT PTAP HATO'!$F$304</f>
        <v>52.5</v>
      </c>
      <c r="K63" s="360">
        <f>VLOOKUP(B63,AA_Unitarios,consolidado!$M$7,FALSE)</f>
        <v>68458.635200799996</v>
      </c>
      <c r="L63" s="361"/>
      <c r="M63" s="359">
        <f>J63*K63</f>
        <v>3594078.3480419996</v>
      </c>
      <c r="N63" s="273"/>
      <c r="O63" s="214">
        <v>95202.28164154799</v>
      </c>
      <c r="P63" s="214">
        <v>4998119.7861812692</v>
      </c>
    </row>
    <row r="64" spans="1:25" ht="12.75" customHeight="1" outlineLevel="1" x14ac:dyDescent="0.2">
      <c r="A64" s="31" t="s">
        <v>190</v>
      </c>
      <c r="B64" s="366" t="s">
        <v>90</v>
      </c>
      <c r="C64" s="271"/>
      <c r="D64" s="271"/>
      <c r="E64" s="271"/>
      <c r="F64" s="271"/>
      <c r="G64" s="271"/>
      <c r="H64" s="271"/>
      <c r="I64" s="271"/>
      <c r="J64" s="271"/>
      <c r="K64" s="271"/>
      <c r="L64" s="271"/>
      <c r="M64" s="271"/>
      <c r="N64" s="273"/>
      <c r="O64" s="214">
        <v>0</v>
      </c>
      <c r="P64" s="214">
        <v>0</v>
      </c>
    </row>
    <row r="65" spans="1:16" ht="40.5" customHeight="1" outlineLevel="1" x14ac:dyDescent="0.2">
      <c r="A65" s="29" t="s">
        <v>191</v>
      </c>
      <c r="B65" s="365" t="s">
        <v>92</v>
      </c>
      <c r="C65" s="271"/>
      <c r="D65" s="271"/>
      <c r="E65" s="271"/>
      <c r="F65" s="271"/>
      <c r="G65" s="271"/>
      <c r="H65" s="273"/>
      <c r="I65" s="30" t="str">
        <f>VLOOKUP(B65,AA_Unitarios,consolidado!$H$7,FALSE)</f>
        <v>M3</v>
      </c>
      <c r="J65" s="9">
        <f>+'CANT PTAP HATO'!$F$310</f>
        <v>21</v>
      </c>
      <c r="K65" s="360">
        <f>VLOOKUP(B65,AA_Unitarios,consolidado!$M$7,FALSE)</f>
        <v>229192.31748567708</v>
      </c>
      <c r="L65" s="361"/>
      <c r="M65" s="359">
        <f t="shared" ref="M65" si="9">J65*K65</f>
        <v>4813038.6671992186</v>
      </c>
      <c r="N65" s="273"/>
      <c r="O65" s="214">
        <v>224323.18043617744</v>
      </c>
      <c r="P65" s="214">
        <v>4710786.7891597264</v>
      </c>
    </row>
    <row r="66" spans="1:16" ht="12.75" customHeight="1" outlineLevel="1" x14ac:dyDescent="0.2">
      <c r="A66" s="31" t="s">
        <v>195</v>
      </c>
      <c r="B66" s="366" t="s">
        <v>94</v>
      </c>
      <c r="C66" s="271"/>
      <c r="D66" s="271"/>
      <c r="E66" s="271"/>
      <c r="F66" s="271"/>
      <c r="G66" s="271"/>
      <c r="H66" s="271"/>
      <c r="I66" s="271"/>
      <c r="J66" s="271"/>
      <c r="K66" s="271"/>
      <c r="L66" s="271"/>
      <c r="M66" s="271"/>
      <c r="N66" s="273"/>
      <c r="O66" s="214">
        <v>0</v>
      </c>
      <c r="P66" s="214">
        <v>0</v>
      </c>
    </row>
    <row r="67" spans="1:16" ht="12.75" customHeight="1" outlineLevel="1" x14ac:dyDescent="0.2">
      <c r="A67" s="29" t="s">
        <v>196</v>
      </c>
      <c r="B67" s="365" t="s">
        <v>96</v>
      </c>
      <c r="C67" s="271"/>
      <c r="D67" s="271"/>
      <c r="E67" s="271"/>
      <c r="F67" s="271"/>
      <c r="G67" s="271"/>
      <c r="H67" s="273"/>
      <c r="I67" s="30" t="str">
        <f>VLOOKUP(B67,AA_Unitarios,consolidado!$H$7,FALSE)</f>
        <v>M3</v>
      </c>
      <c r="J67" s="9">
        <f>+'CANT PTAP HATO'!$F$316</f>
        <v>5.25</v>
      </c>
      <c r="K67" s="360">
        <f>+VLOOKUP(B67,AA_Unitarios,consolidado!$M$7,FALSE)</f>
        <v>805839.35208278813</v>
      </c>
      <c r="L67" s="361"/>
      <c r="M67" s="359">
        <f t="shared" ref="M67:M69" si="10">J67*K67</f>
        <v>4230656.5984346373</v>
      </c>
      <c r="N67" s="273"/>
      <c r="O67" s="214">
        <v>739822.86471154669</v>
      </c>
      <c r="P67" s="214">
        <v>3884070.0397356199</v>
      </c>
    </row>
    <row r="68" spans="1:16" ht="12.75" customHeight="1" outlineLevel="1" x14ac:dyDescent="0.2">
      <c r="A68" s="29" t="s">
        <v>197</v>
      </c>
      <c r="B68" s="365" t="s">
        <v>98</v>
      </c>
      <c r="C68" s="271"/>
      <c r="D68" s="271"/>
      <c r="E68" s="271"/>
      <c r="F68" s="271"/>
      <c r="G68" s="271"/>
      <c r="H68" s="273"/>
      <c r="I68" s="30" t="str">
        <f>VLOOKUP(B68,AA_Unitarios,consolidado!$H$7,FALSE)</f>
        <v>M3</v>
      </c>
      <c r="J68" s="9">
        <f>+'CANT PTAP HATO'!$F$322</f>
        <v>15.75</v>
      </c>
      <c r="K68" s="360">
        <f>+VLOOKUP(B68,AA_Unitarios,consolidado!$M$7,FALSE)</f>
        <v>965054.12208278815</v>
      </c>
      <c r="L68" s="361"/>
      <c r="M68" s="359">
        <f t="shared" si="10"/>
        <v>15199602.422803914</v>
      </c>
      <c r="N68" s="273"/>
      <c r="O68" s="214">
        <v>879153.17126285122</v>
      </c>
      <c r="P68" s="214">
        <v>13846662.447389906</v>
      </c>
    </row>
    <row r="69" spans="1:16" ht="12.75" customHeight="1" outlineLevel="1" x14ac:dyDescent="0.2">
      <c r="A69" s="29" t="s">
        <v>198</v>
      </c>
      <c r="B69" s="365" t="s">
        <v>100</v>
      </c>
      <c r="C69" s="271"/>
      <c r="D69" s="271"/>
      <c r="E69" s="271"/>
      <c r="F69" s="271"/>
      <c r="G69" s="271"/>
      <c r="H69" s="273"/>
      <c r="I69" s="30" t="str">
        <f>VLOOKUP(B69,AA_Unitarios,consolidado!$H$7,FALSE)</f>
        <v>M2</v>
      </c>
      <c r="J69" s="9">
        <f>+'CANT PTAP HATO'!$F$328</f>
        <v>105</v>
      </c>
      <c r="K69" s="360">
        <f>+VLOOKUP(B69,AA_Unitarios,consolidado!$M$7,FALSE)</f>
        <v>11901.358633060001</v>
      </c>
      <c r="L69" s="361"/>
      <c r="M69" s="359">
        <f t="shared" si="10"/>
        <v>1249642.6564713002</v>
      </c>
      <c r="N69" s="273"/>
      <c r="O69" s="214">
        <v>11765.775463398502</v>
      </c>
      <c r="P69" s="214">
        <v>1235406.4236568427</v>
      </c>
    </row>
    <row r="70" spans="1:16" ht="12.75" customHeight="1" outlineLevel="1" x14ac:dyDescent="0.2">
      <c r="A70" s="31" t="s">
        <v>202</v>
      </c>
      <c r="B70" s="366" t="s">
        <v>107</v>
      </c>
      <c r="C70" s="271"/>
      <c r="D70" s="271"/>
      <c r="E70" s="271"/>
      <c r="F70" s="271"/>
      <c r="G70" s="271"/>
      <c r="H70" s="271"/>
      <c r="I70" s="271"/>
      <c r="J70" s="271"/>
      <c r="K70" s="271"/>
      <c r="L70" s="271"/>
      <c r="M70" s="271"/>
      <c r="N70" s="273"/>
      <c r="O70" s="214">
        <v>0</v>
      </c>
      <c r="P70" s="214">
        <v>0</v>
      </c>
    </row>
    <row r="71" spans="1:16" ht="27" customHeight="1" outlineLevel="1" x14ac:dyDescent="0.2">
      <c r="A71" s="29" t="s">
        <v>203</v>
      </c>
      <c r="B71" s="365" t="s">
        <v>146</v>
      </c>
      <c r="C71" s="271"/>
      <c r="D71" s="271"/>
      <c r="E71" s="271"/>
      <c r="F71" s="271"/>
      <c r="G71" s="271"/>
      <c r="H71" s="273"/>
      <c r="I71" s="30" t="str">
        <f>VLOOKUP(B71,AA_Unitarios,consolidado!$H$7,FALSE)</f>
        <v>M3</v>
      </c>
      <c r="J71" s="9">
        <f>J63-(J63-(J65+J67+J68))</f>
        <v>42</v>
      </c>
      <c r="K71" s="360">
        <f>VLOOKUP(B71,AA_Unitarios,consolidado!$M$7,FALSE)</f>
        <v>27023.145473999997</v>
      </c>
      <c r="L71" s="361"/>
      <c r="M71" s="359">
        <f>J71*K71</f>
        <v>1134972.1099079999</v>
      </c>
      <c r="N71" s="273"/>
      <c r="O71" s="214">
        <v>28560.684492464399</v>
      </c>
      <c r="P71" s="214">
        <v>1199548.7486835048</v>
      </c>
    </row>
    <row r="72" spans="1:16" ht="12.75" customHeight="1" outlineLevel="1" x14ac:dyDescent="0.2">
      <c r="A72" s="31" t="s">
        <v>204</v>
      </c>
      <c r="B72" s="366" t="s">
        <v>113</v>
      </c>
      <c r="C72" s="271"/>
      <c r="D72" s="271"/>
      <c r="E72" s="271"/>
      <c r="F72" s="271"/>
      <c r="G72" s="271"/>
      <c r="H72" s="271"/>
      <c r="I72" s="271"/>
      <c r="J72" s="271"/>
      <c r="K72" s="271"/>
      <c r="L72" s="271"/>
      <c r="M72" s="271"/>
      <c r="N72" s="273"/>
      <c r="O72" s="214">
        <v>0</v>
      </c>
      <c r="P72" s="214">
        <v>0</v>
      </c>
    </row>
    <row r="73" spans="1:16" ht="54" customHeight="1" outlineLevel="1" x14ac:dyDescent="0.2">
      <c r="A73" s="26" t="s">
        <v>205</v>
      </c>
      <c r="B73" s="365" t="s">
        <v>208</v>
      </c>
      <c r="C73" s="271"/>
      <c r="D73" s="271"/>
      <c r="E73" s="271"/>
      <c r="F73" s="271"/>
      <c r="G73" s="271"/>
      <c r="H73" s="273"/>
      <c r="I73" s="27" t="str">
        <f>VLOOKUP(B73,AA_Unitarios,consolidado!$H$7,FALSE)</f>
        <v>UND</v>
      </c>
      <c r="J73" s="28">
        <v>1</v>
      </c>
      <c r="K73" s="360">
        <f>VLOOKUP(B73,AA_Unitarios,consolidado!$M$7,FALSE)</f>
        <v>128325834</v>
      </c>
      <c r="L73" s="361"/>
      <c r="M73" s="379">
        <f t="shared" ref="M73:M83" si="11">J73*K73</f>
        <v>128325834</v>
      </c>
      <c r="N73" s="273"/>
      <c r="O73" s="214">
        <v>127583209.31166337</v>
      </c>
      <c r="P73" s="214">
        <v>127583209.31166337</v>
      </c>
    </row>
    <row r="74" spans="1:16" ht="12.75" customHeight="1" outlineLevel="1" x14ac:dyDescent="0.2">
      <c r="A74" s="26" t="s">
        <v>207</v>
      </c>
      <c r="B74" s="365" t="s">
        <v>210</v>
      </c>
      <c r="C74" s="271"/>
      <c r="D74" s="271"/>
      <c r="E74" s="271"/>
      <c r="F74" s="271"/>
      <c r="G74" s="271"/>
      <c r="H74" s="273"/>
      <c r="I74" s="27" t="str">
        <f>VLOOKUP(B74,AA_Unitarios,consolidado!$H$7,FALSE)</f>
        <v>UND</v>
      </c>
      <c r="J74" s="28">
        <v>4</v>
      </c>
      <c r="K74" s="360">
        <f>VLOOKUP(B74,AA_Unitarios,consolidado!$M$7,FALSE)</f>
        <v>16626721.956</v>
      </c>
      <c r="L74" s="361"/>
      <c r="M74" s="379">
        <f t="shared" si="11"/>
        <v>66506887.824000001</v>
      </c>
      <c r="N74" s="273"/>
      <c r="O74" s="214">
        <v>16530502.716071783</v>
      </c>
      <c r="P74" s="214">
        <v>66122010.864287131</v>
      </c>
    </row>
    <row r="75" spans="1:16" ht="12.75" customHeight="1" outlineLevel="1" x14ac:dyDescent="0.2">
      <c r="A75" s="26" t="s">
        <v>209</v>
      </c>
      <c r="B75" s="365" t="s">
        <v>212</v>
      </c>
      <c r="C75" s="271"/>
      <c r="D75" s="271"/>
      <c r="E75" s="271"/>
      <c r="F75" s="271"/>
      <c r="G75" s="271"/>
      <c r="H75" s="273"/>
      <c r="I75" s="30" t="str">
        <f>VLOOKUP(B75,AA_Unitarios,consolidado!$H$7,FALSE)</f>
        <v>UND</v>
      </c>
      <c r="J75" s="9">
        <f>+'CANT PTAP HATO'!F20</f>
        <v>1</v>
      </c>
      <c r="K75" s="360">
        <f>VLOOKUP(B75,AA_Unitarios,consolidado!$M$7,FALSE)</f>
        <v>3269175</v>
      </c>
      <c r="L75" s="361"/>
      <c r="M75" s="379">
        <f t="shared" si="11"/>
        <v>3269175</v>
      </c>
      <c r="N75" s="273"/>
      <c r="O75" s="214">
        <v>3250256.20563243</v>
      </c>
      <c r="P75" s="214">
        <v>3250256.20563243</v>
      </c>
    </row>
    <row r="76" spans="1:16" ht="27" customHeight="1" outlineLevel="1" x14ac:dyDescent="0.2">
      <c r="A76" s="26" t="s">
        <v>211</v>
      </c>
      <c r="B76" s="365" t="s">
        <v>125</v>
      </c>
      <c r="C76" s="271"/>
      <c r="D76" s="271"/>
      <c r="E76" s="271"/>
      <c r="F76" s="271"/>
      <c r="G76" s="271"/>
      <c r="H76" s="273"/>
      <c r="I76" s="30" t="str">
        <f>VLOOKUP(B76,AA_Unitarios,consolidado!$H$7,FALSE)</f>
        <v>M2</v>
      </c>
      <c r="J76" s="9">
        <f>+'CANT PTAP HATO'!F31</f>
        <v>3</v>
      </c>
      <c r="K76" s="360">
        <f>VLOOKUP(B76,AA_Unitarios,consolidado!$M$7,FALSE)</f>
        <v>36323.880783125001</v>
      </c>
      <c r="L76" s="361"/>
      <c r="M76" s="359">
        <f t="shared" si="11"/>
        <v>108971.642349375</v>
      </c>
      <c r="N76" s="273"/>
      <c r="O76" s="214">
        <v>37995.756566440017</v>
      </c>
      <c r="P76" s="214">
        <v>113987.26969932005</v>
      </c>
    </row>
    <row r="77" spans="1:16" ht="27" customHeight="1" outlineLevel="1" x14ac:dyDescent="0.2">
      <c r="A77" s="26" t="s">
        <v>213</v>
      </c>
      <c r="B77" s="365" t="s">
        <v>129</v>
      </c>
      <c r="C77" s="271"/>
      <c r="D77" s="271"/>
      <c r="E77" s="271"/>
      <c r="F77" s="271"/>
      <c r="G77" s="271"/>
      <c r="H77" s="273"/>
      <c r="I77" s="30" t="str">
        <f>VLOOKUP(B77,AA_Unitarios,consolidado!$H$7,FALSE)</f>
        <v>M2</v>
      </c>
      <c r="J77" s="9">
        <f>+'CANT PTAP HATO'!F42</f>
        <v>26.18</v>
      </c>
      <c r="K77" s="360">
        <f>VLOOKUP(B77,AA_Unitarios,consolidado!$M$7,FALSE)</f>
        <v>40775.582126500005</v>
      </c>
      <c r="L77" s="361"/>
      <c r="M77" s="359">
        <f t="shared" si="11"/>
        <v>1067504.74007177</v>
      </c>
      <c r="N77" s="273"/>
      <c r="O77" s="214">
        <v>42045.279216010451</v>
      </c>
      <c r="P77" s="214">
        <v>1100745.4098751536</v>
      </c>
    </row>
    <row r="78" spans="1:16" ht="12.75" customHeight="1" outlineLevel="1" x14ac:dyDescent="0.2">
      <c r="A78" s="26" t="s">
        <v>215</v>
      </c>
      <c r="B78" s="365" t="s">
        <v>223</v>
      </c>
      <c r="C78" s="271"/>
      <c r="D78" s="271"/>
      <c r="E78" s="271"/>
      <c r="F78" s="271"/>
      <c r="G78" s="271"/>
      <c r="H78" s="273"/>
      <c r="I78" s="30" t="str">
        <f>VLOOKUP(B78,AA_Unitarios,consolidado!$H$7,FALSE)</f>
        <v>ML</v>
      </c>
      <c r="J78" s="9">
        <f>+'CANT PTAP HATO'!F53</f>
        <v>5.6</v>
      </c>
      <c r="K78" s="360">
        <f>VLOOKUP(B78,AA_Unitarios,consolidado!$M$7,FALSE)</f>
        <v>648365.20391499996</v>
      </c>
      <c r="L78" s="361"/>
      <c r="M78" s="359">
        <f t="shared" si="11"/>
        <v>3630845.1419239994</v>
      </c>
      <c r="N78" s="273"/>
      <c r="O78" s="214">
        <v>627935.66864414548</v>
      </c>
      <c r="P78" s="214">
        <v>3516439.7444072147</v>
      </c>
    </row>
    <row r="79" spans="1:16" ht="27" customHeight="1" outlineLevel="1" x14ac:dyDescent="0.2">
      <c r="A79" s="26" t="s">
        <v>217</v>
      </c>
      <c r="B79" s="365" t="s">
        <v>149</v>
      </c>
      <c r="C79" s="271"/>
      <c r="D79" s="271"/>
      <c r="E79" s="271"/>
      <c r="F79" s="271"/>
      <c r="G79" s="271"/>
      <c r="H79" s="273"/>
      <c r="I79" s="30" t="str">
        <f>VLOOKUP(B79,AA_Unitarios,consolidado!$H$7,FALSE)</f>
        <v>UND</v>
      </c>
      <c r="J79" s="9">
        <v>4</v>
      </c>
      <c r="K79" s="360">
        <f>VLOOKUP(B79,AA_Unitarios,consolidado!$M$7,FALSE)</f>
        <v>360247.794292634</v>
      </c>
      <c r="L79" s="361"/>
      <c r="M79" s="359">
        <f t="shared" si="11"/>
        <v>1440991.177170536</v>
      </c>
      <c r="N79" s="273"/>
      <c r="O79" s="214">
        <v>351425.94667826191</v>
      </c>
      <c r="P79" s="214">
        <v>1405703.7867130477</v>
      </c>
    </row>
    <row r="80" spans="1:16" ht="30.75" customHeight="1" outlineLevel="1" x14ac:dyDescent="0.2">
      <c r="A80" s="26" t="s">
        <v>218</v>
      </c>
      <c r="B80" s="365" t="s">
        <v>234</v>
      </c>
      <c r="C80" s="271"/>
      <c r="D80" s="271"/>
      <c r="E80" s="271"/>
      <c r="F80" s="271"/>
      <c r="G80" s="271"/>
      <c r="H80" s="273"/>
      <c r="I80" s="30" t="str">
        <f>VLOOKUP(B80,AA_Unitarios,consolidado!$H$7,FALSE)</f>
        <v>UND</v>
      </c>
      <c r="J80" s="9">
        <v>4</v>
      </c>
      <c r="K80" s="360">
        <f>VLOOKUP(B80,AA_Unitarios,consolidado!$M$7,FALSE)</f>
        <v>8545015.7115555555</v>
      </c>
      <c r="L80" s="361"/>
      <c r="M80" s="359">
        <f t="shared" si="11"/>
        <v>34180062.846222222</v>
      </c>
      <c r="N80" s="273"/>
      <c r="O80" s="214">
        <v>8470916.8832011838</v>
      </c>
      <c r="P80" s="214">
        <v>33883667.532804735</v>
      </c>
    </row>
    <row r="81" spans="1:16" ht="12.75" customHeight="1" outlineLevel="1" x14ac:dyDescent="0.2">
      <c r="A81" s="26" t="s">
        <v>219</v>
      </c>
      <c r="B81" s="365" t="s">
        <v>235</v>
      </c>
      <c r="C81" s="271"/>
      <c r="D81" s="271"/>
      <c r="E81" s="271"/>
      <c r="F81" s="271"/>
      <c r="G81" s="271"/>
      <c r="H81" s="273"/>
      <c r="I81" s="30" t="str">
        <f>VLOOKUP(B81,AA_Unitarios,consolidado!$H$7,FALSE)</f>
        <v>UND</v>
      </c>
      <c r="J81" s="9">
        <v>4</v>
      </c>
      <c r="K81" s="360">
        <f>VLOOKUP(B81,AA_Unitarios,consolidado!$M$7,FALSE)</f>
        <v>3460684.5</v>
      </c>
      <c r="L81" s="361"/>
      <c r="M81" s="359">
        <f t="shared" si="11"/>
        <v>13842738</v>
      </c>
      <c r="N81" s="273"/>
      <c r="O81" s="214">
        <v>3440657.4355490189</v>
      </c>
      <c r="P81" s="214">
        <v>13762629.742196076</v>
      </c>
    </row>
    <row r="82" spans="1:16" ht="12.75" customHeight="1" outlineLevel="1" x14ac:dyDescent="0.2">
      <c r="A82" s="26" t="s">
        <v>220</v>
      </c>
      <c r="B82" s="365" t="s">
        <v>237</v>
      </c>
      <c r="C82" s="271"/>
      <c r="D82" s="271"/>
      <c r="E82" s="271"/>
      <c r="F82" s="271"/>
      <c r="G82" s="271"/>
      <c r="H82" s="273"/>
      <c r="I82" s="30" t="str">
        <f>VLOOKUP(B82,AA_Unitarios,consolidado!$H$7,FALSE)</f>
        <v>UND</v>
      </c>
      <c r="J82" s="9">
        <f>+'CANT PTAP HATO'!F64</f>
        <v>5</v>
      </c>
      <c r="K82" s="360">
        <f>VLOOKUP(B82,AA_Unitarios,consolidado!$M$7,FALSE)</f>
        <v>19607.886662649998</v>
      </c>
      <c r="L82" s="361"/>
      <c r="M82" s="359">
        <f t="shared" si="11"/>
        <v>98039.433313249989</v>
      </c>
      <c r="N82" s="273"/>
      <c r="O82" s="214">
        <v>19644.981987266659</v>
      </c>
      <c r="P82" s="214">
        <v>98224.909936333293</v>
      </c>
    </row>
    <row r="83" spans="1:16" ht="12.75" customHeight="1" outlineLevel="1" x14ac:dyDescent="0.2">
      <c r="A83" s="26" t="s">
        <v>221</v>
      </c>
      <c r="B83" s="365" t="s">
        <v>239</v>
      </c>
      <c r="C83" s="271"/>
      <c r="D83" s="271"/>
      <c r="E83" s="271"/>
      <c r="F83" s="271"/>
      <c r="G83" s="271"/>
      <c r="H83" s="273"/>
      <c r="I83" s="30" t="str">
        <f>VLOOKUP(B83,AA_Unitarios,consolidado!$H$7,FALSE)</f>
        <v>UND</v>
      </c>
      <c r="J83" s="9">
        <f>+'CANT PTAP HATO'!F75</f>
        <v>2</v>
      </c>
      <c r="K83" s="360">
        <f>VLOOKUP(B83,AA_Unitarios,consolidado!$M$7,FALSE)</f>
        <v>23293.386662649998</v>
      </c>
      <c r="L83" s="361"/>
      <c r="M83" s="359">
        <f t="shared" si="11"/>
        <v>46586.773325299997</v>
      </c>
      <c r="N83" s="273"/>
      <c r="O83" s="214">
        <v>23309.153910109064</v>
      </c>
      <c r="P83" s="214">
        <v>46618.307820218128</v>
      </c>
    </row>
    <row r="84" spans="1:16" ht="12.75" customHeight="1" outlineLevel="1" x14ac:dyDescent="0.2">
      <c r="A84" s="33" t="s">
        <v>240</v>
      </c>
      <c r="B84" s="366" t="s">
        <v>184</v>
      </c>
      <c r="C84" s="271"/>
      <c r="D84" s="271"/>
      <c r="E84" s="271"/>
      <c r="F84" s="271"/>
      <c r="G84" s="271"/>
      <c r="H84" s="271"/>
      <c r="I84" s="271"/>
      <c r="J84" s="271"/>
      <c r="K84" s="271"/>
      <c r="L84" s="271"/>
      <c r="M84" s="271"/>
      <c r="N84" s="273"/>
      <c r="O84" s="214">
        <v>0</v>
      </c>
      <c r="P84" s="214">
        <v>0</v>
      </c>
    </row>
    <row r="85" spans="1:16" ht="33.75" customHeight="1" outlineLevel="1" x14ac:dyDescent="0.2">
      <c r="A85" s="29" t="s">
        <v>241</v>
      </c>
      <c r="B85" s="365" t="s">
        <v>3187</v>
      </c>
      <c r="C85" s="271"/>
      <c r="D85" s="271"/>
      <c r="E85" s="271"/>
      <c r="F85" s="271"/>
      <c r="G85" s="271"/>
      <c r="H85" s="273"/>
      <c r="I85" s="30" t="str">
        <f>VLOOKUP(B85,AA_Unitarios,consolidado!$H$7,FALSE)</f>
        <v>ML</v>
      </c>
      <c r="J85" s="9">
        <f>+'CANT PTAP HATO'!F86</f>
        <v>35</v>
      </c>
      <c r="K85" s="360">
        <f>VLOOKUP(B85,AA_Unitarios,consolidado!$M$7,FALSE)</f>
        <v>83937.959563250013</v>
      </c>
      <c r="L85" s="361"/>
      <c r="M85" s="359">
        <f t="shared" ref="M85" si="12">J85*K85</f>
        <v>2937828.5847137505</v>
      </c>
      <c r="N85" s="273"/>
      <c r="O85" s="214">
        <v>84205.041754146558</v>
      </c>
      <c r="P85" s="214">
        <v>2947176.4613951296</v>
      </c>
    </row>
    <row r="86" spans="1:16" ht="12.75" customHeight="1" x14ac:dyDescent="0.2">
      <c r="A86" s="32"/>
      <c r="B86" s="34"/>
      <c r="C86" s="34"/>
      <c r="D86" s="34"/>
      <c r="E86" s="34"/>
      <c r="F86" s="34"/>
      <c r="G86" s="34"/>
      <c r="H86" s="34"/>
      <c r="I86" s="32"/>
      <c r="J86" s="32"/>
      <c r="K86" s="32"/>
      <c r="L86" s="32"/>
      <c r="M86" s="32"/>
      <c r="N86" s="32"/>
    </row>
    <row r="87" spans="1:16" ht="12.75" customHeight="1" x14ac:dyDescent="0.2">
      <c r="A87" s="34"/>
      <c r="B87" s="34"/>
      <c r="F87" s="362" t="s">
        <v>3205</v>
      </c>
      <c r="G87" s="363"/>
      <c r="H87" s="363"/>
      <c r="I87" s="363"/>
      <c r="J87" s="363"/>
      <c r="K87" s="363"/>
      <c r="L87" s="364"/>
      <c r="M87" s="374">
        <f>+SUM(M90:N111)</f>
        <v>89561156.856608734</v>
      </c>
      <c r="N87" s="273"/>
    </row>
    <row r="88" spans="1:16" ht="12.75" customHeight="1" outlineLevel="1" x14ac:dyDescent="0.2">
      <c r="A88" s="287" t="s">
        <v>143</v>
      </c>
      <c r="B88" s="271"/>
      <c r="C88" s="271"/>
      <c r="D88" s="271"/>
      <c r="E88" s="271"/>
      <c r="F88" s="271"/>
      <c r="G88" s="271"/>
      <c r="H88" s="273"/>
      <c r="I88" s="16" t="s">
        <v>144</v>
      </c>
      <c r="J88" s="16" t="s">
        <v>78</v>
      </c>
      <c r="K88" s="375" t="s">
        <v>145</v>
      </c>
      <c r="L88" s="273"/>
      <c r="M88" s="375" t="s">
        <v>80</v>
      </c>
      <c r="N88" s="273"/>
    </row>
    <row r="89" spans="1:16" ht="12.75" customHeight="1" outlineLevel="1" x14ac:dyDescent="0.2">
      <c r="A89" s="31" t="s">
        <v>242</v>
      </c>
      <c r="B89" s="371" t="s">
        <v>82</v>
      </c>
      <c r="C89" s="271"/>
      <c r="D89" s="271"/>
      <c r="E89" s="271"/>
      <c r="F89" s="271"/>
      <c r="G89" s="271"/>
      <c r="H89" s="271"/>
      <c r="I89" s="271"/>
      <c r="J89" s="271"/>
      <c r="K89" s="271"/>
      <c r="L89" s="271"/>
      <c r="M89" s="271"/>
      <c r="N89" s="273"/>
    </row>
    <row r="90" spans="1:16" ht="27" customHeight="1" outlineLevel="1" x14ac:dyDescent="0.2">
      <c r="A90" s="29" t="s">
        <v>243</v>
      </c>
      <c r="B90" s="365" t="s">
        <v>84</v>
      </c>
      <c r="C90" s="271"/>
      <c r="D90" s="271"/>
      <c r="E90" s="271"/>
      <c r="F90" s="271"/>
      <c r="G90" s="271"/>
      <c r="H90" s="273"/>
      <c r="I90" s="30" t="str">
        <f>VLOOKUP(B90,AA_Unitarios,consolidado!$H$7,FALSE)</f>
        <v>M2</v>
      </c>
      <c r="J90" s="9">
        <f>+'CANT PTAP HATO'!F101</f>
        <v>92.47999999999999</v>
      </c>
      <c r="K90" s="360">
        <f>VLOOKUP(B90,AA_Unitarios,consolidado!$M$7,FALSE)</f>
        <v>5395.0282271600026</v>
      </c>
      <c r="L90" s="361"/>
      <c r="M90" s="359">
        <f>J90*K90</f>
        <v>498932.21044775698</v>
      </c>
      <c r="N90" s="273"/>
      <c r="O90" s="214">
        <v>8926.592787338428</v>
      </c>
      <c r="P90" s="214">
        <v>825531.30097305775</v>
      </c>
    </row>
    <row r="91" spans="1:16" ht="12.75" customHeight="1" outlineLevel="1" x14ac:dyDescent="0.2">
      <c r="A91" s="31" t="s">
        <v>244</v>
      </c>
      <c r="B91" s="366" t="s">
        <v>86</v>
      </c>
      <c r="C91" s="271"/>
      <c r="D91" s="271"/>
      <c r="E91" s="271"/>
      <c r="F91" s="271"/>
      <c r="G91" s="271"/>
      <c r="H91" s="271"/>
      <c r="I91" s="271"/>
      <c r="J91" s="271"/>
      <c r="K91" s="271"/>
      <c r="L91" s="271"/>
      <c r="M91" s="271"/>
      <c r="N91" s="273"/>
      <c r="O91" s="214">
        <v>0</v>
      </c>
      <c r="P91" s="214">
        <v>0</v>
      </c>
    </row>
    <row r="92" spans="1:16" ht="12.75" customHeight="1" outlineLevel="1" x14ac:dyDescent="0.2">
      <c r="A92" s="29" t="s">
        <v>245</v>
      </c>
      <c r="B92" s="365" t="s">
        <v>161</v>
      </c>
      <c r="C92" s="271"/>
      <c r="D92" s="271"/>
      <c r="E92" s="271"/>
      <c r="F92" s="271"/>
      <c r="G92" s="271"/>
      <c r="H92" s="273"/>
      <c r="I92" s="30" t="str">
        <f>VLOOKUP(B92,AA_Unitarios,consolidado!$H$7,FALSE)</f>
        <v>M3</v>
      </c>
      <c r="J92" s="9">
        <f>+'CANT PTAP HATO'!F112</f>
        <v>15.027999999999999</v>
      </c>
      <c r="K92" s="360">
        <f>VLOOKUP(B92,AA_Unitarios,consolidado!$M$7,FALSE)</f>
        <v>68458.635200799996</v>
      </c>
      <c r="L92" s="361"/>
      <c r="M92" s="359">
        <f t="shared" ref="M92" si="13">J92*K92</f>
        <v>1028796.3697976222</v>
      </c>
      <c r="N92" s="273"/>
      <c r="O92" s="214">
        <v>95202.28164154799</v>
      </c>
      <c r="P92" s="214">
        <v>1430699.888509183</v>
      </c>
    </row>
    <row r="93" spans="1:16" ht="12.75" customHeight="1" outlineLevel="1" x14ac:dyDescent="0.2">
      <c r="A93" s="31" t="s">
        <v>246</v>
      </c>
      <c r="B93" s="366" t="s">
        <v>90</v>
      </c>
      <c r="C93" s="271"/>
      <c r="D93" s="271"/>
      <c r="E93" s="271"/>
      <c r="F93" s="271"/>
      <c r="G93" s="271"/>
      <c r="H93" s="271"/>
      <c r="I93" s="271"/>
      <c r="J93" s="271"/>
      <c r="K93" s="271"/>
      <c r="L93" s="271"/>
      <c r="M93" s="271"/>
      <c r="N93" s="273"/>
      <c r="O93" s="214">
        <v>0</v>
      </c>
      <c r="P93" s="214">
        <v>0</v>
      </c>
    </row>
    <row r="94" spans="1:16" ht="40.5" customHeight="1" outlineLevel="1" x14ac:dyDescent="0.2">
      <c r="A94" s="26" t="s">
        <v>247</v>
      </c>
      <c r="B94" s="365" t="s">
        <v>92</v>
      </c>
      <c r="C94" s="271"/>
      <c r="D94" s="271"/>
      <c r="E94" s="271"/>
      <c r="F94" s="271"/>
      <c r="G94" s="271"/>
      <c r="H94" s="273"/>
      <c r="I94" s="30" t="str">
        <f>VLOOKUP(B94,AA_Unitarios,consolidado!$H$7,FALSE)</f>
        <v>M3</v>
      </c>
      <c r="J94" s="36">
        <f>+'CANT PTAP HATO'!F124</f>
        <v>5.7799999999999994</v>
      </c>
      <c r="K94" s="360">
        <f>VLOOKUP(B94,AA_Unitarios,consolidado!$M$7,FALSE)</f>
        <v>229192.31748567708</v>
      </c>
      <c r="L94" s="361"/>
      <c r="M94" s="359">
        <f t="shared" ref="M94:M96" si="14">J94*K94</f>
        <v>1324731.5950672133</v>
      </c>
      <c r="N94" s="273"/>
      <c r="O94" s="214">
        <v>224323.18043617744</v>
      </c>
      <c r="P94" s="214">
        <v>1296587.9829211056</v>
      </c>
    </row>
    <row r="95" spans="1:16" ht="27" customHeight="1" outlineLevel="1" x14ac:dyDescent="0.2">
      <c r="A95" s="29" t="s">
        <v>248</v>
      </c>
      <c r="B95" s="365" t="s">
        <v>192</v>
      </c>
      <c r="C95" s="271"/>
      <c r="D95" s="271"/>
      <c r="E95" s="271"/>
      <c r="F95" s="271"/>
      <c r="G95" s="271"/>
      <c r="H95" s="273"/>
      <c r="I95" s="30" t="str">
        <f>VLOOKUP(B95,AA_Unitarios,consolidado!$H$7,FALSE)</f>
        <v>M3</v>
      </c>
      <c r="J95" s="9">
        <f>+'CANT PTAP HATO'!F135</f>
        <v>4.5</v>
      </c>
      <c r="K95" s="360">
        <f>VLOOKUP(B95,AA_Unitarios,consolidado!$M$7,FALSE)</f>
        <v>247885.47269367709</v>
      </c>
      <c r="L95" s="361"/>
      <c r="M95" s="359">
        <f t="shared" si="14"/>
        <v>1115484.627121547</v>
      </c>
      <c r="N95" s="273"/>
      <c r="O95" s="214">
        <v>239931.64604617923</v>
      </c>
      <c r="P95" s="214">
        <v>1079692.4072078066</v>
      </c>
    </row>
    <row r="96" spans="1:16" ht="27" customHeight="1" outlineLevel="1" x14ac:dyDescent="0.2">
      <c r="A96" s="29" t="s">
        <v>249</v>
      </c>
      <c r="B96" s="365" t="s">
        <v>193</v>
      </c>
      <c r="C96" s="271"/>
      <c r="D96" s="271"/>
      <c r="E96" s="271"/>
      <c r="F96" s="271"/>
      <c r="G96" s="271"/>
      <c r="H96" s="273"/>
      <c r="I96" s="30" t="str">
        <f>VLOOKUP(B96,AA_Unitarios,consolidado!$H$7,FALSE)</f>
        <v>M3</v>
      </c>
      <c r="J96" s="9">
        <f>+'CANT PTAP HATO'!F146</f>
        <v>5.3999999999999995</v>
      </c>
      <c r="K96" s="360">
        <f>VLOOKUP(B96,AA_Unitarios,consolidado!$M$7,FALSE)</f>
        <v>319634.73461134371</v>
      </c>
      <c r="L96" s="361"/>
      <c r="M96" s="359">
        <f t="shared" si="14"/>
        <v>1726027.5669012559</v>
      </c>
      <c r="N96" s="273"/>
      <c r="O96" s="214">
        <v>310153.86457655265</v>
      </c>
      <c r="P96" s="214">
        <v>1674830.868713384</v>
      </c>
    </row>
    <row r="97" spans="1:16" ht="12.75" customHeight="1" outlineLevel="1" x14ac:dyDescent="0.2">
      <c r="A97" s="31" t="s">
        <v>250</v>
      </c>
      <c r="B97" s="366" t="s">
        <v>94</v>
      </c>
      <c r="C97" s="271"/>
      <c r="D97" s="271"/>
      <c r="E97" s="271"/>
      <c r="F97" s="271"/>
      <c r="G97" s="271"/>
      <c r="H97" s="271"/>
      <c r="I97" s="271"/>
      <c r="J97" s="271"/>
      <c r="K97" s="271"/>
      <c r="L97" s="271"/>
      <c r="M97" s="271"/>
      <c r="N97" s="273"/>
      <c r="O97" s="214">
        <v>0</v>
      </c>
      <c r="P97" s="214">
        <v>0</v>
      </c>
    </row>
    <row r="98" spans="1:16" ht="12.75" customHeight="1" outlineLevel="1" x14ac:dyDescent="0.2">
      <c r="A98" s="29" t="s">
        <v>251</v>
      </c>
      <c r="B98" s="365" t="s">
        <v>96</v>
      </c>
      <c r="C98" s="271"/>
      <c r="D98" s="271"/>
      <c r="E98" s="271"/>
      <c r="F98" s="271"/>
      <c r="G98" s="271"/>
      <c r="H98" s="273"/>
      <c r="I98" s="30" t="str">
        <f>VLOOKUP(B98,AA_Unitarios,consolidado!$H$7,FALSE)</f>
        <v>M3</v>
      </c>
      <c r="J98" s="9">
        <f>+'CANT PTAP HATO'!F157</f>
        <v>1.1559999999999999</v>
      </c>
      <c r="K98" s="360">
        <f>+VLOOKUP(B98,AA_Unitarios,consolidado!$M$7,FALSE)</f>
        <v>805839.35208278813</v>
      </c>
      <c r="L98" s="361"/>
      <c r="M98" s="359">
        <f>J98*K98</f>
        <v>931550.29100770305</v>
      </c>
      <c r="N98" s="273"/>
      <c r="O98" s="214">
        <v>739822.86471154669</v>
      </c>
      <c r="P98" s="214">
        <v>855235.23160654795</v>
      </c>
    </row>
    <row r="99" spans="1:16" ht="27" customHeight="1" outlineLevel="1" x14ac:dyDescent="0.2">
      <c r="A99" s="29" t="s">
        <v>252</v>
      </c>
      <c r="B99" s="365" t="s">
        <v>199</v>
      </c>
      <c r="C99" s="271"/>
      <c r="D99" s="271"/>
      <c r="E99" s="271"/>
      <c r="F99" s="271"/>
      <c r="G99" s="271"/>
      <c r="H99" s="273"/>
      <c r="I99" s="30" t="str">
        <f>VLOOKUP(B99,AA_Unitarios,consolidado!$H$7,FALSE)</f>
        <v>M3</v>
      </c>
      <c r="J99" s="9">
        <f>+'CANT PTAP HATO'!F168</f>
        <v>5.7799999999999994</v>
      </c>
      <c r="K99" s="360">
        <f>unitario!F6785</f>
        <v>1098216.7556217883</v>
      </c>
      <c r="L99" s="361"/>
      <c r="M99" s="359">
        <f t="shared" ref="M99:M100" si="15">+J99*K99</f>
        <v>6347692.8474939354</v>
      </c>
      <c r="N99" s="273"/>
      <c r="O99" s="214">
        <v>999524.71214423177</v>
      </c>
      <c r="P99" s="214">
        <v>5777252.8361936593</v>
      </c>
    </row>
    <row r="100" spans="1:16" ht="27" customHeight="1" outlineLevel="1" x14ac:dyDescent="0.2">
      <c r="A100" s="29" t="s">
        <v>253</v>
      </c>
      <c r="B100" s="365" t="s">
        <v>254</v>
      </c>
      <c r="C100" s="271"/>
      <c r="D100" s="271"/>
      <c r="E100" s="271"/>
      <c r="F100" s="271"/>
      <c r="G100" s="271"/>
      <c r="H100" s="273"/>
      <c r="I100" s="30" t="str">
        <f>VLOOKUP(B100,AA_Unitarios,consolidado!$H$7,FALSE)</f>
        <v>M3</v>
      </c>
      <c r="J100" s="9">
        <f>+'CANT PTAP HATO'!F179</f>
        <v>13.6</v>
      </c>
      <c r="K100" s="360">
        <f>'BASICOS SIN AIU '!F395</f>
        <v>1216335.6887825001</v>
      </c>
      <c r="L100" s="361"/>
      <c r="M100" s="359">
        <f t="shared" si="15"/>
        <v>16542165.367442001</v>
      </c>
      <c r="N100" s="273"/>
      <c r="O100" s="214">
        <v>2385875.3464347129</v>
      </c>
      <c r="P100" s="214">
        <v>32447904.711512093</v>
      </c>
    </row>
    <row r="101" spans="1:16" ht="27" customHeight="1" outlineLevel="1" x14ac:dyDescent="0.2">
      <c r="A101" s="29" t="s">
        <v>255</v>
      </c>
      <c r="B101" s="365" t="s">
        <v>200</v>
      </c>
      <c r="C101" s="271"/>
      <c r="D101" s="271"/>
      <c r="E101" s="271"/>
      <c r="F101" s="271"/>
      <c r="G101" s="271"/>
      <c r="H101" s="273"/>
      <c r="I101" s="30" t="str">
        <f>VLOOKUP(B101,AA_Unitarios,consolidado!$H$7,FALSE)</f>
        <v>KG</v>
      </c>
      <c r="J101" s="9">
        <f>+'CANT PTAP HATO'!F190</f>
        <v>1456</v>
      </c>
      <c r="K101" s="360">
        <f>+VLOOKUP(B101,AA_Unitarios,consolidado!$M$7,FALSE)</f>
        <v>10407.86484233889</v>
      </c>
      <c r="L101" s="361"/>
      <c r="M101" s="359">
        <f>J101*K101</f>
        <v>15153851.210445423</v>
      </c>
      <c r="N101" s="273"/>
      <c r="O101" s="214">
        <v>10721.855294004161</v>
      </c>
      <c r="P101" s="214">
        <v>15611021.308070058</v>
      </c>
    </row>
    <row r="102" spans="1:16" ht="12.75" customHeight="1" outlineLevel="1" x14ac:dyDescent="0.2">
      <c r="A102" s="31" t="s">
        <v>259</v>
      </c>
      <c r="B102" s="366" t="s">
        <v>107</v>
      </c>
      <c r="C102" s="271"/>
      <c r="D102" s="271"/>
      <c r="E102" s="271"/>
      <c r="F102" s="271"/>
      <c r="G102" s="271"/>
      <c r="H102" s="271"/>
      <c r="I102" s="271"/>
      <c r="J102" s="271"/>
      <c r="K102" s="271"/>
      <c r="L102" s="271"/>
      <c r="M102" s="271"/>
      <c r="N102" s="273"/>
      <c r="O102" s="214">
        <v>0</v>
      </c>
      <c r="P102" s="214">
        <v>0</v>
      </c>
    </row>
    <row r="103" spans="1:16" ht="27" customHeight="1" outlineLevel="1" x14ac:dyDescent="0.2">
      <c r="A103" s="29" t="s">
        <v>260</v>
      </c>
      <c r="B103" s="365" t="s">
        <v>146</v>
      </c>
      <c r="C103" s="271"/>
      <c r="D103" s="271"/>
      <c r="E103" s="271"/>
      <c r="F103" s="271"/>
      <c r="G103" s="271"/>
      <c r="H103" s="273"/>
      <c r="I103" s="30" t="str">
        <f>VLOOKUP(B103,AA_Unitarios,consolidado!$H$7,FALSE)</f>
        <v>M3</v>
      </c>
      <c r="J103" s="9">
        <f>J92</f>
        <v>15.027999999999999</v>
      </c>
      <c r="K103" s="360">
        <f>VLOOKUP(B103,AA_Unitarios,consolidado!$M$7,FALSE)</f>
        <v>27023.145473999997</v>
      </c>
      <c r="L103" s="361"/>
      <c r="M103" s="359">
        <f t="shared" ref="M103" si="16">J103*K103</f>
        <v>406103.8301832719</v>
      </c>
      <c r="N103" s="273"/>
      <c r="O103" s="214">
        <v>28560.684492464399</v>
      </c>
      <c r="P103" s="214">
        <v>429209.96655275498</v>
      </c>
    </row>
    <row r="104" spans="1:16" ht="12.75" customHeight="1" outlineLevel="1" x14ac:dyDescent="0.2">
      <c r="A104" s="31" t="s">
        <v>261</v>
      </c>
      <c r="B104" s="366" t="s">
        <v>113</v>
      </c>
      <c r="C104" s="271"/>
      <c r="D104" s="271"/>
      <c r="E104" s="271"/>
      <c r="F104" s="271"/>
      <c r="G104" s="271"/>
      <c r="H104" s="271"/>
      <c r="I104" s="271"/>
      <c r="J104" s="271"/>
      <c r="K104" s="271"/>
      <c r="L104" s="271"/>
      <c r="M104" s="271"/>
      <c r="N104" s="273"/>
      <c r="O104" s="214">
        <v>0</v>
      </c>
      <c r="P104" s="214">
        <v>0</v>
      </c>
    </row>
    <row r="105" spans="1:16" ht="27" customHeight="1" outlineLevel="1" x14ac:dyDescent="0.2">
      <c r="A105" s="26" t="s">
        <v>262</v>
      </c>
      <c r="B105" s="365" t="s">
        <v>263</v>
      </c>
      <c r="C105" s="271"/>
      <c r="D105" s="271"/>
      <c r="E105" s="271"/>
      <c r="F105" s="271"/>
      <c r="G105" s="271"/>
      <c r="H105" s="273"/>
      <c r="I105" s="30" t="str">
        <f>VLOOKUP(B105,AA_Unitarios,consolidado!$H$7,FALSE)</f>
        <v>M2</v>
      </c>
      <c r="J105" s="36">
        <f>+'CANT PTAP HATO'!F201</f>
        <v>7.5351680000000005</v>
      </c>
      <c r="K105" s="360">
        <f>VLOOKUP(B105,AA_Unitarios,consolidado!$M$7,FALSE)</f>
        <v>135727.79720923855</v>
      </c>
      <c r="L105" s="361"/>
      <c r="M105" s="359">
        <f t="shared" ref="M105:M111" si="17">J105*K105</f>
        <v>1022731.7542415437</v>
      </c>
      <c r="N105" s="273"/>
      <c r="O105" s="214">
        <v>129638.0114359189</v>
      </c>
      <c r="P105" s="214">
        <v>976844.19535557029</v>
      </c>
    </row>
    <row r="106" spans="1:16" ht="40.5" customHeight="1" outlineLevel="1" x14ac:dyDescent="0.2">
      <c r="A106" s="26" t="s">
        <v>264</v>
      </c>
      <c r="B106" s="365" t="s">
        <v>265</v>
      </c>
      <c r="C106" s="271"/>
      <c r="D106" s="271"/>
      <c r="E106" s="271"/>
      <c r="F106" s="271"/>
      <c r="G106" s="271"/>
      <c r="H106" s="273"/>
      <c r="I106" s="30" t="str">
        <f>VLOOKUP(B106,AA_Unitarios,consolidado!$H$7,FALSE)</f>
        <v>ML</v>
      </c>
      <c r="J106" s="36">
        <f>+'CANT PTAP HATO'!$F$232</f>
        <v>48</v>
      </c>
      <c r="K106" s="360">
        <f>VLOOKUP(B106,AA_Unitarios,consolidado!$M$7,FALSE)</f>
        <v>122235.40816017051</v>
      </c>
      <c r="L106" s="361"/>
      <c r="M106" s="359">
        <f t="shared" si="17"/>
        <v>5867299.5916881841</v>
      </c>
      <c r="N106" s="273"/>
      <c r="O106" s="214">
        <v>120184.4209304321</v>
      </c>
      <c r="P106" s="214">
        <v>5768852.2046607407</v>
      </c>
    </row>
    <row r="107" spans="1:16" ht="40.5" customHeight="1" outlineLevel="1" x14ac:dyDescent="0.2">
      <c r="A107" s="26" t="s">
        <v>267</v>
      </c>
      <c r="B107" s="365" t="s">
        <v>268</v>
      </c>
      <c r="C107" s="271"/>
      <c r="D107" s="271"/>
      <c r="E107" s="271"/>
      <c r="F107" s="271"/>
      <c r="G107" s="271"/>
      <c r="H107" s="273"/>
      <c r="I107" s="30" t="str">
        <f>VLOOKUP(B107,AA_Unitarios,consolidado!$H$7,FALSE)</f>
        <v>ML</v>
      </c>
      <c r="J107" s="9">
        <f>+'CANT PTAP HATO'!F243</f>
        <v>4</v>
      </c>
      <c r="K107" s="360">
        <f>VLOOKUP(B107,AA_Unitarios,consolidado!$M$7,FALSE)</f>
        <v>1520733.3538971602</v>
      </c>
      <c r="L107" s="361"/>
      <c r="M107" s="359">
        <f t="shared" si="17"/>
        <v>6082933.4155886406</v>
      </c>
      <c r="N107" s="273"/>
      <c r="O107" s="214">
        <v>1524003.5786208317</v>
      </c>
      <c r="P107" s="214">
        <v>6096014.3144833269</v>
      </c>
    </row>
    <row r="108" spans="1:16" ht="40.5" customHeight="1" outlineLevel="1" x14ac:dyDescent="0.2">
      <c r="A108" s="26" t="s">
        <v>269</v>
      </c>
      <c r="B108" s="365" t="s">
        <v>270</v>
      </c>
      <c r="C108" s="271"/>
      <c r="D108" s="271"/>
      <c r="E108" s="271"/>
      <c r="F108" s="271"/>
      <c r="G108" s="271"/>
      <c r="H108" s="273"/>
      <c r="I108" s="30" t="str">
        <f>VLOOKUP(B108,AA_Unitarios,consolidado!$H$7,FALSE)</f>
        <v>ML</v>
      </c>
      <c r="J108" s="9">
        <f>+'CANT PTAP HATO'!$F$254</f>
        <v>13.2</v>
      </c>
      <c r="K108" s="360">
        <f>VLOOKUP(B108,AA_Unitarios,consolidado!$M$7,FALSE)</f>
        <v>1520733.3538971602</v>
      </c>
      <c r="L108" s="361"/>
      <c r="M108" s="359">
        <f t="shared" si="17"/>
        <v>20073680.271442514</v>
      </c>
      <c r="N108" s="273"/>
      <c r="O108" s="214">
        <v>1524003.5786208317</v>
      </c>
      <c r="P108" s="214">
        <v>20116847.237794977</v>
      </c>
    </row>
    <row r="109" spans="1:16" ht="40.5" customHeight="1" outlineLevel="1" x14ac:dyDescent="0.2">
      <c r="A109" s="26" t="s">
        <v>271</v>
      </c>
      <c r="B109" s="365" t="s">
        <v>272</v>
      </c>
      <c r="C109" s="271"/>
      <c r="D109" s="271"/>
      <c r="E109" s="271"/>
      <c r="F109" s="271"/>
      <c r="G109" s="271"/>
      <c r="H109" s="273"/>
      <c r="I109" s="30" t="str">
        <f>VLOOKUP(B109,AA_Unitarios,consolidado!$H$7,FALSE)</f>
        <v>UND</v>
      </c>
      <c r="J109" s="36">
        <f>+'CANT PTAP HATO'!F265</f>
        <v>2</v>
      </c>
      <c r="K109" s="360">
        <f>VLOOKUP(B109,AA_Unitarios,consolidado!$M$7,FALSE)</f>
        <v>626072.43700300006</v>
      </c>
      <c r="L109" s="361"/>
      <c r="M109" s="359">
        <f t="shared" si="17"/>
        <v>1252144.8740060001</v>
      </c>
      <c r="N109" s="273"/>
      <c r="O109" s="214">
        <v>625460.67347773025</v>
      </c>
      <c r="P109" s="214">
        <v>1250921.3469554605</v>
      </c>
    </row>
    <row r="110" spans="1:16" ht="27" customHeight="1" outlineLevel="1" x14ac:dyDescent="0.2">
      <c r="A110" s="26" t="s">
        <v>274</v>
      </c>
      <c r="B110" s="365" t="s">
        <v>275</v>
      </c>
      <c r="C110" s="271"/>
      <c r="D110" s="271"/>
      <c r="E110" s="271"/>
      <c r="F110" s="271"/>
      <c r="G110" s="271"/>
      <c r="H110" s="273"/>
      <c r="I110" s="30" t="str">
        <f>VLOOKUP(B110,AA_Unitarios,consolidado!$H$7,FALSE)</f>
        <v>UND</v>
      </c>
      <c r="J110" s="36">
        <f>+'CANT PTAP HATO'!$F$278</f>
        <v>2</v>
      </c>
      <c r="K110" s="360">
        <f>VLOOKUP(B110,AA_Unitarios,consolidado!$M$7,FALSE)</f>
        <v>1836090.1977798981</v>
      </c>
      <c r="L110" s="361"/>
      <c r="M110" s="359">
        <f t="shared" si="17"/>
        <v>3672180.3955597961</v>
      </c>
      <c r="N110" s="273"/>
      <c r="O110" s="214">
        <v>2909334.4345931159</v>
      </c>
      <c r="P110" s="214">
        <v>5818668.8691862319</v>
      </c>
    </row>
    <row r="111" spans="1:16" ht="40.5" customHeight="1" outlineLevel="1" x14ac:dyDescent="0.2">
      <c r="A111" s="26" t="s">
        <v>276</v>
      </c>
      <c r="B111" s="365" t="s">
        <v>277</v>
      </c>
      <c r="C111" s="271"/>
      <c r="D111" s="271"/>
      <c r="E111" s="271"/>
      <c r="F111" s="271"/>
      <c r="G111" s="271"/>
      <c r="H111" s="273"/>
      <c r="I111" s="30" t="str">
        <f>VLOOKUP(B111,AA_Unitarios,consolidado!$H$7,FALSE)</f>
        <v>M2</v>
      </c>
      <c r="J111" s="9">
        <f>+'CANT PTAP HATO'!F289</f>
        <v>36.799999999999997</v>
      </c>
      <c r="K111" s="360">
        <f>VLOOKUP(B111,AA_Unitarios,consolidado!$M$7,FALSE)</f>
        <v>177033.98473299775</v>
      </c>
      <c r="L111" s="361"/>
      <c r="M111" s="359">
        <f t="shared" si="17"/>
        <v>6514850.6381743168</v>
      </c>
      <c r="N111" s="273"/>
      <c r="O111" s="214">
        <v>171532.32232442434</v>
      </c>
      <c r="P111" s="214">
        <v>6312389.4615388149</v>
      </c>
    </row>
    <row r="112" spans="1:16" ht="12.75" customHeight="1" x14ac:dyDescent="0.2"/>
    <row r="113" spans="1:25" ht="12.75" customHeight="1" x14ac:dyDescent="0.2">
      <c r="A113" s="34"/>
      <c r="B113" s="34"/>
      <c r="F113" s="362" t="s">
        <v>3206</v>
      </c>
      <c r="G113" s="363"/>
      <c r="H113" s="363"/>
      <c r="I113" s="363"/>
      <c r="J113" s="363"/>
      <c r="K113" s="363"/>
      <c r="L113" s="364"/>
      <c r="M113" s="374">
        <f>+SUM(M116:N148)</f>
        <v>176123544.80362362</v>
      </c>
      <c r="N113" s="273"/>
    </row>
    <row r="114" spans="1:25" ht="12.75" customHeight="1" outlineLevel="1" x14ac:dyDescent="0.2">
      <c r="A114" s="287" t="s">
        <v>143</v>
      </c>
      <c r="B114" s="271"/>
      <c r="C114" s="271"/>
      <c r="D114" s="271"/>
      <c r="E114" s="271"/>
      <c r="F114" s="271"/>
      <c r="G114" s="271"/>
      <c r="H114" s="273"/>
      <c r="I114" s="16" t="s">
        <v>144</v>
      </c>
      <c r="J114" s="16" t="s">
        <v>78</v>
      </c>
      <c r="K114" s="375" t="s">
        <v>145</v>
      </c>
      <c r="L114" s="273"/>
      <c r="M114" s="375" t="s">
        <v>80</v>
      </c>
      <c r="N114" s="273"/>
    </row>
    <row r="115" spans="1:25" ht="12.75" customHeight="1" outlineLevel="1" x14ac:dyDescent="0.2">
      <c r="A115" s="31" t="s">
        <v>281</v>
      </c>
      <c r="B115" s="371" t="s">
        <v>282</v>
      </c>
      <c r="C115" s="271"/>
      <c r="D115" s="271"/>
      <c r="E115" s="271"/>
      <c r="F115" s="271"/>
      <c r="G115" s="271"/>
      <c r="H115" s="271"/>
      <c r="I115" s="271"/>
      <c r="J115" s="271"/>
      <c r="K115" s="271"/>
      <c r="L115" s="271"/>
      <c r="M115" s="271"/>
      <c r="N115" s="273"/>
    </row>
    <row r="116" spans="1:25" ht="27" customHeight="1" outlineLevel="1" x14ac:dyDescent="0.2">
      <c r="A116" s="29" t="s">
        <v>283</v>
      </c>
      <c r="B116" s="365" t="s">
        <v>84</v>
      </c>
      <c r="C116" s="271"/>
      <c r="D116" s="271"/>
      <c r="E116" s="271"/>
      <c r="F116" s="271"/>
      <c r="G116" s="271"/>
      <c r="H116" s="273"/>
      <c r="I116" s="30" t="str">
        <f>VLOOKUP(B116,AA_Unitarios,consolidado!$H$7,FALSE)</f>
        <v>M2</v>
      </c>
      <c r="J116" s="9">
        <f>+ALMACENAMIENTO!$H$9</f>
        <v>94.35</v>
      </c>
      <c r="K116" s="360">
        <f>+VLOOKUP(B116,AA_Unitarios,consolidado!$M$7,FALSE)</f>
        <v>5395.0282271600026</v>
      </c>
      <c r="L116" s="361"/>
      <c r="M116" s="359">
        <f>J116*K116</f>
        <v>509020.91323254624</v>
      </c>
      <c r="N116" s="273"/>
      <c r="O116" s="214">
        <v>8926.592787338428</v>
      </c>
      <c r="P116" s="214">
        <v>842224.02948538063</v>
      </c>
    </row>
    <row r="117" spans="1:25" ht="12.75" customHeight="1" outlineLevel="1" x14ac:dyDescent="0.2">
      <c r="A117" s="31" t="s">
        <v>284</v>
      </c>
      <c r="B117" s="366" t="s">
        <v>86</v>
      </c>
      <c r="C117" s="271"/>
      <c r="D117" s="271"/>
      <c r="E117" s="271"/>
      <c r="F117" s="271"/>
      <c r="G117" s="271"/>
      <c r="H117" s="271"/>
      <c r="I117" s="271"/>
      <c r="J117" s="271"/>
      <c r="K117" s="271"/>
      <c r="L117" s="271"/>
      <c r="M117" s="271"/>
      <c r="N117" s="273"/>
      <c r="O117" s="214">
        <v>0</v>
      </c>
      <c r="P117" s="214">
        <v>0</v>
      </c>
    </row>
    <row r="118" spans="1:25" ht="12.75" customHeight="1" outlineLevel="1" x14ac:dyDescent="0.2">
      <c r="A118" s="29" t="s">
        <v>245</v>
      </c>
      <c r="B118" s="365" t="s">
        <v>161</v>
      </c>
      <c r="C118" s="271"/>
      <c r="D118" s="271"/>
      <c r="E118" s="271"/>
      <c r="F118" s="271"/>
      <c r="G118" s="271"/>
      <c r="H118" s="273"/>
      <c r="I118" s="30" t="str">
        <f>VLOOKUP(B118,AA_Unitarios,consolidado!$H$7,FALSE)</f>
        <v>M3</v>
      </c>
      <c r="J118" s="9">
        <f>+ALMACENAMIENTO!$H$20</f>
        <v>36.697044733077924</v>
      </c>
      <c r="K118" s="360">
        <f>VLOOKUP(B118,AA_Unitarios,consolidado!$M$7,FALSE)</f>
        <v>68458.635200799996</v>
      </c>
      <c r="L118" s="361"/>
      <c r="M118" s="359">
        <f t="shared" ref="M118:M121" si="18">J118*K118</f>
        <v>2512229.5983292204</v>
      </c>
      <c r="N118" s="273"/>
      <c r="O118" s="214">
        <v>95202.28164154799</v>
      </c>
      <c r="P118" s="214">
        <v>3493642.38809097</v>
      </c>
      <c r="Q118" s="1"/>
      <c r="R118" s="1"/>
      <c r="S118" s="1"/>
      <c r="T118" s="1"/>
      <c r="U118" s="1"/>
      <c r="V118" s="1"/>
      <c r="W118" s="1"/>
      <c r="X118" s="1"/>
      <c r="Y118" s="1"/>
    </row>
    <row r="119" spans="1:25" ht="27" customHeight="1" outlineLevel="1" x14ac:dyDescent="0.2">
      <c r="A119" s="29" t="s">
        <v>3196</v>
      </c>
      <c r="B119" s="365" t="s">
        <v>286</v>
      </c>
      <c r="C119" s="271"/>
      <c r="D119" s="271"/>
      <c r="E119" s="271"/>
      <c r="F119" s="271"/>
      <c r="G119" s="271"/>
      <c r="H119" s="273"/>
      <c r="I119" s="30" t="str">
        <f>VLOOKUP(B119,AA_Unitarios,consolidado!$H$7,FALSE)</f>
        <v>M3</v>
      </c>
      <c r="J119" s="35">
        <f>+ALMACENAMIENTO!$H$31</f>
        <v>330.27340259770131</v>
      </c>
      <c r="K119" s="360">
        <f>+VLOOKUP(B119,AA_Unitarios,consolidado!$M$7,FALSE)</f>
        <v>19819.8</v>
      </c>
      <c r="L119" s="361"/>
      <c r="M119" s="359">
        <f t="shared" si="18"/>
        <v>6545952.78480592</v>
      </c>
      <c r="N119" s="273"/>
      <c r="O119" s="214">
        <v>19705.10234061916</v>
      </c>
      <c r="P119" s="214">
        <v>6508071.1985722184</v>
      </c>
    </row>
    <row r="120" spans="1:25" ht="40.5" customHeight="1" outlineLevel="1" x14ac:dyDescent="0.2">
      <c r="A120" s="29" t="s">
        <v>3197</v>
      </c>
      <c r="B120" s="365" t="s">
        <v>288</v>
      </c>
      <c r="C120" s="271"/>
      <c r="D120" s="271"/>
      <c r="E120" s="271"/>
      <c r="F120" s="271"/>
      <c r="G120" s="271"/>
      <c r="H120" s="271"/>
      <c r="I120" s="30" t="str">
        <f>VLOOKUP(B120,AA_Unitarios,consolidado!$H$7,FALSE)</f>
        <v>M2</v>
      </c>
      <c r="J120" s="35">
        <f>+ALMACENAMIENTO!$H$42</f>
        <v>69.44</v>
      </c>
      <c r="K120" s="360">
        <f>+VLOOKUP(B120,AA_Unitarios,consolidado!$M$7,FALSE)</f>
        <v>57484.738835333337</v>
      </c>
      <c r="L120" s="361"/>
      <c r="M120" s="359">
        <f t="shared" si="18"/>
        <v>3991740.2647255468</v>
      </c>
      <c r="N120" s="273"/>
      <c r="O120" s="214">
        <v>54928.415903670808</v>
      </c>
      <c r="P120" s="214">
        <v>3814229.2003509006</v>
      </c>
    </row>
    <row r="121" spans="1:25" ht="40.5" customHeight="1" outlineLevel="1" x14ac:dyDescent="0.2">
      <c r="A121" s="29" t="s">
        <v>3198</v>
      </c>
      <c r="B121" s="365" t="s">
        <v>290</v>
      </c>
      <c r="C121" s="271"/>
      <c r="D121" s="271"/>
      <c r="E121" s="271"/>
      <c r="F121" s="271"/>
      <c r="G121" s="271"/>
      <c r="H121" s="271"/>
      <c r="I121" s="30" t="str">
        <f>VLOOKUP(B121,AA_Unitarios,consolidado!$H$7,FALSE)</f>
        <v>M2</v>
      </c>
      <c r="J121" s="35">
        <f>+ALMACENAMIENTO!$H$53</f>
        <v>66.400000000000006</v>
      </c>
      <c r="K121" s="360">
        <f>+VLOOKUP(B121,AA_Unitarios,consolidado!$M$7,FALSE)</f>
        <v>72976.998044166685</v>
      </c>
      <c r="L121" s="361"/>
      <c r="M121" s="359">
        <f t="shared" si="18"/>
        <v>4845672.6701326687</v>
      </c>
      <c r="N121" s="273"/>
      <c r="O121" s="214">
        <v>69775.106694488684</v>
      </c>
      <c r="P121" s="214">
        <v>4633067.0845140489</v>
      </c>
    </row>
    <row r="122" spans="1:25" ht="12.75" customHeight="1" outlineLevel="1" x14ac:dyDescent="0.2">
      <c r="A122" s="31" t="s">
        <v>293</v>
      </c>
      <c r="B122" s="371" t="s">
        <v>90</v>
      </c>
      <c r="C122" s="271"/>
      <c r="D122" s="271"/>
      <c r="E122" s="271"/>
      <c r="F122" s="271"/>
      <c r="G122" s="271"/>
      <c r="H122" s="271"/>
      <c r="I122" s="271"/>
      <c r="J122" s="271"/>
      <c r="K122" s="271"/>
      <c r="L122" s="271"/>
      <c r="M122" s="271"/>
      <c r="N122" s="273"/>
      <c r="O122" s="214">
        <v>0</v>
      </c>
      <c r="P122" s="214">
        <v>0</v>
      </c>
    </row>
    <row r="123" spans="1:25" ht="40.5" customHeight="1" outlineLevel="1" x14ac:dyDescent="0.2">
      <c r="A123" s="29" t="s">
        <v>294</v>
      </c>
      <c r="B123" s="365" t="s">
        <v>92</v>
      </c>
      <c r="C123" s="271"/>
      <c r="D123" s="271"/>
      <c r="E123" s="271"/>
      <c r="F123" s="271"/>
      <c r="G123" s="271"/>
      <c r="H123" s="273"/>
      <c r="I123" s="30" t="str">
        <f>VLOOKUP(B123,AA_Unitarios,consolidado!$H$7,FALSE)</f>
        <v>M3</v>
      </c>
      <c r="J123" s="9">
        <f>+ALMACENAMIENTO!$H$75</f>
        <v>7.81</v>
      </c>
      <c r="K123" s="360">
        <f>+VLOOKUP(B123,AA_Unitarios,consolidado!$M$7,FALSE)</f>
        <v>229192.31748567708</v>
      </c>
      <c r="L123" s="361"/>
      <c r="M123" s="359">
        <f t="shared" ref="M123:M124" si="19">J123*K123</f>
        <v>1789991.999563138</v>
      </c>
      <c r="N123" s="273"/>
      <c r="O123" s="214">
        <v>224323.18043617744</v>
      </c>
      <c r="P123" s="214">
        <v>1751964.0392065458</v>
      </c>
    </row>
    <row r="124" spans="1:25" ht="40.5" customHeight="1" outlineLevel="1" x14ac:dyDescent="0.2">
      <c r="A124" s="29" t="s">
        <v>295</v>
      </c>
      <c r="B124" s="365" t="s">
        <v>169</v>
      </c>
      <c r="C124" s="271"/>
      <c r="D124" s="271"/>
      <c r="E124" s="271"/>
      <c r="F124" s="271"/>
      <c r="G124" s="271"/>
      <c r="H124" s="273"/>
      <c r="I124" s="30" t="str">
        <f>VLOOKUP(B124,AA_Unitarios,consolidado!$H$7,FALSE)</f>
        <v>M3</v>
      </c>
      <c r="J124" s="9">
        <f>+ALMACENAMIENTO!$H$86</f>
        <v>224.35544733077924</v>
      </c>
      <c r="K124" s="360">
        <f>+VLOOKUP(B124,AA_Unitarios,consolidado!$M$7,FALSE)</f>
        <v>26524.081196363637</v>
      </c>
      <c r="L124" s="361"/>
      <c r="M124" s="359">
        <f t="shared" si="19"/>
        <v>5950822.1018480742</v>
      </c>
      <c r="N124" s="273"/>
      <c r="O124" s="214">
        <v>27397.2054648987</v>
      </c>
      <c r="P124" s="214">
        <v>6146712.2876906171</v>
      </c>
    </row>
    <row r="125" spans="1:25" ht="12.75" customHeight="1" outlineLevel="1" x14ac:dyDescent="0.2">
      <c r="A125" s="31" t="s">
        <v>297</v>
      </c>
      <c r="B125" s="366" t="s">
        <v>298</v>
      </c>
      <c r="C125" s="271"/>
      <c r="D125" s="271"/>
      <c r="E125" s="271"/>
      <c r="F125" s="271"/>
      <c r="G125" s="271"/>
      <c r="H125" s="271"/>
      <c r="I125" s="271"/>
      <c r="J125" s="271"/>
      <c r="K125" s="271"/>
      <c r="L125" s="271"/>
      <c r="M125" s="271"/>
      <c r="N125" s="273"/>
      <c r="O125" s="214">
        <v>0</v>
      </c>
      <c r="P125" s="214">
        <v>0</v>
      </c>
    </row>
    <row r="126" spans="1:25" ht="12.75" customHeight="1" outlineLevel="1" x14ac:dyDescent="0.2">
      <c r="A126" s="29" t="s">
        <v>299</v>
      </c>
      <c r="B126" s="365" t="s">
        <v>96</v>
      </c>
      <c r="C126" s="271"/>
      <c r="D126" s="271"/>
      <c r="E126" s="271"/>
      <c r="F126" s="271"/>
      <c r="G126" s="271"/>
      <c r="H126" s="273"/>
      <c r="I126" s="30" t="str">
        <f>VLOOKUP(B126,AA_Unitarios,consolidado!$H$7,FALSE)</f>
        <v>M3</v>
      </c>
      <c r="J126" s="9">
        <f>+ALMACENAMIENTO!$H$97</f>
        <v>2.0350000000000001</v>
      </c>
      <c r="K126" s="360">
        <f>+VLOOKUP(B126,AA_Unitarios,consolidado!$M$7,FALSE)</f>
        <v>805839.35208278813</v>
      </c>
      <c r="L126" s="361"/>
      <c r="M126" s="359">
        <f t="shared" ref="M126:M128" si="20">J126*K126</f>
        <v>1639883.081488474</v>
      </c>
      <c r="N126" s="273"/>
      <c r="O126" s="214">
        <v>739822.86471154669</v>
      </c>
      <c r="P126" s="214">
        <v>1505539.5296879977</v>
      </c>
    </row>
    <row r="127" spans="1:25" ht="27" customHeight="1" outlineLevel="1" x14ac:dyDescent="0.2">
      <c r="A127" s="29" t="s">
        <v>300</v>
      </c>
      <c r="B127" s="365" t="s">
        <v>301</v>
      </c>
      <c r="C127" s="271"/>
      <c r="D127" s="271"/>
      <c r="E127" s="271"/>
      <c r="F127" s="271"/>
      <c r="G127" s="271"/>
      <c r="H127" s="273"/>
      <c r="I127" s="30" t="str">
        <f>VLOOKUP(B127,AA_Unitarios,consolidado!$H$7,FALSE)</f>
        <v>M3</v>
      </c>
      <c r="J127" s="9">
        <f>+ALMACENAMIENTO!$H$108</f>
        <v>2.040225</v>
      </c>
      <c r="K127" s="360">
        <f>+VLOOKUP(B127,AA_Unitarios,consolidado!$M$7,FALSE)</f>
        <v>805837.05099293601</v>
      </c>
      <c r="L127" s="361"/>
      <c r="M127" s="359">
        <f t="shared" si="20"/>
        <v>1644088.8973620629</v>
      </c>
      <c r="N127" s="273"/>
      <c r="O127" s="214">
        <v>739820.57577461971</v>
      </c>
      <c r="P127" s="214">
        <v>1509400.4342097735</v>
      </c>
    </row>
    <row r="128" spans="1:25" ht="12.75" customHeight="1" outlineLevel="1" x14ac:dyDescent="0.2">
      <c r="A128" s="29" t="s">
        <v>302</v>
      </c>
      <c r="B128" s="365" t="s">
        <v>98</v>
      </c>
      <c r="C128" s="271"/>
      <c r="D128" s="271"/>
      <c r="E128" s="271"/>
      <c r="F128" s="271"/>
      <c r="G128" s="271"/>
      <c r="H128" s="273"/>
      <c r="I128" s="30" t="str">
        <f>VLOOKUP(B128,AA_Unitarios,consolidado!$H$7,FALSE)</f>
        <v>M3</v>
      </c>
      <c r="J128" s="9">
        <f>+ALMACENAMIENTO!$H$119</f>
        <v>6.1206749999999994</v>
      </c>
      <c r="K128" s="360">
        <f>+VLOOKUP(B128,AA_Unitarios,consolidado!$M$7,FALSE)</f>
        <v>965054.12208278815</v>
      </c>
      <c r="L128" s="361"/>
      <c r="M128" s="359">
        <f t="shared" si="20"/>
        <v>5906782.6386790685</v>
      </c>
      <c r="N128" s="273"/>
      <c r="O128" s="214">
        <v>879153.17126285122</v>
      </c>
      <c r="P128" s="214">
        <v>5381010.8365192516</v>
      </c>
    </row>
    <row r="129" spans="1:16" ht="27" customHeight="1" outlineLevel="1" x14ac:dyDescent="0.2">
      <c r="A129" s="29" t="s">
        <v>303</v>
      </c>
      <c r="B129" s="365" t="s">
        <v>199</v>
      </c>
      <c r="C129" s="271"/>
      <c r="D129" s="271"/>
      <c r="E129" s="271"/>
      <c r="F129" s="271"/>
      <c r="G129" s="271"/>
      <c r="H129" s="273"/>
      <c r="I129" s="30" t="str">
        <f>VLOOKUP(B129,AA_Unitarios,consolidado!$H$7,FALSE)</f>
        <v>M3</v>
      </c>
      <c r="J129" s="9">
        <f>+ALMACENAMIENTO!$H$130</f>
        <v>9.625</v>
      </c>
      <c r="K129" s="360">
        <f>unitario!F6785</f>
        <v>1098216.7556217883</v>
      </c>
      <c r="L129" s="361"/>
      <c r="M129" s="359">
        <f t="shared" ref="M129:M131" si="21">+J129*K129</f>
        <v>10570336.272859713</v>
      </c>
      <c r="N129" s="273"/>
      <c r="O129" s="214">
        <v>999524.71214423177</v>
      </c>
      <c r="P129" s="214">
        <v>9620425.3543882314</v>
      </c>
    </row>
    <row r="130" spans="1:16" ht="27" customHeight="1" outlineLevel="1" x14ac:dyDescent="0.2">
      <c r="A130" s="29" t="s">
        <v>304</v>
      </c>
      <c r="B130" s="365" t="s">
        <v>254</v>
      </c>
      <c r="C130" s="271"/>
      <c r="D130" s="271"/>
      <c r="E130" s="271"/>
      <c r="F130" s="271"/>
      <c r="G130" s="271"/>
      <c r="H130" s="273"/>
      <c r="I130" s="30" t="str">
        <f>VLOOKUP(B130,AA_Unitarios,consolidado!$H$7,FALSE)</f>
        <v>M3</v>
      </c>
      <c r="J130" s="9">
        <f>+ALMACENAMIENTO!$H$141</f>
        <v>17.739250000000002</v>
      </c>
      <c r="K130" s="360">
        <f>unitario!F10194</f>
        <v>2355135.6887825006</v>
      </c>
      <c r="L130" s="361"/>
      <c r="M130" s="359">
        <f t="shared" si="21"/>
        <v>41778340.767234981</v>
      </c>
      <c r="N130" s="273"/>
      <c r="O130" s="214">
        <v>2385875.3464347129</v>
      </c>
      <c r="P130" s="214">
        <v>42323639.239241987</v>
      </c>
    </row>
    <row r="131" spans="1:16" ht="27" customHeight="1" outlineLevel="1" x14ac:dyDescent="0.2">
      <c r="A131" s="29" t="s">
        <v>305</v>
      </c>
      <c r="B131" s="365" t="s">
        <v>306</v>
      </c>
      <c r="C131" s="271"/>
      <c r="D131" s="271"/>
      <c r="E131" s="271"/>
      <c r="F131" s="271"/>
      <c r="G131" s="271"/>
      <c r="H131" s="273"/>
      <c r="I131" s="30" t="str">
        <f>VLOOKUP(B131,AA_Unitarios,consolidado!$H$7,FALSE)</f>
        <v>M3</v>
      </c>
      <c r="J131" s="9">
        <f>+ALMACENAMIENTO!$H$152</f>
        <v>6.8260000000000005</v>
      </c>
      <c r="K131" s="360">
        <f>unitario!F6695</f>
        <v>1805925.428999844</v>
      </c>
      <c r="L131" s="361"/>
      <c r="M131" s="359">
        <f t="shared" si="21"/>
        <v>12327246.978352936</v>
      </c>
      <c r="N131" s="273"/>
      <c r="O131" s="214">
        <v>1702893.9072464928</v>
      </c>
      <c r="P131" s="214">
        <v>11623953.81086456</v>
      </c>
    </row>
    <row r="132" spans="1:16" ht="27" customHeight="1" outlineLevel="1" x14ac:dyDescent="0.2">
      <c r="A132" s="29" t="s">
        <v>307</v>
      </c>
      <c r="B132" s="365" t="s">
        <v>200</v>
      </c>
      <c r="C132" s="271"/>
      <c r="D132" s="271"/>
      <c r="E132" s="271"/>
      <c r="F132" s="271"/>
      <c r="G132" s="271"/>
      <c r="H132" s="273"/>
      <c r="I132" s="30" t="str">
        <f>VLOOKUP(B132,AA_Unitarios,consolidado!$H$7,FALSE)</f>
        <v>KG</v>
      </c>
      <c r="J132" s="9">
        <f>+ALMACENAMIENTO!$H$163</f>
        <v>4436.0418799999989</v>
      </c>
      <c r="K132" s="360">
        <f>+VLOOKUP(B132,AA_Unitarios,consolidado!$M$7,FALSE)</f>
        <v>10407.86484233889</v>
      </c>
      <c r="L132" s="361"/>
      <c r="M132" s="359">
        <f t="shared" ref="M132" si="22">J132*K132</f>
        <v>46169724.321994901</v>
      </c>
      <c r="N132" s="273"/>
      <c r="O132" s="214">
        <v>10721.855294004161</v>
      </c>
      <c r="P132" s="214">
        <v>47562599.115502156</v>
      </c>
    </row>
    <row r="133" spans="1:16" ht="12.75" customHeight="1" outlineLevel="1" x14ac:dyDescent="0.2">
      <c r="A133" s="31" t="s">
        <v>310</v>
      </c>
      <c r="B133" s="366" t="s">
        <v>107</v>
      </c>
      <c r="C133" s="271"/>
      <c r="D133" s="271"/>
      <c r="E133" s="271"/>
      <c r="F133" s="271"/>
      <c r="G133" s="271"/>
      <c r="H133" s="271"/>
      <c r="I133" s="271"/>
      <c r="J133" s="271"/>
      <c r="K133" s="271"/>
      <c r="L133" s="271"/>
      <c r="M133" s="271"/>
      <c r="N133" s="273"/>
      <c r="O133" s="214">
        <v>0</v>
      </c>
      <c r="P133" s="214">
        <v>0</v>
      </c>
    </row>
    <row r="134" spans="1:16" ht="27" customHeight="1" outlineLevel="1" x14ac:dyDescent="0.2">
      <c r="A134" s="29" t="s">
        <v>311</v>
      </c>
      <c r="B134" s="365" t="s">
        <v>109</v>
      </c>
      <c r="C134" s="271"/>
      <c r="D134" s="271"/>
      <c r="E134" s="271"/>
      <c r="F134" s="271"/>
      <c r="G134" s="271"/>
      <c r="H134" s="273"/>
      <c r="I134" s="30" t="str">
        <f>VLOOKUP(B134,AA_Unitarios,consolidado!$H$7,FALSE)</f>
        <v>M3-KM</v>
      </c>
      <c r="J134" s="9">
        <f>+J135*Indice!$L$19</f>
        <v>713.07499999999993</v>
      </c>
      <c r="K134" s="359">
        <f>+VLOOKUP(B134,AA_Unitarios,consolidado!$M$7,FALSE)</f>
        <v>10890.40783384375</v>
      </c>
      <c r="L134" s="273"/>
      <c r="M134" s="359">
        <f t="shared" ref="M134:M136" si="23">J134*K134</f>
        <v>7765677.5661181314</v>
      </c>
      <c r="N134" s="273"/>
      <c r="O134" s="214">
        <v>10739.718453389989</v>
      </c>
      <c r="P134" s="214">
        <v>7658224.7361510657</v>
      </c>
    </row>
    <row r="135" spans="1:16" ht="27" customHeight="1" outlineLevel="1" x14ac:dyDescent="0.2">
      <c r="A135" s="29" t="s">
        <v>312</v>
      </c>
      <c r="B135" s="365" t="s">
        <v>111</v>
      </c>
      <c r="C135" s="271"/>
      <c r="D135" s="271"/>
      <c r="E135" s="271"/>
      <c r="F135" s="271"/>
      <c r="G135" s="271"/>
      <c r="H135" s="273"/>
      <c r="I135" s="30" t="str">
        <f>VLOOKUP(B135,AA_Unitarios,consolidado!$H$7,FALSE)</f>
        <v>M3</v>
      </c>
      <c r="J135" s="9">
        <f>+ALMACENAMIENTO!$H$185</f>
        <v>142.61499999999998</v>
      </c>
      <c r="K135" s="359">
        <f>+VLOOKUP(B135,AA_Unitarios,consolidado!$M$7,FALSE)</f>
        <v>6384.6287895000005</v>
      </c>
      <c r="L135" s="273"/>
      <c r="M135" s="359">
        <f t="shared" ref="M135" si="24">J135*K135</f>
        <v>910543.83481454244</v>
      </c>
      <c r="N135" s="273"/>
      <c r="O135" s="214">
        <v>7257.1004178808416</v>
      </c>
      <c r="P135" s="214">
        <v>1034971.3760960761</v>
      </c>
    </row>
    <row r="136" spans="1:16" ht="27" hidden="1" customHeight="1" outlineLevel="1" x14ac:dyDescent="0.2">
      <c r="A136" s="29" t="s">
        <v>3195</v>
      </c>
      <c r="B136" s="369" t="s">
        <v>146</v>
      </c>
      <c r="C136" s="370"/>
      <c r="D136" s="370"/>
      <c r="E136" s="370"/>
      <c r="F136" s="370"/>
      <c r="G136" s="370"/>
      <c r="H136" s="368"/>
      <c r="I136" s="246" t="str">
        <f>VLOOKUP(B136,AA_Unitarios,consolidado!$H$7,FALSE)</f>
        <v>M3</v>
      </c>
      <c r="J136" s="247">
        <f>+(J118+J119)-J123-J124-J126-J127</f>
        <v>130.72977499999999</v>
      </c>
      <c r="K136" s="367"/>
      <c r="L136" s="368"/>
      <c r="M136" s="367">
        <f t="shared" si="23"/>
        <v>0</v>
      </c>
      <c r="N136" s="368"/>
      <c r="O136" s="214">
        <v>28560.684492464399</v>
      </c>
      <c r="P136" s="214">
        <v>3733731.8575458596</v>
      </c>
    </row>
    <row r="137" spans="1:16" ht="12.75" customHeight="1" outlineLevel="1" x14ac:dyDescent="0.2">
      <c r="A137" s="31" t="s">
        <v>313</v>
      </c>
      <c r="B137" s="366" t="s">
        <v>314</v>
      </c>
      <c r="C137" s="271"/>
      <c r="D137" s="271"/>
      <c r="E137" s="271"/>
      <c r="F137" s="271"/>
      <c r="G137" s="271"/>
      <c r="H137" s="271"/>
      <c r="I137" s="271"/>
      <c r="J137" s="271"/>
      <c r="K137" s="271"/>
      <c r="L137" s="271"/>
      <c r="M137" s="271"/>
      <c r="N137" s="273"/>
      <c r="O137" s="214">
        <v>0</v>
      </c>
      <c r="P137" s="214">
        <v>0</v>
      </c>
    </row>
    <row r="138" spans="1:16" ht="27" customHeight="1" outlineLevel="1" x14ac:dyDescent="0.2">
      <c r="A138" s="29" t="s">
        <v>315</v>
      </c>
      <c r="B138" s="365" t="s">
        <v>316</v>
      </c>
      <c r="C138" s="271"/>
      <c r="D138" s="271"/>
      <c r="E138" s="271"/>
      <c r="F138" s="271"/>
      <c r="G138" s="271"/>
      <c r="H138" s="273"/>
      <c r="I138" s="30" t="str">
        <f>VLOOKUP(B138,AA_Unitarios,consolidado!$H$7,FALSE)</f>
        <v>UND</v>
      </c>
      <c r="J138" s="9">
        <f>+ALMACENAMIENTO!$H$196</f>
        <v>3</v>
      </c>
      <c r="K138" s="360">
        <f>unitario!F3490</f>
        <v>1369527.4441766667</v>
      </c>
      <c r="L138" s="361"/>
      <c r="M138" s="359">
        <f t="shared" ref="M138:M148" si="25">J138*K138</f>
        <v>4108582.3325300002</v>
      </c>
      <c r="N138" s="273"/>
      <c r="O138" s="214">
        <v>1371639.7316732598</v>
      </c>
      <c r="P138" s="214">
        <v>4114919.1950197793</v>
      </c>
    </row>
    <row r="139" spans="1:16" ht="27" customHeight="1" outlineLevel="1" x14ac:dyDescent="0.2">
      <c r="A139" s="29" t="s">
        <v>317</v>
      </c>
      <c r="B139" s="365" t="s">
        <v>153</v>
      </c>
      <c r="C139" s="271"/>
      <c r="D139" s="271"/>
      <c r="E139" s="271"/>
      <c r="F139" s="271"/>
      <c r="G139" s="271"/>
      <c r="H139" s="273"/>
      <c r="I139" s="30" t="str">
        <f>VLOOKUP(B139,AA_Unitarios,consolidado!$H$7,FALSE)</f>
        <v>UND</v>
      </c>
      <c r="J139" s="9">
        <f>+ALMACENAMIENTO!$H$207</f>
        <v>1</v>
      </c>
      <c r="K139" s="360">
        <f>+VLOOKUP(B139,AA_Unitarios,consolidado!$M$7,FALSE)</f>
        <v>1740807.4441766667</v>
      </c>
      <c r="L139" s="361"/>
      <c r="M139" s="359">
        <f t="shared" si="25"/>
        <v>1740807.4441766667</v>
      </c>
      <c r="N139" s="273"/>
      <c r="O139" s="214">
        <v>1740771.1253818281</v>
      </c>
      <c r="P139" s="214">
        <v>1740771.1253818281</v>
      </c>
    </row>
    <row r="140" spans="1:16" ht="27" customHeight="1" outlineLevel="1" x14ac:dyDescent="0.2">
      <c r="A140" s="29" t="s">
        <v>320</v>
      </c>
      <c r="B140" s="365" t="s">
        <v>321</v>
      </c>
      <c r="C140" s="271"/>
      <c r="D140" s="271"/>
      <c r="E140" s="271"/>
      <c r="F140" s="271"/>
      <c r="G140" s="271"/>
      <c r="H140" s="273"/>
      <c r="I140" s="30" t="str">
        <f>VLOOKUP(B140,AA_Unitarios,consolidado!$H$7,FALSE)</f>
        <v>UND</v>
      </c>
      <c r="J140" s="9">
        <f>+ALMACENAMIENTO!$H$218</f>
        <v>2</v>
      </c>
      <c r="K140" s="360">
        <f>unitario!F3868</f>
        <v>823075.72736999998</v>
      </c>
      <c r="L140" s="361"/>
      <c r="M140" s="359">
        <f t="shared" si="25"/>
        <v>1646151.45474</v>
      </c>
      <c r="N140" s="273"/>
      <c r="O140" s="214">
        <v>826782.18139290437</v>
      </c>
      <c r="P140" s="214">
        <v>1653564.3627858087</v>
      </c>
    </row>
    <row r="141" spans="1:16" ht="27" customHeight="1" outlineLevel="1" x14ac:dyDescent="0.2">
      <c r="A141" s="29" t="s">
        <v>333</v>
      </c>
      <c r="B141" s="365" t="s">
        <v>279</v>
      </c>
      <c r="C141" s="271"/>
      <c r="D141" s="271"/>
      <c r="E141" s="271"/>
      <c r="F141" s="271"/>
      <c r="G141" s="271"/>
      <c r="H141" s="273"/>
      <c r="I141" s="30" t="str">
        <f>VLOOKUP(B141,AA_Unitarios,consolidado!$H$7,FALSE)</f>
        <v>UND</v>
      </c>
      <c r="J141" s="9">
        <f>+ALMACENAMIENTO!$H$273</f>
        <v>1</v>
      </c>
      <c r="K141" s="360">
        <f>+VLOOKUP(B141,AA_Unitarios,consolidado!$M$7,FALSE)</f>
        <v>642792.78230843006</v>
      </c>
      <c r="L141" s="361"/>
      <c r="M141" s="359">
        <f t="shared" si="25"/>
        <v>642792.78230843006</v>
      </c>
      <c r="N141" s="273"/>
      <c r="O141" s="214">
        <v>975210.31406458071</v>
      </c>
      <c r="P141" s="214">
        <v>975210.31406458071</v>
      </c>
    </row>
    <row r="142" spans="1:16" ht="27" customHeight="1" outlineLevel="1" x14ac:dyDescent="0.2">
      <c r="A142" s="29" t="s">
        <v>336</v>
      </c>
      <c r="B142" s="365" t="s">
        <v>154</v>
      </c>
      <c r="C142" s="271"/>
      <c r="D142" s="271"/>
      <c r="E142" s="271"/>
      <c r="F142" s="271"/>
      <c r="G142" s="271"/>
      <c r="H142" s="273"/>
      <c r="I142" s="30" t="str">
        <f>VLOOKUP(B142,AA_Unitarios,consolidado!$H$7,FALSE)</f>
        <v>UND</v>
      </c>
      <c r="J142" s="9">
        <f>+ALMACENAMIENTO!$H$284</f>
        <v>3</v>
      </c>
      <c r="K142" s="360">
        <f>+VLOOKUP(B142,AA_Unitarios,consolidado!$M$7,FALSE)</f>
        <v>539720.19484499993</v>
      </c>
      <c r="L142" s="361"/>
      <c r="M142" s="359">
        <f t="shared" si="25"/>
        <v>1619160.5845349999</v>
      </c>
      <c r="N142" s="273"/>
      <c r="O142" s="214">
        <v>538070.36380391754</v>
      </c>
      <c r="P142" s="214">
        <v>1614211.0914117526</v>
      </c>
    </row>
    <row r="143" spans="1:16" ht="40.5" customHeight="1" outlineLevel="1" x14ac:dyDescent="0.2">
      <c r="A143" s="29" t="s">
        <v>337</v>
      </c>
      <c r="B143" s="365" t="s">
        <v>155</v>
      </c>
      <c r="C143" s="271"/>
      <c r="D143" s="271"/>
      <c r="E143" s="271"/>
      <c r="F143" s="271"/>
      <c r="G143" s="271"/>
      <c r="H143" s="273"/>
      <c r="I143" s="30" t="str">
        <f>VLOOKUP(B143,AA_Unitarios,consolidado!$H$7,FALSE)</f>
        <v>UND</v>
      </c>
      <c r="J143" s="9">
        <f>+ALMACENAMIENTO!$H$295</f>
        <v>15</v>
      </c>
      <c r="K143" s="360">
        <f>+VLOOKUP(B143,AA_Unitarios,consolidado!$M$7,FALSE)</f>
        <v>133822.58162650003</v>
      </c>
      <c r="L143" s="361"/>
      <c r="M143" s="359">
        <f t="shared" si="25"/>
        <v>2007338.7243975005</v>
      </c>
      <c r="N143" s="273"/>
      <c r="O143" s="214">
        <v>131380.40410353377</v>
      </c>
      <c r="P143" s="214">
        <v>1970706.0615530065</v>
      </c>
    </row>
    <row r="144" spans="1:16" ht="27" customHeight="1" outlineLevel="1" x14ac:dyDescent="0.2">
      <c r="A144" s="29" t="s">
        <v>338</v>
      </c>
      <c r="B144" s="365" t="s">
        <v>339</v>
      </c>
      <c r="C144" s="271"/>
      <c r="D144" s="271"/>
      <c r="E144" s="271"/>
      <c r="F144" s="271"/>
      <c r="G144" s="271"/>
      <c r="H144" s="273"/>
      <c r="I144" s="30" t="str">
        <f>VLOOKUP(B144,AA_Unitarios,consolidado!$H$7,FALSE)</f>
        <v>UND</v>
      </c>
      <c r="J144" s="35">
        <f>+ALMACENAMIENTO!$H$306</f>
        <v>1</v>
      </c>
      <c r="K144" s="360">
        <f>+VLOOKUP(B144,AA_Unitarios,consolidado!$M$7,FALSE)</f>
        <v>5442359.9707831256</v>
      </c>
      <c r="L144" s="361"/>
      <c r="M144" s="359">
        <f t="shared" si="25"/>
        <v>5442359.9707831256</v>
      </c>
      <c r="N144" s="273"/>
      <c r="O144" s="214">
        <v>5412746.98566717</v>
      </c>
      <c r="P144" s="214">
        <v>5412746.98566717</v>
      </c>
    </row>
    <row r="145" spans="1:25" ht="27" customHeight="1" outlineLevel="1" x14ac:dyDescent="0.2">
      <c r="A145" s="29" t="s">
        <v>340</v>
      </c>
      <c r="B145" s="365" t="s">
        <v>341</v>
      </c>
      <c r="C145" s="271"/>
      <c r="D145" s="271"/>
      <c r="E145" s="271"/>
      <c r="F145" s="271"/>
      <c r="G145" s="271"/>
      <c r="H145" s="273"/>
      <c r="I145" s="30" t="str">
        <f>VLOOKUP(B145,AA_Unitarios,consolidado!$H$7,FALSE)</f>
        <v>UND</v>
      </c>
      <c r="J145" s="9">
        <f>+ALMACENAMIENTO!$H$317</f>
        <v>4</v>
      </c>
      <c r="K145" s="360">
        <f>+VLOOKUP(B145,AA_Unitarios,consolidado!$M$7,FALSE)</f>
        <v>210561.12168974997</v>
      </c>
      <c r="L145" s="361"/>
      <c r="M145" s="359">
        <f t="shared" si="25"/>
        <v>842244.48675899988</v>
      </c>
      <c r="N145" s="273"/>
      <c r="O145" s="214">
        <v>207695.36432811795</v>
      </c>
      <c r="P145" s="214">
        <v>830781.45731247182</v>
      </c>
    </row>
    <row r="146" spans="1:25" ht="27" customHeight="1" outlineLevel="1" x14ac:dyDescent="0.2">
      <c r="A146" s="29" t="s">
        <v>342</v>
      </c>
      <c r="B146" s="365" t="s">
        <v>343</v>
      </c>
      <c r="C146" s="271"/>
      <c r="D146" s="271"/>
      <c r="E146" s="271"/>
      <c r="F146" s="271"/>
      <c r="G146" s="271"/>
      <c r="H146" s="273"/>
      <c r="I146" s="30" t="str">
        <f>VLOOKUP(B146,AA_Unitarios,consolidado!$H$7,FALSE)</f>
        <v>UND</v>
      </c>
      <c r="J146" s="9">
        <f>+ALMACENAMIENTO!$H$328</f>
        <v>1</v>
      </c>
      <c r="K146" s="360">
        <f>+VLOOKUP(B146,AA_Unitarios,consolidado!$M$7,FALSE)</f>
        <v>127339.40276000001</v>
      </c>
      <c r="L146" s="361"/>
      <c r="M146" s="359">
        <f t="shared" si="25"/>
        <v>127339.40276000001</v>
      </c>
      <c r="N146" s="273"/>
      <c r="O146" s="214">
        <v>128918.89636400192</v>
      </c>
      <c r="P146" s="214">
        <v>128918.89636400192</v>
      </c>
    </row>
    <row r="147" spans="1:25" ht="27" customHeight="1" outlineLevel="1" x14ac:dyDescent="0.2">
      <c r="A147" s="29" t="s">
        <v>344</v>
      </c>
      <c r="B147" s="365" t="s">
        <v>345</v>
      </c>
      <c r="C147" s="271"/>
      <c r="D147" s="271"/>
      <c r="E147" s="271"/>
      <c r="F147" s="271"/>
      <c r="G147" s="271"/>
      <c r="H147" s="273"/>
      <c r="I147" s="30" t="str">
        <f>VLOOKUP(B147,AA_Unitarios,consolidado!$H$7,FALSE)</f>
        <v>UND</v>
      </c>
      <c r="J147" s="9">
        <f>+ALMACENAMIENTO!$H$339</f>
        <v>1</v>
      </c>
      <c r="K147" s="360">
        <f>+VLOOKUP(B147,AA_Unitarios,consolidado!$M$7,FALSE)</f>
        <v>306106.05446000001</v>
      </c>
      <c r="L147" s="361"/>
      <c r="M147" s="359">
        <f t="shared" si="25"/>
        <v>306106.05446000001</v>
      </c>
      <c r="N147" s="273"/>
      <c r="O147" s="214">
        <v>306651.02115024196</v>
      </c>
      <c r="P147" s="214">
        <v>306651.02115024196</v>
      </c>
    </row>
    <row r="148" spans="1:25" ht="27" customHeight="1" outlineLevel="1" x14ac:dyDescent="0.2">
      <c r="A148" s="29" t="s">
        <v>346</v>
      </c>
      <c r="B148" s="365" t="s">
        <v>347</v>
      </c>
      <c r="C148" s="271"/>
      <c r="D148" s="271"/>
      <c r="E148" s="271"/>
      <c r="F148" s="271"/>
      <c r="G148" s="271"/>
      <c r="H148" s="273"/>
      <c r="I148" s="30" t="str">
        <f>VLOOKUP(B148,AA_Unitarios,consolidado!$H$7,FALSE)</f>
        <v>UND</v>
      </c>
      <c r="J148" s="9">
        <f>+ALMACENAMIENTO!$H$350</f>
        <v>4</v>
      </c>
      <c r="K148" s="360">
        <f>+VLOOKUP(B148,AA_Unitarios,consolidado!$M$7,FALSE)</f>
        <v>695651.71865800011</v>
      </c>
      <c r="L148" s="361"/>
      <c r="M148" s="359">
        <f t="shared" si="25"/>
        <v>2782606.8746320005</v>
      </c>
      <c r="N148" s="273"/>
      <c r="O148" s="214">
        <v>692190.60629814013</v>
      </c>
      <c r="P148" s="214">
        <v>2768762.4251925605</v>
      </c>
    </row>
    <row r="149" spans="1:25" ht="12.75" customHeight="1" x14ac:dyDescent="0.2">
      <c r="A149" s="34"/>
      <c r="B149" s="34"/>
      <c r="C149" s="34"/>
      <c r="D149" s="34"/>
      <c r="E149" s="32"/>
    </row>
    <row r="150" spans="1:25" ht="12.75" customHeight="1" x14ac:dyDescent="0.2">
      <c r="A150" s="34"/>
      <c r="B150" s="34"/>
      <c r="F150" s="362" t="s">
        <v>3199</v>
      </c>
      <c r="G150" s="363"/>
      <c r="H150" s="363"/>
      <c r="I150" s="363"/>
      <c r="J150" s="363"/>
      <c r="K150" s="363"/>
      <c r="L150" s="364"/>
      <c r="M150" s="374">
        <f>+SUM(M153:N185)</f>
        <v>176123544.80362362</v>
      </c>
      <c r="N150" s="273"/>
    </row>
    <row r="151" spans="1:25" ht="12.75" customHeight="1" outlineLevel="1" x14ac:dyDescent="0.2">
      <c r="A151" s="287" t="s">
        <v>143</v>
      </c>
      <c r="B151" s="271"/>
      <c r="C151" s="271"/>
      <c r="D151" s="271"/>
      <c r="E151" s="271"/>
      <c r="F151" s="271"/>
      <c r="G151" s="271"/>
      <c r="H151" s="273"/>
      <c r="I151" s="16" t="s">
        <v>144</v>
      </c>
      <c r="J151" s="16" t="s">
        <v>78</v>
      </c>
      <c r="K151" s="375" t="s">
        <v>145</v>
      </c>
      <c r="L151" s="273"/>
      <c r="M151" s="375" t="s">
        <v>80</v>
      </c>
      <c r="N151" s="273"/>
    </row>
    <row r="152" spans="1:25" ht="12.75" customHeight="1" outlineLevel="1" x14ac:dyDescent="0.2">
      <c r="A152" s="31" t="s">
        <v>281</v>
      </c>
      <c r="B152" s="371" t="s">
        <v>282</v>
      </c>
      <c r="C152" s="271"/>
      <c r="D152" s="271"/>
      <c r="E152" s="271"/>
      <c r="F152" s="271"/>
      <c r="G152" s="271"/>
      <c r="H152" s="271"/>
      <c r="I152" s="271"/>
      <c r="J152" s="271"/>
      <c r="K152" s="271"/>
      <c r="L152" s="271"/>
      <c r="M152" s="271"/>
      <c r="N152" s="273"/>
    </row>
    <row r="153" spans="1:25" ht="27" customHeight="1" outlineLevel="1" x14ac:dyDescent="0.2">
      <c r="A153" s="29" t="s">
        <v>283</v>
      </c>
      <c r="B153" s="365" t="s">
        <v>84</v>
      </c>
      <c r="C153" s="271"/>
      <c r="D153" s="271"/>
      <c r="E153" s="271"/>
      <c r="F153" s="271"/>
      <c r="G153" s="271"/>
      <c r="H153" s="273"/>
      <c r="I153" s="30" t="str">
        <f>VLOOKUP(B153,AA_Unitarios,consolidado!$H$7,FALSE)</f>
        <v>M2</v>
      </c>
      <c r="J153" s="9">
        <f>+ALMACENAMIENTO!$P$9</f>
        <v>94.35</v>
      </c>
      <c r="K153" s="360">
        <f>+VLOOKUP(B153,AA_Unitarios,consolidado!$M$7,FALSE)</f>
        <v>5395.0282271600026</v>
      </c>
      <c r="L153" s="361"/>
      <c r="M153" s="359">
        <f>J153*K153</f>
        <v>509020.91323254624</v>
      </c>
      <c r="N153" s="273"/>
      <c r="O153" s="214">
        <v>8926.592787338428</v>
      </c>
      <c r="P153" s="214">
        <v>842224.02948538063</v>
      </c>
    </row>
    <row r="154" spans="1:25" ht="12.75" customHeight="1" outlineLevel="1" x14ac:dyDescent="0.2">
      <c r="A154" s="31" t="s">
        <v>284</v>
      </c>
      <c r="B154" s="366" t="s">
        <v>86</v>
      </c>
      <c r="C154" s="271"/>
      <c r="D154" s="271"/>
      <c r="E154" s="271"/>
      <c r="F154" s="271"/>
      <c r="G154" s="271"/>
      <c r="H154" s="271"/>
      <c r="I154" s="271"/>
      <c r="J154" s="271"/>
      <c r="K154" s="271"/>
      <c r="L154" s="271"/>
      <c r="M154" s="271"/>
      <c r="N154" s="273"/>
      <c r="O154" s="214"/>
      <c r="P154" s="214"/>
    </row>
    <row r="155" spans="1:25" ht="12.75" customHeight="1" outlineLevel="1" x14ac:dyDescent="0.2">
      <c r="A155" s="29" t="s">
        <v>245</v>
      </c>
      <c r="B155" s="365" t="s">
        <v>161</v>
      </c>
      <c r="C155" s="271"/>
      <c r="D155" s="271"/>
      <c r="E155" s="271"/>
      <c r="F155" s="271"/>
      <c r="G155" s="271"/>
      <c r="H155" s="273"/>
      <c r="I155" s="30" t="str">
        <f>VLOOKUP(B155,AA_Unitarios,consolidado!$H$7,FALSE)</f>
        <v>M3</v>
      </c>
      <c r="J155" s="9">
        <f>+ALMACENAMIENTO!$H$20</f>
        <v>36.697044733077924</v>
      </c>
      <c r="K155" s="360">
        <f>VLOOKUP(B155,AA_Unitarios,consolidado!$M$7,FALSE)</f>
        <v>68458.635200799996</v>
      </c>
      <c r="L155" s="361"/>
      <c r="M155" s="359">
        <f t="shared" ref="M155:M158" si="26">J155*K155</f>
        <v>2512229.5983292204</v>
      </c>
      <c r="N155" s="273"/>
      <c r="O155" s="214">
        <v>95202.28164154799</v>
      </c>
      <c r="P155" s="214">
        <v>3493642.38809097</v>
      </c>
      <c r="Q155" s="1"/>
      <c r="R155" s="1"/>
      <c r="S155" s="1"/>
      <c r="T155" s="1"/>
      <c r="U155" s="1"/>
      <c r="V155" s="1"/>
      <c r="W155" s="1"/>
      <c r="X155" s="1"/>
      <c r="Y155" s="1"/>
    </row>
    <row r="156" spans="1:25" ht="27" customHeight="1" outlineLevel="1" x14ac:dyDescent="0.2">
      <c r="A156" s="29" t="s">
        <v>3196</v>
      </c>
      <c r="B156" s="365" t="s">
        <v>286</v>
      </c>
      <c r="C156" s="271"/>
      <c r="D156" s="271"/>
      <c r="E156" s="271"/>
      <c r="F156" s="271"/>
      <c r="G156" s="271"/>
      <c r="H156" s="273"/>
      <c r="I156" s="30" t="str">
        <f>VLOOKUP(B156,AA_Unitarios,consolidado!$H$7,FALSE)</f>
        <v>M3</v>
      </c>
      <c r="J156" s="35">
        <f>+ALMACENAMIENTO!$P$31</f>
        <v>330.27340259770131</v>
      </c>
      <c r="K156" s="360">
        <f>+VLOOKUP(B156,AA_Unitarios,consolidado!$M$7,FALSE)</f>
        <v>19819.8</v>
      </c>
      <c r="L156" s="361"/>
      <c r="M156" s="359">
        <f t="shared" si="26"/>
        <v>6545952.78480592</v>
      </c>
      <c r="N156" s="273"/>
      <c r="O156" s="214">
        <v>19705.10234061916</v>
      </c>
      <c r="P156" s="214">
        <v>6508071.1985722184</v>
      </c>
    </row>
    <row r="157" spans="1:25" ht="40.5" customHeight="1" outlineLevel="1" x14ac:dyDescent="0.2">
      <c r="A157" s="29" t="s">
        <v>3197</v>
      </c>
      <c r="B157" s="365" t="s">
        <v>288</v>
      </c>
      <c r="C157" s="271"/>
      <c r="D157" s="271"/>
      <c r="E157" s="271"/>
      <c r="F157" s="271"/>
      <c r="G157" s="271"/>
      <c r="H157" s="271"/>
      <c r="I157" s="30" t="str">
        <f>VLOOKUP(B157,AA_Unitarios,consolidado!$H$7,FALSE)</f>
        <v>M2</v>
      </c>
      <c r="J157" s="35">
        <f>+ALMACENAMIENTO!$P$42</f>
        <v>69.44</v>
      </c>
      <c r="K157" s="360">
        <f>+VLOOKUP(B157,AA_Unitarios,consolidado!$M$7,FALSE)</f>
        <v>57484.738835333337</v>
      </c>
      <c r="L157" s="361"/>
      <c r="M157" s="359">
        <f t="shared" si="26"/>
        <v>3991740.2647255468</v>
      </c>
      <c r="N157" s="273"/>
      <c r="O157" s="214">
        <v>54928.415903670808</v>
      </c>
      <c r="P157" s="214">
        <v>3814229.2003509006</v>
      </c>
    </row>
    <row r="158" spans="1:25" ht="40.5" customHeight="1" outlineLevel="1" x14ac:dyDescent="0.2">
      <c r="A158" s="29" t="s">
        <v>3198</v>
      </c>
      <c r="B158" s="365" t="s">
        <v>290</v>
      </c>
      <c r="C158" s="271"/>
      <c r="D158" s="271"/>
      <c r="E158" s="271"/>
      <c r="F158" s="271"/>
      <c r="G158" s="271"/>
      <c r="H158" s="271"/>
      <c r="I158" s="30" t="str">
        <f>VLOOKUP(B158,AA_Unitarios,consolidado!$H$7,FALSE)</f>
        <v>M2</v>
      </c>
      <c r="J158" s="35">
        <f>+ALMACENAMIENTO!$P$53</f>
        <v>66.400000000000006</v>
      </c>
      <c r="K158" s="360">
        <f>+VLOOKUP(B158,AA_Unitarios,consolidado!$M$7,FALSE)</f>
        <v>72976.998044166685</v>
      </c>
      <c r="L158" s="361"/>
      <c r="M158" s="359">
        <f t="shared" si="26"/>
        <v>4845672.6701326687</v>
      </c>
      <c r="N158" s="273"/>
      <c r="O158" s="214">
        <v>69775.106694488684</v>
      </c>
      <c r="P158" s="214">
        <v>4633067.0845140489</v>
      </c>
    </row>
    <row r="159" spans="1:25" ht="12.75" customHeight="1" outlineLevel="1" x14ac:dyDescent="0.2">
      <c r="A159" s="31" t="s">
        <v>293</v>
      </c>
      <c r="B159" s="371" t="s">
        <v>90</v>
      </c>
      <c r="C159" s="271"/>
      <c r="D159" s="271"/>
      <c r="E159" s="271"/>
      <c r="F159" s="271"/>
      <c r="G159" s="271"/>
      <c r="H159" s="271"/>
      <c r="I159" s="271"/>
      <c r="J159" s="271"/>
      <c r="K159" s="271"/>
      <c r="L159" s="271"/>
      <c r="M159" s="271"/>
      <c r="N159" s="273"/>
      <c r="O159" s="214"/>
      <c r="P159" s="214"/>
    </row>
    <row r="160" spans="1:25" ht="40.5" customHeight="1" outlineLevel="1" x14ac:dyDescent="0.2">
      <c r="A160" s="29" t="s">
        <v>294</v>
      </c>
      <c r="B160" s="365" t="s">
        <v>92</v>
      </c>
      <c r="C160" s="271"/>
      <c r="D160" s="271"/>
      <c r="E160" s="271"/>
      <c r="F160" s="271"/>
      <c r="G160" s="271"/>
      <c r="H160" s="273"/>
      <c r="I160" s="30" t="str">
        <f>VLOOKUP(B160,AA_Unitarios,consolidado!$H$7,FALSE)</f>
        <v>M3</v>
      </c>
      <c r="J160" s="9">
        <f>+ALMACENAMIENTO!$P$75</f>
        <v>7.81</v>
      </c>
      <c r="K160" s="360">
        <f>+VLOOKUP(B160,AA_Unitarios,consolidado!$M$7,FALSE)</f>
        <v>229192.31748567708</v>
      </c>
      <c r="L160" s="361"/>
      <c r="M160" s="359">
        <f t="shared" ref="M160:M161" si="27">J160*K160</f>
        <v>1789991.999563138</v>
      </c>
      <c r="N160" s="273"/>
      <c r="O160" s="214">
        <v>224323.18043617744</v>
      </c>
      <c r="P160" s="214">
        <v>1751964.0392065458</v>
      </c>
    </row>
    <row r="161" spans="1:16" ht="40.5" customHeight="1" outlineLevel="1" x14ac:dyDescent="0.2">
      <c r="A161" s="29" t="s">
        <v>295</v>
      </c>
      <c r="B161" s="365" t="s">
        <v>169</v>
      </c>
      <c r="C161" s="271"/>
      <c r="D161" s="271"/>
      <c r="E161" s="271"/>
      <c r="F161" s="271"/>
      <c r="G161" s="271"/>
      <c r="H161" s="273"/>
      <c r="I161" s="30" t="str">
        <f>VLOOKUP(B161,AA_Unitarios,consolidado!$H$7,FALSE)</f>
        <v>M3</v>
      </c>
      <c r="J161" s="9">
        <f>+ALMACENAMIENTO!$P$86</f>
        <v>224.35544733077924</v>
      </c>
      <c r="K161" s="360">
        <f>+VLOOKUP(B161,AA_Unitarios,consolidado!$M$7,FALSE)</f>
        <v>26524.081196363637</v>
      </c>
      <c r="L161" s="361"/>
      <c r="M161" s="359">
        <f t="shared" si="27"/>
        <v>5950822.1018480742</v>
      </c>
      <c r="N161" s="273"/>
      <c r="O161" s="214">
        <v>27397.2054648987</v>
      </c>
      <c r="P161" s="214">
        <v>6146712.2876906171</v>
      </c>
    </row>
    <row r="162" spans="1:16" ht="12.75" customHeight="1" outlineLevel="1" x14ac:dyDescent="0.2">
      <c r="A162" s="31" t="s">
        <v>297</v>
      </c>
      <c r="B162" s="366" t="s">
        <v>298</v>
      </c>
      <c r="C162" s="271"/>
      <c r="D162" s="271"/>
      <c r="E162" s="271"/>
      <c r="F162" s="271"/>
      <c r="G162" s="271"/>
      <c r="H162" s="271"/>
      <c r="I162" s="271"/>
      <c r="J162" s="271"/>
      <c r="K162" s="271"/>
      <c r="L162" s="271"/>
      <c r="M162" s="271"/>
      <c r="N162" s="273"/>
      <c r="O162" s="214">
        <v>0</v>
      </c>
      <c r="P162" s="214">
        <v>0</v>
      </c>
    </row>
    <row r="163" spans="1:16" ht="12.75" customHeight="1" outlineLevel="1" x14ac:dyDescent="0.2">
      <c r="A163" s="29" t="s">
        <v>299</v>
      </c>
      <c r="B163" s="365" t="s">
        <v>96</v>
      </c>
      <c r="C163" s="271"/>
      <c r="D163" s="271"/>
      <c r="E163" s="271"/>
      <c r="F163" s="271"/>
      <c r="G163" s="271"/>
      <c r="H163" s="273"/>
      <c r="I163" s="30" t="str">
        <f>VLOOKUP(B163,AA_Unitarios,consolidado!$H$7,FALSE)</f>
        <v>M3</v>
      </c>
      <c r="J163" s="9">
        <f>+ALMACENAMIENTO!$P$97</f>
        <v>2.0350000000000001</v>
      </c>
      <c r="K163" s="360">
        <f>+VLOOKUP(B163,AA_Unitarios,consolidado!$M$7,FALSE)</f>
        <v>805839.35208278813</v>
      </c>
      <c r="L163" s="361"/>
      <c r="M163" s="359">
        <f t="shared" ref="M163:M165" si="28">J163*K163</f>
        <v>1639883.081488474</v>
      </c>
      <c r="N163" s="273"/>
      <c r="O163" s="214">
        <v>739822.86471154669</v>
      </c>
      <c r="P163" s="214">
        <v>1505539.5296879977</v>
      </c>
    </row>
    <row r="164" spans="1:16" ht="27" customHeight="1" outlineLevel="1" x14ac:dyDescent="0.2">
      <c r="A164" s="29" t="s">
        <v>300</v>
      </c>
      <c r="B164" s="365" t="s">
        <v>301</v>
      </c>
      <c r="C164" s="271"/>
      <c r="D164" s="271"/>
      <c r="E164" s="271"/>
      <c r="F164" s="271"/>
      <c r="G164" s="271"/>
      <c r="H164" s="273"/>
      <c r="I164" s="30" t="str">
        <f>VLOOKUP(B164,AA_Unitarios,consolidado!$H$7,FALSE)</f>
        <v>M3</v>
      </c>
      <c r="J164" s="9">
        <f>+ALMACENAMIENTO!$P$108</f>
        <v>2.040225</v>
      </c>
      <c r="K164" s="360">
        <f>+VLOOKUP(B164,AA_Unitarios,consolidado!$M$7,FALSE)</f>
        <v>805837.05099293601</v>
      </c>
      <c r="L164" s="361"/>
      <c r="M164" s="359">
        <f t="shared" si="28"/>
        <v>1644088.8973620629</v>
      </c>
      <c r="N164" s="273"/>
      <c r="O164" s="214">
        <v>739820.57577461971</v>
      </c>
      <c r="P164" s="214">
        <v>1509400.4342097735</v>
      </c>
    </row>
    <row r="165" spans="1:16" ht="12.75" customHeight="1" outlineLevel="1" x14ac:dyDescent="0.2">
      <c r="A165" s="29" t="s">
        <v>302</v>
      </c>
      <c r="B165" s="365" t="s">
        <v>98</v>
      </c>
      <c r="C165" s="271"/>
      <c r="D165" s="271"/>
      <c r="E165" s="271"/>
      <c r="F165" s="271"/>
      <c r="G165" s="271"/>
      <c r="H165" s="273"/>
      <c r="I165" s="30" t="str">
        <f>VLOOKUP(B165,AA_Unitarios,consolidado!$H$7,FALSE)</f>
        <v>M3</v>
      </c>
      <c r="J165" s="9">
        <f>+ALMACENAMIENTO!$P$119</f>
        <v>6.1206749999999994</v>
      </c>
      <c r="K165" s="360">
        <f>+VLOOKUP(B165,AA_Unitarios,consolidado!$M$7,FALSE)</f>
        <v>965054.12208278815</v>
      </c>
      <c r="L165" s="361"/>
      <c r="M165" s="359">
        <f t="shared" si="28"/>
        <v>5906782.6386790685</v>
      </c>
      <c r="N165" s="273"/>
      <c r="O165" s="214">
        <v>879153.17126285122</v>
      </c>
      <c r="P165" s="214">
        <v>5381010.8365192516</v>
      </c>
    </row>
    <row r="166" spans="1:16" ht="27" customHeight="1" outlineLevel="1" x14ac:dyDescent="0.2">
      <c r="A166" s="29" t="s">
        <v>303</v>
      </c>
      <c r="B166" s="365" t="s">
        <v>199</v>
      </c>
      <c r="C166" s="271"/>
      <c r="D166" s="271"/>
      <c r="E166" s="271"/>
      <c r="F166" s="271"/>
      <c r="G166" s="271"/>
      <c r="H166" s="273"/>
      <c r="I166" s="30" t="str">
        <f>VLOOKUP(B166,AA_Unitarios,consolidado!$H$7,FALSE)</f>
        <v>M3</v>
      </c>
      <c r="J166" s="9">
        <f>+ALMACENAMIENTO!$P$130</f>
        <v>9.625</v>
      </c>
      <c r="K166" s="360">
        <f>unitario!F6785</f>
        <v>1098216.7556217883</v>
      </c>
      <c r="L166" s="361"/>
      <c r="M166" s="359">
        <f t="shared" ref="M166:M168" si="29">+J166*K166</f>
        <v>10570336.272859713</v>
      </c>
      <c r="N166" s="273"/>
      <c r="O166" s="214">
        <v>999524.71214423177</v>
      </c>
      <c r="P166" s="214">
        <v>9620425.3543882314</v>
      </c>
    </row>
    <row r="167" spans="1:16" ht="27" customHeight="1" outlineLevel="1" x14ac:dyDescent="0.2">
      <c r="A167" s="29" t="s">
        <v>304</v>
      </c>
      <c r="B167" s="365" t="s">
        <v>254</v>
      </c>
      <c r="C167" s="271"/>
      <c r="D167" s="271"/>
      <c r="E167" s="271"/>
      <c r="F167" s="271"/>
      <c r="G167" s="271"/>
      <c r="H167" s="273"/>
      <c r="I167" s="30" t="str">
        <f>VLOOKUP(B167,AA_Unitarios,consolidado!$H$7,FALSE)</f>
        <v>M3</v>
      </c>
      <c r="J167" s="9">
        <f>+ALMACENAMIENTO!$P$141</f>
        <v>17.739250000000002</v>
      </c>
      <c r="K167" s="360">
        <f>unitario!F10194</f>
        <v>2355135.6887825006</v>
      </c>
      <c r="L167" s="361"/>
      <c r="M167" s="359">
        <f t="shared" si="29"/>
        <v>41778340.767234981</v>
      </c>
      <c r="N167" s="273"/>
      <c r="O167" s="214">
        <v>2385875.3464347129</v>
      </c>
      <c r="P167" s="214">
        <v>42323639.239241987</v>
      </c>
    </row>
    <row r="168" spans="1:16" ht="27" customHeight="1" outlineLevel="1" x14ac:dyDescent="0.2">
      <c r="A168" s="29" t="s">
        <v>305</v>
      </c>
      <c r="B168" s="365" t="s">
        <v>306</v>
      </c>
      <c r="C168" s="271"/>
      <c r="D168" s="271"/>
      <c r="E168" s="271"/>
      <c r="F168" s="271"/>
      <c r="G168" s="271"/>
      <c r="H168" s="273"/>
      <c r="I168" s="30" t="str">
        <f>VLOOKUP(B168,AA_Unitarios,consolidado!$H$7,FALSE)</f>
        <v>M3</v>
      </c>
      <c r="J168" s="9">
        <f>+ALMACENAMIENTO!$P$152</f>
        <v>6.8260000000000005</v>
      </c>
      <c r="K168" s="360">
        <f>unitario!F6695</f>
        <v>1805925.428999844</v>
      </c>
      <c r="L168" s="361"/>
      <c r="M168" s="359">
        <f t="shared" si="29"/>
        <v>12327246.978352936</v>
      </c>
      <c r="N168" s="273"/>
      <c r="O168" s="214">
        <v>1702893.9072464928</v>
      </c>
      <c r="P168" s="214">
        <v>11623953.81086456</v>
      </c>
    </row>
    <row r="169" spans="1:16" ht="27" customHeight="1" outlineLevel="1" x14ac:dyDescent="0.2">
      <c r="A169" s="29" t="s">
        <v>307</v>
      </c>
      <c r="B169" s="365" t="s">
        <v>200</v>
      </c>
      <c r="C169" s="271"/>
      <c r="D169" s="271"/>
      <c r="E169" s="271"/>
      <c r="F169" s="271"/>
      <c r="G169" s="271"/>
      <c r="H169" s="273"/>
      <c r="I169" s="30" t="str">
        <f>VLOOKUP(B169,AA_Unitarios,consolidado!$H$7,FALSE)</f>
        <v>KG</v>
      </c>
      <c r="J169" s="9">
        <f>+ALMACENAMIENTO!$P$163</f>
        <v>4436.0418799999989</v>
      </c>
      <c r="K169" s="360">
        <f>+VLOOKUP(B169,AA_Unitarios,consolidado!$M$7,FALSE)</f>
        <v>10407.86484233889</v>
      </c>
      <c r="L169" s="361"/>
      <c r="M169" s="359">
        <f t="shared" ref="M169" si="30">J169*K169</f>
        <v>46169724.321994901</v>
      </c>
      <c r="N169" s="273"/>
      <c r="O169" s="214">
        <v>10721.855294004161</v>
      </c>
      <c r="P169" s="214">
        <v>47562599.115502156</v>
      </c>
    </row>
    <row r="170" spans="1:16" ht="12.75" customHeight="1" outlineLevel="1" x14ac:dyDescent="0.2">
      <c r="A170" s="31" t="s">
        <v>310</v>
      </c>
      <c r="B170" s="366" t="s">
        <v>107</v>
      </c>
      <c r="C170" s="271"/>
      <c r="D170" s="271"/>
      <c r="E170" s="271"/>
      <c r="F170" s="271"/>
      <c r="G170" s="271"/>
      <c r="H170" s="271"/>
      <c r="I170" s="271"/>
      <c r="J170" s="271"/>
      <c r="K170" s="271"/>
      <c r="L170" s="271"/>
      <c r="M170" s="271"/>
      <c r="N170" s="273"/>
      <c r="O170" s="214"/>
      <c r="P170" s="214"/>
    </row>
    <row r="171" spans="1:16" ht="27" customHeight="1" outlineLevel="1" x14ac:dyDescent="0.2">
      <c r="A171" s="29" t="s">
        <v>311</v>
      </c>
      <c r="B171" s="365" t="s">
        <v>109</v>
      </c>
      <c r="C171" s="271"/>
      <c r="D171" s="271"/>
      <c r="E171" s="271"/>
      <c r="F171" s="271"/>
      <c r="G171" s="271"/>
      <c r="H171" s="273"/>
      <c r="I171" s="30" t="str">
        <f>VLOOKUP(B171,AA_Unitarios,consolidado!$H$7,FALSE)</f>
        <v>M3-KM</v>
      </c>
      <c r="J171" s="9">
        <f>+J172*Indice!$L$19</f>
        <v>713.07499999999993</v>
      </c>
      <c r="K171" s="360">
        <f>+VLOOKUP(B171,AA_Unitarios,consolidado!$M$7,FALSE)</f>
        <v>10890.40783384375</v>
      </c>
      <c r="L171" s="361"/>
      <c r="M171" s="359">
        <f t="shared" ref="M171:M173" si="31">J171*K171</f>
        <v>7765677.5661181314</v>
      </c>
      <c r="N171" s="273"/>
      <c r="O171" s="214">
        <v>10739.718453389989</v>
      </c>
      <c r="P171" s="214">
        <v>7658224.7361510657</v>
      </c>
    </row>
    <row r="172" spans="1:16" ht="27" customHeight="1" outlineLevel="1" x14ac:dyDescent="0.2">
      <c r="A172" s="29" t="s">
        <v>312</v>
      </c>
      <c r="B172" s="365" t="s">
        <v>111</v>
      </c>
      <c r="C172" s="271"/>
      <c r="D172" s="271"/>
      <c r="E172" s="271"/>
      <c r="F172" s="271"/>
      <c r="G172" s="271"/>
      <c r="H172" s="273"/>
      <c r="I172" s="30" t="str">
        <f>VLOOKUP(B172,AA_Unitarios,consolidado!$H$7,FALSE)</f>
        <v>M3</v>
      </c>
      <c r="J172" s="9">
        <f>+ALMACENAMIENTO!$P$185</f>
        <v>142.61499999999998</v>
      </c>
      <c r="K172" s="360">
        <f>+VLOOKUP(B172,AA_Unitarios,consolidado!$M$7,FALSE)</f>
        <v>6384.6287895000005</v>
      </c>
      <c r="L172" s="361"/>
      <c r="M172" s="359">
        <f t="shared" si="31"/>
        <v>910543.83481454244</v>
      </c>
      <c r="N172" s="273"/>
      <c r="O172" s="214">
        <v>7257.1004178808416</v>
      </c>
      <c r="P172" s="214">
        <v>1034971.3760960761</v>
      </c>
    </row>
    <row r="173" spans="1:16" ht="27" hidden="1" customHeight="1" outlineLevel="1" x14ac:dyDescent="0.2">
      <c r="A173" s="29" t="s">
        <v>3195</v>
      </c>
      <c r="B173" s="369" t="s">
        <v>146</v>
      </c>
      <c r="C173" s="370"/>
      <c r="D173" s="370"/>
      <c r="E173" s="370"/>
      <c r="F173" s="370"/>
      <c r="G173" s="370"/>
      <c r="H173" s="368"/>
      <c r="I173" s="246" t="str">
        <f>VLOOKUP(B173,AA_Unitarios,consolidado!$H$7,FALSE)</f>
        <v>M3</v>
      </c>
      <c r="J173" s="247">
        <f>+(J155+J156)-J160-J161-J163-J164</f>
        <v>130.72977499999999</v>
      </c>
      <c r="K173" s="367"/>
      <c r="L173" s="368"/>
      <c r="M173" s="367">
        <f t="shared" si="31"/>
        <v>0</v>
      </c>
      <c r="N173" s="368"/>
      <c r="O173" s="214">
        <v>28560.684492464399</v>
      </c>
      <c r="P173" s="214">
        <v>3733731.8575458596</v>
      </c>
    </row>
    <row r="174" spans="1:16" ht="12.75" customHeight="1" outlineLevel="1" x14ac:dyDescent="0.2">
      <c r="A174" s="31" t="s">
        <v>313</v>
      </c>
      <c r="B174" s="366" t="s">
        <v>314</v>
      </c>
      <c r="C174" s="271"/>
      <c r="D174" s="271"/>
      <c r="E174" s="271"/>
      <c r="F174" s="271"/>
      <c r="G174" s="271"/>
      <c r="H174" s="271"/>
      <c r="I174" s="271"/>
      <c r="J174" s="271"/>
      <c r="K174" s="271"/>
      <c r="L174" s="271"/>
      <c r="M174" s="271"/>
      <c r="N174" s="273"/>
      <c r="O174" s="214"/>
      <c r="P174" s="214"/>
    </row>
    <row r="175" spans="1:16" ht="27" customHeight="1" outlineLevel="1" x14ac:dyDescent="0.2">
      <c r="A175" s="29" t="s">
        <v>315</v>
      </c>
      <c r="B175" s="365" t="s">
        <v>316</v>
      </c>
      <c r="C175" s="271"/>
      <c r="D175" s="271"/>
      <c r="E175" s="271"/>
      <c r="F175" s="271"/>
      <c r="G175" s="271"/>
      <c r="H175" s="273"/>
      <c r="I175" s="30" t="str">
        <f>VLOOKUP(B175,AA_Unitarios,consolidado!$H$7,FALSE)</f>
        <v>UND</v>
      </c>
      <c r="J175" s="9">
        <f>+ALMACENAMIENTO!$P$196</f>
        <v>3</v>
      </c>
      <c r="K175" s="360">
        <f>unitario!F3490</f>
        <v>1369527.4441766667</v>
      </c>
      <c r="L175" s="361"/>
      <c r="M175" s="359">
        <f t="shared" ref="M175:M185" si="32">J175*K175</f>
        <v>4108582.3325300002</v>
      </c>
      <c r="N175" s="273"/>
      <c r="O175" s="214">
        <v>1371639.7316732598</v>
      </c>
      <c r="P175" s="214">
        <v>4114919.1950197793</v>
      </c>
    </row>
    <row r="176" spans="1:16" ht="27" customHeight="1" outlineLevel="1" x14ac:dyDescent="0.2">
      <c r="A176" s="29" t="s">
        <v>317</v>
      </c>
      <c r="B176" s="365" t="s">
        <v>153</v>
      </c>
      <c r="C176" s="271"/>
      <c r="D176" s="271"/>
      <c r="E176" s="271"/>
      <c r="F176" s="271"/>
      <c r="G176" s="271"/>
      <c r="H176" s="273"/>
      <c r="I176" s="30" t="str">
        <f>VLOOKUP(B176,AA_Unitarios,consolidado!$H$7,FALSE)</f>
        <v>UND</v>
      </c>
      <c r="J176" s="9">
        <f>+ALMACENAMIENTO!$P$207</f>
        <v>1</v>
      </c>
      <c r="K176" s="360">
        <f>+VLOOKUP(B176,AA_Unitarios,consolidado!$M$7,FALSE)</f>
        <v>1740807.4441766667</v>
      </c>
      <c r="L176" s="361"/>
      <c r="M176" s="359">
        <f t="shared" si="32"/>
        <v>1740807.4441766667</v>
      </c>
      <c r="N176" s="273"/>
      <c r="O176" s="214">
        <v>1740771.1253818281</v>
      </c>
      <c r="P176" s="214">
        <v>1740771.1253818281</v>
      </c>
    </row>
    <row r="177" spans="1:25" ht="27" customHeight="1" outlineLevel="1" x14ac:dyDescent="0.2">
      <c r="A177" s="29" t="s">
        <v>320</v>
      </c>
      <c r="B177" s="365" t="s">
        <v>321</v>
      </c>
      <c r="C177" s="271"/>
      <c r="D177" s="271"/>
      <c r="E177" s="271"/>
      <c r="F177" s="271"/>
      <c r="G177" s="271"/>
      <c r="H177" s="273"/>
      <c r="I177" s="30" t="str">
        <f>VLOOKUP(B177,AA_Unitarios,consolidado!$H$7,FALSE)</f>
        <v>UND</v>
      </c>
      <c r="J177" s="9">
        <f>+ALMACENAMIENTO!$P$218</f>
        <v>2</v>
      </c>
      <c r="K177" s="360">
        <f>unitario!F3868</f>
        <v>823075.72736999998</v>
      </c>
      <c r="L177" s="361"/>
      <c r="M177" s="359">
        <f t="shared" si="32"/>
        <v>1646151.45474</v>
      </c>
      <c r="N177" s="273"/>
      <c r="O177" s="214">
        <v>826782.18139290437</v>
      </c>
      <c r="P177" s="214">
        <v>1653564.3627858087</v>
      </c>
    </row>
    <row r="178" spans="1:25" ht="27" customHeight="1" outlineLevel="1" x14ac:dyDescent="0.2">
      <c r="A178" s="29" t="s">
        <v>333</v>
      </c>
      <c r="B178" s="365" t="s">
        <v>279</v>
      </c>
      <c r="C178" s="271"/>
      <c r="D178" s="271"/>
      <c r="E178" s="271"/>
      <c r="F178" s="271"/>
      <c r="G178" s="271"/>
      <c r="H178" s="273"/>
      <c r="I178" s="30" t="str">
        <f>VLOOKUP(B178,AA_Unitarios,consolidado!$H$7,FALSE)</f>
        <v>UND</v>
      </c>
      <c r="J178" s="9">
        <f>+ALMACENAMIENTO!$P$273</f>
        <v>1</v>
      </c>
      <c r="K178" s="360">
        <f>+VLOOKUP(B178,AA_Unitarios,consolidado!$M$7,FALSE)</f>
        <v>642792.78230843006</v>
      </c>
      <c r="L178" s="361"/>
      <c r="M178" s="359">
        <f t="shared" si="32"/>
        <v>642792.78230843006</v>
      </c>
      <c r="N178" s="273"/>
      <c r="O178" s="214">
        <v>975210.31406458071</v>
      </c>
      <c r="P178" s="214">
        <v>975210.31406458071</v>
      </c>
    </row>
    <row r="179" spans="1:25" ht="27" customHeight="1" outlineLevel="1" x14ac:dyDescent="0.2">
      <c r="A179" s="29" t="s">
        <v>336</v>
      </c>
      <c r="B179" s="365" t="s">
        <v>154</v>
      </c>
      <c r="C179" s="271"/>
      <c r="D179" s="271"/>
      <c r="E179" s="271"/>
      <c r="F179" s="271"/>
      <c r="G179" s="271"/>
      <c r="H179" s="273"/>
      <c r="I179" s="30" t="str">
        <f>VLOOKUP(B179,AA_Unitarios,consolidado!$H$7,FALSE)</f>
        <v>UND</v>
      </c>
      <c r="J179" s="9">
        <f>+ALMACENAMIENTO!$P$284</f>
        <v>3</v>
      </c>
      <c r="K179" s="360">
        <f>+VLOOKUP(B179,AA_Unitarios,consolidado!$M$7,FALSE)</f>
        <v>539720.19484499993</v>
      </c>
      <c r="L179" s="361"/>
      <c r="M179" s="359">
        <f t="shared" si="32"/>
        <v>1619160.5845349999</v>
      </c>
      <c r="N179" s="273"/>
      <c r="O179" s="214">
        <v>538070.36380391754</v>
      </c>
      <c r="P179" s="214">
        <v>1614211.0914117526</v>
      </c>
    </row>
    <row r="180" spans="1:25" ht="40.5" customHeight="1" outlineLevel="1" x14ac:dyDescent="0.2">
      <c r="A180" s="29" t="s">
        <v>337</v>
      </c>
      <c r="B180" s="365" t="s">
        <v>155</v>
      </c>
      <c r="C180" s="271"/>
      <c r="D180" s="271"/>
      <c r="E180" s="271"/>
      <c r="F180" s="271"/>
      <c r="G180" s="271"/>
      <c r="H180" s="273"/>
      <c r="I180" s="30" t="str">
        <f>VLOOKUP(B180,AA_Unitarios,consolidado!$H$7,FALSE)</f>
        <v>UND</v>
      </c>
      <c r="J180" s="9">
        <f>+ALMACENAMIENTO!$P$295</f>
        <v>15</v>
      </c>
      <c r="K180" s="360">
        <f>+VLOOKUP(B180,AA_Unitarios,consolidado!$M$7,FALSE)</f>
        <v>133822.58162650003</v>
      </c>
      <c r="L180" s="361"/>
      <c r="M180" s="359">
        <f t="shared" si="32"/>
        <v>2007338.7243975005</v>
      </c>
      <c r="N180" s="273"/>
      <c r="O180" s="214">
        <v>131380.40410353377</v>
      </c>
      <c r="P180" s="214">
        <v>1970706.0615530065</v>
      </c>
    </row>
    <row r="181" spans="1:25" ht="27" customHeight="1" outlineLevel="1" x14ac:dyDescent="0.2">
      <c r="A181" s="29" t="s">
        <v>338</v>
      </c>
      <c r="B181" s="365" t="s">
        <v>339</v>
      </c>
      <c r="C181" s="271"/>
      <c r="D181" s="271"/>
      <c r="E181" s="271"/>
      <c r="F181" s="271"/>
      <c r="G181" s="271"/>
      <c r="H181" s="273"/>
      <c r="I181" s="30" t="str">
        <f>VLOOKUP(B181,AA_Unitarios,consolidado!$H$7,FALSE)</f>
        <v>UND</v>
      </c>
      <c r="J181" s="35">
        <f>+ALMACENAMIENTO!$P$306</f>
        <v>1</v>
      </c>
      <c r="K181" s="360">
        <f>+VLOOKUP(B181,AA_Unitarios,consolidado!$M$7,FALSE)</f>
        <v>5442359.9707831256</v>
      </c>
      <c r="L181" s="361"/>
      <c r="M181" s="359">
        <f t="shared" si="32"/>
        <v>5442359.9707831256</v>
      </c>
      <c r="N181" s="273"/>
      <c r="O181" s="214">
        <v>5412746.98566717</v>
      </c>
      <c r="P181" s="214">
        <v>5412746.98566717</v>
      </c>
    </row>
    <row r="182" spans="1:25" ht="27" customHeight="1" outlineLevel="1" x14ac:dyDescent="0.2">
      <c r="A182" s="29" t="s">
        <v>340</v>
      </c>
      <c r="B182" s="365" t="s">
        <v>341</v>
      </c>
      <c r="C182" s="271"/>
      <c r="D182" s="271"/>
      <c r="E182" s="271"/>
      <c r="F182" s="271"/>
      <c r="G182" s="271"/>
      <c r="H182" s="273"/>
      <c r="I182" s="30" t="str">
        <f>VLOOKUP(B182,AA_Unitarios,consolidado!$H$7,FALSE)</f>
        <v>UND</v>
      </c>
      <c r="J182" s="9">
        <f>+ALMACENAMIENTO!$P$317</f>
        <v>4</v>
      </c>
      <c r="K182" s="360">
        <f>+VLOOKUP(B182,AA_Unitarios,consolidado!$M$7,FALSE)</f>
        <v>210561.12168974997</v>
      </c>
      <c r="L182" s="361"/>
      <c r="M182" s="359">
        <f t="shared" si="32"/>
        <v>842244.48675899988</v>
      </c>
      <c r="N182" s="273"/>
      <c r="O182" s="214">
        <v>207695.36432811795</v>
      </c>
      <c r="P182" s="214">
        <v>830781.45731247182</v>
      </c>
    </row>
    <row r="183" spans="1:25" ht="27" customHeight="1" outlineLevel="1" x14ac:dyDescent="0.2">
      <c r="A183" s="29" t="s">
        <v>342</v>
      </c>
      <c r="B183" s="365" t="s">
        <v>343</v>
      </c>
      <c r="C183" s="271"/>
      <c r="D183" s="271"/>
      <c r="E183" s="271"/>
      <c r="F183" s="271"/>
      <c r="G183" s="271"/>
      <c r="H183" s="273"/>
      <c r="I183" s="30" t="str">
        <f>VLOOKUP(B183,AA_Unitarios,consolidado!$H$7,FALSE)</f>
        <v>UND</v>
      </c>
      <c r="J183" s="9">
        <f>+ALMACENAMIENTO!$P$328</f>
        <v>1</v>
      </c>
      <c r="K183" s="360">
        <f>+VLOOKUP(B183,AA_Unitarios,consolidado!$M$7,FALSE)</f>
        <v>127339.40276000001</v>
      </c>
      <c r="L183" s="361"/>
      <c r="M183" s="359">
        <f t="shared" si="32"/>
        <v>127339.40276000001</v>
      </c>
      <c r="N183" s="273"/>
      <c r="O183" s="214">
        <v>128918.89636400192</v>
      </c>
      <c r="P183" s="214">
        <v>128918.89636400192</v>
      </c>
    </row>
    <row r="184" spans="1:25" ht="27" customHeight="1" outlineLevel="1" x14ac:dyDescent="0.2">
      <c r="A184" s="29" t="s">
        <v>344</v>
      </c>
      <c r="B184" s="365" t="s">
        <v>345</v>
      </c>
      <c r="C184" s="271"/>
      <c r="D184" s="271"/>
      <c r="E184" s="271"/>
      <c r="F184" s="271"/>
      <c r="G184" s="271"/>
      <c r="H184" s="273"/>
      <c r="I184" s="30" t="str">
        <f>VLOOKUP(B184,AA_Unitarios,consolidado!$H$7,FALSE)</f>
        <v>UND</v>
      </c>
      <c r="J184" s="9">
        <f>+ALMACENAMIENTO!$P$339</f>
        <v>1</v>
      </c>
      <c r="K184" s="360">
        <f>+VLOOKUP(B184,AA_Unitarios,consolidado!$M$7,FALSE)</f>
        <v>306106.05446000001</v>
      </c>
      <c r="L184" s="361"/>
      <c r="M184" s="359">
        <f t="shared" si="32"/>
        <v>306106.05446000001</v>
      </c>
      <c r="N184" s="273"/>
      <c r="O184" s="214">
        <v>306651.02115024196</v>
      </c>
      <c r="P184" s="214">
        <v>306651.02115024196</v>
      </c>
    </row>
    <row r="185" spans="1:25" ht="27" customHeight="1" outlineLevel="1" x14ac:dyDescent="0.2">
      <c r="A185" s="29" t="s">
        <v>346</v>
      </c>
      <c r="B185" s="365" t="s">
        <v>347</v>
      </c>
      <c r="C185" s="271"/>
      <c r="D185" s="271"/>
      <c r="E185" s="271"/>
      <c r="F185" s="271"/>
      <c r="G185" s="271"/>
      <c r="H185" s="273"/>
      <c r="I185" s="30" t="str">
        <f>VLOOKUP(B185,AA_Unitarios,consolidado!$H$7,FALSE)</f>
        <v>UND</v>
      </c>
      <c r="J185" s="9">
        <f>+ALMACENAMIENTO!$P$350</f>
        <v>4</v>
      </c>
      <c r="K185" s="360">
        <f>+VLOOKUP(B185,AA_Unitarios,consolidado!$M$7,FALSE)</f>
        <v>695651.71865800011</v>
      </c>
      <c r="L185" s="361"/>
      <c r="M185" s="359">
        <f t="shared" si="32"/>
        <v>2782606.8746320005</v>
      </c>
      <c r="N185" s="273"/>
      <c r="O185" s="214">
        <v>692190.60629814013</v>
      </c>
      <c r="P185" s="214">
        <v>2768762.4251925605</v>
      </c>
    </row>
    <row r="186" spans="1:25" ht="12.75" customHeight="1" x14ac:dyDescent="0.2">
      <c r="A186" s="34"/>
      <c r="B186" s="34"/>
      <c r="C186" s="34"/>
      <c r="D186" s="34"/>
      <c r="E186" s="32"/>
    </row>
    <row r="187" spans="1:25" ht="12.75" customHeight="1" x14ac:dyDescent="0.2">
      <c r="A187" s="34"/>
      <c r="B187" s="34"/>
      <c r="F187" s="362" t="s">
        <v>3207</v>
      </c>
      <c r="G187" s="363"/>
      <c r="H187" s="363"/>
      <c r="I187" s="363"/>
      <c r="J187" s="363"/>
      <c r="K187" s="363"/>
      <c r="L187" s="364"/>
      <c r="M187" s="374">
        <f>+SUM(M190:N223)</f>
        <v>309178392.63139051</v>
      </c>
      <c r="N187" s="273"/>
    </row>
    <row r="188" spans="1:25" ht="12.75" customHeight="1" outlineLevel="1" x14ac:dyDescent="0.2">
      <c r="A188" s="287" t="s">
        <v>143</v>
      </c>
      <c r="B188" s="271"/>
      <c r="C188" s="271"/>
      <c r="D188" s="271"/>
      <c r="E188" s="271"/>
      <c r="F188" s="271"/>
      <c r="G188" s="271"/>
      <c r="H188" s="273"/>
      <c r="I188" s="16" t="s">
        <v>144</v>
      </c>
      <c r="J188" s="16" t="s">
        <v>78</v>
      </c>
      <c r="K188" s="375" t="s">
        <v>145</v>
      </c>
      <c r="L188" s="273"/>
      <c r="M188" s="375" t="s">
        <v>80</v>
      </c>
      <c r="N188" s="273"/>
    </row>
    <row r="189" spans="1:25" ht="12.75" customHeight="1" outlineLevel="1" x14ac:dyDescent="0.2">
      <c r="A189" s="31" t="s">
        <v>281</v>
      </c>
      <c r="B189" s="371" t="s">
        <v>282</v>
      </c>
      <c r="C189" s="271"/>
      <c r="D189" s="271"/>
      <c r="E189" s="271"/>
      <c r="F189" s="271"/>
      <c r="G189" s="271"/>
      <c r="H189" s="271"/>
      <c r="I189" s="271"/>
      <c r="J189" s="271"/>
      <c r="K189" s="271"/>
      <c r="L189" s="271"/>
      <c r="M189" s="271"/>
      <c r="N189" s="273"/>
    </row>
    <row r="190" spans="1:25" ht="27" customHeight="1" outlineLevel="1" x14ac:dyDescent="0.2">
      <c r="A190" s="29" t="s">
        <v>283</v>
      </c>
      <c r="B190" s="365" t="s">
        <v>84</v>
      </c>
      <c r="C190" s="271"/>
      <c r="D190" s="271"/>
      <c r="E190" s="271"/>
      <c r="F190" s="271"/>
      <c r="G190" s="271"/>
      <c r="H190" s="273"/>
      <c r="I190" s="30" t="str">
        <f>VLOOKUP(B190,AA_Unitarios,consolidado!$H$7,FALSE)</f>
        <v>M2</v>
      </c>
      <c r="J190" s="9">
        <f>+ALMACENAMIENTO!$L$9</f>
        <v>174.47</v>
      </c>
      <c r="K190" s="360">
        <f>+VLOOKUP(B190,AA_Unitarios,consolidado!$M$7,FALSE)</f>
        <v>5395.0282271600026</v>
      </c>
      <c r="L190" s="361"/>
      <c r="M190" s="359">
        <f>J190*K190</f>
        <v>941270.57479260571</v>
      </c>
      <c r="N190" s="273"/>
      <c r="O190" s="214">
        <v>8926.592787338428</v>
      </c>
      <c r="P190" s="214">
        <v>1557422.6436069356</v>
      </c>
    </row>
    <row r="191" spans="1:25" ht="12.75" customHeight="1" outlineLevel="1" x14ac:dyDescent="0.2">
      <c r="A191" s="31" t="s">
        <v>284</v>
      </c>
      <c r="B191" s="366" t="s">
        <v>86</v>
      </c>
      <c r="C191" s="271"/>
      <c r="D191" s="271"/>
      <c r="E191" s="271"/>
      <c r="F191" s="271"/>
      <c r="G191" s="271"/>
      <c r="H191" s="271"/>
      <c r="I191" s="271"/>
      <c r="J191" s="271"/>
      <c r="K191" s="271"/>
      <c r="L191" s="271"/>
      <c r="M191" s="271"/>
      <c r="N191" s="273"/>
      <c r="O191" s="214">
        <v>0</v>
      </c>
      <c r="P191" s="214">
        <v>0</v>
      </c>
    </row>
    <row r="192" spans="1:25" ht="12.75" customHeight="1" outlineLevel="1" x14ac:dyDescent="0.2">
      <c r="A192" s="29" t="s">
        <v>245</v>
      </c>
      <c r="B192" s="365" t="s">
        <v>161</v>
      </c>
      <c r="C192" s="271"/>
      <c r="D192" s="271"/>
      <c r="E192" s="271"/>
      <c r="F192" s="271"/>
      <c r="G192" s="271"/>
      <c r="H192" s="273"/>
      <c r="I192" s="30" t="str">
        <f>VLOOKUP(B192,AA_Unitarios,consolidado!$H$7,FALSE)</f>
        <v>M3</v>
      </c>
      <c r="J192" s="9">
        <f>+ALMACENAMIENTO!$L$20</f>
        <v>53.802746694229199</v>
      </c>
      <c r="K192" s="360">
        <f>VLOOKUP(B192,AA_Unitarios,consolidado!$M$7,FALSE)</f>
        <v>68458.635200799996</v>
      </c>
      <c r="L192" s="361"/>
      <c r="M192" s="359">
        <f t="shared" ref="M192:M196" si="33">J192*K192</f>
        <v>3683262.6087412848</v>
      </c>
      <c r="N192" s="273"/>
      <c r="O192" s="214">
        <v>95202.28164154799</v>
      </c>
      <c r="P192" s="214">
        <v>5122144.2438728735</v>
      </c>
      <c r="Q192" s="1"/>
      <c r="R192" s="1"/>
      <c r="S192" s="1"/>
      <c r="T192" s="1"/>
      <c r="U192" s="1"/>
      <c r="V192" s="1"/>
      <c r="W192" s="1"/>
      <c r="X192" s="1"/>
      <c r="Y192" s="1"/>
    </row>
    <row r="193" spans="1:16" ht="27" customHeight="1" outlineLevel="1" x14ac:dyDescent="0.2">
      <c r="A193" s="29" t="s">
        <v>285</v>
      </c>
      <c r="B193" s="365" t="s">
        <v>286</v>
      </c>
      <c r="C193" s="271"/>
      <c r="D193" s="271"/>
      <c r="E193" s="271"/>
      <c r="F193" s="271"/>
      <c r="G193" s="271"/>
      <c r="H193" s="273"/>
      <c r="I193" s="30" t="str">
        <f>VLOOKUP(B193,AA_Unitarios,consolidado!$H$7,FALSE)</f>
        <v>M3</v>
      </c>
      <c r="J193" s="35">
        <f>+ALMACENAMIENTO!$L$31</f>
        <v>484.22472024806279</v>
      </c>
      <c r="K193" s="360">
        <f>+VLOOKUP(B193,AA_Unitarios,consolidado!$M$7,FALSE)</f>
        <v>19819.8</v>
      </c>
      <c r="L193" s="361"/>
      <c r="M193" s="359">
        <f t="shared" si="33"/>
        <v>9597237.1103725545</v>
      </c>
      <c r="N193" s="273"/>
      <c r="O193" s="214">
        <v>19705.10234061916</v>
      </c>
      <c r="P193" s="214">
        <v>9541697.6683457606</v>
      </c>
    </row>
    <row r="194" spans="1:16" ht="40.5" customHeight="1" outlineLevel="1" x14ac:dyDescent="0.2">
      <c r="A194" s="29" t="s">
        <v>287</v>
      </c>
      <c r="B194" s="365" t="s">
        <v>288</v>
      </c>
      <c r="C194" s="271"/>
      <c r="D194" s="271"/>
      <c r="E194" s="271"/>
      <c r="F194" s="271"/>
      <c r="G194" s="271"/>
      <c r="H194" s="271"/>
      <c r="I194" s="30" t="str">
        <f>VLOOKUP(B194,AA_Unitarios,consolidado!$H$7,FALSE)</f>
        <v>M2</v>
      </c>
      <c r="J194" s="35">
        <f>+ALMACENAMIENTO!$L$42</f>
        <v>103.61999999999999</v>
      </c>
      <c r="K194" s="360">
        <f>+VLOOKUP(B194,AA_Unitarios,consolidado!$M$7,FALSE)</f>
        <v>57484.738835333337</v>
      </c>
      <c r="L194" s="361"/>
      <c r="M194" s="359">
        <f t="shared" si="33"/>
        <v>5956568.6381172398</v>
      </c>
      <c r="N194" s="273"/>
      <c r="O194" s="214">
        <v>54928.415903670808</v>
      </c>
      <c r="P194" s="214">
        <v>5691682.455938369</v>
      </c>
    </row>
    <row r="195" spans="1:16" ht="40.5" customHeight="1" outlineLevel="1" x14ac:dyDescent="0.2">
      <c r="A195" s="29" t="s">
        <v>289</v>
      </c>
      <c r="B195" s="365" t="s">
        <v>290</v>
      </c>
      <c r="C195" s="271"/>
      <c r="D195" s="271"/>
      <c r="E195" s="271"/>
      <c r="F195" s="271"/>
      <c r="G195" s="271"/>
      <c r="H195" s="271"/>
      <c r="I195" s="30" t="str">
        <f>VLOOKUP(B195,AA_Unitarios,consolidado!$H$7,FALSE)</f>
        <v>M2</v>
      </c>
      <c r="J195" s="35">
        <f>+ALMACENAMIENTO!$L$53</f>
        <v>93.24</v>
      </c>
      <c r="K195" s="360">
        <f>+VLOOKUP(B195,AA_Unitarios,consolidado!$M$7,FALSE)</f>
        <v>72976.998044166685</v>
      </c>
      <c r="L195" s="361"/>
      <c r="M195" s="359">
        <f t="shared" si="33"/>
        <v>6804375.2976381015</v>
      </c>
      <c r="N195" s="273"/>
      <c r="O195" s="214">
        <v>69775.106694488684</v>
      </c>
      <c r="P195" s="214">
        <v>6505830.9481941247</v>
      </c>
    </row>
    <row r="196" spans="1:16" ht="54" customHeight="1" outlineLevel="1" x14ac:dyDescent="0.2">
      <c r="A196" s="29" t="s">
        <v>291</v>
      </c>
      <c r="B196" s="365" t="s">
        <v>292</v>
      </c>
      <c r="C196" s="271"/>
      <c r="D196" s="271"/>
      <c r="E196" s="271"/>
      <c r="F196" s="271"/>
      <c r="G196" s="271"/>
      <c r="H196" s="271"/>
      <c r="I196" s="30" t="str">
        <f>VLOOKUP(B196,AA_Unitarios,consolidado!$H$7,FALSE)</f>
        <v>M2</v>
      </c>
      <c r="J196" s="35">
        <f>+ALMACENAMIENTO!$L$64</f>
        <v>18.549999999999997</v>
      </c>
      <c r="K196" s="360">
        <f>+VLOOKUP(B196,AA_Unitarios,consolidado!$M$7,FALSE)</f>
        <v>437985.6027408333</v>
      </c>
      <c r="L196" s="361"/>
      <c r="M196" s="359">
        <f t="shared" si="33"/>
        <v>8124632.9308424564</v>
      </c>
      <c r="N196" s="273"/>
      <c r="O196" s="214">
        <v>433612.46593264362</v>
      </c>
      <c r="P196" s="214">
        <v>8043511.243050538</v>
      </c>
    </row>
    <row r="197" spans="1:16" ht="12.75" customHeight="1" outlineLevel="1" x14ac:dyDescent="0.2">
      <c r="A197" s="31" t="s">
        <v>293</v>
      </c>
      <c r="B197" s="371" t="s">
        <v>90</v>
      </c>
      <c r="C197" s="271"/>
      <c r="D197" s="271"/>
      <c r="E197" s="271"/>
      <c r="F197" s="271"/>
      <c r="G197" s="271"/>
      <c r="H197" s="271"/>
      <c r="I197" s="271"/>
      <c r="J197" s="271"/>
      <c r="K197" s="271"/>
      <c r="L197" s="271"/>
      <c r="M197" s="271"/>
      <c r="N197" s="273"/>
      <c r="O197" s="214"/>
      <c r="P197" s="214"/>
    </row>
    <row r="198" spans="1:16" ht="40.5" customHeight="1" outlineLevel="1" x14ac:dyDescent="0.2">
      <c r="A198" s="29" t="s">
        <v>294</v>
      </c>
      <c r="B198" s="365" t="s">
        <v>92</v>
      </c>
      <c r="C198" s="271"/>
      <c r="D198" s="271"/>
      <c r="E198" s="271"/>
      <c r="F198" s="271"/>
      <c r="G198" s="271"/>
      <c r="H198" s="273"/>
      <c r="I198" s="30" t="str">
        <f>VLOOKUP(B198,AA_Unitarios,consolidado!$H$7,FALSE)</f>
        <v>M3</v>
      </c>
      <c r="J198" s="9">
        <f>+ALMACENAMIENTO!$L$75</f>
        <v>9.6319999999999997</v>
      </c>
      <c r="K198" s="360">
        <f>+VLOOKUP(B198,AA_Unitarios,consolidado!$M$7,FALSE)</f>
        <v>229192.31748567708</v>
      </c>
      <c r="L198" s="361"/>
      <c r="M198" s="359">
        <f t="shared" ref="M198:M199" si="34">J198*K198</f>
        <v>2207580.4020220414</v>
      </c>
      <c r="N198" s="273"/>
      <c r="O198" s="214">
        <v>224323.18043617744</v>
      </c>
      <c r="P198" s="214">
        <v>2160680.873961261</v>
      </c>
    </row>
    <row r="199" spans="1:16" ht="40.5" customHeight="1" outlineLevel="1" x14ac:dyDescent="0.2">
      <c r="A199" s="29" t="s">
        <v>295</v>
      </c>
      <c r="B199" s="365" t="s">
        <v>169</v>
      </c>
      <c r="C199" s="271"/>
      <c r="D199" s="271"/>
      <c r="E199" s="271"/>
      <c r="F199" s="271"/>
      <c r="G199" s="271"/>
      <c r="H199" s="273"/>
      <c r="I199" s="30" t="str">
        <f>VLOOKUP(B199,AA_Unitarios,consolidado!$H$7,FALSE)</f>
        <v>M3</v>
      </c>
      <c r="J199" s="9">
        <f>+ALMACENAMIENTO!$L$86</f>
        <v>325.89946694229195</v>
      </c>
      <c r="K199" s="360">
        <f>+VLOOKUP(B199,AA_Unitarios,consolidado!$M$7,FALSE)</f>
        <v>26524.081196363637</v>
      </c>
      <c r="L199" s="361"/>
      <c r="M199" s="359">
        <f t="shared" si="34"/>
        <v>8644183.9230289795</v>
      </c>
      <c r="N199" s="273"/>
      <c r="O199" s="214">
        <v>27397.2054648987</v>
      </c>
      <c r="P199" s="214">
        <v>8928734.656718934</v>
      </c>
    </row>
    <row r="200" spans="1:16" ht="12.75" customHeight="1" outlineLevel="1" x14ac:dyDescent="0.2">
      <c r="A200" s="31" t="s">
        <v>297</v>
      </c>
      <c r="B200" s="366" t="s">
        <v>298</v>
      </c>
      <c r="C200" s="271"/>
      <c r="D200" s="271"/>
      <c r="E200" s="271"/>
      <c r="F200" s="271"/>
      <c r="G200" s="271"/>
      <c r="H200" s="271"/>
      <c r="I200" s="271"/>
      <c r="J200" s="271"/>
      <c r="K200" s="271"/>
      <c r="L200" s="271"/>
      <c r="M200" s="271"/>
      <c r="N200" s="273"/>
      <c r="O200" s="214"/>
      <c r="P200" s="214"/>
    </row>
    <row r="201" spans="1:16" ht="12.75" customHeight="1" outlineLevel="1" x14ac:dyDescent="0.2">
      <c r="A201" s="29" t="s">
        <v>299</v>
      </c>
      <c r="B201" s="365" t="s">
        <v>96</v>
      </c>
      <c r="C201" s="271"/>
      <c r="D201" s="271"/>
      <c r="E201" s="271"/>
      <c r="F201" s="271"/>
      <c r="G201" s="271"/>
      <c r="H201" s="273"/>
      <c r="I201" s="30" t="str">
        <f>VLOOKUP(B201,AA_Unitarios,consolidado!$H$7,FALSE)</f>
        <v>M3</v>
      </c>
      <c r="J201" s="9">
        <f>+ALMACENAMIENTO!$L$97</f>
        <v>2.6319999999999997</v>
      </c>
      <c r="K201" s="360">
        <f>+VLOOKUP(B201,AA_Unitarios,consolidado!$M$7,FALSE)</f>
        <v>805839.35208278813</v>
      </c>
      <c r="L201" s="361"/>
      <c r="M201" s="359">
        <f t="shared" ref="M201:M203" si="35">J201*K201</f>
        <v>2120969.1746818982</v>
      </c>
      <c r="N201" s="273"/>
      <c r="O201" s="214">
        <v>739822.86471154669</v>
      </c>
      <c r="P201" s="214">
        <v>1947213.7799207906</v>
      </c>
    </row>
    <row r="202" spans="1:16" ht="27" customHeight="1" outlineLevel="1" x14ac:dyDescent="0.2">
      <c r="A202" s="29" t="s">
        <v>300</v>
      </c>
      <c r="B202" s="365" t="s">
        <v>301</v>
      </c>
      <c r="C202" s="271"/>
      <c r="D202" s="271"/>
      <c r="E202" s="271"/>
      <c r="F202" s="271"/>
      <c r="G202" s="271"/>
      <c r="H202" s="273"/>
      <c r="I202" s="30" t="str">
        <f>VLOOKUP(B202,AA_Unitarios,consolidado!$H$7,FALSE)</f>
        <v>M3</v>
      </c>
      <c r="J202" s="9">
        <f>+ALMACENAMIENTO!$L$108</f>
        <v>1.5419999999999998</v>
      </c>
      <c r="K202" s="360">
        <f>+VLOOKUP(B202,AA_Unitarios,consolidado!$M$7,FALSE)</f>
        <v>805837.05099293601</v>
      </c>
      <c r="L202" s="361"/>
      <c r="M202" s="359">
        <f t="shared" si="35"/>
        <v>1242600.7326311071</v>
      </c>
      <c r="N202" s="273"/>
      <c r="O202" s="214">
        <v>739820.57577461971</v>
      </c>
      <c r="P202" s="214">
        <v>1140803.3278444635</v>
      </c>
    </row>
    <row r="203" spans="1:16" ht="12.75" customHeight="1" outlineLevel="1" x14ac:dyDescent="0.2">
      <c r="A203" s="29" t="s">
        <v>302</v>
      </c>
      <c r="B203" s="365" t="s">
        <v>98</v>
      </c>
      <c r="C203" s="271"/>
      <c r="D203" s="271"/>
      <c r="E203" s="271"/>
      <c r="F203" s="271"/>
      <c r="G203" s="271"/>
      <c r="H203" s="273"/>
      <c r="I203" s="30" t="str">
        <f>VLOOKUP(B203,AA_Unitarios,consolidado!$H$7,FALSE)</f>
        <v>M3</v>
      </c>
      <c r="J203" s="9">
        <f>+ALMACENAMIENTO!$L$119</f>
        <v>4.6259999999999994</v>
      </c>
      <c r="K203" s="360">
        <f>+VLOOKUP(B203,AA_Unitarios,consolidado!$M$7,FALSE)</f>
        <v>965054.12208278815</v>
      </c>
      <c r="L203" s="361"/>
      <c r="M203" s="359">
        <f t="shared" si="35"/>
        <v>4464340.3687549774</v>
      </c>
      <c r="N203" s="273"/>
      <c r="O203" s="214">
        <v>879153.17126285122</v>
      </c>
      <c r="P203" s="214">
        <v>4066962.5702619492</v>
      </c>
    </row>
    <row r="204" spans="1:16" ht="27" customHeight="1" outlineLevel="1" x14ac:dyDescent="0.2">
      <c r="A204" s="29" t="s">
        <v>303</v>
      </c>
      <c r="B204" s="365" t="s">
        <v>199</v>
      </c>
      <c r="C204" s="271"/>
      <c r="D204" s="271"/>
      <c r="E204" s="271"/>
      <c r="F204" s="271"/>
      <c r="G204" s="271"/>
      <c r="H204" s="273"/>
      <c r="I204" s="30" t="str">
        <f>VLOOKUP(B204,AA_Unitarios,consolidado!$H$7,FALSE)</f>
        <v>M3</v>
      </c>
      <c r="J204" s="9">
        <f>+ALMACENAMIENTO!$L$130</f>
        <v>15.567999999999998</v>
      </c>
      <c r="K204" s="360">
        <f>unitario!F6785</f>
        <v>1098216.7556217883</v>
      </c>
      <c r="L204" s="361"/>
      <c r="M204" s="359">
        <f t="shared" ref="M204:M206" si="36">+J204*K204</f>
        <v>17097038.45152</v>
      </c>
      <c r="N204" s="273"/>
      <c r="O204" s="214">
        <v>999524.71214423177</v>
      </c>
      <c r="P204" s="214">
        <v>15560600.718661398</v>
      </c>
    </row>
    <row r="205" spans="1:16" ht="27" customHeight="1" outlineLevel="1" x14ac:dyDescent="0.2">
      <c r="A205" s="29" t="s">
        <v>304</v>
      </c>
      <c r="B205" s="365" t="s">
        <v>254</v>
      </c>
      <c r="C205" s="271"/>
      <c r="D205" s="271"/>
      <c r="E205" s="271"/>
      <c r="F205" s="271"/>
      <c r="G205" s="271"/>
      <c r="H205" s="273"/>
      <c r="I205" s="30" t="str">
        <f>VLOOKUP(B205,AA_Unitarios,consolidado!$H$7,FALSE)</f>
        <v>M3</v>
      </c>
      <c r="J205" s="9">
        <f>+ALMACENAMIENTO!$L$141</f>
        <v>42.23899999999999</v>
      </c>
      <c r="K205" s="360">
        <f>unitario!F10194</f>
        <v>2355135.6887825006</v>
      </c>
      <c r="L205" s="361"/>
      <c r="M205" s="359">
        <f t="shared" si="36"/>
        <v>99478576.358484015</v>
      </c>
      <c r="N205" s="273"/>
      <c r="O205" s="214">
        <v>2385875.3464347129</v>
      </c>
      <c r="P205" s="214">
        <v>100776988.75805581</v>
      </c>
    </row>
    <row r="206" spans="1:16" ht="27" customHeight="1" outlineLevel="1" x14ac:dyDescent="0.2">
      <c r="A206" s="29" t="s">
        <v>305</v>
      </c>
      <c r="B206" s="365" t="s">
        <v>306</v>
      </c>
      <c r="C206" s="271"/>
      <c r="D206" s="271"/>
      <c r="E206" s="271"/>
      <c r="F206" s="271"/>
      <c r="G206" s="271"/>
      <c r="H206" s="273"/>
      <c r="I206" s="30" t="str">
        <f>VLOOKUP(B206,AA_Unitarios,consolidado!$H$7,FALSE)</f>
        <v>M3</v>
      </c>
      <c r="J206" s="9">
        <f>+ALMACENAMIENTO!$L$152</f>
        <v>16.864999999999998</v>
      </c>
      <c r="K206" s="360">
        <f>unitario!F6695</f>
        <v>1805925.428999844</v>
      </c>
      <c r="L206" s="361"/>
      <c r="M206" s="359">
        <f t="shared" si="36"/>
        <v>30456932.360082366</v>
      </c>
      <c r="N206" s="273"/>
      <c r="O206" s="214">
        <v>1702893.9072464928</v>
      </c>
      <c r="P206" s="214">
        <v>28719305.745712098</v>
      </c>
    </row>
    <row r="207" spans="1:16" ht="27" customHeight="1" outlineLevel="1" x14ac:dyDescent="0.2">
      <c r="A207" s="29" t="s">
        <v>307</v>
      </c>
      <c r="B207" s="365" t="s">
        <v>200</v>
      </c>
      <c r="C207" s="271"/>
      <c r="D207" s="271"/>
      <c r="E207" s="271"/>
      <c r="F207" s="271"/>
      <c r="G207" s="271"/>
      <c r="H207" s="273"/>
      <c r="I207" s="30" t="str">
        <f>VLOOKUP(B207,AA_Unitarios,consolidado!$H$7,FALSE)</f>
        <v>KG</v>
      </c>
      <c r="J207" s="9">
        <f>+ALMACENAMIENTO!$L$163</f>
        <v>6421.5680400000001</v>
      </c>
      <c r="K207" s="360">
        <f>+VLOOKUP(B207,AA_Unitarios,consolidado!$M$7,FALSE)</f>
        <v>10407.86484233889</v>
      </c>
      <c r="L207" s="361"/>
      <c r="M207" s="359">
        <f t="shared" ref="M207:M208" si="37">J207*K207</f>
        <v>66834812.236203052</v>
      </c>
      <c r="N207" s="273"/>
      <c r="O207" s="214">
        <v>10721.855294004161</v>
      </c>
      <c r="P207" s="214">
        <v>68851123.28548193</v>
      </c>
    </row>
    <row r="208" spans="1:16" ht="27" customHeight="1" outlineLevel="1" x14ac:dyDescent="0.2">
      <c r="A208" s="29" t="s">
        <v>308</v>
      </c>
      <c r="B208" s="376" t="s">
        <v>351</v>
      </c>
      <c r="C208" s="271"/>
      <c r="D208" s="271"/>
      <c r="E208" s="271"/>
      <c r="F208" s="271"/>
      <c r="G208" s="271"/>
      <c r="H208" s="273"/>
      <c r="I208" s="30" t="str">
        <f>VLOOKUP(B208,AA_Unitarios,consolidado!$H$7,FALSE)</f>
        <v>M3</v>
      </c>
      <c r="J208" s="9">
        <f>+ALMACENAMIENTO!$L$174</f>
        <v>7.4750000000000005</v>
      </c>
      <c r="K208" s="360">
        <f>+VLOOKUP(B208,AA_Unitarios,consolidado!$M$7,FALSE)</f>
        <v>207690.40168500002</v>
      </c>
      <c r="L208" s="361"/>
      <c r="M208" s="359">
        <f t="shared" si="37"/>
        <v>1552485.7525953753</v>
      </c>
      <c r="N208" s="273"/>
      <c r="O208" s="214">
        <v>210723.29886275687</v>
      </c>
      <c r="P208" s="214">
        <v>1575156.6589991078</v>
      </c>
    </row>
    <row r="209" spans="1:16" ht="12.75" customHeight="1" outlineLevel="1" x14ac:dyDescent="0.2">
      <c r="A209" s="31" t="s">
        <v>310</v>
      </c>
      <c r="B209" s="366" t="s">
        <v>107</v>
      </c>
      <c r="C209" s="271"/>
      <c r="D209" s="271"/>
      <c r="E209" s="271"/>
      <c r="F209" s="271"/>
      <c r="G209" s="271"/>
      <c r="H209" s="271"/>
      <c r="I209" s="271"/>
      <c r="J209" s="271"/>
      <c r="K209" s="271"/>
      <c r="L209" s="271"/>
      <c r="M209" s="271"/>
      <c r="N209" s="273"/>
      <c r="O209" s="214"/>
      <c r="P209" s="214"/>
    </row>
    <row r="210" spans="1:16" ht="27" customHeight="1" outlineLevel="1" x14ac:dyDescent="0.2">
      <c r="A210" s="29" t="s">
        <v>311</v>
      </c>
      <c r="B210" s="365" t="s">
        <v>109</v>
      </c>
      <c r="C210" s="271"/>
      <c r="D210" s="271"/>
      <c r="E210" s="271"/>
      <c r="F210" s="271"/>
      <c r="G210" s="271"/>
      <c r="H210" s="273"/>
      <c r="I210" s="30" t="str">
        <f>VLOOKUP(B210,AA_Unitarios,consolidado!$H$7,FALSE)</f>
        <v>M3-KM</v>
      </c>
      <c r="J210" s="9">
        <f>+J211*Indice!$L$19</f>
        <v>1060.6400000000003</v>
      </c>
      <c r="K210" s="360">
        <f>+VLOOKUP(B210,AA_Unitarios,consolidado!$M$7,FALSE)</f>
        <v>10890.40783384375</v>
      </c>
      <c r="L210" s="361"/>
      <c r="M210" s="359">
        <f t="shared" ref="M210:M212" si="38">J210*K210</f>
        <v>11550802.164888039</v>
      </c>
      <c r="N210" s="273"/>
      <c r="O210" s="214">
        <v>10739.718453389989</v>
      </c>
      <c r="P210" s="214">
        <v>11390974.980403561</v>
      </c>
    </row>
    <row r="211" spans="1:16" ht="27" customHeight="1" outlineLevel="1" x14ac:dyDescent="0.2">
      <c r="A211" s="29" t="s">
        <v>312</v>
      </c>
      <c r="B211" s="365" t="s">
        <v>111</v>
      </c>
      <c r="C211" s="271"/>
      <c r="D211" s="271"/>
      <c r="E211" s="271"/>
      <c r="F211" s="271"/>
      <c r="G211" s="271"/>
      <c r="H211" s="273"/>
      <c r="I211" s="30" t="str">
        <f>VLOOKUP(B211,AA_Unitarios,consolidado!$H$7,FALSE)</f>
        <v>M3</v>
      </c>
      <c r="J211" s="9">
        <f>+ALMACENAMIENTO!$L$185</f>
        <v>212.12800000000004</v>
      </c>
      <c r="K211" s="360">
        <f>+VLOOKUP(B211,AA_Unitarios,consolidado!$M$7,FALSE)</f>
        <v>6384.6287895000005</v>
      </c>
      <c r="L211" s="361"/>
      <c r="M211" s="359">
        <f t="shared" ref="M211" si="39">J211*K211</f>
        <v>1354358.5358590563</v>
      </c>
      <c r="N211" s="273"/>
      <c r="O211" s="214">
        <v>7257.1004178808416</v>
      </c>
      <c r="P211" s="214">
        <v>1539434.1974442275</v>
      </c>
    </row>
    <row r="212" spans="1:16" ht="27" hidden="1" customHeight="1" outlineLevel="1" x14ac:dyDescent="0.2">
      <c r="A212" s="228" t="s">
        <v>3195</v>
      </c>
      <c r="B212" s="369" t="s">
        <v>146</v>
      </c>
      <c r="C212" s="370"/>
      <c r="D212" s="370"/>
      <c r="E212" s="370"/>
      <c r="F212" s="370"/>
      <c r="G212" s="370"/>
      <c r="H212" s="368"/>
      <c r="I212" s="246" t="str">
        <f>VLOOKUP(B212,AA_Unitarios,consolidado!$H$7,FALSE)</f>
        <v>M3</v>
      </c>
      <c r="J212" s="247">
        <f>+(J192+J193)-J198-J199-J201-J202</f>
        <v>198.32200000000009</v>
      </c>
      <c r="K212" s="367"/>
      <c r="L212" s="368"/>
      <c r="M212" s="367">
        <f t="shared" si="38"/>
        <v>0</v>
      </c>
      <c r="N212" s="368"/>
      <c r="O212" s="214">
        <v>28560.684492464399</v>
      </c>
      <c r="P212" s="214">
        <v>5664212.0699145272</v>
      </c>
    </row>
    <row r="213" spans="1:16" ht="12.75" customHeight="1" outlineLevel="1" x14ac:dyDescent="0.2">
      <c r="A213" s="31" t="s">
        <v>313</v>
      </c>
      <c r="B213" s="366" t="s">
        <v>314</v>
      </c>
      <c r="C213" s="271"/>
      <c r="D213" s="271"/>
      <c r="E213" s="271"/>
      <c r="F213" s="271"/>
      <c r="G213" s="271"/>
      <c r="H213" s="271"/>
      <c r="I213" s="271"/>
      <c r="J213" s="271"/>
      <c r="K213" s="271"/>
      <c r="L213" s="271"/>
      <c r="M213" s="271"/>
      <c r="N213" s="273"/>
      <c r="O213" s="214"/>
      <c r="P213" s="214"/>
    </row>
    <row r="214" spans="1:16" ht="27" customHeight="1" outlineLevel="1" x14ac:dyDescent="0.2">
      <c r="A214" s="29" t="s">
        <v>315</v>
      </c>
      <c r="B214" s="365" t="s">
        <v>153</v>
      </c>
      <c r="C214" s="271"/>
      <c r="D214" s="271"/>
      <c r="E214" s="271"/>
      <c r="F214" s="271"/>
      <c r="G214" s="271"/>
      <c r="H214" s="273"/>
      <c r="I214" s="30" t="str">
        <f>VLOOKUP(B214,AA_Unitarios,consolidado!$H$7,FALSE)</f>
        <v>UND</v>
      </c>
      <c r="J214" s="9">
        <f>+ALMACENAMIENTO!$L$207</f>
        <v>3</v>
      </c>
      <c r="K214" s="360">
        <f>+VLOOKUP(B214,AA_Unitarios,consolidado!$M$7,FALSE)</f>
        <v>1740807.4441766667</v>
      </c>
      <c r="L214" s="361"/>
      <c r="M214" s="359">
        <f t="shared" ref="M214:M223" si="40">J214*K214</f>
        <v>5222422.3325300002</v>
      </c>
      <c r="N214" s="273"/>
      <c r="O214" s="214">
        <v>1740771.1253818281</v>
      </c>
      <c r="P214" s="214">
        <v>5222313.3761454839</v>
      </c>
    </row>
    <row r="215" spans="1:16" ht="27" customHeight="1" outlineLevel="1" x14ac:dyDescent="0.2">
      <c r="A215" s="29" t="s">
        <v>324</v>
      </c>
      <c r="B215" s="365" t="s">
        <v>325</v>
      </c>
      <c r="C215" s="271"/>
      <c r="D215" s="271"/>
      <c r="E215" s="271"/>
      <c r="F215" s="271"/>
      <c r="G215" s="271"/>
      <c r="H215" s="273"/>
      <c r="I215" s="30" t="str">
        <f>VLOOKUP(B215,AA_Unitarios,consolidado!$H$7,FALSE)</f>
        <v>UND</v>
      </c>
      <c r="J215" s="9">
        <f>+ALMACENAMIENTO!$L$229</f>
        <v>5</v>
      </c>
      <c r="K215" s="360">
        <f>unitario!F2692</f>
        <v>537933.67813250003</v>
      </c>
      <c r="L215" s="361"/>
      <c r="M215" s="359">
        <f t="shared" si="40"/>
        <v>2689668.3906625002</v>
      </c>
      <c r="N215" s="273"/>
      <c r="O215" s="214">
        <v>526481.92787729821</v>
      </c>
      <c r="P215" s="214">
        <v>2632409.6393864909</v>
      </c>
    </row>
    <row r="216" spans="1:16" ht="27" customHeight="1" outlineLevel="1" x14ac:dyDescent="0.2">
      <c r="A216" s="29" t="s">
        <v>326</v>
      </c>
      <c r="B216" s="365" t="s">
        <v>327</v>
      </c>
      <c r="C216" s="271"/>
      <c r="D216" s="271"/>
      <c r="E216" s="271"/>
      <c r="F216" s="271"/>
      <c r="G216" s="271"/>
      <c r="H216" s="273"/>
      <c r="I216" s="30" t="str">
        <f>VLOOKUP(B216,AA_Unitarios,consolidado!$H$7,FALSE)</f>
        <v>UND</v>
      </c>
      <c r="J216" s="9">
        <f>+ALMACENAMIENTO!$L$240</f>
        <v>3</v>
      </c>
      <c r="K216" s="360">
        <f>unitario!F2734</f>
        <v>923492.94313250005</v>
      </c>
      <c r="L216" s="361"/>
      <c r="M216" s="359">
        <f t="shared" si="40"/>
        <v>2770478.8293975</v>
      </c>
      <c r="N216" s="273"/>
      <c r="O216" s="214">
        <v>909809.95213581237</v>
      </c>
      <c r="P216" s="214">
        <v>2729429.856407437</v>
      </c>
    </row>
    <row r="217" spans="1:16" ht="27" customHeight="1" outlineLevel="1" x14ac:dyDescent="0.2">
      <c r="A217" s="29" t="s">
        <v>328</v>
      </c>
      <c r="B217" s="365" t="s">
        <v>278</v>
      </c>
      <c r="C217" s="271"/>
      <c r="D217" s="271"/>
      <c r="E217" s="271"/>
      <c r="F217" s="271"/>
      <c r="G217" s="271"/>
      <c r="H217" s="273"/>
      <c r="I217" s="30" t="str">
        <f>VLOOKUP(B217,AA_Unitarios,consolidado!$H$7,FALSE)</f>
        <v>UND</v>
      </c>
      <c r="J217" s="9">
        <f>+ALMACENAMIENTO!$L$251</f>
        <v>4</v>
      </c>
      <c r="K217" s="360">
        <f>+VLOOKUP(B217,AA_Unitarios,consolidado!$M$7,FALSE)</f>
        <v>600496.15922400006</v>
      </c>
      <c r="L217" s="361"/>
      <c r="M217" s="359">
        <f t="shared" si="40"/>
        <v>2401984.6368960002</v>
      </c>
      <c r="N217" s="273"/>
      <c r="O217" s="214">
        <v>598714.99611654982</v>
      </c>
      <c r="P217" s="214">
        <v>2394859.9844661993</v>
      </c>
    </row>
    <row r="218" spans="1:16" ht="27" customHeight="1" outlineLevel="1" x14ac:dyDescent="0.2">
      <c r="A218" s="29" t="s">
        <v>329</v>
      </c>
      <c r="B218" s="365" t="s">
        <v>330</v>
      </c>
      <c r="C218" s="271"/>
      <c r="D218" s="271"/>
      <c r="E218" s="271"/>
      <c r="F218" s="271"/>
      <c r="G218" s="271"/>
      <c r="H218" s="273"/>
      <c r="I218" s="30" t="str">
        <f>VLOOKUP(B218,AA_Unitarios,consolidado!$H$7,FALSE)</f>
        <v>UND</v>
      </c>
      <c r="J218" s="9">
        <f>+ALMACENAMIENTO!$L$262</f>
        <v>2</v>
      </c>
      <c r="K218" s="360">
        <f>unitario!F5158</f>
        <v>1231462.399518</v>
      </c>
      <c r="L218" s="361"/>
      <c r="M218" s="359">
        <f t="shared" si="40"/>
        <v>2462924.7990359999</v>
      </c>
      <c r="N218" s="273"/>
      <c r="O218" s="214">
        <v>1242403.8933581766</v>
      </c>
      <c r="P218" s="214">
        <v>2484807.7867163531</v>
      </c>
    </row>
    <row r="219" spans="1:16" ht="27" customHeight="1" outlineLevel="1" x14ac:dyDescent="0.2">
      <c r="A219" s="29" t="s">
        <v>333</v>
      </c>
      <c r="B219" s="365" t="s">
        <v>279</v>
      </c>
      <c r="C219" s="271"/>
      <c r="D219" s="271"/>
      <c r="E219" s="271"/>
      <c r="F219" s="271"/>
      <c r="G219" s="271"/>
      <c r="H219" s="273"/>
      <c r="I219" s="30" t="str">
        <f>VLOOKUP(B219,AA_Unitarios,consolidado!$H$7,FALSE)</f>
        <v>UND</v>
      </c>
      <c r="J219" s="9">
        <f>+ALMACENAMIENTO!$L$273</f>
        <v>2</v>
      </c>
      <c r="K219" s="360">
        <f>+VLOOKUP(B219,AA_Unitarios,consolidado!$M$7,FALSE)</f>
        <v>642792.78230843006</v>
      </c>
      <c r="L219" s="361"/>
      <c r="M219" s="359">
        <f t="shared" si="40"/>
        <v>1285585.5646168601</v>
      </c>
      <c r="N219" s="273"/>
      <c r="O219" s="214">
        <v>975210.31406458071</v>
      </c>
      <c r="P219" s="214">
        <v>1950420.6281291614</v>
      </c>
    </row>
    <row r="220" spans="1:16" ht="27" customHeight="1" outlineLevel="1" x14ac:dyDescent="0.2">
      <c r="A220" s="29" t="s">
        <v>336</v>
      </c>
      <c r="B220" s="365" t="s">
        <v>154</v>
      </c>
      <c r="C220" s="271"/>
      <c r="D220" s="271"/>
      <c r="E220" s="271"/>
      <c r="F220" s="271"/>
      <c r="G220" s="271"/>
      <c r="H220" s="273"/>
      <c r="I220" s="30" t="str">
        <f>VLOOKUP(B220,AA_Unitarios,consolidado!$H$7,FALSE)</f>
        <v>UND</v>
      </c>
      <c r="J220" s="9">
        <f>+ALMACENAMIENTO!$L$284</f>
        <v>4</v>
      </c>
      <c r="K220" s="360">
        <f>+VLOOKUP(B220,AA_Unitarios,consolidado!$M$7,FALSE)</f>
        <v>539720.19484499993</v>
      </c>
      <c r="L220" s="361"/>
      <c r="M220" s="359">
        <f t="shared" si="40"/>
        <v>2158880.7793799997</v>
      </c>
      <c r="N220" s="273"/>
      <c r="O220" s="214">
        <v>538070.36380391754</v>
      </c>
      <c r="P220" s="214">
        <v>2152281.4552156702</v>
      </c>
    </row>
    <row r="221" spans="1:16" ht="40.5" customHeight="1" outlineLevel="1" x14ac:dyDescent="0.2">
      <c r="A221" s="29" t="s">
        <v>337</v>
      </c>
      <c r="B221" s="365" t="s">
        <v>155</v>
      </c>
      <c r="C221" s="271"/>
      <c r="D221" s="271"/>
      <c r="E221" s="271"/>
      <c r="F221" s="271"/>
      <c r="G221" s="271"/>
      <c r="H221" s="273"/>
      <c r="I221" s="30" t="str">
        <f>VLOOKUP(B221,AA_Unitarios,consolidado!$H$7,FALSE)</f>
        <v>UND</v>
      </c>
      <c r="J221" s="9">
        <f>+ALMACENAMIENTO!$L$295</f>
        <v>26</v>
      </c>
      <c r="K221" s="360">
        <f>+VLOOKUP(B221,AA_Unitarios,consolidado!$M$7,FALSE)</f>
        <v>133822.58162650003</v>
      </c>
      <c r="L221" s="361"/>
      <c r="M221" s="359">
        <f t="shared" si="40"/>
        <v>3479387.122289001</v>
      </c>
      <c r="N221" s="273"/>
      <c r="O221" s="214">
        <v>131380.40410353377</v>
      </c>
      <c r="P221" s="214">
        <v>3415890.5066918782</v>
      </c>
    </row>
    <row r="222" spans="1:16" ht="27" customHeight="1" outlineLevel="1" x14ac:dyDescent="0.2">
      <c r="A222" s="29" t="s">
        <v>340</v>
      </c>
      <c r="B222" s="365" t="s">
        <v>341</v>
      </c>
      <c r="C222" s="271"/>
      <c r="D222" s="271"/>
      <c r="E222" s="271"/>
      <c r="F222" s="271"/>
      <c r="G222" s="271"/>
      <c r="H222" s="273"/>
      <c r="I222" s="30" t="str">
        <f>VLOOKUP(B222,AA_Unitarios,consolidado!$H$7,FALSE)</f>
        <v>UND</v>
      </c>
      <c r="J222" s="9">
        <f>+ALMACENAMIENTO!$L$317</f>
        <v>2</v>
      </c>
      <c r="K222" s="360">
        <f>+VLOOKUP(B222,AA_Unitarios,consolidado!$M$7,FALSE)</f>
        <v>210561.12168974997</v>
      </c>
      <c r="L222" s="361"/>
      <c r="M222" s="359">
        <f t="shared" si="40"/>
        <v>421122.24337949994</v>
      </c>
      <c r="N222" s="273"/>
      <c r="O222" s="214">
        <v>207695.36432811795</v>
      </c>
      <c r="P222" s="214">
        <v>415390.72865623591</v>
      </c>
    </row>
    <row r="223" spans="1:16" ht="27" customHeight="1" outlineLevel="1" x14ac:dyDescent="0.2">
      <c r="A223" s="29" t="s">
        <v>346</v>
      </c>
      <c r="B223" s="365" t="s">
        <v>347</v>
      </c>
      <c r="C223" s="271"/>
      <c r="D223" s="271"/>
      <c r="E223" s="271"/>
      <c r="F223" s="271"/>
      <c r="G223" s="271"/>
      <c r="H223" s="273"/>
      <c r="I223" s="30" t="str">
        <f>VLOOKUP(B223,AA_Unitarios,consolidado!$H$7,FALSE)</f>
        <v>UND</v>
      </c>
      <c r="J223" s="9">
        <f>+ALMACENAMIENTO!$L$350</f>
        <v>6</v>
      </c>
      <c r="K223" s="360">
        <f>+VLOOKUP(B223,AA_Unitarios,consolidado!$M$7,FALSE)</f>
        <v>695651.71865800011</v>
      </c>
      <c r="L223" s="361"/>
      <c r="M223" s="359">
        <f t="shared" si="40"/>
        <v>4173910.3119480005</v>
      </c>
      <c r="N223" s="273"/>
      <c r="O223" s="214">
        <v>692190.60629814013</v>
      </c>
      <c r="P223" s="214">
        <v>4153143.6377888406</v>
      </c>
    </row>
    <row r="224" spans="1:16" ht="12.75" customHeight="1" x14ac:dyDescent="0.2">
      <c r="A224" s="34"/>
      <c r="B224" s="34"/>
      <c r="C224" s="34"/>
      <c r="D224" s="34"/>
      <c r="E224" s="32"/>
    </row>
    <row r="225" spans="1:25" ht="12.75" customHeight="1" x14ac:dyDescent="0.2">
      <c r="A225" s="34"/>
      <c r="B225" s="34"/>
      <c r="F225" s="362" t="s">
        <v>3208</v>
      </c>
      <c r="G225" s="363"/>
      <c r="H225" s="363"/>
      <c r="I225" s="363"/>
      <c r="J225" s="363"/>
      <c r="K225" s="363"/>
      <c r="L225" s="364"/>
      <c r="M225" s="374">
        <f>+SUM(M228:N260)</f>
        <v>307625906.87879515</v>
      </c>
      <c r="N225" s="273"/>
    </row>
    <row r="226" spans="1:25" ht="12.75" customHeight="1" outlineLevel="1" x14ac:dyDescent="0.2">
      <c r="A226" s="287" t="s">
        <v>143</v>
      </c>
      <c r="B226" s="271"/>
      <c r="C226" s="271"/>
      <c r="D226" s="271"/>
      <c r="E226" s="271"/>
      <c r="F226" s="271"/>
      <c r="G226" s="271"/>
      <c r="H226" s="273"/>
      <c r="I226" s="16" t="s">
        <v>144</v>
      </c>
      <c r="J226" s="16" t="s">
        <v>78</v>
      </c>
      <c r="K226" s="375" t="s">
        <v>145</v>
      </c>
      <c r="L226" s="273"/>
      <c r="M226" s="375" t="s">
        <v>80</v>
      </c>
      <c r="N226" s="273"/>
    </row>
    <row r="227" spans="1:25" ht="12.75" customHeight="1" outlineLevel="1" x14ac:dyDescent="0.2">
      <c r="A227" s="31" t="s">
        <v>281</v>
      </c>
      <c r="B227" s="371" t="s">
        <v>282</v>
      </c>
      <c r="C227" s="271"/>
      <c r="D227" s="271"/>
      <c r="E227" s="271"/>
      <c r="F227" s="271"/>
      <c r="G227" s="271"/>
      <c r="H227" s="271"/>
      <c r="I227" s="271"/>
      <c r="J227" s="271"/>
      <c r="K227" s="271"/>
      <c r="L227" s="271"/>
      <c r="M227" s="271"/>
      <c r="N227" s="273"/>
    </row>
    <row r="228" spans="1:25" ht="27" customHeight="1" outlineLevel="1" x14ac:dyDescent="0.2">
      <c r="A228" s="29" t="s">
        <v>283</v>
      </c>
      <c r="B228" s="365" t="s">
        <v>84</v>
      </c>
      <c r="C228" s="271"/>
      <c r="D228" s="271"/>
      <c r="E228" s="271"/>
      <c r="F228" s="271"/>
      <c r="G228" s="271"/>
      <c r="H228" s="273"/>
      <c r="I228" s="30" t="str">
        <f>VLOOKUP(B228,AA_Unitarios,consolidado!$H$7,FALSE)</f>
        <v>M2</v>
      </c>
      <c r="J228" s="9">
        <f>+ALMACENAMIENTO!$T$9</f>
        <v>174.47</v>
      </c>
      <c r="K228" s="360">
        <f>+VLOOKUP(B228,AA_Unitarios,consolidado!$M$7,FALSE)</f>
        <v>5395.0282271600026</v>
      </c>
      <c r="L228" s="361"/>
      <c r="M228" s="359">
        <f>J228*K228</f>
        <v>941270.57479260571</v>
      </c>
      <c r="N228" s="273"/>
      <c r="O228" s="214">
        <v>8926.592787338428</v>
      </c>
      <c r="P228" s="214">
        <v>1557422.6436069356</v>
      </c>
    </row>
    <row r="229" spans="1:25" ht="12.75" customHeight="1" outlineLevel="1" x14ac:dyDescent="0.2">
      <c r="A229" s="31" t="s">
        <v>284</v>
      </c>
      <c r="B229" s="366" t="s">
        <v>86</v>
      </c>
      <c r="C229" s="271"/>
      <c r="D229" s="271"/>
      <c r="E229" s="271"/>
      <c r="F229" s="271"/>
      <c r="G229" s="271"/>
      <c r="H229" s="271"/>
      <c r="I229" s="271"/>
      <c r="J229" s="271"/>
      <c r="K229" s="271"/>
      <c r="L229" s="271"/>
      <c r="M229" s="271"/>
      <c r="N229" s="273"/>
      <c r="O229" s="214"/>
      <c r="P229" s="214"/>
    </row>
    <row r="230" spans="1:25" ht="12.75" customHeight="1" outlineLevel="1" x14ac:dyDescent="0.2">
      <c r="A230" s="29" t="s">
        <v>245</v>
      </c>
      <c r="B230" s="365" t="s">
        <v>161</v>
      </c>
      <c r="C230" s="271"/>
      <c r="D230" s="271"/>
      <c r="E230" s="271"/>
      <c r="F230" s="271"/>
      <c r="G230" s="271"/>
      <c r="H230" s="273"/>
      <c r="I230" s="30" t="str">
        <f>VLOOKUP(B230,AA_Unitarios,consolidado!$H$7,FALSE)</f>
        <v>M3</v>
      </c>
      <c r="J230" s="9">
        <f>+ALMACENAMIENTO!$T$20</f>
        <v>53.802746694229199</v>
      </c>
      <c r="K230" s="360">
        <f>VLOOKUP(B230,AA_Unitarios,consolidado!$M$7,FALSE)</f>
        <v>68458.635200799996</v>
      </c>
      <c r="L230" s="361"/>
      <c r="M230" s="359">
        <f t="shared" ref="M230:M234" si="41">J230*K230</f>
        <v>3683262.6087412848</v>
      </c>
      <c r="N230" s="273"/>
      <c r="O230" s="214">
        <v>95202.28164154799</v>
      </c>
      <c r="P230" s="214">
        <v>5122144.2438728735</v>
      </c>
      <c r="Q230" s="1"/>
      <c r="R230" s="1"/>
      <c r="S230" s="1"/>
      <c r="T230" s="1"/>
      <c r="U230" s="1"/>
      <c r="V230" s="1"/>
      <c r="W230" s="1"/>
      <c r="X230" s="1"/>
      <c r="Y230" s="1"/>
    </row>
    <row r="231" spans="1:25" ht="27" customHeight="1" outlineLevel="1" x14ac:dyDescent="0.2">
      <c r="A231" s="235" t="s">
        <v>285</v>
      </c>
      <c r="B231" s="372" t="s">
        <v>286</v>
      </c>
      <c r="C231" s="373"/>
      <c r="D231" s="373"/>
      <c r="E231" s="373"/>
      <c r="F231" s="373"/>
      <c r="G231" s="373"/>
      <c r="H231" s="361"/>
      <c r="I231" s="236" t="str">
        <f>VLOOKUP(B231,AA_Unitarios,consolidado!$H$7,FALSE)</f>
        <v>M3</v>
      </c>
      <c r="J231" s="237">
        <f>+ALMACENAMIENTO!$T$31</f>
        <v>484.22472024806279</v>
      </c>
      <c r="K231" s="360">
        <f>+VLOOKUP(B231,AA_Unitarios,consolidado!$M$7,FALSE)</f>
        <v>19819.8</v>
      </c>
      <c r="L231" s="361"/>
      <c r="M231" s="360">
        <f t="shared" si="41"/>
        <v>9597237.1103725545</v>
      </c>
      <c r="N231" s="361"/>
      <c r="O231" s="214">
        <v>19705.10234061916</v>
      </c>
      <c r="P231" s="214">
        <v>9541697.6683457606</v>
      </c>
    </row>
    <row r="232" spans="1:25" ht="40.5" customHeight="1" outlineLevel="1" x14ac:dyDescent="0.2">
      <c r="A232" s="29" t="s">
        <v>287</v>
      </c>
      <c r="B232" s="365" t="s">
        <v>288</v>
      </c>
      <c r="C232" s="271"/>
      <c r="D232" s="271"/>
      <c r="E232" s="271"/>
      <c r="F232" s="271"/>
      <c r="G232" s="271"/>
      <c r="H232" s="271"/>
      <c r="I232" s="30" t="str">
        <f>VLOOKUP(B232,AA_Unitarios,consolidado!$H$7,FALSE)</f>
        <v>M2</v>
      </c>
      <c r="J232" s="35">
        <f>+ALMACENAMIENTO!$T$42</f>
        <v>103.61999999999999</v>
      </c>
      <c r="K232" s="360">
        <f>+VLOOKUP(B232,AA_Unitarios,consolidado!$M$7,FALSE)</f>
        <v>57484.738835333337</v>
      </c>
      <c r="L232" s="361"/>
      <c r="M232" s="359">
        <f t="shared" si="41"/>
        <v>5956568.6381172398</v>
      </c>
      <c r="N232" s="273"/>
      <c r="O232" s="214">
        <v>54928.415903670808</v>
      </c>
      <c r="P232" s="214">
        <v>5691682.455938369</v>
      </c>
    </row>
    <row r="233" spans="1:25" ht="40.5" customHeight="1" outlineLevel="1" x14ac:dyDescent="0.2">
      <c r="A233" s="29" t="s">
        <v>289</v>
      </c>
      <c r="B233" s="365" t="s">
        <v>290</v>
      </c>
      <c r="C233" s="271"/>
      <c r="D233" s="271"/>
      <c r="E233" s="271"/>
      <c r="F233" s="271"/>
      <c r="G233" s="271"/>
      <c r="H233" s="271"/>
      <c r="I233" s="30" t="str">
        <f>VLOOKUP(B233,AA_Unitarios,consolidado!$H$7,FALSE)</f>
        <v>M2</v>
      </c>
      <c r="J233" s="35">
        <f>+ALMACENAMIENTO!$T$53</f>
        <v>93.24</v>
      </c>
      <c r="K233" s="360">
        <f>+VLOOKUP(B233,AA_Unitarios,consolidado!$M$7,FALSE)</f>
        <v>72976.998044166685</v>
      </c>
      <c r="L233" s="361"/>
      <c r="M233" s="359">
        <f t="shared" si="41"/>
        <v>6804375.2976381015</v>
      </c>
      <c r="N233" s="273"/>
      <c r="O233" s="214">
        <v>69775.106694488684</v>
      </c>
      <c r="P233" s="214">
        <v>6505830.9481941247</v>
      </c>
    </row>
    <row r="234" spans="1:25" ht="54" customHeight="1" outlineLevel="1" x14ac:dyDescent="0.2">
      <c r="A234" s="29" t="s">
        <v>291</v>
      </c>
      <c r="B234" s="365" t="s">
        <v>292</v>
      </c>
      <c r="C234" s="271"/>
      <c r="D234" s="271"/>
      <c r="E234" s="271"/>
      <c r="F234" s="271"/>
      <c r="G234" s="271"/>
      <c r="H234" s="271"/>
      <c r="I234" s="30" t="str">
        <f>VLOOKUP(B234,AA_Unitarios,consolidado!$H$7,FALSE)</f>
        <v>M2</v>
      </c>
      <c r="J234" s="35">
        <f>+ALMACENAMIENTO!$T$64</f>
        <v>18.549999999999997</v>
      </c>
      <c r="K234" s="360">
        <f>+VLOOKUP(B234,AA_Unitarios,consolidado!$M$7,FALSE)</f>
        <v>437985.6027408333</v>
      </c>
      <c r="L234" s="361"/>
      <c r="M234" s="359">
        <f t="shared" si="41"/>
        <v>8124632.9308424564</v>
      </c>
      <c r="N234" s="273"/>
      <c r="O234" s="214">
        <v>433612.46593264362</v>
      </c>
      <c r="P234" s="214">
        <v>8043511.243050538</v>
      </c>
    </row>
    <row r="235" spans="1:25" ht="12.75" customHeight="1" outlineLevel="1" x14ac:dyDescent="0.2">
      <c r="A235" s="31" t="s">
        <v>293</v>
      </c>
      <c r="B235" s="371" t="s">
        <v>90</v>
      </c>
      <c r="C235" s="271"/>
      <c r="D235" s="271"/>
      <c r="E235" s="271"/>
      <c r="F235" s="271"/>
      <c r="G235" s="271"/>
      <c r="H235" s="271"/>
      <c r="I235" s="271"/>
      <c r="J235" s="271"/>
      <c r="K235" s="271"/>
      <c r="L235" s="271"/>
      <c r="M235" s="271"/>
      <c r="N235" s="273"/>
      <c r="O235" s="214"/>
      <c r="P235" s="214"/>
    </row>
    <row r="236" spans="1:25" ht="40.5" customHeight="1" outlineLevel="1" x14ac:dyDescent="0.2">
      <c r="A236" s="29" t="s">
        <v>294</v>
      </c>
      <c r="B236" s="365" t="s">
        <v>92</v>
      </c>
      <c r="C236" s="271"/>
      <c r="D236" s="271"/>
      <c r="E236" s="271"/>
      <c r="F236" s="271"/>
      <c r="G236" s="271"/>
      <c r="H236" s="273"/>
      <c r="I236" s="30" t="str">
        <f>VLOOKUP(B236,AA_Unitarios,consolidado!$H$7,FALSE)</f>
        <v>M3</v>
      </c>
      <c r="J236" s="9">
        <f>+ALMACENAMIENTO!$T$75</f>
        <v>9.6319999999999997</v>
      </c>
      <c r="K236" s="360">
        <f>+VLOOKUP(B236,AA_Unitarios,consolidado!$M$7,FALSE)</f>
        <v>229192.31748567708</v>
      </c>
      <c r="L236" s="361"/>
      <c r="M236" s="359">
        <f t="shared" ref="M236:M237" si="42">J236*K236</f>
        <v>2207580.4020220414</v>
      </c>
      <c r="N236" s="273"/>
      <c r="O236" s="214">
        <v>224323.18043617744</v>
      </c>
      <c r="P236" s="214">
        <v>2160680.873961261</v>
      </c>
    </row>
    <row r="237" spans="1:25" ht="40.5" customHeight="1" outlineLevel="1" x14ac:dyDescent="0.2">
      <c r="A237" s="29" t="s">
        <v>295</v>
      </c>
      <c r="B237" s="365" t="s">
        <v>169</v>
      </c>
      <c r="C237" s="271"/>
      <c r="D237" s="271"/>
      <c r="E237" s="271"/>
      <c r="F237" s="271"/>
      <c r="G237" s="271"/>
      <c r="H237" s="273"/>
      <c r="I237" s="30" t="str">
        <f>VLOOKUP(B237,AA_Unitarios,consolidado!$H$7,FALSE)</f>
        <v>M3</v>
      </c>
      <c r="J237" s="9">
        <f>+ALMACENAMIENTO!$T$86</f>
        <v>325.89946694229195</v>
      </c>
      <c r="K237" s="360">
        <f>+VLOOKUP(B237,AA_Unitarios,consolidado!$M$7,FALSE)</f>
        <v>26524.081196363637</v>
      </c>
      <c r="L237" s="361"/>
      <c r="M237" s="359">
        <f t="shared" si="42"/>
        <v>8644183.9230289795</v>
      </c>
      <c r="N237" s="273"/>
      <c r="O237" s="214">
        <v>27397.2054648987</v>
      </c>
      <c r="P237" s="214">
        <v>8928734.656718934</v>
      </c>
    </row>
    <row r="238" spans="1:25" ht="12.75" customHeight="1" outlineLevel="1" x14ac:dyDescent="0.2">
      <c r="A238" s="31" t="s">
        <v>297</v>
      </c>
      <c r="B238" s="366" t="s">
        <v>298</v>
      </c>
      <c r="C238" s="271"/>
      <c r="D238" s="271"/>
      <c r="E238" s="271"/>
      <c r="F238" s="271"/>
      <c r="G238" s="271"/>
      <c r="H238" s="271"/>
      <c r="I238" s="271"/>
      <c r="J238" s="271"/>
      <c r="K238" s="271"/>
      <c r="L238" s="271"/>
      <c r="M238" s="271"/>
      <c r="N238" s="273"/>
      <c r="O238" s="214"/>
      <c r="P238" s="214"/>
    </row>
    <row r="239" spans="1:25" ht="12.75" customHeight="1" outlineLevel="1" x14ac:dyDescent="0.2">
      <c r="A239" s="29" t="s">
        <v>299</v>
      </c>
      <c r="B239" s="365" t="s">
        <v>96</v>
      </c>
      <c r="C239" s="271"/>
      <c r="D239" s="271"/>
      <c r="E239" s="271"/>
      <c r="F239" s="271"/>
      <c r="G239" s="271"/>
      <c r="H239" s="273"/>
      <c r="I239" s="30" t="str">
        <f>VLOOKUP(B239,AA_Unitarios,consolidado!$H$7,FALSE)</f>
        <v>M3</v>
      </c>
      <c r="J239" s="9">
        <f>+ALMACENAMIENTO!$T$97</f>
        <v>2.6319999999999997</v>
      </c>
      <c r="K239" s="360">
        <f>+VLOOKUP(B239,AA_Unitarios,consolidado!$M$7,FALSE)</f>
        <v>805839.35208278813</v>
      </c>
      <c r="L239" s="361"/>
      <c r="M239" s="359">
        <f t="shared" ref="M239:M241" si="43">J239*K239</f>
        <v>2120969.1746818982</v>
      </c>
      <c r="N239" s="273"/>
      <c r="O239" s="214">
        <v>739822.86471154669</v>
      </c>
      <c r="P239" s="214">
        <v>1947213.7799207906</v>
      </c>
    </row>
    <row r="240" spans="1:25" ht="27" customHeight="1" outlineLevel="1" x14ac:dyDescent="0.2">
      <c r="A240" s="29" t="s">
        <v>300</v>
      </c>
      <c r="B240" s="365" t="s">
        <v>301</v>
      </c>
      <c r="C240" s="271"/>
      <c r="D240" s="271"/>
      <c r="E240" s="271"/>
      <c r="F240" s="271"/>
      <c r="G240" s="271"/>
      <c r="H240" s="273"/>
      <c r="I240" s="30" t="str">
        <f>VLOOKUP(B240,AA_Unitarios,consolidado!$H$7,FALSE)</f>
        <v>M3</v>
      </c>
      <c r="J240" s="9">
        <f>+ALMACENAMIENTO!$T$108</f>
        <v>1.5419999999999998</v>
      </c>
      <c r="K240" s="360">
        <f>+VLOOKUP(B240,AA_Unitarios,consolidado!$M$7,FALSE)</f>
        <v>805837.05099293601</v>
      </c>
      <c r="L240" s="361"/>
      <c r="M240" s="359">
        <f t="shared" si="43"/>
        <v>1242600.7326311071</v>
      </c>
      <c r="N240" s="273"/>
      <c r="O240" s="214">
        <v>739820.57577461971</v>
      </c>
      <c r="P240" s="214">
        <v>1140803.3278444635</v>
      </c>
    </row>
    <row r="241" spans="1:16" ht="12.75" customHeight="1" outlineLevel="1" x14ac:dyDescent="0.2">
      <c r="A241" s="29" t="s">
        <v>302</v>
      </c>
      <c r="B241" s="365" t="s">
        <v>98</v>
      </c>
      <c r="C241" s="271"/>
      <c r="D241" s="271"/>
      <c r="E241" s="271"/>
      <c r="F241" s="271"/>
      <c r="G241" s="271"/>
      <c r="H241" s="273"/>
      <c r="I241" s="30" t="str">
        <f>VLOOKUP(B241,AA_Unitarios,consolidado!$H$7,FALSE)</f>
        <v>M3</v>
      </c>
      <c r="J241" s="9">
        <f>+ALMACENAMIENTO!$T$119</f>
        <v>4.6259999999999994</v>
      </c>
      <c r="K241" s="360">
        <f>+VLOOKUP(B241,AA_Unitarios,consolidado!$M$7,FALSE)</f>
        <v>965054.12208278815</v>
      </c>
      <c r="L241" s="361"/>
      <c r="M241" s="359">
        <f t="shared" si="43"/>
        <v>4464340.3687549774</v>
      </c>
      <c r="N241" s="273"/>
      <c r="O241" s="214">
        <v>879153.17126285122</v>
      </c>
      <c r="P241" s="214">
        <v>4066962.5702619492</v>
      </c>
    </row>
    <row r="242" spans="1:16" ht="27" customHeight="1" outlineLevel="1" x14ac:dyDescent="0.2">
      <c r="A242" s="29" t="s">
        <v>303</v>
      </c>
      <c r="B242" s="365" t="s">
        <v>199</v>
      </c>
      <c r="C242" s="271"/>
      <c r="D242" s="271"/>
      <c r="E242" s="271"/>
      <c r="F242" s="271"/>
      <c r="G242" s="271"/>
      <c r="H242" s="273"/>
      <c r="I242" s="30" t="str">
        <f>VLOOKUP(B242,AA_Unitarios,consolidado!$H$7,FALSE)</f>
        <v>M3</v>
      </c>
      <c r="J242" s="9">
        <f>+ALMACENAMIENTO!$T$130</f>
        <v>15.567999999999998</v>
      </c>
      <c r="K242" s="360">
        <f>unitario!F6785</f>
        <v>1098216.7556217883</v>
      </c>
      <c r="L242" s="361"/>
      <c r="M242" s="359">
        <f t="shared" ref="M242:M244" si="44">+J242*K242</f>
        <v>17097038.45152</v>
      </c>
      <c r="N242" s="273"/>
      <c r="O242" s="214">
        <v>999524.71214423177</v>
      </c>
      <c r="P242" s="214">
        <v>15560600.718661398</v>
      </c>
    </row>
    <row r="243" spans="1:16" ht="27" customHeight="1" outlineLevel="1" x14ac:dyDescent="0.2">
      <c r="A243" s="29" t="s">
        <v>304</v>
      </c>
      <c r="B243" s="365" t="s">
        <v>254</v>
      </c>
      <c r="C243" s="271"/>
      <c r="D243" s="271"/>
      <c r="E243" s="271"/>
      <c r="F243" s="271"/>
      <c r="G243" s="271"/>
      <c r="H243" s="273"/>
      <c r="I243" s="30" t="str">
        <f>VLOOKUP(B243,AA_Unitarios,consolidado!$H$7,FALSE)</f>
        <v>M3</v>
      </c>
      <c r="J243" s="9">
        <f>+ALMACENAMIENTO!$T$141</f>
        <v>42.23899999999999</v>
      </c>
      <c r="K243" s="360">
        <f>unitario!F10194</f>
        <v>2355135.6887825006</v>
      </c>
      <c r="L243" s="361"/>
      <c r="M243" s="359">
        <f t="shared" si="44"/>
        <v>99478576.358484015</v>
      </c>
      <c r="N243" s="273"/>
      <c r="O243" s="214">
        <v>2385875.3464347129</v>
      </c>
      <c r="P243" s="214">
        <v>100776988.75805581</v>
      </c>
    </row>
    <row r="244" spans="1:16" ht="27" customHeight="1" outlineLevel="1" x14ac:dyDescent="0.2">
      <c r="A244" s="29" t="s">
        <v>305</v>
      </c>
      <c r="B244" s="365" t="s">
        <v>306</v>
      </c>
      <c r="C244" s="271"/>
      <c r="D244" s="271"/>
      <c r="E244" s="271"/>
      <c r="F244" s="271"/>
      <c r="G244" s="271"/>
      <c r="H244" s="273"/>
      <c r="I244" s="30" t="str">
        <f>VLOOKUP(B244,AA_Unitarios,consolidado!$H$7,FALSE)</f>
        <v>M3</v>
      </c>
      <c r="J244" s="9">
        <f>+ALMACENAMIENTO!$T$152</f>
        <v>16.864999999999998</v>
      </c>
      <c r="K244" s="360">
        <f>unitario!F6695</f>
        <v>1805925.428999844</v>
      </c>
      <c r="L244" s="361"/>
      <c r="M244" s="359">
        <f t="shared" si="44"/>
        <v>30456932.360082366</v>
      </c>
      <c r="N244" s="273"/>
      <c r="O244" s="214">
        <v>1702893.9072464928</v>
      </c>
      <c r="P244" s="214">
        <v>28719305.745712098</v>
      </c>
    </row>
    <row r="245" spans="1:16" ht="27" customHeight="1" outlineLevel="1" x14ac:dyDescent="0.2">
      <c r="A245" s="29" t="s">
        <v>307</v>
      </c>
      <c r="B245" s="365" t="s">
        <v>200</v>
      </c>
      <c r="C245" s="271"/>
      <c r="D245" s="271"/>
      <c r="E245" s="271"/>
      <c r="F245" s="271"/>
      <c r="G245" s="271"/>
      <c r="H245" s="273"/>
      <c r="I245" s="30" t="str">
        <f>VLOOKUP(B245,AA_Unitarios,consolidado!$H$7,FALSE)</f>
        <v>KG</v>
      </c>
      <c r="J245" s="9">
        <f>+ALMACENAMIENTO!$T$163</f>
        <v>6421.5680400000001</v>
      </c>
      <c r="K245" s="360">
        <f>+VLOOKUP(B245,AA_Unitarios,consolidado!$M$7,FALSE)</f>
        <v>10407.86484233889</v>
      </c>
      <c r="L245" s="361"/>
      <c r="M245" s="359">
        <f t="shared" ref="M245" si="45">J245*K245</f>
        <v>66834812.236203052</v>
      </c>
      <c r="N245" s="273"/>
      <c r="O245" s="214">
        <v>10721.855294004161</v>
      </c>
      <c r="P245" s="214">
        <v>68851123.28548193</v>
      </c>
    </row>
    <row r="246" spans="1:16" ht="12.75" customHeight="1" outlineLevel="1" x14ac:dyDescent="0.2">
      <c r="A246" s="31" t="s">
        <v>310</v>
      </c>
      <c r="B246" s="366" t="s">
        <v>107</v>
      </c>
      <c r="C246" s="271"/>
      <c r="D246" s="271"/>
      <c r="E246" s="271"/>
      <c r="F246" s="271"/>
      <c r="G246" s="271"/>
      <c r="H246" s="271"/>
      <c r="I246" s="271"/>
      <c r="J246" s="271"/>
      <c r="K246" s="271"/>
      <c r="L246" s="271"/>
      <c r="M246" s="271"/>
      <c r="N246" s="273"/>
      <c r="O246" s="214">
        <v>0</v>
      </c>
      <c r="P246" s="214">
        <v>0</v>
      </c>
    </row>
    <row r="247" spans="1:16" ht="27" customHeight="1" outlineLevel="1" x14ac:dyDescent="0.2">
      <c r="A247" s="29" t="s">
        <v>311</v>
      </c>
      <c r="B247" s="365" t="s">
        <v>109</v>
      </c>
      <c r="C247" s="271"/>
      <c r="D247" s="271"/>
      <c r="E247" s="271"/>
      <c r="F247" s="271"/>
      <c r="G247" s="271"/>
      <c r="H247" s="273"/>
      <c r="I247" s="30" t="str">
        <f>VLOOKUP(B247,AA_Unitarios,consolidado!$H$7,FALSE)</f>
        <v>M3-KM</v>
      </c>
      <c r="J247" s="9">
        <f>+J248*Indice!$L$19</f>
        <v>1060.6400000000003</v>
      </c>
      <c r="K247" s="360">
        <f>+VLOOKUP(B247,AA_Unitarios,consolidado!$M$7,FALSE)</f>
        <v>10890.40783384375</v>
      </c>
      <c r="L247" s="361"/>
      <c r="M247" s="359">
        <f t="shared" ref="M247:M249" si="46">J247*K247</f>
        <v>11550802.164888039</v>
      </c>
      <c r="N247" s="273"/>
      <c r="O247" s="214">
        <v>10739.718453389989</v>
      </c>
      <c r="P247" s="214">
        <v>11390974.980403561</v>
      </c>
    </row>
    <row r="248" spans="1:16" ht="27" customHeight="1" outlineLevel="1" x14ac:dyDescent="0.2">
      <c r="A248" s="29" t="s">
        <v>312</v>
      </c>
      <c r="B248" s="365" t="s">
        <v>111</v>
      </c>
      <c r="C248" s="271"/>
      <c r="D248" s="271"/>
      <c r="E248" s="271"/>
      <c r="F248" s="271"/>
      <c r="G248" s="271"/>
      <c r="H248" s="273"/>
      <c r="I248" s="30" t="str">
        <f>VLOOKUP(B248,AA_Unitarios,consolidado!$H$7,FALSE)</f>
        <v>M3</v>
      </c>
      <c r="J248" s="9">
        <f>+ALMACENAMIENTO!$T$185</f>
        <v>212.12800000000004</v>
      </c>
      <c r="K248" s="360">
        <f>+VLOOKUP(B248,AA_Unitarios,consolidado!$M$7,FALSE)</f>
        <v>6384.6287895000005</v>
      </c>
      <c r="L248" s="361"/>
      <c r="M248" s="359">
        <f t="shared" si="46"/>
        <v>1354358.5358590563</v>
      </c>
      <c r="N248" s="273"/>
      <c r="O248" s="214">
        <v>7257.1004178808416</v>
      </c>
      <c r="P248" s="214">
        <v>1539434.1974442275</v>
      </c>
    </row>
    <row r="249" spans="1:16" ht="27" hidden="1" customHeight="1" outlineLevel="1" x14ac:dyDescent="0.2">
      <c r="A249" s="228" t="s">
        <v>3195</v>
      </c>
      <c r="B249" s="369" t="s">
        <v>146</v>
      </c>
      <c r="C249" s="370"/>
      <c r="D249" s="370"/>
      <c r="E249" s="370"/>
      <c r="F249" s="370"/>
      <c r="G249" s="370"/>
      <c r="H249" s="368"/>
      <c r="I249" s="246" t="str">
        <f>VLOOKUP(B249,AA_Unitarios,consolidado!$H$7,FALSE)</f>
        <v>M3</v>
      </c>
      <c r="J249" s="247">
        <f>+(J230+J231)-J236-J237-J239-J240</f>
        <v>198.32200000000009</v>
      </c>
      <c r="K249" s="367"/>
      <c r="L249" s="368"/>
      <c r="M249" s="367">
        <f t="shared" si="46"/>
        <v>0</v>
      </c>
      <c r="N249" s="368"/>
      <c r="O249" s="214">
        <v>28560.684492464399</v>
      </c>
      <c r="P249" s="214">
        <v>5664212.0699145272</v>
      </c>
    </row>
    <row r="250" spans="1:16" ht="12.75" customHeight="1" outlineLevel="1" x14ac:dyDescent="0.2">
      <c r="A250" s="31" t="s">
        <v>313</v>
      </c>
      <c r="B250" s="366" t="s">
        <v>314</v>
      </c>
      <c r="C250" s="271"/>
      <c r="D250" s="271"/>
      <c r="E250" s="271"/>
      <c r="F250" s="271"/>
      <c r="G250" s="271"/>
      <c r="H250" s="271"/>
      <c r="I250" s="271"/>
      <c r="J250" s="271"/>
      <c r="K250" s="271"/>
      <c r="L250" s="271"/>
      <c r="M250" s="271"/>
      <c r="N250" s="273"/>
      <c r="O250" s="214">
        <v>0</v>
      </c>
      <c r="P250" s="214">
        <v>0</v>
      </c>
    </row>
    <row r="251" spans="1:16" ht="27" customHeight="1" outlineLevel="1" x14ac:dyDescent="0.2">
      <c r="A251" s="29" t="s">
        <v>315</v>
      </c>
      <c r="B251" s="365" t="s">
        <v>153</v>
      </c>
      <c r="C251" s="271"/>
      <c r="D251" s="271"/>
      <c r="E251" s="271"/>
      <c r="F251" s="271"/>
      <c r="G251" s="271"/>
      <c r="H251" s="273"/>
      <c r="I251" s="30" t="str">
        <f>VLOOKUP(B251,AA_Unitarios,consolidado!$H$7,FALSE)</f>
        <v>UND</v>
      </c>
      <c r="J251" s="9">
        <f>+ALMACENAMIENTO!$T$207</f>
        <v>3</v>
      </c>
      <c r="K251" s="360">
        <f>+VLOOKUP(B251,AA_Unitarios,consolidado!$M$7,FALSE)</f>
        <v>1740807.4441766667</v>
      </c>
      <c r="L251" s="361"/>
      <c r="M251" s="359">
        <f t="shared" ref="M251:M260" si="47">J251*K251</f>
        <v>5222422.3325300002</v>
      </c>
      <c r="N251" s="273"/>
      <c r="O251" s="214">
        <v>1740771.1253818281</v>
      </c>
      <c r="P251" s="214">
        <v>5222313.3761454839</v>
      </c>
    </row>
    <row r="252" spans="1:16" ht="27" customHeight="1" outlineLevel="1" x14ac:dyDescent="0.2">
      <c r="A252" s="29" t="s">
        <v>324</v>
      </c>
      <c r="B252" s="365" t="s">
        <v>325</v>
      </c>
      <c r="C252" s="271"/>
      <c r="D252" s="271"/>
      <c r="E252" s="271"/>
      <c r="F252" s="271"/>
      <c r="G252" s="271"/>
      <c r="H252" s="273"/>
      <c r="I252" s="30" t="str">
        <f>VLOOKUP(B252,AA_Unitarios,consolidado!$H$7,FALSE)</f>
        <v>UND</v>
      </c>
      <c r="J252" s="9">
        <f>+ALMACENAMIENTO!$T$229</f>
        <v>5</v>
      </c>
      <c r="K252" s="360">
        <f>unitario!F2692</f>
        <v>537933.67813250003</v>
      </c>
      <c r="L252" s="361"/>
      <c r="M252" s="359">
        <f t="shared" si="47"/>
        <v>2689668.3906625002</v>
      </c>
      <c r="N252" s="273"/>
      <c r="O252" s="214">
        <v>526481.92787729821</v>
      </c>
      <c r="P252" s="214">
        <v>2632409.6393864909</v>
      </c>
    </row>
    <row r="253" spans="1:16" ht="27" customHeight="1" outlineLevel="1" x14ac:dyDescent="0.2">
      <c r="A253" s="29" t="s">
        <v>326</v>
      </c>
      <c r="B253" s="365" t="s">
        <v>327</v>
      </c>
      <c r="C253" s="271"/>
      <c r="D253" s="271"/>
      <c r="E253" s="271"/>
      <c r="F253" s="271"/>
      <c r="G253" s="271"/>
      <c r="H253" s="273"/>
      <c r="I253" s="30" t="str">
        <f>VLOOKUP(B253,AA_Unitarios,consolidado!$H$7,FALSE)</f>
        <v>UND</v>
      </c>
      <c r="J253" s="9">
        <f>+ALMACENAMIENTO!$T$240</f>
        <v>3</v>
      </c>
      <c r="K253" s="360">
        <f>unitario!F2734</f>
        <v>923492.94313250005</v>
      </c>
      <c r="L253" s="361"/>
      <c r="M253" s="359">
        <f t="shared" si="47"/>
        <v>2770478.8293975</v>
      </c>
      <c r="N253" s="273"/>
      <c r="O253" s="214">
        <v>909809.95213581237</v>
      </c>
      <c r="P253" s="214">
        <v>2729429.856407437</v>
      </c>
    </row>
    <row r="254" spans="1:16" ht="27" customHeight="1" outlineLevel="1" x14ac:dyDescent="0.2">
      <c r="A254" s="29" t="s">
        <v>328</v>
      </c>
      <c r="B254" s="365" t="s">
        <v>278</v>
      </c>
      <c r="C254" s="271"/>
      <c r="D254" s="271"/>
      <c r="E254" s="271"/>
      <c r="F254" s="271"/>
      <c r="G254" s="271"/>
      <c r="H254" s="273"/>
      <c r="I254" s="30" t="str">
        <f>VLOOKUP(B254,AA_Unitarios,consolidado!$H$7,FALSE)</f>
        <v>UND</v>
      </c>
      <c r="J254" s="9">
        <f>+ALMACENAMIENTO!$T$251</f>
        <v>4</v>
      </c>
      <c r="K254" s="360">
        <f>+VLOOKUP(B254,AA_Unitarios,consolidado!$M$7,FALSE)</f>
        <v>600496.15922400006</v>
      </c>
      <c r="L254" s="361"/>
      <c r="M254" s="359">
        <f t="shared" si="47"/>
        <v>2401984.6368960002</v>
      </c>
      <c r="N254" s="273"/>
      <c r="O254" s="214">
        <v>598714.99611654982</v>
      </c>
      <c r="P254" s="214">
        <v>2394859.9844661993</v>
      </c>
    </row>
    <row r="255" spans="1:16" ht="27" customHeight="1" outlineLevel="1" x14ac:dyDescent="0.2">
      <c r="A255" s="29" t="s">
        <v>329</v>
      </c>
      <c r="B255" s="365" t="s">
        <v>330</v>
      </c>
      <c r="C255" s="271"/>
      <c r="D255" s="271"/>
      <c r="E255" s="271"/>
      <c r="F255" s="271"/>
      <c r="G255" s="271"/>
      <c r="H255" s="273"/>
      <c r="I255" s="30" t="str">
        <f>VLOOKUP(B255,AA_Unitarios,consolidado!$H$7,FALSE)</f>
        <v>UND</v>
      </c>
      <c r="J255" s="9">
        <f>+ALMACENAMIENTO!$T$262</f>
        <v>2</v>
      </c>
      <c r="K255" s="360">
        <f>unitario!F5158</f>
        <v>1231462.399518</v>
      </c>
      <c r="L255" s="361"/>
      <c r="M255" s="359">
        <f t="shared" si="47"/>
        <v>2462924.7990359999</v>
      </c>
      <c r="N255" s="273"/>
      <c r="O255" s="214">
        <v>1242403.8933581766</v>
      </c>
      <c r="P255" s="214">
        <v>2484807.7867163531</v>
      </c>
    </row>
    <row r="256" spans="1:16" ht="27" customHeight="1" outlineLevel="1" x14ac:dyDescent="0.2">
      <c r="A256" s="29" t="s">
        <v>333</v>
      </c>
      <c r="B256" s="365" t="s">
        <v>279</v>
      </c>
      <c r="C256" s="271"/>
      <c r="D256" s="271"/>
      <c r="E256" s="271"/>
      <c r="F256" s="271"/>
      <c r="G256" s="271"/>
      <c r="H256" s="273"/>
      <c r="I256" s="30" t="str">
        <f>VLOOKUP(B256,AA_Unitarios,consolidado!$H$7,FALSE)</f>
        <v>UND</v>
      </c>
      <c r="J256" s="9">
        <f>+ALMACENAMIENTO!$T$273</f>
        <v>2</v>
      </c>
      <c r="K256" s="360">
        <f>+VLOOKUP(B256,AA_Unitarios,consolidado!$M$7,FALSE)</f>
        <v>642792.78230843006</v>
      </c>
      <c r="L256" s="361"/>
      <c r="M256" s="359">
        <f t="shared" si="47"/>
        <v>1285585.5646168601</v>
      </c>
      <c r="N256" s="273"/>
      <c r="O256" s="214">
        <v>975210.31406458071</v>
      </c>
      <c r="P256" s="214">
        <v>1950420.6281291614</v>
      </c>
    </row>
    <row r="257" spans="1:25" ht="27" customHeight="1" outlineLevel="1" x14ac:dyDescent="0.2">
      <c r="A257" s="29" t="s">
        <v>336</v>
      </c>
      <c r="B257" s="365" t="s">
        <v>154</v>
      </c>
      <c r="C257" s="271"/>
      <c r="D257" s="271"/>
      <c r="E257" s="271"/>
      <c r="F257" s="271"/>
      <c r="G257" s="271"/>
      <c r="H257" s="273"/>
      <c r="I257" s="30" t="str">
        <f>VLOOKUP(B257,AA_Unitarios,consolidado!$H$7,FALSE)</f>
        <v>UND</v>
      </c>
      <c r="J257" s="9">
        <f>+ALMACENAMIENTO!$T$284</f>
        <v>4</v>
      </c>
      <c r="K257" s="360">
        <f>+VLOOKUP(B257,AA_Unitarios,consolidado!$M$7,FALSE)</f>
        <v>539720.19484499993</v>
      </c>
      <c r="L257" s="361"/>
      <c r="M257" s="359">
        <f t="shared" si="47"/>
        <v>2158880.7793799997</v>
      </c>
      <c r="N257" s="273"/>
      <c r="O257" s="214">
        <v>538070.36380391754</v>
      </c>
      <c r="P257" s="214">
        <v>2152281.4552156702</v>
      </c>
    </row>
    <row r="258" spans="1:25" ht="40.5" customHeight="1" outlineLevel="1" x14ac:dyDescent="0.2">
      <c r="A258" s="29" t="s">
        <v>337</v>
      </c>
      <c r="B258" s="365" t="s">
        <v>155</v>
      </c>
      <c r="C258" s="271"/>
      <c r="D258" s="271"/>
      <c r="E258" s="271"/>
      <c r="F258" s="271"/>
      <c r="G258" s="271"/>
      <c r="H258" s="273"/>
      <c r="I258" s="30" t="str">
        <f>VLOOKUP(B258,AA_Unitarios,consolidado!$H$7,FALSE)</f>
        <v>UND</v>
      </c>
      <c r="J258" s="9">
        <f>+ALMACENAMIENTO!$T$295</f>
        <v>26</v>
      </c>
      <c r="K258" s="360">
        <f>+VLOOKUP(B258,AA_Unitarios,consolidado!$M$7,FALSE)</f>
        <v>133822.58162650003</v>
      </c>
      <c r="L258" s="361"/>
      <c r="M258" s="359">
        <f t="shared" si="47"/>
        <v>3479387.122289001</v>
      </c>
      <c r="N258" s="273"/>
      <c r="O258" s="214">
        <v>131380.40410353377</v>
      </c>
      <c r="P258" s="214">
        <v>3415890.5066918782</v>
      </c>
    </row>
    <row r="259" spans="1:25" ht="27" customHeight="1" outlineLevel="1" x14ac:dyDescent="0.2">
      <c r="A259" s="29" t="s">
        <v>340</v>
      </c>
      <c r="B259" s="365" t="s">
        <v>341</v>
      </c>
      <c r="C259" s="271"/>
      <c r="D259" s="271"/>
      <c r="E259" s="271"/>
      <c r="F259" s="271"/>
      <c r="G259" s="271"/>
      <c r="H259" s="273"/>
      <c r="I259" s="30" t="str">
        <f>VLOOKUP(B259,AA_Unitarios,consolidado!$H$7,FALSE)</f>
        <v>UND</v>
      </c>
      <c r="J259" s="9">
        <f>+ALMACENAMIENTO!$T$317</f>
        <v>2</v>
      </c>
      <c r="K259" s="360">
        <f>+VLOOKUP(B259,AA_Unitarios,consolidado!$M$7,FALSE)</f>
        <v>210561.12168974997</v>
      </c>
      <c r="L259" s="361"/>
      <c r="M259" s="359">
        <f t="shared" si="47"/>
        <v>421122.24337949994</v>
      </c>
      <c r="N259" s="273"/>
      <c r="O259" s="214">
        <v>207695.36432811795</v>
      </c>
      <c r="P259" s="214">
        <v>415390.72865623591</v>
      </c>
    </row>
    <row r="260" spans="1:25" ht="27" customHeight="1" outlineLevel="1" x14ac:dyDescent="0.2">
      <c r="A260" s="29" t="s">
        <v>346</v>
      </c>
      <c r="B260" s="365" t="s">
        <v>347</v>
      </c>
      <c r="C260" s="271"/>
      <c r="D260" s="271"/>
      <c r="E260" s="271"/>
      <c r="F260" s="271"/>
      <c r="G260" s="271"/>
      <c r="H260" s="273"/>
      <c r="I260" s="30" t="str">
        <f>VLOOKUP(B260,AA_Unitarios,consolidado!$H$7,FALSE)</f>
        <v>UND</v>
      </c>
      <c r="J260" s="9">
        <f>+ALMACENAMIENTO!$T$350</f>
        <v>6</v>
      </c>
      <c r="K260" s="360">
        <f>+VLOOKUP(B260,AA_Unitarios,consolidado!$M$7,FALSE)</f>
        <v>695651.71865800011</v>
      </c>
      <c r="L260" s="361"/>
      <c r="M260" s="359">
        <f t="shared" si="47"/>
        <v>4173910.3119480005</v>
      </c>
      <c r="N260" s="273"/>
      <c r="O260" s="214">
        <v>692190.60629814013</v>
      </c>
      <c r="P260" s="214">
        <v>4153143.6377888406</v>
      </c>
    </row>
    <row r="261" spans="1:25" ht="12.75" customHeight="1" x14ac:dyDescent="0.2">
      <c r="A261" s="34"/>
      <c r="B261" s="34"/>
      <c r="C261" s="34"/>
      <c r="D261" s="34"/>
      <c r="E261" s="32"/>
    </row>
    <row r="262" spans="1:25" ht="12.75" customHeight="1" x14ac:dyDescent="0.2">
      <c r="A262" s="34"/>
      <c r="B262" s="34"/>
      <c r="F262" s="362" t="s">
        <v>3211</v>
      </c>
      <c r="G262" s="363"/>
      <c r="H262" s="363"/>
      <c r="I262" s="363"/>
      <c r="J262" s="363"/>
      <c r="K262" s="363"/>
      <c r="L262" s="364"/>
      <c r="M262" s="374">
        <f>+SUM(M265:N287)</f>
        <v>780726266.17231047</v>
      </c>
      <c r="N262" s="273"/>
    </row>
    <row r="263" spans="1:25" ht="12.75" customHeight="1" outlineLevel="1" x14ac:dyDescent="0.2">
      <c r="A263" s="287" t="s">
        <v>143</v>
      </c>
      <c r="B263" s="271"/>
      <c r="C263" s="271"/>
      <c r="D263" s="271"/>
      <c r="E263" s="271"/>
      <c r="F263" s="271"/>
      <c r="G263" s="271"/>
      <c r="H263" s="273"/>
      <c r="I263" s="16" t="s">
        <v>144</v>
      </c>
      <c r="J263" s="16" t="s">
        <v>78</v>
      </c>
      <c r="K263" s="375" t="s">
        <v>145</v>
      </c>
      <c r="L263" s="273"/>
      <c r="M263" s="375" t="s">
        <v>80</v>
      </c>
      <c r="N263" s="273"/>
    </row>
    <row r="264" spans="1:25" ht="12.75" customHeight="1" outlineLevel="1" x14ac:dyDescent="0.2">
      <c r="A264" s="33" t="s">
        <v>156</v>
      </c>
      <c r="B264" s="371" t="s">
        <v>282</v>
      </c>
      <c r="C264" s="271"/>
      <c r="D264" s="271"/>
      <c r="E264" s="271"/>
      <c r="F264" s="271"/>
      <c r="G264" s="271"/>
      <c r="H264" s="271"/>
      <c r="I264" s="271"/>
      <c r="J264" s="271"/>
      <c r="K264" s="271"/>
      <c r="L264" s="271"/>
      <c r="M264" s="271"/>
      <c r="N264" s="273"/>
    </row>
    <row r="265" spans="1:25" ht="12.75" customHeight="1" outlineLevel="1" x14ac:dyDescent="0.2">
      <c r="A265" s="29" t="s">
        <v>157</v>
      </c>
      <c r="B265" s="365" t="s">
        <v>158</v>
      </c>
      <c r="C265" s="271"/>
      <c r="D265" s="271"/>
      <c r="E265" s="271"/>
      <c r="F265" s="271"/>
      <c r="G265" s="271"/>
      <c r="H265" s="273"/>
      <c r="I265" s="30" t="str">
        <f>VLOOKUP(B265,AA_Unitarios,consolidado!$H$7,FALSE)</f>
        <v>M</v>
      </c>
      <c r="J265" s="9">
        <f>+SUM(DISTRIB!C28:C58)-DISTRIB!C28</f>
        <v>1070.3100000000002</v>
      </c>
      <c r="K265" s="360">
        <f>+VLOOKUP(B265,AA_Unitarios,consolidado!$M$7,FALSE)</f>
        <v>5461.913227160001</v>
      </c>
      <c r="L265" s="361"/>
      <c r="M265" s="359">
        <f>J265*K265</f>
        <v>5845940.3461616216</v>
      </c>
      <c r="N265" s="273"/>
      <c r="O265" s="214">
        <v>6137.022272988017</v>
      </c>
      <c r="P265" s="214">
        <v>6568516.3090018053</v>
      </c>
    </row>
    <row r="266" spans="1:25" ht="12.75" customHeight="1" outlineLevel="1" x14ac:dyDescent="0.2">
      <c r="A266" s="33" t="s">
        <v>159</v>
      </c>
      <c r="B266" s="366" t="s">
        <v>86</v>
      </c>
      <c r="C266" s="271"/>
      <c r="D266" s="271"/>
      <c r="E266" s="271"/>
      <c r="F266" s="271"/>
      <c r="G266" s="271"/>
      <c r="H266" s="271"/>
      <c r="I266" s="271"/>
      <c r="J266" s="271"/>
      <c r="K266" s="271"/>
      <c r="L266" s="271"/>
      <c r="M266" s="271"/>
      <c r="N266" s="273"/>
      <c r="O266" s="214">
        <v>0</v>
      </c>
      <c r="P266" s="214">
        <v>0</v>
      </c>
    </row>
    <row r="267" spans="1:25" ht="27" customHeight="1" outlineLevel="1" x14ac:dyDescent="0.2">
      <c r="A267" s="29" t="s">
        <v>160</v>
      </c>
      <c r="B267" s="365" t="s">
        <v>349</v>
      </c>
      <c r="C267" s="271"/>
      <c r="D267" s="271"/>
      <c r="E267" s="271"/>
      <c r="F267" s="271"/>
      <c r="G267" s="271"/>
      <c r="H267" s="273"/>
      <c r="I267" s="30" t="str">
        <f>VLOOKUP(B267,AA_Unitarios,consolidado!$H$7,FALSE)</f>
        <v>ML</v>
      </c>
      <c r="J267" s="9">
        <f>+DISTRIB!T26-DISTRIB!T28</f>
        <v>735.74</v>
      </c>
      <c r="K267" s="360">
        <f>+VLOOKUP(B267,AA_Unitarios,consolidado!$M$7,FALSE)</f>
        <v>13452.494726064277</v>
      </c>
      <c r="L267" s="361"/>
      <c r="M267" s="359">
        <f t="shared" ref="M267:M271" si="48">J267*K267</f>
        <v>9897538.4697545301</v>
      </c>
      <c r="N267" s="273"/>
      <c r="O267" s="214">
        <v>13593.286762266023</v>
      </c>
      <c r="P267" s="214">
        <v>10001124.802469604</v>
      </c>
      <c r="Q267" s="1"/>
      <c r="R267" s="1"/>
      <c r="S267" s="1"/>
      <c r="T267" s="1"/>
      <c r="U267" s="1"/>
      <c r="V267" s="1"/>
      <c r="W267" s="1"/>
      <c r="X267" s="1"/>
      <c r="Y267" s="1"/>
    </row>
    <row r="268" spans="1:25" ht="27" customHeight="1" outlineLevel="1" x14ac:dyDescent="0.2">
      <c r="A268" s="29" t="s">
        <v>162</v>
      </c>
      <c r="B268" s="376" t="s">
        <v>351</v>
      </c>
      <c r="C268" s="271"/>
      <c r="D268" s="271"/>
      <c r="E268" s="271"/>
      <c r="F268" s="271"/>
      <c r="G268" s="271"/>
      <c r="H268" s="273"/>
      <c r="I268" s="30" t="str">
        <f>VLOOKUP(B268,AA_Unitarios,consolidado!$H$7,FALSE)</f>
        <v>M3</v>
      </c>
      <c r="J268" s="9">
        <f>+DISTRIB!S26-DISTRIB!S28</f>
        <v>80.931400000000025</v>
      </c>
      <c r="K268" s="360">
        <f>+VLOOKUP(B268,AA_Unitarios,consolidado!$M$7,FALSE)</f>
        <v>207690.40168500002</v>
      </c>
      <c r="L268" s="361"/>
      <c r="M268" s="359">
        <f t="shared" si="48"/>
        <v>16808674.974929415</v>
      </c>
      <c r="N268" s="273"/>
      <c r="O268" s="214">
        <v>210723.29886275687</v>
      </c>
      <c r="P268" s="214">
        <v>17054131.589581326</v>
      </c>
      <c r="Q268" s="1"/>
      <c r="R268" s="1"/>
      <c r="S268" s="1"/>
      <c r="T268" s="1"/>
      <c r="U268" s="1"/>
      <c r="V268" s="1"/>
      <c r="W268" s="1"/>
      <c r="X268" s="1"/>
      <c r="Y268" s="1"/>
    </row>
    <row r="269" spans="1:25" ht="27" customHeight="1" outlineLevel="1" x14ac:dyDescent="0.2">
      <c r="A269" s="29" t="s">
        <v>350</v>
      </c>
      <c r="B269" s="365" t="s">
        <v>88</v>
      </c>
      <c r="C269" s="271"/>
      <c r="D269" s="271"/>
      <c r="E269" s="271"/>
      <c r="F269" s="271"/>
      <c r="G269" s="271"/>
      <c r="H269" s="273"/>
      <c r="I269" s="30" t="str">
        <f>VLOOKUP(B269,AA_Unitarios,consolidado!$H$7,FALSE)</f>
        <v>M3</v>
      </c>
      <c r="J269" s="9">
        <f>+DISTRIB!K26-DISTRIB!K28</f>
        <v>117.92703207999998</v>
      </c>
      <c r="K269" s="360">
        <f>+VLOOKUP(B269,AA_Unitarios,consolidado!$M$7,FALSE)</f>
        <v>51472.658045714285</v>
      </c>
      <c r="L269" s="361"/>
      <c r="M269" s="359">
        <f t="shared" ref="M269" si="49">J269*K269</f>
        <v>6070017.7965998175</v>
      </c>
      <c r="N269" s="273"/>
      <c r="O269" s="214">
        <v>54401.303795170286</v>
      </c>
      <c r="P269" s="214">
        <v>6415384.2978468705</v>
      </c>
    </row>
    <row r="270" spans="1:25" ht="12.75" customHeight="1" outlineLevel="1" x14ac:dyDescent="0.2">
      <c r="A270" s="29" t="s">
        <v>352</v>
      </c>
      <c r="B270" s="365" t="s">
        <v>161</v>
      </c>
      <c r="C270" s="271"/>
      <c r="D270" s="271"/>
      <c r="E270" s="271"/>
      <c r="F270" s="271"/>
      <c r="G270" s="271"/>
      <c r="H270" s="273"/>
      <c r="I270" s="30" t="str">
        <f>VLOOKUP(B270,AA_Unitarios,consolidado!$H$7,FALSE)</f>
        <v>M3</v>
      </c>
      <c r="J270" s="9">
        <f>+DISTRIB!L26-DISTRIB!L28</f>
        <v>1196.0417326000002</v>
      </c>
      <c r="K270" s="360">
        <f>+VLOOKUP(B270,AA_Unitarios,consolidado!$M$7,FALSE)</f>
        <v>68458.635200799996</v>
      </c>
      <c r="L270" s="361"/>
      <c r="M270" s="359">
        <f t="shared" si="48"/>
        <v>81879384.656996191</v>
      </c>
      <c r="N270" s="273"/>
      <c r="O270" s="214">
        <v>95202.28164154799</v>
      </c>
      <c r="P270" s="214">
        <v>113865901.88203025</v>
      </c>
    </row>
    <row r="271" spans="1:25" ht="12.75" customHeight="1" outlineLevel="1" x14ac:dyDescent="0.2">
      <c r="A271" s="29" t="s">
        <v>353</v>
      </c>
      <c r="B271" s="365" t="s">
        <v>354</v>
      </c>
      <c r="C271" s="271"/>
      <c r="D271" s="271"/>
      <c r="E271" s="271"/>
      <c r="F271" s="271"/>
      <c r="G271" s="271"/>
      <c r="H271" s="273"/>
      <c r="I271" s="30" t="str">
        <f>VLOOKUP(B271,AA_Unitarios,consolidado!$H$7,FALSE)</f>
        <v>M3</v>
      </c>
      <c r="J271" s="9">
        <f>+DISTRIB!M26-DISTRIB!M28</f>
        <v>482.88906951999996</v>
      </c>
      <c r="K271" s="360">
        <f>+VLOOKUP(B271,AA_Unitarios,consolidado!$M$7,FALSE)</f>
        <v>19819.8</v>
      </c>
      <c r="L271" s="361"/>
      <c r="M271" s="359">
        <f t="shared" si="48"/>
        <v>9570764.7800724953</v>
      </c>
      <c r="N271" s="273"/>
      <c r="O271" s="214">
        <v>19705.10234061916</v>
      </c>
      <c r="P271" s="214">
        <v>9515378.5340579599</v>
      </c>
    </row>
    <row r="272" spans="1:25" ht="12.75" customHeight="1" outlineLevel="1" x14ac:dyDescent="0.2">
      <c r="A272" s="33" t="s">
        <v>164</v>
      </c>
      <c r="B272" s="366" t="s">
        <v>90</v>
      </c>
      <c r="C272" s="271"/>
      <c r="D272" s="271"/>
      <c r="E272" s="271"/>
      <c r="F272" s="271"/>
      <c r="G272" s="271"/>
      <c r="H272" s="271"/>
      <c r="I272" s="271"/>
      <c r="J272" s="271"/>
      <c r="K272" s="271"/>
      <c r="L272" s="271"/>
      <c r="M272" s="271"/>
      <c r="N272" s="273"/>
      <c r="O272" s="214">
        <v>0</v>
      </c>
      <c r="P272" s="214">
        <v>0</v>
      </c>
    </row>
    <row r="273" spans="1:16" ht="27" customHeight="1" outlineLevel="1" x14ac:dyDescent="0.2">
      <c r="A273" s="29" t="s">
        <v>165</v>
      </c>
      <c r="B273" s="365" t="s">
        <v>166</v>
      </c>
      <c r="C273" s="271"/>
      <c r="D273" s="271"/>
      <c r="E273" s="271"/>
      <c r="F273" s="271"/>
      <c r="G273" s="271"/>
      <c r="H273" s="273"/>
      <c r="I273" s="30" t="str">
        <f>VLOOKUP(B273,AA_Unitarios,consolidado!$H$7,FALSE)</f>
        <v>M3</v>
      </c>
      <c r="J273" s="9">
        <f>+DISTRIB!N26-DISTRIB!N28</f>
        <v>235.46820000000002</v>
      </c>
      <c r="K273" s="360">
        <f>+VLOOKUP(B273,AA_Unitarios,consolidado!$M$7,FALSE)</f>
        <v>272247.47269367712</v>
      </c>
      <c r="L273" s="361"/>
      <c r="M273" s="359">
        <f t="shared" ref="M273:M277" si="50">J273*K273</f>
        <v>64105622.349729307</v>
      </c>
      <c r="N273" s="273"/>
      <c r="O273" s="214">
        <v>239728.62377963949</v>
      </c>
      <c r="P273" s="214">
        <v>56448467.529868916</v>
      </c>
    </row>
    <row r="274" spans="1:16" ht="40.5" customHeight="1" outlineLevel="1" x14ac:dyDescent="0.2">
      <c r="A274" s="29" t="s">
        <v>167</v>
      </c>
      <c r="B274" s="365" t="s">
        <v>92</v>
      </c>
      <c r="C274" s="271"/>
      <c r="D274" s="271"/>
      <c r="E274" s="271"/>
      <c r="F274" s="271"/>
      <c r="G274" s="271"/>
      <c r="H274" s="273"/>
      <c r="I274" s="30" t="str">
        <f>VLOOKUP(B274,AA_Unitarios,consolidado!$H$7,FALSE)</f>
        <v>M3</v>
      </c>
      <c r="J274" s="9">
        <f>+DISTRIB!O26-DISTRIB!O28</f>
        <v>588.67050000000017</v>
      </c>
      <c r="K274" s="360">
        <f>+VLOOKUP(B274,AA_Unitarios,consolidado!$M$7,FALSE)</f>
        <v>229192.31748567708</v>
      </c>
      <c r="L274" s="361"/>
      <c r="M274" s="359">
        <f t="shared" si="50"/>
        <v>134918756.13045231</v>
      </c>
      <c r="N274" s="273"/>
      <c r="O274" s="214">
        <v>224323.18043617744</v>
      </c>
      <c r="P274" s="214">
        <v>132052438.78895482</v>
      </c>
    </row>
    <row r="275" spans="1:16" ht="40.5" customHeight="1" outlineLevel="1" x14ac:dyDescent="0.2">
      <c r="A275" s="29" t="s">
        <v>168</v>
      </c>
      <c r="B275" s="365" t="s">
        <v>169</v>
      </c>
      <c r="C275" s="271"/>
      <c r="D275" s="271"/>
      <c r="E275" s="271"/>
      <c r="F275" s="271"/>
      <c r="G275" s="271"/>
      <c r="H275" s="273"/>
      <c r="I275" s="30" t="str">
        <f>VLOOKUP(B275,AA_Unitarios,consolidado!$H$7,FALSE)</f>
        <v>M3</v>
      </c>
      <c r="J275" s="9">
        <f>+DISTRIB!R26-DISTRIB!R28</f>
        <v>244.25018419999992</v>
      </c>
      <c r="K275" s="360">
        <f>+VLOOKUP(B275,AA_Unitarios,consolidado!$M$7,FALSE)</f>
        <v>26524.081196363637</v>
      </c>
      <c r="L275" s="361"/>
      <c r="M275" s="359">
        <f t="shared" si="50"/>
        <v>6478511.7179475725</v>
      </c>
      <c r="N275" s="273"/>
      <c r="O275" s="214">
        <v>27397.2054648987</v>
      </c>
      <c r="P275" s="214">
        <v>6691772.4813667517</v>
      </c>
    </row>
    <row r="276" spans="1:16" ht="27" customHeight="1" outlineLevel="1" x14ac:dyDescent="0.2">
      <c r="A276" s="29" t="s">
        <v>355</v>
      </c>
      <c r="B276" s="365" t="s">
        <v>356</v>
      </c>
      <c r="C276" s="271"/>
      <c r="D276" s="271"/>
      <c r="E276" s="271"/>
      <c r="F276" s="271"/>
      <c r="G276" s="271"/>
      <c r="H276" s="273"/>
      <c r="I276" s="30" t="str">
        <f>VLOOKUP(B276,AA_Unitarios,consolidado!$H$7,FALSE)</f>
        <v>M3</v>
      </c>
      <c r="J276" s="9">
        <f>+DISTRIB!Q26-DISTRIB!Q28</f>
        <v>294.33525000000003</v>
      </c>
      <c r="K276" s="360">
        <f>+VLOOKUP(B276,AA_Unitarios,consolidado!$M$7,FALSE)</f>
        <v>330421.97545884375</v>
      </c>
      <c r="L276" s="361"/>
      <c r="M276" s="359">
        <f t="shared" si="50"/>
        <v>97254834.752172649</v>
      </c>
      <c r="N276" s="273"/>
      <c r="O276" s="214">
        <v>304046.55460740568</v>
      </c>
      <c r="P276" s="214">
        <v>89491618.662009418</v>
      </c>
    </row>
    <row r="277" spans="1:16" ht="27" customHeight="1" outlineLevel="1" x14ac:dyDescent="0.2">
      <c r="A277" s="29" t="s">
        <v>357</v>
      </c>
      <c r="B277" s="365" t="s">
        <v>358</v>
      </c>
      <c r="C277" s="271"/>
      <c r="D277" s="271"/>
      <c r="E277" s="271"/>
      <c r="F277" s="271"/>
      <c r="G277" s="271"/>
      <c r="H277" s="273"/>
      <c r="I277" s="30" t="str">
        <f>VLOOKUP(B277,AA_Unitarios,consolidado!$H$7,FALSE)</f>
        <v>M3</v>
      </c>
      <c r="J277" s="9">
        <f>+DISTRIB!P26-DISTRIB!P28</f>
        <v>353.20230000000009</v>
      </c>
      <c r="K277" s="360">
        <f>+VLOOKUP(B277,AA_Unitarios,consolidado!$M$7,FALSE)</f>
        <v>350482.27545884374</v>
      </c>
      <c r="L277" s="361"/>
      <c r="M277" s="359">
        <f t="shared" si="50"/>
        <v>123791145.8012972</v>
      </c>
      <c r="N277" s="273"/>
      <c r="O277" s="214">
        <v>323888.01972005994</v>
      </c>
      <c r="P277" s="214">
        <v>114397993.50757055</v>
      </c>
    </row>
    <row r="278" spans="1:16" ht="12.75" customHeight="1" outlineLevel="1" x14ac:dyDescent="0.2">
      <c r="A278" s="33" t="s">
        <v>170</v>
      </c>
      <c r="B278" s="366" t="s">
        <v>94</v>
      </c>
      <c r="C278" s="271"/>
      <c r="D278" s="271"/>
      <c r="E278" s="271"/>
      <c r="F278" s="271"/>
      <c r="G278" s="271"/>
      <c r="H278" s="271"/>
      <c r="I278" s="271"/>
      <c r="J278" s="271"/>
      <c r="K278" s="271"/>
      <c r="L278" s="271"/>
      <c r="M278" s="271"/>
      <c r="N278" s="273"/>
      <c r="O278" s="214">
        <v>0</v>
      </c>
      <c r="P278" s="214">
        <v>0</v>
      </c>
    </row>
    <row r="279" spans="1:16" ht="40.5" customHeight="1" outlineLevel="1" x14ac:dyDescent="0.2">
      <c r="A279" s="29" t="s">
        <v>171</v>
      </c>
      <c r="B279" s="365" t="s">
        <v>361</v>
      </c>
      <c r="C279" s="271"/>
      <c r="D279" s="271"/>
      <c r="E279" s="271"/>
      <c r="F279" s="271"/>
      <c r="G279" s="271"/>
      <c r="H279" s="271"/>
      <c r="I279" s="30" t="str">
        <f>VLOOKUP(B279,AA_Unitarios,consolidado!$H$7,FALSE)</f>
        <v>M2</v>
      </c>
      <c r="J279" s="9">
        <f>+DISTRIB!V26/Indice!$G$22</f>
        <v>404.6570000000001</v>
      </c>
      <c r="K279" s="360">
        <f>+VLOOKUP(B279,AA_Unitarios,consolidado!$M$7,FALSE)</f>
        <v>159736.9698932271</v>
      </c>
      <c r="L279" s="361"/>
      <c r="M279" s="359">
        <f t="shared" ref="M279" si="51">J279*K279</f>
        <v>64638683.026083611</v>
      </c>
      <c r="N279" s="273"/>
      <c r="O279" s="214">
        <v>157974.38185810437</v>
      </c>
      <c r="P279" s="214">
        <v>63925439.43955496</v>
      </c>
    </row>
    <row r="280" spans="1:16" ht="12.75" customHeight="1" outlineLevel="1" x14ac:dyDescent="0.2">
      <c r="A280" s="31" t="s">
        <v>174</v>
      </c>
      <c r="B280" s="366" t="s">
        <v>362</v>
      </c>
      <c r="C280" s="271"/>
      <c r="D280" s="271"/>
      <c r="E280" s="271"/>
      <c r="F280" s="271"/>
      <c r="G280" s="271"/>
      <c r="H280" s="271"/>
      <c r="I280" s="271"/>
      <c r="J280" s="271"/>
      <c r="K280" s="271"/>
      <c r="L280" s="271"/>
      <c r="M280" s="271"/>
      <c r="N280" s="273"/>
      <c r="O280" s="214">
        <v>0</v>
      </c>
      <c r="P280" s="214">
        <v>0</v>
      </c>
    </row>
    <row r="281" spans="1:16" ht="54" customHeight="1" outlineLevel="1" x14ac:dyDescent="0.2">
      <c r="A281" s="253" t="s">
        <v>175</v>
      </c>
      <c r="B281" s="378" t="s">
        <v>363</v>
      </c>
      <c r="C281" s="271"/>
      <c r="D281" s="271"/>
      <c r="E281" s="271"/>
      <c r="F281" s="271"/>
      <c r="G281" s="271"/>
      <c r="H281" s="273"/>
      <c r="I281" s="30" t="str">
        <f>VLOOKUP(B281,AA_Unitarios,consolidado!$H$7,FALSE)</f>
        <v>UND</v>
      </c>
      <c r="J281" s="9">
        <f>+'MICRO Y MACRO'!$C$10</f>
        <v>3</v>
      </c>
      <c r="K281" s="360">
        <f>+VLOOKUP(B281,AA_Unitarios,consolidado!$M$7,FALSE)</f>
        <v>18744228.0246078</v>
      </c>
      <c r="L281" s="361"/>
      <c r="M281" s="359">
        <f t="shared" ref="M281:M285" si="52">J281*K281</f>
        <v>56232684.0738234</v>
      </c>
      <c r="N281" s="273"/>
      <c r="O281" s="214">
        <v>42299784.84837734</v>
      </c>
      <c r="P281" s="214">
        <v>126899354.54513201</v>
      </c>
    </row>
    <row r="282" spans="1:16" ht="40.5" customHeight="1" outlineLevel="1" x14ac:dyDescent="0.2">
      <c r="A282" s="29" t="s">
        <v>176</v>
      </c>
      <c r="B282" s="365" t="s">
        <v>367</v>
      </c>
      <c r="C282" s="271"/>
      <c r="D282" s="271"/>
      <c r="E282" s="271"/>
      <c r="F282" s="271"/>
      <c r="G282" s="271"/>
      <c r="H282" s="273"/>
      <c r="I282" s="30" t="str">
        <f>VLOOKUP(B282,AA_Unitarios,consolidado!$H$7,FALSE)</f>
        <v>UND</v>
      </c>
      <c r="J282" s="9">
        <f>+'MICRO Y MACRO'!$C$13</f>
        <v>3</v>
      </c>
      <c r="K282" s="360">
        <f>+VLOOKUP(B282,AA_Unitarios,consolidado!$M$7,FALSE)</f>
        <v>2662634.9767080643</v>
      </c>
      <c r="L282" s="361"/>
      <c r="M282" s="359">
        <f t="shared" si="52"/>
        <v>7987904.9301241934</v>
      </c>
      <c r="N282" s="273"/>
      <c r="O282" s="214">
        <v>3246856.4359935098</v>
      </c>
      <c r="P282" s="214">
        <v>9740569.30798053</v>
      </c>
    </row>
    <row r="283" spans="1:16" ht="27" customHeight="1" outlineLevel="1" x14ac:dyDescent="0.2">
      <c r="A283" s="29" t="s">
        <v>364</v>
      </c>
      <c r="B283" s="365" t="s">
        <v>373</v>
      </c>
      <c r="C283" s="271"/>
      <c r="D283" s="271"/>
      <c r="E283" s="271"/>
      <c r="F283" s="271"/>
      <c r="G283" s="271"/>
      <c r="H283" s="273"/>
      <c r="I283" s="30" t="str">
        <f>VLOOKUP(B283,AA_Unitarios,consolidado!$H$7,FALSE)</f>
        <v>UND</v>
      </c>
      <c r="J283" s="9">
        <f>+'MICRO Y MACRO'!C16</f>
        <v>7</v>
      </c>
      <c r="K283" s="360">
        <f>+VLOOKUP(B283,AA_Unitarios,consolidado!$M$7,FALSE)</f>
        <v>402125.61662650009</v>
      </c>
      <c r="L283" s="361"/>
      <c r="M283" s="359">
        <f t="shared" si="52"/>
        <v>2814879.3163855006</v>
      </c>
      <c r="N283" s="273"/>
      <c r="O283" s="214">
        <v>333449.13676560763</v>
      </c>
      <c r="P283" s="214">
        <v>2334143.9573592534</v>
      </c>
    </row>
    <row r="284" spans="1:16" ht="27" customHeight="1" outlineLevel="1" x14ac:dyDescent="0.2">
      <c r="A284" s="29" t="s">
        <v>366</v>
      </c>
      <c r="B284" s="365" t="s">
        <v>370</v>
      </c>
      <c r="C284" s="271"/>
      <c r="D284" s="271"/>
      <c r="E284" s="271"/>
      <c r="F284" s="271"/>
      <c r="G284" s="271"/>
      <c r="H284" s="273"/>
      <c r="I284" s="30" t="str">
        <f>VLOOKUP(B284,AA_Unitarios,consolidado!$H$7,FALSE)</f>
        <v>UND</v>
      </c>
      <c r="J284" s="9">
        <f>+'MICRO Y MACRO'!$C$22</f>
        <v>4</v>
      </c>
      <c r="K284" s="360">
        <f>+VLOOKUP(B284,AA_Unitarios,consolidado!$M$7,FALSE)</f>
        <v>269720.61662649998</v>
      </c>
      <c r="L284" s="361"/>
      <c r="M284" s="377">
        <f t="shared" si="52"/>
        <v>1078882.4665059999</v>
      </c>
      <c r="N284" s="273"/>
      <c r="O284" s="214">
        <v>227595.28121682705</v>
      </c>
      <c r="P284" s="214">
        <v>910381.12486730819</v>
      </c>
    </row>
    <row r="285" spans="1:16" ht="27" customHeight="1" outlineLevel="1" x14ac:dyDescent="0.2">
      <c r="A285" s="29" t="s">
        <v>368</v>
      </c>
      <c r="B285" s="365" t="s">
        <v>372</v>
      </c>
      <c r="C285" s="271"/>
      <c r="D285" s="271"/>
      <c r="E285" s="271"/>
      <c r="F285" s="271"/>
      <c r="G285" s="271"/>
      <c r="H285" s="273"/>
      <c r="I285" s="30" t="str">
        <f>VLOOKUP(B285,AA_Unitarios,consolidado!$H$7,FALSE)</f>
        <v>UND</v>
      </c>
      <c r="J285" s="9">
        <f>+'MICRO Y MACRO'!$C$28</f>
        <v>5</v>
      </c>
      <c r="K285" s="360">
        <f>+VLOOKUP(B285,AA_Unitarios,consolidado!$M$7,FALSE)</f>
        <v>302480.61662649998</v>
      </c>
      <c r="L285" s="361"/>
      <c r="M285" s="359">
        <f t="shared" si="52"/>
        <v>1512403.0831324998</v>
      </c>
      <c r="N285" s="273"/>
      <c r="O285" s="214">
        <v>237094.98620197401</v>
      </c>
      <c r="P285" s="214">
        <v>1185474.93100987</v>
      </c>
    </row>
    <row r="286" spans="1:16" ht="12.75" customHeight="1" outlineLevel="1" x14ac:dyDescent="0.2">
      <c r="A286" s="33" t="s">
        <v>177</v>
      </c>
      <c r="B286" s="366" t="s">
        <v>184</v>
      </c>
      <c r="C286" s="271"/>
      <c r="D286" s="271"/>
      <c r="E286" s="271"/>
      <c r="F286" s="271"/>
      <c r="G286" s="271"/>
      <c r="H286" s="271"/>
      <c r="I286" s="271"/>
      <c r="J286" s="271"/>
      <c r="K286" s="271"/>
      <c r="L286" s="271"/>
      <c r="M286" s="271"/>
      <c r="N286" s="273"/>
      <c r="O286" s="214">
        <v>0</v>
      </c>
      <c r="P286" s="214">
        <v>0</v>
      </c>
    </row>
    <row r="287" spans="1:16" ht="12.75" customHeight="1" outlineLevel="1" x14ac:dyDescent="0.2">
      <c r="A287" s="29" t="s">
        <v>178</v>
      </c>
      <c r="B287" s="365" t="s">
        <v>3187</v>
      </c>
      <c r="C287" s="271"/>
      <c r="D287" s="271"/>
      <c r="E287" s="271"/>
      <c r="F287" s="271"/>
      <c r="G287" s="271"/>
      <c r="H287" s="273"/>
      <c r="I287" s="30" t="str">
        <f>VLOOKUP(B287,AA_Unitarios,consolidado!$H$7,FALSE)</f>
        <v>ML</v>
      </c>
      <c r="J287" s="9">
        <f>+SUM(DISTRIB!C30:C58)</f>
        <v>1070.3100000000002</v>
      </c>
      <c r="K287" s="360">
        <f>+VLOOKUP(B287,AA_Unitarios,consolidado!$M$7,FALSE)</f>
        <v>83937.959563250013</v>
      </c>
      <c r="L287" s="361"/>
      <c r="M287" s="359">
        <f t="shared" ref="M287" si="53">J287*K287</f>
        <v>89839637.500142142</v>
      </c>
      <c r="N287" s="273"/>
      <c r="O287" s="214">
        <v>84205.041754146558</v>
      </c>
      <c r="P287" s="214">
        <v>90125498.239880621</v>
      </c>
    </row>
    <row r="288" spans="1:16" ht="12.75" customHeight="1" x14ac:dyDescent="0.2">
      <c r="A288" s="32"/>
      <c r="B288" s="32"/>
      <c r="C288" s="32"/>
      <c r="D288" s="32"/>
      <c r="E288" s="32"/>
      <c r="F288" s="32"/>
      <c r="G288" s="32"/>
      <c r="H288" s="32"/>
      <c r="I288" s="32"/>
      <c r="J288" s="32"/>
      <c r="K288" s="32"/>
      <c r="L288" s="32"/>
      <c r="M288" s="32"/>
      <c r="N288" s="32"/>
    </row>
    <row r="289" spans="1:16" ht="12.75" customHeight="1" x14ac:dyDescent="0.2">
      <c r="A289" s="34"/>
      <c r="B289" s="34"/>
      <c r="F289" s="362" t="s">
        <v>3209</v>
      </c>
      <c r="G289" s="363"/>
      <c r="H289" s="363"/>
      <c r="I289" s="363"/>
      <c r="J289" s="363"/>
      <c r="K289" s="363"/>
      <c r="L289" s="364"/>
      <c r="M289" s="374">
        <f>+SUM(M292:N307)</f>
        <v>177261170.52165627</v>
      </c>
      <c r="N289" s="273"/>
    </row>
    <row r="290" spans="1:16" ht="12.75" customHeight="1" outlineLevel="1" x14ac:dyDescent="0.2">
      <c r="A290" s="287" t="s">
        <v>143</v>
      </c>
      <c r="B290" s="271"/>
      <c r="C290" s="271"/>
      <c r="D290" s="271"/>
      <c r="E290" s="271"/>
      <c r="F290" s="271"/>
      <c r="G290" s="271"/>
      <c r="H290" s="273"/>
      <c r="I290" s="16" t="s">
        <v>144</v>
      </c>
      <c r="J290" s="16" t="s">
        <v>78</v>
      </c>
      <c r="K290" s="375" t="s">
        <v>145</v>
      </c>
      <c r="L290" s="273"/>
      <c r="M290" s="375" t="s">
        <v>80</v>
      </c>
      <c r="N290" s="273"/>
    </row>
    <row r="291" spans="1:16" ht="12.75" customHeight="1" outlineLevel="1" x14ac:dyDescent="0.2">
      <c r="A291" s="33" t="s">
        <v>156</v>
      </c>
      <c r="B291" s="371" t="s">
        <v>282</v>
      </c>
      <c r="C291" s="271"/>
      <c r="D291" s="271"/>
      <c r="E291" s="271"/>
      <c r="F291" s="271"/>
      <c r="G291" s="271"/>
      <c r="H291" s="271"/>
      <c r="I291" s="271"/>
      <c r="J291" s="271"/>
      <c r="K291" s="271"/>
      <c r="L291" s="271"/>
      <c r="M291" s="271"/>
      <c r="N291" s="273"/>
    </row>
    <row r="292" spans="1:16" ht="12.75" customHeight="1" outlineLevel="1" x14ac:dyDescent="0.2">
      <c r="A292" s="29" t="s">
        <v>157</v>
      </c>
      <c r="B292" s="365" t="s">
        <v>158</v>
      </c>
      <c r="C292" s="271"/>
      <c r="D292" s="271"/>
      <c r="E292" s="271"/>
      <c r="F292" s="271"/>
      <c r="G292" s="271"/>
      <c r="H292" s="273"/>
      <c r="I292" s="30" t="str">
        <f>VLOOKUP(B292,AA_Unitarios,consolidado!$H$7,FALSE)</f>
        <v>M</v>
      </c>
      <c r="J292" s="9">
        <f>+DISTRIB!C28</f>
        <v>400</v>
      </c>
      <c r="K292" s="360">
        <f>+VLOOKUP(B292,AA_Unitarios,consolidado!$M$7,FALSE)</f>
        <v>5461.913227160001</v>
      </c>
      <c r="L292" s="361"/>
      <c r="M292" s="359">
        <f>J292*K292</f>
        <v>2184765.2908640006</v>
      </c>
      <c r="N292" s="273"/>
      <c r="O292" s="214">
        <v>6137.022272988017</v>
      </c>
      <c r="P292" s="214">
        <v>2454808.9091952066</v>
      </c>
    </row>
    <row r="293" spans="1:16" ht="12.75" customHeight="1" outlineLevel="1" x14ac:dyDescent="0.2">
      <c r="A293" s="33" t="s">
        <v>159</v>
      </c>
      <c r="B293" s="366" t="s">
        <v>86</v>
      </c>
      <c r="C293" s="271"/>
      <c r="D293" s="271"/>
      <c r="E293" s="271"/>
      <c r="F293" s="271"/>
      <c r="G293" s="271"/>
      <c r="H293" s="271"/>
      <c r="I293" s="271"/>
      <c r="J293" s="271"/>
      <c r="K293" s="271"/>
      <c r="L293" s="271"/>
      <c r="M293" s="271"/>
      <c r="N293" s="273"/>
      <c r="O293" s="214">
        <v>0</v>
      </c>
      <c r="P293" s="214">
        <v>0</v>
      </c>
    </row>
    <row r="294" spans="1:16" ht="27" customHeight="1" outlineLevel="1" x14ac:dyDescent="0.2">
      <c r="A294" s="29" t="s">
        <v>160</v>
      </c>
      <c r="B294" s="365" t="s">
        <v>88</v>
      </c>
      <c r="C294" s="271"/>
      <c r="D294" s="271"/>
      <c r="E294" s="271"/>
      <c r="F294" s="271"/>
      <c r="G294" s="271"/>
      <c r="H294" s="273"/>
      <c r="I294" s="30" t="str">
        <f>VLOOKUP(B294,AA_Unitarios,consolidado!$H$7,FALSE)</f>
        <v>M3</v>
      </c>
      <c r="J294" s="9">
        <f>+DISTRIB!K28</f>
        <v>64.358800000000002</v>
      </c>
      <c r="K294" s="360">
        <f>+VLOOKUP(B294,AA_Unitarios,consolidado!$M$7,FALSE)</f>
        <v>51472.658045714285</v>
      </c>
      <c r="L294" s="361"/>
      <c r="M294" s="359">
        <f t="shared" ref="M294" si="54">J294*K294</f>
        <v>3312718.5046325168</v>
      </c>
      <c r="N294" s="273"/>
      <c r="O294" s="214">
        <v>54401.303795170286</v>
      </c>
      <c r="P294" s="214">
        <v>3501202.6306926054</v>
      </c>
    </row>
    <row r="295" spans="1:16" ht="12.75" customHeight="1" outlineLevel="1" x14ac:dyDescent="0.2">
      <c r="A295" s="29" t="s">
        <v>162</v>
      </c>
      <c r="B295" s="365" t="s">
        <v>161</v>
      </c>
      <c r="C295" s="271"/>
      <c r="D295" s="271"/>
      <c r="E295" s="271"/>
      <c r="F295" s="271"/>
      <c r="G295" s="271"/>
      <c r="H295" s="273"/>
      <c r="I295" s="30" t="str">
        <f>VLOOKUP(B295,AA_Unitarios,consolidado!$H$7,FALSE)</f>
        <v>M3</v>
      </c>
      <c r="J295" s="9">
        <f>+DISTRIB!L28</f>
        <v>450.51159999999993</v>
      </c>
      <c r="K295" s="360">
        <f>+VLOOKUP(B295,AA_Unitarios,consolidado!$M$7,FALSE)</f>
        <v>68458.635200799996</v>
      </c>
      <c r="L295" s="361"/>
      <c r="M295" s="359">
        <f t="shared" ref="M295:M296" si="55">J295*K295</f>
        <v>30841409.278128721</v>
      </c>
      <c r="N295" s="273"/>
      <c r="O295" s="214">
        <v>95202.28164154799</v>
      </c>
      <c r="P295" s="214">
        <v>42889732.225984402</v>
      </c>
    </row>
    <row r="296" spans="1:16" ht="12.75" customHeight="1" outlineLevel="1" x14ac:dyDescent="0.2">
      <c r="A296" s="29" t="s">
        <v>350</v>
      </c>
      <c r="B296" s="365" t="s">
        <v>354</v>
      </c>
      <c r="C296" s="271"/>
      <c r="D296" s="271"/>
      <c r="E296" s="271"/>
      <c r="F296" s="271"/>
      <c r="G296" s="271"/>
      <c r="H296" s="273"/>
      <c r="I296" s="30" t="str">
        <f>VLOOKUP(B296,AA_Unitarios,consolidado!$H$7,FALSE)</f>
        <v>M3</v>
      </c>
      <c r="J296" s="9">
        <f>+DISTRIB!M28</f>
        <v>128.7176</v>
      </c>
      <c r="K296" s="360">
        <f>+VLOOKUP(B296,AA_Unitarios,consolidado!$M$7,FALSE)</f>
        <v>19819.8</v>
      </c>
      <c r="L296" s="361"/>
      <c r="M296" s="359">
        <f t="shared" si="55"/>
        <v>2551157.0884799999</v>
      </c>
      <c r="N296" s="273"/>
      <c r="O296" s="214">
        <v>19705.10234061916</v>
      </c>
      <c r="P296" s="214">
        <v>2536393.481038881</v>
      </c>
    </row>
    <row r="297" spans="1:16" ht="12.75" customHeight="1" outlineLevel="1" x14ac:dyDescent="0.2">
      <c r="A297" s="33" t="s">
        <v>164</v>
      </c>
      <c r="B297" s="366" t="s">
        <v>90</v>
      </c>
      <c r="C297" s="271"/>
      <c r="D297" s="271"/>
      <c r="E297" s="271"/>
      <c r="F297" s="271"/>
      <c r="G297" s="271"/>
      <c r="H297" s="271"/>
      <c r="I297" s="271"/>
      <c r="J297" s="271"/>
      <c r="K297" s="271"/>
      <c r="L297" s="271"/>
      <c r="M297" s="271"/>
      <c r="N297" s="273"/>
      <c r="O297" s="214">
        <v>0</v>
      </c>
      <c r="P297" s="214">
        <v>0</v>
      </c>
    </row>
    <row r="298" spans="1:16" ht="27" customHeight="1" outlineLevel="1" x14ac:dyDescent="0.2">
      <c r="A298" s="29" t="s">
        <v>165</v>
      </c>
      <c r="B298" s="365" t="s">
        <v>166</v>
      </c>
      <c r="C298" s="271"/>
      <c r="D298" s="271"/>
      <c r="E298" s="271"/>
      <c r="F298" s="271"/>
      <c r="G298" s="271"/>
      <c r="H298" s="273"/>
      <c r="I298" s="30" t="str">
        <f>VLOOKUP(B298,AA_Unitarios,consolidado!$H$7,FALSE)</f>
        <v>M3</v>
      </c>
      <c r="J298" s="9">
        <f>+DISTRIB!N28</f>
        <v>88.000000000000014</v>
      </c>
      <c r="K298" s="360">
        <f>+VLOOKUP(B298,AA_Unitarios,consolidado!$M$7,FALSE)</f>
        <v>272247.47269367712</v>
      </c>
      <c r="L298" s="361"/>
      <c r="M298" s="359">
        <f t="shared" ref="M298:M300" si="56">J298*K298</f>
        <v>23957777.597043589</v>
      </c>
      <c r="N298" s="273"/>
      <c r="O298" s="214">
        <v>239728.62377963949</v>
      </c>
      <c r="P298" s="214">
        <v>21096118.892608277</v>
      </c>
    </row>
    <row r="299" spans="1:16" ht="40.5" customHeight="1" outlineLevel="1" x14ac:dyDescent="0.2">
      <c r="A299" s="29" t="s">
        <v>167</v>
      </c>
      <c r="B299" s="365" t="s">
        <v>92</v>
      </c>
      <c r="C299" s="271"/>
      <c r="D299" s="271"/>
      <c r="E299" s="271"/>
      <c r="F299" s="271"/>
      <c r="G299" s="271"/>
      <c r="H299" s="273"/>
      <c r="I299" s="30" t="str">
        <f>VLOOKUP(B299,AA_Unitarios,consolidado!$H$7,FALSE)</f>
        <v>M3</v>
      </c>
      <c r="J299" s="9">
        <f>+DISTRIB!O28</f>
        <v>220.00000000000003</v>
      </c>
      <c r="K299" s="360">
        <f>+VLOOKUP(B299,AA_Unitarios,consolidado!$M$7,FALSE)</f>
        <v>229192.31748567708</v>
      </c>
      <c r="L299" s="361"/>
      <c r="M299" s="359">
        <f t="shared" si="56"/>
        <v>50422309.846848965</v>
      </c>
      <c r="N299" s="273"/>
      <c r="O299" s="214">
        <v>224323.18043617744</v>
      </c>
      <c r="P299" s="214">
        <v>49351099.695959046</v>
      </c>
    </row>
    <row r="300" spans="1:16" ht="40.5" customHeight="1" outlineLevel="1" x14ac:dyDescent="0.2">
      <c r="A300" s="29" t="s">
        <v>168</v>
      </c>
      <c r="B300" s="365" t="s">
        <v>169</v>
      </c>
      <c r="C300" s="271"/>
      <c r="D300" s="271"/>
      <c r="E300" s="271"/>
      <c r="F300" s="271"/>
      <c r="G300" s="271"/>
      <c r="H300" s="273"/>
      <c r="I300" s="30" t="str">
        <f>VLOOKUP(B300,AA_Unitarios,consolidado!$H$7,FALSE)</f>
        <v>M3</v>
      </c>
      <c r="J300" s="9">
        <f>+DISTRIB!R28</f>
        <v>335.58799999999997</v>
      </c>
      <c r="K300" s="360">
        <f>+VLOOKUP(B300,AA_Unitarios,consolidado!$M$7,FALSE)</f>
        <v>26524.081196363637</v>
      </c>
      <c r="L300" s="361"/>
      <c r="M300" s="359">
        <f t="shared" si="56"/>
        <v>8901163.3605252784</v>
      </c>
      <c r="N300" s="273"/>
      <c r="O300" s="214">
        <v>27397.2054648987</v>
      </c>
      <c r="P300" s="214">
        <v>9194173.3875544239</v>
      </c>
    </row>
    <row r="301" spans="1:16" ht="12.75" customHeight="1" outlineLevel="1" x14ac:dyDescent="0.2">
      <c r="A301" s="31" t="s">
        <v>170</v>
      </c>
      <c r="B301" s="371" t="s">
        <v>107</v>
      </c>
      <c r="C301" s="271"/>
      <c r="D301" s="271"/>
      <c r="E301" s="271"/>
      <c r="F301" s="271"/>
      <c r="G301" s="271"/>
      <c r="H301" s="271"/>
      <c r="I301" s="271"/>
      <c r="J301" s="271"/>
      <c r="K301" s="271"/>
      <c r="L301" s="271"/>
      <c r="M301" s="271"/>
      <c r="N301" s="273"/>
      <c r="O301" s="214">
        <v>0</v>
      </c>
      <c r="P301" s="214">
        <v>0</v>
      </c>
    </row>
    <row r="302" spans="1:16" ht="27" customHeight="1" outlineLevel="1" x14ac:dyDescent="0.2">
      <c r="A302" s="29" t="s">
        <v>171</v>
      </c>
      <c r="B302" s="365" t="s">
        <v>109</v>
      </c>
      <c r="C302" s="271"/>
      <c r="D302" s="271"/>
      <c r="E302" s="271"/>
      <c r="F302" s="271"/>
      <c r="G302" s="271"/>
      <c r="H302" s="273"/>
      <c r="I302" s="30" t="str">
        <f>VLOOKUP(B302,AA_Unitarios,consolidado!$H$7,FALSE)</f>
        <v>M3-KM</v>
      </c>
      <c r="J302" s="9">
        <f>+J303*Indice!$L$19</f>
        <v>2002.0000000000002</v>
      </c>
      <c r="K302" s="360">
        <f>+VLOOKUP(B302,AA_Unitarios,consolidado!$M$7,FALSE)</f>
        <v>10890.40783384375</v>
      </c>
      <c r="L302" s="361"/>
      <c r="M302" s="359">
        <f t="shared" ref="M302:M303" si="57">J302*K302</f>
        <v>21802596.483355191</v>
      </c>
      <c r="N302" s="273"/>
      <c r="O302" s="214">
        <v>10739.718453389989</v>
      </c>
      <c r="P302" s="214">
        <v>21500916.343686759</v>
      </c>
    </row>
    <row r="303" spans="1:16" ht="27" customHeight="1" outlineLevel="1" x14ac:dyDescent="0.2">
      <c r="A303" s="29" t="s">
        <v>173</v>
      </c>
      <c r="B303" s="365" t="s">
        <v>111</v>
      </c>
      <c r="C303" s="271"/>
      <c r="D303" s="271"/>
      <c r="E303" s="271"/>
      <c r="F303" s="271"/>
      <c r="G303" s="271"/>
      <c r="H303" s="273"/>
      <c r="I303" s="30" t="str">
        <f>VLOOKUP(B303,AA_Unitarios,consolidado!$H$7,FALSE)</f>
        <v>M3</v>
      </c>
      <c r="J303" s="9">
        <f>+DISTRIB!U28</f>
        <v>400.40000000000003</v>
      </c>
      <c r="K303" s="360">
        <f>+VLOOKUP(B303,AA_Unitarios,consolidado!$M$7,FALSE)</f>
        <v>6384.6287895000005</v>
      </c>
      <c r="L303" s="361"/>
      <c r="M303" s="359">
        <f t="shared" si="57"/>
        <v>2556405.3673158004</v>
      </c>
      <c r="N303" s="273"/>
      <c r="O303" s="214">
        <v>7257.1004178808416</v>
      </c>
      <c r="P303" s="214">
        <v>2905743.007319489</v>
      </c>
    </row>
    <row r="304" spans="1:16" ht="12.75" customHeight="1" outlineLevel="1" x14ac:dyDescent="0.2">
      <c r="A304" s="31" t="s">
        <v>174</v>
      </c>
      <c r="B304" s="366" t="s">
        <v>362</v>
      </c>
      <c r="C304" s="271"/>
      <c r="D304" s="271"/>
      <c r="E304" s="271"/>
      <c r="F304" s="271"/>
      <c r="G304" s="271"/>
      <c r="H304" s="271"/>
      <c r="I304" s="271"/>
      <c r="J304" s="271"/>
      <c r="K304" s="271"/>
      <c r="L304" s="271"/>
      <c r="M304" s="271"/>
      <c r="N304" s="273"/>
      <c r="O304" s="214">
        <v>0</v>
      </c>
      <c r="P304" s="214">
        <v>0</v>
      </c>
    </row>
    <row r="305" spans="1:16" ht="40.5" customHeight="1" outlineLevel="1" x14ac:dyDescent="0.2">
      <c r="A305" s="29" t="s">
        <v>175</v>
      </c>
      <c r="B305" s="365" t="s">
        <v>374</v>
      </c>
      <c r="C305" s="271"/>
      <c r="D305" s="271"/>
      <c r="E305" s="271"/>
      <c r="F305" s="271"/>
      <c r="G305" s="271"/>
      <c r="H305" s="273"/>
      <c r="I305" s="30" t="str">
        <f>VLOOKUP(B305,AA_Unitarios,consolidado!$H$7,FALSE)</f>
        <v>UND</v>
      </c>
      <c r="J305" s="35">
        <f>+'MICRO Y MACRO'!C6</f>
        <v>40</v>
      </c>
      <c r="K305" s="360">
        <f>+VLOOKUP(B305,AA_Unitarios,consolidado!$M$7,FALSE)</f>
        <v>661066.09005266661</v>
      </c>
      <c r="L305" s="361"/>
      <c r="M305" s="359">
        <f t="shared" ref="M305" si="58">J305*K305</f>
        <v>26442643.602106664</v>
      </c>
      <c r="N305" s="273"/>
      <c r="O305" s="214">
        <v>865394.82216966129</v>
      </c>
      <c r="P305" s="214">
        <v>34615792.886786453</v>
      </c>
    </row>
    <row r="306" spans="1:16" ht="12.75" customHeight="1" outlineLevel="1" x14ac:dyDescent="0.2">
      <c r="A306" s="33" t="s">
        <v>177</v>
      </c>
      <c r="B306" s="366" t="s">
        <v>184</v>
      </c>
      <c r="C306" s="271"/>
      <c r="D306" s="271"/>
      <c r="E306" s="271"/>
      <c r="F306" s="271"/>
      <c r="G306" s="271"/>
      <c r="H306" s="271"/>
      <c r="I306" s="271"/>
      <c r="J306" s="271"/>
      <c r="K306" s="271"/>
      <c r="L306" s="271"/>
      <c r="M306" s="271"/>
      <c r="N306" s="273"/>
      <c r="O306" s="214">
        <v>0</v>
      </c>
      <c r="P306" s="214">
        <v>0</v>
      </c>
    </row>
    <row r="307" spans="1:16" ht="40.5" customHeight="1" outlineLevel="1" x14ac:dyDescent="0.2">
      <c r="A307" s="29" t="s">
        <v>178</v>
      </c>
      <c r="B307" s="365" t="s">
        <v>3190</v>
      </c>
      <c r="C307" s="271"/>
      <c r="D307" s="271"/>
      <c r="E307" s="271"/>
      <c r="F307" s="271"/>
      <c r="G307" s="271"/>
      <c r="H307" s="273"/>
      <c r="I307" s="30" t="str">
        <f>VLOOKUP(B307,AA_Unitarios,consolidado!$H$7,FALSE)</f>
        <v>ML</v>
      </c>
      <c r="J307" s="9">
        <f>+DISTRIB!$F$21</f>
        <v>400</v>
      </c>
      <c r="K307" s="360">
        <f>+VLOOKUP(B307,AA_Unitarios,consolidado!$M$7,FALSE)</f>
        <v>10720.560255888888</v>
      </c>
      <c r="L307" s="361"/>
      <c r="M307" s="359">
        <f t="shared" ref="M307" si="59">J307*K307</f>
        <v>4288224.1023555547</v>
      </c>
      <c r="N307" s="273"/>
      <c r="O307" s="214">
        <v>10993.112641166599</v>
      </c>
      <c r="P307" s="214">
        <v>4397245.05646664</v>
      </c>
    </row>
    <row r="308" spans="1:16" ht="12.75" customHeight="1" x14ac:dyDescent="0.2">
      <c r="A308" s="32"/>
      <c r="B308" s="32"/>
      <c r="C308" s="32"/>
      <c r="D308" s="32"/>
      <c r="E308" s="32"/>
      <c r="F308" s="32"/>
      <c r="G308" s="32"/>
      <c r="H308" s="32"/>
      <c r="I308" s="32"/>
      <c r="J308" s="32"/>
      <c r="K308" s="32"/>
      <c r="L308" s="32"/>
      <c r="M308" s="32"/>
      <c r="N308" s="32"/>
    </row>
    <row r="309" spans="1:16" ht="12.75" customHeight="1" x14ac:dyDescent="0.2">
      <c r="F309" s="362" t="s">
        <v>3210</v>
      </c>
      <c r="G309" s="363"/>
      <c r="H309" s="363"/>
      <c r="I309" s="363"/>
      <c r="J309" s="363"/>
      <c r="K309" s="363"/>
      <c r="L309" s="364"/>
      <c r="M309" s="374">
        <f>+SUM(M312:N333)</f>
        <v>94691491.08028236</v>
      </c>
      <c r="N309" s="273"/>
      <c r="O309" s="214"/>
    </row>
    <row r="310" spans="1:16" ht="12.75" customHeight="1" outlineLevel="1" x14ac:dyDescent="0.2">
      <c r="A310" s="287" t="s">
        <v>143</v>
      </c>
      <c r="B310" s="271"/>
      <c r="C310" s="271"/>
      <c r="D310" s="271"/>
      <c r="E310" s="271"/>
      <c r="F310" s="271"/>
      <c r="G310" s="271"/>
      <c r="H310" s="273"/>
      <c r="I310" s="16" t="s">
        <v>144</v>
      </c>
      <c r="J310" s="16" t="s">
        <v>78</v>
      </c>
      <c r="K310" s="375" t="s">
        <v>145</v>
      </c>
      <c r="L310" s="273"/>
      <c r="M310" s="375" t="s">
        <v>80</v>
      </c>
      <c r="N310" s="273"/>
    </row>
    <row r="311" spans="1:16" ht="12.75" customHeight="1" outlineLevel="1" x14ac:dyDescent="0.2">
      <c r="A311" s="31" t="s">
        <v>375</v>
      </c>
      <c r="B311" s="371" t="s">
        <v>282</v>
      </c>
      <c r="C311" s="271"/>
      <c r="D311" s="271"/>
      <c r="E311" s="271"/>
      <c r="F311" s="271"/>
      <c r="G311" s="271"/>
      <c r="H311" s="271"/>
      <c r="I311" s="271"/>
      <c r="J311" s="271"/>
      <c r="K311" s="271"/>
      <c r="L311" s="271"/>
      <c r="M311" s="271"/>
      <c r="N311" s="273"/>
    </row>
    <row r="312" spans="1:16" ht="12.75" customHeight="1" outlineLevel="1" x14ac:dyDescent="0.2">
      <c r="A312" s="26" t="s">
        <v>376</v>
      </c>
      <c r="B312" s="365" t="s">
        <v>377</v>
      </c>
      <c r="C312" s="271"/>
      <c r="D312" s="271"/>
      <c r="E312" s="271"/>
      <c r="F312" s="271"/>
      <c r="G312" s="271"/>
      <c r="H312" s="273"/>
      <c r="I312" s="30" t="str">
        <f>VLOOKUP(B312,AA_Unitarios,consolidado!$H$7,FALSE)</f>
        <v>UND</v>
      </c>
      <c r="J312" s="3">
        <f>+ELECTRICO!I12</f>
        <v>2</v>
      </c>
      <c r="K312" s="360">
        <f>VLOOKUP(B312,AA_Unitarios,consolidado!$M$7,FALSE)</f>
        <v>222418.15179999999</v>
      </c>
      <c r="L312" s="361"/>
      <c r="M312" s="359">
        <f>J312*K312</f>
        <v>444836.30359999998</v>
      </c>
      <c r="N312" s="273"/>
      <c r="O312" s="214">
        <v>224251.03585257696</v>
      </c>
      <c r="P312" s="214">
        <v>448502.07170515391</v>
      </c>
    </row>
    <row r="313" spans="1:16" ht="12.75" customHeight="1" outlineLevel="1" x14ac:dyDescent="0.2">
      <c r="A313" s="26" t="s">
        <v>378</v>
      </c>
      <c r="B313" s="365" t="s">
        <v>379</v>
      </c>
      <c r="C313" s="271"/>
      <c r="D313" s="271"/>
      <c r="E313" s="271"/>
      <c r="F313" s="271"/>
      <c r="G313" s="271"/>
      <c r="H313" s="273"/>
      <c r="I313" s="30" t="str">
        <f>VLOOKUP(B313,AA_Unitarios,consolidado!$H$7,FALSE)</f>
        <v>UND</v>
      </c>
      <c r="J313" s="3">
        <f>+ELECTRICO!I6</f>
        <v>2</v>
      </c>
      <c r="K313" s="360">
        <f>VLOOKUP(B313,AA_Unitarios,consolidado!$M$7,FALSE)</f>
        <v>650000</v>
      </c>
      <c r="L313" s="361"/>
      <c r="M313" s="359">
        <f>J313*K313</f>
        <v>1300000</v>
      </c>
      <c r="N313" s="273"/>
      <c r="O313" s="214">
        <v>646238.43436373991</v>
      </c>
      <c r="P313" s="214">
        <v>1292476.8687274798</v>
      </c>
    </row>
    <row r="314" spans="1:16" ht="12.75" customHeight="1" outlineLevel="1" x14ac:dyDescent="0.2">
      <c r="A314" s="26" t="s">
        <v>382</v>
      </c>
      <c r="B314" s="365" t="s">
        <v>383</v>
      </c>
      <c r="C314" s="271"/>
      <c r="D314" s="271"/>
      <c r="E314" s="271"/>
      <c r="F314" s="271"/>
      <c r="G314" s="271"/>
      <c r="H314" s="273"/>
      <c r="I314" s="30" t="str">
        <f>VLOOKUP(B314,AA_Unitarios,consolidado!$H$7,FALSE)</f>
        <v>UND</v>
      </c>
      <c r="J314" s="3">
        <f>+ELECTRICO!I10</f>
        <v>2</v>
      </c>
      <c r="K314" s="360">
        <f>VLOOKUP(B314,AA_Unitarios,consolidado!$M$7,FALSE)</f>
        <v>5850000</v>
      </c>
      <c r="L314" s="361"/>
      <c r="M314" s="359">
        <f t="shared" ref="M314:M333" si="60">J314*K314</f>
        <v>11700000</v>
      </c>
      <c r="N314" s="273"/>
      <c r="O314" s="214">
        <v>5816145.9092736598</v>
      </c>
      <c r="P314" s="214">
        <v>11632291.81854732</v>
      </c>
    </row>
    <row r="315" spans="1:16" ht="54" customHeight="1" outlineLevel="1" x14ac:dyDescent="0.2">
      <c r="A315" s="26" t="s">
        <v>384</v>
      </c>
      <c r="B315" s="365" t="s">
        <v>385</v>
      </c>
      <c r="C315" s="271"/>
      <c r="D315" s="271"/>
      <c r="E315" s="271"/>
      <c r="F315" s="271"/>
      <c r="G315" s="271"/>
      <c r="H315" s="273"/>
      <c r="I315" s="30" t="str">
        <f>VLOOKUP(B315,AA_Unitarios,consolidado!$H$7,FALSE)</f>
        <v>UND</v>
      </c>
      <c r="J315" s="3">
        <f>+ELECTRICO!I15</f>
        <v>2</v>
      </c>
      <c r="K315" s="360">
        <f>VLOOKUP(B315,AA_Unitarios,consolidado!$M$7,FALSE)</f>
        <v>744453.1627000001</v>
      </c>
      <c r="L315" s="361"/>
      <c r="M315" s="359">
        <f t="shared" si="60"/>
        <v>1488906.3254000002</v>
      </c>
      <c r="N315" s="273"/>
      <c r="O315" s="214">
        <v>747945.05245776696</v>
      </c>
      <c r="P315" s="214">
        <v>1495890.1049155339</v>
      </c>
    </row>
    <row r="316" spans="1:16" ht="27" customHeight="1" outlineLevel="1" x14ac:dyDescent="0.2">
      <c r="A316" s="26" t="s">
        <v>386</v>
      </c>
      <c r="B316" s="365" t="s">
        <v>387</v>
      </c>
      <c r="C316" s="271"/>
      <c r="D316" s="271"/>
      <c r="E316" s="271"/>
      <c r="F316" s="271"/>
      <c r="G316" s="271"/>
      <c r="H316" s="273"/>
      <c r="I316" s="30" t="str">
        <f>VLOOKUP(B316,AA_Unitarios,consolidado!$H$7,FALSE)</f>
        <v>UND</v>
      </c>
      <c r="J316" s="3">
        <f>+ELECTRICO!I17</f>
        <v>4</v>
      </c>
      <c r="K316" s="360">
        <f>VLOOKUP(B316,AA_Unitarios,consolidado!$M$7,FALSE)</f>
        <v>231175.62779999999</v>
      </c>
      <c r="L316" s="361"/>
      <c r="M316" s="359">
        <f t="shared" si="60"/>
        <v>924702.51119999995</v>
      </c>
      <c r="N316" s="273"/>
      <c r="O316" s="214">
        <v>232957.83212829698</v>
      </c>
      <c r="P316" s="214">
        <v>931831.32851318794</v>
      </c>
    </row>
    <row r="317" spans="1:16" ht="25.5" customHeight="1" outlineLevel="1" x14ac:dyDescent="0.2">
      <c r="A317" s="26" t="s">
        <v>388</v>
      </c>
      <c r="B317" s="365" t="s">
        <v>389</v>
      </c>
      <c r="C317" s="271"/>
      <c r="D317" s="271"/>
      <c r="E317" s="271"/>
      <c r="F317" s="271"/>
      <c r="G317" s="271"/>
      <c r="H317" s="273"/>
      <c r="I317" s="30" t="str">
        <f>VLOOKUP(B317,AA_Unitarios,consolidado!$H$7,FALSE)</f>
        <v>UND</v>
      </c>
      <c r="J317" s="3">
        <f>+ELECTRICO!I18</f>
        <v>4</v>
      </c>
      <c r="K317" s="360">
        <f>VLOOKUP(B317,AA_Unitarios,consolidado!$M$7,FALSE)</f>
        <v>153284.53529999999</v>
      </c>
      <c r="L317" s="361"/>
      <c r="M317" s="359">
        <f t="shared" si="60"/>
        <v>613138.14119999995</v>
      </c>
      <c r="N317" s="273"/>
      <c r="O317" s="214">
        <v>157077.50887806914</v>
      </c>
      <c r="P317" s="214">
        <v>628310.03551227658</v>
      </c>
    </row>
    <row r="318" spans="1:16" ht="27" customHeight="1" outlineLevel="1" x14ac:dyDescent="0.2">
      <c r="A318" s="26" t="s">
        <v>390</v>
      </c>
      <c r="B318" s="365" t="s">
        <v>391</v>
      </c>
      <c r="C318" s="271"/>
      <c r="D318" s="271"/>
      <c r="E318" s="271"/>
      <c r="F318" s="271"/>
      <c r="G318" s="271"/>
      <c r="H318" s="273"/>
      <c r="I318" s="30" t="str">
        <f>VLOOKUP(B318,AA_Unitarios,consolidado!$H$7,FALSE)</f>
        <v>M</v>
      </c>
      <c r="J318" s="3">
        <f>+ELECTRICO!I19</f>
        <v>18</v>
      </c>
      <c r="K318" s="360">
        <f>VLOOKUP(B318,AA_Unitarios,consolidado!$M$7,FALSE)</f>
        <v>145466.37988235295</v>
      </c>
      <c r="L318" s="361"/>
      <c r="M318" s="359">
        <f t="shared" si="60"/>
        <v>2618394.837882353</v>
      </c>
      <c r="N318" s="273"/>
      <c r="O318" s="214">
        <v>146180.86857561645</v>
      </c>
      <c r="P318" s="214">
        <v>2631255.6343610962</v>
      </c>
    </row>
    <row r="319" spans="1:16" ht="27" customHeight="1" outlineLevel="1" x14ac:dyDescent="0.2">
      <c r="A319" s="26" t="s">
        <v>393</v>
      </c>
      <c r="B319" s="365" t="s">
        <v>394</v>
      </c>
      <c r="C319" s="271"/>
      <c r="D319" s="271"/>
      <c r="E319" s="271"/>
      <c r="F319" s="271"/>
      <c r="G319" s="271"/>
      <c r="H319" s="273"/>
      <c r="I319" s="30" t="str">
        <f>VLOOKUP(B319,AA_Unitarios,consolidado!$H$7,FALSE)</f>
        <v>UND</v>
      </c>
      <c r="J319" s="3">
        <f>+ELECTRICO!I22</f>
        <v>6</v>
      </c>
      <c r="K319" s="360">
        <f>VLOOKUP(B319,AA_Unitarios,consolidado!$M$7,FALSE)</f>
        <v>281449.14980000001</v>
      </c>
      <c r="L319" s="361"/>
      <c r="M319" s="359">
        <f t="shared" si="60"/>
        <v>1688694.8988000001</v>
      </c>
      <c r="N319" s="273"/>
      <c r="O319" s="214">
        <v>282940.4200471139</v>
      </c>
      <c r="P319" s="214">
        <v>1697642.5202826834</v>
      </c>
    </row>
    <row r="320" spans="1:16" ht="18.75" customHeight="1" outlineLevel="1" x14ac:dyDescent="0.2">
      <c r="A320" s="26" t="s">
        <v>398</v>
      </c>
      <c r="B320" s="365" t="s">
        <v>399</v>
      </c>
      <c r="C320" s="271"/>
      <c r="D320" s="271"/>
      <c r="E320" s="271"/>
      <c r="F320" s="271"/>
      <c r="G320" s="271"/>
      <c r="H320" s="273"/>
      <c r="I320" s="30" t="str">
        <f>VLOOKUP(B320,AA_Unitarios,consolidado!$H$7,FALSE)</f>
        <v>UND</v>
      </c>
      <c r="J320" s="3">
        <f>+ELECTRICO!I29</f>
        <v>4</v>
      </c>
      <c r="K320" s="360">
        <f>VLOOKUP(B320,AA_Unitarios,consolidado!$M$7,FALSE)</f>
        <v>315800.25750000001</v>
      </c>
      <c r="L320" s="361"/>
      <c r="M320" s="359">
        <f t="shared" si="60"/>
        <v>1263201.03</v>
      </c>
      <c r="N320" s="273"/>
      <c r="O320" s="214">
        <v>318652.74868425459</v>
      </c>
      <c r="P320" s="214">
        <v>1274610.9947370184</v>
      </c>
    </row>
    <row r="321" spans="1:17" ht="22.5" customHeight="1" outlineLevel="1" x14ac:dyDescent="0.2">
      <c r="A321" s="26" t="s">
        <v>407</v>
      </c>
      <c r="B321" s="365" t="s">
        <v>408</v>
      </c>
      <c r="C321" s="271"/>
      <c r="D321" s="271"/>
      <c r="E321" s="271"/>
      <c r="F321" s="271"/>
      <c r="G321" s="271"/>
      <c r="H321" s="273"/>
      <c r="I321" s="30" t="str">
        <f>VLOOKUP(B321,AA_Unitarios,consolidado!$H$7,FALSE)</f>
        <v>UND</v>
      </c>
      <c r="J321" s="3">
        <f>+ELECTRICO!I45</f>
        <v>4</v>
      </c>
      <c r="K321" s="360">
        <f>VLOOKUP(B321,AA_Unitarios,consolidado!$M$7,FALSE)</f>
        <v>1084375.6377999999</v>
      </c>
      <c r="L321" s="361"/>
      <c r="M321" s="359">
        <f t="shared" si="60"/>
        <v>4337502.5511999996</v>
      </c>
      <c r="N321" s="273"/>
      <c r="O321" s="214">
        <v>1093700.446135978</v>
      </c>
      <c r="P321" s="214">
        <v>4374801.7845439119</v>
      </c>
    </row>
    <row r="322" spans="1:17" ht="36" customHeight="1" outlineLevel="1" x14ac:dyDescent="0.2">
      <c r="A322" s="26" t="s">
        <v>409</v>
      </c>
      <c r="B322" s="365" t="s">
        <v>410</v>
      </c>
      <c r="C322" s="271"/>
      <c r="D322" s="271"/>
      <c r="E322" s="271"/>
      <c r="F322" s="271"/>
      <c r="G322" s="271"/>
      <c r="H322" s="273"/>
      <c r="I322" s="30" t="str">
        <f>VLOOKUP(B322,AA_Unitarios,consolidado!$H$7,FALSE)</f>
        <v>UND</v>
      </c>
      <c r="J322" s="3">
        <f>+ELECTRICO!I8</f>
        <v>6</v>
      </c>
      <c r="K322" s="360">
        <f>VLOOKUP(B322,AA_Unitarios,consolidado!$M$7,FALSE)</f>
        <v>78179.998000000007</v>
      </c>
      <c r="L322" s="361"/>
      <c r="M322" s="359">
        <f t="shared" si="60"/>
        <v>469079.98800000001</v>
      </c>
      <c r="N322" s="273"/>
      <c r="O322" s="214">
        <v>79287.580094636141</v>
      </c>
      <c r="P322" s="214">
        <v>475725.48056781688</v>
      </c>
    </row>
    <row r="323" spans="1:17" ht="40.5" customHeight="1" outlineLevel="1" x14ac:dyDescent="0.2">
      <c r="A323" s="26" t="s">
        <v>411</v>
      </c>
      <c r="B323" s="365" t="s">
        <v>412</v>
      </c>
      <c r="C323" s="271"/>
      <c r="D323" s="271"/>
      <c r="E323" s="271"/>
      <c r="F323" s="271"/>
      <c r="G323" s="271"/>
      <c r="H323" s="273"/>
      <c r="I323" s="30" t="str">
        <f>VLOOKUP(B323,AA_Unitarios,consolidado!$H$7,FALSE)</f>
        <v>UND</v>
      </c>
      <c r="J323" s="3">
        <f>+ELECTRICO!I14</f>
        <v>1</v>
      </c>
      <c r="K323" s="360">
        <f>VLOOKUP(B323,AA_Unitarios,consolidado!$M$7,FALSE)</f>
        <v>1833197.8925000001</v>
      </c>
      <c r="L323" s="361"/>
      <c r="M323" s="359">
        <f t="shared" si="60"/>
        <v>1833197.8925000001</v>
      </c>
      <c r="N323" s="273"/>
      <c r="O323" s="214">
        <v>1830389.1903158054</v>
      </c>
      <c r="P323" s="214">
        <v>1830389.1903158054</v>
      </c>
    </row>
    <row r="324" spans="1:17" ht="54" customHeight="1" outlineLevel="1" x14ac:dyDescent="0.2">
      <c r="A324" s="26" t="s">
        <v>413</v>
      </c>
      <c r="B324" s="365" t="s">
        <v>414</v>
      </c>
      <c r="C324" s="271"/>
      <c r="D324" s="271"/>
      <c r="E324" s="271"/>
      <c r="F324" s="271"/>
      <c r="G324" s="271"/>
      <c r="H324" s="273"/>
      <c r="I324" s="30" t="str">
        <f>VLOOKUP(B324,AA_Unitarios,consolidado!$H$7,FALSE)</f>
        <v>UND</v>
      </c>
      <c r="J324" s="3">
        <f>+ELECTRICO!I36</f>
        <v>1</v>
      </c>
      <c r="K324" s="360">
        <f>VLOOKUP(B324,AA_Unitarios,consolidado!$M$7,FALSE)</f>
        <v>24950435.289000001</v>
      </c>
      <c r="L324" s="361"/>
      <c r="M324" s="359">
        <f t="shared" si="60"/>
        <v>24950435.289000001</v>
      </c>
      <c r="N324" s="273"/>
      <c r="O324" s="214">
        <v>25102550.437092945</v>
      </c>
      <c r="P324" s="214">
        <v>25102550.437092945</v>
      </c>
    </row>
    <row r="325" spans="1:17" ht="54" customHeight="1" outlineLevel="1" x14ac:dyDescent="0.2">
      <c r="A325" s="26" t="s">
        <v>415</v>
      </c>
      <c r="B325" s="365" t="s">
        <v>416</v>
      </c>
      <c r="C325" s="271"/>
      <c r="D325" s="271"/>
      <c r="E325" s="271"/>
      <c r="F325" s="271"/>
      <c r="G325" s="271"/>
      <c r="H325" s="273"/>
      <c r="I325" s="30" t="str">
        <f>VLOOKUP(B325,AA_Unitarios,consolidado!$H$7,FALSE)</f>
        <v>UND</v>
      </c>
      <c r="J325" s="3">
        <f>+ELECTRICO!I35</f>
        <v>1</v>
      </c>
      <c r="K325" s="360">
        <f>VLOOKUP(B325,AA_Unitarios,consolidado!$M$7,FALSE)</f>
        <v>14414823.0655</v>
      </c>
      <c r="L325" s="361"/>
      <c r="M325" s="359">
        <f t="shared" si="60"/>
        <v>14414823.0655</v>
      </c>
      <c r="N325" s="273"/>
      <c r="O325" s="214">
        <v>14628003.365932928</v>
      </c>
      <c r="P325" s="214">
        <v>14628003.365932928</v>
      </c>
    </row>
    <row r="326" spans="1:17" ht="54" customHeight="1" outlineLevel="1" x14ac:dyDescent="0.2">
      <c r="A326" s="26" t="s">
        <v>417</v>
      </c>
      <c r="B326" s="365" t="s">
        <v>418</v>
      </c>
      <c r="C326" s="271"/>
      <c r="D326" s="271"/>
      <c r="E326" s="271"/>
      <c r="F326" s="271"/>
      <c r="G326" s="271"/>
      <c r="H326" s="273"/>
      <c r="I326" s="30" t="str">
        <f>VLOOKUP(B326,AA_Unitarios,consolidado!$H$7,FALSE)</f>
        <v>UND</v>
      </c>
      <c r="J326" s="3">
        <f>+ELECTRICO!I39</f>
        <v>1</v>
      </c>
      <c r="K326" s="360">
        <f>VLOOKUP(B326,AA_Unitarios,consolidado!$M$7,FALSE)</f>
        <v>3908346.8774999999</v>
      </c>
      <c r="L326" s="361"/>
      <c r="M326" s="359">
        <f t="shared" si="60"/>
        <v>3908346.8774999999</v>
      </c>
      <c r="N326" s="273"/>
      <c r="O326" s="214">
        <v>4182519.0302947559</v>
      </c>
      <c r="P326" s="214">
        <v>4182519.0302947559</v>
      </c>
    </row>
    <row r="327" spans="1:17" ht="27" customHeight="1" outlineLevel="1" x14ac:dyDescent="0.2">
      <c r="A327" s="26" t="s">
        <v>420</v>
      </c>
      <c r="B327" s="365" t="s">
        <v>421</v>
      </c>
      <c r="C327" s="271"/>
      <c r="D327" s="271"/>
      <c r="E327" s="271"/>
      <c r="F327" s="271"/>
      <c r="G327" s="271"/>
      <c r="H327" s="273"/>
      <c r="I327" s="30" t="str">
        <f>VLOOKUP(B327,AA_Unitarios,consolidado!$H$7,FALSE)</f>
        <v>UND</v>
      </c>
      <c r="J327" s="3">
        <f>+ELECTRICO!I23</f>
        <v>1</v>
      </c>
      <c r="K327" s="360">
        <f>VLOOKUP(B327,AA_Unitarios,consolidado!$M$7,FALSE)</f>
        <v>2656251.1300000004</v>
      </c>
      <c r="L327" s="361"/>
      <c r="M327" s="359">
        <f t="shared" si="60"/>
        <v>2656251.1300000004</v>
      </c>
      <c r="N327" s="273"/>
      <c r="O327" s="214">
        <v>2656479.4570499184</v>
      </c>
      <c r="P327" s="214">
        <v>2656479.4570499184</v>
      </c>
    </row>
    <row r="328" spans="1:17" ht="27" customHeight="1" outlineLevel="1" x14ac:dyDescent="0.2">
      <c r="A328" s="26" t="s">
        <v>422</v>
      </c>
      <c r="B328" s="365" t="s">
        <v>423</v>
      </c>
      <c r="C328" s="271"/>
      <c r="D328" s="271"/>
      <c r="E328" s="271"/>
      <c r="F328" s="271"/>
      <c r="G328" s="271"/>
      <c r="H328" s="273"/>
      <c r="I328" s="30" t="str">
        <f>VLOOKUP(B328,AA_Unitarios,consolidado!$H$7,FALSE)</f>
        <v>UND</v>
      </c>
      <c r="J328" s="3">
        <f>+ELECTRICO!I25</f>
        <v>3</v>
      </c>
      <c r="K328" s="360">
        <f>VLOOKUP(B328,AA_Unitarios,consolidado!$M$7,FALSE)</f>
        <v>1981380.5375000001</v>
      </c>
      <c r="L328" s="361"/>
      <c r="M328" s="359">
        <f t="shared" si="60"/>
        <v>5944141.6125000007</v>
      </c>
      <c r="N328" s="273"/>
      <c r="O328" s="214">
        <v>1977714.2987845407</v>
      </c>
      <c r="P328" s="214">
        <v>5933142.896353622</v>
      </c>
    </row>
    <row r="329" spans="1:17" ht="54" customHeight="1" outlineLevel="1" x14ac:dyDescent="0.2">
      <c r="A329" s="26" t="s">
        <v>424</v>
      </c>
      <c r="B329" s="365" t="s">
        <v>425</v>
      </c>
      <c r="C329" s="271"/>
      <c r="D329" s="271"/>
      <c r="E329" s="271"/>
      <c r="F329" s="271"/>
      <c r="G329" s="271"/>
      <c r="H329" s="273"/>
      <c r="I329" s="30" t="str">
        <f>VLOOKUP(B329,AA_Unitarios,consolidado!$H$7,FALSE)</f>
        <v>UND</v>
      </c>
      <c r="J329" s="3">
        <f>+ELECTRICO!I16</f>
        <v>1</v>
      </c>
      <c r="K329" s="360">
        <f>VLOOKUP(B329,AA_Unitarios,consolidado!$M$7,FALSE)</f>
        <v>553558.16749999998</v>
      </c>
      <c r="L329" s="361"/>
      <c r="M329" s="359">
        <f t="shared" si="60"/>
        <v>553558.16749999998</v>
      </c>
      <c r="N329" s="273"/>
      <c r="O329" s="214">
        <v>558154.77118711814</v>
      </c>
      <c r="P329" s="214">
        <v>558154.77118711814</v>
      </c>
    </row>
    <row r="330" spans="1:17" ht="54" customHeight="1" outlineLevel="1" x14ac:dyDescent="0.2">
      <c r="A330" s="26" t="s">
        <v>427</v>
      </c>
      <c r="B330" s="365" t="s">
        <v>428</v>
      </c>
      <c r="C330" s="271"/>
      <c r="D330" s="271"/>
      <c r="E330" s="271"/>
      <c r="F330" s="271"/>
      <c r="G330" s="271"/>
      <c r="H330" s="273"/>
      <c r="I330" s="30" t="str">
        <f>VLOOKUP(B330,AA_Unitarios,consolidado!$H$7,FALSE)</f>
        <v>UND</v>
      </c>
      <c r="J330" s="3">
        <f>+ELECTRICO!I27</f>
        <v>1</v>
      </c>
      <c r="K330" s="360">
        <f>VLOOKUP(B330,AA_Unitarios,consolidado!$M$7,FALSE)</f>
        <v>1152052.72</v>
      </c>
      <c r="L330" s="361"/>
      <c r="M330" s="359">
        <f t="shared" si="60"/>
        <v>1152052.72</v>
      </c>
      <c r="N330" s="273"/>
      <c r="O330" s="214">
        <v>1160985.8794332615</v>
      </c>
      <c r="P330" s="214">
        <v>1160985.8794332615</v>
      </c>
    </row>
    <row r="331" spans="1:17" ht="54" customHeight="1" outlineLevel="1" x14ac:dyDescent="0.2">
      <c r="A331" s="26" t="s">
        <v>429</v>
      </c>
      <c r="B331" s="365" t="s">
        <v>430</v>
      </c>
      <c r="C331" s="271"/>
      <c r="D331" s="271"/>
      <c r="E331" s="271"/>
      <c r="F331" s="271"/>
      <c r="G331" s="271"/>
      <c r="H331" s="273"/>
      <c r="I331" s="30" t="str">
        <f>VLOOKUP(B331,AA_Unitarios,consolidado!$H$7,FALSE)</f>
        <v>UND</v>
      </c>
      <c r="J331" s="3">
        <f>+ELECTRICO!I40</f>
        <v>1</v>
      </c>
      <c r="K331" s="360">
        <f>VLOOKUP(B331,AA_Unitarios,consolidado!$M$7,FALSE)</f>
        <v>3444717.8024999998</v>
      </c>
      <c r="L331" s="361"/>
      <c r="M331" s="359">
        <f t="shared" si="60"/>
        <v>3444717.8024999998</v>
      </c>
      <c r="N331" s="273"/>
      <c r="O331" s="214">
        <v>3721572.9879047419</v>
      </c>
      <c r="P331" s="214">
        <v>3721572.9879047419</v>
      </c>
    </row>
    <row r="332" spans="1:17" ht="54" customHeight="1" outlineLevel="1" x14ac:dyDescent="0.2">
      <c r="A332" s="26" t="s">
        <v>431</v>
      </c>
      <c r="B332" s="365" t="s">
        <v>432</v>
      </c>
      <c r="C332" s="271"/>
      <c r="D332" s="271"/>
      <c r="E332" s="271"/>
      <c r="F332" s="271"/>
      <c r="G332" s="271"/>
      <c r="H332" s="273"/>
      <c r="I332" s="30" t="str">
        <f>VLOOKUP(B332,AA_Unitarios,consolidado!$H$7,FALSE)</f>
        <v>M</v>
      </c>
      <c r="J332" s="3">
        <f>+ELECTRICO!I20</f>
        <v>40</v>
      </c>
      <c r="K332" s="360">
        <f>VLOOKUP(B332,AA_Unitarios,consolidado!$M$7,FALSE)</f>
        <v>105029.44465</v>
      </c>
      <c r="L332" s="361"/>
      <c r="M332" s="359">
        <f t="shared" si="60"/>
        <v>4201177.7860000003</v>
      </c>
      <c r="N332" s="273"/>
      <c r="O332" s="214">
        <v>105513.64486386508</v>
      </c>
      <c r="P332" s="214">
        <v>4220545.7945546033</v>
      </c>
    </row>
    <row r="333" spans="1:17" ht="54" customHeight="1" outlineLevel="1" x14ac:dyDescent="0.2">
      <c r="A333" s="26" t="s">
        <v>433</v>
      </c>
      <c r="B333" s="365" t="s">
        <v>434</v>
      </c>
      <c r="C333" s="271"/>
      <c r="D333" s="271"/>
      <c r="E333" s="271"/>
      <c r="F333" s="271"/>
      <c r="G333" s="271"/>
      <c r="H333" s="273"/>
      <c r="I333" s="30" t="str">
        <f>VLOOKUP(B333,AA_Unitarios,consolidado!$H$7,FALSE)</f>
        <v>UND</v>
      </c>
      <c r="J333" s="3">
        <f>+ELECTRICO!I42</f>
        <v>1</v>
      </c>
      <c r="K333" s="360">
        <f>VLOOKUP(B333,AA_Unitarios,consolidado!$M$7,FALSE)</f>
        <v>4784332.1500000004</v>
      </c>
      <c r="L333" s="361"/>
      <c r="M333" s="359">
        <f t="shared" si="60"/>
        <v>4784332.1500000004</v>
      </c>
      <c r="N333" s="273"/>
      <c r="O333" s="214">
        <v>5052958.4001494311</v>
      </c>
      <c r="P333" s="214">
        <v>5052958.4001494311</v>
      </c>
    </row>
    <row r="334" spans="1:17" ht="12.75" customHeight="1" x14ac:dyDescent="0.2">
      <c r="Q334" s="200">
        <v>2731321625.6906891</v>
      </c>
    </row>
    <row r="335" spans="1:17" ht="13.5" customHeight="1" x14ac:dyDescent="0.2">
      <c r="A335" s="32"/>
      <c r="B335" s="32"/>
      <c r="C335" s="32"/>
      <c r="D335" s="32"/>
      <c r="E335" s="32"/>
      <c r="F335" s="32"/>
      <c r="H335" s="389" t="s">
        <v>3200</v>
      </c>
      <c r="I335" s="389"/>
      <c r="J335" s="389"/>
      <c r="K335" s="389"/>
      <c r="L335" s="197" t="s">
        <v>3201</v>
      </c>
      <c r="M335" s="390" t="s">
        <v>3202</v>
      </c>
      <c r="N335" s="355"/>
    </row>
    <row r="336" spans="1:17" ht="13.5" customHeight="1" x14ac:dyDescent="0.2">
      <c r="A336" s="22"/>
      <c r="B336" s="22"/>
      <c r="H336" s="346" t="str">
        <f>+F5</f>
        <v>A - BOCATOMA</v>
      </c>
      <c r="I336" s="346"/>
      <c r="J336" s="346"/>
      <c r="K336" s="346"/>
      <c r="L336" s="198">
        <f>M336/$M$348</f>
        <v>1.5074086171544246E-2</v>
      </c>
      <c r="M336" s="354">
        <f>VLOOKUP(H336,AA_Presupuesto,8,FALSE)</f>
        <v>39087859.807404399</v>
      </c>
      <c r="N336" s="355"/>
      <c r="O336" s="261">
        <f>M5</f>
        <v>39087859.807404399</v>
      </c>
    </row>
    <row r="337" spans="1:16" ht="13.5" customHeight="1" x14ac:dyDescent="0.2">
      <c r="A337" s="22"/>
      <c r="B337" s="22"/>
      <c r="H337" s="346" t="str">
        <f>+F36</f>
        <v>B - ADUCCIÓN Y/O IMPULSIÓN</v>
      </c>
      <c r="I337" s="346"/>
      <c r="J337" s="346"/>
      <c r="K337" s="346"/>
      <c r="L337" s="198">
        <f t="shared" ref="L337:L346" si="61">M337/$M$348</f>
        <v>5.9235178238466989E-2</v>
      </c>
      <c r="M337" s="354">
        <f t="shared" ref="M337:M345" si="62">VLOOKUP(H337,AA_Presupuesto,8,FALSE)</f>
        <v>153599781.52590153</v>
      </c>
      <c r="N337" s="355"/>
      <c r="O337" s="262">
        <f>M36</f>
        <v>153599781.52590153</v>
      </c>
    </row>
    <row r="338" spans="1:16" ht="13.5" customHeight="1" x14ac:dyDescent="0.2">
      <c r="A338" s="22"/>
      <c r="B338" s="22"/>
      <c r="H338" s="346" t="str">
        <f>+F58</f>
        <v>C - URBANISMO + PTAP</v>
      </c>
      <c r="I338" s="346"/>
      <c r="J338" s="346"/>
      <c r="K338" s="346"/>
      <c r="L338" s="198">
        <f t="shared" si="61"/>
        <v>0.11147911680753431</v>
      </c>
      <c r="M338" s="354">
        <f t="shared" si="62"/>
        <v>289070928.72083294</v>
      </c>
      <c r="N338" s="355"/>
      <c r="O338" s="262">
        <f>M58</f>
        <v>289070928.72083294</v>
      </c>
    </row>
    <row r="339" spans="1:16" ht="13.5" customHeight="1" x14ac:dyDescent="0.2">
      <c r="A339" s="22"/>
      <c r="B339" s="22"/>
      <c r="H339" s="346" t="str">
        <f>+F87</f>
        <v>D - LECHOS DE SECADO</v>
      </c>
      <c r="I339" s="346"/>
      <c r="J339" s="346"/>
      <c r="K339" s="346"/>
      <c r="L339" s="198">
        <f t="shared" si="61"/>
        <v>3.4538923408233543E-2</v>
      </c>
      <c r="M339" s="354">
        <f t="shared" si="62"/>
        <v>89561156.856608734</v>
      </c>
      <c r="N339" s="355"/>
      <c r="O339" s="262">
        <f>M87</f>
        <v>89561156.856608734</v>
      </c>
    </row>
    <row r="340" spans="1:16" ht="13.5" customHeight="1" x14ac:dyDescent="0.2">
      <c r="A340" s="22"/>
      <c r="B340" s="22"/>
      <c r="H340" s="346" t="str">
        <f>+F113</f>
        <v>E - ALMACENAMIENTO POTOSÍ</v>
      </c>
      <c r="I340" s="346"/>
      <c r="J340" s="346"/>
      <c r="K340" s="346"/>
      <c r="L340" s="198">
        <f t="shared" si="61"/>
        <v>6.7921382861303115E-2</v>
      </c>
      <c r="M340" s="354">
        <f t="shared" si="62"/>
        <v>176123544.80362362</v>
      </c>
      <c r="N340" s="355"/>
      <c r="O340" s="262">
        <f>M113</f>
        <v>176123544.80362362</v>
      </c>
    </row>
    <row r="341" spans="1:16" ht="13.5" customHeight="1" x14ac:dyDescent="0.2">
      <c r="A341" s="22"/>
      <c r="B341" s="22"/>
      <c r="H341" s="346" t="str">
        <f>+F150</f>
        <v>F - ALMACENAMIENTO POLONIA</v>
      </c>
      <c r="I341" s="346"/>
      <c r="J341" s="346"/>
      <c r="K341" s="346"/>
      <c r="L341" s="198">
        <f t="shared" si="61"/>
        <v>6.7921382861303115E-2</v>
      </c>
      <c r="M341" s="354">
        <f t="shared" si="62"/>
        <v>176123544.80362362</v>
      </c>
      <c r="N341" s="355"/>
      <c r="O341" s="262">
        <f>M150</f>
        <v>176123544.80362362</v>
      </c>
    </row>
    <row r="342" spans="1:16" ht="13.5" customHeight="1" x14ac:dyDescent="0.2">
      <c r="A342" s="22"/>
      <c r="B342" s="22"/>
      <c r="H342" s="346" t="str">
        <f>+F187</f>
        <v>G - ALMACENAMIENTO HATO NUEVO</v>
      </c>
      <c r="I342" s="346"/>
      <c r="J342" s="346"/>
      <c r="K342" s="346"/>
      <c r="L342" s="198">
        <f t="shared" si="61"/>
        <v>0.11923348466426573</v>
      </c>
      <c r="M342" s="354">
        <f t="shared" si="62"/>
        <v>309178392.63139051</v>
      </c>
      <c r="N342" s="355"/>
      <c r="O342" s="262">
        <f>M187</f>
        <v>309178392.63139051</v>
      </c>
    </row>
    <row r="343" spans="1:16" ht="13.5" customHeight="1" x14ac:dyDescent="0.2">
      <c r="A343" s="22"/>
      <c r="B343" s="22"/>
      <c r="H343" s="346" t="str">
        <f>+F225</f>
        <v>H - ALMACENAMIENTO SAN ALFONSO</v>
      </c>
      <c r="I343" s="346"/>
      <c r="J343" s="346"/>
      <c r="K343" s="346"/>
      <c r="L343" s="198">
        <f t="shared" si="61"/>
        <v>0.11863477437083891</v>
      </c>
      <c r="M343" s="354">
        <f t="shared" si="62"/>
        <v>307625906.87879515</v>
      </c>
      <c r="N343" s="355"/>
      <c r="O343" s="262">
        <f>M225</f>
        <v>307625906.87879515</v>
      </c>
    </row>
    <row r="344" spans="1:16" ht="13.5" customHeight="1" thickBot="1" x14ac:dyDescent="0.25">
      <c r="A344" s="22"/>
      <c r="B344" s="22"/>
      <c r="H344" s="346" t="str">
        <f>+F262</f>
        <v>I - REDES DE DISTRIBUCIÓN FASE I</v>
      </c>
      <c r="I344" s="346"/>
      <c r="J344" s="346"/>
      <c r="K344" s="346"/>
      <c r="L344" s="198">
        <f t="shared" si="61"/>
        <v>0.3010841491618339</v>
      </c>
      <c r="M344" s="354">
        <f t="shared" si="62"/>
        <v>780726266.17231047</v>
      </c>
      <c r="N344" s="355"/>
      <c r="O344" s="262">
        <f>M262</f>
        <v>780726266.17231047</v>
      </c>
    </row>
    <row r="345" spans="1:16" ht="13.5" customHeight="1" thickTop="1" x14ac:dyDescent="0.2">
      <c r="A345" s="22"/>
      <c r="B345" s="22"/>
      <c r="C345" s="302" t="s">
        <v>71</v>
      </c>
      <c r="D345" s="302"/>
      <c r="E345" s="302"/>
      <c r="F345" s="302"/>
      <c r="H345" s="346" t="str">
        <f>+F289</f>
        <v>J - ACOMETIDAS FASE I</v>
      </c>
      <c r="I345" s="346"/>
      <c r="J345" s="346"/>
      <c r="K345" s="346"/>
      <c r="L345" s="198">
        <f t="shared" si="61"/>
        <v>6.8360103942198436E-2</v>
      </c>
      <c r="M345" s="354">
        <f t="shared" si="62"/>
        <v>177261170.52165627</v>
      </c>
      <c r="N345" s="355"/>
      <c r="O345" s="207">
        <f>M289</f>
        <v>177261170.52165627</v>
      </c>
    </row>
    <row r="346" spans="1:16" ht="13.5" customHeight="1" x14ac:dyDescent="0.25">
      <c r="A346" s="22"/>
      <c r="B346" s="22"/>
      <c r="C346" s="303" t="s">
        <v>72</v>
      </c>
      <c r="D346" s="303"/>
      <c r="E346" s="303"/>
      <c r="F346" s="303"/>
      <c r="H346" s="346" t="str">
        <f>+F309</f>
        <v>K - ELÉCTRICO</v>
      </c>
      <c r="I346" s="346"/>
      <c r="J346" s="346"/>
      <c r="K346" s="346"/>
      <c r="L346" s="198">
        <f t="shared" si="61"/>
        <v>3.6517417512477876E-2</v>
      </c>
      <c r="M346" s="354">
        <f>VLOOKUP(H346,AA_Presupuesto,8,FALSE)</f>
        <v>94691491.08028236</v>
      </c>
      <c r="N346" s="355"/>
      <c r="O346" s="262">
        <f>M309</f>
        <v>94691491.08028236</v>
      </c>
    </row>
    <row r="347" spans="1:16" ht="12.75" customHeight="1" x14ac:dyDescent="0.25">
      <c r="C347" s="303" t="s">
        <v>73</v>
      </c>
      <c r="D347" s="303"/>
      <c r="E347" s="303"/>
      <c r="F347" s="303"/>
      <c r="O347" s="261">
        <f>SUM(O336:O346)</f>
        <v>2593050043.8024292</v>
      </c>
    </row>
    <row r="348" spans="1:16" ht="12.75" customHeight="1" x14ac:dyDescent="0.25">
      <c r="I348" s="350" t="s">
        <v>3221</v>
      </c>
      <c r="J348" s="271"/>
      <c r="K348" s="271"/>
      <c r="L348" s="273"/>
      <c r="M348" s="386">
        <f>+SUM(M336:N346)</f>
        <v>2593050043.8024292</v>
      </c>
      <c r="N348" s="361"/>
      <c r="O348" s="208"/>
      <c r="P348" s="199">
        <v>741569440.11070395</v>
      </c>
    </row>
    <row r="349" spans="1:16" ht="12.75" customHeight="1" x14ac:dyDescent="0.25">
      <c r="I349" s="336" t="s">
        <v>1804</v>
      </c>
      <c r="J349" s="337"/>
      <c r="K349" s="337"/>
      <c r="L349" s="338"/>
      <c r="M349" s="339">
        <f>M348/1.3</f>
        <v>1994653879.8480225</v>
      </c>
      <c r="N349" s="340"/>
      <c r="O349" s="208"/>
      <c r="P349" s="199"/>
    </row>
    <row r="350" spans="1:16" ht="12.75" customHeight="1" x14ac:dyDescent="0.25">
      <c r="I350" s="350" t="s">
        <v>438</v>
      </c>
      <c r="J350" s="271"/>
      <c r="K350" s="311"/>
      <c r="L350" s="11">
        <f>25%</f>
        <v>0.25</v>
      </c>
      <c r="M350" s="385">
        <f>M349*L350</f>
        <v>498663469.96200562</v>
      </c>
      <c r="N350" s="273"/>
      <c r="O350" s="207"/>
    </row>
    <row r="351" spans="1:16" ht="21.75" customHeight="1" x14ac:dyDescent="0.25">
      <c r="I351" s="350" t="s">
        <v>439</v>
      </c>
      <c r="J351" s="271"/>
      <c r="K351" s="311"/>
      <c r="L351" s="11">
        <v>0.02</v>
      </c>
      <c r="M351" s="385">
        <f>ROUND(M349*L351,0)</f>
        <v>39893078</v>
      </c>
      <c r="N351" s="273"/>
      <c r="O351" s="209">
        <v>2731321625.6907001</v>
      </c>
      <c r="P351" s="199">
        <f>O351-M354</f>
        <v>138271581.88067198</v>
      </c>
    </row>
    <row r="352" spans="1:16" ht="21.75" customHeight="1" x14ac:dyDescent="0.25">
      <c r="I352" s="350" t="s">
        <v>440</v>
      </c>
      <c r="J352" s="271"/>
      <c r="K352" s="311"/>
      <c r="L352" s="11">
        <v>0.03</v>
      </c>
      <c r="M352" s="385">
        <f>ROUND(M349*L352,0)</f>
        <v>59839616</v>
      </c>
      <c r="N352" s="273"/>
      <c r="O352" s="210"/>
    </row>
    <row r="353" spans="4:16" ht="21.75" customHeight="1" x14ac:dyDescent="0.25">
      <c r="I353" s="356" t="s">
        <v>441</v>
      </c>
      <c r="J353" s="271"/>
      <c r="K353" s="311"/>
      <c r="L353" s="38">
        <v>0.3</v>
      </c>
      <c r="M353" s="385">
        <f>M350+M351+M352</f>
        <v>598396163.96200562</v>
      </c>
      <c r="N353" s="358"/>
      <c r="O353" s="702"/>
      <c r="P353" s="212"/>
    </row>
    <row r="354" spans="4:16" ht="21.75" customHeight="1" x14ac:dyDescent="0.35">
      <c r="I354" s="347" t="s">
        <v>442</v>
      </c>
      <c r="J354" s="348"/>
      <c r="K354" s="348"/>
      <c r="L354" s="349"/>
      <c r="M354" s="387">
        <f>+M353+M349</f>
        <v>2593050043.8100281</v>
      </c>
      <c r="N354" s="388"/>
      <c r="O354" s="703"/>
      <c r="P354" s="704"/>
    </row>
    <row r="355" spans="4:16" ht="21.75" customHeight="1" x14ac:dyDescent="0.25">
      <c r="I355" s="4"/>
      <c r="J355" s="4"/>
      <c r="K355" s="4"/>
      <c r="L355" s="4"/>
      <c r="M355" s="4"/>
      <c r="N355" s="701"/>
      <c r="O355" s="702"/>
      <c r="P355" s="212"/>
    </row>
    <row r="356" spans="4:16" ht="18" customHeight="1" x14ac:dyDescent="0.25">
      <c r="I356" s="691"/>
      <c r="J356" s="692"/>
      <c r="K356" s="692"/>
      <c r="L356" s="693"/>
      <c r="M356" s="694"/>
      <c r="N356" s="692"/>
      <c r="O356" s="705"/>
      <c r="P356" s="706"/>
    </row>
    <row r="357" spans="4:16" ht="12.75" customHeight="1" x14ac:dyDescent="0.25">
      <c r="I357" s="695"/>
      <c r="J357" s="695"/>
      <c r="K357" s="695"/>
      <c r="L357" s="695"/>
      <c r="M357" s="695"/>
      <c r="N357" s="695"/>
      <c r="O357" s="687"/>
    </row>
    <row r="358" spans="4:16" ht="12.75" customHeight="1" x14ac:dyDescent="0.25">
      <c r="I358" s="691"/>
      <c r="J358" s="692"/>
      <c r="K358" s="692"/>
      <c r="L358" s="692"/>
      <c r="M358" s="694"/>
      <c r="N358" s="692"/>
      <c r="O358" s="687"/>
    </row>
    <row r="359" spans="4:16" ht="12.75" customHeight="1" x14ac:dyDescent="0.25">
      <c r="I359" s="695"/>
      <c r="J359" s="695"/>
      <c r="K359" s="695"/>
      <c r="L359" s="695"/>
      <c r="M359" s="695"/>
      <c r="N359" s="695"/>
      <c r="O359" s="688"/>
      <c r="P359" s="199">
        <v>274615249.80000001</v>
      </c>
    </row>
    <row r="360" spans="4:16" ht="12.75" customHeight="1" x14ac:dyDescent="0.25">
      <c r="D360" s="1"/>
      <c r="E360" s="1"/>
      <c r="F360" s="1"/>
      <c r="G360" s="1"/>
      <c r="I360" s="691"/>
      <c r="J360" s="691"/>
      <c r="K360" s="691"/>
      <c r="L360" s="691"/>
      <c r="M360" s="694"/>
      <c r="N360" s="692"/>
      <c r="O360" s="687"/>
    </row>
    <row r="361" spans="4:16" ht="12.75" customHeight="1" x14ac:dyDescent="0.25">
      <c r="I361" s="695"/>
      <c r="J361" s="695"/>
      <c r="K361" s="695"/>
      <c r="L361" s="695"/>
      <c r="M361" s="695"/>
      <c r="N361" s="695"/>
      <c r="O361" s="687"/>
    </row>
    <row r="362" spans="4:16" ht="21.75" customHeight="1" x14ac:dyDescent="0.25">
      <c r="I362" s="691"/>
      <c r="J362" s="692"/>
      <c r="K362" s="692"/>
      <c r="L362" s="692"/>
      <c r="M362" s="694"/>
      <c r="N362" s="692"/>
      <c r="O362" s="689"/>
    </row>
    <row r="363" spans="4:16" ht="12.75" customHeight="1" x14ac:dyDescent="0.25">
      <c r="I363" s="695"/>
      <c r="J363" s="695"/>
      <c r="K363" s="695"/>
      <c r="L363" s="695"/>
      <c r="M363" s="695"/>
      <c r="N363" s="695"/>
      <c r="O363" s="687"/>
    </row>
    <row r="364" spans="4:16" ht="12.75" customHeight="1" x14ac:dyDescent="0.25">
      <c r="I364" s="696"/>
      <c r="J364" s="696"/>
      <c r="K364" s="696"/>
      <c r="L364" s="696"/>
      <c r="M364" s="694"/>
      <c r="N364" s="692"/>
      <c r="O364" s="687"/>
    </row>
    <row r="365" spans="4:16" ht="12.75" customHeight="1" x14ac:dyDescent="0.2">
      <c r="I365" s="697"/>
      <c r="J365" s="697"/>
      <c r="K365" s="697"/>
      <c r="L365" s="697"/>
      <c r="M365" s="697"/>
      <c r="N365" s="697"/>
      <c r="O365" s="687"/>
    </row>
    <row r="366" spans="4:16" ht="12.75" customHeight="1" x14ac:dyDescent="0.25">
      <c r="I366" s="698"/>
      <c r="J366" s="692"/>
      <c r="K366" s="692"/>
      <c r="L366" s="692"/>
      <c r="M366" s="694"/>
      <c r="N366" s="692"/>
      <c r="O366" s="687"/>
    </row>
    <row r="367" spans="4:16" ht="12.75" customHeight="1" thickBot="1" x14ac:dyDescent="0.25">
      <c r="I367" s="699"/>
      <c r="J367" s="699"/>
      <c r="K367" s="699"/>
      <c r="L367" s="699"/>
      <c r="M367" s="699"/>
      <c r="N367" s="699"/>
      <c r="O367" s="687"/>
      <c r="P367" s="221" t="s">
        <v>3254</v>
      </c>
    </row>
    <row r="368" spans="4:16" ht="21" customHeight="1" thickBot="1" x14ac:dyDescent="0.25">
      <c r="I368" s="698"/>
      <c r="J368" s="692"/>
      <c r="K368" s="692"/>
      <c r="L368" s="692"/>
      <c r="M368" s="700"/>
      <c r="N368" s="692"/>
      <c r="O368" s="690"/>
      <c r="P368" s="200">
        <f>O368-M368</f>
        <v>0</v>
      </c>
    </row>
    <row r="369" spans="4:15" ht="12.75" customHeight="1" x14ac:dyDescent="0.2"/>
    <row r="370" spans="4:15" ht="15.75" customHeight="1" x14ac:dyDescent="0.35">
      <c r="M370" s="341"/>
      <c r="N370" s="342"/>
      <c r="O370" s="211"/>
    </row>
    <row r="371" spans="4:15" ht="12.75" customHeight="1" x14ac:dyDescent="0.2"/>
    <row r="372" spans="4:15" ht="12.75" customHeight="1" x14ac:dyDescent="0.2"/>
    <row r="373" spans="4:15" ht="12.75" customHeight="1" x14ac:dyDescent="0.2"/>
    <row r="374" spans="4:15" ht="12.75" customHeight="1" x14ac:dyDescent="0.2"/>
    <row r="375" spans="4:15" ht="12.75" customHeight="1" x14ac:dyDescent="0.2">
      <c r="D375" s="32"/>
      <c r="E375" s="32"/>
      <c r="F375" s="32"/>
      <c r="H375" s="389" t="s">
        <v>3200</v>
      </c>
      <c r="I375" s="389"/>
      <c r="J375" s="389"/>
      <c r="K375" s="389"/>
      <c r="L375" s="197" t="s">
        <v>3201</v>
      </c>
      <c r="M375" s="390" t="s">
        <v>3202</v>
      </c>
      <c r="N375" s="355"/>
    </row>
    <row r="376" spans="4:15" ht="12.75" customHeight="1" x14ac:dyDescent="0.2">
      <c r="H376" s="346" t="s">
        <v>75</v>
      </c>
      <c r="I376" s="346"/>
      <c r="J376" s="346"/>
      <c r="K376" s="346"/>
      <c r="L376" s="198">
        <v>1.4262615687121663E-2</v>
      </c>
      <c r="M376" s="354">
        <v>30140416.132557116</v>
      </c>
      <c r="N376" s="355"/>
    </row>
    <row r="377" spans="4:15" ht="12.75" customHeight="1" x14ac:dyDescent="0.2">
      <c r="H377" s="346" t="s">
        <v>3203</v>
      </c>
      <c r="I377" s="346"/>
      <c r="J377" s="346"/>
      <c r="K377" s="346"/>
      <c r="L377" s="198">
        <v>5.669884585932753E-2</v>
      </c>
      <c r="M377" s="354">
        <v>119818611.53132726</v>
      </c>
      <c r="N377" s="355"/>
    </row>
    <row r="378" spans="4:15" ht="12.75" customHeight="1" x14ac:dyDescent="0.2">
      <c r="H378" s="346" t="s">
        <v>3204</v>
      </c>
      <c r="I378" s="346"/>
      <c r="J378" s="346"/>
      <c r="K378" s="346"/>
      <c r="L378" s="198">
        <v>0.10592677476103188</v>
      </c>
      <c r="M378" s="354">
        <v>223849337.38065708</v>
      </c>
      <c r="N378" s="355"/>
    </row>
    <row r="379" spans="4:15" ht="12.75" customHeight="1" x14ac:dyDescent="0.2">
      <c r="H379" s="346" t="s">
        <v>3205</v>
      </c>
      <c r="I379" s="346"/>
      <c r="J379" s="346"/>
      <c r="K379" s="346"/>
      <c r="L379" s="198">
        <v>3.945654115523016E-2</v>
      </c>
      <c r="M379" s="354">
        <v>83381379.380769297</v>
      </c>
      <c r="N379" s="355"/>
    </row>
    <row r="380" spans="4:15" ht="12.75" customHeight="1" x14ac:dyDescent="0.2">
      <c r="H380" s="346" t="s">
        <v>3206</v>
      </c>
      <c r="I380" s="346"/>
      <c r="J380" s="346"/>
      <c r="K380" s="346"/>
      <c r="L380" s="198">
        <v>6.6144040948797431E-2</v>
      </c>
      <c r="M380" s="354">
        <v>139778632.65892866</v>
      </c>
      <c r="N380" s="355"/>
    </row>
    <row r="381" spans="4:15" ht="12.75" customHeight="1" x14ac:dyDescent="0.2">
      <c r="H381" s="346" t="s">
        <v>3199</v>
      </c>
      <c r="I381" s="346"/>
      <c r="J381" s="346"/>
      <c r="K381" s="346"/>
      <c r="L381" s="198">
        <v>6.6144040948797431E-2</v>
      </c>
      <c r="M381" s="354">
        <v>139778632.65892866</v>
      </c>
      <c r="N381" s="355"/>
    </row>
    <row r="382" spans="4:15" ht="12.75" customHeight="1" x14ac:dyDescent="0.2">
      <c r="H382" s="346" t="s">
        <v>3207</v>
      </c>
      <c r="I382" s="346"/>
      <c r="J382" s="346"/>
      <c r="K382" s="346"/>
      <c r="L382" s="198">
        <v>0.11581771456373197</v>
      </c>
      <c r="M382" s="354">
        <v>244751326.75870892</v>
      </c>
      <c r="N382" s="355"/>
    </row>
    <row r="383" spans="4:15" ht="12.75" customHeight="1" x14ac:dyDescent="0.2">
      <c r="H383" s="346" t="s">
        <v>3208</v>
      </c>
      <c r="I383" s="346"/>
      <c r="J383" s="346"/>
      <c r="K383" s="346"/>
      <c r="L383" s="198">
        <v>0.11524101329055225</v>
      </c>
      <c r="M383" s="354">
        <v>243532615.07642564</v>
      </c>
      <c r="N383" s="355"/>
    </row>
    <row r="384" spans="4:15" ht="12.75" customHeight="1" x14ac:dyDescent="0.2">
      <c r="H384" s="346" t="s">
        <v>3211</v>
      </c>
      <c r="I384" s="346"/>
      <c r="J384" s="346"/>
      <c r="K384" s="346"/>
      <c r="L384" s="198">
        <v>0.31399582600004849</v>
      </c>
      <c r="M384" s="354">
        <v>663550436.12882912</v>
      </c>
      <c r="N384" s="355"/>
    </row>
    <row r="385" spans="4:14" ht="12.75" customHeight="1" x14ac:dyDescent="0.2">
      <c r="H385" s="346" t="s">
        <v>3209</v>
      </c>
      <c r="I385" s="346"/>
      <c r="J385" s="346"/>
      <c r="K385" s="346"/>
      <c r="L385" s="198">
        <v>7.1190161088451845E-2</v>
      </c>
      <c r="M385" s="354">
        <v>150442326.06555897</v>
      </c>
      <c r="N385" s="355"/>
    </row>
    <row r="386" spans="4:14" ht="12.75" customHeight="1" x14ac:dyDescent="0.2">
      <c r="H386" s="346" t="s">
        <v>3210</v>
      </c>
      <c r="I386" s="346"/>
      <c r="J386" s="346"/>
      <c r="K386" s="346"/>
      <c r="L386" s="198">
        <v>3.5122425696909272E-2</v>
      </c>
      <c r="M386" s="354">
        <v>74222327.048012868</v>
      </c>
      <c r="N386" s="355"/>
    </row>
    <row r="387" spans="4:14" ht="12.75" customHeight="1" x14ac:dyDescent="0.2"/>
    <row r="388" spans="4:14" ht="12.75" customHeight="1" x14ac:dyDescent="0.25">
      <c r="I388" s="350" t="s">
        <v>437</v>
      </c>
      <c r="J388" s="271"/>
      <c r="K388" s="271"/>
      <c r="L388" s="273"/>
      <c r="M388" s="385">
        <v>2113246040.8207037</v>
      </c>
      <c r="N388" s="273"/>
    </row>
    <row r="389" spans="4:14" ht="12.75" customHeight="1" x14ac:dyDescent="0.25">
      <c r="I389" s="350" t="s">
        <v>438</v>
      </c>
      <c r="J389" s="271"/>
      <c r="K389" s="311"/>
      <c r="L389" s="11">
        <v>0.23247686894007163</v>
      </c>
      <c r="M389" s="385">
        <v>491280822.87</v>
      </c>
      <c r="N389" s="273"/>
    </row>
    <row r="390" spans="4:14" ht="12.75" customHeight="1" x14ac:dyDescent="0.25">
      <c r="I390" s="350" t="s">
        <v>439</v>
      </c>
      <c r="J390" s="271"/>
      <c r="K390" s="311"/>
      <c r="L390" s="11">
        <v>0.03</v>
      </c>
      <c r="M390" s="385">
        <v>63397381</v>
      </c>
      <c r="N390" s="273"/>
    </row>
    <row r="391" spans="4:14" ht="12.75" customHeight="1" x14ac:dyDescent="0.25">
      <c r="I391" s="350" t="s">
        <v>440</v>
      </c>
      <c r="J391" s="271"/>
      <c r="K391" s="311"/>
      <c r="L391" s="11">
        <v>0.03</v>
      </c>
      <c r="M391" s="385">
        <v>63397381</v>
      </c>
      <c r="N391" s="273"/>
    </row>
    <row r="392" spans="4:14" ht="12.75" customHeight="1" x14ac:dyDescent="0.25">
      <c r="I392" s="356" t="s">
        <v>441</v>
      </c>
      <c r="J392" s="271"/>
      <c r="K392" s="311"/>
      <c r="L392" s="38">
        <v>0.29247686872748768</v>
      </c>
      <c r="M392" s="385">
        <v>618075584.87</v>
      </c>
      <c r="N392" s="273"/>
    </row>
    <row r="393" spans="4:14" ht="12.75" customHeight="1" x14ac:dyDescent="0.25">
      <c r="I393" s="350" t="s">
        <v>442</v>
      </c>
      <c r="J393" s="271"/>
      <c r="K393" s="271"/>
      <c r="L393" s="273"/>
      <c r="M393" s="385">
        <v>2731321625.6907039</v>
      </c>
      <c r="N393" s="273"/>
    </row>
    <row r="394" spans="4:14" ht="12.75" customHeight="1" x14ac:dyDescent="0.25">
      <c r="I394" s="4"/>
      <c r="J394" s="4"/>
      <c r="K394" s="4"/>
      <c r="L394" s="4"/>
      <c r="M394" s="4"/>
      <c r="N394" s="4"/>
    </row>
    <row r="395" spans="4:14" ht="12.75" customHeight="1" x14ac:dyDescent="0.25">
      <c r="I395" s="350" t="s">
        <v>443</v>
      </c>
      <c r="J395" s="271"/>
      <c r="K395" s="273"/>
      <c r="L395" s="39">
        <v>9.1585837291037198E-2</v>
      </c>
      <c r="M395" s="385">
        <v>250150378</v>
      </c>
      <c r="N395" s="273"/>
    </row>
    <row r="396" spans="4:14" ht="12.75" customHeight="1" x14ac:dyDescent="0.25">
      <c r="I396" s="4"/>
      <c r="J396" s="4"/>
      <c r="K396" s="4"/>
      <c r="L396" s="4"/>
      <c r="M396" s="4"/>
      <c r="N396" s="4"/>
    </row>
    <row r="397" spans="4:14" ht="12.75" customHeight="1" x14ac:dyDescent="0.25">
      <c r="I397" s="350" t="s">
        <v>3215</v>
      </c>
      <c r="J397" s="271"/>
      <c r="K397" s="271"/>
      <c r="L397" s="273"/>
      <c r="M397" s="385">
        <v>213815310.08825397</v>
      </c>
      <c r="N397" s="273"/>
    </row>
    <row r="398" spans="4:14" ht="12.75" customHeight="1" x14ac:dyDescent="0.25">
      <c r="I398" s="4"/>
      <c r="J398" s="4"/>
      <c r="K398" s="4"/>
      <c r="L398" s="4"/>
      <c r="M398" s="4"/>
      <c r="N398" s="4"/>
    </row>
    <row r="399" spans="4:14" ht="12.75" customHeight="1" thickBot="1" x14ac:dyDescent="0.3">
      <c r="D399" s="1"/>
      <c r="E399" s="1"/>
      <c r="F399" s="1"/>
      <c r="G399" s="1"/>
      <c r="I399" s="351" t="s">
        <v>3212</v>
      </c>
      <c r="J399" s="352"/>
      <c r="K399" s="352"/>
      <c r="L399" s="353"/>
      <c r="M399" s="385">
        <v>108402337.8</v>
      </c>
      <c r="N399" s="273"/>
    </row>
    <row r="400" spans="4:14" ht="12.75" customHeight="1" thickTop="1" x14ac:dyDescent="0.25">
      <c r="D400" s="302" t="s">
        <v>71</v>
      </c>
      <c r="E400" s="302"/>
      <c r="F400" s="302"/>
      <c r="G400" s="302"/>
      <c r="I400" s="4"/>
      <c r="J400" s="4"/>
      <c r="K400" s="4"/>
      <c r="L400" s="4"/>
      <c r="M400" s="4"/>
      <c r="N400" s="4"/>
    </row>
    <row r="401" spans="4:14" ht="12.75" customHeight="1" x14ac:dyDescent="0.25">
      <c r="D401" s="303" t="s">
        <v>72</v>
      </c>
      <c r="E401" s="303"/>
      <c r="F401" s="303"/>
      <c r="G401" s="303"/>
      <c r="I401" s="350" t="s">
        <v>3213</v>
      </c>
      <c r="J401" s="271"/>
      <c r="K401" s="271"/>
      <c r="L401" s="273"/>
      <c r="M401" s="385">
        <v>100764657</v>
      </c>
      <c r="N401" s="273"/>
    </row>
    <row r="402" spans="4:14" ht="12.75" customHeight="1" x14ac:dyDescent="0.25">
      <c r="D402" s="303" t="s">
        <v>73</v>
      </c>
      <c r="E402" s="303"/>
      <c r="F402" s="303"/>
      <c r="G402" s="303"/>
      <c r="I402" s="4"/>
      <c r="J402" s="4"/>
      <c r="K402" s="4"/>
      <c r="L402" s="4"/>
      <c r="M402" s="4"/>
      <c r="N402" s="4"/>
    </row>
    <row r="403" spans="4:14" ht="12.75" customHeight="1" x14ac:dyDescent="0.25">
      <c r="I403" s="343" t="s">
        <v>3214</v>
      </c>
      <c r="J403" s="344"/>
      <c r="K403" s="344"/>
      <c r="L403" s="345"/>
      <c r="M403" s="385">
        <v>65448255</v>
      </c>
      <c r="N403" s="273"/>
    </row>
    <row r="404" spans="4:14" ht="12.75" customHeight="1" x14ac:dyDescent="0.2">
      <c r="I404" s="22"/>
      <c r="J404" s="22"/>
      <c r="K404" s="22"/>
      <c r="L404" s="22"/>
      <c r="M404" s="22"/>
      <c r="N404" s="22"/>
    </row>
    <row r="405" spans="4:14" ht="12.75" customHeight="1" x14ac:dyDescent="0.25">
      <c r="I405" s="356" t="s">
        <v>444</v>
      </c>
      <c r="J405" s="271"/>
      <c r="K405" s="271"/>
      <c r="L405" s="273"/>
      <c r="M405" s="385">
        <v>3469902564</v>
      </c>
      <c r="N405" s="273"/>
    </row>
    <row r="406" spans="4:14" ht="12.75" customHeight="1" x14ac:dyDescent="0.2"/>
    <row r="407" spans="4:14" ht="12.75" customHeight="1" x14ac:dyDescent="0.2">
      <c r="I407" s="356" t="s">
        <v>445</v>
      </c>
      <c r="J407" s="271"/>
      <c r="K407" s="271"/>
      <c r="L407" s="273"/>
      <c r="M407" s="357">
        <f>ROUND(M405,0)</f>
        <v>3469902564</v>
      </c>
      <c r="N407" s="273"/>
    </row>
    <row r="408" spans="4:14" ht="12.75" customHeight="1" x14ac:dyDescent="0.2"/>
    <row r="409" spans="4:14" ht="12.75" customHeight="1" x14ac:dyDescent="0.2"/>
    <row r="410" spans="4:14" ht="12.75" customHeight="1" x14ac:dyDescent="0.2"/>
    <row r="411" spans="4:14" ht="12.75" customHeight="1" x14ac:dyDescent="0.2"/>
    <row r="412" spans="4:14" ht="12.75" customHeight="1" x14ac:dyDescent="0.2"/>
    <row r="413" spans="4:14" ht="12.75" customHeight="1" x14ac:dyDescent="0.2"/>
    <row r="414" spans="4:14" ht="12.75" customHeight="1" x14ac:dyDescent="0.2"/>
    <row r="415" spans="4:14" ht="12.75" customHeight="1" x14ac:dyDescent="0.2"/>
    <row r="416" spans="4:14" ht="12.75" customHeight="1" x14ac:dyDescent="0.2"/>
    <row r="417" spans="13:14" ht="12.75" customHeight="1" x14ac:dyDescent="0.2"/>
    <row r="418" spans="13:14" ht="12.75" customHeight="1" x14ac:dyDescent="0.2">
      <c r="M418" s="391">
        <f>+M393</f>
        <v>2731321625.6907039</v>
      </c>
      <c r="N418" s="391"/>
    </row>
    <row r="419" spans="13:14" ht="12.75" customHeight="1" x14ac:dyDescent="0.2">
      <c r="M419" s="392">
        <v>7163098312</v>
      </c>
      <c r="N419" s="392"/>
    </row>
    <row r="420" spans="13:14" ht="12.75" customHeight="1" x14ac:dyDescent="0.2"/>
    <row r="421" spans="13:14" ht="12.75" customHeight="1" x14ac:dyDescent="0.2"/>
    <row r="422" spans="13:14" ht="12.75" customHeight="1" x14ac:dyDescent="0.2">
      <c r="M422" s="392">
        <f>+M418+M419</f>
        <v>9894419937.6907043</v>
      </c>
      <c r="N422" s="392"/>
    </row>
    <row r="423" spans="13:14" ht="12.75" customHeight="1" x14ac:dyDescent="0.2"/>
    <row r="424" spans="13:14" ht="12.75" customHeight="1" x14ac:dyDescent="0.2"/>
    <row r="425" spans="13:14" ht="12.75" customHeight="1" x14ac:dyDescent="0.2"/>
    <row r="426" spans="13:14" ht="12.75" customHeight="1" x14ac:dyDescent="0.2"/>
    <row r="427" spans="13:14" ht="12.75" customHeight="1" x14ac:dyDescent="0.2"/>
    <row r="428" spans="13:14" ht="12.75" customHeight="1" x14ac:dyDescent="0.2"/>
    <row r="429" spans="13:14" ht="12.75" customHeight="1" x14ac:dyDescent="0.2"/>
    <row r="430" spans="13:14" ht="12.75" customHeight="1" x14ac:dyDescent="0.2"/>
    <row r="431" spans="13:14" ht="12.75" customHeight="1" x14ac:dyDescent="0.2"/>
    <row r="432" spans="13:14"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sheetData>
  <mergeCells count="936">
    <mergeCell ref="M418:N418"/>
    <mergeCell ref="M419:N419"/>
    <mergeCell ref="M422:N422"/>
    <mergeCell ref="I405:L405"/>
    <mergeCell ref="M405:N405"/>
    <mergeCell ref="I407:L407"/>
    <mergeCell ref="M407:N407"/>
    <mergeCell ref="I399:L399"/>
    <mergeCell ref="M399:N399"/>
    <mergeCell ref="D400:G400"/>
    <mergeCell ref="D401:G401"/>
    <mergeCell ref="I401:L401"/>
    <mergeCell ref="M401:N401"/>
    <mergeCell ref="D402:G402"/>
    <mergeCell ref="I403:L403"/>
    <mergeCell ref="M403:N403"/>
    <mergeCell ref="I391:K391"/>
    <mergeCell ref="M391:N391"/>
    <mergeCell ref="I392:K392"/>
    <mergeCell ref="M392:N392"/>
    <mergeCell ref="I393:L393"/>
    <mergeCell ref="M393:N393"/>
    <mergeCell ref="I395:K395"/>
    <mergeCell ref="M395:N395"/>
    <mergeCell ref="I397:L397"/>
    <mergeCell ref="M397:N397"/>
    <mergeCell ref="H385:K385"/>
    <mergeCell ref="M385:N385"/>
    <mergeCell ref="H386:K386"/>
    <mergeCell ref="M386:N386"/>
    <mergeCell ref="I388:L388"/>
    <mergeCell ref="M388:N388"/>
    <mergeCell ref="I389:K389"/>
    <mergeCell ref="M389:N389"/>
    <mergeCell ref="I390:K390"/>
    <mergeCell ref="M390:N390"/>
    <mergeCell ref="H380:K380"/>
    <mergeCell ref="M380:N380"/>
    <mergeCell ref="H381:K381"/>
    <mergeCell ref="M381:N381"/>
    <mergeCell ref="H382:K382"/>
    <mergeCell ref="M382:N382"/>
    <mergeCell ref="H383:K383"/>
    <mergeCell ref="M383:N383"/>
    <mergeCell ref="H384:K384"/>
    <mergeCell ref="M384:N384"/>
    <mergeCell ref="H375:K375"/>
    <mergeCell ref="M375:N375"/>
    <mergeCell ref="H376:K376"/>
    <mergeCell ref="M376:N376"/>
    <mergeCell ref="H377:K377"/>
    <mergeCell ref="M377:N377"/>
    <mergeCell ref="H378:K378"/>
    <mergeCell ref="M378:N378"/>
    <mergeCell ref="H379:K379"/>
    <mergeCell ref="M379:N379"/>
    <mergeCell ref="B184:H184"/>
    <mergeCell ref="K184:L184"/>
    <mergeCell ref="M184:N184"/>
    <mergeCell ref="B185:H185"/>
    <mergeCell ref="K185:L185"/>
    <mergeCell ref="M185:N185"/>
    <mergeCell ref="B181:H181"/>
    <mergeCell ref="K181:L181"/>
    <mergeCell ref="M181:N181"/>
    <mergeCell ref="B182:H182"/>
    <mergeCell ref="K182:L182"/>
    <mergeCell ref="M182:N182"/>
    <mergeCell ref="B183:H183"/>
    <mergeCell ref="K183:L183"/>
    <mergeCell ref="M183:N183"/>
    <mergeCell ref="B178:H178"/>
    <mergeCell ref="K178:L178"/>
    <mergeCell ref="M178:N178"/>
    <mergeCell ref="B179:H179"/>
    <mergeCell ref="K179:L179"/>
    <mergeCell ref="M179:N179"/>
    <mergeCell ref="B180:H180"/>
    <mergeCell ref="K180:L180"/>
    <mergeCell ref="M180:N180"/>
    <mergeCell ref="B174:N174"/>
    <mergeCell ref="B175:H175"/>
    <mergeCell ref="K175:L175"/>
    <mergeCell ref="M175:N175"/>
    <mergeCell ref="B176:H176"/>
    <mergeCell ref="K176:L176"/>
    <mergeCell ref="M176:N176"/>
    <mergeCell ref="B177:H177"/>
    <mergeCell ref="K177:L177"/>
    <mergeCell ref="M177:N177"/>
    <mergeCell ref="B170:N170"/>
    <mergeCell ref="B171:H171"/>
    <mergeCell ref="K171:L171"/>
    <mergeCell ref="M171:N171"/>
    <mergeCell ref="B172:H172"/>
    <mergeCell ref="K172:L172"/>
    <mergeCell ref="M172:N172"/>
    <mergeCell ref="B173:H173"/>
    <mergeCell ref="K173:L173"/>
    <mergeCell ref="M173:N173"/>
    <mergeCell ref="B167:H167"/>
    <mergeCell ref="K167:L167"/>
    <mergeCell ref="M167:N167"/>
    <mergeCell ref="B168:H168"/>
    <mergeCell ref="K168:L168"/>
    <mergeCell ref="M168:N168"/>
    <mergeCell ref="B169:H169"/>
    <mergeCell ref="K169:L169"/>
    <mergeCell ref="M169:N169"/>
    <mergeCell ref="B164:H164"/>
    <mergeCell ref="K164:L164"/>
    <mergeCell ref="M164:N164"/>
    <mergeCell ref="B165:H165"/>
    <mergeCell ref="K165:L165"/>
    <mergeCell ref="M165:N165"/>
    <mergeCell ref="B166:H166"/>
    <mergeCell ref="K166:L166"/>
    <mergeCell ref="M166:N166"/>
    <mergeCell ref="B159:N159"/>
    <mergeCell ref="B160:H160"/>
    <mergeCell ref="K160:L160"/>
    <mergeCell ref="M160:N160"/>
    <mergeCell ref="B161:H161"/>
    <mergeCell ref="K161:L161"/>
    <mergeCell ref="M161:N161"/>
    <mergeCell ref="B162:N162"/>
    <mergeCell ref="B163:H163"/>
    <mergeCell ref="K163:L163"/>
    <mergeCell ref="M163:N163"/>
    <mergeCell ref="B156:H156"/>
    <mergeCell ref="K156:L156"/>
    <mergeCell ref="M156:N156"/>
    <mergeCell ref="B157:H157"/>
    <mergeCell ref="K157:L157"/>
    <mergeCell ref="M157:N157"/>
    <mergeCell ref="B158:H158"/>
    <mergeCell ref="K158:L158"/>
    <mergeCell ref="M158:N158"/>
    <mergeCell ref="C345:F345"/>
    <mergeCell ref="C346:F346"/>
    <mergeCell ref="C347:F347"/>
    <mergeCell ref="M348:N348"/>
    <mergeCell ref="I350:K350"/>
    <mergeCell ref="I351:K351"/>
    <mergeCell ref="B319:H319"/>
    <mergeCell ref="M346:N346"/>
    <mergeCell ref="K319:L319"/>
    <mergeCell ref="K321:L321"/>
    <mergeCell ref="M321:N321"/>
    <mergeCell ref="M362:N362"/>
    <mergeCell ref="M354:N354"/>
    <mergeCell ref="M356:N356"/>
    <mergeCell ref="I356:K356"/>
    <mergeCell ref="I358:L358"/>
    <mergeCell ref="M358:N358"/>
    <mergeCell ref="M329:N329"/>
    <mergeCell ref="H335:K335"/>
    <mergeCell ref="M335:N335"/>
    <mergeCell ref="H336:K336"/>
    <mergeCell ref="M336:N336"/>
    <mergeCell ref="H337:K337"/>
    <mergeCell ref="M337:N337"/>
    <mergeCell ref="B285:H285"/>
    <mergeCell ref="K285:L285"/>
    <mergeCell ref="M285:N285"/>
    <mergeCell ref="B286:N286"/>
    <mergeCell ref="K287:L287"/>
    <mergeCell ref="M287:N287"/>
    <mergeCell ref="B287:H287"/>
    <mergeCell ref="I352:K352"/>
    <mergeCell ref="M352:N352"/>
    <mergeCell ref="M309:N309"/>
    <mergeCell ref="A310:H310"/>
    <mergeCell ref="K310:L310"/>
    <mergeCell ref="M310:N310"/>
    <mergeCell ref="B311:N311"/>
    <mergeCell ref="M350:N350"/>
    <mergeCell ref="M351:N351"/>
    <mergeCell ref="I348:L348"/>
    <mergeCell ref="B312:H312"/>
    <mergeCell ref="K312:L312"/>
    <mergeCell ref="M312:N312"/>
    <mergeCell ref="B313:H313"/>
    <mergeCell ref="M313:N313"/>
    <mergeCell ref="M339:N339"/>
    <mergeCell ref="B314:H314"/>
    <mergeCell ref="B315:H315"/>
    <mergeCell ref="B316:H316"/>
    <mergeCell ref="B317:H317"/>
    <mergeCell ref="B318:H318"/>
    <mergeCell ref="B321:H321"/>
    <mergeCell ref="K324:L324"/>
    <mergeCell ref="B326:H326"/>
    <mergeCell ref="K326:L326"/>
    <mergeCell ref="M326:N326"/>
    <mergeCell ref="K318:L318"/>
    <mergeCell ref="M318:N318"/>
    <mergeCell ref="M319:N319"/>
    <mergeCell ref="B320:H320"/>
    <mergeCell ref="K320:L320"/>
    <mergeCell ref="M320:N320"/>
    <mergeCell ref="K315:L315"/>
    <mergeCell ref="K316:L316"/>
    <mergeCell ref="K317:L317"/>
    <mergeCell ref="K329:L329"/>
    <mergeCell ref="H338:K338"/>
    <mergeCell ref="M338:N338"/>
    <mergeCell ref="M330:N330"/>
    <mergeCell ref="B331:H331"/>
    <mergeCell ref="B332:H332"/>
    <mergeCell ref="K332:L332"/>
    <mergeCell ref="M332:N332"/>
    <mergeCell ref="B333:H333"/>
    <mergeCell ref="K333:L333"/>
    <mergeCell ref="M333:N333"/>
    <mergeCell ref="H339:K339"/>
    <mergeCell ref="M360:N360"/>
    <mergeCell ref="I353:K353"/>
    <mergeCell ref="M353:N353"/>
    <mergeCell ref="B322:H322"/>
    <mergeCell ref="K322:L322"/>
    <mergeCell ref="M322:N322"/>
    <mergeCell ref="B323:H323"/>
    <mergeCell ref="K323:L323"/>
    <mergeCell ref="M323:N323"/>
    <mergeCell ref="B324:H324"/>
    <mergeCell ref="B325:H325"/>
    <mergeCell ref="K325:L325"/>
    <mergeCell ref="M325:N325"/>
    <mergeCell ref="M324:N324"/>
    <mergeCell ref="M327:N327"/>
    <mergeCell ref="B328:H328"/>
    <mergeCell ref="K328:L328"/>
    <mergeCell ref="M328:N328"/>
    <mergeCell ref="B329:H329"/>
    <mergeCell ref="K331:L331"/>
    <mergeCell ref="M331:N331"/>
    <mergeCell ref="B330:H330"/>
    <mergeCell ref="K330:L330"/>
    <mergeCell ref="M17:N17"/>
    <mergeCell ref="B17:H17"/>
    <mergeCell ref="B34:H34"/>
    <mergeCell ref="K6:L6"/>
    <mergeCell ref="M29:N29"/>
    <mergeCell ref="B11:N11"/>
    <mergeCell ref="B12:H12"/>
    <mergeCell ref="K12:L12"/>
    <mergeCell ref="M12:N12"/>
    <mergeCell ref="B13:N13"/>
    <mergeCell ref="K14:L14"/>
    <mergeCell ref="M14:N14"/>
    <mergeCell ref="K16:L16"/>
    <mergeCell ref="K17:L17"/>
    <mergeCell ref="B14:H14"/>
    <mergeCell ref="B15:H15"/>
    <mergeCell ref="K15:L15"/>
    <mergeCell ref="M15:N15"/>
    <mergeCell ref="B16:H16"/>
    <mergeCell ref="K18:L18"/>
    <mergeCell ref="M18:N18"/>
    <mergeCell ref="K20:L20"/>
    <mergeCell ref="K21:L21"/>
    <mergeCell ref="K24:L24"/>
    <mergeCell ref="M24:N24"/>
    <mergeCell ref="B24:H24"/>
    <mergeCell ref="B327:H327"/>
    <mergeCell ref="K327:L327"/>
    <mergeCell ref="B25:H25"/>
    <mergeCell ref="M25:N25"/>
    <mergeCell ref="A1:L3"/>
    <mergeCell ref="M1:N1"/>
    <mergeCell ref="M2:N3"/>
    <mergeCell ref="M5:N5"/>
    <mergeCell ref="M6:N6"/>
    <mergeCell ref="K10:L10"/>
    <mergeCell ref="M10:N10"/>
    <mergeCell ref="A6:H6"/>
    <mergeCell ref="B7:N7"/>
    <mergeCell ref="B8:H8"/>
    <mergeCell ref="K8:L8"/>
    <mergeCell ref="M8:N8"/>
    <mergeCell ref="B9:N9"/>
    <mergeCell ref="B10:H10"/>
    <mergeCell ref="B32:H32"/>
    <mergeCell ref="K32:L32"/>
    <mergeCell ref="M16:N16"/>
    <mergeCell ref="B18:H18"/>
    <mergeCell ref="B19:N19"/>
    <mergeCell ref="B20:H20"/>
    <mergeCell ref="M20:N20"/>
    <mergeCell ref="M21:N21"/>
    <mergeCell ref="B21:H21"/>
    <mergeCell ref="B22:N22"/>
    <mergeCell ref="B23:H23"/>
    <mergeCell ref="K23:L23"/>
    <mergeCell ref="M23:N23"/>
    <mergeCell ref="K25:L25"/>
    <mergeCell ref="B26:H26"/>
    <mergeCell ref="K26:L26"/>
    <mergeCell ref="K27:L27"/>
    <mergeCell ref="K28:L28"/>
    <mergeCell ref="K29:L29"/>
    <mergeCell ref="M30:N30"/>
    <mergeCell ref="K30:L30"/>
    <mergeCell ref="K31:L31"/>
    <mergeCell ref="M26:N26"/>
    <mergeCell ref="M27:N27"/>
    <mergeCell ref="M28:N28"/>
    <mergeCell ref="B27:H27"/>
    <mergeCell ref="B28:H28"/>
    <mergeCell ref="B29:H29"/>
    <mergeCell ref="B30:H30"/>
    <mergeCell ref="B31:H31"/>
    <mergeCell ref="M36:N36"/>
    <mergeCell ref="K33:L33"/>
    <mergeCell ref="M31:N31"/>
    <mergeCell ref="M32:N32"/>
    <mergeCell ref="M33:N33"/>
    <mergeCell ref="K34:L34"/>
    <mergeCell ref="M34:N34"/>
    <mergeCell ref="B33:H33"/>
    <mergeCell ref="K45:L45"/>
    <mergeCell ref="M45:N45"/>
    <mergeCell ref="M58:N58"/>
    <mergeCell ref="K59:L59"/>
    <mergeCell ref="M59:N59"/>
    <mergeCell ref="A59:H59"/>
    <mergeCell ref="B60:N60"/>
    <mergeCell ref="K37:L37"/>
    <mergeCell ref="M37:N37"/>
    <mergeCell ref="A37:H37"/>
    <mergeCell ref="B38:N38"/>
    <mergeCell ref="B39:H39"/>
    <mergeCell ref="K39:L39"/>
    <mergeCell ref="M39:N39"/>
    <mergeCell ref="B40:N40"/>
    <mergeCell ref="B41:H41"/>
    <mergeCell ref="K41:L41"/>
    <mergeCell ref="M41:N41"/>
    <mergeCell ref="B42:N42"/>
    <mergeCell ref="K43:L43"/>
    <mergeCell ref="M43:N43"/>
    <mergeCell ref="B43:H43"/>
    <mergeCell ref="B44:H44"/>
    <mergeCell ref="K44:L44"/>
    <mergeCell ref="M44:N44"/>
    <mergeCell ref="B45:H45"/>
    <mergeCell ref="B55:N55"/>
    <mergeCell ref="M54:N54"/>
    <mergeCell ref="B51:H51"/>
    <mergeCell ref="K51:L51"/>
    <mergeCell ref="M51:N51"/>
    <mergeCell ref="K54:L54"/>
    <mergeCell ref="B52:N52"/>
    <mergeCell ref="B53:H53"/>
    <mergeCell ref="K53:L53"/>
    <mergeCell ref="M53:N53"/>
    <mergeCell ref="B54:H54"/>
    <mergeCell ref="B46:N46"/>
    <mergeCell ref="B47:H47"/>
    <mergeCell ref="K47:L47"/>
    <mergeCell ref="M47:N47"/>
    <mergeCell ref="B48:H48"/>
    <mergeCell ref="K48:L48"/>
    <mergeCell ref="M48:N48"/>
    <mergeCell ref="B49:N49"/>
    <mergeCell ref="B50:H50"/>
    <mergeCell ref="K50:L50"/>
    <mergeCell ref="M50:N50"/>
    <mergeCell ref="B84:N84"/>
    <mergeCell ref="B85:H85"/>
    <mergeCell ref="K85:L85"/>
    <mergeCell ref="M85:N85"/>
    <mergeCell ref="M87:N87"/>
    <mergeCell ref="B82:H82"/>
    <mergeCell ref="K82:L82"/>
    <mergeCell ref="B56:H56"/>
    <mergeCell ref="K56:L56"/>
    <mergeCell ref="M56:N56"/>
    <mergeCell ref="B65:H65"/>
    <mergeCell ref="K65:L65"/>
    <mergeCell ref="B67:H67"/>
    <mergeCell ref="K67:L67"/>
    <mergeCell ref="M67:N67"/>
    <mergeCell ref="B68:H68"/>
    <mergeCell ref="K68:L68"/>
    <mergeCell ref="M68:N68"/>
    <mergeCell ref="B69:H69"/>
    <mergeCell ref="K69:L69"/>
    <mergeCell ref="M69:N69"/>
    <mergeCell ref="B61:H61"/>
    <mergeCell ref="K61:L61"/>
    <mergeCell ref="M61:N61"/>
    <mergeCell ref="B79:H79"/>
    <mergeCell ref="K79:L79"/>
    <mergeCell ref="M79:N79"/>
    <mergeCell ref="K76:L76"/>
    <mergeCell ref="M76:N76"/>
    <mergeCell ref="K78:L78"/>
    <mergeCell ref="M78:N78"/>
    <mergeCell ref="B78:H78"/>
    <mergeCell ref="B76:H76"/>
    <mergeCell ref="B77:H77"/>
    <mergeCell ref="K77:L77"/>
    <mergeCell ref="M77:N77"/>
    <mergeCell ref="B62:N62"/>
    <mergeCell ref="B63:H63"/>
    <mergeCell ref="B74:H74"/>
    <mergeCell ref="B75:H75"/>
    <mergeCell ref="B71:H71"/>
    <mergeCell ref="K71:L71"/>
    <mergeCell ref="M71:N71"/>
    <mergeCell ref="B72:N72"/>
    <mergeCell ref="B73:H73"/>
    <mergeCell ref="M65:N65"/>
    <mergeCell ref="B66:N66"/>
    <mergeCell ref="K73:L73"/>
    <mergeCell ref="K74:L74"/>
    <mergeCell ref="K75:L75"/>
    <mergeCell ref="M75:N75"/>
    <mergeCell ref="B70:N70"/>
    <mergeCell ref="M73:N73"/>
    <mergeCell ref="M74:N74"/>
    <mergeCell ref="K63:L63"/>
    <mergeCell ref="M63:N63"/>
    <mergeCell ref="B64:N64"/>
    <mergeCell ref="B93:N93"/>
    <mergeCell ref="B94:H94"/>
    <mergeCell ref="K94:L94"/>
    <mergeCell ref="M94:N94"/>
    <mergeCell ref="K95:L95"/>
    <mergeCell ref="M95:N95"/>
    <mergeCell ref="B101:H101"/>
    <mergeCell ref="B102:N102"/>
    <mergeCell ref="M99:N99"/>
    <mergeCell ref="B100:H100"/>
    <mergeCell ref="M100:N100"/>
    <mergeCell ref="K101:L101"/>
    <mergeCell ref="M101:N101"/>
    <mergeCell ref="A88:H88"/>
    <mergeCell ref="K88:L88"/>
    <mergeCell ref="M88:N88"/>
    <mergeCell ref="B89:N89"/>
    <mergeCell ref="K90:L90"/>
    <mergeCell ref="M90:N90"/>
    <mergeCell ref="B90:H90"/>
    <mergeCell ref="B91:N91"/>
    <mergeCell ref="B92:H92"/>
    <mergeCell ref="K92:L92"/>
    <mergeCell ref="M92:N92"/>
    <mergeCell ref="B104:N104"/>
    <mergeCell ref="B105:H105"/>
    <mergeCell ref="K105:L105"/>
    <mergeCell ref="M105:N105"/>
    <mergeCell ref="B95:H95"/>
    <mergeCell ref="B96:H96"/>
    <mergeCell ref="K96:L96"/>
    <mergeCell ref="M96:N96"/>
    <mergeCell ref="B97:N97"/>
    <mergeCell ref="K98:L98"/>
    <mergeCell ref="M98:N98"/>
    <mergeCell ref="K100:L100"/>
    <mergeCell ref="B98:H98"/>
    <mergeCell ref="B99:H99"/>
    <mergeCell ref="K99:L99"/>
    <mergeCell ref="B103:H103"/>
    <mergeCell ref="K103:L103"/>
    <mergeCell ref="M103:N103"/>
    <mergeCell ref="M82:N82"/>
    <mergeCell ref="B83:H83"/>
    <mergeCell ref="K83:L83"/>
    <mergeCell ref="M83:N83"/>
    <mergeCell ref="K81:L81"/>
    <mergeCell ref="M81:N81"/>
    <mergeCell ref="B80:H80"/>
    <mergeCell ref="K80:L80"/>
    <mergeCell ref="M80:N80"/>
    <mergeCell ref="B81:H81"/>
    <mergeCell ref="K110:L110"/>
    <mergeCell ref="K111:L111"/>
    <mergeCell ref="B109:H109"/>
    <mergeCell ref="B110:H110"/>
    <mergeCell ref="M110:N110"/>
    <mergeCell ref="M111:N111"/>
    <mergeCell ref="B106:H106"/>
    <mergeCell ref="M106:N106"/>
    <mergeCell ref="K108:L108"/>
    <mergeCell ref="K109:L109"/>
    <mergeCell ref="B107:H107"/>
    <mergeCell ref="K107:L107"/>
    <mergeCell ref="M107:N107"/>
    <mergeCell ref="B108:H108"/>
    <mergeCell ref="M108:N108"/>
    <mergeCell ref="M109:N109"/>
    <mergeCell ref="K106:L106"/>
    <mergeCell ref="M113:N113"/>
    <mergeCell ref="A114:H114"/>
    <mergeCell ref="B115:N115"/>
    <mergeCell ref="B116:H116"/>
    <mergeCell ref="K116:L116"/>
    <mergeCell ref="M116:N116"/>
    <mergeCell ref="K114:L114"/>
    <mergeCell ref="M114:N114"/>
    <mergeCell ref="B111:H111"/>
    <mergeCell ref="B117:N117"/>
    <mergeCell ref="K118:L118"/>
    <mergeCell ref="M118:N118"/>
    <mergeCell ref="K120:L120"/>
    <mergeCell ref="K121:L121"/>
    <mergeCell ref="B118:H118"/>
    <mergeCell ref="B119:H119"/>
    <mergeCell ref="K119:L119"/>
    <mergeCell ref="M119:N119"/>
    <mergeCell ref="B120:H120"/>
    <mergeCell ref="M120:N120"/>
    <mergeCell ref="M121:N121"/>
    <mergeCell ref="K124:L124"/>
    <mergeCell ref="M124:N124"/>
    <mergeCell ref="B121:H121"/>
    <mergeCell ref="B122:N122"/>
    <mergeCell ref="B123:H123"/>
    <mergeCell ref="K123:L123"/>
    <mergeCell ref="M123:N123"/>
    <mergeCell ref="B124:H124"/>
    <mergeCell ref="B137:N137"/>
    <mergeCell ref="B125:N125"/>
    <mergeCell ref="B126:H126"/>
    <mergeCell ref="M126:N126"/>
    <mergeCell ref="M127:N127"/>
    <mergeCell ref="K130:L130"/>
    <mergeCell ref="K131:L131"/>
    <mergeCell ref="K132:L132"/>
    <mergeCell ref="K126:L126"/>
    <mergeCell ref="K127:L127"/>
    <mergeCell ref="K128:L128"/>
    <mergeCell ref="M128:N128"/>
    <mergeCell ref="K129:L129"/>
    <mergeCell ref="M129:N129"/>
    <mergeCell ref="M130:N130"/>
    <mergeCell ref="B127:H127"/>
    <mergeCell ref="M135:N135"/>
    <mergeCell ref="B142:H142"/>
    <mergeCell ref="K142:L142"/>
    <mergeCell ref="M142:N142"/>
    <mergeCell ref="B143:H143"/>
    <mergeCell ref="M143:N143"/>
    <mergeCell ref="K143:L143"/>
    <mergeCell ref="B141:H141"/>
    <mergeCell ref="M141:N141"/>
    <mergeCell ref="K141:L141"/>
    <mergeCell ref="B138:H138"/>
    <mergeCell ref="K138:L138"/>
    <mergeCell ref="M138:N138"/>
    <mergeCell ref="K139:L139"/>
    <mergeCell ref="M139:N139"/>
    <mergeCell ref="B139:H139"/>
    <mergeCell ref="B140:H140"/>
    <mergeCell ref="M140:N140"/>
    <mergeCell ref="K140:L140"/>
    <mergeCell ref="K269:L269"/>
    <mergeCell ref="M269:N269"/>
    <mergeCell ref="B196:H196"/>
    <mergeCell ref="K198:L198"/>
    <mergeCell ref="M198:N198"/>
    <mergeCell ref="B128:H128"/>
    <mergeCell ref="B129:H129"/>
    <mergeCell ref="B130:H130"/>
    <mergeCell ref="B131:H131"/>
    <mergeCell ref="B132:H132"/>
    <mergeCell ref="B144:H144"/>
    <mergeCell ref="M144:N144"/>
    <mergeCell ref="K144:L144"/>
    <mergeCell ref="K134:L134"/>
    <mergeCell ref="K136:L136"/>
    <mergeCell ref="M131:N131"/>
    <mergeCell ref="M132:N132"/>
    <mergeCell ref="B133:N133"/>
    <mergeCell ref="B134:H134"/>
    <mergeCell ref="M134:N134"/>
    <mergeCell ref="M136:N136"/>
    <mergeCell ref="B136:H136"/>
    <mergeCell ref="B135:H135"/>
    <mergeCell ref="K135:L135"/>
    <mergeCell ref="B155:H155"/>
    <mergeCell ref="K155:L155"/>
    <mergeCell ref="M155:N155"/>
    <mergeCell ref="B282:H282"/>
    <mergeCell ref="M282:N282"/>
    <mergeCell ref="K275:L275"/>
    <mergeCell ref="K276:L276"/>
    <mergeCell ref="K277:L277"/>
    <mergeCell ref="M277:N277"/>
    <mergeCell ref="K281:L281"/>
    <mergeCell ref="B279:H279"/>
    <mergeCell ref="K279:L279"/>
    <mergeCell ref="M279:N279"/>
    <mergeCell ref="B280:N280"/>
    <mergeCell ref="B281:H281"/>
    <mergeCell ref="M281:N281"/>
    <mergeCell ref="B275:H275"/>
    <mergeCell ref="M275:N275"/>
    <mergeCell ref="M276:N276"/>
    <mergeCell ref="K282:L282"/>
    <mergeCell ref="M262:N262"/>
    <mergeCell ref="K203:L203"/>
    <mergeCell ref="M203:N203"/>
    <mergeCell ref="B276:H276"/>
    <mergeCell ref="M150:N150"/>
    <mergeCell ref="A151:H151"/>
    <mergeCell ref="K151:L151"/>
    <mergeCell ref="M151:N151"/>
    <mergeCell ref="B152:N152"/>
    <mergeCell ref="B153:H153"/>
    <mergeCell ref="K153:L153"/>
    <mergeCell ref="M153:N153"/>
    <mergeCell ref="B154:N154"/>
    <mergeCell ref="B145:H145"/>
    <mergeCell ref="K145:L145"/>
    <mergeCell ref="M145:N145"/>
    <mergeCell ref="K146:L146"/>
    <mergeCell ref="M146:N146"/>
    <mergeCell ref="B146:H146"/>
    <mergeCell ref="B147:H147"/>
    <mergeCell ref="K147:L147"/>
    <mergeCell ref="M147:N147"/>
    <mergeCell ref="B148:H148"/>
    <mergeCell ref="K148:L148"/>
    <mergeCell ref="M148:N148"/>
    <mergeCell ref="A263:H263"/>
    <mergeCell ref="K263:L263"/>
    <mergeCell ref="M263:N263"/>
    <mergeCell ref="B264:N264"/>
    <mergeCell ref="B265:H265"/>
    <mergeCell ref="K265:L265"/>
    <mergeCell ref="M265:N265"/>
    <mergeCell ref="M187:N187"/>
    <mergeCell ref="A188:H188"/>
    <mergeCell ref="K188:L188"/>
    <mergeCell ref="M188:N188"/>
    <mergeCell ref="B189:N189"/>
    <mergeCell ref="B190:H190"/>
    <mergeCell ref="K190:L190"/>
    <mergeCell ref="M190:N190"/>
    <mergeCell ref="K196:L196"/>
    <mergeCell ref="M196:N196"/>
    <mergeCell ref="B197:N197"/>
    <mergeCell ref="B198:H198"/>
    <mergeCell ref="B191:N191"/>
    <mergeCell ref="B192:H192"/>
    <mergeCell ref="K271:L271"/>
    <mergeCell ref="M271:N271"/>
    <mergeCell ref="B266:N266"/>
    <mergeCell ref="B267:H267"/>
    <mergeCell ref="M267:N267"/>
    <mergeCell ref="K284:L284"/>
    <mergeCell ref="B283:H283"/>
    <mergeCell ref="B284:H284"/>
    <mergeCell ref="M284:N284"/>
    <mergeCell ref="K283:L283"/>
    <mergeCell ref="M283:N283"/>
    <mergeCell ref="B277:H277"/>
    <mergeCell ref="B278:N278"/>
    <mergeCell ref="B268:H268"/>
    <mergeCell ref="B270:H270"/>
    <mergeCell ref="B271:H271"/>
    <mergeCell ref="B272:N272"/>
    <mergeCell ref="K273:L273"/>
    <mergeCell ref="M273:N273"/>
    <mergeCell ref="B273:H273"/>
    <mergeCell ref="B274:H274"/>
    <mergeCell ref="K274:L274"/>
    <mergeCell ref="M274:N274"/>
    <mergeCell ref="B269:H269"/>
    <mergeCell ref="B296:H296"/>
    <mergeCell ref="K296:L296"/>
    <mergeCell ref="M296:N296"/>
    <mergeCell ref="M289:N289"/>
    <mergeCell ref="A290:H290"/>
    <mergeCell ref="K290:L290"/>
    <mergeCell ref="M290:N290"/>
    <mergeCell ref="B291:N291"/>
    <mergeCell ref="B292:H292"/>
    <mergeCell ref="K292:L292"/>
    <mergeCell ref="M292:N292"/>
    <mergeCell ref="B293:N293"/>
    <mergeCell ref="B302:H302"/>
    <mergeCell ref="K302:L302"/>
    <mergeCell ref="M302:N302"/>
    <mergeCell ref="B301:N301"/>
    <mergeCell ref="B219:H219"/>
    <mergeCell ref="K219:L219"/>
    <mergeCell ref="M219:N219"/>
    <mergeCell ref="B221:H221"/>
    <mergeCell ref="K221:L221"/>
    <mergeCell ref="M221:N221"/>
    <mergeCell ref="B297:N297"/>
    <mergeCell ref="B298:H298"/>
    <mergeCell ref="K298:L298"/>
    <mergeCell ref="M298:N298"/>
    <mergeCell ref="B299:H299"/>
    <mergeCell ref="K299:L299"/>
    <mergeCell ref="M299:N299"/>
    <mergeCell ref="B300:H300"/>
    <mergeCell ref="K300:L300"/>
    <mergeCell ref="M300:N300"/>
    <mergeCell ref="M294:N294"/>
    <mergeCell ref="B294:H294"/>
    <mergeCell ref="K294:L294"/>
    <mergeCell ref="B295:H295"/>
    <mergeCell ref="B305:H305"/>
    <mergeCell ref="K305:L305"/>
    <mergeCell ref="M305:N305"/>
    <mergeCell ref="B306:N306"/>
    <mergeCell ref="B307:H307"/>
    <mergeCell ref="K307:L307"/>
    <mergeCell ref="M307:N307"/>
    <mergeCell ref="B303:H303"/>
    <mergeCell ref="K303:L303"/>
    <mergeCell ref="M303:N303"/>
    <mergeCell ref="B304:N304"/>
    <mergeCell ref="B199:H199"/>
    <mergeCell ref="K199:L199"/>
    <mergeCell ref="M199:N199"/>
    <mergeCell ref="B206:H206"/>
    <mergeCell ref="K206:L206"/>
    <mergeCell ref="B200:N200"/>
    <mergeCell ref="B201:H201"/>
    <mergeCell ref="K210:L210"/>
    <mergeCell ref="K212:L212"/>
    <mergeCell ref="M206:N206"/>
    <mergeCell ref="B207:H207"/>
    <mergeCell ref="K207:L207"/>
    <mergeCell ref="M207:N207"/>
    <mergeCell ref="B208:H208"/>
    <mergeCell ref="K208:L208"/>
    <mergeCell ref="M208:N208"/>
    <mergeCell ref="B209:N209"/>
    <mergeCell ref="B210:H210"/>
    <mergeCell ref="M210:N210"/>
    <mergeCell ref="B212:H212"/>
    <mergeCell ref="M212:N212"/>
    <mergeCell ref="B211:H211"/>
    <mergeCell ref="K211:L211"/>
    <mergeCell ref="K201:L201"/>
    <mergeCell ref="M201:N201"/>
    <mergeCell ref="B202:H202"/>
    <mergeCell ref="K202:L202"/>
    <mergeCell ref="M202:N202"/>
    <mergeCell ref="B204:H204"/>
    <mergeCell ref="K204:L204"/>
    <mergeCell ref="M204:N204"/>
    <mergeCell ref="B205:H205"/>
    <mergeCell ref="K205:L205"/>
    <mergeCell ref="M205:N205"/>
    <mergeCell ref="B203:H203"/>
    <mergeCell ref="M192:N192"/>
    <mergeCell ref="K193:L193"/>
    <mergeCell ref="M193:N193"/>
    <mergeCell ref="B194:H194"/>
    <mergeCell ref="K194:L194"/>
    <mergeCell ref="M194:N194"/>
    <mergeCell ref="B195:H195"/>
    <mergeCell ref="K195:L195"/>
    <mergeCell ref="M195:N195"/>
    <mergeCell ref="K192:L192"/>
    <mergeCell ref="B193:H193"/>
    <mergeCell ref="B229:N229"/>
    <mergeCell ref="B230:H230"/>
    <mergeCell ref="K230:L230"/>
    <mergeCell ref="M230:N230"/>
    <mergeCell ref="B217:H217"/>
    <mergeCell ref="K217:L217"/>
    <mergeCell ref="M217:N217"/>
    <mergeCell ref="B218:H218"/>
    <mergeCell ref="K218:L218"/>
    <mergeCell ref="M218:N218"/>
    <mergeCell ref="B227:N227"/>
    <mergeCell ref="B220:H220"/>
    <mergeCell ref="K220:L220"/>
    <mergeCell ref="M220:N220"/>
    <mergeCell ref="M211:N211"/>
    <mergeCell ref="B223:H223"/>
    <mergeCell ref="K223:L223"/>
    <mergeCell ref="M223:N223"/>
    <mergeCell ref="B222:H222"/>
    <mergeCell ref="K222:L222"/>
    <mergeCell ref="M222:N222"/>
    <mergeCell ref="B228:H228"/>
    <mergeCell ref="K228:L228"/>
    <mergeCell ref="M228:N228"/>
    <mergeCell ref="B215:H215"/>
    <mergeCell ref="K215:L215"/>
    <mergeCell ref="M215:N215"/>
    <mergeCell ref="B216:H216"/>
    <mergeCell ref="K216:L216"/>
    <mergeCell ref="M216:N216"/>
    <mergeCell ref="B214:H214"/>
    <mergeCell ref="K214:L214"/>
    <mergeCell ref="M214:N214"/>
    <mergeCell ref="B213:N213"/>
    <mergeCell ref="M225:N225"/>
    <mergeCell ref="A226:H226"/>
    <mergeCell ref="K226:L226"/>
    <mergeCell ref="M226:N226"/>
    <mergeCell ref="B231:H231"/>
    <mergeCell ref="K231:L231"/>
    <mergeCell ref="M231:N231"/>
    <mergeCell ref="B232:H232"/>
    <mergeCell ref="K232:L232"/>
    <mergeCell ref="M232:N232"/>
    <mergeCell ref="B233:H233"/>
    <mergeCell ref="K233:L233"/>
    <mergeCell ref="M233:N233"/>
    <mergeCell ref="B234:H234"/>
    <mergeCell ref="K234:L234"/>
    <mergeCell ref="M234:N234"/>
    <mergeCell ref="B235:N235"/>
    <mergeCell ref="B236:H236"/>
    <mergeCell ref="K236:L236"/>
    <mergeCell ref="M236:N236"/>
    <mergeCell ref="B237:H237"/>
    <mergeCell ref="K237:L237"/>
    <mergeCell ref="M237:N237"/>
    <mergeCell ref="B238:N238"/>
    <mergeCell ref="B239:H239"/>
    <mergeCell ref="K239:L239"/>
    <mergeCell ref="M239:N239"/>
    <mergeCell ref="B240:H240"/>
    <mergeCell ref="K240:L240"/>
    <mergeCell ref="M240:N240"/>
    <mergeCell ref="B241:H241"/>
    <mergeCell ref="K241:L241"/>
    <mergeCell ref="M241:N241"/>
    <mergeCell ref="B242:H242"/>
    <mergeCell ref="K242:L242"/>
    <mergeCell ref="M242:N242"/>
    <mergeCell ref="B243:H243"/>
    <mergeCell ref="K243:L243"/>
    <mergeCell ref="M243:N243"/>
    <mergeCell ref="B244:H244"/>
    <mergeCell ref="K244:L244"/>
    <mergeCell ref="M244:N244"/>
    <mergeCell ref="K254:L254"/>
    <mergeCell ref="M254:N254"/>
    <mergeCell ref="B245:H245"/>
    <mergeCell ref="K245:L245"/>
    <mergeCell ref="M245:N245"/>
    <mergeCell ref="B246:N246"/>
    <mergeCell ref="B247:H247"/>
    <mergeCell ref="K247:L247"/>
    <mergeCell ref="M247:N247"/>
    <mergeCell ref="B248:H248"/>
    <mergeCell ref="K248:L248"/>
    <mergeCell ref="M248:N248"/>
    <mergeCell ref="M249:N249"/>
    <mergeCell ref="B250:N250"/>
    <mergeCell ref="B251:H251"/>
    <mergeCell ref="K251:L251"/>
    <mergeCell ref="M251:N251"/>
    <mergeCell ref="B249:H249"/>
    <mergeCell ref="K249:L249"/>
    <mergeCell ref="B253:H253"/>
    <mergeCell ref="K253:L253"/>
    <mergeCell ref="M253:N253"/>
    <mergeCell ref="F5:L5"/>
    <mergeCell ref="F309:L309"/>
    <mergeCell ref="F289:L289"/>
    <mergeCell ref="F262:L262"/>
    <mergeCell ref="F225:L225"/>
    <mergeCell ref="F187:L187"/>
    <mergeCell ref="F150:L150"/>
    <mergeCell ref="F113:L113"/>
    <mergeCell ref="F87:L87"/>
    <mergeCell ref="F58:L58"/>
    <mergeCell ref="F36:L36"/>
    <mergeCell ref="B258:H258"/>
    <mergeCell ref="K258:L258"/>
    <mergeCell ref="B259:H259"/>
    <mergeCell ref="K259:L259"/>
    <mergeCell ref="B260:H260"/>
    <mergeCell ref="K260:L260"/>
    <mergeCell ref="B255:H255"/>
    <mergeCell ref="B256:H256"/>
    <mergeCell ref="K256:L256"/>
    <mergeCell ref="B257:H257"/>
    <mergeCell ref="K257:L257"/>
    <mergeCell ref="B252:H252"/>
    <mergeCell ref="B254:H254"/>
    <mergeCell ref="I366:L366"/>
    <mergeCell ref="M366:N366"/>
    <mergeCell ref="M258:N258"/>
    <mergeCell ref="M259:N259"/>
    <mergeCell ref="M260:N260"/>
    <mergeCell ref="M255:N255"/>
    <mergeCell ref="M256:N256"/>
    <mergeCell ref="M257:N257"/>
    <mergeCell ref="K252:L252"/>
    <mergeCell ref="M252:N252"/>
    <mergeCell ref="K255:L255"/>
    <mergeCell ref="K295:L295"/>
    <mergeCell ref="M295:N295"/>
    <mergeCell ref="K313:L313"/>
    <mergeCell ref="K314:L314"/>
    <mergeCell ref="M314:N314"/>
    <mergeCell ref="M315:N315"/>
    <mergeCell ref="M316:N316"/>
    <mergeCell ref="M317:N317"/>
    <mergeCell ref="K267:L267"/>
    <mergeCell ref="K268:L268"/>
    <mergeCell ref="M268:N268"/>
    <mergeCell ref="K270:L270"/>
    <mergeCell ref="M270:N270"/>
    <mergeCell ref="I349:L349"/>
    <mergeCell ref="M349:N349"/>
    <mergeCell ref="O354:P354"/>
    <mergeCell ref="M370:N370"/>
    <mergeCell ref="I364:L364"/>
    <mergeCell ref="H340:K340"/>
    <mergeCell ref="H341:K341"/>
    <mergeCell ref="H342:K342"/>
    <mergeCell ref="H343:K343"/>
    <mergeCell ref="H344:K344"/>
    <mergeCell ref="H345:K345"/>
    <mergeCell ref="I354:L354"/>
    <mergeCell ref="I362:L362"/>
    <mergeCell ref="H346:K346"/>
    <mergeCell ref="I360:L360"/>
    <mergeCell ref="M340:N340"/>
    <mergeCell ref="M341:N341"/>
    <mergeCell ref="M342:N342"/>
    <mergeCell ref="M343:N343"/>
    <mergeCell ref="M344:N344"/>
    <mergeCell ref="M345:N345"/>
    <mergeCell ref="I368:L368"/>
    <mergeCell ref="M368:N368"/>
    <mergeCell ref="M364:N364"/>
  </mergeCells>
  <conditionalFormatting sqref="L336:L346">
    <cfRule type="colorScale" priority="2">
      <colorScale>
        <cfvo type="min"/>
        <cfvo type="percentile" val="50"/>
        <cfvo type="max"/>
        <color rgb="FF63BE7B"/>
        <color rgb="FFFFEB84"/>
        <color rgb="FFF8696B"/>
      </colorScale>
    </cfRule>
  </conditionalFormatting>
  <conditionalFormatting sqref="L376:L386">
    <cfRule type="colorScale" priority="1">
      <colorScale>
        <cfvo type="min"/>
        <cfvo type="percentile" val="50"/>
        <cfvo type="max"/>
        <color rgb="FF63BE7B"/>
        <color rgb="FFFFEB84"/>
        <color rgb="FFF8696B"/>
      </colorScale>
    </cfRule>
  </conditionalFormatting>
  <dataValidations count="1">
    <dataValidation type="list" allowBlank="1" showErrorMessage="1" sqref="B143 B247:B249 B239 B236 B228 B258 B210:B212 B163 B160 B153 B180 B134:B136 B201 B198 B190 B221 B302:B303 B103 B76:B77 B20:B21 B171:B173 B126 B123 B116 B98 B79 B71 B67 B61 B53:B54 B50:B51 B23:B34 B17:B18" xr:uid="{00000000-0002-0000-0100-000000000000}">
      <formula1>$B$4:$B$69</formula1>
    </dataValidation>
  </dataValidations>
  <printOptions horizontalCentered="1"/>
  <pageMargins left="0.78740157480314965" right="0.78740157480314965" top="0.78740157480314965" bottom="0.78740157480314965" header="0" footer="0"/>
  <pageSetup scale="69" orientation="landscape" r:id="rId1"/>
  <rowBreaks count="3" manualBreakCount="3">
    <brk id="161" max="13" man="1"/>
    <brk id="308" max="13" man="1"/>
    <brk id="330" max="13" man="1"/>
  </rowBreaks>
  <extLst>
    <ext xmlns:x14="http://schemas.microsoft.com/office/spreadsheetml/2009/9/main" uri="{CCE6A557-97BC-4b89-ADB6-D9C93CAAB3DF}">
      <x14:dataValidations xmlns:xm="http://schemas.microsoft.com/office/excel/2006/main" count="8">
        <x14:dataValidation type="list" allowBlank="1" showErrorMessage="1" xr:uid="{00000000-0002-0000-0100-000004000000}">
          <x14:formula1>
            <xm:f>consolidado!$B$10:$B$57</xm:f>
          </x14:formula1>
          <xm:sqref>B119:B121 B199 B124 B193:B195 B156:B158 B161 B237 B231:B233 B145:B147 B222 B138:B141 B182:B184 B175:B178 B214:B219 B259 B251:B256</xm:sqref>
        </x14:dataValidation>
        <x14:dataValidation type="list" allowBlank="1" showErrorMessage="1" xr:uid="{00000000-0002-0000-0100-000007000000}">
          <x14:formula1>
            <xm:f>consolidado!$B$9:$B$78</xm:f>
          </x14:formula1>
          <xm:sqref>B8 B260 B257 B234 B185 B179 B223 B220 B196 B298:B300 B292 B273:B277 B265 B148 B142 B240:B245 B164:B169 B202:B208 B268:B271 B294:B296 B68:B69 B127:B132 B99:B101 B94 B90 B65 B48 B43:B45 B14:B16 B12 B10</xm:sqref>
        </x14:dataValidation>
        <x14:dataValidation type="list" allowBlank="1" showErrorMessage="1" xr:uid="{00000000-0002-0000-0100-000001000000}">
          <x14:formula1>
            <xm:f>consolidado!$B$10:$B$95</xm:f>
          </x14:formula1>
          <xm:sqref>B56 B283:B285 B305</xm:sqref>
        </x14:dataValidation>
        <x14:dataValidation type="list" allowBlank="1" showErrorMessage="1" xr:uid="{00000000-0002-0000-0100-000005000000}">
          <x14:formula1>
            <xm:f>consolidado!$B$9:$B$95</xm:f>
          </x14:formula1>
          <xm:sqref>B39 B63 B92 B118 B41 B192 B155 B230</xm:sqref>
        </x14:dataValidation>
        <x14:dataValidation type="list" allowBlank="1" showErrorMessage="1" xr:uid="{00000000-0002-0000-0100-000003000000}">
          <x14:formula1>
            <xm:f>consolidado!$B$9:$B$117</xm:f>
          </x14:formula1>
          <xm:sqref>B78 B80:B83 B85:H85 B287:H287</xm:sqref>
        </x14:dataValidation>
        <x14:dataValidation type="list" allowBlank="1" showErrorMessage="1" xr:uid="{00000000-0002-0000-0100-000002000000}">
          <x14:formula1>
            <xm:f>consolidado!$B$10:$B$123</xm:f>
          </x14:formula1>
          <xm:sqref>B144 B73:B75 B105:B111 B307 B181</xm:sqref>
        </x14:dataValidation>
        <x14:dataValidation type="list" allowBlank="1" showErrorMessage="1" xr:uid="{00000000-0002-0000-0100-00000A000000}">
          <x14:formula1>
            <xm:f>consolidado!$B$9:$B$123</xm:f>
          </x14:formula1>
          <xm:sqref>B312:B333</xm:sqref>
        </x14:dataValidation>
        <x14:dataValidation type="list" allowBlank="1" showErrorMessage="1" xr:uid="{00000000-0002-0000-0100-000008000000}">
          <x14:formula1>
            <xm:f>consolidado!$B$9:$B$1866</xm:f>
          </x14:formula1>
          <xm:sqref>B267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13857"/>
  <sheetViews>
    <sheetView view="pageBreakPreview" topLeftCell="A10060" zoomScaleNormal="100" zoomScaleSheetLayoutView="100" workbookViewId="0">
      <selection activeCell="A10071" sqref="A10071:G10071"/>
    </sheetView>
  </sheetViews>
  <sheetFormatPr baseColWidth="10" defaultColWidth="12.5703125" defaultRowHeight="15" customHeight="1" x14ac:dyDescent="0.2"/>
  <cols>
    <col min="1" max="5" width="10.5703125" customWidth="1"/>
    <col min="6" max="6" width="17.28515625" customWidth="1"/>
    <col min="7" max="7" width="13" customWidth="1"/>
    <col min="8" max="8" width="17.7109375" customWidth="1"/>
    <col min="9" max="9" width="10.5703125" customWidth="1"/>
    <col min="10" max="10" width="15.5703125" customWidth="1"/>
    <col min="11" max="11" width="10.5703125" customWidth="1"/>
    <col min="12" max="12" width="16.85546875" customWidth="1"/>
    <col min="13" max="13" width="10.5703125" customWidth="1"/>
    <col min="14" max="14" width="14.140625" customWidth="1"/>
  </cols>
  <sheetData>
    <row r="1" spans="1:15" ht="12.75" customHeight="1" x14ac:dyDescent="0.2">
      <c r="A1" s="407" t="s">
        <v>158</v>
      </c>
      <c r="B1" s="275"/>
      <c r="C1" s="275"/>
      <c r="D1" s="275"/>
      <c r="E1" s="275"/>
      <c r="F1" s="275"/>
      <c r="G1" s="275"/>
      <c r="H1" s="275"/>
      <c r="I1" s="275"/>
      <c r="J1" s="275"/>
      <c r="K1" s="275"/>
      <c r="L1" s="275"/>
      <c r="M1" s="275"/>
      <c r="N1" s="276"/>
      <c r="O1" s="166"/>
    </row>
    <row r="2" spans="1:15" ht="12.75" customHeight="1" x14ac:dyDescent="0.2">
      <c r="A2" s="277"/>
      <c r="B2" s="278"/>
      <c r="C2" s="278"/>
      <c r="D2" s="278"/>
      <c r="E2" s="278"/>
      <c r="F2" s="278"/>
      <c r="G2" s="278"/>
      <c r="H2" s="278"/>
      <c r="I2" s="278"/>
      <c r="J2" s="278"/>
      <c r="K2" s="278"/>
      <c r="L2" s="278"/>
      <c r="M2" s="278"/>
      <c r="N2" s="279"/>
      <c r="O2" s="166"/>
    </row>
    <row r="3" spans="1:15" ht="12.75" customHeight="1" x14ac:dyDescent="0.2">
      <c r="A3" s="75">
        <v>1</v>
      </c>
      <c r="B3" s="75">
        <v>2</v>
      </c>
      <c r="C3" s="75">
        <v>3</v>
      </c>
      <c r="D3" s="75">
        <v>4</v>
      </c>
      <c r="E3" s="75">
        <v>5</v>
      </c>
      <c r="F3" s="75">
        <v>6</v>
      </c>
      <c r="G3" s="75">
        <v>7</v>
      </c>
      <c r="H3" s="75">
        <v>8</v>
      </c>
      <c r="I3" s="75">
        <v>9</v>
      </c>
      <c r="J3" s="75">
        <v>10</v>
      </c>
      <c r="K3" s="75">
        <v>11</v>
      </c>
      <c r="L3" s="75">
        <v>12</v>
      </c>
      <c r="M3" s="75">
        <v>13</v>
      </c>
      <c r="N3" s="75">
        <v>14</v>
      </c>
    </row>
    <row r="4" spans="1:15" ht="12.75" customHeight="1" x14ac:dyDescent="0.3">
      <c r="A4" s="79" t="s">
        <v>612</v>
      </c>
      <c r="B4" s="80" t="str">
        <f>A1</f>
        <v>LOCALIZACIÓN Y REPLANTEO DE REDES</v>
      </c>
      <c r="C4" s="81" t="s">
        <v>916</v>
      </c>
      <c r="D4" s="82" t="s">
        <v>917</v>
      </c>
      <c r="E4" s="83" t="s">
        <v>445</v>
      </c>
      <c r="F4" s="254">
        <f>(H4+J4+L4+N4)*1.3</f>
        <v>5461.913227160001</v>
      </c>
      <c r="G4" s="83" t="s">
        <v>607</v>
      </c>
      <c r="H4" s="85">
        <f>M13</f>
        <v>2021.5450000000001</v>
      </c>
      <c r="I4" s="83" t="s">
        <v>918</v>
      </c>
      <c r="J4" s="85">
        <f>M22</f>
        <v>475.0759840000008</v>
      </c>
      <c r="K4" s="83" t="s">
        <v>609</v>
      </c>
      <c r="L4" s="85">
        <f>M31</f>
        <v>124.83104920000005</v>
      </c>
      <c r="M4" s="83" t="s">
        <v>610</v>
      </c>
      <c r="N4" s="86">
        <f>M40</f>
        <v>1580.0196799999999</v>
      </c>
    </row>
    <row r="5" spans="1:15" ht="12.75" customHeight="1" x14ac:dyDescent="0.25">
      <c r="A5" s="87"/>
      <c r="B5" s="87"/>
      <c r="C5" s="87"/>
      <c r="D5" s="87"/>
      <c r="E5" s="87"/>
      <c r="F5" s="87"/>
      <c r="G5" s="87"/>
      <c r="J5" s="87"/>
      <c r="K5" s="215" t="s">
        <v>3217</v>
      </c>
      <c r="L5" s="215">
        <f>+F4*presup!$O$5</f>
        <v>7100.4871953080019</v>
      </c>
      <c r="M5" s="87"/>
      <c r="N5" s="87"/>
    </row>
    <row r="6" spans="1:15" ht="12.75" customHeight="1" x14ac:dyDescent="0.2">
      <c r="A6" s="398" t="s">
        <v>919</v>
      </c>
      <c r="B6" s="271"/>
      <c r="C6" s="271"/>
      <c r="D6" s="271"/>
      <c r="E6" s="271"/>
      <c r="F6" s="271"/>
      <c r="G6" s="271"/>
      <c r="H6" s="271"/>
      <c r="I6" s="271"/>
      <c r="J6" s="271"/>
      <c r="K6" s="271"/>
      <c r="L6" s="271"/>
      <c r="M6" s="271"/>
      <c r="N6" s="273"/>
    </row>
    <row r="7" spans="1:15" ht="12.75" customHeight="1" x14ac:dyDescent="0.2">
      <c r="A7" s="396" t="s">
        <v>76</v>
      </c>
      <c r="B7" s="271"/>
      <c r="C7" s="271"/>
      <c r="D7" s="271"/>
      <c r="E7" s="271"/>
      <c r="F7" s="271"/>
      <c r="G7" s="273"/>
      <c r="H7" s="88" t="s">
        <v>77</v>
      </c>
      <c r="I7" s="399" t="s">
        <v>920</v>
      </c>
      <c r="J7" s="273"/>
      <c r="K7" s="399" t="s">
        <v>453</v>
      </c>
      <c r="L7" s="273"/>
      <c r="M7" s="399" t="s">
        <v>921</v>
      </c>
      <c r="N7" s="273"/>
    </row>
    <row r="8" spans="1:15" ht="12.75" customHeight="1" x14ac:dyDescent="0.2">
      <c r="A8" s="400" t="s">
        <v>922</v>
      </c>
      <c r="B8" s="271"/>
      <c r="C8" s="271"/>
      <c r="D8" s="271"/>
      <c r="E8" s="271"/>
      <c r="F8" s="271"/>
      <c r="G8" s="273"/>
      <c r="H8" s="29" t="str">
        <f>IF(A8="","",VLOOKUP(A8,AA_Materiales,7,FALSE))</f>
        <v>Unidad</v>
      </c>
      <c r="I8" s="394">
        <f>IF(A8="","",VLOOKUP(A8,AA_Materiales,8,FALSE))</f>
        <v>3741.67</v>
      </c>
      <c r="J8" s="273"/>
      <c r="K8" s="395">
        <v>0.3</v>
      </c>
      <c r="L8" s="273"/>
      <c r="M8" s="394">
        <f t="shared" ref="M8:M12" si="0">IF(A8="","",I8*K8)</f>
        <v>1122.501</v>
      </c>
      <c r="N8" s="273"/>
    </row>
    <row r="9" spans="1:15" ht="12.75" customHeight="1" x14ac:dyDescent="0.2">
      <c r="A9" s="400" t="s">
        <v>923</v>
      </c>
      <c r="B9" s="271"/>
      <c r="C9" s="271"/>
      <c r="D9" s="271"/>
      <c r="E9" s="271"/>
      <c r="F9" s="271"/>
      <c r="G9" s="273"/>
      <c r="H9" s="29" t="str">
        <f>IF(A9="","",VLOOKUP(A9,AA_Materiales,7,FALSE))</f>
        <v>Galón</v>
      </c>
      <c r="I9" s="394">
        <f>IF(A9="","",VLOOKUP(A9,AA_Materiales,8,FALSE))</f>
        <v>75900</v>
      </c>
      <c r="J9" s="273"/>
      <c r="K9" s="395">
        <v>8.0000000000000002E-3</v>
      </c>
      <c r="L9" s="273"/>
      <c r="M9" s="394">
        <f t="shared" si="0"/>
        <v>607.20000000000005</v>
      </c>
      <c r="N9" s="273"/>
    </row>
    <row r="10" spans="1:15" ht="12.75" customHeight="1" x14ac:dyDescent="0.2">
      <c r="A10" s="400" t="s">
        <v>924</v>
      </c>
      <c r="B10" s="271"/>
      <c r="C10" s="271"/>
      <c r="D10" s="271"/>
      <c r="E10" s="271"/>
      <c r="F10" s="271"/>
      <c r="G10" s="273"/>
      <c r="H10" s="29" t="str">
        <f>IF(A10="","",VLOOKUP(A10,AA_Materiales,7,FALSE))</f>
        <v>Libra</v>
      </c>
      <c r="I10" s="394">
        <f>IF(A10="","",VLOOKUP(A10,AA_Materiales,8,FALSE))</f>
        <v>4487</v>
      </c>
      <c r="J10" s="273"/>
      <c r="K10" s="395">
        <v>1.2E-2</v>
      </c>
      <c r="L10" s="273"/>
      <c r="M10" s="394">
        <f t="shared" si="0"/>
        <v>53.844000000000001</v>
      </c>
      <c r="N10" s="273"/>
    </row>
    <row r="11" spans="1:15" ht="12.75" customHeight="1" x14ac:dyDescent="0.2">
      <c r="A11" s="400" t="s">
        <v>925</v>
      </c>
      <c r="B11" s="271"/>
      <c r="C11" s="271"/>
      <c r="D11" s="271"/>
      <c r="E11" s="271"/>
      <c r="F11" s="271"/>
      <c r="G11" s="273"/>
      <c r="H11" s="29" t="str">
        <f>IF(A11="","",VLOOKUP(A11,AA_Materiales,7,FALSE))</f>
        <v>ml</v>
      </c>
      <c r="I11" s="394">
        <f>IF(A11="","",VLOOKUP(A11,AA_Materiales,8,FALSE))</f>
        <v>238</v>
      </c>
      <c r="J11" s="273"/>
      <c r="K11" s="395">
        <v>1</v>
      </c>
      <c r="L11" s="273"/>
      <c r="M11" s="394">
        <f t="shared" si="0"/>
        <v>238</v>
      </c>
      <c r="N11" s="273"/>
    </row>
    <row r="12" spans="1:15" ht="12.75" customHeight="1" x14ac:dyDescent="0.2">
      <c r="A12" s="400"/>
      <c r="B12" s="271"/>
      <c r="C12" s="271"/>
      <c r="D12" s="271"/>
      <c r="E12" s="271"/>
      <c r="F12" s="271"/>
      <c r="G12" s="273"/>
      <c r="H12" s="29" t="str">
        <f>IF(A12="","",VLOOKUP(A12,AA_Materiales,7,FALSE))</f>
        <v/>
      </c>
      <c r="I12" s="394" t="str">
        <f>IF(A12="","",VLOOKUP(A12,AA_Materiales,8,FALSE))</f>
        <v/>
      </c>
      <c r="J12" s="273"/>
      <c r="K12" s="395"/>
      <c r="L12" s="273"/>
      <c r="M12" s="394" t="str">
        <f t="shared" si="0"/>
        <v/>
      </c>
      <c r="N12" s="273"/>
    </row>
    <row r="13" spans="1:15" ht="12.75" customHeight="1" x14ac:dyDescent="0.25">
      <c r="A13" s="4"/>
      <c r="B13" s="4"/>
      <c r="C13" s="4"/>
      <c r="D13" s="4"/>
      <c r="E13" s="4"/>
      <c r="F13" s="4"/>
      <c r="G13" s="4"/>
      <c r="H13" s="4"/>
      <c r="I13" s="4"/>
      <c r="J13" s="4"/>
      <c r="K13" s="396" t="s">
        <v>444</v>
      </c>
      <c r="L13" s="273"/>
      <c r="M13" s="394">
        <f>SUM(M8:N12)</f>
        <v>2021.5450000000001</v>
      </c>
      <c r="N13" s="273"/>
    </row>
    <row r="14" spans="1:15" ht="12.75" customHeight="1" x14ac:dyDescent="0.25">
      <c r="A14" s="4"/>
      <c r="B14" s="4"/>
      <c r="C14" s="4"/>
      <c r="D14" s="4"/>
      <c r="E14" s="4"/>
      <c r="F14" s="4"/>
      <c r="G14" s="4"/>
      <c r="H14" s="4"/>
      <c r="I14" s="4"/>
      <c r="J14" s="4"/>
      <c r="K14" s="4"/>
      <c r="L14" s="4"/>
      <c r="M14" s="4"/>
      <c r="N14" s="4"/>
    </row>
    <row r="15" spans="1:15" ht="12.75" customHeight="1" x14ac:dyDescent="0.2">
      <c r="A15" s="398" t="s">
        <v>926</v>
      </c>
      <c r="B15" s="271"/>
      <c r="C15" s="271"/>
      <c r="D15" s="271"/>
      <c r="E15" s="271"/>
      <c r="F15" s="271"/>
      <c r="G15" s="271"/>
      <c r="H15" s="271"/>
      <c r="I15" s="271"/>
      <c r="J15" s="271"/>
      <c r="K15" s="271"/>
      <c r="L15" s="271"/>
      <c r="M15" s="271"/>
      <c r="N15" s="273"/>
    </row>
    <row r="16" spans="1:15" ht="12.75" customHeight="1" x14ac:dyDescent="0.2">
      <c r="A16" s="396" t="s">
        <v>76</v>
      </c>
      <c r="B16" s="271"/>
      <c r="C16" s="271"/>
      <c r="D16" s="271"/>
      <c r="E16" s="271"/>
      <c r="F16" s="271"/>
      <c r="G16" s="273"/>
      <c r="H16" s="88" t="s">
        <v>77</v>
      </c>
      <c r="I16" s="399" t="s">
        <v>920</v>
      </c>
      <c r="J16" s="273"/>
      <c r="K16" s="399" t="s">
        <v>453</v>
      </c>
      <c r="L16" s="273"/>
      <c r="M16" s="399" t="s">
        <v>921</v>
      </c>
      <c r="N16" s="273"/>
    </row>
    <row r="17" spans="1:14" ht="12.75" customHeight="1" x14ac:dyDescent="0.2">
      <c r="A17" s="400" t="s">
        <v>927</v>
      </c>
      <c r="B17" s="271"/>
      <c r="C17" s="271"/>
      <c r="D17" s="271"/>
      <c r="E17" s="271"/>
      <c r="F17" s="271"/>
      <c r="G17" s="273"/>
      <c r="H17" s="29" t="str">
        <f>IF(A17="","",VLOOKUP(A17,AA_Equipos,7,FALSE))</f>
        <v>% M.O.</v>
      </c>
      <c r="I17" s="394">
        <f>M40</f>
        <v>1580.0196799999999</v>
      </c>
      <c r="J17" s="273"/>
      <c r="K17" s="395">
        <v>0.05</v>
      </c>
      <c r="L17" s="273"/>
      <c r="M17" s="394">
        <f t="shared" ref="M17:M21" si="1">IF(A17="","",I17*K17)</f>
        <v>79.000984000000003</v>
      </c>
      <c r="N17" s="273"/>
    </row>
    <row r="18" spans="1:14" ht="12.75" customHeight="1" x14ac:dyDescent="0.2">
      <c r="A18" s="403" t="s">
        <v>928</v>
      </c>
      <c r="B18" s="271"/>
      <c r="C18" s="271"/>
      <c r="D18" s="271"/>
      <c r="E18" s="271"/>
      <c r="F18" s="271"/>
      <c r="G18" s="273"/>
      <c r="H18" s="29" t="str">
        <f>IF(A18="","",VLOOKUP(A18,AA_Equipos,7,FALSE))</f>
        <v>Dia</v>
      </c>
      <c r="I18" s="394">
        <f>IF(A18="","",VLOOKUP(A18,AA_Materiales,8,FALSE))</f>
        <v>237645</v>
      </c>
      <c r="J18" s="273"/>
      <c r="K18" s="402">
        <v>1.66666666666667E-3</v>
      </c>
      <c r="L18" s="273"/>
      <c r="M18" s="394">
        <f t="shared" si="1"/>
        <v>396.07500000000078</v>
      </c>
      <c r="N18" s="273"/>
    </row>
    <row r="19" spans="1:14" ht="12.75" customHeight="1" x14ac:dyDescent="0.2">
      <c r="A19" s="400"/>
      <c r="B19" s="271"/>
      <c r="C19" s="271"/>
      <c r="D19" s="271"/>
      <c r="E19" s="271"/>
      <c r="F19" s="271"/>
      <c r="G19" s="273"/>
      <c r="H19" s="29" t="str">
        <f>IF(A19="","",VLOOKUP(A19,AA_Equipos,7,FALSE))</f>
        <v/>
      </c>
      <c r="I19" s="394" t="str">
        <f>IF(A19="","",VLOOKUP(A19,AA_Materiales,8,FALSE))</f>
        <v/>
      </c>
      <c r="J19" s="273"/>
      <c r="K19" s="395"/>
      <c r="L19" s="273"/>
      <c r="M19" s="394" t="str">
        <f t="shared" si="1"/>
        <v/>
      </c>
      <c r="N19" s="273"/>
    </row>
    <row r="20" spans="1:14" ht="12.75" customHeight="1" x14ac:dyDescent="0.2">
      <c r="A20" s="400"/>
      <c r="B20" s="271"/>
      <c r="C20" s="271"/>
      <c r="D20" s="271"/>
      <c r="E20" s="271"/>
      <c r="F20" s="271"/>
      <c r="G20" s="273"/>
      <c r="H20" s="29" t="str">
        <f>IF(A20="","",VLOOKUP(A20,AA_Equipos,7,FALSE))</f>
        <v/>
      </c>
      <c r="I20" s="394" t="str">
        <f>IF(A20="","",VLOOKUP(A20,AA_Materiales,8,FALSE))</f>
        <v/>
      </c>
      <c r="J20" s="273"/>
      <c r="K20" s="395"/>
      <c r="L20" s="273"/>
      <c r="M20" s="394" t="str">
        <f t="shared" si="1"/>
        <v/>
      </c>
      <c r="N20" s="273"/>
    </row>
    <row r="21" spans="1:14" ht="12.75" customHeight="1" x14ac:dyDescent="0.2">
      <c r="A21" s="400"/>
      <c r="B21" s="271"/>
      <c r="C21" s="271"/>
      <c r="D21" s="271"/>
      <c r="E21" s="271"/>
      <c r="F21" s="271"/>
      <c r="G21" s="273"/>
      <c r="H21" s="29" t="str">
        <f>IF(A21="","",VLOOKUP(A21,AA_Equipos,7,FALSE))</f>
        <v/>
      </c>
      <c r="I21" s="394" t="str">
        <f>IF(A21="","",VLOOKUP(A21,AA_Materiales,8,FALSE))</f>
        <v/>
      </c>
      <c r="J21" s="273"/>
      <c r="K21" s="395"/>
      <c r="L21" s="273"/>
      <c r="M21" s="394" t="str">
        <f t="shared" si="1"/>
        <v/>
      </c>
      <c r="N21" s="273"/>
    </row>
    <row r="22" spans="1:14" ht="12.75" customHeight="1" x14ac:dyDescent="0.25">
      <c r="A22" s="4"/>
      <c r="B22" s="4"/>
      <c r="C22" s="4"/>
      <c r="D22" s="4"/>
      <c r="E22" s="4"/>
      <c r="F22" s="4"/>
      <c r="G22" s="4"/>
      <c r="H22" s="4"/>
      <c r="I22" s="4"/>
      <c r="J22" s="4"/>
      <c r="K22" s="396" t="s">
        <v>444</v>
      </c>
      <c r="L22" s="273"/>
      <c r="M22" s="394">
        <f>SUM(M17:N21)</f>
        <v>475.0759840000008</v>
      </c>
      <c r="N22" s="273"/>
    </row>
    <row r="23" spans="1:14" ht="12.75" customHeight="1" x14ac:dyDescent="0.25">
      <c r="A23" s="4"/>
      <c r="B23" s="4"/>
      <c r="C23" s="4"/>
      <c r="D23" s="4"/>
      <c r="E23" s="4"/>
      <c r="F23" s="4"/>
      <c r="G23" s="4"/>
      <c r="H23" s="4"/>
      <c r="I23" s="4"/>
      <c r="J23" s="4"/>
      <c r="K23" s="4"/>
      <c r="L23" s="4"/>
      <c r="M23" s="4"/>
      <c r="N23" s="4"/>
    </row>
    <row r="24" spans="1:14" ht="12.75" customHeight="1" x14ac:dyDescent="0.2">
      <c r="A24" s="398" t="s">
        <v>929</v>
      </c>
      <c r="B24" s="271"/>
      <c r="C24" s="271"/>
      <c r="D24" s="271"/>
      <c r="E24" s="271"/>
      <c r="F24" s="271"/>
      <c r="G24" s="271"/>
      <c r="H24" s="271"/>
      <c r="I24" s="271"/>
      <c r="J24" s="271"/>
      <c r="K24" s="271"/>
      <c r="L24" s="271"/>
      <c r="M24" s="271"/>
      <c r="N24" s="273"/>
    </row>
    <row r="25" spans="1:14" ht="12.75" customHeight="1" x14ac:dyDescent="0.2">
      <c r="A25" s="396" t="s">
        <v>76</v>
      </c>
      <c r="B25" s="271"/>
      <c r="C25" s="271"/>
      <c r="D25" s="271"/>
      <c r="E25" s="271"/>
      <c r="F25" s="271"/>
      <c r="G25" s="273"/>
      <c r="H25" s="88" t="s">
        <v>77</v>
      </c>
      <c r="I25" s="399" t="s">
        <v>920</v>
      </c>
      <c r="J25" s="273"/>
      <c r="K25" s="399" t="s">
        <v>453</v>
      </c>
      <c r="L25" s="273"/>
      <c r="M25" s="399" t="s">
        <v>921</v>
      </c>
      <c r="N25" s="273"/>
    </row>
    <row r="26" spans="1:14" ht="12.75" customHeight="1" x14ac:dyDescent="0.2">
      <c r="A26" s="400" t="s">
        <v>930</v>
      </c>
      <c r="B26" s="271"/>
      <c r="C26" s="271"/>
      <c r="D26" s="271"/>
      <c r="E26" s="271"/>
      <c r="F26" s="271"/>
      <c r="G26" s="273"/>
      <c r="H26" s="29" t="s">
        <v>24</v>
      </c>
      <c r="I26" s="394">
        <f>M13+M22</f>
        <v>2496.620984000001</v>
      </c>
      <c r="J26" s="273"/>
      <c r="K26" s="395">
        <v>0.05</v>
      </c>
      <c r="L26" s="273"/>
      <c r="M26" s="394">
        <f t="shared" ref="M26:M30" si="2">IF(A26="","",I26*K26)</f>
        <v>124.83104920000005</v>
      </c>
      <c r="N26" s="273"/>
    </row>
    <row r="27" spans="1:14" ht="12.75" customHeight="1" x14ac:dyDescent="0.2">
      <c r="A27" s="403"/>
      <c r="B27" s="271"/>
      <c r="C27" s="271"/>
      <c r="D27" s="271"/>
      <c r="E27" s="271"/>
      <c r="F27" s="271"/>
      <c r="G27" s="273"/>
      <c r="H27" s="29"/>
      <c r="I27" s="394"/>
      <c r="J27" s="273"/>
      <c r="K27" s="402"/>
      <c r="L27" s="273"/>
      <c r="M27" s="394" t="str">
        <f t="shared" si="2"/>
        <v/>
      </c>
      <c r="N27" s="273"/>
    </row>
    <row r="28" spans="1:14" ht="12.75" customHeight="1" x14ac:dyDescent="0.2">
      <c r="A28" s="400"/>
      <c r="B28" s="271"/>
      <c r="C28" s="271"/>
      <c r="D28" s="271"/>
      <c r="E28" s="271"/>
      <c r="F28" s="271"/>
      <c r="G28" s="273"/>
      <c r="H28" s="29"/>
      <c r="I28" s="394"/>
      <c r="J28" s="273"/>
      <c r="K28" s="395"/>
      <c r="L28" s="273"/>
      <c r="M28" s="394" t="str">
        <f t="shared" si="2"/>
        <v/>
      </c>
      <c r="N28" s="273"/>
    </row>
    <row r="29" spans="1:14" ht="12.75" customHeight="1" x14ac:dyDescent="0.2">
      <c r="A29" s="400"/>
      <c r="B29" s="271"/>
      <c r="C29" s="271"/>
      <c r="D29" s="271"/>
      <c r="E29" s="271"/>
      <c r="F29" s="271"/>
      <c r="G29" s="273"/>
      <c r="H29" s="29"/>
      <c r="I29" s="394"/>
      <c r="J29" s="273"/>
      <c r="K29" s="395"/>
      <c r="L29" s="273"/>
      <c r="M29" s="394" t="str">
        <f t="shared" si="2"/>
        <v/>
      </c>
      <c r="N29" s="273"/>
    </row>
    <row r="30" spans="1:14" ht="12.75" customHeight="1" x14ac:dyDescent="0.2">
      <c r="A30" s="400"/>
      <c r="B30" s="271"/>
      <c r="C30" s="271"/>
      <c r="D30" s="271"/>
      <c r="E30" s="271"/>
      <c r="F30" s="271"/>
      <c r="G30" s="273"/>
      <c r="H30" s="29"/>
      <c r="I30" s="394"/>
      <c r="J30" s="273"/>
      <c r="K30" s="395"/>
      <c r="L30" s="273"/>
      <c r="M30" s="394" t="str">
        <f t="shared" si="2"/>
        <v/>
      </c>
      <c r="N30" s="273"/>
    </row>
    <row r="31" spans="1:14" ht="12.75" customHeight="1" x14ac:dyDescent="0.25">
      <c r="A31" s="4"/>
      <c r="B31" s="4"/>
      <c r="C31" s="4"/>
      <c r="D31" s="4"/>
      <c r="E31" s="4"/>
      <c r="F31" s="4"/>
      <c r="G31" s="4"/>
      <c r="H31" s="4"/>
      <c r="I31" s="4"/>
      <c r="J31" s="4"/>
      <c r="K31" s="396" t="s">
        <v>444</v>
      </c>
      <c r="L31" s="273"/>
      <c r="M31" s="394">
        <f>SUM(M26:N30)</f>
        <v>124.83104920000005</v>
      </c>
      <c r="N31" s="273"/>
    </row>
    <row r="32" spans="1:14" ht="12.75" customHeight="1" x14ac:dyDescent="0.25">
      <c r="A32" s="4"/>
      <c r="B32" s="4"/>
      <c r="C32" s="4"/>
      <c r="D32" s="4"/>
      <c r="E32" s="4"/>
      <c r="F32" s="4"/>
      <c r="G32" s="4"/>
      <c r="H32" s="4"/>
      <c r="I32" s="4"/>
      <c r="J32" s="4"/>
      <c r="K32" s="4"/>
      <c r="L32" s="4"/>
      <c r="M32" s="4"/>
      <c r="N32" s="4"/>
    </row>
    <row r="33" spans="1:15" ht="12.75" customHeight="1" x14ac:dyDescent="0.2">
      <c r="A33" s="398" t="s">
        <v>931</v>
      </c>
      <c r="B33" s="271"/>
      <c r="C33" s="271"/>
      <c r="D33" s="271"/>
      <c r="E33" s="271"/>
      <c r="F33" s="271"/>
      <c r="G33" s="271"/>
      <c r="H33" s="271"/>
      <c r="I33" s="271"/>
      <c r="J33" s="271"/>
      <c r="K33" s="271"/>
      <c r="L33" s="271"/>
      <c r="M33" s="271"/>
      <c r="N33" s="273"/>
    </row>
    <row r="34" spans="1:15" ht="12.75" customHeight="1" x14ac:dyDescent="0.2">
      <c r="A34" s="396" t="s">
        <v>76</v>
      </c>
      <c r="B34" s="271"/>
      <c r="C34" s="271"/>
      <c r="D34" s="271"/>
      <c r="E34" s="271"/>
      <c r="F34" s="271"/>
      <c r="G34" s="273"/>
      <c r="H34" s="88" t="s">
        <v>77</v>
      </c>
      <c r="I34" s="399" t="s">
        <v>920</v>
      </c>
      <c r="J34" s="273"/>
      <c r="K34" s="90" t="s">
        <v>514</v>
      </c>
      <c r="L34" s="91" t="s">
        <v>932</v>
      </c>
      <c r="M34" s="399" t="s">
        <v>921</v>
      </c>
      <c r="N34" s="273"/>
    </row>
    <row r="35" spans="1:15" ht="12.75" customHeight="1" x14ac:dyDescent="0.25">
      <c r="A35" s="393" t="s">
        <v>933</v>
      </c>
      <c r="B35" s="271"/>
      <c r="C35" s="271"/>
      <c r="D35" s="271"/>
      <c r="E35" s="271"/>
      <c r="F35" s="271"/>
      <c r="G35" s="273"/>
      <c r="H35" s="29" t="str">
        <f>IF(A35="","",VLOOKUP(A35,AA_Cuadrillas,4,FALSE))</f>
        <v>Cuadrilla</v>
      </c>
      <c r="I35" s="394">
        <f>IF(A35="","",VLOOKUP(A35,AA_Cuadrillas,5,FALSE))</f>
        <v>420218</v>
      </c>
      <c r="J35" s="273"/>
      <c r="K35" s="9">
        <f>IF(A35="","",F.P!$I$2)</f>
        <v>1.88</v>
      </c>
      <c r="L35" s="93">
        <v>2E-3</v>
      </c>
      <c r="M35" s="394">
        <f t="shared" ref="M35:M39" si="3">IF(A35="","",I35*K35*L35)</f>
        <v>1580.0196799999999</v>
      </c>
      <c r="N35" s="273"/>
    </row>
    <row r="36" spans="1:15" ht="12.75" customHeight="1" x14ac:dyDescent="0.25">
      <c r="A36" s="393"/>
      <c r="B36" s="271"/>
      <c r="C36" s="271"/>
      <c r="D36" s="271"/>
      <c r="E36" s="271"/>
      <c r="F36" s="271"/>
      <c r="G36" s="273"/>
      <c r="H36" s="29" t="str">
        <f>IF(A36="","",VLOOKUP(A36,AA_Cuadrillas,4,FALSE))</f>
        <v/>
      </c>
      <c r="I36" s="394" t="str">
        <f>IF(A36="","",VLOOKUP(A36,AA_Cuadrillas,5,FALSE))</f>
        <v/>
      </c>
      <c r="J36" s="273"/>
      <c r="K36" s="9" t="str">
        <f>IF(A36="","",F.P!$I$2)</f>
        <v/>
      </c>
      <c r="L36" s="9"/>
      <c r="M36" s="394" t="str">
        <f t="shared" si="3"/>
        <v/>
      </c>
      <c r="N36" s="273"/>
    </row>
    <row r="37" spans="1:15" ht="12.75" customHeight="1" x14ac:dyDescent="0.25">
      <c r="A37" s="393"/>
      <c r="B37" s="271"/>
      <c r="C37" s="271"/>
      <c r="D37" s="271"/>
      <c r="E37" s="271"/>
      <c r="F37" s="271"/>
      <c r="G37" s="273"/>
      <c r="H37" s="29" t="str">
        <f>IF(A37="","",VLOOKUP(A37,AA_Cuadrillas,4,FALSE))</f>
        <v/>
      </c>
      <c r="I37" s="394" t="str">
        <f>IF(A37="","",VLOOKUP(A37,AA_Cuadrillas,5,FALSE))</f>
        <v/>
      </c>
      <c r="J37" s="273"/>
      <c r="K37" s="9" t="str">
        <f>IF(A37="","",F.P!$I$2)</f>
        <v/>
      </c>
      <c r="L37" s="37"/>
      <c r="M37" s="394" t="str">
        <f t="shared" si="3"/>
        <v/>
      </c>
      <c r="N37" s="273"/>
    </row>
    <row r="38" spans="1:15" ht="12.75" customHeight="1" x14ac:dyDescent="0.25">
      <c r="A38" s="393"/>
      <c r="B38" s="271"/>
      <c r="C38" s="271"/>
      <c r="D38" s="271"/>
      <c r="E38" s="271"/>
      <c r="F38" s="271"/>
      <c r="G38" s="273"/>
      <c r="H38" s="29" t="str">
        <f>IF(A38="","",VLOOKUP(A38,AA_Cuadrillas,4,FALSE))</f>
        <v/>
      </c>
      <c r="I38" s="394" t="str">
        <f>IF(A38="","",VLOOKUP(A38,AA_Cuadrillas,5,FALSE))</f>
        <v/>
      </c>
      <c r="J38" s="273"/>
      <c r="K38" s="9" t="str">
        <f>IF(A38="","",F.P!$I$2)</f>
        <v/>
      </c>
      <c r="L38" s="37"/>
      <c r="M38" s="394" t="str">
        <f t="shared" si="3"/>
        <v/>
      </c>
      <c r="N38" s="273"/>
    </row>
    <row r="39" spans="1:15" ht="12.75" customHeight="1" x14ac:dyDescent="0.25">
      <c r="A39" s="393"/>
      <c r="B39" s="271"/>
      <c r="C39" s="271"/>
      <c r="D39" s="271"/>
      <c r="E39" s="271"/>
      <c r="F39" s="271"/>
      <c r="G39" s="273"/>
      <c r="H39" s="29" t="str">
        <f>IF(A39="","",VLOOKUP(A39,AA_Cuadrillas,4,FALSE))</f>
        <v/>
      </c>
      <c r="I39" s="394" t="str">
        <f>IF(A39="","",VLOOKUP(A39,AA_Cuadrillas,5,FALSE))</f>
        <v/>
      </c>
      <c r="J39" s="273"/>
      <c r="K39" s="9" t="str">
        <f>IF(A39="","",F.P!$I$2)</f>
        <v/>
      </c>
      <c r="L39" s="37"/>
      <c r="M39" s="394" t="str">
        <f t="shared" si="3"/>
        <v/>
      </c>
      <c r="N39" s="273"/>
    </row>
    <row r="40" spans="1:15" ht="12.75" customHeight="1" x14ac:dyDescent="0.25">
      <c r="A40" s="4"/>
      <c r="B40" s="4"/>
      <c r="C40" s="4"/>
      <c r="D40" s="4"/>
      <c r="E40" s="4"/>
      <c r="F40" s="4"/>
      <c r="G40" s="4"/>
      <c r="H40" s="4"/>
      <c r="I40" s="4"/>
      <c r="J40" s="4"/>
      <c r="K40" s="396" t="s">
        <v>444</v>
      </c>
      <c r="L40" s="273"/>
      <c r="M40" s="394">
        <f>SUM(M35:N39)</f>
        <v>1580.0196799999999</v>
      </c>
      <c r="N40" s="273"/>
    </row>
    <row r="41" spans="1:15" ht="12.75" customHeight="1" x14ac:dyDescent="0.25">
      <c r="A41" s="4"/>
      <c r="B41" s="4"/>
      <c r="C41" s="4"/>
      <c r="D41" s="4"/>
      <c r="E41" s="4"/>
      <c r="F41" s="4"/>
      <c r="G41" s="4"/>
      <c r="H41" s="4"/>
      <c r="I41" s="4"/>
      <c r="J41" s="4"/>
      <c r="K41" s="4"/>
      <c r="L41" s="4"/>
      <c r="M41" s="4"/>
      <c r="N41" s="4"/>
    </row>
    <row r="42" spans="1:15" ht="12.75" customHeight="1" x14ac:dyDescent="0.2">
      <c r="A42" s="407" t="s">
        <v>84</v>
      </c>
      <c r="B42" s="275"/>
      <c r="C42" s="275"/>
      <c r="D42" s="275"/>
      <c r="E42" s="275"/>
      <c r="F42" s="275"/>
      <c r="G42" s="275"/>
      <c r="H42" s="275"/>
      <c r="I42" s="275"/>
      <c r="J42" s="275"/>
      <c r="K42" s="275"/>
      <c r="L42" s="275"/>
      <c r="M42" s="275"/>
      <c r="N42" s="276"/>
      <c r="O42" s="166"/>
    </row>
    <row r="43" spans="1:15" ht="12.75" customHeight="1" x14ac:dyDescent="0.2">
      <c r="A43" s="277"/>
      <c r="B43" s="278"/>
      <c r="C43" s="278"/>
      <c r="D43" s="278"/>
      <c r="E43" s="278"/>
      <c r="F43" s="278"/>
      <c r="G43" s="278"/>
      <c r="H43" s="278"/>
      <c r="I43" s="278"/>
      <c r="J43" s="278"/>
      <c r="K43" s="278"/>
      <c r="L43" s="278"/>
      <c r="M43" s="278"/>
      <c r="N43" s="279"/>
      <c r="O43" s="166"/>
    </row>
    <row r="44" spans="1:15" ht="12.75" customHeight="1" x14ac:dyDescent="0.2">
      <c r="A44" s="75">
        <v>1</v>
      </c>
      <c r="B44" s="75">
        <v>2</v>
      </c>
      <c r="C44" s="75">
        <v>3</v>
      </c>
      <c r="D44" s="75">
        <v>4</v>
      </c>
      <c r="E44" s="75">
        <v>5</v>
      </c>
      <c r="F44" s="75">
        <v>6</v>
      </c>
      <c r="G44" s="75">
        <v>7</v>
      </c>
      <c r="H44" s="75">
        <v>8</v>
      </c>
      <c r="I44" s="75">
        <v>9</v>
      </c>
      <c r="J44" s="75">
        <v>10</v>
      </c>
      <c r="K44" s="75">
        <v>11</v>
      </c>
      <c r="L44" s="75">
        <v>12</v>
      </c>
      <c r="M44" s="75">
        <v>13</v>
      </c>
      <c r="N44" s="75">
        <v>14</v>
      </c>
    </row>
    <row r="45" spans="1:15" ht="12.75" customHeight="1" x14ac:dyDescent="0.3">
      <c r="A45" s="79" t="s">
        <v>613</v>
      </c>
      <c r="B45" s="80" t="str">
        <f>A42</f>
        <v>LOCALIZACIÓN Y REPLANTEO DE ESTRUCTURAS DE ACUEDUCTOS (INCLUYE EQUIPO DE TOPOGRAFÍA)</v>
      </c>
      <c r="C45" s="81" t="s">
        <v>916</v>
      </c>
      <c r="D45" s="82" t="s">
        <v>934</v>
      </c>
      <c r="E45" s="83" t="s">
        <v>445</v>
      </c>
      <c r="F45" s="233">
        <f>(H45+J45+L45+N45)*1.3</f>
        <v>5395.0282271600026</v>
      </c>
      <c r="G45" s="83" t="s">
        <v>607</v>
      </c>
      <c r="H45" s="85">
        <f>M63</f>
        <v>475.0759840000008</v>
      </c>
      <c r="I45" s="83" t="s">
        <v>918</v>
      </c>
      <c r="J45" s="85">
        <f>M54</f>
        <v>1972.5450000000001</v>
      </c>
      <c r="K45" s="83" t="s">
        <v>609</v>
      </c>
      <c r="L45" s="85">
        <f>M72</f>
        <v>122.38104920000006</v>
      </c>
      <c r="M45" s="83" t="s">
        <v>610</v>
      </c>
      <c r="N45" s="86">
        <f>M81</f>
        <v>1580.0196799999999</v>
      </c>
    </row>
    <row r="46" spans="1:15" ht="12.75" customHeight="1" x14ac:dyDescent="0.25">
      <c r="A46" s="87"/>
      <c r="B46" s="87"/>
      <c r="C46" s="87"/>
      <c r="D46" s="87"/>
      <c r="E46" s="87"/>
      <c r="F46" s="87"/>
      <c r="G46" s="87"/>
      <c r="J46" s="87"/>
      <c r="K46" s="215" t="s">
        <v>3217</v>
      </c>
      <c r="L46" s="215"/>
      <c r="M46" s="87"/>
      <c r="N46" s="87"/>
      <c r="O46">
        <v>5395.03</v>
      </c>
    </row>
    <row r="47" spans="1:15" ht="12.75" customHeight="1" x14ac:dyDescent="0.2">
      <c r="A47" s="398" t="s">
        <v>919</v>
      </c>
      <c r="B47" s="271"/>
      <c r="C47" s="271"/>
      <c r="D47" s="271"/>
      <c r="E47" s="271"/>
      <c r="F47" s="271"/>
      <c r="G47" s="271"/>
      <c r="H47" s="271"/>
      <c r="I47" s="271"/>
      <c r="J47" s="271"/>
      <c r="K47" s="271"/>
      <c r="L47" s="271"/>
      <c r="M47" s="271"/>
      <c r="N47" s="273"/>
    </row>
    <row r="48" spans="1:15" ht="12.75" customHeight="1" x14ac:dyDescent="0.2">
      <c r="A48" s="396" t="s">
        <v>76</v>
      </c>
      <c r="B48" s="271"/>
      <c r="C48" s="271"/>
      <c r="D48" s="271"/>
      <c r="E48" s="271"/>
      <c r="F48" s="271"/>
      <c r="G48" s="273"/>
      <c r="H48" s="88" t="s">
        <v>77</v>
      </c>
      <c r="I48" s="399" t="s">
        <v>920</v>
      </c>
      <c r="J48" s="273"/>
      <c r="K48" s="399" t="s">
        <v>453</v>
      </c>
      <c r="L48" s="273"/>
      <c r="M48" s="399" t="s">
        <v>921</v>
      </c>
      <c r="N48" s="273"/>
    </row>
    <row r="49" spans="1:14" ht="12.75" customHeight="1" x14ac:dyDescent="0.2">
      <c r="A49" s="400" t="s">
        <v>922</v>
      </c>
      <c r="B49" s="271"/>
      <c r="C49" s="271"/>
      <c r="D49" s="271"/>
      <c r="E49" s="271"/>
      <c r="F49" s="271"/>
      <c r="G49" s="273"/>
      <c r="H49" s="29" t="str">
        <f>IF(A49="","",VLOOKUP(A49,AA_Materiales,7,FALSE))</f>
        <v>Unidad</v>
      </c>
      <c r="I49" s="394">
        <f>IF(A49="","",VLOOKUP(A49,AA_Materiales,8,FALSE))</f>
        <v>3741.67</v>
      </c>
      <c r="J49" s="273"/>
      <c r="K49" s="395">
        <v>0.3</v>
      </c>
      <c r="L49" s="273"/>
      <c r="M49" s="394">
        <f t="shared" ref="M49:M53" si="4">IF(A49="","",I49*K49)</f>
        <v>1122.501</v>
      </c>
      <c r="N49" s="273"/>
    </row>
    <row r="50" spans="1:14" ht="12.75" customHeight="1" x14ac:dyDescent="0.2">
      <c r="A50" s="400" t="s">
        <v>923</v>
      </c>
      <c r="B50" s="271"/>
      <c r="C50" s="271"/>
      <c r="D50" s="271"/>
      <c r="E50" s="271"/>
      <c r="F50" s="271"/>
      <c r="G50" s="273"/>
      <c r="H50" s="29" t="str">
        <f>IF(A50="","",VLOOKUP(A50,AA_Materiales,7,FALSE))</f>
        <v>Galón</v>
      </c>
      <c r="I50" s="394">
        <f>IF(A50="","",VLOOKUP(A50,AA_Materiales,8,FALSE))</f>
        <v>75900</v>
      </c>
      <c r="J50" s="273"/>
      <c r="K50" s="395">
        <v>8.0000000000000002E-3</v>
      </c>
      <c r="L50" s="273"/>
      <c r="M50" s="394">
        <f t="shared" si="4"/>
        <v>607.20000000000005</v>
      </c>
      <c r="N50" s="273"/>
    </row>
    <row r="51" spans="1:14" ht="12.75" customHeight="1" x14ac:dyDescent="0.2">
      <c r="A51" s="400" t="s">
        <v>924</v>
      </c>
      <c r="B51" s="271"/>
      <c r="C51" s="271"/>
      <c r="D51" s="271"/>
      <c r="E51" s="271"/>
      <c r="F51" s="271"/>
      <c r="G51" s="273"/>
      <c r="H51" s="29" t="str">
        <f>IF(A51="","",VLOOKUP(A51,AA_Materiales,7,FALSE))</f>
        <v>Libra</v>
      </c>
      <c r="I51" s="394">
        <f>IF(A51="","",VLOOKUP(A51,AA_Materiales,8,FALSE))</f>
        <v>4487</v>
      </c>
      <c r="J51" s="273"/>
      <c r="K51" s="395">
        <v>1.2E-2</v>
      </c>
      <c r="L51" s="273"/>
      <c r="M51" s="394">
        <f t="shared" si="4"/>
        <v>53.844000000000001</v>
      </c>
      <c r="N51" s="273"/>
    </row>
    <row r="52" spans="1:14" ht="12.75" customHeight="1" x14ac:dyDescent="0.2">
      <c r="A52" s="400" t="s">
        <v>935</v>
      </c>
      <c r="B52" s="271"/>
      <c r="C52" s="271"/>
      <c r="D52" s="271"/>
      <c r="E52" s="271"/>
      <c r="F52" s="271"/>
      <c r="G52" s="273"/>
      <c r="H52" s="29" t="str">
        <f>IF(A52="","",VLOOKUP(A52,AA_Materiales,7,FALSE))</f>
        <v>ml</v>
      </c>
      <c r="I52" s="394">
        <f>IF(A52="","",VLOOKUP(A52,AA_Materiales,8,FALSE))</f>
        <v>189</v>
      </c>
      <c r="J52" s="273"/>
      <c r="K52" s="395">
        <v>1</v>
      </c>
      <c r="L52" s="273"/>
      <c r="M52" s="394">
        <f t="shared" si="4"/>
        <v>189</v>
      </c>
      <c r="N52" s="273"/>
    </row>
    <row r="53" spans="1:14" ht="12.75" customHeight="1" x14ac:dyDescent="0.2">
      <c r="A53" s="400"/>
      <c r="B53" s="271"/>
      <c r="C53" s="271"/>
      <c r="D53" s="271"/>
      <c r="E53" s="271"/>
      <c r="F53" s="271"/>
      <c r="G53" s="273"/>
      <c r="H53" s="29" t="str">
        <f>IF(A53="","",VLOOKUP(A53,AA_Materiales,7,FALSE))</f>
        <v/>
      </c>
      <c r="I53" s="394" t="str">
        <f>IF(A53="","",VLOOKUP(A53,AA_Materiales,8,FALSE))</f>
        <v/>
      </c>
      <c r="J53" s="273"/>
      <c r="K53" s="395"/>
      <c r="L53" s="273"/>
      <c r="M53" s="394" t="str">
        <f t="shared" si="4"/>
        <v/>
      </c>
      <c r="N53" s="273"/>
    </row>
    <row r="54" spans="1:14" ht="12.75" customHeight="1" x14ac:dyDescent="0.25">
      <c r="A54" s="4"/>
      <c r="B54" s="4"/>
      <c r="C54" s="4"/>
      <c r="D54" s="4"/>
      <c r="E54" s="4"/>
      <c r="F54" s="4"/>
      <c r="G54" s="4"/>
      <c r="H54" s="4"/>
      <c r="I54" s="4"/>
      <c r="J54" s="4"/>
      <c r="K54" s="396" t="s">
        <v>444</v>
      </c>
      <c r="L54" s="273"/>
      <c r="M54" s="394">
        <f>SUM(M49:N53)</f>
        <v>1972.5450000000001</v>
      </c>
      <c r="N54" s="273"/>
    </row>
    <row r="55" spans="1:14" ht="12.75" customHeight="1" x14ac:dyDescent="0.25">
      <c r="A55" s="4"/>
      <c r="B55" s="4"/>
      <c r="C55" s="4"/>
      <c r="D55" s="4"/>
      <c r="E55" s="4"/>
      <c r="F55" s="4"/>
      <c r="G55" s="4"/>
      <c r="H55" s="4"/>
      <c r="I55" s="4"/>
      <c r="J55" s="4"/>
      <c r="K55" s="4"/>
      <c r="L55" s="4"/>
      <c r="M55" s="4"/>
      <c r="N55" s="4"/>
    </row>
    <row r="56" spans="1:14" ht="12.75" customHeight="1" x14ac:dyDescent="0.2">
      <c r="A56" s="398" t="s">
        <v>926</v>
      </c>
      <c r="B56" s="271"/>
      <c r="C56" s="271"/>
      <c r="D56" s="271"/>
      <c r="E56" s="271"/>
      <c r="F56" s="271"/>
      <c r="G56" s="271"/>
      <c r="H56" s="271"/>
      <c r="I56" s="271"/>
      <c r="J56" s="271"/>
      <c r="K56" s="271"/>
      <c r="L56" s="271"/>
      <c r="M56" s="271"/>
      <c r="N56" s="273"/>
    </row>
    <row r="57" spans="1:14" ht="12.75" customHeight="1" x14ac:dyDescent="0.2">
      <c r="A57" s="396" t="s">
        <v>76</v>
      </c>
      <c r="B57" s="271"/>
      <c r="C57" s="271"/>
      <c r="D57" s="271"/>
      <c r="E57" s="271"/>
      <c r="F57" s="271"/>
      <c r="G57" s="273"/>
      <c r="H57" s="88" t="s">
        <v>77</v>
      </c>
      <c r="I57" s="399" t="s">
        <v>920</v>
      </c>
      <c r="J57" s="273"/>
      <c r="K57" s="399" t="s">
        <v>453</v>
      </c>
      <c r="L57" s="273"/>
      <c r="M57" s="399" t="s">
        <v>921</v>
      </c>
      <c r="N57" s="273"/>
    </row>
    <row r="58" spans="1:14" ht="12.75" customHeight="1" x14ac:dyDescent="0.2">
      <c r="A58" s="400" t="s">
        <v>927</v>
      </c>
      <c r="B58" s="271"/>
      <c r="C58" s="271"/>
      <c r="D58" s="271"/>
      <c r="E58" s="271"/>
      <c r="F58" s="271"/>
      <c r="G58" s="273"/>
      <c r="H58" s="29" t="str">
        <f>IF(A58="","",VLOOKUP(A58,AA_Equipos,7,FALSE))</f>
        <v>% M.O.</v>
      </c>
      <c r="I58" s="394">
        <f>M81</f>
        <v>1580.0196799999999</v>
      </c>
      <c r="J58" s="273"/>
      <c r="K58" s="404">
        <v>0.05</v>
      </c>
      <c r="L58" s="273"/>
      <c r="M58" s="394">
        <f t="shared" ref="M58:M62" si="5">IF(A58="","",I58*K58)</f>
        <v>79.000984000000003</v>
      </c>
      <c r="N58" s="273"/>
    </row>
    <row r="59" spans="1:14" ht="12.75" customHeight="1" x14ac:dyDescent="0.2">
      <c r="A59" s="403" t="s">
        <v>928</v>
      </c>
      <c r="B59" s="271"/>
      <c r="C59" s="271"/>
      <c r="D59" s="271"/>
      <c r="E59" s="271"/>
      <c r="F59" s="271"/>
      <c r="G59" s="273"/>
      <c r="H59" s="29" t="str">
        <f>IF(A59="","",VLOOKUP(A59,AA_Equipos,7,FALSE))</f>
        <v>Dia</v>
      </c>
      <c r="I59" s="394">
        <f>IF(A59="","",VLOOKUP(A59,AA_Materiales,8,FALSE))</f>
        <v>237645</v>
      </c>
      <c r="J59" s="273"/>
      <c r="K59" s="402">
        <v>1.66666666666667E-3</v>
      </c>
      <c r="L59" s="273"/>
      <c r="M59" s="394">
        <f t="shared" si="5"/>
        <v>396.07500000000078</v>
      </c>
      <c r="N59" s="273"/>
    </row>
    <row r="60" spans="1:14" ht="12.75" customHeight="1" x14ac:dyDescent="0.2">
      <c r="A60" s="400"/>
      <c r="B60" s="271"/>
      <c r="C60" s="271"/>
      <c r="D60" s="271"/>
      <c r="E60" s="271"/>
      <c r="F60" s="271"/>
      <c r="G60" s="273"/>
      <c r="H60" s="29" t="str">
        <f>IF(A60="","",VLOOKUP(A60,AA_Equipos,7,FALSE))</f>
        <v/>
      </c>
      <c r="I60" s="394" t="str">
        <f>IF(A60="","",VLOOKUP(A60,AA_Materiales,8,FALSE))</f>
        <v/>
      </c>
      <c r="J60" s="273"/>
      <c r="K60" s="395"/>
      <c r="L60" s="273"/>
      <c r="M60" s="394" t="str">
        <f t="shared" si="5"/>
        <v/>
      </c>
      <c r="N60" s="273"/>
    </row>
    <row r="61" spans="1:14" ht="12.75" customHeight="1" x14ac:dyDescent="0.2">
      <c r="A61" s="400"/>
      <c r="B61" s="271"/>
      <c r="C61" s="271"/>
      <c r="D61" s="271"/>
      <c r="E61" s="271"/>
      <c r="F61" s="271"/>
      <c r="G61" s="273"/>
      <c r="H61" s="29" t="str">
        <f>IF(A61="","",VLOOKUP(A61,AA_Equipos,7,FALSE))</f>
        <v/>
      </c>
      <c r="I61" s="394" t="str">
        <f>IF(A61="","",VLOOKUP(A61,AA_Materiales,8,FALSE))</f>
        <v/>
      </c>
      <c r="J61" s="273"/>
      <c r="K61" s="395"/>
      <c r="L61" s="273"/>
      <c r="M61" s="394" t="str">
        <f t="shared" si="5"/>
        <v/>
      </c>
      <c r="N61" s="273"/>
    </row>
    <row r="62" spans="1:14" ht="12.75" customHeight="1" x14ac:dyDescent="0.2">
      <c r="A62" s="400"/>
      <c r="B62" s="271"/>
      <c r="C62" s="271"/>
      <c r="D62" s="271"/>
      <c r="E62" s="271"/>
      <c r="F62" s="271"/>
      <c r="G62" s="273"/>
      <c r="H62" s="29" t="str">
        <f>IF(A62="","",VLOOKUP(A62,AA_Equipos,7,FALSE))</f>
        <v/>
      </c>
      <c r="I62" s="394" t="str">
        <f>IF(A62="","",VLOOKUP(A62,AA_Materiales,8,FALSE))</f>
        <v/>
      </c>
      <c r="J62" s="273"/>
      <c r="K62" s="395"/>
      <c r="L62" s="273"/>
      <c r="M62" s="394" t="str">
        <f t="shared" si="5"/>
        <v/>
      </c>
      <c r="N62" s="273"/>
    </row>
    <row r="63" spans="1:14" ht="12.75" customHeight="1" x14ac:dyDescent="0.25">
      <c r="A63" s="4"/>
      <c r="B63" s="4"/>
      <c r="C63" s="4"/>
      <c r="D63" s="4"/>
      <c r="E63" s="4"/>
      <c r="F63" s="4"/>
      <c r="G63" s="4"/>
      <c r="H63" s="4"/>
      <c r="I63" s="4"/>
      <c r="J63" s="4"/>
      <c r="K63" s="396" t="s">
        <v>444</v>
      </c>
      <c r="L63" s="273"/>
      <c r="M63" s="394">
        <f>SUM(M58:N62)</f>
        <v>475.0759840000008</v>
      </c>
      <c r="N63" s="273"/>
    </row>
    <row r="64" spans="1:14" ht="12.75" customHeight="1" x14ac:dyDescent="0.25">
      <c r="A64" s="4"/>
      <c r="B64" s="4"/>
      <c r="C64" s="4"/>
      <c r="D64" s="4"/>
      <c r="E64" s="4"/>
      <c r="F64" s="4"/>
      <c r="G64" s="4"/>
      <c r="H64" s="4"/>
      <c r="I64" s="4"/>
      <c r="J64" s="4"/>
      <c r="K64" s="4"/>
      <c r="L64" s="4"/>
      <c r="M64" s="4"/>
      <c r="N64" s="4"/>
    </row>
    <row r="65" spans="1:14" ht="12.75" customHeight="1" x14ac:dyDescent="0.2">
      <c r="A65" s="398" t="s">
        <v>929</v>
      </c>
      <c r="B65" s="271"/>
      <c r="C65" s="271"/>
      <c r="D65" s="271"/>
      <c r="E65" s="271"/>
      <c r="F65" s="271"/>
      <c r="G65" s="271"/>
      <c r="H65" s="271"/>
      <c r="I65" s="271"/>
      <c r="J65" s="271"/>
      <c r="K65" s="271"/>
      <c r="L65" s="271"/>
      <c r="M65" s="271"/>
      <c r="N65" s="273"/>
    </row>
    <row r="66" spans="1:14" ht="12.75" customHeight="1" x14ac:dyDescent="0.2">
      <c r="A66" s="396" t="s">
        <v>76</v>
      </c>
      <c r="B66" s="271"/>
      <c r="C66" s="271"/>
      <c r="D66" s="271"/>
      <c r="E66" s="271"/>
      <c r="F66" s="271"/>
      <c r="G66" s="273"/>
      <c r="H66" s="88" t="s">
        <v>77</v>
      </c>
      <c r="I66" s="399" t="s">
        <v>920</v>
      </c>
      <c r="J66" s="273"/>
      <c r="K66" s="399" t="s">
        <v>453</v>
      </c>
      <c r="L66" s="273"/>
      <c r="M66" s="399" t="s">
        <v>921</v>
      </c>
      <c r="N66" s="273"/>
    </row>
    <row r="67" spans="1:14" ht="12.75" customHeight="1" x14ac:dyDescent="0.2">
      <c r="A67" s="400" t="s">
        <v>930</v>
      </c>
      <c r="B67" s="271"/>
      <c r="C67" s="271"/>
      <c r="D67" s="271"/>
      <c r="E67" s="271"/>
      <c r="F67" s="271"/>
      <c r="G67" s="273"/>
      <c r="H67" s="29" t="s">
        <v>24</v>
      </c>
      <c r="I67" s="394">
        <f>M54+M63</f>
        <v>2447.620984000001</v>
      </c>
      <c r="J67" s="273"/>
      <c r="K67" s="404">
        <v>0.05</v>
      </c>
      <c r="L67" s="273"/>
      <c r="M67" s="394">
        <f t="shared" ref="M67:M71" si="6">IF(A67="","",I67*K67)</f>
        <v>122.38104920000006</v>
      </c>
      <c r="N67" s="273"/>
    </row>
    <row r="68" spans="1:14" ht="12.75" customHeight="1" x14ac:dyDescent="0.2">
      <c r="A68" s="403"/>
      <c r="B68" s="271"/>
      <c r="C68" s="271"/>
      <c r="D68" s="271"/>
      <c r="E68" s="271"/>
      <c r="F68" s="271"/>
      <c r="G68" s="273"/>
      <c r="H68" s="29"/>
      <c r="I68" s="394"/>
      <c r="J68" s="273"/>
      <c r="K68" s="402"/>
      <c r="L68" s="273"/>
      <c r="M68" s="394" t="str">
        <f t="shared" si="6"/>
        <v/>
      </c>
      <c r="N68" s="273"/>
    </row>
    <row r="69" spans="1:14" ht="12.75" customHeight="1" x14ac:dyDescent="0.2">
      <c r="A69" s="400"/>
      <c r="B69" s="271"/>
      <c r="C69" s="271"/>
      <c r="D69" s="271"/>
      <c r="E69" s="271"/>
      <c r="F69" s="271"/>
      <c r="G69" s="273"/>
      <c r="H69" s="29"/>
      <c r="I69" s="394"/>
      <c r="J69" s="273"/>
      <c r="K69" s="395"/>
      <c r="L69" s="273"/>
      <c r="M69" s="394" t="str">
        <f t="shared" si="6"/>
        <v/>
      </c>
      <c r="N69" s="273"/>
    </row>
    <row r="70" spans="1:14" ht="12.75" customHeight="1" x14ac:dyDescent="0.2">
      <c r="A70" s="400"/>
      <c r="B70" s="271"/>
      <c r="C70" s="271"/>
      <c r="D70" s="271"/>
      <c r="E70" s="271"/>
      <c r="F70" s="271"/>
      <c r="G70" s="273"/>
      <c r="H70" s="29"/>
      <c r="I70" s="394"/>
      <c r="J70" s="273"/>
      <c r="K70" s="395"/>
      <c r="L70" s="273"/>
      <c r="M70" s="394" t="str">
        <f t="shared" si="6"/>
        <v/>
      </c>
      <c r="N70" s="273"/>
    </row>
    <row r="71" spans="1:14" ht="12.75" customHeight="1" x14ac:dyDescent="0.2">
      <c r="A71" s="400"/>
      <c r="B71" s="271"/>
      <c r="C71" s="271"/>
      <c r="D71" s="271"/>
      <c r="E71" s="271"/>
      <c r="F71" s="271"/>
      <c r="G71" s="273"/>
      <c r="H71" s="29"/>
      <c r="I71" s="394"/>
      <c r="J71" s="273"/>
      <c r="K71" s="395"/>
      <c r="L71" s="273"/>
      <c r="M71" s="394" t="str">
        <f t="shared" si="6"/>
        <v/>
      </c>
      <c r="N71" s="273"/>
    </row>
    <row r="72" spans="1:14" ht="12.75" customHeight="1" x14ac:dyDescent="0.25">
      <c r="A72" s="4"/>
      <c r="B72" s="4"/>
      <c r="C72" s="4"/>
      <c r="D72" s="4"/>
      <c r="E72" s="4"/>
      <c r="F72" s="4"/>
      <c r="G72" s="4"/>
      <c r="H72" s="4"/>
      <c r="I72" s="4"/>
      <c r="J72" s="4"/>
      <c r="K72" s="396" t="s">
        <v>444</v>
      </c>
      <c r="L72" s="273"/>
      <c r="M72" s="394">
        <f>SUM(M67:N71)</f>
        <v>122.38104920000006</v>
      </c>
      <c r="N72" s="273"/>
    </row>
    <row r="73" spans="1:14" ht="12.75" customHeight="1" x14ac:dyDescent="0.25">
      <c r="A73" s="4"/>
      <c r="B73" s="4"/>
      <c r="C73" s="4"/>
      <c r="D73" s="4"/>
      <c r="E73" s="4"/>
      <c r="F73" s="4"/>
      <c r="G73" s="4"/>
      <c r="H73" s="4"/>
      <c r="I73" s="4"/>
      <c r="J73" s="4"/>
      <c r="K73" s="4"/>
      <c r="L73" s="4"/>
      <c r="M73" s="4"/>
      <c r="N73" s="4"/>
    </row>
    <row r="74" spans="1:14" ht="12.75" customHeight="1" x14ac:dyDescent="0.2">
      <c r="A74" s="398" t="s">
        <v>931</v>
      </c>
      <c r="B74" s="271"/>
      <c r="C74" s="271"/>
      <c r="D74" s="271"/>
      <c r="E74" s="271"/>
      <c r="F74" s="271"/>
      <c r="G74" s="271"/>
      <c r="H74" s="271"/>
      <c r="I74" s="271"/>
      <c r="J74" s="271"/>
      <c r="K74" s="271"/>
      <c r="L74" s="271"/>
      <c r="M74" s="271"/>
      <c r="N74" s="273"/>
    </row>
    <row r="75" spans="1:14" ht="12.75" customHeight="1" x14ac:dyDescent="0.2">
      <c r="A75" s="396" t="s">
        <v>76</v>
      </c>
      <c r="B75" s="271"/>
      <c r="C75" s="271"/>
      <c r="D75" s="271"/>
      <c r="E75" s="271"/>
      <c r="F75" s="271"/>
      <c r="G75" s="273"/>
      <c r="H75" s="88" t="s">
        <v>77</v>
      </c>
      <c r="I75" s="399" t="s">
        <v>920</v>
      </c>
      <c r="J75" s="273"/>
      <c r="K75" s="90" t="s">
        <v>514</v>
      </c>
      <c r="L75" s="91" t="s">
        <v>932</v>
      </c>
      <c r="M75" s="399" t="s">
        <v>921</v>
      </c>
      <c r="N75" s="273"/>
    </row>
    <row r="76" spans="1:14" ht="12.75" customHeight="1" x14ac:dyDescent="0.25">
      <c r="A76" s="393" t="s">
        <v>933</v>
      </c>
      <c r="B76" s="271"/>
      <c r="C76" s="271"/>
      <c r="D76" s="271"/>
      <c r="E76" s="271"/>
      <c r="F76" s="271"/>
      <c r="G76" s="273"/>
      <c r="H76" s="29" t="str">
        <f>IF(A76="","",VLOOKUP(A76,AA_Cuadrillas,4,FALSE))</f>
        <v>Cuadrilla</v>
      </c>
      <c r="I76" s="394">
        <f>IF(A76="","",VLOOKUP(A76,AA_Cuadrillas,5,FALSE))</f>
        <v>420218</v>
      </c>
      <c r="J76" s="273"/>
      <c r="K76" s="9">
        <f>IF(A76="","",F.P!$I$2)</f>
        <v>1.88</v>
      </c>
      <c r="L76" s="93">
        <v>2E-3</v>
      </c>
      <c r="M76" s="394">
        <f t="shared" ref="M76:M80" si="7">IF(A76="","",I76*K76*L76)</f>
        <v>1580.0196799999999</v>
      </c>
      <c r="N76" s="273"/>
    </row>
    <row r="77" spans="1:14" ht="12.75" customHeight="1" x14ac:dyDescent="0.25">
      <c r="A77" s="393"/>
      <c r="B77" s="271"/>
      <c r="C77" s="271"/>
      <c r="D77" s="271"/>
      <c r="E77" s="271"/>
      <c r="F77" s="271"/>
      <c r="G77" s="273"/>
      <c r="H77" s="29" t="str">
        <f>IF(A77="","",VLOOKUP(A77,AA_Cuadrillas,4,FALSE))</f>
        <v/>
      </c>
      <c r="I77" s="394" t="str">
        <f>IF(A77="","",VLOOKUP(A77,AA_Cuadrillas,5,FALSE))</f>
        <v/>
      </c>
      <c r="J77" s="273"/>
      <c r="K77" s="9" t="str">
        <f>IF(A77="","",F.P!$I$2)</f>
        <v/>
      </c>
      <c r="L77" s="9"/>
      <c r="M77" s="394" t="str">
        <f t="shared" si="7"/>
        <v/>
      </c>
      <c r="N77" s="273"/>
    </row>
    <row r="78" spans="1:14" ht="12.75" customHeight="1" x14ac:dyDescent="0.25">
      <c r="A78" s="393"/>
      <c r="B78" s="271"/>
      <c r="C78" s="271"/>
      <c r="D78" s="271"/>
      <c r="E78" s="271"/>
      <c r="F78" s="271"/>
      <c r="G78" s="273"/>
      <c r="H78" s="29" t="str">
        <f>IF(A78="","",VLOOKUP(A78,AA_Cuadrillas,4,FALSE))</f>
        <v/>
      </c>
      <c r="I78" s="394" t="str">
        <f>IF(A78="","",VLOOKUP(A78,AA_Cuadrillas,5,FALSE))</f>
        <v/>
      </c>
      <c r="J78" s="273"/>
      <c r="K78" s="9" t="str">
        <f>IF(A78="","",F.P!$I$2)</f>
        <v/>
      </c>
      <c r="L78" s="37"/>
      <c r="M78" s="394" t="str">
        <f t="shared" si="7"/>
        <v/>
      </c>
      <c r="N78" s="273"/>
    </row>
    <row r="79" spans="1:14" ht="12.75" customHeight="1" x14ac:dyDescent="0.25">
      <c r="A79" s="393"/>
      <c r="B79" s="271"/>
      <c r="C79" s="271"/>
      <c r="D79" s="271"/>
      <c r="E79" s="271"/>
      <c r="F79" s="271"/>
      <c r="G79" s="273"/>
      <c r="H79" s="29" t="str">
        <f>IF(A79="","",VLOOKUP(A79,AA_Cuadrillas,4,FALSE))</f>
        <v/>
      </c>
      <c r="I79" s="394" t="str">
        <f>IF(A79="","",VLOOKUP(A79,AA_Cuadrillas,5,FALSE))</f>
        <v/>
      </c>
      <c r="J79" s="273"/>
      <c r="K79" s="9" t="str">
        <f>IF(A79="","",F.P!$I$2)</f>
        <v/>
      </c>
      <c r="L79" s="37"/>
      <c r="M79" s="394" t="str">
        <f t="shared" si="7"/>
        <v/>
      </c>
      <c r="N79" s="273"/>
    </row>
    <row r="80" spans="1:14" ht="12.75" customHeight="1" x14ac:dyDescent="0.25">
      <c r="A80" s="393"/>
      <c r="B80" s="271"/>
      <c r="C80" s="271"/>
      <c r="D80" s="271"/>
      <c r="E80" s="271"/>
      <c r="F80" s="271"/>
      <c r="G80" s="273"/>
      <c r="H80" s="29" t="str">
        <f>IF(A80="","",VLOOKUP(A80,AA_Cuadrillas,4,FALSE))</f>
        <v/>
      </c>
      <c r="I80" s="394" t="str">
        <f>IF(A80="","",VLOOKUP(A80,AA_Cuadrillas,5,FALSE))</f>
        <v/>
      </c>
      <c r="J80" s="273"/>
      <c r="K80" s="9" t="str">
        <f>IF(A80="","",F.P!$I$2)</f>
        <v/>
      </c>
      <c r="L80" s="37"/>
      <c r="M80" s="394" t="str">
        <f t="shared" si="7"/>
        <v/>
      </c>
      <c r="N80" s="273"/>
    </row>
    <row r="81" spans="1:15" ht="12.75" customHeight="1" x14ac:dyDescent="0.25">
      <c r="A81" s="4"/>
      <c r="B81" s="4"/>
      <c r="C81" s="4"/>
      <c r="D81" s="4"/>
      <c r="E81" s="4"/>
      <c r="F81" s="4"/>
      <c r="G81" s="4"/>
      <c r="H81" s="4"/>
      <c r="I81" s="4"/>
      <c r="J81" s="4"/>
      <c r="K81" s="396" t="s">
        <v>444</v>
      </c>
      <c r="L81" s="273"/>
      <c r="M81" s="394">
        <f>SUM(M76:N80)</f>
        <v>1580.0196799999999</v>
      </c>
      <c r="N81" s="273"/>
    </row>
    <row r="82" spans="1:15" ht="12.75" customHeight="1" x14ac:dyDescent="0.2"/>
    <row r="83" spans="1:15" ht="12.75" customHeight="1" x14ac:dyDescent="0.2">
      <c r="A83" s="407" t="s">
        <v>88</v>
      </c>
      <c r="B83" s="275"/>
      <c r="C83" s="275"/>
      <c r="D83" s="275"/>
      <c r="E83" s="275"/>
      <c r="F83" s="275"/>
      <c r="G83" s="275"/>
      <c r="H83" s="275"/>
      <c r="I83" s="275"/>
      <c r="J83" s="275"/>
      <c r="K83" s="275"/>
      <c r="L83" s="275"/>
      <c r="M83" s="275"/>
      <c r="N83" s="276"/>
      <c r="O83" s="166"/>
    </row>
    <row r="84" spans="1:15" ht="12.75" customHeight="1" x14ac:dyDescent="0.2">
      <c r="A84" s="277"/>
      <c r="B84" s="278"/>
      <c r="C84" s="278"/>
      <c r="D84" s="278"/>
      <c r="E84" s="278"/>
      <c r="F84" s="278"/>
      <c r="G84" s="278"/>
      <c r="H84" s="278"/>
      <c r="I84" s="278"/>
      <c r="J84" s="278"/>
      <c r="K84" s="278"/>
      <c r="L84" s="278"/>
      <c r="M84" s="278"/>
      <c r="N84" s="279"/>
      <c r="O84" s="166"/>
    </row>
    <row r="85" spans="1:15" ht="12.75" customHeight="1" x14ac:dyDescent="0.2">
      <c r="A85" s="75"/>
      <c r="B85" s="75"/>
      <c r="C85" s="75"/>
      <c r="D85" s="75"/>
      <c r="E85" s="75"/>
      <c r="F85" s="75"/>
      <c r="G85" s="75"/>
      <c r="H85" s="75"/>
      <c r="I85" s="75"/>
      <c r="J85" s="75"/>
      <c r="K85" s="75"/>
      <c r="L85" s="75"/>
      <c r="M85" s="75"/>
      <c r="N85" s="75"/>
    </row>
    <row r="86" spans="1:15" ht="12.75" customHeight="1" x14ac:dyDescent="0.3">
      <c r="A86" s="79" t="s">
        <v>614</v>
      </c>
      <c r="B86" s="80" t="str">
        <f>A83</f>
        <v>EXCAVACIÓN MANUAL EN MATERIAL COMÚN  (INCLUYE MANO DE OBRA, EQUIPOS Y MATERIALES)</v>
      </c>
      <c r="C86" s="81" t="s">
        <v>916</v>
      </c>
      <c r="D86" s="82" t="s">
        <v>258</v>
      </c>
      <c r="E86" s="83" t="s">
        <v>445</v>
      </c>
      <c r="F86" s="234">
        <f>(H86+J86+L86+N86)*1.3</f>
        <v>51472.658045714285</v>
      </c>
      <c r="G86" s="83" t="s">
        <v>607</v>
      </c>
      <c r="H86" s="86">
        <f>M104</f>
        <v>1880.9668571428572</v>
      </c>
      <c r="I86" s="83" t="s">
        <v>918</v>
      </c>
      <c r="J86" s="86">
        <f>M95</f>
        <v>0</v>
      </c>
      <c r="K86" s="83" t="s">
        <v>609</v>
      </c>
      <c r="L86" s="86">
        <f>M113</f>
        <v>94.04834285714287</v>
      </c>
      <c r="M86" s="83" t="s">
        <v>610</v>
      </c>
      <c r="N86" s="86">
        <f>M122</f>
        <v>37619.337142857141</v>
      </c>
    </row>
    <row r="87" spans="1:15" ht="12.75" customHeight="1" x14ac:dyDescent="0.25">
      <c r="A87" s="87"/>
      <c r="B87" s="87"/>
      <c r="C87" s="87"/>
      <c r="D87" s="87"/>
      <c r="E87" s="87"/>
      <c r="F87" s="87"/>
      <c r="G87" s="87"/>
      <c r="J87" s="87"/>
      <c r="K87" s="215" t="s">
        <v>3217</v>
      </c>
      <c r="L87" s="215"/>
      <c r="M87" s="87"/>
      <c r="N87" s="87"/>
    </row>
    <row r="88" spans="1:15" ht="12.75" customHeight="1" x14ac:dyDescent="0.2">
      <c r="A88" s="398" t="s">
        <v>919</v>
      </c>
      <c r="B88" s="271"/>
      <c r="C88" s="271"/>
      <c r="D88" s="271"/>
      <c r="E88" s="271"/>
      <c r="F88" s="271"/>
      <c r="G88" s="271"/>
      <c r="H88" s="271"/>
      <c r="I88" s="271"/>
      <c r="J88" s="271"/>
      <c r="K88" s="271"/>
      <c r="L88" s="271"/>
      <c r="M88" s="271"/>
      <c r="N88" s="273"/>
    </row>
    <row r="89" spans="1:15" ht="12.75" customHeight="1" x14ac:dyDescent="0.2">
      <c r="A89" s="396" t="s">
        <v>76</v>
      </c>
      <c r="B89" s="271"/>
      <c r="C89" s="271"/>
      <c r="D89" s="271"/>
      <c r="E89" s="271"/>
      <c r="F89" s="271"/>
      <c r="G89" s="273"/>
      <c r="H89" s="88" t="s">
        <v>77</v>
      </c>
      <c r="I89" s="399" t="s">
        <v>920</v>
      </c>
      <c r="J89" s="273"/>
      <c r="K89" s="399" t="s">
        <v>453</v>
      </c>
      <c r="L89" s="273"/>
      <c r="M89" s="399" t="s">
        <v>921</v>
      </c>
      <c r="N89" s="273"/>
    </row>
    <row r="90" spans="1:15" ht="12.75" customHeight="1" x14ac:dyDescent="0.2">
      <c r="A90" s="400"/>
      <c r="B90" s="271"/>
      <c r="C90" s="271"/>
      <c r="D90" s="271"/>
      <c r="E90" s="271"/>
      <c r="F90" s="271"/>
      <c r="G90" s="273"/>
      <c r="H90" s="29" t="str">
        <f>IF(A90="","",VLOOKUP(A90,AA_Materiales,7,FALSE))</f>
        <v/>
      </c>
      <c r="I90" s="394" t="str">
        <f>IF(A90="","",VLOOKUP(A90,AA_Materiales,8,FALSE))</f>
        <v/>
      </c>
      <c r="J90" s="273"/>
      <c r="K90" s="395"/>
      <c r="L90" s="273"/>
      <c r="M90" s="394" t="str">
        <f t="shared" ref="M90:M94" si="8">IF(A90="","",I90*K90)</f>
        <v/>
      </c>
      <c r="N90" s="273"/>
    </row>
    <row r="91" spans="1:15" ht="12.75" customHeight="1" x14ac:dyDescent="0.2">
      <c r="A91" s="400"/>
      <c r="B91" s="271"/>
      <c r="C91" s="271"/>
      <c r="D91" s="271"/>
      <c r="E91" s="271"/>
      <c r="F91" s="271"/>
      <c r="G91" s="273"/>
      <c r="H91" s="29" t="str">
        <f>IF(A91="","",VLOOKUP(A91,AA_Materiales,7,FALSE))</f>
        <v/>
      </c>
      <c r="I91" s="394" t="str">
        <f>IF(A91="","",VLOOKUP(A91,AA_Materiales,8,FALSE))</f>
        <v/>
      </c>
      <c r="J91" s="273"/>
      <c r="K91" s="395"/>
      <c r="L91" s="273"/>
      <c r="M91" s="394" t="str">
        <f t="shared" si="8"/>
        <v/>
      </c>
      <c r="N91" s="273"/>
    </row>
    <row r="92" spans="1:15" ht="12.75" customHeight="1" x14ac:dyDescent="0.2">
      <c r="A92" s="400"/>
      <c r="B92" s="271"/>
      <c r="C92" s="271"/>
      <c r="D92" s="271"/>
      <c r="E92" s="271"/>
      <c r="F92" s="271"/>
      <c r="G92" s="273"/>
      <c r="H92" s="29" t="str">
        <f>IF(A92="","",VLOOKUP(A92,AA_Materiales,7,FALSE))</f>
        <v/>
      </c>
      <c r="I92" s="394" t="str">
        <f>IF(A92="","",VLOOKUP(A92,AA_Materiales,8,FALSE))</f>
        <v/>
      </c>
      <c r="J92" s="273"/>
      <c r="K92" s="395"/>
      <c r="L92" s="273"/>
      <c r="M92" s="394" t="str">
        <f t="shared" si="8"/>
        <v/>
      </c>
      <c r="N92" s="273"/>
    </row>
    <row r="93" spans="1:15" ht="12.75" customHeight="1" x14ac:dyDescent="0.2">
      <c r="A93" s="400"/>
      <c r="B93" s="271"/>
      <c r="C93" s="271"/>
      <c r="D93" s="271"/>
      <c r="E93" s="271"/>
      <c r="F93" s="271"/>
      <c r="G93" s="273"/>
      <c r="H93" s="29" t="str">
        <f>IF(A93="","",VLOOKUP(A93,AA_Materiales,7,FALSE))</f>
        <v/>
      </c>
      <c r="I93" s="394" t="str">
        <f>IF(A93="","",VLOOKUP(A93,AA_Materiales,8,FALSE))</f>
        <v/>
      </c>
      <c r="J93" s="273"/>
      <c r="K93" s="395"/>
      <c r="L93" s="273"/>
      <c r="M93" s="394" t="str">
        <f t="shared" si="8"/>
        <v/>
      </c>
      <c r="N93" s="273"/>
    </row>
    <row r="94" spans="1:15" ht="12.75" customHeight="1" x14ac:dyDescent="0.2">
      <c r="A94" s="400"/>
      <c r="B94" s="271"/>
      <c r="C94" s="271"/>
      <c r="D94" s="271"/>
      <c r="E94" s="271"/>
      <c r="F94" s="271"/>
      <c r="G94" s="273"/>
      <c r="H94" s="29" t="str">
        <f>IF(A94="","",VLOOKUP(A94,AA_Materiales,7,FALSE))</f>
        <v/>
      </c>
      <c r="I94" s="394" t="str">
        <f>IF(A94="","",VLOOKUP(A94,AA_Materiales,8,FALSE))</f>
        <v/>
      </c>
      <c r="J94" s="273"/>
      <c r="K94" s="395"/>
      <c r="L94" s="273"/>
      <c r="M94" s="394" t="str">
        <f t="shared" si="8"/>
        <v/>
      </c>
      <c r="N94" s="273"/>
    </row>
    <row r="95" spans="1:15" ht="12.75" customHeight="1" x14ac:dyDescent="0.25">
      <c r="A95" s="4"/>
      <c r="B95" s="4"/>
      <c r="C95" s="4"/>
      <c r="D95" s="4"/>
      <c r="E95" s="4"/>
      <c r="F95" s="4"/>
      <c r="G95" s="4"/>
      <c r="H95" s="4"/>
      <c r="I95" s="4"/>
      <c r="J95" s="4"/>
      <c r="K95" s="396" t="s">
        <v>444</v>
      </c>
      <c r="L95" s="273"/>
      <c r="M95" s="394">
        <f>SUM(M90:N94)</f>
        <v>0</v>
      </c>
      <c r="N95" s="273"/>
    </row>
    <row r="96" spans="1:15" ht="12.75" customHeight="1" x14ac:dyDescent="0.25">
      <c r="A96" s="4"/>
      <c r="B96" s="4"/>
      <c r="C96" s="4"/>
      <c r="D96" s="4"/>
      <c r="E96" s="4"/>
      <c r="F96" s="4"/>
      <c r="G96" s="4"/>
      <c r="H96" s="4"/>
      <c r="I96" s="4"/>
      <c r="J96" s="4"/>
      <c r="K96" s="4"/>
      <c r="L96" s="4"/>
      <c r="M96" s="4"/>
      <c r="N96" s="4"/>
    </row>
    <row r="97" spans="1:14" ht="12.75" customHeight="1" x14ac:dyDescent="0.2">
      <c r="A97" s="398" t="s">
        <v>926</v>
      </c>
      <c r="B97" s="271"/>
      <c r="C97" s="271"/>
      <c r="D97" s="271"/>
      <c r="E97" s="271"/>
      <c r="F97" s="271"/>
      <c r="G97" s="271"/>
      <c r="H97" s="271"/>
      <c r="I97" s="271"/>
      <c r="J97" s="271"/>
      <c r="K97" s="271"/>
      <c r="L97" s="271"/>
      <c r="M97" s="271"/>
      <c r="N97" s="273"/>
    </row>
    <row r="98" spans="1:14" ht="12.75" customHeight="1" x14ac:dyDescent="0.2">
      <c r="A98" s="396" t="s">
        <v>76</v>
      </c>
      <c r="B98" s="271"/>
      <c r="C98" s="271"/>
      <c r="D98" s="271"/>
      <c r="E98" s="271"/>
      <c r="F98" s="271"/>
      <c r="G98" s="273"/>
      <c r="H98" s="88" t="s">
        <v>77</v>
      </c>
      <c r="I98" s="399" t="s">
        <v>920</v>
      </c>
      <c r="J98" s="273"/>
      <c r="K98" s="399" t="s">
        <v>453</v>
      </c>
      <c r="L98" s="273"/>
      <c r="M98" s="399" t="s">
        <v>921</v>
      </c>
      <c r="N98" s="273"/>
    </row>
    <row r="99" spans="1:14" ht="12.75" customHeight="1" x14ac:dyDescent="0.2">
      <c r="A99" s="400" t="s">
        <v>927</v>
      </c>
      <c r="B99" s="271"/>
      <c r="C99" s="271"/>
      <c r="D99" s="271"/>
      <c r="E99" s="271"/>
      <c r="F99" s="271"/>
      <c r="G99" s="273"/>
      <c r="H99" s="29" t="str">
        <f>IF(A99="","",VLOOKUP(A99,AA_Equipos,7,FALSE))</f>
        <v>% M.O.</v>
      </c>
      <c r="I99" s="394">
        <f>M122</f>
        <v>37619.337142857141</v>
      </c>
      <c r="J99" s="273"/>
      <c r="K99" s="404">
        <v>0.05</v>
      </c>
      <c r="L99" s="273"/>
      <c r="M99" s="394">
        <f t="shared" ref="M99:M103" si="9">IF(A99="","",I99*K99)</f>
        <v>1880.9668571428572</v>
      </c>
      <c r="N99" s="273"/>
    </row>
    <row r="100" spans="1:14" ht="12.75" customHeight="1" x14ac:dyDescent="0.2">
      <c r="A100" s="403"/>
      <c r="B100" s="271"/>
      <c r="C100" s="271"/>
      <c r="D100" s="271"/>
      <c r="E100" s="271"/>
      <c r="F100" s="271"/>
      <c r="G100" s="273"/>
      <c r="H100" s="29" t="str">
        <f>IF(A100="","",VLOOKUP(A100,AA_Equipos,7,FALSE))</f>
        <v/>
      </c>
      <c r="I100" s="394" t="str">
        <f>IF(A100="","",VLOOKUP(A100,AA_Equipos,8,FALSE))</f>
        <v/>
      </c>
      <c r="J100" s="273"/>
      <c r="K100" s="402"/>
      <c r="L100" s="273"/>
      <c r="M100" s="394" t="str">
        <f t="shared" si="9"/>
        <v/>
      </c>
      <c r="N100" s="273"/>
    </row>
    <row r="101" spans="1:14" ht="12.75" customHeight="1" x14ac:dyDescent="0.2">
      <c r="A101" s="400"/>
      <c r="B101" s="271"/>
      <c r="C101" s="271"/>
      <c r="D101" s="271"/>
      <c r="E101" s="271"/>
      <c r="F101" s="271"/>
      <c r="G101" s="273"/>
      <c r="H101" s="29" t="str">
        <f>IF(A101="","",VLOOKUP(A101,AA_Equipos,7,FALSE))</f>
        <v/>
      </c>
      <c r="I101" s="394" t="str">
        <f>IF(A101="","",VLOOKUP(A101,AA_Equipos,8,FALSE))</f>
        <v/>
      </c>
      <c r="J101" s="273"/>
      <c r="K101" s="395"/>
      <c r="L101" s="273"/>
      <c r="M101" s="394" t="str">
        <f t="shared" si="9"/>
        <v/>
      </c>
      <c r="N101" s="273"/>
    </row>
    <row r="102" spans="1:14" ht="12.75" customHeight="1" x14ac:dyDescent="0.2">
      <c r="A102" s="400"/>
      <c r="B102" s="271"/>
      <c r="C102" s="271"/>
      <c r="D102" s="271"/>
      <c r="E102" s="271"/>
      <c r="F102" s="271"/>
      <c r="G102" s="273"/>
      <c r="H102" s="29" t="str">
        <f>IF(A102="","",VLOOKUP(A102,AA_Equipos,7,FALSE))</f>
        <v/>
      </c>
      <c r="I102" s="394" t="str">
        <f>IF(A102="","",VLOOKUP(A102,AA_Equipos,8,FALSE))</f>
        <v/>
      </c>
      <c r="J102" s="273"/>
      <c r="K102" s="395"/>
      <c r="L102" s="273"/>
      <c r="M102" s="394" t="str">
        <f t="shared" si="9"/>
        <v/>
      </c>
      <c r="N102" s="273"/>
    </row>
    <row r="103" spans="1:14" ht="12.75" customHeight="1" x14ac:dyDescent="0.2">
      <c r="A103" s="400"/>
      <c r="B103" s="271"/>
      <c r="C103" s="271"/>
      <c r="D103" s="271"/>
      <c r="E103" s="271"/>
      <c r="F103" s="271"/>
      <c r="G103" s="273"/>
      <c r="H103" s="29" t="str">
        <f>IF(A103="","",VLOOKUP(A103,AA_Equipos,7,FALSE))</f>
        <v/>
      </c>
      <c r="I103" s="394" t="str">
        <f>IF(A103="","",VLOOKUP(A103,AA_Equipos,8,FALSE))</f>
        <v/>
      </c>
      <c r="J103" s="273"/>
      <c r="K103" s="395"/>
      <c r="L103" s="273"/>
      <c r="M103" s="394" t="str">
        <f t="shared" si="9"/>
        <v/>
      </c>
      <c r="N103" s="273"/>
    </row>
    <row r="104" spans="1:14" ht="12.75" customHeight="1" x14ac:dyDescent="0.25">
      <c r="A104" s="4"/>
      <c r="B104" s="4"/>
      <c r="C104" s="4"/>
      <c r="D104" s="4"/>
      <c r="E104" s="4"/>
      <c r="F104" s="4"/>
      <c r="G104" s="4"/>
      <c r="H104" s="4"/>
      <c r="I104" s="4"/>
      <c r="J104" s="4"/>
      <c r="K104" s="396" t="s">
        <v>444</v>
      </c>
      <c r="L104" s="273"/>
      <c r="M104" s="394">
        <f>SUM(M99:N103)</f>
        <v>1880.9668571428572</v>
      </c>
      <c r="N104" s="273"/>
    </row>
    <row r="105" spans="1:14" ht="12.75" customHeight="1" x14ac:dyDescent="0.25">
      <c r="A105" s="4"/>
      <c r="B105" s="4"/>
      <c r="C105" s="4"/>
      <c r="D105" s="4"/>
      <c r="E105" s="4"/>
      <c r="F105" s="4"/>
      <c r="G105" s="4"/>
      <c r="H105" s="4"/>
      <c r="I105" s="4"/>
      <c r="J105" s="4"/>
      <c r="K105" s="4"/>
      <c r="L105" s="4"/>
      <c r="M105" s="4"/>
      <c r="N105" s="4"/>
    </row>
    <row r="106" spans="1:14" ht="12.75" customHeight="1" x14ac:dyDescent="0.2">
      <c r="A106" s="398" t="s">
        <v>929</v>
      </c>
      <c r="B106" s="271"/>
      <c r="C106" s="271"/>
      <c r="D106" s="271"/>
      <c r="E106" s="271"/>
      <c r="F106" s="271"/>
      <c r="G106" s="271"/>
      <c r="H106" s="271"/>
      <c r="I106" s="271"/>
      <c r="J106" s="271"/>
      <c r="K106" s="271"/>
      <c r="L106" s="271"/>
      <c r="M106" s="271"/>
      <c r="N106" s="273"/>
    </row>
    <row r="107" spans="1:14" ht="12.75" customHeight="1" x14ac:dyDescent="0.2">
      <c r="A107" s="396" t="s">
        <v>76</v>
      </c>
      <c r="B107" s="271"/>
      <c r="C107" s="271"/>
      <c r="D107" s="271"/>
      <c r="E107" s="271"/>
      <c r="F107" s="271"/>
      <c r="G107" s="273"/>
      <c r="H107" s="88" t="s">
        <v>77</v>
      </c>
      <c r="I107" s="399" t="s">
        <v>920</v>
      </c>
      <c r="J107" s="273"/>
      <c r="K107" s="399" t="s">
        <v>453</v>
      </c>
      <c r="L107" s="273"/>
      <c r="M107" s="399" t="s">
        <v>921</v>
      </c>
      <c r="N107" s="273"/>
    </row>
    <row r="108" spans="1:14" ht="12.75" customHeight="1" x14ac:dyDescent="0.2">
      <c r="A108" s="400" t="s">
        <v>3174</v>
      </c>
      <c r="B108" s="271"/>
      <c r="C108" s="271"/>
      <c r="D108" s="271"/>
      <c r="E108" s="271"/>
      <c r="F108" s="271"/>
      <c r="G108" s="273"/>
      <c r="H108" s="29" t="s">
        <v>24</v>
      </c>
      <c r="I108" s="394">
        <f>+M104</f>
        <v>1880.9668571428572</v>
      </c>
      <c r="J108" s="273"/>
      <c r="K108" s="404">
        <v>0.05</v>
      </c>
      <c r="L108" s="273"/>
      <c r="M108" s="394">
        <f t="shared" ref="M108:M112" si="10">IF(A108="","",I108*K108)</f>
        <v>94.04834285714287</v>
      </c>
      <c r="N108" s="273"/>
    </row>
    <row r="109" spans="1:14" ht="12.75" customHeight="1" x14ac:dyDescent="0.2">
      <c r="A109" s="403"/>
      <c r="B109" s="271"/>
      <c r="C109" s="271"/>
      <c r="D109" s="271"/>
      <c r="E109" s="271"/>
      <c r="F109" s="271"/>
      <c r="G109" s="273"/>
      <c r="H109" s="29"/>
      <c r="I109" s="394"/>
      <c r="J109" s="273"/>
      <c r="K109" s="402"/>
      <c r="L109" s="273"/>
      <c r="M109" s="394" t="str">
        <f t="shared" si="10"/>
        <v/>
      </c>
      <c r="N109" s="273"/>
    </row>
    <row r="110" spans="1:14" ht="12.75" customHeight="1" x14ac:dyDescent="0.2">
      <c r="A110" s="400"/>
      <c r="B110" s="271"/>
      <c r="C110" s="271"/>
      <c r="D110" s="271"/>
      <c r="E110" s="271"/>
      <c r="F110" s="271"/>
      <c r="G110" s="273"/>
      <c r="H110" s="29"/>
      <c r="I110" s="394"/>
      <c r="J110" s="273"/>
      <c r="K110" s="395"/>
      <c r="L110" s="273"/>
      <c r="M110" s="394" t="str">
        <f t="shared" si="10"/>
        <v/>
      </c>
      <c r="N110" s="273"/>
    </row>
    <row r="111" spans="1:14" ht="12.75" customHeight="1" x14ac:dyDescent="0.2">
      <c r="A111" s="400"/>
      <c r="B111" s="271"/>
      <c r="C111" s="271"/>
      <c r="D111" s="271"/>
      <c r="E111" s="271"/>
      <c r="F111" s="271"/>
      <c r="G111" s="273"/>
      <c r="H111" s="29"/>
      <c r="I111" s="394"/>
      <c r="J111" s="273"/>
      <c r="K111" s="395"/>
      <c r="L111" s="273"/>
      <c r="M111" s="394" t="str">
        <f t="shared" si="10"/>
        <v/>
      </c>
      <c r="N111" s="273"/>
    </row>
    <row r="112" spans="1:14" ht="12.75" customHeight="1" x14ac:dyDescent="0.2">
      <c r="A112" s="400"/>
      <c r="B112" s="271"/>
      <c r="C112" s="271"/>
      <c r="D112" s="271"/>
      <c r="E112" s="271"/>
      <c r="F112" s="271"/>
      <c r="G112" s="273"/>
      <c r="H112" s="29"/>
      <c r="I112" s="394"/>
      <c r="J112" s="273"/>
      <c r="K112" s="395"/>
      <c r="L112" s="273"/>
      <c r="M112" s="394" t="str">
        <f t="shared" si="10"/>
        <v/>
      </c>
      <c r="N112" s="273"/>
    </row>
    <row r="113" spans="1:15" ht="12.75" customHeight="1" x14ac:dyDescent="0.25">
      <c r="A113" s="4"/>
      <c r="B113" s="4"/>
      <c r="C113" s="4"/>
      <c r="D113" s="4"/>
      <c r="E113" s="4"/>
      <c r="F113" s="4"/>
      <c r="G113" s="4"/>
      <c r="H113" s="4"/>
      <c r="I113" s="4"/>
      <c r="J113" s="4"/>
      <c r="K113" s="396" t="s">
        <v>444</v>
      </c>
      <c r="L113" s="273"/>
      <c r="M113" s="394">
        <f>SUM(M108:N112)</f>
        <v>94.04834285714287</v>
      </c>
      <c r="N113" s="273"/>
    </row>
    <row r="114" spans="1:15" ht="12.75" customHeight="1" x14ac:dyDescent="0.25">
      <c r="A114" s="4"/>
      <c r="B114" s="4"/>
      <c r="C114" s="4"/>
      <c r="D114" s="4"/>
      <c r="E114" s="4"/>
      <c r="F114" s="4"/>
      <c r="G114" s="4"/>
      <c r="H114" s="4"/>
      <c r="I114" s="4"/>
      <c r="J114" s="4"/>
      <c r="K114" s="4"/>
      <c r="L114" s="4"/>
      <c r="M114" s="4"/>
      <c r="N114" s="4"/>
    </row>
    <row r="115" spans="1:15" ht="12.75" customHeight="1" x14ac:dyDescent="0.2">
      <c r="A115" s="398" t="s">
        <v>931</v>
      </c>
      <c r="B115" s="271"/>
      <c r="C115" s="271"/>
      <c r="D115" s="271"/>
      <c r="E115" s="271"/>
      <c r="F115" s="271"/>
      <c r="G115" s="271"/>
      <c r="H115" s="271"/>
      <c r="I115" s="271"/>
      <c r="J115" s="271"/>
      <c r="K115" s="271"/>
      <c r="L115" s="271"/>
      <c r="M115" s="271"/>
      <c r="N115" s="273"/>
    </row>
    <row r="116" spans="1:15" ht="12.75" customHeight="1" x14ac:dyDescent="0.2">
      <c r="A116" s="396" t="s">
        <v>76</v>
      </c>
      <c r="B116" s="271"/>
      <c r="C116" s="271"/>
      <c r="D116" s="271"/>
      <c r="E116" s="271"/>
      <c r="F116" s="271"/>
      <c r="G116" s="273"/>
      <c r="H116" s="88" t="s">
        <v>77</v>
      </c>
      <c r="I116" s="399" t="s">
        <v>920</v>
      </c>
      <c r="J116" s="273"/>
      <c r="K116" s="90" t="s">
        <v>514</v>
      </c>
      <c r="L116" s="91" t="s">
        <v>932</v>
      </c>
      <c r="M116" s="399" t="s">
        <v>921</v>
      </c>
      <c r="N116" s="273"/>
    </row>
    <row r="117" spans="1:15" ht="12.75" customHeight="1" x14ac:dyDescent="0.25">
      <c r="A117" s="393" t="s">
        <v>936</v>
      </c>
      <c r="B117" s="271"/>
      <c r="C117" s="271"/>
      <c r="D117" s="271"/>
      <c r="E117" s="271"/>
      <c r="F117" s="271"/>
      <c r="G117" s="273"/>
      <c r="H117" s="29" t="str">
        <f>IF(A117="","",VLOOKUP(A117,AA_Cuadrillas,4,FALSE))</f>
        <v>Cuadrilla</v>
      </c>
      <c r="I117" s="394">
        <f>IF(A117="","",VLOOKUP(A117,AA_Cuadrillas,5,FALSE))</f>
        <v>70036</v>
      </c>
      <c r="J117" s="273"/>
      <c r="K117" s="9">
        <f>IF(A117="","",F.P!$I$2)</f>
        <v>1.88</v>
      </c>
      <c r="L117" s="93">
        <f>1/3.5</f>
        <v>0.2857142857142857</v>
      </c>
      <c r="M117" s="394">
        <f t="shared" ref="M117:M121" si="11">IF(A117="","",I117*K117*L117)</f>
        <v>37619.337142857141</v>
      </c>
      <c r="N117" s="273"/>
    </row>
    <row r="118" spans="1:15" ht="12.75" customHeight="1" x14ac:dyDescent="0.25">
      <c r="A118" s="393"/>
      <c r="B118" s="271"/>
      <c r="C118" s="271"/>
      <c r="D118" s="271"/>
      <c r="E118" s="271"/>
      <c r="F118" s="271"/>
      <c r="G118" s="273"/>
      <c r="H118" s="29" t="str">
        <f>IF(A118="","",VLOOKUP(A118,AA_Cuadrillas,4,FALSE))</f>
        <v/>
      </c>
      <c r="I118" s="394" t="str">
        <f>IF(A118="","",VLOOKUP(A118,AA_Cuadrillas,5,FALSE))</f>
        <v/>
      </c>
      <c r="J118" s="273"/>
      <c r="K118" s="9" t="str">
        <f>IF(A118="","",F.P!$I$2)</f>
        <v/>
      </c>
      <c r="L118" s="9"/>
      <c r="M118" s="394" t="str">
        <f t="shared" si="11"/>
        <v/>
      </c>
      <c r="N118" s="273"/>
    </row>
    <row r="119" spans="1:15" ht="12.75" customHeight="1" x14ac:dyDescent="0.25">
      <c r="A119" s="393"/>
      <c r="B119" s="271"/>
      <c r="C119" s="271"/>
      <c r="D119" s="271"/>
      <c r="E119" s="271"/>
      <c r="F119" s="271"/>
      <c r="G119" s="273"/>
      <c r="H119" s="29" t="str">
        <f>IF(A119="","",VLOOKUP(A119,AA_Cuadrillas,4,FALSE))</f>
        <v/>
      </c>
      <c r="I119" s="394"/>
      <c r="J119" s="273"/>
      <c r="K119" s="9" t="str">
        <f>IF(A119="","",F.P!$I$2)</f>
        <v/>
      </c>
      <c r="L119" s="37"/>
      <c r="M119" s="394" t="str">
        <f t="shared" si="11"/>
        <v/>
      </c>
      <c r="N119" s="273"/>
    </row>
    <row r="120" spans="1:15" ht="12.75" customHeight="1" x14ac:dyDescent="0.25">
      <c r="A120" s="393"/>
      <c r="B120" s="271"/>
      <c r="C120" s="271"/>
      <c r="D120" s="271"/>
      <c r="E120" s="271"/>
      <c r="F120" s="271"/>
      <c r="G120" s="273"/>
      <c r="H120" s="29" t="str">
        <f>IF(A120="","",VLOOKUP(A120,AA_Cuadrillas,4,FALSE))</f>
        <v/>
      </c>
      <c r="I120" s="394" t="str">
        <f>IF(A120="","",VLOOKUP(A120,AA_Cuadrillas,5,FALSE))</f>
        <v/>
      </c>
      <c r="J120" s="273"/>
      <c r="K120" s="9" t="str">
        <f>IF(A120="","",F.P!$I$2)</f>
        <v/>
      </c>
      <c r="L120" s="37"/>
      <c r="M120" s="394" t="str">
        <f t="shared" si="11"/>
        <v/>
      </c>
      <c r="N120" s="273"/>
    </row>
    <row r="121" spans="1:15" ht="12.75" customHeight="1" x14ac:dyDescent="0.25">
      <c r="A121" s="393"/>
      <c r="B121" s="271"/>
      <c r="C121" s="271"/>
      <c r="D121" s="271"/>
      <c r="E121" s="271"/>
      <c r="F121" s="271"/>
      <c r="G121" s="273"/>
      <c r="H121" s="29" t="str">
        <f>IF(A121="","",VLOOKUP(A121,AA_Cuadrillas,4,FALSE))</f>
        <v/>
      </c>
      <c r="I121" s="394" t="str">
        <f>IF(A121="","",VLOOKUP(A121,AA_Cuadrillas,5,FALSE))</f>
        <v/>
      </c>
      <c r="J121" s="273"/>
      <c r="K121" s="9" t="str">
        <f>IF(A121="","",F.P!$I$2)</f>
        <v/>
      </c>
      <c r="L121" s="37"/>
      <c r="M121" s="394" t="str">
        <f t="shared" si="11"/>
        <v/>
      </c>
      <c r="N121" s="273"/>
    </row>
    <row r="122" spans="1:15" ht="12.75" customHeight="1" x14ac:dyDescent="0.25">
      <c r="A122" s="4"/>
      <c r="B122" s="4"/>
      <c r="C122" s="4"/>
      <c r="D122" s="4"/>
      <c r="E122" s="4"/>
      <c r="F122" s="4"/>
      <c r="G122" s="4"/>
      <c r="H122" s="4"/>
      <c r="I122" s="4"/>
      <c r="J122" s="4"/>
      <c r="K122" s="396" t="s">
        <v>444</v>
      </c>
      <c r="L122" s="273"/>
      <c r="M122" s="394">
        <f>SUM(M117:N121)</f>
        <v>37619.337142857141</v>
      </c>
      <c r="N122" s="273"/>
    </row>
    <row r="123" spans="1:15" ht="12.75" customHeight="1" x14ac:dyDescent="0.2"/>
    <row r="124" spans="1:15" ht="12.75" customHeight="1" x14ac:dyDescent="0.2">
      <c r="A124" s="407" t="s">
        <v>161</v>
      </c>
      <c r="B124" s="275"/>
      <c r="C124" s="275"/>
      <c r="D124" s="275"/>
      <c r="E124" s="275"/>
      <c r="F124" s="275"/>
      <c r="G124" s="275"/>
      <c r="H124" s="275"/>
      <c r="I124" s="275"/>
      <c r="J124" s="275"/>
      <c r="K124" s="275"/>
      <c r="L124" s="275"/>
      <c r="M124" s="275"/>
      <c r="N124" s="276"/>
      <c r="O124" s="166"/>
    </row>
    <row r="125" spans="1:15" ht="12.75" customHeight="1" x14ac:dyDescent="0.2">
      <c r="A125" s="277"/>
      <c r="B125" s="278"/>
      <c r="C125" s="278"/>
      <c r="D125" s="278"/>
      <c r="E125" s="278"/>
      <c r="F125" s="278"/>
      <c r="G125" s="278"/>
      <c r="H125" s="278"/>
      <c r="I125" s="278"/>
      <c r="J125" s="278"/>
      <c r="K125" s="278"/>
      <c r="L125" s="278"/>
      <c r="M125" s="278"/>
      <c r="N125" s="279"/>
      <c r="O125" s="166"/>
    </row>
    <row r="126" spans="1:15" ht="12.75" customHeight="1" x14ac:dyDescent="0.2">
      <c r="A126" s="75"/>
      <c r="B126" s="75"/>
      <c r="C126" s="75"/>
      <c r="D126" s="75"/>
      <c r="E126" s="75"/>
      <c r="F126" s="75"/>
      <c r="G126" s="75"/>
      <c r="H126" s="75"/>
      <c r="I126" s="75"/>
      <c r="J126" s="75"/>
      <c r="K126" s="75"/>
      <c r="L126" s="75"/>
      <c r="M126" s="75"/>
      <c r="N126" s="75"/>
    </row>
    <row r="127" spans="1:15" ht="12.75" customHeight="1" x14ac:dyDescent="0.3">
      <c r="A127" s="79" t="s">
        <v>615</v>
      </c>
      <c r="B127" s="80" t="str">
        <f>A124</f>
        <v>EXCAVACIÓN MANUAL EN CONGLOMERADO</v>
      </c>
      <c r="C127" s="81" t="s">
        <v>916</v>
      </c>
      <c r="D127" s="82" t="s">
        <v>258</v>
      </c>
      <c r="E127" s="83" t="s">
        <v>445</v>
      </c>
      <c r="F127" s="234">
        <f>(H127+J127+L127+N127)*1.3</f>
        <v>68458.635200799996</v>
      </c>
      <c r="G127" s="83" t="s">
        <v>607</v>
      </c>
      <c r="H127" s="86">
        <f>M146</f>
        <v>2501.6859199999999</v>
      </c>
      <c r="I127" s="83" t="s">
        <v>918</v>
      </c>
      <c r="J127" s="86">
        <f>M137</f>
        <v>0</v>
      </c>
      <c r="K127" s="83" t="s">
        <v>609</v>
      </c>
      <c r="L127" s="86">
        <f>M155</f>
        <v>125.08429599999999</v>
      </c>
      <c r="M127" s="83" t="s">
        <v>610</v>
      </c>
      <c r="N127" s="86">
        <f>M164</f>
        <v>50033.718399999998</v>
      </c>
    </row>
    <row r="128" spans="1:15" ht="12.75" customHeight="1" x14ac:dyDescent="0.25">
      <c r="A128" s="87"/>
      <c r="B128" s="87"/>
      <c r="C128" s="87"/>
      <c r="D128" s="87"/>
      <c r="E128" s="242" t="s">
        <v>3232</v>
      </c>
      <c r="F128" s="243">
        <f>H127+J127+L127+N127</f>
        <v>52660.488615999995</v>
      </c>
      <c r="G128" s="87"/>
      <c r="J128" s="87"/>
      <c r="K128" s="215" t="s">
        <v>3217</v>
      </c>
      <c r="L128" s="215">
        <f>+F127*presup!$O$5</f>
        <v>88996.225761039997</v>
      </c>
      <c r="M128" s="87"/>
      <c r="N128" s="87"/>
    </row>
    <row r="129" spans="1:14" ht="12.75" customHeight="1" x14ac:dyDescent="0.2">
      <c r="A129" s="398" t="s">
        <v>919</v>
      </c>
      <c r="B129" s="271"/>
      <c r="C129" s="271"/>
      <c r="D129" s="271"/>
      <c r="E129" s="271"/>
      <c r="F129" s="271"/>
      <c r="G129" s="271"/>
      <c r="H129" s="271"/>
      <c r="I129" s="271"/>
      <c r="J129" s="271"/>
      <c r="K129" s="271"/>
      <c r="L129" s="271"/>
      <c r="M129" s="271"/>
      <c r="N129" s="273"/>
    </row>
    <row r="130" spans="1:14" ht="12.75" customHeight="1" x14ac:dyDescent="0.2">
      <c r="A130" s="396" t="s">
        <v>76</v>
      </c>
      <c r="B130" s="271"/>
      <c r="C130" s="271"/>
      <c r="D130" s="271"/>
      <c r="E130" s="271"/>
      <c r="F130" s="271"/>
      <c r="G130" s="273"/>
      <c r="H130" s="88" t="s">
        <v>77</v>
      </c>
      <c r="I130" s="399" t="s">
        <v>920</v>
      </c>
      <c r="J130" s="273"/>
      <c r="K130" s="399" t="s">
        <v>453</v>
      </c>
      <c r="L130" s="273"/>
      <c r="M130" s="399" t="s">
        <v>921</v>
      </c>
      <c r="N130" s="273"/>
    </row>
    <row r="131" spans="1:14" ht="12.75" customHeight="1" x14ac:dyDescent="0.2">
      <c r="A131" s="400"/>
      <c r="B131" s="271"/>
      <c r="C131" s="271"/>
      <c r="D131" s="271"/>
      <c r="E131" s="271"/>
      <c r="F131" s="271"/>
      <c r="G131" s="273"/>
      <c r="H131" s="29" t="str">
        <f t="shared" ref="H131:H136" si="12">IF(A131="","",VLOOKUP(A131,AA_Materiales,7,FALSE))</f>
        <v/>
      </c>
      <c r="I131" s="394" t="str">
        <f t="shared" ref="I131:I136" si="13">IF(A131="","",VLOOKUP(A131,AA_Materiales,8,FALSE))</f>
        <v/>
      </c>
      <c r="J131" s="273"/>
      <c r="K131" s="395"/>
      <c r="L131" s="273"/>
      <c r="M131" s="394" t="str">
        <f t="shared" ref="M131:M136" si="14">IF(A131="","",I131*K131)</f>
        <v/>
      </c>
      <c r="N131" s="273"/>
    </row>
    <row r="132" spans="1:14" ht="12.75" customHeight="1" x14ac:dyDescent="0.2">
      <c r="A132" s="400"/>
      <c r="B132" s="271"/>
      <c r="C132" s="271"/>
      <c r="D132" s="271"/>
      <c r="E132" s="271"/>
      <c r="F132" s="271"/>
      <c r="G132" s="273"/>
      <c r="H132" s="29" t="str">
        <f t="shared" si="12"/>
        <v/>
      </c>
      <c r="I132" s="394" t="str">
        <f t="shared" si="13"/>
        <v/>
      </c>
      <c r="J132" s="273"/>
      <c r="K132" s="395"/>
      <c r="L132" s="273"/>
      <c r="M132" s="394" t="str">
        <f t="shared" si="14"/>
        <v/>
      </c>
      <c r="N132" s="273"/>
    </row>
    <row r="133" spans="1:14" ht="12.75" customHeight="1" x14ac:dyDescent="0.2">
      <c r="A133" s="400"/>
      <c r="B133" s="271"/>
      <c r="C133" s="271"/>
      <c r="D133" s="271"/>
      <c r="E133" s="271"/>
      <c r="F133" s="271"/>
      <c r="G133" s="273"/>
      <c r="H133" s="29" t="str">
        <f t="shared" si="12"/>
        <v/>
      </c>
      <c r="I133" s="394" t="str">
        <f t="shared" si="13"/>
        <v/>
      </c>
      <c r="J133" s="273"/>
      <c r="K133" s="395"/>
      <c r="L133" s="273"/>
      <c r="M133" s="394" t="str">
        <f t="shared" si="14"/>
        <v/>
      </c>
      <c r="N133" s="273"/>
    </row>
    <row r="134" spans="1:14" ht="12.75" customHeight="1" x14ac:dyDescent="0.2">
      <c r="A134" s="400"/>
      <c r="B134" s="271"/>
      <c r="C134" s="271"/>
      <c r="D134" s="271"/>
      <c r="E134" s="271"/>
      <c r="F134" s="271"/>
      <c r="G134" s="273"/>
      <c r="H134" s="29" t="str">
        <f t="shared" si="12"/>
        <v/>
      </c>
      <c r="I134" s="394" t="str">
        <f t="shared" si="13"/>
        <v/>
      </c>
      <c r="J134" s="273"/>
      <c r="K134" s="395"/>
      <c r="L134" s="273"/>
      <c r="M134" s="394" t="str">
        <f t="shared" si="14"/>
        <v/>
      </c>
      <c r="N134" s="273"/>
    </row>
    <row r="135" spans="1:14" ht="12.75" customHeight="1" x14ac:dyDescent="0.2">
      <c r="A135" s="400"/>
      <c r="B135" s="271"/>
      <c r="C135" s="271"/>
      <c r="D135" s="271"/>
      <c r="E135" s="271"/>
      <c r="F135" s="271"/>
      <c r="G135" s="273"/>
      <c r="H135" s="29" t="str">
        <f t="shared" si="12"/>
        <v/>
      </c>
      <c r="I135" s="394" t="str">
        <f t="shared" si="13"/>
        <v/>
      </c>
      <c r="J135" s="273"/>
      <c r="K135" s="395"/>
      <c r="L135" s="273"/>
      <c r="M135" s="394" t="str">
        <f t="shared" si="14"/>
        <v/>
      </c>
      <c r="N135" s="273"/>
    </row>
    <row r="136" spans="1:14" ht="12.75" customHeight="1" x14ac:dyDescent="0.2">
      <c r="A136" s="400"/>
      <c r="B136" s="271"/>
      <c r="C136" s="271"/>
      <c r="D136" s="271"/>
      <c r="E136" s="271"/>
      <c r="F136" s="271"/>
      <c r="G136" s="273"/>
      <c r="H136" s="29" t="str">
        <f t="shared" si="12"/>
        <v/>
      </c>
      <c r="I136" s="394" t="str">
        <f t="shared" si="13"/>
        <v/>
      </c>
      <c r="J136" s="273"/>
      <c r="K136" s="395"/>
      <c r="L136" s="273"/>
      <c r="M136" s="394" t="str">
        <f t="shared" si="14"/>
        <v/>
      </c>
      <c r="N136" s="273"/>
    </row>
    <row r="137" spans="1:14" ht="12.75" customHeight="1" x14ac:dyDescent="0.25">
      <c r="A137" s="4"/>
      <c r="B137" s="4"/>
      <c r="C137" s="4"/>
      <c r="D137" s="4"/>
      <c r="E137" s="4"/>
      <c r="F137" s="4"/>
      <c r="G137" s="4"/>
      <c r="H137" s="4"/>
      <c r="I137" s="4"/>
      <c r="J137" s="4"/>
      <c r="K137" s="396" t="s">
        <v>444</v>
      </c>
      <c r="L137" s="273"/>
      <c r="M137" s="394">
        <f>SUM(M131:N136)</f>
        <v>0</v>
      </c>
      <c r="N137" s="273"/>
    </row>
    <row r="138" spans="1:14" ht="12.75" customHeight="1" x14ac:dyDescent="0.25">
      <c r="A138" s="4"/>
      <c r="B138" s="4"/>
      <c r="C138" s="4"/>
      <c r="D138" s="4"/>
      <c r="E138" s="4"/>
      <c r="F138" s="4"/>
      <c r="G138" s="4"/>
      <c r="H138" s="4"/>
      <c r="I138" s="4"/>
      <c r="J138" s="4"/>
      <c r="K138" s="4"/>
      <c r="L138" s="4"/>
      <c r="M138" s="4"/>
      <c r="N138" s="4"/>
    </row>
    <row r="139" spans="1:14" ht="12.75" customHeight="1" x14ac:dyDescent="0.2">
      <c r="A139" s="398" t="s">
        <v>926</v>
      </c>
      <c r="B139" s="271"/>
      <c r="C139" s="271"/>
      <c r="D139" s="271"/>
      <c r="E139" s="271"/>
      <c r="F139" s="271"/>
      <c r="G139" s="271"/>
      <c r="H139" s="271"/>
      <c r="I139" s="271"/>
      <c r="J139" s="271"/>
      <c r="K139" s="271"/>
      <c r="L139" s="271"/>
      <c r="M139" s="271"/>
      <c r="N139" s="273"/>
    </row>
    <row r="140" spans="1:14" ht="12.75" customHeight="1" x14ac:dyDescent="0.2">
      <c r="A140" s="396" t="s">
        <v>76</v>
      </c>
      <c r="B140" s="271"/>
      <c r="C140" s="271"/>
      <c r="D140" s="271"/>
      <c r="E140" s="271"/>
      <c r="F140" s="271"/>
      <c r="G140" s="273"/>
      <c r="H140" s="88" t="s">
        <v>77</v>
      </c>
      <c r="I140" s="399" t="s">
        <v>920</v>
      </c>
      <c r="J140" s="273"/>
      <c r="K140" s="399" t="s">
        <v>453</v>
      </c>
      <c r="L140" s="273"/>
      <c r="M140" s="399" t="s">
        <v>921</v>
      </c>
      <c r="N140" s="273"/>
    </row>
    <row r="141" spans="1:14" ht="12.75" customHeight="1" x14ac:dyDescent="0.2">
      <c r="A141" s="400" t="s">
        <v>927</v>
      </c>
      <c r="B141" s="271"/>
      <c r="C141" s="271"/>
      <c r="D141" s="271"/>
      <c r="E141" s="271"/>
      <c r="F141" s="271"/>
      <c r="G141" s="273"/>
      <c r="H141" s="29" t="str">
        <f>IF(A141="","",VLOOKUP(A141,AA_Equipos,7,FALSE))</f>
        <v>% M.O.</v>
      </c>
      <c r="I141" s="394">
        <f>M164</f>
        <v>50033.718399999998</v>
      </c>
      <c r="J141" s="273"/>
      <c r="K141" s="404">
        <v>0.05</v>
      </c>
      <c r="L141" s="273"/>
      <c r="M141" s="394">
        <f t="shared" ref="M141:M145" si="15">IF(A141="","",I141*K141)</f>
        <v>2501.6859199999999</v>
      </c>
      <c r="N141" s="273"/>
    </row>
    <row r="142" spans="1:14" ht="12.75" customHeight="1" x14ac:dyDescent="0.2">
      <c r="A142" s="403"/>
      <c r="B142" s="271"/>
      <c r="C142" s="271"/>
      <c r="D142" s="271"/>
      <c r="E142" s="271"/>
      <c r="F142" s="271"/>
      <c r="G142" s="273"/>
      <c r="H142" s="29" t="str">
        <f>IF(A142="","",VLOOKUP(A142,AA_Equipos,7,FALSE))</f>
        <v/>
      </c>
      <c r="I142" s="394" t="str">
        <f>IF(A142="","",VLOOKUP(A142,AA_Equipos,8,FALSE))</f>
        <v/>
      </c>
      <c r="J142" s="273"/>
      <c r="K142" s="402"/>
      <c r="L142" s="273"/>
      <c r="M142" s="394" t="str">
        <f t="shared" si="15"/>
        <v/>
      </c>
      <c r="N142" s="273"/>
    </row>
    <row r="143" spans="1:14" ht="12.75" customHeight="1" x14ac:dyDescent="0.2">
      <c r="A143" s="400"/>
      <c r="B143" s="271"/>
      <c r="C143" s="271"/>
      <c r="D143" s="271"/>
      <c r="E143" s="271"/>
      <c r="F143" s="271"/>
      <c r="G143" s="273"/>
      <c r="H143" s="29" t="str">
        <f>IF(A143="","",VLOOKUP(A143,AA_Equipos,7,FALSE))</f>
        <v/>
      </c>
      <c r="I143" s="394" t="str">
        <f>IF(A143="","",VLOOKUP(A143,AA_Equipos,8,FALSE))</f>
        <v/>
      </c>
      <c r="J143" s="273"/>
      <c r="K143" s="401"/>
      <c r="L143" s="273"/>
      <c r="M143" s="394" t="str">
        <f t="shared" si="15"/>
        <v/>
      </c>
      <c r="N143" s="273"/>
    </row>
    <row r="144" spans="1:14" ht="12.75" customHeight="1" x14ac:dyDescent="0.2">
      <c r="A144" s="400"/>
      <c r="B144" s="271"/>
      <c r="C144" s="271"/>
      <c r="D144" s="271"/>
      <c r="E144" s="271"/>
      <c r="F144" s="271"/>
      <c r="G144" s="273"/>
      <c r="H144" s="29" t="str">
        <f>IF(A144="","",VLOOKUP(A144,AA_Equipos,7,FALSE))</f>
        <v/>
      </c>
      <c r="I144" s="394" t="str">
        <f>IF(A144="","",VLOOKUP(A144,AA_Equipos,8,FALSE))</f>
        <v/>
      </c>
      <c r="J144" s="273"/>
      <c r="K144" s="395"/>
      <c r="L144" s="273"/>
      <c r="M144" s="394" t="str">
        <f t="shared" si="15"/>
        <v/>
      </c>
      <c r="N144" s="273"/>
    </row>
    <row r="145" spans="1:14" ht="12.75" customHeight="1" x14ac:dyDescent="0.2">
      <c r="A145" s="400"/>
      <c r="B145" s="271"/>
      <c r="C145" s="271"/>
      <c r="D145" s="271"/>
      <c r="E145" s="271"/>
      <c r="F145" s="271"/>
      <c r="G145" s="273"/>
      <c r="H145" s="29" t="str">
        <f>IF(A145="","",VLOOKUP(A145,AA_Equipos,7,FALSE))</f>
        <v/>
      </c>
      <c r="I145" s="394" t="str">
        <f>IF(A145="","",VLOOKUP(A145,AA_Equipos,8,FALSE))</f>
        <v/>
      </c>
      <c r="J145" s="273"/>
      <c r="K145" s="395"/>
      <c r="L145" s="273"/>
      <c r="M145" s="394" t="str">
        <f t="shared" si="15"/>
        <v/>
      </c>
      <c r="N145" s="273"/>
    </row>
    <row r="146" spans="1:14" ht="12.75" customHeight="1" x14ac:dyDescent="0.25">
      <c r="A146" s="4"/>
      <c r="B146" s="4"/>
      <c r="C146" s="4"/>
      <c r="D146" s="4"/>
      <c r="E146" s="4"/>
      <c r="F146" s="4"/>
      <c r="G146" s="4"/>
      <c r="H146" s="4"/>
      <c r="I146" s="4"/>
      <c r="J146" s="4"/>
      <c r="K146" s="396" t="s">
        <v>444</v>
      </c>
      <c r="L146" s="273"/>
      <c r="M146" s="394">
        <f>SUM(M141:N145)</f>
        <v>2501.6859199999999</v>
      </c>
      <c r="N146" s="273"/>
    </row>
    <row r="147" spans="1:14" ht="12.75" customHeight="1" x14ac:dyDescent="0.25">
      <c r="A147" s="4"/>
      <c r="B147" s="4"/>
      <c r="C147" s="4"/>
      <c r="D147" s="4"/>
      <c r="E147" s="4"/>
      <c r="F147" s="4"/>
      <c r="G147" s="4"/>
      <c r="H147" s="4"/>
      <c r="I147" s="4"/>
      <c r="J147" s="4"/>
      <c r="K147" s="4"/>
      <c r="L147" s="4"/>
      <c r="M147" s="4"/>
      <c r="N147" s="4"/>
    </row>
    <row r="148" spans="1:14" ht="12.75" customHeight="1" x14ac:dyDescent="0.2">
      <c r="A148" s="398" t="s">
        <v>929</v>
      </c>
      <c r="B148" s="271"/>
      <c r="C148" s="271"/>
      <c r="D148" s="271"/>
      <c r="E148" s="271"/>
      <c r="F148" s="271"/>
      <c r="G148" s="271"/>
      <c r="H148" s="271"/>
      <c r="I148" s="271"/>
      <c r="J148" s="271"/>
      <c r="K148" s="271"/>
      <c r="L148" s="271"/>
      <c r="M148" s="271"/>
      <c r="N148" s="273"/>
    </row>
    <row r="149" spans="1:14" ht="12.75" customHeight="1" x14ac:dyDescent="0.2">
      <c r="A149" s="396" t="s">
        <v>76</v>
      </c>
      <c r="B149" s="271"/>
      <c r="C149" s="271"/>
      <c r="D149" s="271"/>
      <c r="E149" s="271"/>
      <c r="F149" s="271"/>
      <c r="G149" s="273"/>
      <c r="H149" s="88" t="s">
        <v>77</v>
      </c>
      <c r="I149" s="399" t="s">
        <v>920</v>
      </c>
      <c r="J149" s="273"/>
      <c r="K149" s="399" t="s">
        <v>453</v>
      </c>
      <c r="L149" s="273"/>
      <c r="M149" s="399" t="s">
        <v>921</v>
      </c>
      <c r="N149" s="273"/>
    </row>
    <row r="150" spans="1:14" ht="12.75" customHeight="1" x14ac:dyDescent="0.2">
      <c r="A150" s="400" t="s">
        <v>3174</v>
      </c>
      <c r="B150" s="271"/>
      <c r="C150" s="271"/>
      <c r="D150" s="271"/>
      <c r="E150" s="271"/>
      <c r="F150" s="271"/>
      <c r="G150" s="273"/>
      <c r="H150" s="29" t="s">
        <v>24</v>
      </c>
      <c r="I150" s="394">
        <f>+M146</f>
        <v>2501.6859199999999</v>
      </c>
      <c r="J150" s="273"/>
      <c r="K150" s="404">
        <v>0.05</v>
      </c>
      <c r="L150" s="273"/>
      <c r="M150" s="394">
        <f t="shared" ref="M150:M154" si="16">IF(A150="","",I150*K150)</f>
        <v>125.08429599999999</v>
      </c>
      <c r="N150" s="273"/>
    </row>
    <row r="151" spans="1:14" ht="12.75" customHeight="1" x14ac:dyDescent="0.2">
      <c r="A151" s="403"/>
      <c r="B151" s="271"/>
      <c r="C151" s="271"/>
      <c r="D151" s="271"/>
      <c r="E151" s="271"/>
      <c r="F151" s="271"/>
      <c r="G151" s="273"/>
      <c r="H151" s="29"/>
      <c r="I151" s="394"/>
      <c r="J151" s="273"/>
      <c r="K151" s="404"/>
      <c r="L151" s="273"/>
      <c r="M151" s="394" t="str">
        <f t="shared" si="16"/>
        <v/>
      </c>
      <c r="N151" s="273"/>
    </row>
    <row r="152" spans="1:14" ht="12.75" customHeight="1" x14ac:dyDescent="0.2">
      <c r="A152" s="400"/>
      <c r="B152" s="271"/>
      <c r="C152" s="271"/>
      <c r="D152" s="271"/>
      <c r="E152" s="271"/>
      <c r="F152" s="271"/>
      <c r="G152" s="273"/>
      <c r="H152" s="29"/>
      <c r="I152" s="394"/>
      <c r="J152" s="273"/>
      <c r="K152" s="395"/>
      <c r="L152" s="273"/>
      <c r="M152" s="394" t="str">
        <f t="shared" si="16"/>
        <v/>
      </c>
      <c r="N152" s="273"/>
    </row>
    <row r="153" spans="1:14" ht="12.75" customHeight="1" x14ac:dyDescent="0.2">
      <c r="A153" s="400"/>
      <c r="B153" s="271"/>
      <c r="C153" s="271"/>
      <c r="D153" s="271"/>
      <c r="E153" s="271"/>
      <c r="F153" s="271"/>
      <c r="G153" s="273"/>
      <c r="H153" s="29"/>
      <c r="I153" s="394"/>
      <c r="J153" s="273"/>
      <c r="K153" s="395"/>
      <c r="L153" s="273"/>
      <c r="M153" s="394" t="str">
        <f t="shared" si="16"/>
        <v/>
      </c>
      <c r="N153" s="273"/>
    </row>
    <row r="154" spans="1:14" ht="12.75" customHeight="1" x14ac:dyDescent="0.2">
      <c r="A154" s="400"/>
      <c r="B154" s="271"/>
      <c r="C154" s="271"/>
      <c r="D154" s="271"/>
      <c r="E154" s="271"/>
      <c r="F154" s="271"/>
      <c r="G154" s="273"/>
      <c r="H154" s="29"/>
      <c r="I154" s="394"/>
      <c r="J154" s="273"/>
      <c r="K154" s="395"/>
      <c r="L154" s="273"/>
      <c r="M154" s="394" t="str">
        <f t="shared" si="16"/>
        <v/>
      </c>
      <c r="N154" s="273"/>
    </row>
    <row r="155" spans="1:14" ht="12.75" customHeight="1" x14ac:dyDescent="0.25">
      <c r="A155" s="4"/>
      <c r="B155" s="4"/>
      <c r="C155" s="4"/>
      <c r="D155" s="4"/>
      <c r="E155" s="4"/>
      <c r="F155" s="4"/>
      <c r="G155" s="4"/>
      <c r="H155" s="4"/>
      <c r="I155" s="4"/>
      <c r="J155" s="4"/>
      <c r="K155" s="396" t="s">
        <v>444</v>
      </c>
      <c r="L155" s="273"/>
      <c r="M155" s="394">
        <f>SUM(M150:N154)</f>
        <v>125.08429599999999</v>
      </c>
      <c r="N155" s="273"/>
    </row>
    <row r="156" spans="1:14" ht="12.75" customHeight="1" x14ac:dyDescent="0.25">
      <c r="A156" s="4"/>
      <c r="B156" s="4"/>
      <c r="C156" s="4"/>
      <c r="D156" s="4"/>
      <c r="E156" s="4"/>
      <c r="F156" s="4"/>
      <c r="G156" s="4"/>
      <c r="H156" s="4"/>
      <c r="I156" s="4"/>
      <c r="J156" s="4"/>
      <c r="K156" s="4"/>
      <c r="L156" s="4"/>
      <c r="M156" s="4"/>
      <c r="N156" s="4"/>
    </row>
    <row r="157" spans="1:14" ht="12.75" customHeight="1" x14ac:dyDescent="0.2">
      <c r="A157" s="398" t="s">
        <v>931</v>
      </c>
      <c r="B157" s="271"/>
      <c r="C157" s="271"/>
      <c r="D157" s="271"/>
      <c r="E157" s="271"/>
      <c r="F157" s="271"/>
      <c r="G157" s="271"/>
      <c r="H157" s="271"/>
      <c r="I157" s="271"/>
      <c r="J157" s="271"/>
      <c r="K157" s="271"/>
      <c r="L157" s="271"/>
      <c r="M157" s="271"/>
      <c r="N157" s="273"/>
    </row>
    <row r="158" spans="1:14" ht="12.75" customHeight="1" x14ac:dyDescent="0.2">
      <c r="A158" s="396" t="s">
        <v>76</v>
      </c>
      <c r="B158" s="271"/>
      <c r="C158" s="271"/>
      <c r="D158" s="271"/>
      <c r="E158" s="271"/>
      <c r="F158" s="271"/>
      <c r="G158" s="273"/>
      <c r="H158" s="88" t="s">
        <v>77</v>
      </c>
      <c r="I158" s="399" t="s">
        <v>920</v>
      </c>
      <c r="J158" s="273"/>
      <c r="K158" s="90" t="s">
        <v>514</v>
      </c>
      <c r="L158" s="91" t="s">
        <v>932</v>
      </c>
      <c r="M158" s="399" t="s">
        <v>921</v>
      </c>
      <c r="N158" s="273"/>
    </row>
    <row r="159" spans="1:14" ht="12.75" customHeight="1" x14ac:dyDescent="0.25">
      <c r="A159" s="393" t="s">
        <v>936</v>
      </c>
      <c r="B159" s="271"/>
      <c r="C159" s="271"/>
      <c r="D159" s="271"/>
      <c r="E159" s="271"/>
      <c r="F159" s="271"/>
      <c r="G159" s="273"/>
      <c r="H159" s="29" t="str">
        <f>IF(A159="","",VLOOKUP(A159,AA_Cuadrillas,4,FALSE))</f>
        <v>Cuadrilla</v>
      </c>
      <c r="I159" s="394">
        <f>IF(A159="","",VLOOKUP(A159,AA_Cuadrillas,5,FALSE))</f>
        <v>70036</v>
      </c>
      <c r="J159" s="273"/>
      <c r="K159" s="9">
        <f>IF(A159="","",F.P!$I$2)</f>
        <v>1.88</v>
      </c>
      <c r="L159" s="93">
        <v>0.38</v>
      </c>
      <c r="M159" s="394">
        <f t="shared" ref="M159:M163" si="17">IF(A159="","",I159*K159*L159)</f>
        <v>50033.718399999998</v>
      </c>
      <c r="N159" s="273"/>
    </row>
    <row r="160" spans="1:14" ht="12.75" customHeight="1" x14ac:dyDescent="0.25">
      <c r="A160" s="393"/>
      <c r="B160" s="271"/>
      <c r="C160" s="271"/>
      <c r="D160" s="271"/>
      <c r="E160" s="271"/>
      <c r="F160" s="271"/>
      <c r="G160" s="273"/>
      <c r="H160" s="29" t="str">
        <f>IF(A160="","",VLOOKUP(A160,AA_Cuadrillas,4,FALSE))</f>
        <v/>
      </c>
      <c r="I160" s="394" t="str">
        <f>IF(A160="","",VLOOKUP(A160,AA_Cuadrillas,5,FALSE))</f>
        <v/>
      </c>
      <c r="J160" s="273"/>
      <c r="K160" s="9" t="str">
        <f>IF(A160="","",F.P!$I$2)</f>
        <v/>
      </c>
      <c r="L160" s="9"/>
      <c r="M160" s="394" t="str">
        <f t="shared" si="17"/>
        <v/>
      </c>
      <c r="N160" s="273"/>
    </row>
    <row r="161" spans="1:14" ht="12.75" customHeight="1" x14ac:dyDescent="0.25">
      <c r="A161" s="393"/>
      <c r="B161" s="271"/>
      <c r="C161" s="271"/>
      <c r="D161" s="271"/>
      <c r="E161" s="271"/>
      <c r="F161" s="271"/>
      <c r="G161" s="273"/>
      <c r="H161" s="29" t="str">
        <f>IF(A161="","",VLOOKUP(A161,AA_Cuadrillas,4,FALSE))</f>
        <v/>
      </c>
      <c r="I161" s="394" t="str">
        <f>IF(A161="","",VLOOKUP(A161,AA_Cuadrillas,5,FALSE))</f>
        <v/>
      </c>
      <c r="J161" s="273"/>
      <c r="K161" s="9" t="str">
        <f>IF(A161="","",F.P!$I$2)</f>
        <v/>
      </c>
      <c r="L161" s="37"/>
      <c r="M161" s="394" t="str">
        <f t="shared" si="17"/>
        <v/>
      </c>
      <c r="N161" s="273"/>
    </row>
    <row r="162" spans="1:14" ht="12.75" customHeight="1" x14ac:dyDescent="0.25">
      <c r="A162" s="393"/>
      <c r="B162" s="271"/>
      <c r="C162" s="271"/>
      <c r="D162" s="271"/>
      <c r="E162" s="271"/>
      <c r="F162" s="271"/>
      <c r="G162" s="273"/>
      <c r="H162" s="29" t="str">
        <f>IF(A162="","",VLOOKUP(A162,AA_Cuadrillas,4,FALSE))</f>
        <v/>
      </c>
      <c r="I162" s="394" t="str">
        <f>IF(A162="","",VLOOKUP(A162,AA_Cuadrillas,5,FALSE))</f>
        <v/>
      </c>
      <c r="J162" s="273"/>
      <c r="K162" s="9" t="str">
        <f>IF(A162="","",F.P!$I$2)</f>
        <v/>
      </c>
      <c r="L162" s="37"/>
      <c r="M162" s="394" t="str">
        <f t="shared" si="17"/>
        <v/>
      </c>
      <c r="N162" s="273"/>
    </row>
    <row r="163" spans="1:14" ht="12.75" customHeight="1" x14ac:dyDescent="0.25">
      <c r="A163" s="393"/>
      <c r="B163" s="271"/>
      <c r="C163" s="271"/>
      <c r="D163" s="271"/>
      <c r="E163" s="271"/>
      <c r="F163" s="271"/>
      <c r="G163" s="273"/>
      <c r="H163" s="29" t="str">
        <f>IF(A163="","",VLOOKUP(A163,AA_Cuadrillas,4,FALSE))</f>
        <v/>
      </c>
      <c r="I163" s="394" t="str">
        <f>IF(A163="","",VLOOKUP(A163,AA_Cuadrillas,5,FALSE))</f>
        <v/>
      </c>
      <c r="J163" s="273"/>
      <c r="K163" s="9" t="str">
        <f>IF(A163="","",F.P!$I$2)</f>
        <v/>
      </c>
      <c r="L163" s="37"/>
      <c r="M163" s="394" t="str">
        <f t="shared" si="17"/>
        <v/>
      </c>
      <c r="N163" s="273"/>
    </row>
    <row r="164" spans="1:14" ht="12.75" customHeight="1" x14ac:dyDescent="0.25">
      <c r="A164" s="4"/>
      <c r="B164" s="4"/>
      <c r="C164" s="4"/>
      <c r="D164" s="4"/>
      <c r="E164" s="4"/>
      <c r="F164" s="4"/>
      <c r="G164" s="4"/>
      <c r="H164" s="4"/>
      <c r="I164" s="4"/>
      <c r="J164" s="4"/>
      <c r="K164" s="396" t="s">
        <v>444</v>
      </c>
      <c r="L164" s="273"/>
      <c r="M164" s="394">
        <f>SUM(M159:N163)</f>
        <v>50033.718399999998</v>
      </c>
      <c r="N164" s="273"/>
    </row>
    <row r="165" spans="1:14" ht="12.75" customHeight="1" x14ac:dyDescent="0.25">
      <c r="A165" s="4"/>
      <c r="B165" s="4"/>
      <c r="C165" s="4"/>
      <c r="D165" s="4"/>
      <c r="E165" s="4"/>
      <c r="F165" s="4"/>
      <c r="G165" s="4"/>
      <c r="H165" s="4"/>
      <c r="I165" s="4"/>
      <c r="J165" s="4"/>
      <c r="K165" s="94"/>
      <c r="L165" s="95"/>
      <c r="M165" s="89"/>
      <c r="N165" s="96"/>
    </row>
    <row r="166" spans="1:14" ht="12.75" customHeight="1" x14ac:dyDescent="0.2">
      <c r="A166" s="407" t="s">
        <v>937</v>
      </c>
      <c r="B166" s="275"/>
      <c r="C166" s="275"/>
      <c r="D166" s="275"/>
      <c r="E166" s="275"/>
      <c r="F166" s="275"/>
      <c r="G166" s="275"/>
      <c r="H166" s="275"/>
      <c r="I166" s="275"/>
      <c r="J166" s="275"/>
      <c r="K166" s="275"/>
      <c r="L166" s="275"/>
      <c r="M166" s="275"/>
      <c r="N166" s="276"/>
    </row>
    <row r="167" spans="1:14" ht="12.75" customHeight="1" x14ac:dyDescent="0.2">
      <c r="A167" s="277"/>
      <c r="B167" s="278"/>
      <c r="C167" s="278"/>
      <c r="D167" s="278"/>
      <c r="E167" s="278"/>
      <c r="F167" s="278"/>
      <c r="G167" s="278"/>
      <c r="H167" s="278"/>
      <c r="I167" s="278"/>
      <c r="J167" s="278"/>
      <c r="K167" s="278"/>
      <c r="L167" s="278"/>
      <c r="M167" s="278"/>
      <c r="N167" s="279"/>
    </row>
    <row r="168" spans="1:14" ht="12.75" customHeight="1" x14ac:dyDescent="0.2">
      <c r="A168" s="75"/>
      <c r="B168" s="75"/>
      <c r="C168" s="75"/>
      <c r="D168" s="75"/>
      <c r="E168" s="75"/>
      <c r="F168" s="75"/>
      <c r="G168" s="75"/>
      <c r="H168" s="75"/>
      <c r="I168" s="75"/>
      <c r="J168" s="75"/>
      <c r="K168" s="75"/>
      <c r="L168" s="75"/>
      <c r="M168" s="75"/>
      <c r="N168" s="75"/>
    </row>
    <row r="169" spans="1:14" ht="12.75" customHeight="1" x14ac:dyDescent="0.3">
      <c r="A169" s="79" t="s">
        <v>616</v>
      </c>
      <c r="B169" s="80" t="str">
        <f>A166</f>
        <v>EXCAVACIÓN MECÁNICA EN SECO PARA MATERIAL COMÚN A TODO COSTO (INCLUYE MANO DE OBRA)</v>
      </c>
      <c r="C169" s="81" t="s">
        <v>916</v>
      </c>
      <c r="D169" s="82" t="s">
        <v>258</v>
      </c>
      <c r="E169" s="83" t="s">
        <v>445</v>
      </c>
      <c r="F169" s="234">
        <f>(H169+J169+L169+N169)*1.3</f>
        <v>29073.857579</v>
      </c>
      <c r="G169" s="83" t="s">
        <v>607</v>
      </c>
      <c r="H169" s="86">
        <f>M178</f>
        <v>0</v>
      </c>
      <c r="I169" s="83" t="s">
        <v>918</v>
      </c>
      <c r="J169" s="86">
        <f>M187</f>
        <v>18164.584599999998</v>
      </c>
      <c r="K169" s="83" t="s">
        <v>609</v>
      </c>
      <c r="L169" s="86">
        <f>M196</f>
        <v>908.22922999999992</v>
      </c>
      <c r="M169" s="83" t="s">
        <v>610</v>
      </c>
      <c r="N169" s="86">
        <f>M205</f>
        <v>3291.692</v>
      </c>
    </row>
    <row r="170" spans="1:14" ht="12.75" customHeight="1" x14ac:dyDescent="0.25">
      <c r="A170" s="87"/>
      <c r="B170" s="87"/>
      <c r="C170" s="87"/>
      <c r="D170" s="87"/>
      <c r="E170" s="87"/>
      <c r="F170" s="87"/>
      <c r="G170" s="87"/>
      <c r="J170" s="87"/>
      <c r="K170" s="215" t="s">
        <v>3217</v>
      </c>
      <c r="L170" s="215">
        <f>+F169*presup!$O$5</f>
        <v>37796.014852699998</v>
      </c>
      <c r="M170" s="87"/>
      <c r="N170" s="87"/>
    </row>
    <row r="171" spans="1:14" ht="12.75" customHeight="1" x14ac:dyDescent="0.2">
      <c r="A171" s="398" t="s">
        <v>919</v>
      </c>
      <c r="B171" s="271"/>
      <c r="C171" s="271"/>
      <c r="D171" s="271"/>
      <c r="E171" s="271"/>
      <c r="F171" s="271"/>
      <c r="G171" s="271"/>
      <c r="H171" s="271"/>
      <c r="I171" s="271"/>
      <c r="J171" s="271"/>
      <c r="K171" s="271"/>
      <c r="L171" s="271"/>
      <c r="M171" s="271"/>
      <c r="N171" s="273"/>
    </row>
    <row r="172" spans="1:14" ht="12.75" customHeight="1" x14ac:dyDescent="0.2">
      <c r="A172" s="396" t="s">
        <v>76</v>
      </c>
      <c r="B172" s="271"/>
      <c r="C172" s="271"/>
      <c r="D172" s="271"/>
      <c r="E172" s="271"/>
      <c r="F172" s="271"/>
      <c r="G172" s="273"/>
      <c r="H172" s="88" t="s">
        <v>77</v>
      </c>
      <c r="I172" s="399" t="s">
        <v>920</v>
      </c>
      <c r="J172" s="273"/>
      <c r="K172" s="399" t="s">
        <v>453</v>
      </c>
      <c r="L172" s="273"/>
      <c r="M172" s="399" t="s">
        <v>921</v>
      </c>
      <c r="N172" s="273"/>
    </row>
    <row r="173" spans="1:14" ht="12.75" customHeight="1" x14ac:dyDescent="0.2">
      <c r="A173" s="400"/>
      <c r="B173" s="271"/>
      <c r="C173" s="271"/>
      <c r="D173" s="271"/>
      <c r="E173" s="271"/>
      <c r="F173" s="271"/>
      <c r="G173" s="273"/>
      <c r="H173" s="29" t="str">
        <f>IF(A173="","",VLOOKUP(A173,AA_Materiales,7,FALSE))</f>
        <v/>
      </c>
      <c r="I173" s="394" t="str">
        <f>IF(A173="","",VLOOKUP(A173,AA_Materiales,8,FALSE))</f>
        <v/>
      </c>
      <c r="J173" s="273"/>
      <c r="K173" s="395"/>
      <c r="L173" s="273"/>
      <c r="M173" s="394" t="str">
        <f t="shared" ref="M173:M177" si="18">IF(A173="","",I173*K173)</f>
        <v/>
      </c>
      <c r="N173" s="273"/>
    </row>
    <row r="174" spans="1:14" ht="12.75" customHeight="1" x14ac:dyDescent="0.2">
      <c r="A174" s="400"/>
      <c r="B174" s="271"/>
      <c r="C174" s="271"/>
      <c r="D174" s="271"/>
      <c r="E174" s="271"/>
      <c r="F174" s="271"/>
      <c r="G174" s="273"/>
      <c r="H174" s="29" t="str">
        <f>IF(A174="","",VLOOKUP(A174,AA_Materiales,7,FALSE))</f>
        <v/>
      </c>
      <c r="I174" s="394" t="str">
        <f>IF(A174="","",VLOOKUP(A174,AA_Materiales,8,FALSE))</f>
        <v/>
      </c>
      <c r="J174" s="273"/>
      <c r="K174" s="395"/>
      <c r="L174" s="273"/>
      <c r="M174" s="394" t="str">
        <f t="shared" si="18"/>
        <v/>
      </c>
      <c r="N174" s="273"/>
    </row>
    <row r="175" spans="1:14" ht="12.75" customHeight="1" x14ac:dyDescent="0.2">
      <c r="A175" s="400"/>
      <c r="B175" s="271"/>
      <c r="C175" s="271"/>
      <c r="D175" s="271"/>
      <c r="E175" s="271"/>
      <c r="F175" s="271"/>
      <c r="G175" s="273"/>
      <c r="H175" s="29" t="str">
        <f>IF(A175="","",VLOOKUP(A175,AA_Materiales,7,FALSE))</f>
        <v/>
      </c>
      <c r="I175" s="394" t="str">
        <f>IF(A175="","",VLOOKUP(A175,AA_Materiales,8,FALSE))</f>
        <v/>
      </c>
      <c r="J175" s="273"/>
      <c r="K175" s="395"/>
      <c r="L175" s="273"/>
      <c r="M175" s="394" t="str">
        <f t="shared" si="18"/>
        <v/>
      </c>
      <c r="N175" s="273"/>
    </row>
    <row r="176" spans="1:14" ht="12.75" customHeight="1" x14ac:dyDescent="0.2">
      <c r="A176" s="400"/>
      <c r="B176" s="271"/>
      <c r="C176" s="271"/>
      <c r="D176" s="271"/>
      <c r="E176" s="271"/>
      <c r="F176" s="271"/>
      <c r="G176" s="273"/>
      <c r="H176" s="29" t="str">
        <f>IF(A176="","",VLOOKUP(A176,AA_Materiales,7,FALSE))</f>
        <v/>
      </c>
      <c r="I176" s="394" t="str">
        <f>IF(A176="","",VLOOKUP(A176,AA_Materiales,8,FALSE))</f>
        <v/>
      </c>
      <c r="J176" s="273"/>
      <c r="K176" s="395"/>
      <c r="L176" s="273"/>
      <c r="M176" s="394" t="str">
        <f t="shared" si="18"/>
        <v/>
      </c>
      <c r="N176" s="273"/>
    </row>
    <row r="177" spans="1:14" ht="12.75" customHeight="1" x14ac:dyDescent="0.2">
      <c r="A177" s="400"/>
      <c r="B177" s="271"/>
      <c r="C177" s="271"/>
      <c r="D177" s="271"/>
      <c r="E177" s="271"/>
      <c r="F177" s="271"/>
      <c r="G177" s="273"/>
      <c r="H177" s="29" t="str">
        <f>IF(A177="","",VLOOKUP(A177,AA_Materiales,7,FALSE))</f>
        <v/>
      </c>
      <c r="I177" s="394" t="str">
        <f>IF(A177="","",VLOOKUP(A177,AA_Materiales,8,FALSE))</f>
        <v/>
      </c>
      <c r="J177" s="273"/>
      <c r="K177" s="395"/>
      <c r="L177" s="273"/>
      <c r="M177" s="394" t="str">
        <f t="shared" si="18"/>
        <v/>
      </c>
      <c r="N177" s="273"/>
    </row>
    <row r="178" spans="1:14" ht="12.75" customHeight="1" x14ac:dyDescent="0.25">
      <c r="A178" s="4"/>
      <c r="B178" s="4"/>
      <c r="C178" s="4"/>
      <c r="D178" s="4"/>
      <c r="E178" s="4"/>
      <c r="F178" s="4"/>
      <c r="G178" s="4"/>
      <c r="H178" s="4"/>
      <c r="I178" s="4"/>
      <c r="J178" s="4"/>
      <c r="K178" s="396" t="s">
        <v>444</v>
      </c>
      <c r="L178" s="273"/>
      <c r="M178" s="394">
        <f>SUM(M173:N177)</f>
        <v>0</v>
      </c>
      <c r="N178" s="273"/>
    </row>
    <row r="179" spans="1:14" ht="12.75" customHeight="1" x14ac:dyDescent="0.25">
      <c r="A179" s="4"/>
      <c r="B179" s="4"/>
      <c r="C179" s="4"/>
      <c r="D179" s="4"/>
      <c r="E179" s="4"/>
      <c r="F179" s="4"/>
      <c r="G179" s="4"/>
      <c r="H179" s="4"/>
      <c r="I179" s="4"/>
      <c r="J179" s="4"/>
      <c r="K179" s="4"/>
      <c r="L179" s="4"/>
      <c r="M179" s="4"/>
      <c r="N179" s="4"/>
    </row>
    <row r="180" spans="1:14" ht="12.75" customHeight="1" x14ac:dyDescent="0.2">
      <c r="A180" s="398" t="s">
        <v>926</v>
      </c>
      <c r="B180" s="271"/>
      <c r="C180" s="271"/>
      <c r="D180" s="271"/>
      <c r="E180" s="271"/>
      <c r="F180" s="271"/>
      <c r="G180" s="271"/>
      <c r="H180" s="271"/>
      <c r="I180" s="271"/>
      <c r="J180" s="271"/>
      <c r="K180" s="271"/>
      <c r="L180" s="271"/>
      <c r="M180" s="271"/>
      <c r="N180" s="273"/>
    </row>
    <row r="181" spans="1:14" ht="12.75" customHeight="1" x14ac:dyDescent="0.2">
      <c r="A181" s="396" t="s">
        <v>76</v>
      </c>
      <c r="B181" s="271"/>
      <c r="C181" s="271"/>
      <c r="D181" s="271"/>
      <c r="E181" s="271"/>
      <c r="F181" s="271"/>
      <c r="G181" s="273"/>
      <c r="H181" s="88" t="s">
        <v>77</v>
      </c>
      <c r="I181" s="399" t="s">
        <v>920</v>
      </c>
      <c r="J181" s="273"/>
      <c r="K181" s="399" t="s">
        <v>453</v>
      </c>
      <c r="L181" s="273"/>
      <c r="M181" s="399" t="s">
        <v>921</v>
      </c>
      <c r="N181" s="273"/>
    </row>
    <row r="182" spans="1:14" ht="12.75" customHeight="1" x14ac:dyDescent="0.2">
      <c r="A182" s="400" t="s">
        <v>927</v>
      </c>
      <c r="B182" s="271"/>
      <c r="C182" s="271"/>
      <c r="D182" s="271"/>
      <c r="E182" s="271"/>
      <c r="F182" s="271"/>
      <c r="G182" s="273"/>
      <c r="H182" s="29" t="str">
        <f>IF(A182="","",VLOOKUP(A182,AA_Equipos,7,FALSE))</f>
        <v>% M.O.</v>
      </c>
      <c r="I182" s="394">
        <f>M205</f>
        <v>3291.692</v>
      </c>
      <c r="J182" s="273"/>
      <c r="K182" s="395">
        <v>0.05</v>
      </c>
      <c r="L182" s="273"/>
      <c r="M182" s="394">
        <f t="shared" ref="M182:M186" si="19">IF(A182="","",I182*K182)</f>
        <v>164.58460000000002</v>
      </c>
      <c r="N182" s="273"/>
    </row>
    <row r="183" spans="1:14" ht="12.75" customHeight="1" x14ac:dyDescent="0.2">
      <c r="A183" s="403" t="s">
        <v>938</v>
      </c>
      <c r="B183" s="271"/>
      <c r="C183" s="271"/>
      <c r="D183" s="271"/>
      <c r="E183" s="271"/>
      <c r="F183" s="271"/>
      <c r="G183" s="273"/>
      <c r="H183" s="29" t="str">
        <f>IF(A183="","",VLOOKUP(A183,AA_Equipos,7,FALSE))</f>
        <v>Hora</v>
      </c>
      <c r="I183" s="394">
        <f>IF(A183="","",VLOOKUP(A183,AA_Equipos,8,FALSE))</f>
        <v>120000</v>
      </c>
      <c r="J183" s="273"/>
      <c r="K183" s="402">
        <v>0.15</v>
      </c>
      <c r="L183" s="273"/>
      <c r="M183" s="394">
        <f t="shared" si="19"/>
        <v>18000</v>
      </c>
      <c r="N183" s="273"/>
    </row>
    <row r="184" spans="1:14" ht="12.75" customHeight="1" x14ac:dyDescent="0.2">
      <c r="A184" s="400"/>
      <c r="B184" s="271"/>
      <c r="C184" s="271"/>
      <c r="D184" s="271"/>
      <c r="E184" s="271"/>
      <c r="F184" s="271"/>
      <c r="G184" s="273"/>
      <c r="H184" s="29" t="str">
        <f>IF(A184="","",VLOOKUP(A184,AA_Equipos,7,FALSE))</f>
        <v/>
      </c>
      <c r="I184" s="394" t="str">
        <f>IF(A184="","",VLOOKUP(A184,AA_Equipos,8,FALSE))</f>
        <v/>
      </c>
      <c r="J184" s="273"/>
      <c r="K184" s="395"/>
      <c r="L184" s="273"/>
      <c r="M184" s="394" t="str">
        <f t="shared" si="19"/>
        <v/>
      </c>
      <c r="N184" s="273"/>
    </row>
    <row r="185" spans="1:14" ht="12.75" customHeight="1" x14ac:dyDescent="0.2">
      <c r="A185" s="400"/>
      <c r="B185" s="271"/>
      <c r="C185" s="271"/>
      <c r="D185" s="271"/>
      <c r="E185" s="271"/>
      <c r="F185" s="271"/>
      <c r="G185" s="273"/>
      <c r="H185" s="29" t="str">
        <f>IF(A185="","",VLOOKUP(A185,AA_Equipos,7,FALSE))</f>
        <v/>
      </c>
      <c r="I185" s="394" t="str">
        <f>IF(A185="","",VLOOKUP(A185,AA_Equipos,8,FALSE))</f>
        <v/>
      </c>
      <c r="J185" s="273"/>
      <c r="K185" s="395"/>
      <c r="L185" s="273"/>
      <c r="M185" s="394" t="str">
        <f t="shared" si="19"/>
        <v/>
      </c>
      <c r="N185" s="273"/>
    </row>
    <row r="186" spans="1:14" ht="12.75" customHeight="1" x14ac:dyDescent="0.2">
      <c r="A186" s="400"/>
      <c r="B186" s="271"/>
      <c r="C186" s="271"/>
      <c r="D186" s="271"/>
      <c r="E186" s="271"/>
      <c r="F186" s="271"/>
      <c r="G186" s="273"/>
      <c r="H186" s="29" t="str">
        <f>IF(A186="","",VLOOKUP(A186,AA_Equipos,7,FALSE))</f>
        <v/>
      </c>
      <c r="I186" s="394" t="str">
        <f>IF(A186="","",VLOOKUP(A186,AA_Equipos,8,FALSE))</f>
        <v/>
      </c>
      <c r="J186" s="273"/>
      <c r="K186" s="395"/>
      <c r="L186" s="273"/>
      <c r="M186" s="394" t="str">
        <f t="shared" si="19"/>
        <v/>
      </c>
      <c r="N186" s="273"/>
    </row>
    <row r="187" spans="1:14" ht="12.75" customHeight="1" x14ac:dyDescent="0.25">
      <c r="A187" s="4"/>
      <c r="B187" s="4"/>
      <c r="C187" s="4"/>
      <c r="D187" s="4"/>
      <c r="E187" s="4"/>
      <c r="F187" s="4"/>
      <c r="G187" s="4"/>
      <c r="H187" s="4"/>
      <c r="I187" s="4"/>
      <c r="J187" s="4"/>
      <c r="K187" s="396" t="s">
        <v>444</v>
      </c>
      <c r="L187" s="273"/>
      <c r="M187" s="394">
        <f>SUM(M182:N186)</f>
        <v>18164.584599999998</v>
      </c>
      <c r="N187" s="273"/>
    </row>
    <row r="188" spans="1:14" ht="12.75" customHeight="1" x14ac:dyDescent="0.25">
      <c r="A188" s="4"/>
      <c r="B188" s="4"/>
      <c r="C188" s="4"/>
      <c r="D188" s="4"/>
      <c r="E188" s="4"/>
      <c r="F188" s="4"/>
      <c r="G188" s="4"/>
      <c r="H188" s="4"/>
      <c r="I188" s="4"/>
      <c r="J188" s="4"/>
      <c r="K188" s="4"/>
      <c r="L188" s="4"/>
      <c r="M188" s="4"/>
      <c r="N188" s="4"/>
    </row>
    <row r="189" spans="1:14" ht="12.75" customHeight="1" x14ac:dyDescent="0.2">
      <c r="A189" s="398" t="s">
        <v>929</v>
      </c>
      <c r="B189" s="271"/>
      <c r="C189" s="271"/>
      <c r="D189" s="271"/>
      <c r="E189" s="271"/>
      <c r="F189" s="271"/>
      <c r="G189" s="271"/>
      <c r="H189" s="271"/>
      <c r="I189" s="271"/>
      <c r="J189" s="271"/>
      <c r="K189" s="271"/>
      <c r="L189" s="271"/>
      <c r="M189" s="271"/>
      <c r="N189" s="273"/>
    </row>
    <row r="190" spans="1:14" ht="12.75" customHeight="1" x14ac:dyDescent="0.2">
      <c r="A190" s="396" t="s">
        <v>76</v>
      </c>
      <c r="B190" s="271"/>
      <c r="C190" s="271"/>
      <c r="D190" s="271"/>
      <c r="E190" s="271"/>
      <c r="F190" s="271"/>
      <c r="G190" s="273"/>
      <c r="H190" s="88" t="s">
        <v>77</v>
      </c>
      <c r="I190" s="399" t="s">
        <v>920</v>
      </c>
      <c r="J190" s="273"/>
      <c r="K190" s="399" t="s">
        <v>453</v>
      </c>
      <c r="L190" s="273"/>
      <c r="M190" s="399" t="s">
        <v>921</v>
      </c>
      <c r="N190" s="273"/>
    </row>
    <row r="191" spans="1:14" ht="12.75" customHeight="1" x14ac:dyDescent="0.2">
      <c r="A191" s="403" t="s">
        <v>939</v>
      </c>
      <c r="B191" s="271"/>
      <c r="C191" s="271"/>
      <c r="D191" s="271"/>
      <c r="E191" s="271"/>
      <c r="F191" s="271"/>
      <c r="G191" s="273"/>
      <c r="H191" s="29" t="s">
        <v>940</v>
      </c>
      <c r="I191" s="394">
        <f>+M187</f>
        <v>18164.584599999998</v>
      </c>
      <c r="J191" s="273"/>
      <c r="K191" s="404">
        <v>0.05</v>
      </c>
      <c r="L191" s="273"/>
      <c r="M191" s="394">
        <f t="shared" ref="M191:M195" si="20">IF(A191="","",I191*K191)</f>
        <v>908.22922999999992</v>
      </c>
      <c r="N191" s="273"/>
    </row>
    <row r="192" spans="1:14" ht="12.75" customHeight="1" x14ac:dyDescent="0.2">
      <c r="A192" s="400"/>
      <c r="B192" s="271"/>
      <c r="C192" s="271"/>
      <c r="D192" s="271"/>
      <c r="E192" s="271"/>
      <c r="F192" s="271"/>
      <c r="G192" s="273"/>
      <c r="H192" s="29"/>
      <c r="I192" s="394"/>
      <c r="J192" s="273"/>
      <c r="K192" s="395"/>
      <c r="L192" s="273"/>
      <c r="M192" s="394" t="str">
        <f t="shared" si="20"/>
        <v/>
      </c>
      <c r="N192" s="273"/>
    </row>
    <row r="193" spans="1:15" ht="12.75" customHeight="1" x14ac:dyDescent="0.2">
      <c r="A193" s="400"/>
      <c r="B193" s="271"/>
      <c r="C193" s="271"/>
      <c r="D193" s="271"/>
      <c r="E193" s="271"/>
      <c r="F193" s="271"/>
      <c r="G193" s="273"/>
      <c r="H193" s="29"/>
      <c r="I193" s="394"/>
      <c r="J193" s="273"/>
      <c r="K193" s="395"/>
      <c r="L193" s="273"/>
      <c r="M193" s="394" t="str">
        <f t="shared" si="20"/>
        <v/>
      </c>
      <c r="N193" s="273"/>
    </row>
    <row r="194" spans="1:15" ht="12.75" customHeight="1" x14ac:dyDescent="0.2">
      <c r="A194" s="400"/>
      <c r="B194" s="271"/>
      <c r="C194" s="271"/>
      <c r="D194" s="271"/>
      <c r="E194" s="271"/>
      <c r="F194" s="271"/>
      <c r="G194" s="273"/>
      <c r="H194" s="29"/>
      <c r="I194" s="394"/>
      <c r="J194" s="273"/>
      <c r="K194" s="395"/>
      <c r="L194" s="273"/>
      <c r="M194" s="394" t="str">
        <f t="shared" si="20"/>
        <v/>
      </c>
      <c r="N194" s="273"/>
    </row>
    <row r="195" spans="1:15" ht="12.75" customHeight="1" x14ac:dyDescent="0.2">
      <c r="A195" s="400"/>
      <c r="B195" s="271"/>
      <c r="C195" s="271"/>
      <c r="D195" s="271"/>
      <c r="E195" s="271"/>
      <c r="F195" s="271"/>
      <c r="G195" s="273"/>
      <c r="H195" s="29"/>
      <c r="I195" s="394"/>
      <c r="J195" s="273"/>
      <c r="K195" s="395"/>
      <c r="L195" s="273"/>
      <c r="M195" s="394" t="str">
        <f t="shared" si="20"/>
        <v/>
      </c>
      <c r="N195" s="273"/>
    </row>
    <row r="196" spans="1:15" ht="12.75" customHeight="1" x14ac:dyDescent="0.25">
      <c r="A196" s="4"/>
      <c r="B196" s="4"/>
      <c r="C196" s="4"/>
      <c r="D196" s="4"/>
      <c r="E196" s="4"/>
      <c r="F196" s="4"/>
      <c r="G196" s="4"/>
      <c r="H196" s="4"/>
      <c r="I196" s="4"/>
      <c r="J196" s="4"/>
      <c r="K196" s="396" t="s">
        <v>444</v>
      </c>
      <c r="L196" s="273"/>
      <c r="M196" s="394">
        <f>SUM(M191:N195)</f>
        <v>908.22922999999992</v>
      </c>
      <c r="N196" s="273"/>
    </row>
    <row r="197" spans="1:15" ht="12.75" customHeight="1" x14ac:dyDescent="0.25">
      <c r="A197" s="4"/>
      <c r="B197" s="4"/>
      <c r="C197" s="4"/>
      <c r="D197" s="4"/>
      <c r="E197" s="4"/>
      <c r="F197" s="4"/>
      <c r="G197" s="4"/>
      <c r="H197" s="4"/>
      <c r="I197" s="4"/>
      <c r="J197" s="4"/>
      <c r="K197" s="4"/>
      <c r="L197" s="4"/>
      <c r="M197" s="4"/>
      <c r="N197" s="4"/>
    </row>
    <row r="198" spans="1:15" ht="12.75" customHeight="1" x14ac:dyDescent="0.2">
      <c r="A198" s="398" t="s">
        <v>931</v>
      </c>
      <c r="B198" s="271"/>
      <c r="C198" s="271"/>
      <c r="D198" s="271"/>
      <c r="E198" s="271"/>
      <c r="F198" s="271"/>
      <c r="G198" s="271"/>
      <c r="H198" s="271"/>
      <c r="I198" s="271"/>
      <c r="J198" s="271"/>
      <c r="K198" s="271"/>
      <c r="L198" s="271"/>
      <c r="M198" s="271"/>
      <c r="N198" s="273"/>
    </row>
    <row r="199" spans="1:15" ht="12.75" customHeight="1" x14ac:dyDescent="0.2">
      <c r="A199" s="396" t="s">
        <v>76</v>
      </c>
      <c r="B199" s="271"/>
      <c r="C199" s="271"/>
      <c r="D199" s="271"/>
      <c r="E199" s="271"/>
      <c r="F199" s="271"/>
      <c r="G199" s="273"/>
      <c r="H199" s="88" t="s">
        <v>77</v>
      </c>
      <c r="I199" s="399" t="s">
        <v>920</v>
      </c>
      <c r="J199" s="273"/>
      <c r="K199" s="90" t="s">
        <v>514</v>
      </c>
      <c r="L199" s="91" t="s">
        <v>932</v>
      </c>
      <c r="M199" s="399" t="s">
        <v>921</v>
      </c>
      <c r="N199" s="273"/>
    </row>
    <row r="200" spans="1:15" ht="12.75" customHeight="1" x14ac:dyDescent="0.25">
      <c r="A200" s="393" t="s">
        <v>936</v>
      </c>
      <c r="B200" s="271"/>
      <c r="C200" s="271"/>
      <c r="D200" s="271"/>
      <c r="E200" s="271"/>
      <c r="F200" s="271"/>
      <c r="G200" s="273"/>
      <c r="H200" s="29" t="str">
        <f>IF(A200="","",VLOOKUP(A200,AA_Cuadrillas,4,FALSE))</f>
        <v>Cuadrilla</v>
      </c>
      <c r="I200" s="394">
        <f>IF(A200="","",VLOOKUP(A200,AA_Cuadrillas,5,FALSE))</f>
        <v>70036</v>
      </c>
      <c r="J200" s="273"/>
      <c r="K200" s="9">
        <f>IF(A200="","",F.P!$I$2)</f>
        <v>1.88</v>
      </c>
      <c r="L200" s="93">
        <v>2.5000000000000001E-2</v>
      </c>
      <c r="M200" s="394">
        <f t="shared" ref="M200:M204" si="21">IF(A200="","",I200*K200*L200)</f>
        <v>3291.692</v>
      </c>
      <c r="N200" s="273"/>
    </row>
    <row r="201" spans="1:15" ht="12.75" customHeight="1" x14ac:dyDescent="0.25">
      <c r="A201" s="393"/>
      <c r="B201" s="271"/>
      <c r="C201" s="271"/>
      <c r="D201" s="271"/>
      <c r="E201" s="271"/>
      <c r="F201" s="271"/>
      <c r="G201" s="273"/>
      <c r="H201" s="29" t="str">
        <f>IF(A201="","",VLOOKUP(A201,AA_Cuadrillas,4,FALSE))</f>
        <v/>
      </c>
      <c r="I201" s="394" t="str">
        <f>IF(A201="","",VLOOKUP(A201,AA_Cuadrillas,5,FALSE))</f>
        <v/>
      </c>
      <c r="J201" s="273"/>
      <c r="K201" s="9" t="str">
        <f>IF(A201="","",F.P!$I$2)</f>
        <v/>
      </c>
      <c r="L201" s="9"/>
      <c r="M201" s="394" t="str">
        <f t="shared" si="21"/>
        <v/>
      </c>
      <c r="N201" s="273"/>
    </row>
    <row r="202" spans="1:15" ht="12.75" customHeight="1" x14ac:dyDescent="0.25">
      <c r="A202" s="393"/>
      <c r="B202" s="271"/>
      <c r="C202" s="271"/>
      <c r="D202" s="271"/>
      <c r="E202" s="271"/>
      <c r="F202" s="271"/>
      <c r="G202" s="273"/>
      <c r="H202" s="29" t="str">
        <f>IF(A202="","",VLOOKUP(A202,AA_Cuadrillas,4,FALSE))</f>
        <v/>
      </c>
      <c r="I202" s="394" t="str">
        <f>IF(A202="","",VLOOKUP(A202,AA_Cuadrillas,5,FALSE))</f>
        <v/>
      </c>
      <c r="J202" s="273"/>
      <c r="K202" s="9" t="str">
        <f>IF(A202="","",F.P!$I$2)</f>
        <v/>
      </c>
      <c r="L202" s="37"/>
      <c r="M202" s="394" t="str">
        <f t="shared" si="21"/>
        <v/>
      </c>
      <c r="N202" s="273"/>
    </row>
    <row r="203" spans="1:15" ht="12.75" customHeight="1" x14ac:dyDescent="0.25">
      <c r="A203" s="393"/>
      <c r="B203" s="271"/>
      <c r="C203" s="271"/>
      <c r="D203" s="271"/>
      <c r="E203" s="271"/>
      <c r="F203" s="271"/>
      <c r="G203" s="273"/>
      <c r="H203" s="29" t="str">
        <f>IF(A203="","",VLOOKUP(A203,AA_Cuadrillas,4,FALSE))</f>
        <v/>
      </c>
      <c r="I203" s="394" t="str">
        <f>IF(A203="","",VLOOKUP(A203,AA_Cuadrillas,5,FALSE))</f>
        <v/>
      </c>
      <c r="J203" s="273"/>
      <c r="K203" s="9" t="str">
        <f>IF(A203="","",F.P!$I$2)</f>
        <v/>
      </c>
      <c r="L203" s="37"/>
      <c r="M203" s="394" t="str">
        <f t="shared" si="21"/>
        <v/>
      </c>
      <c r="N203" s="273"/>
    </row>
    <row r="204" spans="1:15" ht="12.75" customHeight="1" x14ac:dyDescent="0.25">
      <c r="A204" s="393"/>
      <c r="B204" s="271"/>
      <c r="C204" s="271"/>
      <c r="D204" s="271"/>
      <c r="E204" s="271"/>
      <c r="F204" s="271"/>
      <c r="G204" s="273"/>
      <c r="H204" s="29" t="str">
        <f>IF(A204="","",VLOOKUP(A204,AA_Cuadrillas,4,FALSE))</f>
        <v/>
      </c>
      <c r="I204" s="394" t="str">
        <f>IF(A204="","",VLOOKUP(A204,AA_Cuadrillas,5,FALSE))</f>
        <v/>
      </c>
      <c r="J204" s="273"/>
      <c r="K204" s="9" t="str">
        <f>IF(A204="","",F.P!$I$2)</f>
        <v/>
      </c>
      <c r="L204" s="37"/>
      <c r="M204" s="394" t="str">
        <f t="shared" si="21"/>
        <v/>
      </c>
      <c r="N204" s="273"/>
    </row>
    <row r="205" spans="1:15" ht="12.75" customHeight="1" x14ac:dyDescent="0.25">
      <c r="A205" s="4"/>
      <c r="B205" s="4"/>
      <c r="C205" s="4"/>
      <c r="D205" s="4"/>
      <c r="E205" s="4"/>
      <c r="F205" s="4"/>
      <c r="G205" s="4"/>
      <c r="H205" s="4"/>
      <c r="I205" s="4"/>
      <c r="J205" s="4"/>
      <c r="K205" s="396" t="s">
        <v>444</v>
      </c>
      <c r="L205" s="273"/>
      <c r="M205" s="394">
        <f>SUM(M200:N204)</f>
        <v>3291.692</v>
      </c>
      <c r="N205" s="273"/>
    </row>
    <row r="206" spans="1:15" ht="12.75" customHeight="1" x14ac:dyDescent="0.25">
      <c r="A206" s="4"/>
      <c r="B206" s="4"/>
      <c r="C206" s="4"/>
      <c r="D206" s="4"/>
      <c r="E206" s="4"/>
      <c r="F206" s="4"/>
      <c r="G206" s="4"/>
      <c r="H206" s="4"/>
      <c r="I206" s="4"/>
      <c r="J206" s="4"/>
      <c r="K206" s="94"/>
      <c r="L206" s="95"/>
      <c r="M206" s="89"/>
      <c r="N206" s="96"/>
    </row>
    <row r="207" spans="1:15" ht="12.75" customHeight="1" x14ac:dyDescent="0.2">
      <c r="A207" s="407" t="s">
        <v>163</v>
      </c>
      <c r="B207" s="275"/>
      <c r="C207" s="275"/>
      <c r="D207" s="275"/>
      <c r="E207" s="275"/>
      <c r="F207" s="275"/>
      <c r="G207" s="275"/>
      <c r="H207" s="275"/>
      <c r="I207" s="275"/>
      <c r="J207" s="275"/>
      <c r="K207" s="275"/>
      <c r="L207" s="275"/>
      <c r="M207" s="275"/>
      <c r="N207" s="276"/>
      <c r="O207" s="166"/>
    </row>
    <row r="208" spans="1:15" ht="12.75" customHeight="1" x14ac:dyDescent="0.2">
      <c r="A208" s="277"/>
      <c r="B208" s="278"/>
      <c r="C208" s="278"/>
      <c r="D208" s="278"/>
      <c r="E208" s="278"/>
      <c r="F208" s="278"/>
      <c r="G208" s="278"/>
      <c r="H208" s="278"/>
      <c r="I208" s="278"/>
      <c r="J208" s="278"/>
      <c r="K208" s="278"/>
      <c r="L208" s="278"/>
      <c r="M208" s="278"/>
      <c r="N208" s="279"/>
      <c r="O208" s="166"/>
    </row>
    <row r="209" spans="1:14" s="219" customFormat="1" ht="12.75" customHeight="1" x14ac:dyDescent="0.2">
      <c r="A209" s="218"/>
      <c r="B209" s="218"/>
      <c r="C209" s="218"/>
      <c r="D209" s="218"/>
      <c r="E209" s="218"/>
      <c r="F209" s="218"/>
      <c r="G209" s="218"/>
      <c r="H209" s="218"/>
      <c r="I209" s="218"/>
      <c r="J209" s="218"/>
      <c r="K209" s="218"/>
      <c r="L209" s="218"/>
      <c r="M209" s="218"/>
      <c r="N209" s="218"/>
    </row>
    <row r="210" spans="1:14" ht="12.75" customHeight="1" x14ac:dyDescent="0.3">
      <c r="A210" s="79" t="s">
        <v>617</v>
      </c>
      <c r="B210" s="80" t="str">
        <f>A207</f>
        <v>EXCAVACIÓN A MÁQUINA BAJO AGUA EN MATERIAL COMÚN (INCLUYE BOMBEO, HERRAMIENTA MENOR Y MANO DE OBRA)</v>
      </c>
      <c r="C210" s="81" t="s">
        <v>916</v>
      </c>
      <c r="D210" s="82" t="s">
        <v>258</v>
      </c>
      <c r="E210" s="83" t="s">
        <v>445</v>
      </c>
      <c r="F210" s="234">
        <f>(H210+J210+L210+N210)*1.3</f>
        <v>34807.032784727271</v>
      </c>
      <c r="G210" s="83" t="s">
        <v>607</v>
      </c>
      <c r="H210" s="86">
        <f>M228</f>
        <v>23219.69789090909</v>
      </c>
      <c r="I210" s="83" t="s">
        <v>918</v>
      </c>
      <c r="J210" s="86">
        <f>M219</f>
        <v>0</v>
      </c>
      <c r="K210" s="83" t="s">
        <v>609</v>
      </c>
      <c r="L210" s="86">
        <f>M237</f>
        <v>1160.9848945454546</v>
      </c>
      <c r="M210" s="83" t="s">
        <v>610</v>
      </c>
      <c r="N210" s="86">
        <f>M246</f>
        <v>2393.9578181818179</v>
      </c>
    </row>
    <row r="211" spans="1:14" ht="12.75" customHeight="1" x14ac:dyDescent="0.25">
      <c r="A211" s="87"/>
      <c r="B211" s="87"/>
      <c r="C211" s="87"/>
      <c r="D211" s="87"/>
      <c r="E211" s="87"/>
      <c r="F211" s="87"/>
      <c r="G211" s="87"/>
      <c r="J211" s="87"/>
      <c r="K211" s="215" t="s">
        <v>3217</v>
      </c>
      <c r="L211" s="215">
        <f>+F210*presup!$O$5</f>
        <v>45249.142620145452</v>
      </c>
      <c r="M211" s="87"/>
      <c r="N211" s="87"/>
    </row>
    <row r="212" spans="1:14" ht="12.75" customHeight="1" x14ac:dyDescent="0.2">
      <c r="A212" s="398" t="s">
        <v>919</v>
      </c>
      <c r="B212" s="271"/>
      <c r="C212" s="271"/>
      <c r="D212" s="271"/>
      <c r="E212" s="271"/>
      <c r="F212" s="271"/>
      <c r="G212" s="271"/>
      <c r="H212" s="271"/>
      <c r="I212" s="271"/>
      <c r="J212" s="271"/>
      <c r="K212" s="271"/>
      <c r="L212" s="271"/>
      <c r="M212" s="271"/>
      <c r="N212" s="273"/>
    </row>
    <row r="213" spans="1:14" ht="12.75" customHeight="1" x14ac:dyDescent="0.2">
      <c r="A213" s="396" t="s">
        <v>76</v>
      </c>
      <c r="B213" s="271"/>
      <c r="C213" s="271"/>
      <c r="D213" s="271"/>
      <c r="E213" s="271"/>
      <c r="F213" s="271"/>
      <c r="G213" s="273"/>
      <c r="H213" s="88" t="s">
        <v>77</v>
      </c>
      <c r="I213" s="399" t="s">
        <v>920</v>
      </c>
      <c r="J213" s="273"/>
      <c r="K213" s="399" t="s">
        <v>453</v>
      </c>
      <c r="L213" s="273"/>
      <c r="M213" s="399" t="s">
        <v>921</v>
      </c>
      <c r="N213" s="273"/>
    </row>
    <row r="214" spans="1:14" ht="12.75" customHeight="1" x14ac:dyDescent="0.2">
      <c r="A214" s="400"/>
      <c r="B214" s="271"/>
      <c r="C214" s="271"/>
      <c r="D214" s="271"/>
      <c r="E214" s="271"/>
      <c r="F214" s="271"/>
      <c r="G214" s="273"/>
      <c r="H214" s="29" t="str">
        <f>IF(A214="","",VLOOKUP(A214,AA_Materiales,7,FALSE))</f>
        <v/>
      </c>
      <c r="I214" s="394" t="str">
        <f>IF(A214="","",VLOOKUP(A214,AA_Materiales,8,FALSE))</f>
        <v/>
      </c>
      <c r="J214" s="273"/>
      <c r="K214" s="395"/>
      <c r="L214" s="273"/>
      <c r="M214" s="394" t="str">
        <f t="shared" ref="M214:M218" si="22">IF(A214="","",I214*K214)</f>
        <v/>
      </c>
      <c r="N214" s="273"/>
    </row>
    <row r="215" spans="1:14" ht="12.75" customHeight="1" x14ac:dyDescent="0.2">
      <c r="A215" s="400"/>
      <c r="B215" s="271"/>
      <c r="C215" s="271"/>
      <c r="D215" s="271"/>
      <c r="E215" s="271"/>
      <c r="F215" s="271"/>
      <c r="G215" s="273"/>
      <c r="H215" s="29" t="str">
        <f>IF(A215="","",VLOOKUP(A215,AA_Materiales,7,FALSE))</f>
        <v/>
      </c>
      <c r="I215" s="394" t="str">
        <f>IF(A215="","",VLOOKUP(A215,AA_Materiales,8,FALSE))</f>
        <v/>
      </c>
      <c r="J215" s="273"/>
      <c r="K215" s="395"/>
      <c r="L215" s="273"/>
      <c r="M215" s="394" t="str">
        <f t="shared" si="22"/>
        <v/>
      </c>
      <c r="N215" s="273"/>
    </row>
    <row r="216" spans="1:14" ht="12.75" customHeight="1" x14ac:dyDescent="0.2">
      <c r="A216" s="400"/>
      <c r="B216" s="271"/>
      <c r="C216" s="271"/>
      <c r="D216" s="271"/>
      <c r="E216" s="271"/>
      <c r="F216" s="271"/>
      <c r="G216" s="273"/>
      <c r="H216" s="29" t="str">
        <f>IF(A216="","",VLOOKUP(A216,AA_Materiales,7,FALSE))</f>
        <v/>
      </c>
      <c r="I216" s="394" t="str">
        <f>IF(A216="","",VLOOKUP(A216,AA_Materiales,8,FALSE))</f>
        <v/>
      </c>
      <c r="J216" s="273"/>
      <c r="K216" s="395"/>
      <c r="L216" s="273"/>
      <c r="M216" s="394" t="str">
        <f t="shared" si="22"/>
        <v/>
      </c>
      <c r="N216" s="273"/>
    </row>
    <row r="217" spans="1:14" ht="12.75" customHeight="1" x14ac:dyDescent="0.2">
      <c r="A217" s="400"/>
      <c r="B217" s="271"/>
      <c r="C217" s="271"/>
      <c r="D217" s="271"/>
      <c r="E217" s="271"/>
      <c r="F217" s="271"/>
      <c r="G217" s="273"/>
      <c r="H217" s="29" t="str">
        <f>IF(A217="","",VLOOKUP(A217,AA_Materiales,7,FALSE))</f>
        <v/>
      </c>
      <c r="I217" s="394" t="str">
        <f>IF(A217="","",VLOOKUP(A217,AA_Materiales,8,FALSE))</f>
        <v/>
      </c>
      <c r="J217" s="273"/>
      <c r="K217" s="395"/>
      <c r="L217" s="273"/>
      <c r="M217" s="394" t="str">
        <f t="shared" si="22"/>
        <v/>
      </c>
      <c r="N217" s="273"/>
    </row>
    <row r="218" spans="1:14" ht="12.75" customHeight="1" x14ac:dyDescent="0.2">
      <c r="A218" s="400"/>
      <c r="B218" s="271"/>
      <c r="C218" s="271"/>
      <c r="D218" s="271"/>
      <c r="E218" s="271"/>
      <c r="F218" s="271"/>
      <c r="G218" s="273"/>
      <c r="H218" s="29" t="str">
        <f>IF(A218="","",VLOOKUP(A218,AA_Materiales,7,FALSE))</f>
        <v/>
      </c>
      <c r="I218" s="394" t="str">
        <f>IF(A218="","",VLOOKUP(A218,AA_Materiales,8,FALSE))</f>
        <v/>
      </c>
      <c r="J218" s="273"/>
      <c r="K218" s="395"/>
      <c r="L218" s="273"/>
      <c r="M218" s="394" t="str">
        <f t="shared" si="22"/>
        <v/>
      </c>
      <c r="N218" s="273"/>
    </row>
    <row r="219" spans="1:14" ht="12.75" customHeight="1" x14ac:dyDescent="0.25">
      <c r="A219" s="4"/>
      <c r="B219" s="4"/>
      <c r="C219" s="4"/>
      <c r="D219" s="4"/>
      <c r="E219" s="4"/>
      <c r="F219" s="4"/>
      <c r="G219" s="4"/>
      <c r="H219" s="4"/>
      <c r="I219" s="4"/>
      <c r="J219" s="4"/>
      <c r="K219" s="396" t="s">
        <v>444</v>
      </c>
      <c r="L219" s="273"/>
      <c r="M219" s="394">
        <f>SUM(M214:N218)</f>
        <v>0</v>
      </c>
      <c r="N219" s="273"/>
    </row>
    <row r="220" spans="1:14" ht="12.75" customHeight="1" x14ac:dyDescent="0.25">
      <c r="A220" s="4"/>
      <c r="B220" s="4"/>
      <c r="C220" s="4"/>
      <c r="D220" s="4"/>
      <c r="E220" s="4"/>
      <c r="F220" s="4"/>
      <c r="G220" s="4"/>
      <c r="H220" s="4"/>
      <c r="I220" s="4"/>
      <c r="J220" s="4"/>
      <c r="K220" s="4"/>
      <c r="L220" s="4"/>
      <c r="M220" s="4"/>
      <c r="N220" s="4"/>
    </row>
    <row r="221" spans="1:14" ht="12.75" customHeight="1" x14ac:dyDescent="0.2">
      <c r="A221" s="398" t="s">
        <v>926</v>
      </c>
      <c r="B221" s="271"/>
      <c r="C221" s="271"/>
      <c r="D221" s="271"/>
      <c r="E221" s="271"/>
      <c r="F221" s="271"/>
      <c r="G221" s="271"/>
      <c r="H221" s="271"/>
      <c r="I221" s="271"/>
      <c r="J221" s="271"/>
      <c r="K221" s="271"/>
      <c r="L221" s="271"/>
      <c r="M221" s="271"/>
      <c r="N221" s="273"/>
    </row>
    <row r="222" spans="1:14" ht="12.75" customHeight="1" x14ac:dyDescent="0.2">
      <c r="A222" s="396" t="s">
        <v>76</v>
      </c>
      <c r="B222" s="271"/>
      <c r="C222" s="271"/>
      <c r="D222" s="271"/>
      <c r="E222" s="271"/>
      <c r="F222" s="271"/>
      <c r="G222" s="273"/>
      <c r="H222" s="88" t="s">
        <v>77</v>
      </c>
      <c r="I222" s="399" t="s">
        <v>920</v>
      </c>
      <c r="J222" s="273"/>
      <c r="K222" s="399" t="s">
        <v>453</v>
      </c>
      <c r="L222" s="273"/>
      <c r="M222" s="399" t="s">
        <v>921</v>
      </c>
      <c r="N222" s="273"/>
    </row>
    <row r="223" spans="1:14" ht="12.75" customHeight="1" x14ac:dyDescent="0.2">
      <c r="A223" s="400" t="s">
        <v>927</v>
      </c>
      <c r="B223" s="271"/>
      <c r="C223" s="271"/>
      <c r="D223" s="271"/>
      <c r="E223" s="271"/>
      <c r="F223" s="271"/>
      <c r="G223" s="273"/>
      <c r="H223" s="29" t="str">
        <f>IF(A223="","",VLOOKUP(A223,AA_Equipos,7,FALSE))</f>
        <v>% M.O.</v>
      </c>
      <c r="I223" s="394">
        <f>M246</f>
        <v>2393.9578181818179</v>
      </c>
      <c r="J223" s="273"/>
      <c r="K223" s="404">
        <v>0.05</v>
      </c>
      <c r="L223" s="273"/>
      <c r="M223" s="394">
        <f t="shared" ref="M223:M227" si="23">IF(A223="","",I223*K223)</f>
        <v>119.6978909090909</v>
      </c>
      <c r="N223" s="273"/>
    </row>
    <row r="224" spans="1:14" ht="12.75" customHeight="1" x14ac:dyDescent="0.2">
      <c r="A224" s="403" t="s">
        <v>941</v>
      </c>
      <c r="B224" s="271"/>
      <c r="C224" s="271"/>
      <c r="D224" s="271"/>
      <c r="E224" s="271"/>
      <c r="F224" s="271"/>
      <c r="G224" s="273"/>
      <c r="H224" s="29" t="str">
        <f>IF(A224="","",VLOOKUP(A224,AA_Equipos,7,FALSE))</f>
        <v>Hora</v>
      </c>
      <c r="I224" s="394">
        <f>IF(A224="","",VLOOKUP(A224,AA_Equipos,8,FALSE))</f>
        <v>145200</v>
      </c>
      <c r="J224" s="273"/>
      <c r="K224" s="402">
        <f t="shared" ref="K224:K225" si="24">1/10</f>
        <v>0.1</v>
      </c>
      <c r="L224" s="273"/>
      <c r="M224" s="394">
        <f t="shared" si="23"/>
        <v>14520</v>
      </c>
      <c r="N224" s="273"/>
    </row>
    <row r="225" spans="1:14" ht="12.75" customHeight="1" x14ac:dyDescent="0.2">
      <c r="A225" s="400" t="s">
        <v>942</v>
      </c>
      <c r="B225" s="271"/>
      <c r="C225" s="271"/>
      <c r="D225" s="271"/>
      <c r="E225" s="271"/>
      <c r="F225" s="271"/>
      <c r="G225" s="273"/>
      <c r="H225" s="29" t="str">
        <f>IF(A225="","",VLOOKUP(A225,AA_Equipos,7,FALSE))</f>
        <v>Dia</v>
      </c>
      <c r="I225" s="394">
        <f>IF(A225="","",VLOOKUP(A225,AA_Equipos,8,FALSE))</f>
        <v>85800</v>
      </c>
      <c r="J225" s="273"/>
      <c r="K225" s="401">
        <f t="shared" si="24"/>
        <v>0.1</v>
      </c>
      <c r="L225" s="273"/>
      <c r="M225" s="394">
        <f t="shared" si="23"/>
        <v>8580</v>
      </c>
      <c r="N225" s="273"/>
    </row>
    <row r="226" spans="1:14" ht="12.75" customHeight="1" x14ac:dyDescent="0.2">
      <c r="A226" s="400"/>
      <c r="B226" s="271"/>
      <c r="C226" s="271"/>
      <c r="D226" s="271"/>
      <c r="E226" s="271"/>
      <c r="F226" s="271"/>
      <c r="G226" s="273"/>
      <c r="H226" s="29" t="str">
        <f>IF(A226="","",VLOOKUP(A226,AA_Equipos,7,FALSE))</f>
        <v/>
      </c>
      <c r="I226" s="394" t="str">
        <f>IF(A226="","",VLOOKUP(A226,AA_Equipos,8,FALSE))</f>
        <v/>
      </c>
      <c r="J226" s="273"/>
      <c r="K226" s="395"/>
      <c r="L226" s="273"/>
      <c r="M226" s="394" t="str">
        <f t="shared" si="23"/>
        <v/>
      </c>
      <c r="N226" s="273"/>
    </row>
    <row r="227" spans="1:14" ht="12.75" customHeight="1" x14ac:dyDescent="0.2">
      <c r="A227" s="400"/>
      <c r="B227" s="271"/>
      <c r="C227" s="271"/>
      <c r="D227" s="271"/>
      <c r="E227" s="271"/>
      <c r="F227" s="271"/>
      <c r="G227" s="273"/>
      <c r="H227" s="29" t="str">
        <f>IF(A227="","",VLOOKUP(A227,AA_Equipos,7,FALSE))</f>
        <v/>
      </c>
      <c r="I227" s="394" t="str">
        <f>IF(A227="","",VLOOKUP(A227,AA_Equipos,8,FALSE))</f>
        <v/>
      </c>
      <c r="J227" s="273"/>
      <c r="K227" s="395"/>
      <c r="L227" s="273"/>
      <c r="M227" s="394" t="str">
        <f t="shared" si="23"/>
        <v/>
      </c>
      <c r="N227" s="273"/>
    </row>
    <row r="228" spans="1:14" ht="12.75" customHeight="1" x14ac:dyDescent="0.25">
      <c r="A228" s="4"/>
      <c r="B228" s="4"/>
      <c r="C228" s="4"/>
      <c r="D228" s="4"/>
      <c r="E228" s="4"/>
      <c r="F228" s="4"/>
      <c r="G228" s="4"/>
      <c r="H228" s="4"/>
      <c r="I228" s="4"/>
      <c r="J228" s="4"/>
      <c r="K228" s="396" t="s">
        <v>444</v>
      </c>
      <c r="L228" s="273"/>
      <c r="M228" s="394">
        <f>SUM(M223:N227)</f>
        <v>23219.69789090909</v>
      </c>
      <c r="N228" s="273"/>
    </row>
    <row r="229" spans="1:14" ht="12.75" customHeight="1" x14ac:dyDescent="0.25">
      <c r="A229" s="4"/>
      <c r="B229" s="4"/>
      <c r="C229" s="4"/>
      <c r="D229" s="4"/>
      <c r="E229" s="4"/>
      <c r="F229" s="4"/>
      <c r="G229" s="4"/>
      <c r="H229" s="4"/>
      <c r="I229" s="4"/>
      <c r="J229" s="4"/>
      <c r="K229" s="4"/>
      <c r="L229" s="4"/>
      <c r="M229" s="4"/>
      <c r="N229" s="4"/>
    </row>
    <row r="230" spans="1:14" ht="12.75" customHeight="1" x14ac:dyDescent="0.2">
      <c r="A230" s="398" t="s">
        <v>929</v>
      </c>
      <c r="B230" s="271"/>
      <c r="C230" s="271"/>
      <c r="D230" s="271"/>
      <c r="E230" s="271"/>
      <c r="F230" s="271"/>
      <c r="G230" s="271"/>
      <c r="H230" s="271"/>
      <c r="I230" s="271"/>
      <c r="J230" s="271"/>
      <c r="K230" s="271"/>
      <c r="L230" s="271"/>
      <c r="M230" s="271"/>
      <c r="N230" s="273"/>
    </row>
    <row r="231" spans="1:14" ht="12.75" customHeight="1" x14ac:dyDescent="0.2">
      <c r="A231" s="396" t="s">
        <v>76</v>
      </c>
      <c r="B231" s="271"/>
      <c r="C231" s="271"/>
      <c r="D231" s="271"/>
      <c r="E231" s="271"/>
      <c r="F231" s="271"/>
      <c r="G231" s="273"/>
      <c r="H231" s="88" t="s">
        <v>77</v>
      </c>
      <c r="I231" s="399" t="s">
        <v>920</v>
      </c>
      <c r="J231" s="273"/>
      <c r="K231" s="399" t="s">
        <v>453</v>
      </c>
      <c r="L231" s="273"/>
      <c r="M231" s="399" t="s">
        <v>921</v>
      </c>
      <c r="N231" s="273"/>
    </row>
    <row r="232" spans="1:14" ht="12.75" customHeight="1" x14ac:dyDescent="0.2">
      <c r="A232" s="400" t="s">
        <v>943</v>
      </c>
      <c r="B232" s="271"/>
      <c r="C232" s="271"/>
      <c r="D232" s="271"/>
      <c r="E232" s="271"/>
      <c r="F232" s="271"/>
      <c r="G232" s="273"/>
      <c r="H232" s="29" t="s">
        <v>944</v>
      </c>
      <c r="I232" s="394">
        <f>+M228</f>
        <v>23219.69789090909</v>
      </c>
      <c r="J232" s="273"/>
      <c r="K232" s="404">
        <v>0.05</v>
      </c>
      <c r="L232" s="273"/>
      <c r="M232" s="394">
        <f t="shared" ref="M232:M236" si="25">IF(A232="","",I232*K232)</f>
        <v>1160.9848945454546</v>
      </c>
      <c r="N232" s="273"/>
    </row>
    <row r="233" spans="1:14" ht="12.75" customHeight="1" x14ac:dyDescent="0.2">
      <c r="A233" s="403"/>
      <c r="B233" s="271"/>
      <c r="C233" s="271"/>
      <c r="D233" s="271"/>
      <c r="E233" s="271"/>
      <c r="F233" s="271"/>
      <c r="G233" s="273"/>
      <c r="H233" s="29"/>
      <c r="I233" s="394"/>
      <c r="J233" s="273"/>
      <c r="K233" s="404"/>
      <c r="L233" s="273"/>
      <c r="M233" s="394" t="str">
        <f t="shared" si="25"/>
        <v/>
      </c>
      <c r="N233" s="273"/>
    </row>
    <row r="234" spans="1:14" ht="12.75" customHeight="1" x14ac:dyDescent="0.2">
      <c r="A234" s="400"/>
      <c r="B234" s="271"/>
      <c r="C234" s="271"/>
      <c r="D234" s="271"/>
      <c r="E234" s="271"/>
      <c r="F234" s="271"/>
      <c r="G234" s="273"/>
      <c r="H234" s="29"/>
      <c r="I234" s="394"/>
      <c r="J234" s="273"/>
      <c r="K234" s="395"/>
      <c r="L234" s="273"/>
      <c r="M234" s="394" t="str">
        <f t="shared" si="25"/>
        <v/>
      </c>
      <c r="N234" s="273"/>
    </row>
    <row r="235" spans="1:14" ht="12.75" customHeight="1" x14ac:dyDescent="0.2">
      <c r="A235" s="400"/>
      <c r="B235" s="271"/>
      <c r="C235" s="271"/>
      <c r="D235" s="271"/>
      <c r="E235" s="271"/>
      <c r="F235" s="271"/>
      <c r="G235" s="273"/>
      <c r="H235" s="29"/>
      <c r="I235" s="394"/>
      <c r="J235" s="273"/>
      <c r="K235" s="395"/>
      <c r="L235" s="273"/>
      <c r="M235" s="394" t="str">
        <f t="shared" si="25"/>
        <v/>
      </c>
      <c r="N235" s="273"/>
    </row>
    <row r="236" spans="1:14" ht="12.75" customHeight="1" x14ac:dyDescent="0.2">
      <c r="A236" s="400"/>
      <c r="B236" s="271"/>
      <c r="C236" s="271"/>
      <c r="D236" s="271"/>
      <c r="E236" s="271"/>
      <c r="F236" s="271"/>
      <c r="G236" s="273"/>
      <c r="H236" s="29"/>
      <c r="I236" s="394"/>
      <c r="J236" s="273"/>
      <c r="K236" s="395"/>
      <c r="L236" s="273"/>
      <c r="M236" s="394" t="str">
        <f t="shared" si="25"/>
        <v/>
      </c>
      <c r="N236" s="273"/>
    </row>
    <row r="237" spans="1:14" ht="12.75" customHeight="1" x14ac:dyDescent="0.25">
      <c r="A237" s="4"/>
      <c r="B237" s="4"/>
      <c r="C237" s="4"/>
      <c r="D237" s="4"/>
      <c r="E237" s="4"/>
      <c r="F237" s="4"/>
      <c r="G237" s="4"/>
      <c r="H237" s="4"/>
      <c r="I237" s="4"/>
      <c r="J237" s="4"/>
      <c r="K237" s="396" t="s">
        <v>444</v>
      </c>
      <c r="L237" s="273"/>
      <c r="M237" s="394">
        <f>SUM(M232:N236)</f>
        <v>1160.9848945454546</v>
      </c>
      <c r="N237" s="273"/>
    </row>
    <row r="238" spans="1:14" ht="12.75" customHeight="1" x14ac:dyDescent="0.25">
      <c r="A238" s="4"/>
      <c r="B238" s="4"/>
      <c r="C238" s="4"/>
      <c r="D238" s="4"/>
      <c r="E238" s="4"/>
      <c r="F238" s="4"/>
      <c r="G238" s="4"/>
      <c r="H238" s="4"/>
      <c r="I238" s="4"/>
      <c r="J238" s="4"/>
      <c r="K238" s="4"/>
      <c r="L238" s="4"/>
      <c r="M238" s="4"/>
      <c r="N238" s="4"/>
    </row>
    <row r="239" spans="1:14" ht="12.75" customHeight="1" x14ac:dyDescent="0.2">
      <c r="A239" s="398" t="s">
        <v>931</v>
      </c>
      <c r="B239" s="271"/>
      <c r="C239" s="271"/>
      <c r="D239" s="271"/>
      <c r="E239" s="271"/>
      <c r="F239" s="271"/>
      <c r="G239" s="271"/>
      <c r="H239" s="271"/>
      <c r="I239" s="271"/>
      <c r="J239" s="271"/>
      <c r="K239" s="271"/>
      <c r="L239" s="271"/>
      <c r="M239" s="271"/>
      <c r="N239" s="273"/>
    </row>
    <row r="240" spans="1:14" ht="12.75" customHeight="1" x14ac:dyDescent="0.2">
      <c r="A240" s="396" t="s">
        <v>76</v>
      </c>
      <c r="B240" s="271"/>
      <c r="C240" s="271"/>
      <c r="D240" s="271"/>
      <c r="E240" s="271"/>
      <c r="F240" s="271"/>
      <c r="G240" s="273"/>
      <c r="H240" s="88" t="s">
        <v>77</v>
      </c>
      <c r="I240" s="399" t="s">
        <v>920</v>
      </c>
      <c r="J240" s="273"/>
      <c r="K240" s="90" t="s">
        <v>514</v>
      </c>
      <c r="L240" s="91" t="s">
        <v>932</v>
      </c>
      <c r="M240" s="399" t="s">
        <v>921</v>
      </c>
      <c r="N240" s="273"/>
    </row>
    <row r="241" spans="1:14" ht="12.75" customHeight="1" x14ac:dyDescent="0.25">
      <c r="A241" s="393" t="s">
        <v>936</v>
      </c>
      <c r="B241" s="271"/>
      <c r="C241" s="271"/>
      <c r="D241" s="271"/>
      <c r="E241" s="271"/>
      <c r="F241" s="271"/>
      <c r="G241" s="273"/>
      <c r="H241" s="29" t="str">
        <f>IF(A241="","",VLOOKUP(A241,AA_Cuadrillas,4,FALSE))</f>
        <v>Cuadrilla</v>
      </c>
      <c r="I241" s="394">
        <f>IF(A241="","",VLOOKUP(A241,AA_Cuadrillas,5,FALSE))</f>
        <v>70036</v>
      </c>
      <c r="J241" s="273"/>
      <c r="K241" s="9">
        <f>IF(A241="","",F.P!$I$2)</f>
        <v>1.88</v>
      </c>
      <c r="L241" s="93">
        <f>1/55</f>
        <v>1.8181818181818181E-2</v>
      </c>
      <c r="M241" s="394">
        <f t="shared" ref="M241:M245" si="26">IF(A241="","",I241*K241*L241)</f>
        <v>2393.9578181818179</v>
      </c>
      <c r="N241" s="273"/>
    </row>
    <row r="242" spans="1:14" ht="12.75" customHeight="1" x14ac:dyDescent="0.25">
      <c r="A242" s="393"/>
      <c r="B242" s="271"/>
      <c r="C242" s="271"/>
      <c r="D242" s="271"/>
      <c r="E242" s="271"/>
      <c r="F242" s="271"/>
      <c r="G242" s="273"/>
      <c r="H242" s="29" t="str">
        <f>IF(A242="","",VLOOKUP(A242,AA_Cuadrillas,4,FALSE))</f>
        <v/>
      </c>
      <c r="I242" s="394" t="str">
        <f>IF(A242="","",VLOOKUP(A242,AA_Cuadrillas,5,FALSE))</f>
        <v/>
      </c>
      <c r="J242" s="273"/>
      <c r="K242" s="9" t="str">
        <f>IF(A242="","",F.P!$I$2)</f>
        <v/>
      </c>
      <c r="L242" s="9"/>
      <c r="M242" s="394" t="str">
        <f t="shared" si="26"/>
        <v/>
      </c>
      <c r="N242" s="273"/>
    </row>
    <row r="243" spans="1:14" ht="12.75" customHeight="1" x14ac:dyDescent="0.25">
      <c r="A243" s="393"/>
      <c r="B243" s="271"/>
      <c r="C243" s="271"/>
      <c r="D243" s="271"/>
      <c r="E243" s="271"/>
      <c r="F243" s="271"/>
      <c r="G243" s="273"/>
      <c r="H243" s="29" t="str">
        <f>IF(A243="","",VLOOKUP(A243,AA_Cuadrillas,4,FALSE))</f>
        <v/>
      </c>
      <c r="I243" s="394" t="str">
        <f>IF(A243="","",VLOOKUP(A243,AA_Cuadrillas,5,FALSE))</f>
        <v/>
      </c>
      <c r="J243" s="273"/>
      <c r="K243" s="9" t="str">
        <f>IF(A243="","",F.P!$I$2)</f>
        <v/>
      </c>
      <c r="L243" s="37"/>
      <c r="M243" s="394" t="str">
        <f t="shared" si="26"/>
        <v/>
      </c>
      <c r="N243" s="273"/>
    </row>
    <row r="244" spans="1:14" ht="12.75" customHeight="1" x14ac:dyDescent="0.25">
      <c r="A244" s="393"/>
      <c r="B244" s="271"/>
      <c r="C244" s="271"/>
      <c r="D244" s="271"/>
      <c r="E244" s="271"/>
      <c r="F244" s="271"/>
      <c r="G244" s="273"/>
      <c r="H244" s="29" t="str">
        <f>IF(A244="","",VLOOKUP(A244,AA_Cuadrillas,4,FALSE))</f>
        <v/>
      </c>
      <c r="I244" s="394" t="str">
        <f>IF(A244="","",VLOOKUP(A244,AA_Cuadrillas,5,FALSE))</f>
        <v/>
      </c>
      <c r="J244" s="273"/>
      <c r="K244" s="9" t="str">
        <f>IF(A244="","",F.P!$I$2)</f>
        <v/>
      </c>
      <c r="L244" s="37"/>
      <c r="M244" s="394" t="str">
        <f t="shared" si="26"/>
        <v/>
      </c>
      <c r="N244" s="273"/>
    </row>
    <row r="245" spans="1:14" ht="12.75" customHeight="1" x14ac:dyDescent="0.25">
      <c r="A245" s="393"/>
      <c r="B245" s="271"/>
      <c r="C245" s="271"/>
      <c r="D245" s="271"/>
      <c r="E245" s="271"/>
      <c r="F245" s="271"/>
      <c r="G245" s="273"/>
      <c r="H245" s="29" t="str">
        <f>IF(A245="","",VLOOKUP(A245,AA_Cuadrillas,4,FALSE))</f>
        <v/>
      </c>
      <c r="I245" s="394" t="str">
        <f>IF(A245="","",VLOOKUP(A245,AA_Cuadrillas,5,FALSE))</f>
        <v/>
      </c>
      <c r="J245" s="273"/>
      <c r="K245" s="9" t="str">
        <f>IF(A245="","",F.P!$I$2)</f>
        <v/>
      </c>
      <c r="L245" s="37"/>
      <c r="M245" s="394" t="str">
        <f t="shared" si="26"/>
        <v/>
      </c>
      <c r="N245" s="273"/>
    </row>
    <row r="246" spans="1:14" ht="12.75" customHeight="1" x14ac:dyDescent="0.25">
      <c r="A246" s="4"/>
      <c r="B246" s="4"/>
      <c r="C246" s="4"/>
      <c r="D246" s="4"/>
      <c r="E246" s="4"/>
      <c r="F246" s="4"/>
      <c r="G246" s="4"/>
      <c r="H246" s="4"/>
      <c r="I246" s="4"/>
      <c r="J246" s="4"/>
      <c r="K246" s="396" t="s">
        <v>444</v>
      </c>
      <c r="L246" s="273"/>
      <c r="M246" s="394">
        <f>SUM(M241:N245)</f>
        <v>2393.9578181818179</v>
      </c>
      <c r="N246" s="273"/>
    </row>
    <row r="247" spans="1:14" ht="12.75" customHeight="1" x14ac:dyDescent="0.25">
      <c r="A247" s="4"/>
      <c r="B247" s="4"/>
      <c r="C247" s="4"/>
      <c r="D247" s="4"/>
      <c r="E247" s="4"/>
      <c r="F247" s="4"/>
      <c r="G247" s="4"/>
      <c r="H247" s="4"/>
      <c r="I247" s="4"/>
      <c r="J247" s="4"/>
      <c r="K247" s="94"/>
      <c r="L247" s="95"/>
      <c r="M247" s="89"/>
      <c r="N247" s="96"/>
    </row>
    <row r="248" spans="1:14" ht="12.75" customHeight="1" x14ac:dyDescent="0.2">
      <c r="A248" s="407" t="s">
        <v>945</v>
      </c>
      <c r="B248" s="275"/>
      <c r="C248" s="275"/>
      <c r="D248" s="275"/>
      <c r="E248" s="275"/>
      <c r="F248" s="275"/>
      <c r="G248" s="275"/>
      <c r="H248" s="275"/>
      <c r="I248" s="275"/>
      <c r="J248" s="275"/>
      <c r="K248" s="275"/>
      <c r="L248" s="275"/>
      <c r="M248" s="275"/>
      <c r="N248" s="276"/>
    </row>
    <row r="249" spans="1:14" ht="12.75" customHeight="1" x14ac:dyDescent="0.2">
      <c r="A249" s="277"/>
      <c r="B249" s="278"/>
      <c r="C249" s="278"/>
      <c r="D249" s="278"/>
      <c r="E249" s="278"/>
      <c r="F249" s="278"/>
      <c r="G249" s="278"/>
      <c r="H249" s="278"/>
      <c r="I249" s="278"/>
      <c r="J249" s="278"/>
      <c r="K249" s="278"/>
      <c r="L249" s="278"/>
      <c r="M249" s="278"/>
      <c r="N249" s="279"/>
    </row>
    <row r="250" spans="1:14" ht="12.75" customHeight="1" x14ac:dyDescent="0.2">
      <c r="A250" s="75"/>
      <c r="B250" s="75"/>
      <c r="C250" s="75"/>
      <c r="D250" s="75"/>
      <c r="E250" s="75"/>
      <c r="F250" s="75"/>
      <c r="G250" s="75"/>
      <c r="H250" s="75"/>
      <c r="I250" s="75"/>
      <c r="J250" s="75"/>
      <c r="K250" s="75"/>
      <c r="L250" s="75"/>
      <c r="M250" s="75"/>
      <c r="N250" s="75"/>
    </row>
    <row r="251" spans="1:14" ht="12.75" customHeight="1" x14ac:dyDescent="0.3">
      <c r="A251" s="79" t="s">
        <v>618</v>
      </c>
      <c r="B251" s="80" t="str">
        <f>A248</f>
        <v>EXCAVACION MECANICA H= 4.0 A 8.0 MTS</v>
      </c>
      <c r="C251" s="81" t="s">
        <v>916</v>
      </c>
      <c r="D251" s="82" t="s">
        <v>258</v>
      </c>
      <c r="E251" s="83" t="s">
        <v>445</v>
      </c>
      <c r="F251" s="234">
        <f>(H251+J251+L251+N251)*1.3</f>
        <v>18635.962390117649</v>
      </c>
      <c r="G251" s="83" t="s">
        <v>607</v>
      </c>
      <c r="H251" s="86">
        <f>M260</f>
        <v>0</v>
      </c>
      <c r="I251" s="83" t="s">
        <v>918</v>
      </c>
      <c r="J251" s="86">
        <f>M269</f>
        <v>12177.451576470588</v>
      </c>
      <c r="K251" s="83" t="s">
        <v>609</v>
      </c>
      <c r="L251" s="86">
        <f>M278</f>
        <v>608.87257882352947</v>
      </c>
      <c r="M251" s="83" t="s">
        <v>610</v>
      </c>
      <c r="N251" s="86">
        <f>M287</f>
        <v>1549.0315294117645</v>
      </c>
    </row>
    <row r="252" spans="1:14" ht="12.75" customHeight="1" x14ac:dyDescent="0.25">
      <c r="A252" s="87"/>
      <c r="B252" s="87"/>
      <c r="C252" s="87"/>
      <c r="D252" s="87"/>
      <c r="E252" s="87"/>
      <c r="F252" s="87"/>
      <c r="G252" s="87"/>
      <c r="J252" s="87"/>
      <c r="K252" s="215" t="s">
        <v>3217</v>
      </c>
      <c r="L252" s="215">
        <f>+F251*presup!$O$5</f>
        <v>24226.751107152944</v>
      </c>
      <c r="M252" s="87"/>
      <c r="N252" s="87"/>
    </row>
    <row r="253" spans="1:14" ht="12.75" customHeight="1" x14ac:dyDescent="0.2">
      <c r="A253" s="398" t="s">
        <v>919</v>
      </c>
      <c r="B253" s="271"/>
      <c r="C253" s="271"/>
      <c r="D253" s="271"/>
      <c r="E253" s="271"/>
      <c r="F253" s="271"/>
      <c r="G253" s="271"/>
      <c r="H253" s="271"/>
      <c r="I253" s="271"/>
      <c r="J253" s="271"/>
      <c r="K253" s="271"/>
      <c r="L253" s="271"/>
      <c r="M253" s="271"/>
      <c r="N253" s="273"/>
    </row>
    <row r="254" spans="1:14" ht="12.75" customHeight="1" x14ac:dyDescent="0.2">
      <c r="A254" s="396" t="s">
        <v>76</v>
      </c>
      <c r="B254" s="271"/>
      <c r="C254" s="271"/>
      <c r="D254" s="271"/>
      <c r="E254" s="271"/>
      <c r="F254" s="271"/>
      <c r="G254" s="273"/>
      <c r="H254" s="88" t="s">
        <v>77</v>
      </c>
      <c r="I254" s="399" t="s">
        <v>920</v>
      </c>
      <c r="J254" s="273"/>
      <c r="K254" s="399" t="s">
        <v>453</v>
      </c>
      <c r="L254" s="273"/>
      <c r="M254" s="399" t="s">
        <v>921</v>
      </c>
      <c r="N254" s="273"/>
    </row>
    <row r="255" spans="1:14" ht="12.75" customHeight="1" x14ac:dyDescent="0.2">
      <c r="A255" s="400"/>
      <c r="B255" s="271"/>
      <c r="C255" s="271"/>
      <c r="D255" s="271"/>
      <c r="E255" s="271"/>
      <c r="F255" s="271"/>
      <c r="G255" s="273"/>
      <c r="H255" s="29" t="str">
        <f>IF(A255="","",VLOOKUP(A255,AA_Materiales,7,FALSE))</f>
        <v/>
      </c>
      <c r="I255" s="394" t="str">
        <f>IF(A255="","",VLOOKUP(A255,AA_Materiales,8,FALSE))</f>
        <v/>
      </c>
      <c r="J255" s="273"/>
      <c r="K255" s="395"/>
      <c r="L255" s="273"/>
      <c r="M255" s="394" t="str">
        <f t="shared" ref="M255:M259" si="27">IF(A255="","",I255*K255)</f>
        <v/>
      </c>
      <c r="N255" s="273"/>
    </row>
    <row r="256" spans="1:14" ht="12.75" customHeight="1" x14ac:dyDescent="0.2">
      <c r="A256" s="400"/>
      <c r="B256" s="271"/>
      <c r="C256" s="271"/>
      <c r="D256" s="271"/>
      <c r="E256" s="271"/>
      <c r="F256" s="271"/>
      <c r="G256" s="273"/>
      <c r="H256" s="29" t="str">
        <f>IF(A256="","",VLOOKUP(A256,AA_Materiales,7,FALSE))</f>
        <v/>
      </c>
      <c r="I256" s="394" t="str">
        <f>IF(A256="","",VLOOKUP(A256,AA_Materiales,8,FALSE))</f>
        <v/>
      </c>
      <c r="J256" s="273"/>
      <c r="K256" s="395"/>
      <c r="L256" s="273"/>
      <c r="M256" s="394" t="str">
        <f t="shared" si="27"/>
        <v/>
      </c>
      <c r="N256" s="273"/>
    </row>
    <row r="257" spans="1:14" ht="12.75" customHeight="1" x14ac:dyDescent="0.2">
      <c r="A257" s="400"/>
      <c r="B257" s="271"/>
      <c r="C257" s="271"/>
      <c r="D257" s="271"/>
      <c r="E257" s="271"/>
      <c r="F257" s="271"/>
      <c r="G257" s="273"/>
      <c r="H257" s="29" t="str">
        <f>IF(A257="","",VLOOKUP(A257,AA_Materiales,7,FALSE))</f>
        <v/>
      </c>
      <c r="I257" s="394" t="str">
        <f>IF(A257="","",VLOOKUP(A257,AA_Materiales,8,FALSE))</f>
        <v/>
      </c>
      <c r="J257" s="273"/>
      <c r="K257" s="395"/>
      <c r="L257" s="273"/>
      <c r="M257" s="394" t="str">
        <f t="shared" si="27"/>
        <v/>
      </c>
      <c r="N257" s="273"/>
    </row>
    <row r="258" spans="1:14" ht="12.75" customHeight="1" x14ac:dyDescent="0.2">
      <c r="A258" s="400"/>
      <c r="B258" s="271"/>
      <c r="C258" s="271"/>
      <c r="D258" s="271"/>
      <c r="E258" s="271"/>
      <c r="F258" s="271"/>
      <c r="G258" s="273"/>
      <c r="H258" s="29" t="str">
        <f>IF(A258="","",VLOOKUP(A258,AA_Materiales,7,FALSE))</f>
        <v/>
      </c>
      <c r="I258" s="394" t="str">
        <f>IF(A258="","",VLOOKUP(A258,AA_Materiales,8,FALSE))</f>
        <v/>
      </c>
      <c r="J258" s="273"/>
      <c r="K258" s="395"/>
      <c r="L258" s="273"/>
      <c r="M258" s="394" t="str">
        <f t="shared" si="27"/>
        <v/>
      </c>
      <c r="N258" s="273"/>
    </row>
    <row r="259" spans="1:14" ht="12.75" customHeight="1" x14ac:dyDescent="0.2">
      <c r="A259" s="400"/>
      <c r="B259" s="271"/>
      <c r="C259" s="271"/>
      <c r="D259" s="271"/>
      <c r="E259" s="271"/>
      <c r="F259" s="271"/>
      <c r="G259" s="273"/>
      <c r="H259" s="29" t="str">
        <f>IF(A259="","",VLOOKUP(A259,AA_Materiales,7,FALSE))</f>
        <v/>
      </c>
      <c r="I259" s="394" t="str">
        <f>IF(A259="","",VLOOKUP(A259,AA_Materiales,8,FALSE))</f>
        <v/>
      </c>
      <c r="J259" s="273"/>
      <c r="K259" s="395"/>
      <c r="L259" s="273"/>
      <c r="M259" s="394" t="str">
        <f t="shared" si="27"/>
        <v/>
      </c>
      <c r="N259" s="273"/>
    </row>
    <row r="260" spans="1:14" ht="12.75" customHeight="1" x14ac:dyDescent="0.25">
      <c r="A260" s="4"/>
      <c r="B260" s="4"/>
      <c r="C260" s="4"/>
      <c r="D260" s="4"/>
      <c r="E260" s="4"/>
      <c r="F260" s="4"/>
      <c r="G260" s="4"/>
      <c r="H260" s="4"/>
      <c r="I260" s="4"/>
      <c r="J260" s="4"/>
      <c r="K260" s="396" t="s">
        <v>444</v>
      </c>
      <c r="L260" s="273"/>
      <c r="M260" s="394">
        <f>SUM(M255:N259)</f>
        <v>0</v>
      </c>
      <c r="N260" s="273"/>
    </row>
    <row r="261" spans="1:14" ht="12.75" customHeight="1" x14ac:dyDescent="0.25">
      <c r="A261" s="4"/>
      <c r="B261" s="4"/>
      <c r="C261" s="4"/>
      <c r="D261" s="4"/>
      <c r="E261" s="4"/>
      <c r="F261" s="4"/>
      <c r="G261" s="4"/>
      <c r="H261" s="4"/>
      <c r="I261" s="4"/>
      <c r="J261" s="4"/>
      <c r="K261" s="4"/>
      <c r="L261" s="4"/>
      <c r="M261" s="4"/>
      <c r="N261" s="4"/>
    </row>
    <row r="262" spans="1:14" ht="12.75" customHeight="1" x14ac:dyDescent="0.2">
      <c r="A262" s="398" t="s">
        <v>926</v>
      </c>
      <c r="B262" s="271"/>
      <c r="C262" s="271"/>
      <c r="D262" s="271"/>
      <c r="E262" s="271"/>
      <c r="F262" s="271"/>
      <c r="G262" s="271"/>
      <c r="H262" s="271"/>
      <c r="I262" s="271"/>
      <c r="J262" s="271"/>
      <c r="K262" s="271"/>
      <c r="L262" s="271"/>
      <c r="M262" s="271"/>
      <c r="N262" s="273"/>
    </row>
    <row r="263" spans="1:14" ht="12.75" customHeight="1" x14ac:dyDescent="0.2">
      <c r="A263" s="396" t="s">
        <v>76</v>
      </c>
      <c r="B263" s="271"/>
      <c r="C263" s="271"/>
      <c r="D263" s="271"/>
      <c r="E263" s="271"/>
      <c r="F263" s="271"/>
      <c r="G263" s="273"/>
      <c r="H263" s="88" t="s">
        <v>77</v>
      </c>
      <c r="I263" s="399" t="s">
        <v>920</v>
      </c>
      <c r="J263" s="273"/>
      <c r="K263" s="399" t="s">
        <v>453</v>
      </c>
      <c r="L263" s="273"/>
      <c r="M263" s="399" t="s">
        <v>921</v>
      </c>
      <c r="N263" s="273"/>
    </row>
    <row r="264" spans="1:14" ht="12.75" customHeight="1" x14ac:dyDescent="0.2">
      <c r="A264" s="400" t="s">
        <v>927</v>
      </c>
      <c r="B264" s="271"/>
      <c r="C264" s="271"/>
      <c r="D264" s="271"/>
      <c r="E264" s="271"/>
      <c r="F264" s="271"/>
      <c r="G264" s="273"/>
      <c r="H264" s="29" t="str">
        <f>IF(A264="","",VLOOKUP(A264,AA_Equipos,7,FALSE))</f>
        <v>% M.O.</v>
      </c>
      <c r="I264" s="394">
        <f>M287</f>
        <v>1549.0315294117645</v>
      </c>
      <c r="J264" s="273"/>
      <c r="K264" s="395">
        <v>0.05</v>
      </c>
      <c r="L264" s="273"/>
      <c r="M264" s="394">
        <f t="shared" ref="M264:M268" si="28">IF(A264="","",I264*K264)</f>
        <v>77.451576470588236</v>
      </c>
      <c r="N264" s="273"/>
    </row>
    <row r="265" spans="1:14" ht="12.75" customHeight="1" x14ac:dyDescent="0.2">
      <c r="A265" s="403" t="s">
        <v>941</v>
      </c>
      <c r="B265" s="271"/>
      <c r="C265" s="271"/>
      <c r="D265" s="271"/>
      <c r="E265" s="271"/>
      <c r="F265" s="271"/>
      <c r="G265" s="273"/>
      <c r="H265" s="29" t="str">
        <f>IF(A265="","",VLOOKUP(A265,AA_Equipos,7,FALSE))</f>
        <v>Hora</v>
      </c>
      <c r="I265" s="394">
        <f>IF(A265="","",VLOOKUP(A265,AA_Equipos,8,FALSE))</f>
        <v>145200</v>
      </c>
      <c r="J265" s="273"/>
      <c r="K265" s="402">
        <v>8.3333333333333329E-2</v>
      </c>
      <c r="L265" s="273"/>
      <c r="M265" s="394">
        <f t="shared" si="28"/>
        <v>12100</v>
      </c>
      <c r="N265" s="273"/>
    </row>
    <row r="266" spans="1:14" ht="12.75" customHeight="1" x14ac:dyDescent="0.2">
      <c r="A266" s="400"/>
      <c r="B266" s="271"/>
      <c r="C266" s="271"/>
      <c r="D266" s="271"/>
      <c r="E266" s="271"/>
      <c r="F266" s="271"/>
      <c r="G266" s="273"/>
      <c r="H266" s="29" t="str">
        <f>IF(A266="","",VLOOKUP(A266,AA_Equipos,7,FALSE))</f>
        <v/>
      </c>
      <c r="I266" s="394" t="str">
        <f>IF(A266="","",VLOOKUP(A266,AA_Equipos,8,FALSE))</f>
        <v/>
      </c>
      <c r="J266" s="273"/>
      <c r="K266" s="395"/>
      <c r="L266" s="273"/>
      <c r="M266" s="394" t="str">
        <f t="shared" si="28"/>
        <v/>
      </c>
      <c r="N266" s="273"/>
    </row>
    <row r="267" spans="1:14" ht="12.75" customHeight="1" x14ac:dyDescent="0.2">
      <c r="A267" s="400"/>
      <c r="B267" s="271"/>
      <c r="C267" s="271"/>
      <c r="D267" s="271"/>
      <c r="E267" s="271"/>
      <c r="F267" s="271"/>
      <c r="G267" s="273"/>
      <c r="H267" s="29" t="str">
        <f>IF(A267="","",VLOOKUP(A267,AA_Equipos,7,FALSE))</f>
        <v/>
      </c>
      <c r="I267" s="394" t="str">
        <f>IF(A267="","",VLOOKUP(A267,AA_Equipos,8,FALSE))</f>
        <v/>
      </c>
      <c r="J267" s="273"/>
      <c r="K267" s="395"/>
      <c r="L267" s="273"/>
      <c r="M267" s="394" t="str">
        <f t="shared" si="28"/>
        <v/>
      </c>
      <c r="N267" s="273"/>
    </row>
    <row r="268" spans="1:14" ht="12.75" customHeight="1" x14ac:dyDescent="0.2">
      <c r="A268" s="400"/>
      <c r="B268" s="271"/>
      <c r="C268" s="271"/>
      <c r="D268" s="271"/>
      <c r="E268" s="271"/>
      <c r="F268" s="271"/>
      <c r="G268" s="273"/>
      <c r="H268" s="29" t="str">
        <f>IF(A268="","",VLOOKUP(A268,AA_Equipos,7,FALSE))</f>
        <v/>
      </c>
      <c r="I268" s="394" t="str">
        <f>IF(A268="","",VLOOKUP(A268,AA_Equipos,8,FALSE))</f>
        <v/>
      </c>
      <c r="J268" s="273"/>
      <c r="K268" s="395"/>
      <c r="L268" s="273"/>
      <c r="M268" s="394" t="str">
        <f t="shared" si="28"/>
        <v/>
      </c>
      <c r="N268" s="273"/>
    </row>
    <row r="269" spans="1:14" ht="12.75" customHeight="1" x14ac:dyDescent="0.25">
      <c r="A269" s="4"/>
      <c r="B269" s="4"/>
      <c r="C269" s="4"/>
      <c r="D269" s="4"/>
      <c r="E269" s="4"/>
      <c r="F269" s="4"/>
      <c r="G269" s="4"/>
      <c r="H269" s="4"/>
      <c r="I269" s="4"/>
      <c r="J269" s="4"/>
      <c r="K269" s="396" t="s">
        <v>444</v>
      </c>
      <c r="L269" s="273"/>
      <c r="M269" s="394">
        <f>SUM(M264:N268)</f>
        <v>12177.451576470588</v>
      </c>
      <c r="N269" s="273"/>
    </row>
    <row r="270" spans="1:14" ht="12.75" customHeight="1" x14ac:dyDescent="0.25">
      <c r="A270" s="4"/>
      <c r="B270" s="4"/>
      <c r="C270" s="4"/>
      <c r="D270" s="4"/>
      <c r="E270" s="4"/>
      <c r="F270" s="4"/>
      <c r="G270" s="4"/>
      <c r="H270" s="4"/>
      <c r="I270" s="4"/>
      <c r="J270" s="4"/>
      <c r="K270" s="4"/>
      <c r="L270" s="4"/>
      <c r="M270" s="4"/>
      <c r="N270" s="4"/>
    </row>
    <row r="271" spans="1:14" ht="12.75" customHeight="1" x14ac:dyDescent="0.2">
      <c r="A271" s="398" t="s">
        <v>929</v>
      </c>
      <c r="B271" s="271"/>
      <c r="C271" s="271"/>
      <c r="D271" s="271"/>
      <c r="E271" s="271"/>
      <c r="F271" s="271"/>
      <c r="G271" s="271"/>
      <c r="H271" s="271"/>
      <c r="I271" s="271"/>
      <c r="J271" s="271"/>
      <c r="K271" s="271"/>
      <c r="L271" s="271"/>
      <c r="M271" s="271"/>
      <c r="N271" s="273"/>
    </row>
    <row r="272" spans="1:14" ht="12.75" customHeight="1" x14ac:dyDescent="0.2">
      <c r="A272" s="396" t="s">
        <v>76</v>
      </c>
      <c r="B272" s="271"/>
      <c r="C272" s="271"/>
      <c r="D272" s="271"/>
      <c r="E272" s="271"/>
      <c r="F272" s="271"/>
      <c r="G272" s="273"/>
      <c r="H272" s="88" t="s">
        <v>77</v>
      </c>
      <c r="I272" s="399" t="s">
        <v>920</v>
      </c>
      <c r="J272" s="273"/>
      <c r="K272" s="399" t="s">
        <v>453</v>
      </c>
      <c r="L272" s="273"/>
      <c r="M272" s="399" t="s">
        <v>921</v>
      </c>
      <c r="N272" s="273"/>
    </row>
    <row r="273" spans="1:14" ht="12.75" customHeight="1" x14ac:dyDescent="0.2">
      <c r="A273" s="400"/>
      <c r="B273" s="271"/>
      <c r="C273" s="271"/>
      <c r="D273" s="271"/>
      <c r="E273" s="271"/>
      <c r="F273" s="271"/>
      <c r="G273" s="273"/>
      <c r="H273" s="29"/>
      <c r="I273" s="394"/>
      <c r="J273" s="273"/>
      <c r="K273" s="404"/>
      <c r="L273" s="273"/>
      <c r="M273" s="394" t="str">
        <f t="shared" ref="M273:M277" si="29">IF(A273="","",I273*K273)</f>
        <v/>
      </c>
      <c r="N273" s="273"/>
    </row>
    <row r="274" spans="1:14" ht="12.75" customHeight="1" x14ac:dyDescent="0.2">
      <c r="A274" s="403" t="s">
        <v>939</v>
      </c>
      <c r="B274" s="271"/>
      <c r="C274" s="271"/>
      <c r="D274" s="271"/>
      <c r="E274" s="271"/>
      <c r="F274" s="271"/>
      <c r="G274" s="273"/>
      <c r="H274" s="29" t="s">
        <v>940</v>
      </c>
      <c r="I274" s="394">
        <f>+M269</f>
        <v>12177.451576470588</v>
      </c>
      <c r="J274" s="273"/>
      <c r="K274" s="404">
        <v>0.05</v>
      </c>
      <c r="L274" s="273"/>
      <c r="M274" s="394">
        <f t="shared" si="29"/>
        <v>608.87257882352947</v>
      </c>
      <c r="N274" s="273"/>
    </row>
    <row r="275" spans="1:14" ht="12.75" customHeight="1" x14ac:dyDescent="0.2">
      <c r="A275" s="400"/>
      <c r="B275" s="271"/>
      <c r="C275" s="271"/>
      <c r="D275" s="271"/>
      <c r="E275" s="271"/>
      <c r="F275" s="271"/>
      <c r="G275" s="273"/>
      <c r="H275" s="29"/>
      <c r="I275" s="394"/>
      <c r="J275" s="273"/>
      <c r="K275" s="395"/>
      <c r="L275" s="273"/>
      <c r="M275" s="394" t="str">
        <f t="shared" si="29"/>
        <v/>
      </c>
      <c r="N275" s="273"/>
    </row>
    <row r="276" spans="1:14" ht="12.75" customHeight="1" x14ac:dyDescent="0.2">
      <c r="A276" s="400"/>
      <c r="B276" s="271"/>
      <c r="C276" s="271"/>
      <c r="D276" s="271"/>
      <c r="E276" s="271"/>
      <c r="F276" s="271"/>
      <c r="G276" s="273"/>
      <c r="H276" s="29"/>
      <c r="I276" s="394"/>
      <c r="J276" s="273"/>
      <c r="K276" s="395"/>
      <c r="L276" s="273"/>
      <c r="M276" s="394" t="str">
        <f t="shared" si="29"/>
        <v/>
      </c>
      <c r="N276" s="273"/>
    </row>
    <row r="277" spans="1:14" ht="12.75" customHeight="1" x14ac:dyDescent="0.2">
      <c r="A277" s="400"/>
      <c r="B277" s="271"/>
      <c r="C277" s="271"/>
      <c r="D277" s="271"/>
      <c r="E277" s="271"/>
      <c r="F277" s="271"/>
      <c r="G277" s="273"/>
      <c r="H277" s="29"/>
      <c r="I277" s="394"/>
      <c r="J277" s="273"/>
      <c r="K277" s="395"/>
      <c r="L277" s="273"/>
      <c r="M277" s="394" t="str">
        <f t="shared" si="29"/>
        <v/>
      </c>
      <c r="N277" s="273"/>
    </row>
    <row r="278" spans="1:14" ht="12.75" customHeight="1" x14ac:dyDescent="0.25">
      <c r="A278" s="4"/>
      <c r="B278" s="4"/>
      <c r="C278" s="4"/>
      <c r="D278" s="4"/>
      <c r="E278" s="4"/>
      <c r="F278" s="4"/>
      <c r="G278" s="4"/>
      <c r="H278" s="4"/>
      <c r="I278" s="4"/>
      <c r="J278" s="4"/>
      <c r="K278" s="396" t="s">
        <v>444</v>
      </c>
      <c r="L278" s="273"/>
      <c r="M278" s="394">
        <f>SUM(M273:N277)</f>
        <v>608.87257882352947</v>
      </c>
      <c r="N278" s="273"/>
    </row>
    <row r="279" spans="1:14" ht="12.75" customHeight="1" x14ac:dyDescent="0.25">
      <c r="A279" s="4"/>
      <c r="B279" s="4"/>
      <c r="C279" s="4"/>
      <c r="D279" s="4"/>
      <c r="E279" s="4"/>
      <c r="F279" s="4"/>
      <c r="G279" s="4"/>
      <c r="H279" s="4"/>
      <c r="I279" s="4"/>
      <c r="J279" s="4"/>
      <c r="K279" s="4"/>
      <c r="L279" s="4"/>
      <c r="M279" s="4"/>
      <c r="N279" s="4"/>
    </row>
    <row r="280" spans="1:14" ht="12.75" customHeight="1" x14ac:dyDescent="0.2">
      <c r="A280" s="398" t="s">
        <v>931</v>
      </c>
      <c r="B280" s="271"/>
      <c r="C280" s="271"/>
      <c r="D280" s="271"/>
      <c r="E280" s="271"/>
      <c r="F280" s="271"/>
      <c r="G280" s="271"/>
      <c r="H280" s="271"/>
      <c r="I280" s="271"/>
      <c r="J280" s="271"/>
      <c r="K280" s="271"/>
      <c r="L280" s="271"/>
      <c r="M280" s="271"/>
      <c r="N280" s="273"/>
    </row>
    <row r="281" spans="1:14" ht="12.75" customHeight="1" x14ac:dyDescent="0.2">
      <c r="A281" s="396" t="s">
        <v>76</v>
      </c>
      <c r="B281" s="271"/>
      <c r="C281" s="271"/>
      <c r="D281" s="271"/>
      <c r="E281" s="271"/>
      <c r="F281" s="271"/>
      <c r="G281" s="273"/>
      <c r="H281" s="88" t="s">
        <v>77</v>
      </c>
      <c r="I281" s="399" t="s">
        <v>920</v>
      </c>
      <c r="J281" s="273"/>
      <c r="K281" s="90" t="s">
        <v>514</v>
      </c>
      <c r="L281" s="91" t="s">
        <v>932</v>
      </c>
      <c r="M281" s="399" t="s">
        <v>921</v>
      </c>
      <c r="N281" s="273"/>
    </row>
    <row r="282" spans="1:14" ht="12.75" customHeight="1" x14ac:dyDescent="0.25">
      <c r="A282" s="393" t="s">
        <v>936</v>
      </c>
      <c r="B282" s="271"/>
      <c r="C282" s="271"/>
      <c r="D282" s="271"/>
      <c r="E282" s="271"/>
      <c r="F282" s="271"/>
      <c r="G282" s="273"/>
      <c r="H282" s="29" t="str">
        <f>IF(A282="","",VLOOKUP(A282,AA_Cuadrillas,4,FALSE))</f>
        <v>Cuadrilla</v>
      </c>
      <c r="I282" s="394">
        <f>IF(A282="","",VLOOKUP(A282,AA_Cuadrillas,5,FALSE))</f>
        <v>70036</v>
      </c>
      <c r="J282" s="273"/>
      <c r="K282" s="9">
        <f>IF(A282="","",F.P!$I$2)</f>
        <v>1.88</v>
      </c>
      <c r="L282" s="93">
        <v>1.1764705882352941E-2</v>
      </c>
      <c r="M282" s="394">
        <f t="shared" ref="M282:M286" si="30">IF(A282="","",I282*K282*L282)</f>
        <v>1549.0315294117645</v>
      </c>
      <c r="N282" s="273"/>
    </row>
    <row r="283" spans="1:14" ht="12.75" customHeight="1" x14ac:dyDescent="0.25">
      <c r="A283" s="393"/>
      <c r="B283" s="271"/>
      <c r="C283" s="271"/>
      <c r="D283" s="271"/>
      <c r="E283" s="271"/>
      <c r="F283" s="271"/>
      <c r="G283" s="273"/>
      <c r="H283" s="29" t="str">
        <f>IF(A283="","",VLOOKUP(A283,AA_Cuadrillas,4,FALSE))</f>
        <v/>
      </c>
      <c r="I283" s="394" t="str">
        <f>IF(A283="","",VLOOKUP(A283,AA_Cuadrillas,5,FALSE))</f>
        <v/>
      </c>
      <c r="J283" s="273"/>
      <c r="K283" s="9" t="str">
        <f>IF(A283="","",F.P!$I$2)</f>
        <v/>
      </c>
      <c r="L283" s="9"/>
      <c r="M283" s="394" t="str">
        <f t="shared" si="30"/>
        <v/>
      </c>
      <c r="N283" s="273"/>
    </row>
    <row r="284" spans="1:14" ht="12.75" customHeight="1" x14ac:dyDescent="0.25">
      <c r="A284" s="393"/>
      <c r="B284" s="271"/>
      <c r="C284" s="271"/>
      <c r="D284" s="271"/>
      <c r="E284" s="271"/>
      <c r="F284" s="271"/>
      <c r="G284" s="273"/>
      <c r="H284" s="29" t="str">
        <f>IF(A284="","",VLOOKUP(A284,AA_Cuadrillas,4,FALSE))</f>
        <v/>
      </c>
      <c r="I284" s="394" t="str">
        <f>IF(A284="","",VLOOKUP(A284,AA_Cuadrillas,5,FALSE))</f>
        <v/>
      </c>
      <c r="J284" s="273"/>
      <c r="K284" s="9" t="str">
        <f>IF(A284="","",F.P!$I$2)</f>
        <v/>
      </c>
      <c r="L284" s="37"/>
      <c r="M284" s="394" t="str">
        <f t="shared" si="30"/>
        <v/>
      </c>
      <c r="N284" s="273"/>
    </row>
    <row r="285" spans="1:14" ht="12.75" customHeight="1" x14ac:dyDescent="0.25">
      <c r="A285" s="393"/>
      <c r="B285" s="271"/>
      <c r="C285" s="271"/>
      <c r="D285" s="271"/>
      <c r="E285" s="271"/>
      <c r="F285" s="271"/>
      <c r="G285" s="273"/>
      <c r="H285" s="29" t="str">
        <f>IF(A285="","",VLOOKUP(A285,AA_Cuadrillas,4,FALSE))</f>
        <v/>
      </c>
      <c r="I285" s="394" t="str">
        <f>IF(A285="","",VLOOKUP(A285,AA_Cuadrillas,5,FALSE))</f>
        <v/>
      </c>
      <c r="J285" s="273"/>
      <c r="K285" s="9" t="str">
        <f>IF(A285="","",F.P!$I$2)</f>
        <v/>
      </c>
      <c r="L285" s="37"/>
      <c r="M285" s="394" t="str">
        <f t="shared" si="30"/>
        <v/>
      </c>
      <c r="N285" s="273"/>
    </row>
    <row r="286" spans="1:14" ht="12.75" customHeight="1" x14ac:dyDescent="0.25">
      <c r="A286" s="393"/>
      <c r="B286" s="271"/>
      <c r="C286" s="271"/>
      <c r="D286" s="271"/>
      <c r="E286" s="271"/>
      <c r="F286" s="271"/>
      <c r="G286" s="273"/>
      <c r="H286" s="29" t="str">
        <f>IF(A286="","",VLOOKUP(A286,AA_Cuadrillas,4,FALSE))</f>
        <v/>
      </c>
      <c r="I286" s="394" t="str">
        <f>IF(A286="","",VLOOKUP(A286,AA_Cuadrillas,5,FALSE))</f>
        <v/>
      </c>
      <c r="J286" s="273"/>
      <c r="K286" s="9" t="str">
        <f>IF(A286="","",F.P!$I$2)</f>
        <v/>
      </c>
      <c r="L286" s="37"/>
      <c r="M286" s="394" t="str">
        <f t="shared" si="30"/>
        <v/>
      </c>
      <c r="N286" s="273"/>
    </row>
    <row r="287" spans="1:14" ht="12.75" customHeight="1" x14ac:dyDescent="0.25">
      <c r="A287" s="4"/>
      <c r="B287" s="4"/>
      <c r="C287" s="4"/>
      <c r="D287" s="4"/>
      <c r="E287" s="4"/>
      <c r="F287" s="4"/>
      <c r="G287" s="4"/>
      <c r="H287" s="4"/>
      <c r="I287" s="4"/>
      <c r="J287" s="4"/>
      <c r="K287" s="396" t="s">
        <v>444</v>
      </c>
      <c r="L287" s="273"/>
      <c r="M287" s="394">
        <f>SUM(M282:N286)</f>
        <v>1549.0315294117645</v>
      </c>
      <c r="N287" s="273"/>
    </row>
    <row r="288" spans="1:14" ht="12.75" customHeight="1" x14ac:dyDescent="0.25">
      <c r="A288" s="4"/>
      <c r="B288" s="4"/>
      <c r="C288" s="4"/>
      <c r="D288" s="4"/>
      <c r="E288" s="4"/>
      <c r="F288" s="4"/>
      <c r="G288" s="4"/>
      <c r="H288" s="4"/>
      <c r="I288" s="4"/>
      <c r="J288" s="4"/>
      <c r="K288" s="94"/>
      <c r="L288" s="95"/>
      <c r="M288" s="89"/>
      <c r="N288" s="96"/>
    </row>
    <row r="289" spans="1:15" ht="12.75" customHeight="1" x14ac:dyDescent="0.2">
      <c r="A289" s="397" t="s">
        <v>288</v>
      </c>
      <c r="B289" s="275"/>
      <c r="C289" s="275"/>
      <c r="D289" s="275"/>
      <c r="E289" s="275"/>
      <c r="F289" s="275"/>
      <c r="G289" s="275"/>
      <c r="H289" s="275"/>
      <c r="I289" s="275"/>
      <c r="J289" s="275"/>
      <c r="K289" s="275"/>
      <c r="L289" s="275"/>
      <c r="M289" s="275"/>
      <c r="N289" s="276"/>
      <c r="O289" s="166"/>
    </row>
    <row r="290" spans="1:15" ht="12.75" customHeight="1" x14ac:dyDescent="0.2">
      <c r="A290" s="277"/>
      <c r="B290" s="278"/>
      <c r="C290" s="278"/>
      <c r="D290" s="278"/>
      <c r="E290" s="278"/>
      <c r="F290" s="278"/>
      <c r="G290" s="278"/>
      <c r="H290" s="278"/>
      <c r="I290" s="278"/>
      <c r="J290" s="278"/>
      <c r="K290" s="278"/>
      <c r="L290" s="278"/>
      <c r="M290" s="278"/>
      <c r="N290" s="279"/>
      <c r="O290" s="166"/>
    </row>
    <row r="291" spans="1:15" ht="12.75" customHeight="1" x14ac:dyDescent="0.2">
      <c r="A291" s="75"/>
      <c r="B291" s="75"/>
      <c r="C291" s="75"/>
      <c r="D291" s="75"/>
      <c r="E291" s="75"/>
      <c r="F291" s="75"/>
      <c r="G291" s="75"/>
      <c r="H291" s="75"/>
      <c r="I291" s="75"/>
      <c r="J291" s="75"/>
      <c r="K291" s="75"/>
      <c r="L291" s="75"/>
      <c r="M291" s="75"/>
      <c r="N291" s="75"/>
    </row>
    <row r="292" spans="1:15" ht="12.75" customHeight="1" x14ac:dyDescent="0.3">
      <c r="A292" s="79" t="s">
        <v>619</v>
      </c>
      <c r="B292" s="80" t="str">
        <f>A289</f>
        <v>ENTIBADO EN MADERA TIPO 1; DISCONTINÚO PARA PROFUNDIDADES MAYORES A 2,0 MTS PARA TERRENOS MEDIANAMENTE ESTABLES 5 USOS (INCLUYE MATERIALES, HERRAMIENTAS Y MANO DE OBRA)</v>
      </c>
      <c r="C292" s="81" t="s">
        <v>916</v>
      </c>
      <c r="D292" s="82" t="s">
        <v>934</v>
      </c>
      <c r="E292" s="83" t="s">
        <v>445</v>
      </c>
      <c r="F292" s="234">
        <f>(H292+J292+L292+N292)*1.3</f>
        <v>57484.738835333337</v>
      </c>
      <c r="G292" s="83" t="s">
        <v>607</v>
      </c>
      <c r="H292" s="86">
        <f>M311</f>
        <v>1170.3814666666667</v>
      </c>
      <c r="I292" s="83" t="s">
        <v>918</v>
      </c>
      <c r="J292" s="86">
        <f>M302</f>
        <v>18650</v>
      </c>
      <c r="K292" s="83" t="s">
        <v>609</v>
      </c>
      <c r="L292" s="86">
        <f>M320</f>
        <v>991.01907333333338</v>
      </c>
      <c r="M292" s="83" t="s">
        <v>610</v>
      </c>
      <c r="N292" s="86">
        <f>M329</f>
        <v>23407.629333333334</v>
      </c>
    </row>
    <row r="293" spans="1:15" ht="12.75" customHeight="1" x14ac:dyDescent="0.25">
      <c r="A293" s="87"/>
      <c r="B293" s="87"/>
      <c r="C293" s="87"/>
      <c r="D293" s="87"/>
      <c r="E293" s="87"/>
      <c r="F293" s="87"/>
      <c r="G293" s="87"/>
      <c r="J293" s="87"/>
      <c r="K293" s="215" t="s">
        <v>3217</v>
      </c>
      <c r="L293" s="215">
        <f>+F292*presup!$O$5</f>
        <v>74730.160485933346</v>
      </c>
      <c r="M293" s="87"/>
      <c r="N293" s="87"/>
    </row>
    <row r="294" spans="1:15" ht="12.75" customHeight="1" x14ac:dyDescent="0.2">
      <c r="A294" s="398" t="s">
        <v>919</v>
      </c>
      <c r="B294" s="271"/>
      <c r="C294" s="271"/>
      <c r="D294" s="271"/>
      <c r="E294" s="271"/>
      <c r="F294" s="271"/>
      <c r="G294" s="271"/>
      <c r="H294" s="271"/>
      <c r="I294" s="271"/>
      <c r="J294" s="271"/>
      <c r="K294" s="271"/>
      <c r="L294" s="271"/>
      <c r="M294" s="271"/>
      <c r="N294" s="273"/>
    </row>
    <row r="295" spans="1:15" ht="12.75" customHeight="1" x14ac:dyDescent="0.2">
      <c r="A295" s="396" t="s">
        <v>76</v>
      </c>
      <c r="B295" s="271"/>
      <c r="C295" s="271"/>
      <c r="D295" s="271"/>
      <c r="E295" s="271"/>
      <c r="F295" s="271"/>
      <c r="G295" s="273"/>
      <c r="H295" s="88" t="s">
        <v>77</v>
      </c>
      <c r="I295" s="399" t="s">
        <v>920</v>
      </c>
      <c r="J295" s="273"/>
      <c r="K295" s="399" t="s">
        <v>453</v>
      </c>
      <c r="L295" s="273"/>
      <c r="M295" s="399" t="s">
        <v>921</v>
      </c>
      <c r="N295" s="273"/>
    </row>
    <row r="296" spans="1:15" ht="12.75" customHeight="1" x14ac:dyDescent="0.2">
      <c r="A296" s="400" t="s">
        <v>946</v>
      </c>
      <c r="B296" s="271"/>
      <c r="C296" s="271"/>
      <c r="D296" s="271"/>
      <c r="E296" s="271"/>
      <c r="F296" s="271"/>
      <c r="G296" s="273"/>
      <c r="H296" s="29" t="str">
        <f t="shared" ref="H296:H301" si="31">IF(A296="","",VLOOKUP(A296,AA_Materiales,7,FALSE))</f>
        <v>Unidad</v>
      </c>
      <c r="I296" s="394">
        <f t="shared" ref="I296:I301" si="32">IF(A296="","",VLOOKUP(A296,AA_Materiales,8,FALSE))</f>
        <v>18000</v>
      </c>
      <c r="J296" s="273"/>
      <c r="K296" s="395">
        <v>0.45</v>
      </c>
      <c r="L296" s="273"/>
      <c r="M296" s="394">
        <f t="shared" ref="M296:M301" si="33">IF(A296="","",I296*K296)</f>
        <v>8100</v>
      </c>
      <c r="N296" s="273"/>
    </row>
    <row r="297" spans="1:15" ht="12.75" customHeight="1" x14ac:dyDescent="0.2">
      <c r="A297" s="400" t="s">
        <v>947</v>
      </c>
      <c r="B297" s="271"/>
      <c r="C297" s="271"/>
      <c r="D297" s="271"/>
      <c r="E297" s="271"/>
      <c r="F297" s="271"/>
      <c r="G297" s="273"/>
      <c r="H297" s="29" t="str">
        <f t="shared" si="31"/>
        <v>LB</v>
      </c>
      <c r="I297" s="394">
        <f t="shared" si="32"/>
        <v>5500</v>
      </c>
      <c r="J297" s="273"/>
      <c r="K297" s="395">
        <v>0.1</v>
      </c>
      <c r="L297" s="273"/>
      <c r="M297" s="394">
        <f t="shared" si="33"/>
        <v>550</v>
      </c>
      <c r="N297" s="273"/>
    </row>
    <row r="298" spans="1:15" ht="12.75" customHeight="1" x14ac:dyDescent="0.2">
      <c r="A298" s="400" t="s">
        <v>948</v>
      </c>
      <c r="B298" s="271"/>
      <c r="C298" s="271"/>
      <c r="D298" s="271"/>
      <c r="E298" s="271"/>
      <c r="F298" s="271"/>
      <c r="G298" s="273"/>
      <c r="H298" s="29" t="str">
        <f t="shared" si="31"/>
        <v>Unidad</v>
      </c>
      <c r="I298" s="394">
        <f t="shared" si="32"/>
        <v>25000</v>
      </c>
      <c r="J298" s="273"/>
      <c r="K298" s="395">
        <v>0.4</v>
      </c>
      <c r="L298" s="273"/>
      <c r="M298" s="394">
        <f t="shared" si="33"/>
        <v>10000</v>
      </c>
      <c r="N298" s="273"/>
    </row>
    <row r="299" spans="1:15" ht="12.75" customHeight="1" x14ac:dyDescent="0.2">
      <c r="A299" s="400"/>
      <c r="B299" s="271"/>
      <c r="C299" s="271"/>
      <c r="D299" s="271"/>
      <c r="E299" s="271"/>
      <c r="F299" s="271"/>
      <c r="G299" s="273"/>
      <c r="H299" s="29" t="str">
        <f t="shared" si="31"/>
        <v/>
      </c>
      <c r="I299" s="394" t="str">
        <f t="shared" si="32"/>
        <v/>
      </c>
      <c r="J299" s="273"/>
      <c r="K299" s="395"/>
      <c r="L299" s="273"/>
      <c r="M299" s="394" t="str">
        <f t="shared" si="33"/>
        <v/>
      </c>
      <c r="N299" s="273"/>
    </row>
    <row r="300" spans="1:15" ht="12.75" customHeight="1" x14ac:dyDescent="0.2">
      <c r="A300" s="400"/>
      <c r="B300" s="271"/>
      <c r="C300" s="271"/>
      <c r="D300" s="271"/>
      <c r="E300" s="271"/>
      <c r="F300" s="271"/>
      <c r="G300" s="273"/>
      <c r="H300" s="29" t="str">
        <f t="shared" si="31"/>
        <v/>
      </c>
      <c r="I300" s="394" t="str">
        <f t="shared" si="32"/>
        <v/>
      </c>
      <c r="J300" s="273"/>
      <c r="K300" s="395"/>
      <c r="L300" s="273"/>
      <c r="M300" s="394" t="str">
        <f t="shared" si="33"/>
        <v/>
      </c>
      <c r="N300" s="273"/>
    </row>
    <row r="301" spans="1:15" ht="12.75" customHeight="1" x14ac:dyDescent="0.2">
      <c r="A301" s="400"/>
      <c r="B301" s="271"/>
      <c r="C301" s="271"/>
      <c r="D301" s="271"/>
      <c r="E301" s="271"/>
      <c r="F301" s="271"/>
      <c r="G301" s="273"/>
      <c r="H301" s="29" t="str">
        <f t="shared" si="31"/>
        <v/>
      </c>
      <c r="I301" s="394" t="str">
        <f t="shared" si="32"/>
        <v/>
      </c>
      <c r="J301" s="273"/>
      <c r="K301" s="395"/>
      <c r="L301" s="273"/>
      <c r="M301" s="394" t="str">
        <f t="shared" si="33"/>
        <v/>
      </c>
      <c r="N301" s="273"/>
    </row>
    <row r="302" spans="1:15" ht="12.75" customHeight="1" x14ac:dyDescent="0.25">
      <c r="A302" s="4"/>
      <c r="B302" s="4"/>
      <c r="C302" s="4"/>
      <c r="D302" s="4"/>
      <c r="E302" s="4"/>
      <c r="F302" s="4"/>
      <c r="G302" s="4"/>
      <c r="H302" s="4"/>
      <c r="I302" s="4"/>
      <c r="J302" s="4"/>
      <c r="K302" s="396" t="s">
        <v>444</v>
      </c>
      <c r="L302" s="273"/>
      <c r="M302" s="394">
        <f>SUM(M296:N301)</f>
        <v>18650</v>
      </c>
      <c r="N302" s="273"/>
    </row>
    <row r="303" spans="1:15" ht="12.75" customHeight="1" x14ac:dyDescent="0.25">
      <c r="A303" s="4"/>
      <c r="B303" s="4"/>
      <c r="C303" s="4"/>
      <c r="D303" s="4"/>
      <c r="E303" s="4"/>
      <c r="F303" s="4"/>
      <c r="G303" s="4"/>
      <c r="H303" s="4"/>
      <c r="I303" s="4"/>
      <c r="J303" s="4"/>
      <c r="K303" s="4"/>
      <c r="L303" s="4"/>
      <c r="M303" s="4"/>
      <c r="N303" s="4"/>
    </row>
    <row r="304" spans="1:15" ht="12.75" customHeight="1" x14ac:dyDescent="0.2">
      <c r="A304" s="398" t="s">
        <v>926</v>
      </c>
      <c r="B304" s="271"/>
      <c r="C304" s="271"/>
      <c r="D304" s="271"/>
      <c r="E304" s="271"/>
      <c r="F304" s="271"/>
      <c r="G304" s="271"/>
      <c r="H304" s="271"/>
      <c r="I304" s="271"/>
      <c r="J304" s="271"/>
      <c r="K304" s="271"/>
      <c r="L304" s="271"/>
      <c r="M304" s="271"/>
      <c r="N304" s="273"/>
    </row>
    <row r="305" spans="1:14" ht="12.75" customHeight="1" x14ac:dyDescent="0.2">
      <c r="A305" s="396" t="s">
        <v>76</v>
      </c>
      <c r="B305" s="271"/>
      <c r="C305" s="271"/>
      <c r="D305" s="271"/>
      <c r="E305" s="271"/>
      <c r="F305" s="271"/>
      <c r="G305" s="273"/>
      <c r="H305" s="88" t="s">
        <v>77</v>
      </c>
      <c r="I305" s="399" t="s">
        <v>920</v>
      </c>
      <c r="J305" s="273"/>
      <c r="K305" s="399" t="s">
        <v>453</v>
      </c>
      <c r="L305" s="273"/>
      <c r="M305" s="399" t="s">
        <v>921</v>
      </c>
      <c r="N305" s="273"/>
    </row>
    <row r="306" spans="1:14" ht="12.75" customHeight="1" x14ac:dyDescent="0.2">
      <c r="A306" s="400" t="s">
        <v>927</v>
      </c>
      <c r="B306" s="271"/>
      <c r="C306" s="271"/>
      <c r="D306" s="271"/>
      <c r="E306" s="271"/>
      <c r="F306" s="271"/>
      <c r="G306" s="273"/>
      <c r="H306" s="29" t="str">
        <f>IF(A306="","",VLOOKUP(A306,AA_Equipos,7,FALSE))</f>
        <v>% M.O.</v>
      </c>
      <c r="I306" s="394">
        <f>M329</f>
        <v>23407.629333333334</v>
      </c>
      <c r="J306" s="273"/>
      <c r="K306" s="404">
        <v>0.05</v>
      </c>
      <c r="L306" s="273"/>
      <c r="M306" s="394">
        <f t="shared" ref="M306:M310" si="34">IF(A306="","",I306*K306)</f>
        <v>1170.3814666666667</v>
      </c>
      <c r="N306" s="273"/>
    </row>
    <row r="307" spans="1:14" ht="12.75" customHeight="1" x14ac:dyDescent="0.2">
      <c r="A307" s="403"/>
      <c r="B307" s="271"/>
      <c r="C307" s="271"/>
      <c r="D307" s="271"/>
      <c r="E307" s="271"/>
      <c r="F307" s="271"/>
      <c r="G307" s="273"/>
      <c r="H307" s="29" t="str">
        <f>IF(A307="","",VLOOKUP(A307,AA_Equipos,7,FALSE))</f>
        <v/>
      </c>
      <c r="I307" s="394" t="str">
        <f>IF(A307="","",VLOOKUP(A307,AA_Equipos,8,FALSE))</f>
        <v/>
      </c>
      <c r="J307" s="273"/>
      <c r="K307" s="402"/>
      <c r="L307" s="273"/>
      <c r="M307" s="394" t="str">
        <f t="shared" si="34"/>
        <v/>
      </c>
      <c r="N307" s="273"/>
    </row>
    <row r="308" spans="1:14" ht="12.75" customHeight="1" x14ac:dyDescent="0.2">
      <c r="A308" s="400"/>
      <c r="B308" s="271"/>
      <c r="C308" s="271"/>
      <c r="D308" s="271"/>
      <c r="E308" s="271"/>
      <c r="F308" s="271"/>
      <c r="G308" s="273"/>
      <c r="H308" s="29" t="str">
        <f>IF(A308="","",VLOOKUP(A308,AA_Equipos,7,FALSE))</f>
        <v/>
      </c>
      <c r="I308" s="394" t="str">
        <f>IF(A308="","",VLOOKUP(A308,AA_Equipos,8,FALSE))</f>
        <v/>
      </c>
      <c r="J308" s="273"/>
      <c r="K308" s="401"/>
      <c r="L308" s="273"/>
      <c r="M308" s="394" t="str">
        <f t="shared" si="34"/>
        <v/>
      </c>
      <c r="N308" s="273"/>
    </row>
    <row r="309" spans="1:14" ht="12.75" customHeight="1" x14ac:dyDescent="0.2">
      <c r="A309" s="400"/>
      <c r="B309" s="271"/>
      <c r="C309" s="271"/>
      <c r="D309" s="271"/>
      <c r="E309" s="271"/>
      <c r="F309" s="271"/>
      <c r="G309" s="273"/>
      <c r="H309" s="29" t="str">
        <f>IF(A309="","",VLOOKUP(A309,AA_Equipos,7,FALSE))</f>
        <v/>
      </c>
      <c r="I309" s="394" t="str">
        <f>IF(A309="","",VLOOKUP(A309,AA_Equipos,8,FALSE))</f>
        <v/>
      </c>
      <c r="J309" s="273"/>
      <c r="K309" s="395"/>
      <c r="L309" s="273"/>
      <c r="M309" s="394" t="str">
        <f t="shared" si="34"/>
        <v/>
      </c>
      <c r="N309" s="273"/>
    </row>
    <row r="310" spans="1:14" ht="12.75" customHeight="1" x14ac:dyDescent="0.2">
      <c r="A310" s="400"/>
      <c r="B310" s="271"/>
      <c r="C310" s="271"/>
      <c r="D310" s="271"/>
      <c r="E310" s="271"/>
      <c r="F310" s="271"/>
      <c r="G310" s="273"/>
      <c r="H310" s="29" t="str">
        <f>IF(A310="","",VLOOKUP(A310,AA_Equipos,7,FALSE))</f>
        <v/>
      </c>
      <c r="I310" s="394" t="str">
        <f>IF(A310="","",VLOOKUP(A310,AA_Equipos,8,FALSE))</f>
        <v/>
      </c>
      <c r="J310" s="273"/>
      <c r="K310" s="395"/>
      <c r="L310" s="273"/>
      <c r="M310" s="394" t="str">
        <f t="shared" si="34"/>
        <v/>
      </c>
      <c r="N310" s="273"/>
    </row>
    <row r="311" spans="1:14" ht="12.75" customHeight="1" x14ac:dyDescent="0.25">
      <c r="A311" s="4"/>
      <c r="B311" s="4"/>
      <c r="C311" s="4"/>
      <c r="D311" s="4"/>
      <c r="E311" s="4"/>
      <c r="F311" s="4"/>
      <c r="G311" s="4"/>
      <c r="H311" s="4"/>
      <c r="I311" s="4"/>
      <c r="J311" s="4"/>
      <c r="K311" s="396" t="s">
        <v>444</v>
      </c>
      <c r="L311" s="273"/>
      <c r="M311" s="394">
        <f>SUM(M306:N310)</f>
        <v>1170.3814666666667</v>
      </c>
      <c r="N311" s="273"/>
    </row>
    <row r="312" spans="1:14" ht="12.75" customHeight="1" x14ac:dyDescent="0.25">
      <c r="A312" s="4"/>
      <c r="B312" s="4"/>
      <c r="C312" s="4"/>
      <c r="D312" s="4"/>
      <c r="E312" s="4"/>
      <c r="F312" s="4"/>
      <c r="G312" s="4"/>
      <c r="H312" s="4"/>
      <c r="I312" s="4"/>
      <c r="J312" s="4"/>
      <c r="K312" s="4"/>
      <c r="L312" s="4"/>
      <c r="M312" s="4"/>
      <c r="N312" s="4"/>
    </row>
    <row r="313" spans="1:14" ht="12.75" customHeight="1" x14ac:dyDescent="0.2">
      <c r="A313" s="398" t="s">
        <v>929</v>
      </c>
      <c r="B313" s="271"/>
      <c r="C313" s="271"/>
      <c r="D313" s="271"/>
      <c r="E313" s="271"/>
      <c r="F313" s="271"/>
      <c r="G313" s="271"/>
      <c r="H313" s="271"/>
      <c r="I313" s="271"/>
      <c r="J313" s="271"/>
      <c r="K313" s="271"/>
      <c r="L313" s="271"/>
      <c r="M313" s="271"/>
      <c r="N313" s="273"/>
    </row>
    <row r="314" spans="1:14" ht="12.75" customHeight="1" x14ac:dyDescent="0.2">
      <c r="A314" s="396" t="s">
        <v>76</v>
      </c>
      <c r="B314" s="271"/>
      <c r="C314" s="271"/>
      <c r="D314" s="271"/>
      <c r="E314" s="271"/>
      <c r="F314" s="271"/>
      <c r="G314" s="273"/>
      <c r="H314" s="88" t="s">
        <v>77</v>
      </c>
      <c r="I314" s="399" t="s">
        <v>920</v>
      </c>
      <c r="J314" s="273"/>
      <c r="K314" s="399" t="s">
        <v>453</v>
      </c>
      <c r="L314" s="273"/>
      <c r="M314" s="399" t="s">
        <v>921</v>
      </c>
      <c r="N314" s="273"/>
    </row>
    <row r="315" spans="1:14" ht="12.75" customHeight="1" x14ac:dyDescent="0.2">
      <c r="A315" s="400" t="s">
        <v>949</v>
      </c>
      <c r="B315" s="271"/>
      <c r="C315" s="271"/>
      <c r="D315" s="271"/>
      <c r="E315" s="271"/>
      <c r="F315" s="271"/>
      <c r="G315" s="273"/>
      <c r="H315" s="29" t="s">
        <v>950</v>
      </c>
      <c r="I315" s="394">
        <f>+M302</f>
        <v>18650</v>
      </c>
      <c r="J315" s="273"/>
      <c r="K315" s="404">
        <v>0.05</v>
      </c>
      <c r="L315" s="273"/>
      <c r="M315" s="394">
        <f t="shared" ref="M315:M319" si="35">IF(A315="","",I315*K315)</f>
        <v>932.5</v>
      </c>
      <c r="N315" s="273"/>
    </row>
    <row r="316" spans="1:14" ht="12.75" customHeight="1" x14ac:dyDescent="0.2">
      <c r="A316" s="403" t="s">
        <v>3174</v>
      </c>
      <c r="B316" s="271"/>
      <c r="C316" s="271"/>
      <c r="D316" s="271"/>
      <c r="E316" s="271"/>
      <c r="F316" s="271"/>
      <c r="G316" s="273"/>
      <c r="H316" s="29" t="s">
        <v>24</v>
      </c>
      <c r="I316" s="394">
        <f>+M311</f>
        <v>1170.3814666666667</v>
      </c>
      <c r="J316" s="273"/>
      <c r="K316" s="404">
        <v>0.05</v>
      </c>
      <c r="L316" s="273"/>
      <c r="M316" s="394">
        <f t="shared" si="35"/>
        <v>58.519073333333338</v>
      </c>
      <c r="N316" s="273"/>
    </row>
    <row r="317" spans="1:14" ht="12.75" customHeight="1" x14ac:dyDescent="0.2">
      <c r="A317" s="400"/>
      <c r="B317" s="271"/>
      <c r="C317" s="271"/>
      <c r="D317" s="271"/>
      <c r="E317" s="271"/>
      <c r="F317" s="271"/>
      <c r="G317" s="273"/>
      <c r="H317" s="29"/>
      <c r="I317" s="394"/>
      <c r="J317" s="273"/>
      <c r="K317" s="395"/>
      <c r="L317" s="273"/>
      <c r="M317" s="394" t="str">
        <f t="shared" si="35"/>
        <v/>
      </c>
      <c r="N317" s="273"/>
    </row>
    <row r="318" spans="1:14" ht="12.75" customHeight="1" x14ac:dyDescent="0.2">
      <c r="A318" s="400"/>
      <c r="B318" s="271"/>
      <c r="C318" s="271"/>
      <c r="D318" s="271"/>
      <c r="E318" s="271"/>
      <c r="F318" s="271"/>
      <c r="G318" s="273"/>
      <c r="H318" s="29"/>
      <c r="I318" s="394"/>
      <c r="J318" s="273"/>
      <c r="K318" s="395"/>
      <c r="L318" s="273"/>
      <c r="M318" s="394" t="str">
        <f t="shared" si="35"/>
        <v/>
      </c>
      <c r="N318" s="273"/>
    </row>
    <row r="319" spans="1:14" ht="12.75" customHeight="1" x14ac:dyDescent="0.2">
      <c r="A319" s="400"/>
      <c r="B319" s="271"/>
      <c r="C319" s="271"/>
      <c r="D319" s="271"/>
      <c r="E319" s="271"/>
      <c r="F319" s="271"/>
      <c r="G319" s="273"/>
      <c r="H319" s="29"/>
      <c r="I319" s="394"/>
      <c r="J319" s="273"/>
      <c r="K319" s="395"/>
      <c r="L319" s="273"/>
      <c r="M319" s="394" t="str">
        <f t="shared" si="35"/>
        <v/>
      </c>
      <c r="N319" s="273"/>
    </row>
    <row r="320" spans="1:14" ht="12.75" customHeight="1" x14ac:dyDescent="0.25">
      <c r="A320" s="4"/>
      <c r="B320" s="4"/>
      <c r="C320" s="4"/>
      <c r="D320" s="4"/>
      <c r="E320" s="4"/>
      <c r="F320" s="4"/>
      <c r="G320" s="4"/>
      <c r="H320" s="4"/>
      <c r="I320" s="4"/>
      <c r="J320" s="4"/>
      <c r="K320" s="396" t="s">
        <v>444</v>
      </c>
      <c r="L320" s="273"/>
      <c r="M320" s="394">
        <f>SUM(M315:N319)</f>
        <v>991.01907333333338</v>
      </c>
      <c r="N320" s="273"/>
    </row>
    <row r="321" spans="1:15" ht="12.75" customHeight="1" x14ac:dyDescent="0.25">
      <c r="A321" s="4"/>
      <c r="B321" s="4"/>
      <c r="C321" s="4"/>
      <c r="D321" s="4"/>
      <c r="E321" s="4"/>
      <c r="F321" s="4"/>
      <c r="G321" s="4"/>
      <c r="H321" s="4"/>
      <c r="I321" s="4"/>
      <c r="J321" s="4"/>
      <c r="K321" s="4"/>
      <c r="L321" s="4"/>
      <c r="M321" s="4"/>
      <c r="N321" s="4"/>
    </row>
    <row r="322" spans="1:15" ht="12.75" customHeight="1" x14ac:dyDescent="0.2">
      <c r="A322" s="398" t="s">
        <v>931</v>
      </c>
      <c r="B322" s="271"/>
      <c r="C322" s="271"/>
      <c r="D322" s="271"/>
      <c r="E322" s="271"/>
      <c r="F322" s="271"/>
      <c r="G322" s="271"/>
      <c r="H322" s="271"/>
      <c r="I322" s="271"/>
      <c r="J322" s="271"/>
      <c r="K322" s="271"/>
      <c r="L322" s="271"/>
      <c r="M322" s="271"/>
      <c r="N322" s="273"/>
    </row>
    <row r="323" spans="1:15" ht="12.75" customHeight="1" x14ac:dyDescent="0.2">
      <c r="A323" s="396" t="s">
        <v>76</v>
      </c>
      <c r="B323" s="271"/>
      <c r="C323" s="271"/>
      <c r="D323" s="271"/>
      <c r="E323" s="271"/>
      <c r="F323" s="271"/>
      <c r="G323" s="273"/>
      <c r="H323" s="88" t="s">
        <v>77</v>
      </c>
      <c r="I323" s="399" t="s">
        <v>920</v>
      </c>
      <c r="J323" s="273"/>
      <c r="K323" s="90" t="s">
        <v>514</v>
      </c>
      <c r="L323" s="91" t="s">
        <v>932</v>
      </c>
      <c r="M323" s="399" t="s">
        <v>921</v>
      </c>
      <c r="N323" s="273"/>
    </row>
    <row r="324" spans="1:15" ht="12.75" customHeight="1" x14ac:dyDescent="0.25">
      <c r="A324" s="393" t="s">
        <v>951</v>
      </c>
      <c r="B324" s="271"/>
      <c r="C324" s="271"/>
      <c r="D324" s="271"/>
      <c r="E324" s="271"/>
      <c r="F324" s="271"/>
      <c r="G324" s="273"/>
      <c r="H324" s="29" t="str">
        <f>IF(A324="","",VLOOKUP(A324,AA_Cuadrillas,4,FALSE))</f>
        <v>Cuadrilla</v>
      </c>
      <c r="I324" s="394">
        <f>IF(A324="","",VLOOKUP(A324,AA_Cuadrillas,5,FALSE))</f>
        <v>186763</v>
      </c>
      <c r="J324" s="273"/>
      <c r="K324" s="9">
        <f>IF(A324="","",F.P!$I$2)</f>
        <v>1.88</v>
      </c>
      <c r="L324" s="93">
        <f>1/15</f>
        <v>6.6666666666666666E-2</v>
      </c>
      <c r="M324" s="394">
        <f t="shared" ref="M324:M328" si="36">IF(A324="","",I324*K324*L324)</f>
        <v>23407.629333333334</v>
      </c>
      <c r="N324" s="273"/>
    </row>
    <row r="325" spans="1:15" ht="12.75" customHeight="1" x14ac:dyDescent="0.25">
      <c r="A325" s="393"/>
      <c r="B325" s="271"/>
      <c r="C325" s="271"/>
      <c r="D325" s="271"/>
      <c r="E325" s="271"/>
      <c r="F325" s="271"/>
      <c r="G325" s="273"/>
      <c r="H325" s="29" t="str">
        <f>IF(A325="","",VLOOKUP(A325,AA_Cuadrillas,4,FALSE))</f>
        <v/>
      </c>
      <c r="I325" s="394" t="str">
        <f>IF(A325="","",VLOOKUP(A325,AA_Cuadrillas,5,FALSE))</f>
        <v/>
      </c>
      <c r="J325" s="273"/>
      <c r="K325" s="9" t="str">
        <f>IF(A325="","",F.P!$I$2)</f>
        <v/>
      </c>
      <c r="L325" s="9"/>
      <c r="M325" s="394" t="str">
        <f t="shared" si="36"/>
        <v/>
      </c>
      <c r="N325" s="273"/>
    </row>
    <row r="326" spans="1:15" ht="12.75" customHeight="1" x14ac:dyDescent="0.25">
      <c r="A326" s="393"/>
      <c r="B326" s="271"/>
      <c r="C326" s="271"/>
      <c r="D326" s="271"/>
      <c r="E326" s="271"/>
      <c r="F326" s="271"/>
      <c r="G326" s="273"/>
      <c r="H326" s="29" t="str">
        <f>IF(A326="","",VLOOKUP(A326,AA_Cuadrillas,4,FALSE))</f>
        <v/>
      </c>
      <c r="I326" s="394" t="str">
        <f>IF(A326="","",VLOOKUP(A326,AA_Cuadrillas,5,FALSE))</f>
        <v/>
      </c>
      <c r="J326" s="273"/>
      <c r="K326" s="9" t="str">
        <f>IF(A326="","",F.P!$I$2)</f>
        <v/>
      </c>
      <c r="L326" s="37"/>
      <c r="M326" s="394" t="str">
        <f t="shared" si="36"/>
        <v/>
      </c>
      <c r="N326" s="273"/>
    </row>
    <row r="327" spans="1:15" ht="12.75" customHeight="1" x14ac:dyDescent="0.25">
      <c r="A327" s="393"/>
      <c r="B327" s="271"/>
      <c r="C327" s="271"/>
      <c r="D327" s="271"/>
      <c r="E327" s="271"/>
      <c r="F327" s="271"/>
      <c r="G327" s="273"/>
      <c r="H327" s="29" t="str">
        <f>IF(A327="","",VLOOKUP(A327,AA_Cuadrillas,4,FALSE))</f>
        <v/>
      </c>
      <c r="I327" s="394" t="str">
        <f>IF(A327="","",VLOOKUP(A327,AA_Cuadrillas,5,FALSE))</f>
        <v/>
      </c>
      <c r="J327" s="273"/>
      <c r="K327" s="9" t="str">
        <f>IF(A327="","",F.P!$I$2)</f>
        <v/>
      </c>
      <c r="L327" s="37"/>
      <c r="M327" s="394" t="str">
        <f t="shared" si="36"/>
        <v/>
      </c>
      <c r="N327" s="273"/>
    </row>
    <row r="328" spans="1:15" ht="12.75" customHeight="1" x14ac:dyDescent="0.25">
      <c r="A328" s="393"/>
      <c r="B328" s="271"/>
      <c r="C328" s="271"/>
      <c r="D328" s="271"/>
      <c r="E328" s="271"/>
      <c r="F328" s="271"/>
      <c r="G328" s="273"/>
      <c r="H328" s="29" t="str">
        <f>IF(A328="","",VLOOKUP(A328,AA_Cuadrillas,4,FALSE))</f>
        <v/>
      </c>
      <c r="I328" s="394" t="str">
        <f>IF(A328="","",VLOOKUP(A328,AA_Cuadrillas,5,FALSE))</f>
        <v/>
      </c>
      <c r="J328" s="273"/>
      <c r="K328" s="9" t="str">
        <f>IF(A328="","",F.P!$I$2)</f>
        <v/>
      </c>
      <c r="L328" s="37"/>
      <c r="M328" s="394" t="str">
        <f t="shared" si="36"/>
        <v/>
      </c>
      <c r="N328" s="273"/>
    </row>
    <row r="329" spans="1:15" ht="12.75" customHeight="1" x14ac:dyDescent="0.25">
      <c r="A329" s="4"/>
      <c r="B329" s="4"/>
      <c r="C329" s="4"/>
      <c r="D329" s="4"/>
      <c r="E329" s="4"/>
      <c r="F329" s="4"/>
      <c r="G329" s="4"/>
      <c r="H329" s="4"/>
      <c r="I329" s="4"/>
      <c r="J329" s="4"/>
      <c r="K329" s="396" t="s">
        <v>444</v>
      </c>
      <c r="L329" s="273"/>
      <c r="M329" s="394">
        <f>SUM(M324:N328)</f>
        <v>23407.629333333334</v>
      </c>
      <c r="N329" s="273"/>
    </row>
    <row r="330" spans="1:15" ht="12.75" customHeight="1" x14ac:dyDescent="0.2"/>
    <row r="331" spans="1:15" ht="12.75" customHeight="1" x14ac:dyDescent="0.2">
      <c r="A331" s="397" t="s">
        <v>290</v>
      </c>
      <c r="B331" s="275"/>
      <c r="C331" s="275"/>
      <c r="D331" s="275"/>
      <c r="E331" s="275"/>
      <c r="F331" s="275"/>
      <c r="G331" s="275"/>
      <c r="H331" s="275"/>
      <c r="I331" s="275"/>
      <c r="J331" s="275"/>
      <c r="K331" s="275"/>
      <c r="L331" s="275"/>
      <c r="M331" s="275"/>
      <c r="N331" s="276"/>
      <c r="O331" s="166"/>
    </row>
    <row r="332" spans="1:15" ht="12.75" customHeight="1" x14ac:dyDescent="0.2">
      <c r="A332" s="277"/>
      <c r="B332" s="278"/>
      <c r="C332" s="278"/>
      <c r="D332" s="278"/>
      <c r="E332" s="278"/>
      <c r="F332" s="278"/>
      <c r="G332" s="278"/>
      <c r="H332" s="278"/>
      <c r="I332" s="278"/>
      <c r="J332" s="278"/>
      <c r="K332" s="278"/>
      <c r="L332" s="278"/>
      <c r="M332" s="278"/>
      <c r="N332" s="279"/>
      <c r="O332" s="166"/>
    </row>
    <row r="333" spans="1:15" ht="12.75" customHeight="1" x14ac:dyDescent="0.2">
      <c r="A333" s="75"/>
      <c r="B333" s="75"/>
      <c r="C333" s="75"/>
      <c r="D333" s="75"/>
      <c r="E333" s="75"/>
      <c r="F333" s="75"/>
      <c r="G333" s="75"/>
      <c r="H333" s="75"/>
      <c r="I333" s="75"/>
      <c r="J333" s="75"/>
      <c r="K333" s="75"/>
      <c r="L333" s="75"/>
      <c r="M333" s="75"/>
      <c r="N333" s="75"/>
    </row>
    <row r="334" spans="1:15" ht="12.75" customHeight="1" x14ac:dyDescent="0.3">
      <c r="A334" s="79" t="s">
        <v>620</v>
      </c>
      <c r="B334" s="80" t="str">
        <f>A331</f>
        <v>ENTIBADO EN MADERA TIPO 2; CONTINUO PARA PROFUNDIDADES DE 2,0 A 4,0 MTS PARA TERRENOS INESTABLES 5 USOS (INCLUYE MATERIALES, HERRAMIENTAS Y MANO DE OBRA)</v>
      </c>
      <c r="C334" s="81" t="s">
        <v>916</v>
      </c>
      <c r="D334" s="82" t="s">
        <v>934</v>
      </c>
      <c r="E334" s="83" t="s">
        <v>445</v>
      </c>
      <c r="F334" s="234">
        <f>(H334+J334+L334+N334)*1.3</f>
        <v>72976.998044166685</v>
      </c>
      <c r="G334" s="83" t="s">
        <v>607</v>
      </c>
      <c r="H334" s="86">
        <f>M353</f>
        <v>1462.9768333333334</v>
      </c>
      <c r="I334" s="83" t="s">
        <v>918</v>
      </c>
      <c r="J334" s="86">
        <f>M344</f>
        <v>24133.800000000003</v>
      </c>
      <c r="K334" s="83" t="s">
        <v>609</v>
      </c>
      <c r="L334" s="86">
        <f>M362</f>
        <v>1279.8388416666669</v>
      </c>
      <c r="M334" s="83" t="s">
        <v>610</v>
      </c>
      <c r="N334" s="86">
        <f>M371</f>
        <v>29259.536666666667</v>
      </c>
    </row>
    <row r="335" spans="1:15" ht="12.75" customHeight="1" x14ac:dyDescent="0.25">
      <c r="A335" s="87"/>
      <c r="B335" s="87"/>
      <c r="C335" s="87"/>
      <c r="D335" s="87"/>
      <c r="E335" s="87"/>
      <c r="F335" s="87"/>
      <c r="G335" s="87"/>
      <c r="J335" s="87"/>
      <c r="K335" s="215" t="s">
        <v>3217</v>
      </c>
      <c r="L335" s="215">
        <f>+F334*presup!$O$5</f>
        <v>94870.09745741669</v>
      </c>
      <c r="M335" s="87"/>
      <c r="N335" s="87"/>
    </row>
    <row r="336" spans="1:15" ht="12.75" customHeight="1" x14ac:dyDescent="0.2">
      <c r="A336" s="398" t="s">
        <v>919</v>
      </c>
      <c r="B336" s="271"/>
      <c r="C336" s="271"/>
      <c r="D336" s="271"/>
      <c r="E336" s="271"/>
      <c r="F336" s="271"/>
      <c r="G336" s="271"/>
      <c r="H336" s="271"/>
      <c r="I336" s="271"/>
      <c r="J336" s="271"/>
      <c r="K336" s="271"/>
      <c r="L336" s="271"/>
      <c r="M336" s="271"/>
      <c r="N336" s="273"/>
    </row>
    <row r="337" spans="1:14" ht="12.75" customHeight="1" x14ac:dyDescent="0.2">
      <c r="A337" s="396" t="s">
        <v>76</v>
      </c>
      <c r="B337" s="271"/>
      <c r="C337" s="271"/>
      <c r="D337" s="271"/>
      <c r="E337" s="271"/>
      <c r="F337" s="271"/>
      <c r="G337" s="273"/>
      <c r="H337" s="88" t="s">
        <v>77</v>
      </c>
      <c r="I337" s="399" t="s">
        <v>920</v>
      </c>
      <c r="J337" s="273"/>
      <c r="K337" s="399" t="s">
        <v>453</v>
      </c>
      <c r="L337" s="273"/>
      <c r="M337" s="399" t="s">
        <v>921</v>
      </c>
      <c r="N337" s="273"/>
    </row>
    <row r="338" spans="1:14" ht="12.75" customHeight="1" x14ac:dyDescent="0.2">
      <c r="A338" s="400" t="s">
        <v>946</v>
      </c>
      <c r="B338" s="271"/>
      <c r="C338" s="271"/>
      <c r="D338" s="271"/>
      <c r="E338" s="271"/>
      <c r="F338" s="271"/>
      <c r="G338" s="273"/>
      <c r="H338" s="29" t="str">
        <f t="shared" ref="H338:H343" si="37">IF(A338="","",VLOOKUP(A338,AA_Materiales,7,FALSE))</f>
        <v>Unidad</v>
      </c>
      <c r="I338" s="394">
        <f t="shared" ref="I338:I343" si="38">IF(A338="","",VLOOKUP(A338,AA_Materiales,8,FALSE))</f>
        <v>18000</v>
      </c>
      <c r="J338" s="273"/>
      <c r="K338" s="402">
        <v>0.52410000000000001</v>
      </c>
      <c r="L338" s="273"/>
      <c r="M338" s="394">
        <f t="shared" ref="M338:M343" si="39">IF(A338="","",I338*K338)</f>
        <v>9433.8000000000011</v>
      </c>
      <c r="N338" s="273"/>
    </row>
    <row r="339" spans="1:14" ht="12.75" customHeight="1" x14ac:dyDescent="0.2">
      <c r="A339" s="400" t="s">
        <v>947</v>
      </c>
      <c r="B339" s="271"/>
      <c r="C339" s="271"/>
      <c r="D339" s="271"/>
      <c r="E339" s="271"/>
      <c r="F339" s="271"/>
      <c r="G339" s="273"/>
      <c r="H339" s="29" t="str">
        <f t="shared" si="37"/>
        <v>LB</v>
      </c>
      <c r="I339" s="394">
        <f t="shared" si="38"/>
        <v>5500</v>
      </c>
      <c r="J339" s="273"/>
      <c r="K339" s="395">
        <v>0.4</v>
      </c>
      <c r="L339" s="273"/>
      <c r="M339" s="394">
        <f t="shared" si="39"/>
        <v>2200</v>
      </c>
      <c r="N339" s="273"/>
    </row>
    <row r="340" spans="1:14" ht="12.75" customHeight="1" x14ac:dyDescent="0.2">
      <c r="A340" s="400" t="s">
        <v>948</v>
      </c>
      <c r="B340" s="271"/>
      <c r="C340" s="271"/>
      <c r="D340" s="271"/>
      <c r="E340" s="271"/>
      <c r="F340" s="271"/>
      <c r="G340" s="273"/>
      <c r="H340" s="29" t="str">
        <f t="shared" si="37"/>
        <v>Unidad</v>
      </c>
      <c r="I340" s="394">
        <f t="shared" si="38"/>
        <v>25000</v>
      </c>
      <c r="J340" s="273"/>
      <c r="K340" s="395">
        <v>0.5</v>
      </c>
      <c r="L340" s="273"/>
      <c r="M340" s="394">
        <f t="shared" si="39"/>
        <v>12500</v>
      </c>
      <c r="N340" s="273"/>
    </row>
    <row r="341" spans="1:14" ht="12.75" customHeight="1" x14ac:dyDescent="0.2">
      <c r="A341" s="400"/>
      <c r="B341" s="271"/>
      <c r="C341" s="271"/>
      <c r="D341" s="271"/>
      <c r="E341" s="271"/>
      <c r="F341" s="271"/>
      <c r="G341" s="273"/>
      <c r="H341" s="29" t="str">
        <f t="shared" si="37"/>
        <v/>
      </c>
      <c r="I341" s="394" t="str">
        <f t="shared" si="38"/>
        <v/>
      </c>
      <c r="J341" s="273"/>
      <c r="K341" s="395"/>
      <c r="L341" s="273"/>
      <c r="M341" s="394" t="str">
        <f t="shared" si="39"/>
        <v/>
      </c>
      <c r="N341" s="273"/>
    </row>
    <row r="342" spans="1:14" ht="12.75" customHeight="1" x14ac:dyDescent="0.2">
      <c r="A342" s="400"/>
      <c r="B342" s="271"/>
      <c r="C342" s="271"/>
      <c r="D342" s="271"/>
      <c r="E342" s="271"/>
      <c r="F342" s="271"/>
      <c r="G342" s="273"/>
      <c r="H342" s="29" t="str">
        <f t="shared" si="37"/>
        <v/>
      </c>
      <c r="I342" s="394" t="str">
        <f t="shared" si="38"/>
        <v/>
      </c>
      <c r="J342" s="273"/>
      <c r="K342" s="395"/>
      <c r="L342" s="273"/>
      <c r="M342" s="394" t="str">
        <f t="shared" si="39"/>
        <v/>
      </c>
      <c r="N342" s="273"/>
    </row>
    <row r="343" spans="1:14" ht="12.75" customHeight="1" x14ac:dyDescent="0.2">
      <c r="A343" s="400"/>
      <c r="B343" s="271"/>
      <c r="C343" s="271"/>
      <c r="D343" s="271"/>
      <c r="E343" s="271"/>
      <c r="F343" s="271"/>
      <c r="G343" s="273"/>
      <c r="H343" s="29" t="str">
        <f t="shared" si="37"/>
        <v/>
      </c>
      <c r="I343" s="394" t="str">
        <f t="shared" si="38"/>
        <v/>
      </c>
      <c r="J343" s="273"/>
      <c r="K343" s="395"/>
      <c r="L343" s="273"/>
      <c r="M343" s="394" t="str">
        <f t="shared" si="39"/>
        <v/>
      </c>
      <c r="N343" s="273"/>
    </row>
    <row r="344" spans="1:14" ht="12.75" customHeight="1" x14ac:dyDescent="0.25">
      <c r="A344" s="4"/>
      <c r="B344" s="4"/>
      <c r="C344" s="4"/>
      <c r="D344" s="4"/>
      <c r="E344" s="4"/>
      <c r="F344" s="4"/>
      <c r="G344" s="4"/>
      <c r="H344" s="4"/>
      <c r="I344" s="4"/>
      <c r="J344" s="4"/>
      <c r="K344" s="396" t="s">
        <v>444</v>
      </c>
      <c r="L344" s="273"/>
      <c r="M344" s="394">
        <f>SUM(M338:N343)</f>
        <v>24133.800000000003</v>
      </c>
      <c r="N344" s="273"/>
    </row>
    <row r="345" spans="1:14" ht="12.75" customHeight="1" x14ac:dyDescent="0.25">
      <c r="A345" s="4"/>
      <c r="B345" s="4"/>
      <c r="C345" s="4"/>
      <c r="D345" s="4"/>
      <c r="E345" s="4"/>
      <c r="F345" s="4"/>
      <c r="G345" s="4"/>
      <c r="H345" s="4"/>
      <c r="I345" s="4"/>
      <c r="J345" s="4"/>
      <c r="K345" s="4"/>
      <c r="L345" s="4"/>
      <c r="M345" s="4"/>
      <c r="N345" s="4"/>
    </row>
    <row r="346" spans="1:14" ht="12.75" customHeight="1" x14ac:dyDescent="0.2">
      <c r="A346" s="398" t="s">
        <v>926</v>
      </c>
      <c r="B346" s="271"/>
      <c r="C346" s="271"/>
      <c r="D346" s="271"/>
      <c r="E346" s="271"/>
      <c r="F346" s="271"/>
      <c r="G346" s="271"/>
      <c r="H346" s="271"/>
      <c r="I346" s="271"/>
      <c r="J346" s="271"/>
      <c r="K346" s="271"/>
      <c r="L346" s="271"/>
      <c r="M346" s="271"/>
      <c r="N346" s="273"/>
    </row>
    <row r="347" spans="1:14" ht="12.75" customHeight="1" x14ac:dyDescent="0.2">
      <c r="A347" s="396" t="s">
        <v>76</v>
      </c>
      <c r="B347" s="271"/>
      <c r="C347" s="271"/>
      <c r="D347" s="271"/>
      <c r="E347" s="271"/>
      <c r="F347" s="271"/>
      <c r="G347" s="273"/>
      <c r="H347" s="88" t="s">
        <v>77</v>
      </c>
      <c r="I347" s="399" t="s">
        <v>920</v>
      </c>
      <c r="J347" s="273"/>
      <c r="K347" s="399" t="s">
        <v>453</v>
      </c>
      <c r="L347" s="273"/>
      <c r="M347" s="399" t="s">
        <v>921</v>
      </c>
      <c r="N347" s="273"/>
    </row>
    <row r="348" spans="1:14" ht="12.75" customHeight="1" x14ac:dyDescent="0.2">
      <c r="A348" s="400" t="s">
        <v>927</v>
      </c>
      <c r="B348" s="271"/>
      <c r="C348" s="271"/>
      <c r="D348" s="271"/>
      <c r="E348" s="271"/>
      <c r="F348" s="271"/>
      <c r="G348" s="273"/>
      <c r="H348" s="29" t="str">
        <f>IF(A348="","",VLOOKUP(A348,AA_Equipos,7,FALSE))</f>
        <v>% M.O.</v>
      </c>
      <c r="I348" s="394">
        <f>M371</f>
        <v>29259.536666666667</v>
      </c>
      <c r="J348" s="273"/>
      <c r="K348" s="404">
        <v>0.05</v>
      </c>
      <c r="L348" s="273"/>
      <c r="M348" s="394">
        <f t="shared" ref="M348:M352" si="40">IF(A348="","",I348*K348)</f>
        <v>1462.9768333333334</v>
      </c>
      <c r="N348" s="273"/>
    </row>
    <row r="349" spans="1:14" ht="12.75" customHeight="1" x14ac:dyDescent="0.2">
      <c r="A349" s="403"/>
      <c r="B349" s="271"/>
      <c r="C349" s="271"/>
      <c r="D349" s="271"/>
      <c r="E349" s="271"/>
      <c r="F349" s="271"/>
      <c r="G349" s="273"/>
      <c r="H349" s="29" t="str">
        <f>IF(A349="","",VLOOKUP(A349,AA_Equipos,7,FALSE))</f>
        <v/>
      </c>
      <c r="I349" s="394" t="str">
        <f>IF(A349="","",VLOOKUP(A349,AA_Equipos,8,FALSE))</f>
        <v/>
      </c>
      <c r="J349" s="273"/>
      <c r="K349" s="402"/>
      <c r="L349" s="273"/>
      <c r="M349" s="394" t="str">
        <f t="shared" si="40"/>
        <v/>
      </c>
      <c r="N349" s="273"/>
    </row>
    <row r="350" spans="1:14" ht="12.75" customHeight="1" x14ac:dyDescent="0.2">
      <c r="A350" s="400"/>
      <c r="B350" s="271"/>
      <c r="C350" s="271"/>
      <c r="D350" s="271"/>
      <c r="E350" s="271"/>
      <c r="F350" s="271"/>
      <c r="G350" s="273"/>
      <c r="H350" s="29" t="str">
        <f>IF(A350="","",VLOOKUP(A350,AA_Equipos,7,FALSE))</f>
        <v/>
      </c>
      <c r="I350" s="394" t="str">
        <f>IF(A350="","",VLOOKUP(A350,AA_Equipos,8,FALSE))</f>
        <v/>
      </c>
      <c r="J350" s="273"/>
      <c r="K350" s="401"/>
      <c r="L350" s="273"/>
      <c r="M350" s="394" t="str">
        <f t="shared" si="40"/>
        <v/>
      </c>
      <c r="N350" s="273"/>
    </row>
    <row r="351" spans="1:14" ht="12.75" customHeight="1" x14ac:dyDescent="0.2">
      <c r="A351" s="400"/>
      <c r="B351" s="271"/>
      <c r="C351" s="271"/>
      <c r="D351" s="271"/>
      <c r="E351" s="271"/>
      <c r="F351" s="271"/>
      <c r="G351" s="273"/>
      <c r="H351" s="29" t="str">
        <f>IF(A351="","",VLOOKUP(A351,AA_Equipos,7,FALSE))</f>
        <v/>
      </c>
      <c r="I351" s="394" t="str">
        <f>IF(A351="","",VLOOKUP(A351,AA_Equipos,8,FALSE))</f>
        <v/>
      </c>
      <c r="J351" s="273"/>
      <c r="K351" s="395"/>
      <c r="L351" s="273"/>
      <c r="M351" s="394" t="str">
        <f t="shared" si="40"/>
        <v/>
      </c>
      <c r="N351" s="273"/>
    </row>
    <row r="352" spans="1:14" ht="12.75" customHeight="1" x14ac:dyDescent="0.2">
      <c r="A352" s="400"/>
      <c r="B352" s="271"/>
      <c r="C352" s="271"/>
      <c r="D352" s="271"/>
      <c r="E352" s="271"/>
      <c r="F352" s="271"/>
      <c r="G352" s="273"/>
      <c r="H352" s="29" t="str">
        <f>IF(A352="","",VLOOKUP(A352,AA_Equipos,7,FALSE))</f>
        <v/>
      </c>
      <c r="I352" s="394" t="str">
        <f>IF(A352="","",VLOOKUP(A352,AA_Equipos,8,FALSE))</f>
        <v/>
      </c>
      <c r="J352" s="273"/>
      <c r="K352" s="395"/>
      <c r="L352" s="273"/>
      <c r="M352" s="394" t="str">
        <f t="shared" si="40"/>
        <v/>
      </c>
      <c r="N352" s="273"/>
    </row>
    <row r="353" spans="1:14" ht="12.75" customHeight="1" x14ac:dyDescent="0.25">
      <c r="A353" s="4"/>
      <c r="B353" s="4"/>
      <c r="C353" s="4"/>
      <c r="D353" s="4"/>
      <c r="E353" s="4"/>
      <c r="F353" s="4"/>
      <c r="G353" s="4"/>
      <c r="H353" s="4"/>
      <c r="I353" s="4"/>
      <c r="J353" s="4"/>
      <c r="K353" s="396" t="s">
        <v>444</v>
      </c>
      <c r="L353" s="273"/>
      <c r="M353" s="394">
        <f>SUM(M348:N352)</f>
        <v>1462.9768333333334</v>
      </c>
      <c r="N353" s="273"/>
    </row>
    <row r="354" spans="1:14" ht="12.75" customHeight="1" x14ac:dyDescent="0.25">
      <c r="A354" s="4"/>
      <c r="B354" s="4"/>
      <c r="C354" s="4"/>
      <c r="D354" s="4"/>
      <c r="E354" s="4"/>
      <c r="F354" s="4"/>
      <c r="G354" s="4"/>
      <c r="H354" s="4"/>
      <c r="I354" s="4"/>
      <c r="J354" s="4"/>
      <c r="K354" s="4"/>
      <c r="L354" s="4"/>
      <c r="M354" s="4"/>
      <c r="N354" s="4"/>
    </row>
    <row r="355" spans="1:14" ht="12.75" customHeight="1" x14ac:dyDescent="0.2">
      <c r="A355" s="398" t="s">
        <v>929</v>
      </c>
      <c r="B355" s="271"/>
      <c r="C355" s="271"/>
      <c r="D355" s="271"/>
      <c r="E355" s="271"/>
      <c r="F355" s="271"/>
      <c r="G355" s="271"/>
      <c r="H355" s="271"/>
      <c r="I355" s="271"/>
      <c r="J355" s="271"/>
      <c r="K355" s="271"/>
      <c r="L355" s="271"/>
      <c r="M355" s="271"/>
      <c r="N355" s="273"/>
    </row>
    <row r="356" spans="1:14" ht="12.75" customHeight="1" x14ac:dyDescent="0.2">
      <c r="A356" s="396" t="s">
        <v>76</v>
      </c>
      <c r="B356" s="271"/>
      <c r="C356" s="271"/>
      <c r="D356" s="271"/>
      <c r="E356" s="271"/>
      <c r="F356" s="271"/>
      <c r="G356" s="273"/>
      <c r="H356" s="88" t="s">
        <v>77</v>
      </c>
      <c r="I356" s="399" t="s">
        <v>920</v>
      </c>
      <c r="J356" s="273"/>
      <c r="K356" s="399" t="s">
        <v>453</v>
      </c>
      <c r="L356" s="273"/>
      <c r="M356" s="399" t="s">
        <v>921</v>
      </c>
      <c r="N356" s="273"/>
    </row>
    <row r="357" spans="1:14" ht="12.75" customHeight="1" x14ac:dyDescent="0.2">
      <c r="A357" s="400" t="s">
        <v>949</v>
      </c>
      <c r="B357" s="271"/>
      <c r="C357" s="271"/>
      <c r="D357" s="271"/>
      <c r="E357" s="271"/>
      <c r="F357" s="271"/>
      <c r="G357" s="273"/>
      <c r="H357" s="29" t="s">
        <v>950</v>
      </c>
      <c r="I357" s="394">
        <f>+M344</f>
        <v>24133.800000000003</v>
      </c>
      <c r="J357" s="273"/>
      <c r="K357" s="404">
        <v>0.05</v>
      </c>
      <c r="L357" s="273"/>
      <c r="M357" s="394">
        <f t="shared" ref="M357:M361" si="41">IF(A357="","",I357*K357)</f>
        <v>1206.6900000000003</v>
      </c>
      <c r="N357" s="273"/>
    </row>
    <row r="358" spans="1:14" ht="12.75" customHeight="1" x14ac:dyDescent="0.2">
      <c r="A358" s="403" t="s">
        <v>3174</v>
      </c>
      <c r="B358" s="271"/>
      <c r="C358" s="271"/>
      <c r="D358" s="271"/>
      <c r="E358" s="271"/>
      <c r="F358" s="271"/>
      <c r="G358" s="273"/>
      <c r="H358" s="29" t="s">
        <v>24</v>
      </c>
      <c r="I358" s="394">
        <f>+M353</f>
        <v>1462.9768333333334</v>
      </c>
      <c r="J358" s="273"/>
      <c r="K358" s="404">
        <v>0.05</v>
      </c>
      <c r="L358" s="273"/>
      <c r="M358" s="394">
        <f t="shared" si="41"/>
        <v>73.148841666666669</v>
      </c>
      <c r="N358" s="273"/>
    </row>
    <row r="359" spans="1:14" ht="12.75" customHeight="1" x14ac:dyDescent="0.2">
      <c r="A359" s="400"/>
      <c r="B359" s="271"/>
      <c r="C359" s="271"/>
      <c r="D359" s="271"/>
      <c r="E359" s="271"/>
      <c r="F359" s="271"/>
      <c r="G359" s="273"/>
      <c r="H359" s="29"/>
      <c r="I359" s="394"/>
      <c r="J359" s="273"/>
      <c r="K359" s="395"/>
      <c r="L359" s="273"/>
      <c r="M359" s="394" t="str">
        <f t="shared" si="41"/>
        <v/>
      </c>
      <c r="N359" s="273"/>
    </row>
    <row r="360" spans="1:14" ht="12.75" customHeight="1" x14ac:dyDescent="0.2">
      <c r="A360" s="400"/>
      <c r="B360" s="271"/>
      <c r="C360" s="271"/>
      <c r="D360" s="271"/>
      <c r="E360" s="271"/>
      <c r="F360" s="271"/>
      <c r="G360" s="273"/>
      <c r="H360" s="29"/>
      <c r="I360" s="394"/>
      <c r="J360" s="273"/>
      <c r="K360" s="395"/>
      <c r="L360" s="273"/>
      <c r="M360" s="394" t="str">
        <f t="shared" si="41"/>
        <v/>
      </c>
      <c r="N360" s="273"/>
    </row>
    <row r="361" spans="1:14" ht="12.75" customHeight="1" x14ac:dyDescent="0.2">
      <c r="A361" s="400"/>
      <c r="B361" s="271"/>
      <c r="C361" s="271"/>
      <c r="D361" s="271"/>
      <c r="E361" s="271"/>
      <c r="F361" s="271"/>
      <c r="G361" s="273"/>
      <c r="H361" s="29"/>
      <c r="I361" s="394"/>
      <c r="J361" s="273"/>
      <c r="K361" s="395"/>
      <c r="L361" s="273"/>
      <c r="M361" s="394" t="str">
        <f t="shared" si="41"/>
        <v/>
      </c>
      <c r="N361" s="273"/>
    </row>
    <row r="362" spans="1:14" ht="12.75" customHeight="1" x14ac:dyDescent="0.25">
      <c r="A362" s="4"/>
      <c r="B362" s="4"/>
      <c r="C362" s="4"/>
      <c r="D362" s="4"/>
      <c r="E362" s="4"/>
      <c r="F362" s="4"/>
      <c r="G362" s="4"/>
      <c r="H362" s="4"/>
      <c r="I362" s="4"/>
      <c r="J362" s="4"/>
      <c r="K362" s="396" t="s">
        <v>444</v>
      </c>
      <c r="L362" s="273"/>
      <c r="M362" s="394">
        <f>SUM(M357:N361)</f>
        <v>1279.8388416666669</v>
      </c>
      <c r="N362" s="273"/>
    </row>
    <row r="363" spans="1:14" ht="12.75" customHeight="1" x14ac:dyDescent="0.25">
      <c r="A363" s="4"/>
      <c r="B363" s="4"/>
      <c r="C363" s="4"/>
      <c r="D363" s="4"/>
      <c r="E363" s="4"/>
      <c r="F363" s="4"/>
      <c r="G363" s="4"/>
      <c r="H363" s="4"/>
      <c r="I363" s="4"/>
      <c r="J363" s="4"/>
      <c r="K363" s="4"/>
      <c r="L363" s="4"/>
      <c r="M363" s="4"/>
      <c r="N363" s="4"/>
    </row>
    <row r="364" spans="1:14" ht="12.75" customHeight="1" x14ac:dyDescent="0.2">
      <c r="A364" s="398" t="s">
        <v>931</v>
      </c>
      <c r="B364" s="271"/>
      <c r="C364" s="271"/>
      <c r="D364" s="271"/>
      <c r="E364" s="271"/>
      <c r="F364" s="271"/>
      <c r="G364" s="271"/>
      <c r="H364" s="271"/>
      <c r="I364" s="271"/>
      <c r="J364" s="271"/>
      <c r="K364" s="271"/>
      <c r="L364" s="271"/>
      <c r="M364" s="271"/>
      <c r="N364" s="273"/>
    </row>
    <row r="365" spans="1:14" ht="12.75" customHeight="1" x14ac:dyDescent="0.2">
      <c r="A365" s="396" t="s">
        <v>76</v>
      </c>
      <c r="B365" s="271"/>
      <c r="C365" s="271"/>
      <c r="D365" s="271"/>
      <c r="E365" s="271"/>
      <c r="F365" s="271"/>
      <c r="G365" s="273"/>
      <c r="H365" s="88" t="s">
        <v>77</v>
      </c>
      <c r="I365" s="399" t="s">
        <v>920</v>
      </c>
      <c r="J365" s="273"/>
      <c r="K365" s="90" t="s">
        <v>514</v>
      </c>
      <c r="L365" s="91" t="s">
        <v>932</v>
      </c>
      <c r="M365" s="399" t="s">
        <v>921</v>
      </c>
      <c r="N365" s="273"/>
    </row>
    <row r="366" spans="1:14" ht="12.75" customHeight="1" x14ac:dyDescent="0.25">
      <c r="A366" s="393" t="s">
        <v>951</v>
      </c>
      <c r="B366" s="271"/>
      <c r="C366" s="271"/>
      <c r="D366" s="271"/>
      <c r="E366" s="271"/>
      <c r="F366" s="271"/>
      <c r="G366" s="273"/>
      <c r="H366" s="29" t="str">
        <f>IF(A366="","",VLOOKUP(A366,AA_Cuadrillas,4,FALSE))</f>
        <v>Cuadrilla</v>
      </c>
      <c r="I366" s="394">
        <f>IF(A366="","",VLOOKUP(A366,AA_Cuadrillas,5,FALSE))</f>
        <v>186763</v>
      </c>
      <c r="J366" s="273"/>
      <c r="K366" s="9">
        <f>IF(A366="","",F.P!$I$2)</f>
        <v>1.88</v>
      </c>
      <c r="L366" s="93">
        <f>1/12</f>
        <v>8.3333333333333329E-2</v>
      </c>
      <c r="M366" s="394">
        <f t="shared" ref="M366:M370" si="42">IF(A366="","",I366*K366*L366)</f>
        <v>29259.536666666667</v>
      </c>
      <c r="N366" s="273"/>
    </row>
    <row r="367" spans="1:14" ht="12.75" customHeight="1" x14ac:dyDescent="0.25">
      <c r="A367" s="393"/>
      <c r="B367" s="271"/>
      <c r="C367" s="271"/>
      <c r="D367" s="271"/>
      <c r="E367" s="271"/>
      <c r="F367" s="271"/>
      <c r="G367" s="273"/>
      <c r="H367" s="29" t="str">
        <f>IF(A367="","",VLOOKUP(A367,AA_Cuadrillas,4,FALSE))</f>
        <v/>
      </c>
      <c r="I367" s="394" t="str">
        <f>IF(A367="","",VLOOKUP(A367,AA_Cuadrillas,5,FALSE))</f>
        <v/>
      </c>
      <c r="J367" s="273"/>
      <c r="K367" s="9" t="str">
        <f>IF(A367="","",F.P!$I$2)</f>
        <v/>
      </c>
      <c r="L367" s="9"/>
      <c r="M367" s="394" t="str">
        <f t="shared" si="42"/>
        <v/>
      </c>
      <c r="N367" s="273"/>
    </row>
    <row r="368" spans="1:14" ht="12.75" customHeight="1" x14ac:dyDescent="0.25">
      <c r="A368" s="393"/>
      <c r="B368" s="271"/>
      <c r="C368" s="271"/>
      <c r="D368" s="271"/>
      <c r="E368" s="271"/>
      <c r="F368" s="271"/>
      <c r="G368" s="273"/>
      <c r="H368" s="29" t="str">
        <f>IF(A368="","",VLOOKUP(A368,AA_Cuadrillas,4,FALSE))</f>
        <v/>
      </c>
      <c r="I368" s="394" t="str">
        <f>IF(A368="","",VLOOKUP(A368,AA_Cuadrillas,5,FALSE))</f>
        <v/>
      </c>
      <c r="J368" s="273"/>
      <c r="K368" s="9" t="str">
        <f>IF(A368="","",F.P!$I$2)</f>
        <v/>
      </c>
      <c r="L368" s="37"/>
      <c r="M368" s="394" t="str">
        <f t="shared" si="42"/>
        <v/>
      </c>
      <c r="N368" s="273"/>
    </row>
    <row r="369" spans="1:15" ht="12.75" customHeight="1" x14ac:dyDescent="0.25">
      <c r="A369" s="393"/>
      <c r="B369" s="271"/>
      <c r="C369" s="271"/>
      <c r="D369" s="271"/>
      <c r="E369" s="271"/>
      <c r="F369" s="271"/>
      <c r="G369" s="273"/>
      <c r="H369" s="29" t="str">
        <f>IF(A369="","",VLOOKUP(A369,AA_Cuadrillas,4,FALSE))</f>
        <v/>
      </c>
      <c r="I369" s="394" t="str">
        <f>IF(A369="","",VLOOKUP(A369,AA_Cuadrillas,5,FALSE))</f>
        <v/>
      </c>
      <c r="J369" s="273"/>
      <c r="K369" s="9" t="str">
        <f>IF(A369="","",F.P!$I$2)</f>
        <v/>
      </c>
      <c r="L369" s="37"/>
      <c r="M369" s="394" t="str">
        <f t="shared" si="42"/>
        <v/>
      </c>
      <c r="N369" s="273"/>
    </row>
    <row r="370" spans="1:15" ht="12.75" customHeight="1" x14ac:dyDescent="0.25">
      <c r="A370" s="393"/>
      <c r="B370" s="271"/>
      <c r="C370" s="271"/>
      <c r="D370" s="271"/>
      <c r="E370" s="271"/>
      <c r="F370" s="271"/>
      <c r="G370" s="273"/>
      <c r="H370" s="29" t="str">
        <f>IF(A370="","",VLOOKUP(A370,AA_Cuadrillas,4,FALSE))</f>
        <v/>
      </c>
      <c r="I370" s="394" t="str">
        <f>IF(A370="","",VLOOKUP(A370,AA_Cuadrillas,5,FALSE))</f>
        <v/>
      </c>
      <c r="J370" s="273"/>
      <c r="K370" s="9" t="str">
        <f>IF(A370="","",F.P!$I$2)</f>
        <v/>
      </c>
      <c r="L370" s="37"/>
      <c r="M370" s="394" t="str">
        <f t="shared" si="42"/>
        <v/>
      </c>
      <c r="N370" s="273"/>
    </row>
    <row r="371" spans="1:15" ht="12.75" customHeight="1" x14ac:dyDescent="0.25">
      <c r="A371" s="4"/>
      <c r="B371" s="4"/>
      <c r="C371" s="4"/>
      <c r="D371" s="4"/>
      <c r="E371" s="4"/>
      <c r="F371" s="4"/>
      <c r="G371" s="4"/>
      <c r="H371" s="4"/>
      <c r="I371" s="4"/>
      <c r="J371" s="4"/>
      <c r="K371" s="396" t="s">
        <v>444</v>
      </c>
      <c r="L371" s="273"/>
      <c r="M371" s="394">
        <f>SUM(M366:N370)</f>
        <v>29259.536666666667</v>
      </c>
      <c r="N371" s="273"/>
    </row>
    <row r="372" spans="1:15" ht="12.75" customHeight="1" x14ac:dyDescent="0.25">
      <c r="A372" s="4"/>
      <c r="B372" s="4"/>
      <c r="C372" s="4"/>
      <c r="D372" s="4"/>
      <c r="E372" s="4"/>
      <c r="F372" s="4"/>
      <c r="G372" s="4"/>
      <c r="H372" s="4"/>
      <c r="I372" s="4"/>
      <c r="J372" s="4"/>
      <c r="K372" s="4"/>
      <c r="L372" s="4"/>
      <c r="M372" s="4"/>
      <c r="N372" s="4"/>
    </row>
    <row r="373" spans="1:15" ht="12.75" customHeight="1" x14ac:dyDescent="0.2">
      <c r="A373" s="397" t="s">
        <v>169</v>
      </c>
      <c r="B373" s="275"/>
      <c r="C373" s="275"/>
      <c r="D373" s="275"/>
      <c r="E373" s="275"/>
      <c r="F373" s="275"/>
      <c r="G373" s="275"/>
      <c r="H373" s="275"/>
      <c r="I373" s="275"/>
      <c r="J373" s="275"/>
      <c r="K373" s="275"/>
      <c r="L373" s="275"/>
      <c r="M373" s="275"/>
      <c r="N373" s="276"/>
      <c r="O373" s="166"/>
    </row>
    <row r="374" spans="1:15" ht="12.75" customHeight="1" x14ac:dyDescent="0.2">
      <c r="A374" s="277"/>
      <c r="B374" s="278"/>
      <c r="C374" s="278"/>
      <c r="D374" s="278"/>
      <c r="E374" s="278"/>
      <c r="F374" s="278"/>
      <c r="G374" s="278"/>
      <c r="H374" s="278"/>
      <c r="I374" s="278"/>
      <c r="J374" s="278"/>
      <c r="K374" s="278"/>
      <c r="L374" s="278"/>
      <c r="M374" s="278"/>
      <c r="N374" s="279"/>
      <c r="O374" s="166"/>
    </row>
    <row r="375" spans="1:15" ht="12.75" customHeight="1" x14ac:dyDescent="0.2">
      <c r="A375" s="75"/>
      <c r="B375" s="75"/>
      <c r="C375" s="75"/>
      <c r="D375" s="75"/>
      <c r="E375" s="75"/>
      <c r="F375" s="75"/>
      <c r="G375" s="75"/>
      <c r="H375" s="75"/>
      <c r="I375" s="75"/>
      <c r="J375" s="75"/>
      <c r="K375" s="75"/>
      <c r="L375" s="75"/>
      <c r="M375" s="75"/>
      <c r="N375" s="75"/>
    </row>
    <row r="376" spans="1:15" ht="12.75" customHeight="1" x14ac:dyDescent="0.3">
      <c r="A376" s="79" t="s">
        <v>621</v>
      </c>
      <c r="B376" s="80" t="str">
        <f>A373</f>
        <v>RELLENO CON MATERIAL SELECCIONADO DE LA EXCAVACIÓN, COMPACTADO CON EQUIPO MECÁNICO EN CAPAS DE 0,20 m (INCLUYE EQUIPO, HERRAMIENTA MENOR Y MANO DE OBRA)</v>
      </c>
      <c r="C376" s="81" t="s">
        <v>916</v>
      </c>
      <c r="D376" s="82" t="s">
        <v>258</v>
      </c>
      <c r="E376" s="83" t="s">
        <v>445</v>
      </c>
      <c r="F376" s="234">
        <f>(H376+J376+L376+N376)*1.3</f>
        <v>26524.081196363637</v>
      </c>
      <c r="G376" s="83" t="s">
        <v>607</v>
      </c>
      <c r="H376" s="86">
        <f>M394</f>
        <v>8031.7621818181815</v>
      </c>
      <c r="I376" s="83" t="s">
        <v>918</v>
      </c>
      <c r="J376" s="86">
        <f>M385</f>
        <v>0</v>
      </c>
      <c r="K376" s="83" t="s">
        <v>609</v>
      </c>
      <c r="L376" s="86">
        <f>M403</f>
        <v>401.58810909090909</v>
      </c>
      <c r="M376" s="83" t="s">
        <v>610</v>
      </c>
      <c r="N376" s="86">
        <f>M412</f>
        <v>11969.789090909091</v>
      </c>
    </row>
    <row r="377" spans="1:15" ht="12.75" customHeight="1" x14ac:dyDescent="0.25">
      <c r="A377" s="87"/>
      <c r="B377" s="87"/>
      <c r="C377" s="87"/>
      <c r="D377" s="87"/>
      <c r="E377" s="87"/>
      <c r="F377" s="87"/>
      <c r="G377" s="87"/>
      <c r="J377" s="87"/>
      <c r="K377" s="215" t="s">
        <v>3217</v>
      </c>
      <c r="L377" s="215">
        <f>+F376*presup!$O$5</f>
        <v>34481.305555272731</v>
      </c>
      <c r="M377" s="87"/>
      <c r="N377" s="87"/>
    </row>
    <row r="378" spans="1:15" ht="12.75" customHeight="1" x14ac:dyDescent="0.2">
      <c r="A378" s="398" t="s">
        <v>919</v>
      </c>
      <c r="B378" s="271"/>
      <c r="C378" s="271"/>
      <c r="D378" s="271"/>
      <c r="E378" s="271"/>
      <c r="F378" s="271"/>
      <c r="G378" s="271"/>
      <c r="H378" s="271"/>
      <c r="I378" s="271"/>
      <c r="J378" s="271"/>
      <c r="K378" s="271"/>
      <c r="L378" s="271"/>
      <c r="M378" s="271"/>
      <c r="N378" s="273"/>
    </row>
    <row r="379" spans="1:15" ht="12.75" customHeight="1" x14ac:dyDescent="0.2">
      <c r="A379" s="396" t="s">
        <v>76</v>
      </c>
      <c r="B379" s="271"/>
      <c r="C379" s="271"/>
      <c r="D379" s="271"/>
      <c r="E379" s="271"/>
      <c r="F379" s="271"/>
      <c r="G379" s="273"/>
      <c r="H379" s="88" t="s">
        <v>77</v>
      </c>
      <c r="I379" s="399" t="s">
        <v>920</v>
      </c>
      <c r="J379" s="273"/>
      <c r="K379" s="399" t="s">
        <v>453</v>
      </c>
      <c r="L379" s="273"/>
      <c r="M379" s="399" t="s">
        <v>921</v>
      </c>
      <c r="N379" s="273"/>
    </row>
    <row r="380" spans="1:15" ht="12.75" customHeight="1" x14ac:dyDescent="0.2">
      <c r="A380" s="400"/>
      <c r="B380" s="271"/>
      <c r="C380" s="271"/>
      <c r="D380" s="271"/>
      <c r="E380" s="271"/>
      <c r="F380" s="271"/>
      <c r="G380" s="273"/>
      <c r="H380" s="29" t="str">
        <f>IF(A380="","",VLOOKUP(A380,AA_Materiales,7,FALSE))</f>
        <v/>
      </c>
      <c r="I380" s="394" t="str">
        <f>IF(A380="","",VLOOKUP(A380,AA_Materiales,8,FALSE))</f>
        <v/>
      </c>
      <c r="J380" s="273"/>
      <c r="K380" s="395"/>
      <c r="L380" s="273"/>
      <c r="M380" s="394" t="str">
        <f t="shared" ref="M380:M384" si="43">IF(A380="","",I380*K380)</f>
        <v/>
      </c>
      <c r="N380" s="273"/>
    </row>
    <row r="381" spans="1:15" ht="12.75" customHeight="1" x14ac:dyDescent="0.2">
      <c r="A381" s="400"/>
      <c r="B381" s="271"/>
      <c r="C381" s="271"/>
      <c r="D381" s="271"/>
      <c r="E381" s="271"/>
      <c r="F381" s="271"/>
      <c r="G381" s="273"/>
      <c r="H381" s="29" t="str">
        <f>IF(A381="","",VLOOKUP(A381,AA_Materiales,7,FALSE))</f>
        <v/>
      </c>
      <c r="I381" s="394" t="str">
        <f>IF(A381="","",VLOOKUP(A381,AA_Materiales,8,FALSE))</f>
        <v/>
      </c>
      <c r="J381" s="273"/>
      <c r="K381" s="395"/>
      <c r="L381" s="273"/>
      <c r="M381" s="394" t="str">
        <f t="shared" si="43"/>
        <v/>
      </c>
      <c r="N381" s="273"/>
    </row>
    <row r="382" spans="1:15" ht="12.75" customHeight="1" x14ac:dyDescent="0.2">
      <c r="A382" s="400"/>
      <c r="B382" s="271"/>
      <c r="C382" s="271"/>
      <c r="D382" s="271"/>
      <c r="E382" s="271"/>
      <c r="F382" s="271"/>
      <c r="G382" s="273"/>
      <c r="H382" s="29" t="str">
        <f>IF(A382="","",VLOOKUP(A382,AA_Materiales,7,FALSE))</f>
        <v/>
      </c>
      <c r="I382" s="394" t="str">
        <f>IF(A382="","",VLOOKUP(A382,AA_Materiales,8,FALSE))</f>
        <v/>
      </c>
      <c r="J382" s="273"/>
      <c r="K382" s="395"/>
      <c r="L382" s="273"/>
      <c r="M382" s="394" t="str">
        <f t="shared" si="43"/>
        <v/>
      </c>
      <c r="N382" s="273"/>
    </row>
    <row r="383" spans="1:15" ht="12.75" customHeight="1" x14ac:dyDescent="0.2">
      <c r="A383" s="400"/>
      <c r="B383" s="271"/>
      <c r="C383" s="271"/>
      <c r="D383" s="271"/>
      <c r="E383" s="271"/>
      <c r="F383" s="271"/>
      <c r="G383" s="273"/>
      <c r="H383" s="29" t="str">
        <f>IF(A383="","",VLOOKUP(A383,AA_Materiales,7,FALSE))</f>
        <v/>
      </c>
      <c r="I383" s="394" t="str">
        <f>IF(A383="","",VLOOKUP(A383,AA_Materiales,8,FALSE))</f>
        <v/>
      </c>
      <c r="J383" s="273"/>
      <c r="K383" s="395"/>
      <c r="L383" s="273"/>
      <c r="M383" s="394" t="str">
        <f t="shared" si="43"/>
        <v/>
      </c>
      <c r="N383" s="273"/>
    </row>
    <row r="384" spans="1:15" ht="12.75" customHeight="1" x14ac:dyDescent="0.2">
      <c r="A384" s="400"/>
      <c r="B384" s="271"/>
      <c r="C384" s="271"/>
      <c r="D384" s="271"/>
      <c r="E384" s="271"/>
      <c r="F384" s="271"/>
      <c r="G384" s="273"/>
      <c r="H384" s="29" t="str">
        <f>IF(A384="","",VLOOKUP(A384,AA_Materiales,7,FALSE))</f>
        <v/>
      </c>
      <c r="I384" s="394" t="str">
        <f>IF(A384="","",VLOOKUP(A384,AA_Materiales,8,FALSE))</f>
        <v/>
      </c>
      <c r="J384" s="273"/>
      <c r="K384" s="395"/>
      <c r="L384" s="273"/>
      <c r="M384" s="394" t="str">
        <f t="shared" si="43"/>
        <v/>
      </c>
      <c r="N384" s="273"/>
    </row>
    <row r="385" spans="1:14" ht="12.75" customHeight="1" x14ac:dyDescent="0.25">
      <c r="A385" s="4"/>
      <c r="B385" s="4"/>
      <c r="C385" s="4"/>
      <c r="D385" s="4"/>
      <c r="E385" s="4"/>
      <c r="F385" s="4"/>
      <c r="G385" s="4"/>
      <c r="H385" s="4"/>
      <c r="I385" s="4"/>
      <c r="J385" s="4"/>
      <c r="K385" s="396" t="s">
        <v>444</v>
      </c>
      <c r="L385" s="273"/>
      <c r="M385" s="394">
        <f>SUM(M380:N384)</f>
        <v>0</v>
      </c>
      <c r="N385" s="273"/>
    </row>
    <row r="386" spans="1:14" ht="12.75" customHeight="1" x14ac:dyDescent="0.25">
      <c r="A386" s="4"/>
      <c r="B386" s="4"/>
      <c r="C386" s="4"/>
      <c r="D386" s="4"/>
      <c r="E386" s="4"/>
      <c r="F386" s="4"/>
      <c r="G386" s="4"/>
      <c r="H386" s="4"/>
      <c r="I386" s="4"/>
      <c r="J386" s="4"/>
      <c r="K386" s="4"/>
      <c r="L386" s="4"/>
      <c r="M386" s="4"/>
      <c r="N386" s="4"/>
    </row>
    <row r="387" spans="1:14" ht="12.75" customHeight="1" x14ac:dyDescent="0.2">
      <c r="A387" s="398" t="s">
        <v>926</v>
      </c>
      <c r="B387" s="271"/>
      <c r="C387" s="271"/>
      <c r="D387" s="271"/>
      <c r="E387" s="271"/>
      <c r="F387" s="271"/>
      <c r="G387" s="271"/>
      <c r="H387" s="271"/>
      <c r="I387" s="271"/>
      <c r="J387" s="271"/>
      <c r="K387" s="271"/>
      <c r="L387" s="271"/>
      <c r="M387" s="271"/>
      <c r="N387" s="273"/>
    </row>
    <row r="388" spans="1:14" ht="12.75" customHeight="1" x14ac:dyDescent="0.2">
      <c r="A388" s="396" t="s">
        <v>76</v>
      </c>
      <c r="B388" s="271"/>
      <c r="C388" s="271"/>
      <c r="D388" s="271"/>
      <c r="E388" s="271"/>
      <c r="F388" s="271"/>
      <c r="G388" s="273"/>
      <c r="H388" s="88" t="s">
        <v>77</v>
      </c>
      <c r="I388" s="399" t="s">
        <v>920</v>
      </c>
      <c r="J388" s="273"/>
      <c r="K388" s="399" t="s">
        <v>453</v>
      </c>
      <c r="L388" s="273"/>
      <c r="M388" s="399" t="s">
        <v>921</v>
      </c>
      <c r="N388" s="273"/>
    </row>
    <row r="389" spans="1:14" ht="12.75" customHeight="1" x14ac:dyDescent="0.2">
      <c r="A389" s="400" t="s">
        <v>927</v>
      </c>
      <c r="B389" s="271"/>
      <c r="C389" s="271"/>
      <c r="D389" s="271"/>
      <c r="E389" s="271"/>
      <c r="F389" s="271"/>
      <c r="G389" s="273"/>
      <c r="H389" s="29" t="str">
        <f>IF(A389="","",VLOOKUP(A389,AA_Equipos,7,FALSE))</f>
        <v>% M.O.</v>
      </c>
      <c r="I389" s="394">
        <f>M412</f>
        <v>11969.789090909091</v>
      </c>
      <c r="J389" s="273"/>
      <c r="K389" s="404">
        <v>0.05</v>
      </c>
      <c r="L389" s="273"/>
      <c r="M389" s="394">
        <f t="shared" ref="M389:M393" si="44">IF(A389="","",I389*K389)</f>
        <v>598.48945454545458</v>
      </c>
      <c r="N389" s="273"/>
    </row>
    <row r="390" spans="1:14" ht="12.75" customHeight="1" x14ac:dyDescent="0.2">
      <c r="A390" s="403" t="s">
        <v>952</v>
      </c>
      <c r="B390" s="271"/>
      <c r="C390" s="271"/>
      <c r="D390" s="271"/>
      <c r="E390" s="271"/>
      <c r="F390" s="271"/>
      <c r="G390" s="273"/>
      <c r="H390" s="29" t="str">
        <f>IF(A390="","",VLOOKUP(A390,AA_Equipos,7,FALSE))</f>
        <v>Dia</v>
      </c>
      <c r="I390" s="394">
        <f>IF(A390="","",VLOOKUP(A390,AA_Equipos,8,FALSE))</f>
        <v>81766</v>
      </c>
      <c r="J390" s="273"/>
      <c r="K390" s="402">
        <v>9.0909090909090912E-2</v>
      </c>
      <c r="L390" s="273"/>
      <c r="M390" s="394">
        <f t="shared" si="44"/>
        <v>7433.272727272727</v>
      </c>
      <c r="N390" s="273"/>
    </row>
    <row r="391" spans="1:14" ht="12.75" customHeight="1" x14ac:dyDescent="0.2">
      <c r="A391" s="400"/>
      <c r="B391" s="271"/>
      <c r="C391" s="271"/>
      <c r="D391" s="271"/>
      <c r="E391" s="271"/>
      <c r="F391" s="271"/>
      <c r="G391" s="273"/>
      <c r="H391" s="29" t="str">
        <f>IF(A391="","",VLOOKUP(A391,AA_Equipos,7,FALSE))</f>
        <v/>
      </c>
      <c r="I391" s="394" t="str">
        <f>IF(A391="","",VLOOKUP(A391,AA_Equipos,8,FALSE))</f>
        <v/>
      </c>
      <c r="J391" s="273"/>
      <c r="K391" s="401"/>
      <c r="L391" s="273"/>
      <c r="M391" s="394" t="str">
        <f t="shared" si="44"/>
        <v/>
      </c>
      <c r="N391" s="273"/>
    </row>
    <row r="392" spans="1:14" ht="12.75" customHeight="1" x14ac:dyDescent="0.2">
      <c r="A392" s="400"/>
      <c r="B392" s="271"/>
      <c r="C392" s="271"/>
      <c r="D392" s="271"/>
      <c r="E392" s="271"/>
      <c r="F392" s="271"/>
      <c r="G392" s="273"/>
      <c r="H392" s="29" t="str">
        <f>IF(A392="","",VLOOKUP(A392,AA_Equipos,7,FALSE))</f>
        <v/>
      </c>
      <c r="I392" s="394" t="str">
        <f>IF(A392="","",VLOOKUP(A392,AA_Equipos,8,FALSE))</f>
        <v/>
      </c>
      <c r="J392" s="273"/>
      <c r="K392" s="395"/>
      <c r="L392" s="273"/>
      <c r="M392" s="394" t="str">
        <f t="shared" si="44"/>
        <v/>
      </c>
      <c r="N392" s="273"/>
    </row>
    <row r="393" spans="1:14" ht="12.75" customHeight="1" x14ac:dyDescent="0.2">
      <c r="A393" s="400"/>
      <c r="B393" s="271"/>
      <c r="C393" s="271"/>
      <c r="D393" s="271"/>
      <c r="E393" s="271"/>
      <c r="F393" s="271"/>
      <c r="G393" s="273"/>
      <c r="H393" s="29" t="str">
        <f>IF(A393="","",VLOOKUP(A393,AA_Equipos,7,FALSE))</f>
        <v/>
      </c>
      <c r="I393" s="394" t="str">
        <f>IF(A393="","",VLOOKUP(A393,AA_Equipos,8,FALSE))</f>
        <v/>
      </c>
      <c r="J393" s="273"/>
      <c r="K393" s="395"/>
      <c r="L393" s="273"/>
      <c r="M393" s="394" t="str">
        <f t="shared" si="44"/>
        <v/>
      </c>
      <c r="N393" s="273"/>
    </row>
    <row r="394" spans="1:14" ht="12.75" customHeight="1" x14ac:dyDescent="0.25">
      <c r="A394" s="4"/>
      <c r="B394" s="4"/>
      <c r="C394" s="4"/>
      <c r="D394" s="4"/>
      <c r="E394" s="4"/>
      <c r="F394" s="4"/>
      <c r="G394" s="4"/>
      <c r="H394" s="4"/>
      <c r="I394" s="4"/>
      <c r="J394" s="4"/>
      <c r="K394" s="396" t="s">
        <v>444</v>
      </c>
      <c r="L394" s="273"/>
      <c r="M394" s="394">
        <f>SUM(M389:N393)</f>
        <v>8031.7621818181815</v>
      </c>
      <c r="N394" s="273"/>
    </row>
    <row r="395" spans="1:14" ht="12.75" customHeight="1" x14ac:dyDescent="0.25">
      <c r="A395" s="4"/>
      <c r="B395" s="4"/>
      <c r="C395" s="4"/>
      <c r="D395" s="4"/>
      <c r="E395" s="4"/>
      <c r="F395" s="4"/>
      <c r="G395" s="4"/>
      <c r="H395" s="4"/>
      <c r="I395" s="4"/>
      <c r="J395" s="4"/>
      <c r="K395" s="4"/>
      <c r="L395" s="4"/>
      <c r="M395" s="4"/>
      <c r="N395" s="4"/>
    </row>
    <row r="396" spans="1:14" ht="12.75" customHeight="1" x14ac:dyDescent="0.2">
      <c r="A396" s="398" t="s">
        <v>929</v>
      </c>
      <c r="B396" s="271"/>
      <c r="C396" s="271"/>
      <c r="D396" s="271"/>
      <c r="E396" s="271"/>
      <c r="F396" s="271"/>
      <c r="G396" s="271"/>
      <c r="H396" s="271"/>
      <c r="I396" s="271"/>
      <c r="J396" s="271"/>
      <c r="K396" s="271"/>
      <c r="L396" s="271"/>
      <c r="M396" s="271"/>
      <c r="N396" s="273"/>
    </row>
    <row r="397" spans="1:14" ht="12.75" customHeight="1" x14ac:dyDescent="0.2">
      <c r="A397" s="396" t="s">
        <v>76</v>
      </c>
      <c r="B397" s="271"/>
      <c r="C397" s="271"/>
      <c r="D397" s="271"/>
      <c r="E397" s="271"/>
      <c r="F397" s="271"/>
      <c r="G397" s="273"/>
      <c r="H397" s="88" t="s">
        <v>77</v>
      </c>
      <c r="I397" s="399" t="s">
        <v>920</v>
      </c>
      <c r="J397" s="273"/>
      <c r="K397" s="399" t="s">
        <v>453</v>
      </c>
      <c r="L397" s="273"/>
      <c r="M397" s="399" t="s">
        <v>921</v>
      </c>
      <c r="N397" s="273"/>
    </row>
    <row r="398" spans="1:14" ht="12.75" customHeight="1" x14ac:dyDescent="0.2">
      <c r="A398" s="400" t="s">
        <v>943</v>
      </c>
      <c r="B398" s="271"/>
      <c r="C398" s="271"/>
      <c r="D398" s="271"/>
      <c r="E398" s="271"/>
      <c r="F398" s="271"/>
      <c r="G398" s="273"/>
      <c r="H398" s="29" t="s">
        <v>944</v>
      </c>
      <c r="I398" s="394">
        <f>+M394</f>
        <v>8031.7621818181815</v>
      </c>
      <c r="J398" s="273"/>
      <c r="K398" s="404">
        <v>0.05</v>
      </c>
      <c r="L398" s="273"/>
      <c r="M398" s="394">
        <f t="shared" ref="M398:M402" si="45">IF(A398="","",I398*K398)</f>
        <v>401.58810909090909</v>
      </c>
      <c r="N398" s="273"/>
    </row>
    <row r="399" spans="1:14" ht="12.75" customHeight="1" x14ac:dyDescent="0.2">
      <c r="A399" s="403"/>
      <c r="B399" s="271"/>
      <c r="C399" s="271"/>
      <c r="D399" s="271"/>
      <c r="E399" s="271"/>
      <c r="F399" s="271"/>
      <c r="G399" s="273"/>
      <c r="H399" s="29"/>
      <c r="I399" s="394"/>
      <c r="J399" s="273"/>
      <c r="K399" s="404"/>
      <c r="L399" s="273"/>
      <c r="M399" s="394" t="str">
        <f t="shared" si="45"/>
        <v/>
      </c>
      <c r="N399" s="273"/>
    </row>
    <row r="400" spans="1:14" ht="12.75" customHeight="1" x14ac:dyDescent="0.2">
      <c r="A400" s="400"/>
      <c r="B400" s="271"/>
      <c r="C400" s="271"/>
      <c r="D400" s="271"/>
      <c r="E400" s="271"/>
      <c r="F400" s="271"/>
      <c r="G400" s="273"/>
      <c r="H400" s="29"/>
      <c r="I400" s="394"/>
      <c r="J400" s="273"/>
      <c r="K400" s="395"/>
      <c r="L400" s="273"/>
      <c r="M400" s="394" t="str">
        <f t="shared" si="45"/>
        <v/>
      </c>
      <c r="N400" s="273"/>
    </row>
    <row r="401" spans="1:15" ht="12.75" customHeight="1" x14ac:dyDescent="0.2">
      <c r="A401" s="400"/>
      <c r="B401" s="271"/>
      <c r="C401" s="271"/>
      <c r="D401" s="271"/>
      <c r="E401" s="271"/>
      <c r="F401" s="271"/>
      <c r="G401" s="273"/>
      <c r="H401" s="29"/>
      <c r="I401" s="394"/>
      <c r="J401" s="273"/>
      <c r="K401" s="395"/>
      <c r="L401" s="273"/>
      <c r="M401" s="394" t="str">
        <f t="shared" si="45"/>
        <v/>
      </c>
      <c r="N401" s="273"/>
    </row>
    <row r="402" spans="1:15" ht="12.75" customHeight="1" x14ac:dyDescent="0.2">
      <c r="A402" s="400"/>
      <c r="B402" s="271"/>
      <c r="C402" s="271"/>
      <c r="D402" s="271"/>
      <c r="E402" s="271"/>
      <c r="F402" s="271"/>
      <c r="G402" s="273"/>
      <c r="H402" s="29"/>
      <c r="I402" s="394"/>
      <c r="J402" s="273"/>
      <c r="K402" s="395"/>
      <c r="L402" s="273"/>
      <c r="M402" s="394" t="str">
        <f t="shared" si="45"/>
        <v/>
      </c>
      <c r="N402" s="273"/>
    </row>
    <row r="403" spans="1:15" ht="12.75" customHeight="1" x14ac:dyDescent="0.25">
      <c r="A403" s="4"/>
      <c r="B403" s="4"/>
      <c r="C403" s="4"/>
      <c r="D403" s="4"/>
      <c r="E403" s="4"/>
      <c r="F403" s="4"/>
      <c r="G403" s="4"/>
      <c r="H403" s="4"/>
      <c r="I403" s="4"/>
      <c r="J403" s="4"/>
      <c r="K403" s="396" t="s">
        <v>444</v>
      </c>
      <c r="L403" s="273"/>
      <c r="M403" s="394">
        <f>SUM(M398:N402)</f>
        <v>401.58810909090909</v>
      </c>
      <c r="N403" s="273"/>
    </row>
    <row r="404" spans="1:15" ht="12.75" customHeight="1" x14ac:dyDescent="0.25">
      <c r="A404" s="4"/>
      <c r="B404" s="4"/>
      <c r="C404" s="4"/>
      <c r="D404" s="4"/>
      <c r="E404" s="4"/>
      <c r="F404" s="4"/>
      <c r="G404" s="4"/>
      <c r="H404" s="4"/>
      <c r="I404" s="4"/>
      <c r="J404" s="4"/>
      <c r="K404" s="4"/>
      <c r="L404" s="4"/>
      <c r="M404" s="4"/>
      <c r="N404" s="4"/>
    </row>
    <row r="405" spans="1:15" ht="12.75" customHeight="1" x14ac:dyDescent="0.2">
      <c r="A405" s="398" t="s">
        <v>931</v>
      </c>
      <c r="B405" s="271"/>
      <c r="C405" s="271"/>
      <c r="D405" s="271"/>
      <c r="E405" s="271"/>
      <c r="F405" s="271"/>
      <c r="G405" s="271"/>
      <c r="H405" s="271"/>
      <c r="I405" s="271"/>
      <c r="J405" s="271"/>
      <c r="K405" s="271"/>
      <c r="L405" s="271"/>
      <c r="M405" s="271"/>
      <c r="N405" s="273"/>
    </row>
    <row r="406" spans="1:15" ht="12.75" customHeight="1" x14ac:dyDescent="0.2">
      <c r="A406" s="396" t="s">
        <v>76</v>
      </c>
      <c r="B406" s="271"/>
      <c r="C406" s="271"/>
      <c r="D406" s="271"/>
      <c r="E406" s="271"/>
      <c r="F406" s="271"/>
      <c r="G406" s="273"/>
      <c r="H406" s="88" t="s">
        <v>77</v>
      </c>
      <c r="I406" s="399" t="s">
        <v>920</v>
      </c>
      <c r="J406" s="273"/>
      <c r="K406" s="90" t="s">
        <v>514</v>
      </c>
      <c r="L406" s="91" t="s">
        <v>932</v>
      </c>
      <c r="M406" s="399" t="s">
        <v>921</v>
      </c>
      <c r="N406" s="273"/>
    </row>
    <row r="407" spans="1:15" ht="12.75" customHeight="1" x14ac:dyDescent="0.25">
      <c r="A407" s="393" t="s">
        <v>936</v>
      </c>
      <c r="B407" s="271"/>
      <c r="C407" s="271"/>
      <c r="D407" s="271"/>
      <c r="E407" s="271"/>
      <c r="F407" s="271"/>
      <c r="G407" s="273"/>
      <c r="H407" s="29" t="str">
        <f>IF(A407="","",VLOOKUP(A407,AA_Cuadrillas,4,FALSE))</f>
        <v>Cuadrilla</v>
      </c>
      <c r="I407" s="394">
        <f>IF(A407="","",VLOOKUP(A407,AA_Cuadrillas,5,FALSE))</f>
        <v>70036</v>
      </c>
      <c r="J407" s="273"/>
      <c r="K407" s="9">
        <f>IF(A407="","",F.P!$I$2)</f>
        <v>1.88</v>
      </c>
      <c r="L407" s="93">
        <v>9.0909090909090912E-2</v>
      </c>
      <c r="M407" s="394">
        <f t="shared" ref="M407:M411" si="46">IF(A407="","",I407*K407*L407)</f>
        <v>11969.789090909091</v>
      </c>
      <c r="N407" s="273"/>
    </row>
    <row r="408" spans="1:15" ht="12.75" customHeight="1" x14ac:dyDescent="0.25">
      <c r="A408" s="393"/>
      <c r="B408" s="271"/>
      <c r="C408" s="271"/>
      <c r="D408" s="271"/>
      <c r="E408" s="271"/>
      <c r="F408" s="271"/>
      <c r="G408" s="273"/>
      <c r="H408" s="29" t="str">
        <f>IF(A408="","",VLOOKUP(A408,AA_Cuadrillas,4,FALSE))</f>
        <v/>
      </c>
      <c r="I408" s="394" t="str">
        <f>IF(A408="","",VLOOKUP(A408,AA_Cuadrillas,5,FALSE))</f>
        <v/>
      </c>
      <c r="J408" s="273"/>
      <c r="K408" s="9" t="str">
        <f>IF(A408="","",F.P!$I$2)</f>
        <v/>
      </c>
      <c r="L408" s="9"/>
      <c r="M408" s="394" t="str">
        <f t="shared" si="46"/>
        <v/>
      </c>
      <c r="N408" s="273"/>
    </row>
    <row r="409" spans="1:15" ht="12.75" customHeight="1" x14ac:dyDescent="0.25">
      <c r="A409" s="393"/>
      <c r="B409" s="271"/>
      <c r="C409" s="271"/>
      <c r="D409" s="271"/>
      <c r="E409" s="271"/>
      <c r="F409" s="271"/>
      <c r="G409" s="273"/>
      <c r="H409" s="29" t="str">
        <f>IF(A409="","",VLOOKUP(A409,AA_Cuadrillas,4,FALSE))</f>
        <v/>
      </c>
      <c r="I409" s="394" t="str">
        <f>IF(A409="","",VLOOKUP(A409,AA_Cuadrillas,5,FALSE))</f>
        <v/>
      </c>
      <c r="J409" s="273"/>
      <c r="K409" s="9" t="str">
        <f>IF(A409="","",F.P!$I$2)</f>
        <v/>
      </c>
      <c r="L409" s="37"/>
      <c r="M409" s="394" t="str">
        <f t="shared" si="46"/>
        <v/>
      </c>
      <c r="N409" s="273"/>
    </row>
    <row r="410" spans="1:15" ht="12.75" customHeight="1" x14ac:dyDescent="0.25">
      <c r="A410" s="393"/>
      <c r="B410" s="271"/>
      <c r="C410" s="271"/>
      <c r="D410" s="271"/>
      <c r="E410" s="271"/>
      <c r="F410" s="271"/>
      <c r="G410" s="273"/>
      <c r="H410" s="29" t="str">
        <f>IF(A410="","",VLOOKUP(A410,AA_Cuadrillas,4,FALSE))</f>
        <v/>
      </c>
      <c r="I410" s="394" t="str">
        <f>IF(A410="","",VLOOKUP(A410,AA_Cuadrillas,5,FALSE))</f>
        <v/>
      </c>
      <c r="J410" s="273"/>
      <c r="K410" s="9" t="str">
        <f>IF(A410="","",F.P!$I$2)</f>
        <v/>
      </c>
      <c r="L410" s="37"/>
      <c r="M410" s="394" t="str">
        <f t="shared" si="46"/>
        <v/>
      </c>
      <c r="N410" s="273"/>
    </row>
    <row r="411" spans="1:15" ht="12.75" customHeight="1" x14ac:dyDescent="0.25">
      <c r="A411" s="393"/>
      <c r="B411" s="271"/>
      <c r="C411" s="271"/>
      <c r="D411" s="271"/>
      <c r="E411" s="271"/>
      <c r="F411" s="271"/>
      <c r="G411" s="273"/>
      <c r="H411" s="29" t="str">
        <f>IF(A411="","",VLOOKUP(A411,AA_Cuadrillas,4,FALSE))</f>
        <v/>
      </c>
      <c r="I411" s="394" t="str">
        <f>IF(A411="","",VLOOKUP(A411,AA_Cuadrillas,5,FALSE))</f>
        <v/>
      </c>
      <c r="J411" s="273"/>
      <c r="K411" s="9" t="str">
        <f>IF(A411="","",F.P!$I$2)</f>
        <v/>
      </c>
      <c r="L411" s="37"/>
      <c r="M411" s="394" t="str">
        <f t="shared" si="46"/>
        <v/>
      </c>
      <c r="N411" s="273"/>
    </row>
    <row r="412" spans="1:15" ht="12.75" customHeight="1" x14ac:dyDescent="0.25">
      <c r="A412" s="4"/>
      <c r="B412" s="4"/>
      <c r="C412" s="4"/>
      <c r="D412" s="4"/>
      <c r="E412" s="4"/>
      <c r="F412" s="4"/>
      <c r="G412" s="4"/>
      <c r="H412" s="4"/>
      <c r="I412" s="4"/>
      <c r="J412" s="4"/>
      <c r="K412" s="396" t="s">
        <v>444</v>
      </c>
      <c r="L412" s="273"/>
      <c r="M412" s="394">
        <f>SUM(M407:N411)</f>
        <v>11969.789090909091</v>
      </c>
      <c r="N412" s="273"/>
    </row>
    <row r="413" spans="1:15" ht="12.75" customHeight="1" x14ac:dyDescent="0.2"/>
    <row r="414" spans="1:15" ht="12.75" customHeight="1" x14ac:dyDescent="0.2">
      <c r="A414" s="407" t="s">
        <v>96</v>
      </c>
      <c r="B414" s="275"/>
      <c r="C414" s="275"/>
      <c r="D414" s="275"/>
      <c r="E414" s="275"/>
      <c r="F414" s="275"/>
      <c r="G414" s="275"/>
      <c r="H414" s="275"/>
      <c r="I414" s="275"/>
      <c r="J414" s="275"/>
      <c r="K414" s="275"/>
      <c r="L414" s="275"/>
      <c r="M414" s="275"/>
      <c r="N414" s="276"/>
      <c r="O414" s="166"/>
    </row>
    <row r="415" spans="1:15" ht="12.75" customHeight="1" x14ac:dyDescent="0.2">
      <c r="A415" s="277"/>
      <c r="B415" s="278"/>
      <c r="C415" s="278"/>
      <c r="D415" s="278"/>
      <c r="E415" s="278"/>
      <c r="F415" s="278"/>
      <c r="G415" s="278"/>
      <c r="H415" s="278"/>
      <c r="I415" s="278"/>
      <c r="J415" s="278"/>
      <c r="K415" s="278"/>
      <c r="L415" s="278"/>
      <c r="M415" s="278"/>
      <c r="N415" s="279"/>
      <c r="O415" s="166"/>
    </row>
    <row r="416" spans="1:15" ht="12.75" customHeight="1" x14ac:dyDescent="0.2">
      <c r="A416" s="75"/>
      <c r="B416" s="75"/>
      <c r="C416" s="75"/>
      <c r="D416" s="75"/>
      <c r="E416" s="75"/>
      <c r="F416" s="75"/>
      <c r="G416" s="75"/>
      <c r="H416" s="75"/>
      <c r="I416" s="75"/>
      <c r="J416" s="75"/>
      <c r="K416" s="75"/>
      <c r="L416" s="75"/>
      <c r="M416" s="75"/>
      <c r="N416" s="75"/>
    </row>
    <row r="417" spans="1:14" ht="12.75" customHeight="1" x14ac:dyDescent="0.3">
      <c r="A417" s="79" t="s">
        <v>622</v>
      </c>
      <c r="B417" s="80" t="str">
        <f>A414</f>
        <v>CONCRETO PARA SOLADO DE 2000 PSI A TODO COSTO (140 KG/CM2)</v>
      </c>
      <c r="C417" s="81" t="s">
        <v>916</v>
      </c>
      <c r="D417" s="82" t="s">
        <v>258</v>
      </c>
      <c r="E417" s="83" t="s">
        <v>445</v>
      </c>
      <c r="F417" s="234">
        <f>(H417+J417+L417+N417)*1.3</f>
        <v>805839.35208278813</v>
      </c>
      <c r="G417" s="83" t="s">
        <v>607</v>
      </c>
      <c r="H417" s="86">
        <f>M435</f>
        <v>32083.749777777775</v>
      </c>
      <c r="I417" s="83" t="s">
        <v>918</v>
      </c>
      <c r="J417" s="86">
        <f>M426</f>
        <v>309400</v>
      </c>
      <c r="K417" s="83" t="s">
        <v>609</v>
      </c>
      <c r="L417" s="86">
        <f>M444</f>
        <v>112588.79045684561</v>
      </c>
      <c r="M417" s="83" t="s">
        <v>610</v>
      </c>
      <c r="N417" s="86">
        <f>M453</f>
        <v>165803.88444444444</v>
      </c>
    </row>
    <row r="418" spans="1:14" ht="12.75" customHeight="1" x14ac:dyDescent="0.25">
      <c r="A418" s="87"/>
      <c r="B418" s="87"/>
      <c r="C418" s="87"/>
      <c r="D418" s="87"/>
      <c r="E418" s="87"/>
      <c r="F418" s="87">
        <f>F417/1.3</f>
        <v>619876.4246790678</v>
      </c>
      <c r="G418" s="87"/>
      <c r="J418" s="87"/>
      <c r="K418" s="215" t="s">
        <v>3217</v>
      </c>
      <c r="L418" s="215">
        <f>+F417*presup!$O$5</f>
        <v>1047591.1577076246</v>
      </c>
      <c r="M418" s="87"/>
      <c r="N418" s="87"/>
    </row>
    <row r="419" spans="1:14" ht="12.75" customHeight="1" x14ac:dyDescent="0.2">
      <c r="A419" s="398" t="s">
        <v>919</v>
      </c>
      <c r="B419" s="271"/>
      <c r="C419" s="271"/>
      <c r="D419" s="271"/>
      <c r="E419" s="271"/>
      <c r="F419" s="271"/>
      <c r="G419" s="271"/>
      <c r="H419" s="271"/>
      <c r="I419" s="271"/>
      <c r="J419" s="271"/>
      <c r="K419" s="271"/>
      <c r="L419" s="271"/>
      <c r="M419" s="271"/>
      <c r="N419" s="273"/>
    </row>
    <row r="420" spans="1:14" ht="12.75" customHeight="1" x14ac:dyDescent="0.2">
      <c r="A420" s="396" t="s">
        <v>76</v>
      </c>
      <c r="B420" s="271"/>
      <c r="C420" s="271"/>
      <c r="D420" s="271"/>
      <c r="E420" s="271"/>
      <c r="F420" s="271"/>
      <c r="G420" s="273"/>
      <c r="H420" s="88" t="s">
        <v>77</v>
      </c>
      <c r="I420" s="399" t="s">
        <v>920</v>
      </c>
      <c r="J420" s="273"/>
      <c r="K420" s="399" t="s">
        <v>453</v>
      </c>
      <c r="L420" s="273"/>
      <c r="M420" s="399" t="s">
        <v>921</v>
      </c>
      <c r="N420" s="273"/>
    </row>
    <row r="421" spans="1:14" ht="12.75" customHeight="1" x14ac:dyDescent="0.2">
      <c r="A421" s="400" t="s">
        <v>953</v>
      </c>
      <c r="B421" s="271"/>
      <c r="C421" s="271"/>
      <c r="D421" s="271"/>
      <c r="E421" s="271"/>
      <c r="F421" s="271"/>
      <c r="G421" s="273"/>
      <c r="H421" s="29" t="str">
        <f>IF(A421="","",VLOOKUP(A421,AA_Materiales,7,FALSE))</f>
        <v>Kg</v>
      </c>
      <c r="I421" s="394">
        <f>IF(A421="","",VLOOKUP(A421,AA_Materiales,8,FALSE))</f>
        <v>800</v>
      </c>
      <c r="J421" s="273"/>
      <c r="K421" s="395">
        <v>230</v>
      </c>
      <c r="L421" s="273"/>
      <c r="M421" s="394">
        <f t="shared" ref="M421:M425" si="47">IF(A421="","",I421*K421)</f>
        <v>184000</v>
      </c>
      <c r="N421" s="273"/>
    </row>
    <row r="422" spans="1:14" ht="12.75" customHeight="1" x14ac:dyDescent="0.2">
      <c r="A422" s="400" t="s">
        <v>954</v>
      </c>
      <c r="B422" s="271"/>
      <c r="C422" s="271"/>
      <c r="D422" s="271"/>
      <c r="E422" s="271"/>
      <c r="F422" s="271"/>
      <c r="G422" s="273"/>
      <c r="H422" s="29" t="str">
        <f>IF(A422="","",VLOOKUP(A422,AA_Materiales,7,FALSE))</f>
        <v>m3</v>
      </c>
      <c r="I422" s="394">
        <f>IF(A422="","",VLOOKUP(A422,AA_Materiales,8,FALSE))</f>
        <v>83000</v>
      </c>
      <c r="J422" s="273"/>
      <c r="K422" s="395">
        <v>0.6</v>
      </c>
      <c r="L422" s="273"/>
      <c r="M422" s="394">
        <f t="shared" si="47"/>
        <v>49800</v>
      </c>
      <c r="N422" s="273"/>
    </row>
    <row r="423" spans="1:14" ht="12.75" customHeight="1" x14ac:dyDescent="0.2">
      <c r="A423" s="400" t="s">
        <v>955</v>
      </c>
      <c r="B423" s="271"/>
      <c r="C423" s="271"/>
      <c r="D423" s="271"/>
      <c r="E423" s="271"/>
      <c r="F423" s="271"/>
      <c r="G423" s="273"/>
      <c r="H423" s="29" t="str">
        <f>IF(A423="","",VLOOKUP(A423,AA_Materiales,7,FALSE))</f>
        <v>m3</v>
      </c>
      <c r="I423" s="394">
        <f>IF(A423="","",VLOOKUP(A423,AA_Materiales,8,FALSE))</f>
        <v>90000</v>
      </c>
      <c r="J423" s="273"/>
      <c r="K423" s="395">
        <v>0.8</v>
      </c>
      <c r="L423" s="273"/>
      <c r="M423" s="394">
        <f t="shared" si="47"/>
        <v>72000</v>
      </c>
      <c r="N423" s="273"/>
    </row>
    <row r="424" spans="1:14" ht="12.75" customHeight="1" x14ac:dyDescent="0.2">
      <c r="A424" s="400" t="s">
        <v>956</v>
      </c>
      <c r="B424" s="271"/>
      <c r="C424" s="271"/>
      <c r="D424" s="271"/>
      <c r="E424" s="271"/>
      <c r="F424" s="271"/>
      <c r="G424" s="273"/>
      <c r="H424" s="29" t="str">
        <f>IF(A424="","",VLOOKUP(A424,AA_Materiales,7,FALSE))</f>
        <v>Lt</v>
      </c>
      <c r="I424" s="394">
        <f>IF(A424="","",VLOOKUP(A424,AA_Materiales,8,FALSE))</f>
        <v>20</v>
      </c>
      <c r="J424" s="273"/>
      <c r="K424" s="395">
        <v>180</v>
      </c>
      <c r="L424" s="273"/>
      <c r="M424" s="394">
        <f t="shared" si="47"/>
        <v>3600</v>
      </c>
      <c r="N424" s="273"/>
    </row>
    <row r="425" spans="1:14" ht="12.75" customHeight="1" x14ac:dyDescent="0.2">
      <c r="A425" s="400"/>
      <c r="B425" s="271"/>
      <c r="C425" s="271"/>
      <c r="D425" s="271"/>
      <c r="E425" s="271"/>
      <c r="F425" s="271"/>
      <c r="G425" s="273"/>
      <c r="H425" s="29" t="str">
        <f>IF(A425="","",VLOOKUP(A425,AA_Materiales,7,FALSE))</f>
        <v/>
      </c>
      <c r="I425" s="394" t="str">
        <f>IF(A425="","",VLOOKUP(A425,AA_Materiales,8,FALSE))</f>
        <v/>
      </c>
      <c r="J425" s="273"/>
      <c r="K425" s="395"/>
      <c r="L425" s="273"/>
      <c r="M425" s="394" t="str">
        <f t="shared" si="47"/>
        <v/>
      </c>
      <c r="N425" s="273"/>
    </row>
    <row r="426" spans="1:14" ht="12.75" customHeight="1" x14ac:dyDescent="0.25">
      <c r="A426" s="4"/>
      <c r="B426" s="4"/>
      <c r="C426" s="4"/>
      <c r="D426" s="4"/>
      <c r="E426" s="4"/>
      <c r="F426" s="4"/>
      <c r="G426" s="4"/>
      <c r="H426" s="4"/>
      <c r="I426" s="4"/>
      <c r="J426" s="4"/>
      <c r="K426" s="396" t="s">
        <v>444</v>
      </c>
      <c r="L426" s="273"/>
      <c r="M426" s="394">
        <f>SUM(M421:N425)</f>
        <v>309400</v>
      </c>
      <c r="N426" s="273"/>
    </row>
    <row r="427" spans="1:14" ht="12.75" customHeight="1" x14ac:dyDescent="0.25">
      <c r="A427" s="4"/>
      <c r="B427" s="4"/>
      <c r="C427" s="4"/>
      <c r="D427" s="4"/>
      <c r="E427" s="4"/>
      <c r="F427" s="4"/>
      <c r="G427" s="4"/>
      <c r="H427" s="4"/>
      <c r="I427" s="4"/>
      <c r="J427" s="4"/>
      <c r="K427" s="4"/>
      <c r="L427" s="4"/>
      <c r="M427" s="4"/>
      <c r="N427" s="4"/>
    </row>
    <row r="428" spans="1:14" ht="12.75" customHeight="1" x14ac:dyDescent="0.2">
      <c r="A428" s="398" t="s">
        <v>926</v>
      </c>
      <c r="B428" s="271"/>
      <c r="C428" s="271"/>
      <c r="D428" s="271"/>
      <c r="E428" s="271"/>
      <c r="F428" s="271"/>
      <c r="G428" s="271"/>
      <c r="H428" s="271"/>
      <c r="I428" s="271"/>
      <c r="J428" s="271"/>
      <c r="K428" s="271"/>
      <c r="L428" s="271"/>
      <c r="M428" s="271"/>
      <c r="N428" s="273"/>
    </row>
    <row r="429" spans="1:14" ht="12.75" customHeight="1" x14ac:dyDescent="0.2">
      <c r="A429" s="396" t="s">
        <v>76</v>
      </c>
      <c r="B429" s="271"/>
      <c r="C429" s="271"/>
      <c r="D429" s="271"/>
      <c r="E429" s="271"/>
      <c r="F429" s="271"/>
      <c r="G429" s="273"/>
      <c r="H429" s="88" t="s">
        <v>77</v>
      </c>
      <c r="I429" s="399" t="s">
        <v>920</v>
      </c>
      <c r="J429" s="273"/>
      <c r="K429" s="399" t="s">
        <v>453</v>
      </c>
      <c r="L429" s="273"/>
      <c r="M429" s="399" t="s">
        <v>921</v>
      </c>
      <c r="N429" s="273"/>
    </row>
    <row r="430" spans="1:14" ht="12.75" customHeight="1" x14ac:dyDescent="0.2">
      <c r="A430" s="400" t="s">
        <v>927</v>
      </c>
      <c r="B430" s="271"/>
      <c r="C430" s="271"/>
      <c r="D430" s="271"/>
      <c r="E430" s="271"/>
      <c r="F430" s="271"/>
      <c r="G430" s="273"/>
      <c r="H430" s="29" t="str">
        <f>IF(A430="","",VLOOKUP(A430,AA_Equipos,7,FALSE))</f>
        <v>% M.O.</v>
      </c>
      <c r="I430" s="394">
        <f>M453</f>
        <v>165803.88444444444</v>
      </c>
      <c r="J430" s="273"/>
      <c r="K430" s="404">
        <v>0.05</v>
      </c>
      <c r="L430" s="273"/>
      <c r="M430" s="394">
        <f t="shared" ref="M430:M434" si="48">IF(A430="","",I430*K430)</f>
        <v>8290.1942222222224</v>
      </c>
      <c r="N430" s="273"/>
    </row>
    <row r="431" spans="1:14" ht="12.75" customHeight="1" x14ac:dyDescent="0.2">
      <c r="A431" s="403" t="s">
        <v>957</v>
      </c>
      <c r="B431" s="271"/>
      <c r="C431" s="271"/>
      <c r="D431" s="271"/>
      <c r="E431" s="271"/>
      <c r="F431" s="271"/>
      <c r="G431" s="273"/>
      <c r="H431" s="29" t="str">
        <f>IF(A431="","",VLOOKUP(A431,AA_Equipos,7,FALSE))</f>
        <v>Dia</v>
      </c>
      <c r="I431" s="394">
        <f>IF(A431="","",VLOOKUP(A431,AA_Equipos,8,FALSE))</f>
        <v>107071</v>
      </c>
      <c r="J431" s="273"/>
      <c r="K431" s="402">
        <f>1/4.5</f>
        <v>0.22222222222222221</v>
      </c>
      <c r="L431" s="273"/>
      <c r="M431" s="394">
        <f t="shared" si="48"/>
        <v>23793.555555555555</v>
      </c>
      <c r="N431" s="273"/>
    </row>
    <row r="432" spans="1:14" ht="12.75" customHeight="1" x14ac:dyDescent="0.2">
      <c r="A432" s="400"/>
      <c r="B432" s="271"/>
      <c r="C432" s="271"/>
      <c r="D432" s="271"/>
      <c r="E432" s="271"/>
      <c r="F432" s="271"/>
      <c r="G432" s="273"/>
      <c r="H432" s="29" t="str">
        <f>IF(A432="","",VLOOKUP(A432,AA_Equipos,7,FALSE))</f>
        <v/>
      </c>
      <c r="I432" s="394" t="str">
        <f>IF(A432="","",VLOOKUP(A432,AA_Equipos,8,FALSE))</f>
        <v/>
      </c>
      <c r="J432" s="273"/>
      <c r="K432" s="395"/>
      <c r="L432" s="273"/>
      <c r="M432" s="394" t="str">
        <f t="shared" si="48"/>
        <v/>
      </c>
      <c r="N432" s="273"/>
    </row>
    <row r="433" spans="1:14" ht="12.75" customHeight="1" x14ac:dyDescent="0.2">
      <c r="A433" s="400"/>
      <c r="B433" s="271"/>
      <c r="C433" s="271"/>
      <c r="D433" s="271"/>
      <c r="E433" s="271"/>
      <c r="F433" s="271"/>
      <c r="G433" s="273"/>
      <c r="H433" s="29" t="str">
        <f>IF(A433="","",VLOOKUP(A433,AA_Equipos,7,FALSE))</f>
        <v/>
      </c>
      <c r="I433" s="394" t="str">
        <f>IF(A433="","",VLOOKUP(A433,AA_Equipos,8,FALSE))</f>
        <v/>
      </c>
      <c r="J433" s="273"/>
      <c r="K433" s="395"/>
      <c r="L433" s="273"/>
      <c r="M433" s="394" t="str">
        <f t="shared" si="48"/>
        <v/>
      </c>
      <c r="N433" s="273"/>
    </row>
    <row r="434" spans="1:14" ht="12.75" customHeight="1" x14ac:dyDescent="0.2">
      <c r="A434" s="400"/>
      <c r="B434" s="271"/>
      <c r="C434" s="271"/>
      <c r="D434" s="271"/>
      <c r="E434" s="271"/>
      <c r="F434" s="271"/>
      <c r="G434" s="273"/>
      <c r="H434" s="29" t="str">
        <f>IF(A434="","",VLOOKUP(A434,AA_Equipos,7,FALSE))</f>
        <v/>
      </c>
      <c r="I434" s="394" t="str">
        <f>IF(A434="","",VLOOKUP(A434,AA_Equipos,8,FALSE))</f>
        <v/>
      </c>
      <c r="J434" s="273"/>
      <c r="K434" s="395"/>
      <c r="L434" s="273"/>
      <c r="M434" s="394" t="str">
        <f t="shared" si="48"/>
        <v/>
      </c>
      <c r="N434" s="273"/>
    </row>
    <row r="435" spans="1:14" ht="12.75" customHeight="1" x14ac:dyDescent="0.25">
      <c r="A435" s="4"/>
      <c r="B435" s="4"/>
      <c r="C435" s="4"/>
      <c r="D435" s="4"/>
      <c r="E435" s="4"/>
      <c r="F435" s="4"/>
      <c r="G435" s="4"/>
      <c r="H435" s="4"/>
      <c r="I435" s="4"/>
      <c r="J435" s="4"/>
      <c r="K435" s="396" t="s">
        <v>444</v>
      </c>
      <c r="L435" s="273"/>
      <c r="M435" s="394">
        <f>SUM(M430:N434)</f>
        <v>32083.749777777775</v>
      </c>
      <c r="N435" s="273"/>
    </row>
    <row r="436" spans="1:14" ht="12.75" customHeight="1" x14ac:dyDescent="0.25">
      <c r="A436" s="4"/>
      <c r="B436" s="4"/>
      <c r="C436" s="4"/>
      <c r="D436" s="4"/>
      <c r="E436" s="4"/>
      <c r="F436" s="4"/>
      <c r="G436" s="4"/>
      <c r="H436" s="4"/>
      <c r="I436" s="4"/>
      <c r="J436" s="4"/>
      <c r="K436" s="4"/>
      <c r="L436" s="4"/>
      <c r="M436" s="4"/>
      <c r="N436" s="4"/>
    </row>
    <row r="437" spans="1:14" ht="12.75" customHeight="1" x14ac:dyDescent="0.2">
      <c r="A437" s="398" t="s">
        <v>929</v>
      </c>
      <c r="B437" s="271"/>
      <c r="C437" s="271"/>
      <c r="D437" s="271"/>
      <c r="E437" s="271"/>
      <c r="F437" s="271"/>
      <c r="G437" s="271"/>
      <c r="H437" s="271"/>
      <c r="I437" s="271"/>
      <c r="J437" s="271"/>
      <c r="K437" s="271"/>
      <c r="L437" s="271"/>
      <c r="M437" s="271"/>
      <c r="N437" s="273"/>
    </row>
    <row r="438" spans="1:14" ht="12.75" customHeight="1" x14ac:dyDescent="0.2">
      <c r="A438" s="396" t="s">
        <v>76</v>
      </c>
      <c r="B438" s="271"/>
      <c r="C438" s="271"/>
      <c r="D438" s="271"/>
      <c r="E438" s="271"/>
      <c r="F438" s="271"/>
      <c r="G438" s="273"/>
      <c r="H438" s="88" t="s">
        <v>77</v>
      </c>
      <c r="I438" s="399" t="s">
        <v>920</v>
      </c>
      <c r="J438" s="273"/>
      <c r="K438" s="399" t="s">
        <v>453</v>
      </c>
      <c r="L438" s="273"/>
      <c r="M438" s="399" t="s">
        <v>921</v>
      </c>
      <c r="N438" s="273"/>
    </row>
    <row r="439" spans="1:14" ht="12.75" customHeight="1" x14ac:dyDescent="0.2">
      <c r="A439" s="400" t="s">
        <v>958</v>
      </c>
      <c r="B439" s="271"/>
      <c r="C439" s="271"/>
      <c r="D439" s="271"/>
      <c r="E439" s="271"/>
      <c r="F439" s="271"/>
      <c r="G439" s="273"/>
      <c r="H439" s="29" t="s">
        <v>959</v>
      </c>
      <c r="I439" s="394">
        <f>+M435</f>
        <v>32083.749777777775</v>
      </c>
      <c r="J439" s="273"/>
      <c r="K439" s="404">
        <v>0.05</v>
      </c>
      <c r="L439" s="273"/>
      <c r="M439" s="394">
        <f t="shared" ref="M439:M443" si="49">IF(A439="","",I439*K439)</f>
        <v>1604.1874888888888</v>
      </c>
      <c r="N439" s="273"/>
    </row>
    <row r="440" spans="1:14" ht="12.75" customHeight="1" x14ac:dyDescent="0.2">
      <c r="A440" s="403" t="s">
        <v>3175</v>
      </c>
      <c r="B440" s="271"/>
      <c r="C440" s="271"/>
      <c r="D440" s="271"/>
      <c r="E440" s="271"/>
      <c r="F440" s="271"/>
      <c r="G440" s="273"/>
      <c r="H440" s="29" t="s">
        <v>961</v>
      </c>
      <c r="I440" s="394">
        <f>'precios '!J222</f>
        <v>2077.2367952644231</v>
      </c>
      <c r="J440" s="273"/>
      <c r="K440" s="402">
        <f>+Indice!L21</f>
        <v>49</v>
      </c>
      <c r="L440" s="273"/>
      <c r="M440" s="394">
        <f t="shared" si="49"/>
        <v>101784.60296795673</v>
      </c>
      <c r="N440" s="273"/>
    </row>
    <row r="441" spans="1:14" ht="12.75" customHeight="1" x14ac:dyDescent="0.2">
      <c r="A441" s="400" t="s">
        <v>3176</v>
      </c>
      <c r="B441" s="271"/>
      <c r="C441" s="271"/>
      <c r="D441" s="271"/>
      <c r="E441" s="271"/>
      <c r="F441" s="271"/>
      <c r="G441" s="273"/>
      <c r="H441" s="29" t="s">
        <v>24</v>
      </c>
      <c r="I441" s="394">
        <f>+M421</f>
        <v>184000</v>
      </c>
      <c r="J441" s="273"/>
      <c r="K441" s="404">
        <v>0.05</v>
      </c>
      <c r="L441" s="273"/>
      <c r="M441" s="394">
        <f t="shared" si="49"/>
        <v>9200</v>
      </c>
      <c r="N441" s="273"/>
    </row>
    <row r="442" spans="1:14" ht="12.75" customHeight="1" x14ac:dyDescent="0.2">
      <c r="A442" s="400"/>
      <c r="B442" s="271"/>
      <c r="C442" s="271"/>
      <c r="D442" s="271"/>
      <c r="E442" s="271"/>
      <c r="F442" s="271"/>
      <c r="G442" s="273"/>
      <c r="H442" s="29"/>
      <c r="I442" s="394"/>
      <c r="J442" s="273"/>
      <c r="K442" s="395"/>
      <c r="L442" s="273"/>
      <c r="M442" s="394" t="str">
        <f t="shared" si="49"/>
        <v/>
      </c>
      <c r="N442" s="273"/>
    </row>
    <row r="443" spans="1:14" ht="12.75" customHeight="1" x14ac:dyDescent="0.2">
      <c r="A443" s="400"/>
      <c r="B443" s="271"/>
      <c r="C443" s="271"/>
      <c r="D443" s="271"/>
      <c r="E443" s="271"/>
      <c r="F443" s="271"/>
      <c r="G443" s="273"/>
      <c r="H443" s="29"/>
      <c r="I443" s="394"/>
      <c r="J443" s="273"/>
      <c r="K443" s="395"/>
      <c r="L443" s="273"/>
      <c r="M443" s="394" t="str">
        <f t="shared" si="49"/>
        <v/>
      </c>
      <c r="N443" s="273"/>
    </row>
    <row r="444" spans="1:14" ht="12.75" customHeight="1" x14ac:dyDescent="0.25">
      <c r="A444" s="4"/>
      <c r="B444" s="4"/>
      <c r="C444" s="4"/>
      <c r="D444" s="4"/>
      <c r="E444" s="4"/>
      <c r="F444" s="4"/>
      <c r="G444" s="4"/>
      <c r="H444" s="4"/>
      <c r="I444" s="4"/>
      <c r="J444" s="4"/>
      <c r="K444" s="396" t="s">
        <v>444</v>
      </c>
      <c r="L444" s="273"/>
      <c r="M444" s="394">
        <f>SUM(M439:N443)</f>
        <v>112588.79045684561</v>
      </c>
      <c r="N444" s="273"/>
    </row>
    <row r="445" spans="1:14" ht="12.75" customHeight="1" x14ac:dyDescent="0.25">
      <c r="A445" s="4"/>
      <c r="B445" s="4"/>
      <c r="C445" s="4"/>
      <c r="D445" s="4"/>
      <c r="E445" s="4"/>
      <c r="F445" s="4"/>
      <c r="G445" s="4"/>
      <c r="H445" s="4"/>
      <c r="I445" s="4"/>
      <c r="J445" s="4"/>
      <c r="K445" s="4"/>
      <c r="L445" s="4"/>
      <c r="M445" s="4"/>
      <c r="N445" s="4"/>
    </row>
    <row r="446" spans="1:14" ht="12.75" customHeight="1" x14ac:dyDescent="0.2">
      <c r="A446" s="398" t="s">
        <v>931</v>
      </c>
      <c r="B446" s="271"/>
      <c r="C446" s="271"/>
      <c r="D446" s="271"/>
      <c r="E446" s="271"/>
      <c r="F446" s="271"/>
      <c r="G446" s="271"/>
      <c r="H446" s="271"/>
      <c r="I446" s="271"/>
      <c r="J446" s="271"/>
      <c r="K446" s="271"/>
      <c r="L446" s="271"/>
      <c r="M446" s="271"/>
      <c r="N446" s="273"/>
    </row>
    <row r="447" spans="1:14" ht="12.75" customHeight="1" x14ac:dyDescent="0.2">
      <c r="A447" s="396" t="s">
        <v>76</v>
      </c>
      <c r="B447" s="271"/>
      <c r="C447" s="271"/>
      <c r="D447" s="271"/>
      <c r="E447" s="271"/>
      <c r="F447" s="271"/>
      <c r="G447" s="273"/>
      <c r="H447" s="88" t="s">
        <v>77</v>
      </c>
      <c r="I447" s="399" t="s">
        <v>920</v>
      </c>
      <c r="J447" s="273"/>
      <c r="K447" s="90" t="s">
        <v>514</v>
      </c>
      <c r="L447" s="91" t="s">
        <v>932</v>
      </c>
      <c r="M447" s="399" t="s">
        <v>921</v>
      </c>
      <c r="N447" s="273"/>
    </row>
    <row r="448" spans="1:14" ht="12.75" customHeight="1" x14ac:dyDescent="0.25">
      <c r="A448" s="393" t="s">
        <v>962</v>
      </c>
      <c r="B448" s="271"/>
      <c r="C448" s="271"/>
      <c r="D448" s="271"/>
      <c r="E448" s="271"/>
      <c r="F448" s="271"/>
      <c r="G448" s="273"/>
      <c r="H448" s="29" t="str">
        <f>IF(A448="","",VLOOKUP(A448,AA_Cuadrillas,4,FALSE))</f>
        <v>Cuadrilla</v>
      </c>
      <c r="I448" s="394">
        <f>IF(A448="","",VLOOKUP(A448,AA_Cuadrillas,5,FALSE))</f>
        <v>396871</v>
      </c>
      <c r="J448" s="273"/>
      <c r="K448" s="9">
        <f>IF(A448="","",F.P!$I$2)</f>
        <v>1.88</v>
      </c>
      <c r="L448" s="93">
        <f>1/4.5</f>
        <v>0.22222222222222221</v>
      </c>
      <c r="M448" s="394">
        <f t="shared" ref="M448:M452" si="50">IF(A448="","",I448*K448*L448)</f>
        <v>165803.88444444444</v>
      </c>
      <c r="N448" s="273"/>
    </row>
    <row r="449" spans="1:15" ht="12.75" customHeight="1" x14ac:dyDescent="0.25">
      <c r="A449" s="393"/>
      <c r="B449" s="271"/>
      <c r="C449" s="271"/>
      <c r="D449" s="271"/>
      <c r="E449" s="271"/>
      <c r="F449" s="271"/>
      <c r="G449" s="273"/>
      <c r="H449" s="29" t="str">
        <f>IF(A449="","",VLOOKUP(A449,AA_Cuadrillas,4,FALSE))</f>
        <v/>
      </c>
      <c r="I449" s="394" t="str">
        <f>IF(A449="","",VLOOKUP(A449,AA_Cuadrillas,5,FALSE))</f>
        <v/>
      </c>
      <c r="J449" s="273"/>
      <c r="K449" s="9" t="str">
        <f>IF(A449="","",F.P!$I$2)</f>
        <v/>
      </c>
      <c r="L449" s="9"/>
      <c r="M449" s="394" t="str">
        <f t="shared" si="50"/>
        <v/>
      </c>
      <c r="N449" s="273"/>
    </row>
    <row r="450" spans="1:15" ht="12.75" customHeight="1" x14ac:dyDescent="0.25">
      <c r="A450" s="393"/>
      <c r="B450" s="271"/>
      <c r="C450" s="271"/>
      <c r="D450" s="271"/>
      <c r="E450" s="271"/>
      <c r="F450" s="271"/>
      <c r="G450" s="273"/>
      <c r="H450" s="29" t="str">
        <f>IF(A450="","",VLOOKUP(A450,AA_Cuadrillas,4,FALSE))</f>
        <v/>
      </c>
      <c r="I450" s="394" t="str">
        <f>IF(A450="","",VLOOKUP(A450,AA_Cuadrillas,5,FALSE))</f>
        <v/>
      </c>
      <c r="J450" s="273"/>
      <c r="K450" s="9" t="str">
        <f>IF(A450="","",F.P!$I$2)</f>
        <v/>
      </c>
      <c r="L450" s="37"/>
      <c r="M450" s="394" t="str">
        <f t="shared" si="50"/>
        <v/>
      </c>
      <c r="N450" s="273"/>
    </row>
    <row r="451" spans="1:15" ht="12.75" customHeight="1" x14ac:dyDescent="0.25">
      <c r="A451" s="393"/>
      <c r="B451" s="271"/>
      <c r="C451" s="271"/>
      <c r="D451" s="271"/>
      <c r="E451" s="271"/>
      <c r="F451" s="271"/>
      <c r="G451" s="273"/>
      <c r="H451" s="29" t="str">
        <f>IF(A451="","",VLOOKUP(A451,AA_Cuadrillas,4,FALSE))</f>
        <v/>
      </c>
      <c r="I451" s="394" t="str">
        <f>IF(A451="","",VLOOKUP(A451,AA_Cuadrillas,5,FALSE))</f>
        <v/>
      </c>
      <c r="J451" s="273"/>
      <c r="K451" s="9" t="str">
        <f>IF(A451="","",F.P!$I$2)</f>
        <v/>
      </c>
      <c r="L451" s="37"/>
      <c r="M451" s="394" t="str">
        <f t="shared" si="50"/>
        <v/>
      </c>
      <c r="N451" s="273"/>
    </row>
    <row r="452" spans="1:15" ht="12.75" customHeight="1" x14ac:dyDescent="0.25">
      <c r="A452" s="393"/>
      <c r="B452" s="271"/>
      <c r="C452" s="271"/>
      <c r="D452" s="271"/>
      <c r="E452" s="271"/>
      <c r="F452" s="271"/>
      <c r="G452" s="273"/>
      <c r="H452" s="29" t="str">
        <f>IF(A452="","",VLOOKUP(A452,AA_Cuadrillas,4,FALSE))</f>
        <v/>
      </c>
      <c r="I452" s="394" t="str">
        <f>IF(A452="","",VLOOKUP(A452,AA_Cuadrillas,5,FALSE))</f>
        <v/>
      </c>
      <c r="J452" s="273"/>
      <c r="K452" s="9" t="str">
        <f>IF(A452="","",F.P!$I$2)</f>
        <v/>
      </c>
      <c r="L452" s="37"/>
      <c r="M452" s="394" t="str">
        <f t="shared" si="50"/>
        <v/>
      </c>
      <c r="N452" s="273"/>
    </row>
    <row r="453" spans="1:15" ht="12.75" customHeight="1" x14ac:dyDescent="0.25">
      <c r="A453" s="4"/>
      <c r="B453" s="4"/>
      <c r="C453" s="4"/>
      <c r="D453" s="4"/>
      <c r="E453" s="4"/>
      <c r="F453" s="4"/>
      <c r="G453" s="4"/>
      <c r="H453" s="4"/>
      <c r="I453" s="4"/>
      <c r="J453" s="4"/>
      <c r="K453" s="396" t="s">
        <v>444</v>
      </c>
      <c r="L453" s="273"/>
      <c r="M453" s="394">
        <f>SUM(M448:N452)</f>
        <v>165803.88444444444</v>
      </c>
      <c r="N453" s="273"/>
    </row>
    <row r="454" spans="1:15" ht="12.75" customHeight="1" x14ac:dyDescent="0.2"/>
    <row r="455" spans="1:15" ht="12.75" customHeight="1" x14ac:dyDescent="0.2">
      <c r="A455" s="407" t="s">
        <v>98</v>
      </c>
      <c r="B455" s="275"/>
      <c r="C455" s="275"/>
      <c r="D455" s="275"/>
      <c r="E455" s="275"/>
      <c r="F455" s="275"/>
      <c r="G455" s="275"/>
      <c r="H455" s="275"/>
      <c r="I455" s="275"/>
      <c r="J455" s="275"/>
      <c r="K455" s="275"/>
      <c r="L455" s="275"/>
      <c r="M455" s="275"/>
      <c r="N455" s="276"/>
      <c r="O455" s="166"/>
    </row>
    <row r="456" spans="1:15" ht="12.75" customHeight="1" x14ac:dyDescent="0.2">
      <c r="A456" s="277"/>
      <c r="B456" s="278"/>
      <c r="C456" s="278"/>
      <c r="D456" s="278"/>
      <c r="E456" s="278"/>
      <c r="F456" s="278"/>
      <c r="G456" s="278"/>
      <c r="H456" s="278"/>
      <c r="I456" s="278"/>
      <c r="J456" s="278"/>
      <c r="K456" s="278"/>
      <c r="L456" s="278"/>
      <c r="M456" s="278"/>
      <c r="N456" s="279"/>
      <c r="O456" s="166"/>
    </row>
    <row r="457" spans="1:15" ht="12.75" customHeight="1" x14ac:dyDescent="0.2">
      <c r="A457" s="75"/>
      <c r="B457" s="75"/>
      <c r="C457" s="75"/>
      <c r="D457" s="75"/>
      <c r="E457" s="75"/>
      <c r="F457" s="75"/>
      <c r="G457" s="75"/>
      <c r="H457" s="75"/>
      <c r="I457" s="75"/>
      <c r="J457" s="75"/>
      <c r="K457" s="75"/>
      <c r="L457" s="75"/>
      <c r="M457" s="75"/>
      <c r="N457" s="75"/>
    </row>
    <row r="458" spans="1:15" ht="12.75" customHeight="1" x14ac:dyDescent="0.3">
      <c r="A458" s="79" t="s">
        <v>623</v>
      </c>
      <c r="B458" s="80" t="str">
        <f>A455</f>
        <v>CONCRETO DE 3000 PSI A TODO COSTO (210 KG/CM2)</v>
      </c>
      <c r="C458" s="81" t="s">
        <v>916</v>
      </c>
      <c r="D458" s="82" t="s">
        <v>258</v>
      </c>
      <c r="E458" s="83" t="s">
        <v>445</v>
      </c>
      <c r="F458" s="234">
        <f>(H458+J458+L458+N458)*1.3</f>
        <v>965054.12208278815</v>
      </c>
      <c r="G458" s="83" t="s">
        <v>607</v>
      </c>
      <c r="H458" s="86">
        <f>M479</f>
        <v>48031.749777777775</v>
      </c>
      <c r="I458" s="83" t="s">
        <v>918</v>
      </c>
      <c r="J458" s="86">
        <f>M470</f>
        <v>410065</v>
      </c>
      <c r="K458" s="83" t="s">
        <v>609</v>
      </c>
      <c r="L458" s="86">
        <f>M488</f>
        <v>118448.69045684562</v>
      </c>
      <c r="M458" s="83" t="s">
        <v>610</v>
      </c>
      <c r="N458" s="86">
        <f>M497</f>
        <v>165803.88444444444</v>
      </c>
      <c r="O458" s="221" t="s">
        <v>3245</v>
      </c>
    </row>
    <row r="459" spans="1:15" ht="12.75" customHeight="1" x14ac:dyDescent="0.25">
      <c r="A459" s="87"/>
      <c r="B459" s="87"/>
      <c r="C459" s="87"/>
      <c r="D459" s="87"/>
      <c r="E459" s="87"/>
      <c r="F459" s="87"/>
      <c r="G459" s="87"/>
      <c r="J459" s="87"/>
      <c r="K459" s="215" t="s">
        <v>3217</v>
      </c>
      <c r="L459" s="215">
        <f>+F458*presup!$O$5</f>
        <v>1254570.3587076247</v>
      </c>
      <c r="M459" s="87"/>
      <c r="N459" s="87"/>
    </row>
    <row r="460" spans="1:15" ht="12.75" customHeight="1" x14ac:dyDescent="0.2">
      <c r="A460" s="398" t="s">
        <v>919</v>
      </c>
      <c r="B460" s="271"/>
      <c r="C460" s="271"/>
      <c r="D460" s="271"/>
      <c r="E460" s="271"/>
      <c r="F460" s="271"/>
      <c r="G460" s="271"/>
      <c r="H460" s="271"/>
      <c r="I460" s="271"/>
      <c r="J460" s="271"/>
      <c r="K460" s="271"/>
      <c r="L460" s="271"/>
      <c r="M460" s="271"/>
      <c r="N460" s="273"/>
    </row>
    <row r="461" spans="1:15" ht="12.75" customHeight="1" x14ac:dyDescent="0.2">
      <c r="A461" s="396" t="s">
        <v>76</v>
      </c>
      <c r="B461" s="271"/>
      <c r="C461" s="271"/>
      <c r="D461" s="271"/>
      <c r="E461" s="271"/>
      <c r="F461" s="271"/>
      <c r="G461" s="273"/>
      <c r="H461" s="88" t="s">
        <v>77</v>
      </c>
      <c r="I461" s="399" t="s">
        <v>920</v>
      </c>
      <c r="J461" s="273"/>
      <c r="K461" s="399" t="s">
        <v>453</v>
      </c>
      <c r="L461" s="273"/>
      <c r="M461" s="399" t="s">
        <v>921</v>
      </c>
      <c r="N461" s="273"/>
    </row>
    <row r="462" spans="1:15" ht="12.75" customHeight="1" x14ac:dyDescent="0.2">
      <c r="A462" s="400" t="s">
        <v>953</v>
      </c>
      <c r="B462" s="271"/>
      <c r="C462" s="271"/>
      <c r="D462" s="271"/>
      <c r="E462" s="271"/>
      <c r="F462" s="271"/>
      <c r="G462" s="273"/>
      <c r="H462" s="29" t="str">
        <f t="shared" ref="H462:H469" si="51">IF(A462="","",VLOOKUP(A462,AA_Materiales,7,FALSE))</f>
        <v>Kg</v>
      </c>
      <c r="I462" s="394">
        <f t="shared" ref="I462:I469" si="52">IF(A462="","",VLOOKUP(A462,AA_Materiales,8,FALSE))</f>
        <v>800</v>
      </c>
      <c r="J462" s="273"/>
      <c r="K462" s="395">
        <v>350</v>
      </c>
      <c r="L462" s="273"/>
      <c r="M462" s="394">
        <f t="shared" ref="M462:M469" si="53">IF(A462="","",I462*K462)</f>
        <v>280000</v>
      </c>
      <c r="N462" s="273"/>
    </row>
    <row r="463" spans="1:15" ht="12.75" customHeight="1" x14ac:dyDescent="0.2">
      <c r="A463" s="400" t="s">
        <v>954</v>
      </c>
      <c r="B463" s="271"/>
      <c r="C463" s="271"/>
      <c r="D463" s="271"/>
      <c r="E463" s="271"/>
      <c r="F463" s="271"/>
      <c r="G463" s="273"/>
      <c r="H463" s="29" t="str">
        <f t="shared" si="51"/>
        <v>m3</v>
      </c>
      <c r="I463" s="394">
        <f t="shared" si="52"/>
        <v>83000</v>
      </c>
      <c r="J463" s="273"/>
      <c r="K463" s="401">
        <v>0.55500000000000005</v>
      </c>
      <c r="L463" s="273"/>
      <c r="M463" s="394">
        <f t="shared" si="53"/>
        <v>46065.000000000007</v>
      </c>
      <c r="N463" s="273"/>
    </row>
    <row r="464" spans="1:15" ht="12.75" customHeight="1" x14ac:dyDescent="0.2">
      <c r="A464" s="400" t="s">
        <v>955</v>
      </c>
      <c r="B464" s="271"/>
      <c r="C464" s="271"/>
      <c r="D464" s="271"/>
      <c r="E464" s="271"/>
      <c r="F464" s="271"/>
      <c r="G464" s="273"/>
      <c r="H464" s="29" t="str">
        <f t="shared" si="51"/>
        <v>m3</v>
      </c>
      <c r="I464" s="394">
        <f t="shared" si="52"/>
        <v>90000</v>
      </c>
      <c r="J464" s="273"/>
      <c r="K464" s="401">
        <v>0.83499999999999996</v>
      </c>
      <c r="L464" s="273"/>
      <c r="M464" s="394">
        <f t="shared" si="53"/>
        <v>75150</v>
      </c>
      <c r="N464" s="273"/>
    </row>
    <row r="465" spans="1:14" ht="12.75" customHeight="1" x14ac:dyDescent="0.2">
      <c r="A465" s="400" t="s">
        <v>956</v>
      </c>
      <c r="B465" s="271"/>
      <c r="C465" s="271"/>
      <c r="D465" s="271"/>
      <c r="E465" s="271"/>
      <c r="F465" s="271"/>
      <c r="G465" s="273"/>
      <c r="H465" s="29" t="str">
        <f t="shared" si="51"/>
        <v>Lt</v>
      </c>
      <c r="I465" s="394">
        <f t="shared" si="52"/>
        <v>20</v>
      </c>
      <c r="J465" s="273"/>
      <c r="K465" s="395">
        <v>180</v>
      </c>
      <c r="L465" s="273"/>
      <c r="M465" s="394">
        <f t="shared" si="53"/>
        <v>3600</v>
      </c>
      <c r="N465" s="273"/>
    </row>
    <row r="466" spans="1:14" ht="12.75" customHeight="1" x14ac:dyDescent="0.2">
      <c r="A466" s="400" t="s">
        <v>963</v>
      </c>
      <c r="B466" s="271"/>
      <c r="C466" s="271"/>
      <c r="D466" s="271"/>
      <c r="E466" s="271"/>
      <c r="F466" s="271"/>
      <c r="G466" s="273"/>
      <c r="H466" s="29" t="str">
        <f t="shared" si="51"/>
        <v>m2</v>
      </c>
      <c r="I466" s="394">
        <f t="shared" si="52"/>
        <v>8750</v>
      </c>
      <c r="J466" s="273"/>
      <c r="K466" s="395">
        <v>0.6</v>
      </c>
      <c r="L466" s="273"/>
      <c r="M466" s="394">
        <f t="shared" si="53"/>
        <v>5250</v>
      </c>
      <c r="N466" s="273"/>
    </row>
    <row r="467" spans="1:14" ht="12.75" customHeight="1" x14ac:dyDescent="0.2">
      <c r="A467" s="400"/>
      <c r="B467" s="271"/>
      <c r="C467" s="271"/>
      <c r="D467" s="271"/>
      <c r="E467" s="271"/>
      <c r="F467" s="271"/>
      <c r="G467" s="273"/>
      <c r="H467" s="29" t="str">
        <f t="shared" si="51"/>
        <v/>
      </c>
      <c r="I467" s="394" t="str">
        <f t="shared" si="52"/>
        <v/>
      </c>
      <c r="J467" s="273"/>
      <c r="K467" s="395"/>
      <c r="L467" s="273"/>
      <c r="M467" s="394" t="str">
        <f t="shared" si="53"/>
        <v/>
      </c>
      <c r="N467" s="273"/>
    </row>
    <row r="468" spans="1:14" ht="12.75" customHeight="1" x14ac:dyDescent="0.2">
      <c r="A468" s="400"/>
      <c r="B468" s="271"/>
      <c r="C468" s="271"/>
      <c r="D468" s="271"/>
      <c r="E468" s="271"/>
      <c r="F468" s="271"/>
      <c r="G468" s="273"/>
      <c r="H468" s="29" t="str">
        <f t="shared" si="51"/>
        <v/>
      </c>
      <c r="I468" s="394" t="str">
        <f t="shared" si="52"/>
        <v/>
      </c>
      <c r="J468" s="273"/>
      <c r="K468" s="395"/>
      <c r="L468" s="273"/>
      <c r="M468" s="394" t="str">
        <f t="shared" si="53"/>
        <v/>
      </c>
      <c r="N468" s="273"/>
    </row>
    <row r="469" spans="1:14" ht="12.75" customHeight="1" x14ac:dyDescent="0.2">
      <c r="A469" s="400"/>
      <c r="B469" s="271"/>
      <c r="C469" s="271"/>
      <c r="D469" s="271"/>
      <c r="E469" s="271"/>
      <c r="F469" s="271"/>
      <c r="G469" s="273"/>
      <c r="H469" s="29" t="str">
        <f t="shared" si="51"/>
        <v/>
      </c>
      <c r="I469" s="394" t="str">
        <f t="shared" si="52"/>
        <v/>
      </c>
      <c r="J469" s="273"/>
      <c r="K469" s="395"/>
      <c r="L469" s="273"/>
      <c r="M469" s="394" t="str">
        <f t="shared" si="53"/>
        <v/>
      </c>
      <c r="N469" s="273"/>
    </row>
    <row r="470" spans="1:14" ht="12.75" customHeight="1" x14ac:dyDescent="0.25">
      <c r="A470" s="4"/>
      <c r="B470" s="4"/>
      <c r="C470" s="4"/>
      <c r="D470" s="4"/>
      <c r="E470" s="4"/>
      <c r="F470" s="4"/>
      <c r="G470" s="4"/>
      <c r="H470" s="4"/>
      <c r="I470" s="4"/>
      <c r="J470" s="4"/>
      <c r="K470" s="396" t="s">
        <v>444</v>
      </c>
      <c r="L470" s="273"/>
      <c r="M470" s="394">
        <f>SUM(M462:N469)</f>
        <v>410065</v>
      </c>
      <c r="N470" s="273"/>
    </row>
    <row r="471" spans="1:14" ht="12.75" customHeight="1" x14ac:dyDescent="0.25">
      <c r="A471" s="4"/>
      <c r="B471" s="4"/>
      <c r="C471" s="4"/>
      <c r="D471" s="4"/>
      <c r="E471" s="4"/>
      <c r="F471" s="4"/>
      <c r="G471" s="4"/>
      <c r="H471" s="4"/>
      <c r="I471" s="4"/>
      <c r="J471" s="4"/>
      <c r="K471" s="4"/>
      <c r="L471" s="4"/>
      <c r="M471" s="4"/>
      <c r="N471" s="4"/>
    </row>
    <row r="472" spans="1:14" ht="12.75" customHeight="1" x14ac:dyDescent="0.2">
      <c r="A472" s="398" t="s">
        <v>926</v>
      </c>
      <c r="B472" s="271"/>
      <c r="C472" s="271"/>
      <c r="D472" s="271"/>
      <c r="E472" s="271"/>
      <c r="F472" s="271"/>
      <c r="G472" s="271"/>
      <c r="H472" s="271"/>
      <c r="I472" s="271"/>
      <c r="J472" s="271"/>
      <c r="K472" s="271"/>
      <c r="L472" s="271"/>
      <c r="M472" s="271"/>
      <c r="N472" s="273"/>
    </row>
    <row r="473" spans="1:14" ht="12.75" customHeight="1" x14ac:dyDescent="0.2">
      <c r="A473" s="396" t="s">
        <v>76</v>
      </c>
      <c r="B473" s="271"/>
      <c r="C473" s="271"/>
      <c r="D473" s="271"/>
      <c r="E473" s="271"/>
      <c r="F473" s="271"/>
      <c r="G473" s="273"/>
      <c r="H473" s="88" t="s">
        <v>77</v>
      </c>
      <c r="I473" s="399" t="s">
        <v>920</v>
      </c>
      <c r="J473" s="273"/>
      <c r="K473" s="399" t="s">
        <v>453</v>
      </c>
      <c r="L473" s="273"/>
      <c r="M473" s="399" t="s">
        <v>921</v>
      </c>
      <c r="N473" s="273"/>
    </row>
    <row r="474" spans="1:14" ht="12.75" customHeight="1" x14ac:dyDescent="0.2">
      <c r="A474" s="400" t="s">
        <v>927</v>
      </c>
      <c r="B474" s="271"/>
      <c r="C474" s="271"/>
      <c r="D474" s="271"/>
      <c r="E474" s="271"/>
      <c r="F474" s="271"/>
      <c r="G474" s="273"/>
      <c r="H474" s="29" t="str">
        <f>IF(A474="","",VLOOKUP(A474,AA_Equipos,7,FALSE))</f>
        <v>% M.O.</v>
      </c>
      <c r="I474" s="394">
        <f>M497</f>
        <v>165803.88444444444</v>
      </c>
      <c r="J474" s="273"/>
      <c r="K474" s="404">
        <v>0.05</v>
      </c>
      <c r="L474" s="273"/>
      <c r="M474" s="394">
        <f t="shared" ref="M474:M478" si="54">IF(A474="","",I474*K474)</f>
        <v>8290.1942222222224</v>
      </c>
      <c r="N474" s="273"/>
    </row>
    <row r="475" spans="1:14" ht="12.75" customHeight="1" x14ac:dyDescent="0.2">
      <c r="A475" s="403" t="s">
        <v>957</v>
      </c>
      <c r="B475" s="271"/>
      <c r="C475" s="271"/>
      <c r="D475" s="271"/>
      <c r="E475" s="271"/>
      <c r="F475" s="271"/>
      <c r="G475" s="273"/>
      <c r="H475" s="29" t="str">
        <f>IF(A475="","",VLOOKUP(A475,AA_Equipos,7,FALSE))</f>
        <v>Dia</v>
      </c>
      <c r="I475" s="394">
        <f>IF(A475="","",VLOOKUP(A475,AA_Equipos,8,FALSE))</f>
        <v>107071</v>
      </c>
      <c r="J475" s="273"/>
      <c r="K475" s="402">
        <f t="shared" ref="K475:K476" si="55">1/4.5</f>
        <v>0.22222222222222221</v>
      </c>
      <c r="L475" s="273"/>
      <c r="M475" s="394">
        <f t="shared" si="54"/>
        <v>23793.555555555555</v>
      </c>
      <c r="N475" s="273"/>
    </row>
    <row r="476" spans="1:14" ht="12.75" customHeight="1" x14ac:dyDescent="0.2">
      <c r="A476" s="400" t="s">
        <v>964</v>
      </c>
      <c r="B476" s="271"/>
      <c r="C476" s="271"/>
      <c r="D476" s="271"/>
      <c r="E476" s="271"/>
      <c r="F476" s="271"/>
      <c r="G476" s="273"/>
      <c r="H476" s="29" t="str">
        <f>IF(A476="","",VLOOKUP(A476,AA_Equipos,7,FALSE))</f>
        <v>Dia</v>
      </c>
      <c r="I476" s="394">
        <f>IF(A476="","",VLOOKUP(A476,AA_Equipos,8,FALSE))</f>
        <v>71766</v>
      </c>
      <c r="J476" s="273"/>
      <c r="K476" s="401">
        <f t="shared" si="55"/>
        <v>0.22222222222222221</v>
      </c>
      <c r="L476" s="273"/>
      <c r="M476" s="394">
        <f t="shared" si="54"/>
        <v>15948</v>
      </c>
      <c r="N476" s="273"/>
    </row>
    <row r="477" spans="1:14" ht="12.75" customHeight="1" x14ac:dyDescent="0.2">
      <c r="A477" s="400"/>
      <c r="B477" s="271"/>
      <c r="C477" s="271"/>
      <c r="D477" s="271"/>
      <c r="E477" s="271"/>
      <c r="F477" s="271"/>
      <c r="G477" s="273"/>
      <c r="H477" s="29" t="str">
        <f>IF(A477="","",VLOOKUP(A477,AA_Equipos,7,FALSE))</f>
        <v/>
      </c>
      <c r="I477" s="394" t="str">
        <f>IF(A477="","",VLOOKUP(A477,AA_Equipos,8,FALSE))</f>
        <v/>
      </c>
      <c r="J477" s="273"/>
      <c r="K477" s="395"/>
      <c r="L477" s="273"/>
      <c r="M477" s="394" t="str">
        <f t="shared" si="54"/>
        <v/>
      </c>
      <c r="N477" s="273"/>
    </row>
    <row r="478" spans="1:14" ht="12.75" customHeight="1" x14ac:dyDescent="0.2">
      <c r="A478" s="400"/>
      <c r="B478" s="271"/>
      <c r="C478" s="271"/>
      <c r="D478" s="271"/>
      <c r="E478" s="271"/>
      <c r="F478" s="271"/>
      <c r="G478" s="273"/>
      <c r="H478" s="29" t="str">
        <f>IF(A478="","",VLOOKUP(A478,AA_Equipos,7,FALSE))</f>
        <v/>
      </c>
      <c r="I478" s="394" t="str">
        <f>IF(A478="","",VLOOKUP(A478,AA_Equipos,8,FALSE))</f>
        <v/>
      </c>
      <c r="J478" s="273"/>
      <c r="K478" s="395"/>
      <c r="L478" s="273"/>
      <c r="M478" s="394" t="str">
        <f t="shared" si="54"/>
        <v/>
      </c>
      <c r="N478" s="273"/>
    </row>
    <row r="479" spans="1:14" ht="12.75" customHeight="1" x14ac:dyDescent="0.25">
      <c r="A479" s="4"/>
      <c r="B479" s="4"/>
      <c r="C479" s="4"/>
      <c r="D479" s="4"/>
      <c r="E479" s="4"/>
      <c r="F479" s="4"/>
      <c r="G479" s="4"/>
      <c r="H479" s="4"/>
      <c r="I479" s="4"/>
      <c r="J479" s="4"/>
      <c r="K479" s="396" t="s">
        <v>444</v>
      </c>
      <c r="L479" s="273"/>
      <c r="M479" s="394">
        <f>SUM(M474:N478)</f>
        <v>48031.749777777775</v>
      </c>
      <c r="N479" s="273"/>
    </row>
    <row r="480" spans="1:14" ht="12.75" customHeight="1" x14ac:dyDescent="0.25">
      <c r="A480" s="4"/>
      <c r="B480" s="4"/>
      <c r="C480" s="4"/>
      <c r="D480" s="4"/>
      <c r="E480" s="4"/>
      <c r="F480" s="4"/>
      <c r="G480" s="4"/>
      <c r="H480" s="4"/>
      <c r="I480" s="4"/>
      <c r="J480" s="4"/>
      <c r="K480" s="4"/>
      <c r="L480" s="4"/>
      <c r="M480" s="4"/>
      <c r="N480" s="4"/>
    </row>
    <row r="481" spans="1:14" ht="12.75" customHeight="1" x14ac:dyDescent="0.2">
      <c r="A481" s="398" t="s">
        <v>929</v>
      </c>
      <c r="B481" s="271"/>
      <c r="C481" s="271"/>
      <c r="D481" s="271"/>
      <c r="E481" s="271"/>
      <c r="F481" s="271"/>
      <c r="G481" s="271"/>
      <c r="H481" s="271"/>
      <c r="I481" s="271"/>
      <c r="J481" s="271"/>
      <c r="K481" s="271"/>
      <c r="L481" s="271"/>
      <c r="M481" s="271"/>
      <c r="N481" s="273"/>
    </row>
    <row r="482" spans="1:14" ht="12.75" customHeight="1" x14ac:dyDescent="0.2">
      <c r="A482" s="396" t="s">
        <v>76</v>
      </c>
      <c r="B482" s="271"/>
      <c r="C482" s="271"/>
      <c r="D482" s="271"/>
      <c r="E482" s="271"/>
      <c r="F482" s="271"/>
      <c r="G482" s="273"/>
      <c r="H482" s="88" t="s">
        <v>77</v>
      </c>
      <c r="I482" s="399" t="s">
        <v>920</v>
      </c>
      <c r="J482" s="273"/>
      <c r="K482" s="399" t="s">
        <v>453</v>
      </c>
      <c r="L482" s="273"/>
      <c r="M482" s="399" t="s">
        <v>921</v>
      </c>
      <c r="N482" s="273"/>
    </row>
    <row r="483" spans="1:14" ht="12.75" customHeight="1" x14ac:dyDescent="0.2">
      <c r="A483" s="400" t="s">
        <v>965</v>
      </c>
      <c r="B483" s="271"/>
      <c r="C483" s="271"/>
      <c r="D483" s="271"/>
      <c r="E483" s="271"/>
      <c r="F483" s="271"/>
      <c r="G483" s="273"/>
      <c r="H483" s="29" t="s">
        <v>959</v>
      </c>
      <c r="I483" s="394">
        <f>+M479</f>
        <v>48031.749777777775</v>
      </c>
      <c r="J483" s="273"/>
      <c r="K483" s="404">
        <v>0.05</v>
      </c>
      <c r="L483" s="273"/>
      <c r="M483" s="394">
        <f t="shared" ref="M483:M487" si="56">IF(A483="","",I483*K483)</f>
        <v>2401.5874888888889</v>
      </c>
      <c r="N483" s="273"/>
    </row>
    <row r="484" spans="1:14" ht="12.75" customHeight="1" x14ac:dyDescent="0.2">
      <c r="A484" s="403" t="s">
        <v>3172</v>
      </c>
      <c r="B484" s="271"/>
      <c r="C484" s="271"/>
      <c r="D484" s="271"/>
      <c r="E484" s="271"/>
      <c r="F484" s="271"/>
      <c r="G484" s="273"/>
      <c r="H484" s="29" t="s">
        <v>967</v>
      </c>
      <c r="I484" s="394">
        <f>'precios '!$J$222</f>
        <v>2077.2367952644231</v>
      </c>
      <c r="J484" s="273"/>
      <c r="K484" s="408">
        <f>Indice!$L$21</f>
        <v>49</v>
      </c>
      <c r="L484" s="273"/>
      <c r="M484" s="394">
        <f t="shared" si="56"/>
        <v>101784.60296795673</v>
      </c>
      <c r="N484" s="273"/>
    </row>
    <row r="485" spans="1:14" ht="12.75" customHeight="1" x14ac:dyDescent="0.2">
      <c r="A485" s="400" t="s">
        <v>3173</v>
      </c>
      <c r="B485" s="271"/>
      <c r="C485" s="271"/>
      <c r="D485" s="271"/>
      <c r="E485" s="271"/>
      <c r="F485" s="271"/>
      <c r="G485" s="273"/>
      <c r="H485" s="29" t="s">
        <v>24</v>
      </c>
      <c r="I485" s="394">
        <f>+M462+M466</f>
        <v>285250</v>
      </c>
      <c r="J485" s="273"/>
      <c r="K485" s="404">
        <v>0.05</v>
      </c>
      <c r="L485" s="273"/>
      <c r="M485" s="394">
        <f t="shared" si="56"/>
        <v>14262.5</v>
      </c>
      <c r="N485" s="273"/>
    </row>
    <row r="486" spans="1:14" ht="12.75" customHeight="1" x14ac:dyDescent="0.2">
      <c r="A486" s="400"/>
      <c r="B486" s="271"/>
      <c r="C486" s="271"/>
      <c r="D486" s="271"/>
      <c r="E486" s="271"/>
      <c r="F486" s="271"/>
      <c r="G486" s="273"/>
      <c r="H486" s="29"/>
      <c r="I486" s="394"/>
      <c r="J486" s="273"/>
      <c r="K486" s="395"/>
      <c r="L486" s="273"/>
      <c r="M486" s="394" t="str">
        <f t="shared" si="56"/>
        <v/>
      </c>
      <c r="N486" s="273"/>
    </row>
    <row r="487" spans="1:14" ht="12.75" customHeight="1" x14ac:dyDescent="0.2">
      <c r="A487" s="400"/>
      <c r="B487" s="271"/>
      <c r="C487" s="271"/>
      <c r="D487" s="271"/>
      <c r="E487" s="271"/>
      <c r="F487" s="271"/>
      <c r="G487" s="273"/>
      <c r="H487" s="29"/>
      <c r="I487" s="394"/>
      <c r="J487" s="273"/>
      <c r="K487" s="395"/>
      <c r="L487" s="273"/>
      <c r="M487" s="394" t="str">
        <f t="shared" si="56"/>
        <v/>
      </c>
      <c r="N487" s="273"/>
    </row>
    <row r="488" spans="1:14" ht="12.75" customHeight="1" x14ac:dyDescent="0.25">
      <c r="A488" s="4"/>
      <c r="B488" s="4"/>
      <c r="C488" s="4"/>
      <c r="D488" s="4"/>
      <c r="E488" s="4"/>
      <c r="F488" s="4"/>
      <c r="G488" s="4"/>
      <c r="H488" s="4"/>
      <c r="I488" s="4"/>
      <c r="J488" s="4"/>
      <c r="K488" s="396" t="s">
        <v>444</v>
      </c>
      <c r="L488" s="273"/>
      <c r="M488" s="394">
        <f>SUM(M483:N487)</f>
        <v>118448.69045684562</v>
      </c>
      <c r="N488" s="273"/>
    </row>
    <row r="489" spans="1:14" ht="12.75" customHeight="1" x14ac:dyDescent="0.25">
      <c r="A489" s="4"/>
      <c r="B489" s="4"/>
      <c r="C489" s="4"/>
      <c r="D489" s="4"/>
      <c r="E489" s="4"/>
      <c r="F489" s="4"/>
      <c r="G489" s="4"/>
      <c r="H489" s="4"/>
      <c r="I489" s="4"/>
      <c r="J489" s="4"/>
      <c r="K489" s="94"/>
      <c r="L489" s="95"/>
      <c r="M489" s="89"/>
      <c r="N489" s="96"/>
    </row>
    <row r="490" spans="1:14" ht="12.75" customHeight="1" x14ac:dyDescent="0.2">
      <c r="A490" s="398" t="s">
        <v>931</v>
      </c>
      <c r="B490" s="271"/>
      <c r="C490" s="271"/>
      <c r="D490" s="271"/>
      <c r="E490" s="271"/>
      <c r="F490" s="271"/>
      <c r="G490" s="271"/>
      <c r="H490" s="271"/>
      <c r="I490" s="271"/>
      <c r="J490" s="271"/>
      <c r="K490" s="271"/>
      <c r="L490" s="271"/>
      <c r="M490" s="271"/>
      <c r="N490" s="273"/>
    </row>
    <row r="491" spans="1:14" ht="12.75" customHeight="1" x14ac:dyDescent="0.2">
      <c r="A491" s="396" t="s">
        <v>76</v>
      </c>
      <c r="B491" s="271"/>
      <c r="C491" s="271"/>
      <c r="D491" s="271"/>
      <c r="E491" s="271"/>
      <c r="F491" s="271"/>
      <c r="G491" s="273"/>
      <c r="H491" s="88" t="s">
        <v>77</v>
      </c>
      <c r="I491" s="399" t="s">
        <v>920</v>
      </c>
      <c r="J491" s="273"/>
      <c r="K491" s="90" t="s">
        <v>514</v>
      </c>
      <c r="L491" s="91" t="s">
        <v>932</v>
      </c>
      <c r="M491" s="399" t="s">
        <v>921</v>
      </c>
      <c r="N491" s="273"/>
    </row>
    <row r="492" spans="1:14" ht="12.75" customHeight="1" x14ac:dyDescent="0.25">
      <c r="A492" s="393" t="s">
        <v>962</v>
      </c>
      <c r="B492" s="271"/>
      <c r="C492" s="271"/>
      <c r="D492" s="271"/>
      <c r="E492" s="271"/>
      <c r="F492" s="271"/>
      <c r="G492" s="273"/>
      <c r="H492" s="29" t="str">
        <f>IF(A492="","",VLOOKUP(A492,AA_Cuadrillas,4,FALSE))</f>
        <v>Cuadrilla</v>
      </c>
      <c r="I492" s="394">
        <f>IF(A492="","",VLOOKUP(A492,AA_Cuadrillas,5,FALSE))</f>
        <v>396871</v>
      </c>
      <c r="J492" s="273"/>
      <c r="K492" s="9">
        <f>IF(A492="","",F.P!$I$2)</f>
        <v>1.88</v>
      </c>
      <c r="L492" s="93">
        <f>1/4.5</f>
        <v>0.22222222222222221</v>
      </c>
      <c r="M492" s="394">
        <f t="shared" ref="M492:M496" si="57">IF(A492="","",I492*K492*L492)</f>
        <v>165803.88444444444</v>
      </c>
      <c r="N492" s="273"/>
    </row>
    <row r="493" spans="1:14" ht="12.75" customHeight="1" x14ac:dyDescent="0.25">
      <c r="A493" s="393"/>
      <c r="B493" s="271"/>
      <c r="C493" s="271"/>
      <c r="D493" s="271"/>
      <c r="E493" s="271"/>
      <c r="F493" s="271"/>
      <c r="G493" s="273"/>
      <c r="H493" s="29" t="str">
        <f>IF(A493="","",VLOOKUP(A493,AA_Cuadrillas,4,FALSE))</f>
        <v/>
      </c>
      <c r="I493" s="394" t="str">
        <f>IF(A493="","",VLOOKUP(A493,AA_Cuadrillas,5,FALSE))</f>
        <v/>
      </c>
      <c r="J493" s="273"/>
      <c r="K493" s="9" t="str">
        <f>IF(A493="","",F.P!$I$2)</f>
        <v/>
      </c>
      <c r="L493" s="9"/>
      <c r="M493" s="394" t="str">
        <f t="shared" si="57"/>
        <v/>
      </c>
      <c r="N493" s="273"/>
    </row>
    <row r="494" spans="1:14" ht="12.75" customHeight="1" x14ac:dyDescent="0.25">
      <c r="A494" s="393"/>
      <c r="B494" s="271"/>
      <c r="C494" s="271"/>
      <c r="D494" s="271"/>
      <c r="E494" s="271"/>
      <c r="F494" s="271"/>
      <c r="G494" s="273"/>
      <c r="H494" s="29" t="str">
        <f>IF(A494="","",VLOOKUP(A494,AA_Cuadrillas,4,FALSE))</f>
        <v/>
      </c>
      <c r="I494" s="394" t="str">
        <f>IF(A494="","",VLOOKUP(A494,AA_Cuadrillas,5,FALSE))</f>
        <v/>
      </c>
      <c r="J494" s="273"/>
      <c r="K494" s="9" t="str">
        <f>IF(A494="","",F.P!$I$2)</f>
        <v/>
      </c>
      <c r="L494" s="37"/>
      <c r="M494" s="394" t="str">
        <f t="shared" si="57"/>
        <v/>
      </c>
      <c r="N494" s="273"/>
    </row>
    <row r="495" spans="1:14" ht="12.75" customHeight="1" x14ac:dyDescent="0.25">
      <c r="A495" s="393"/>
      <c r="B495" s="271"/>
      <c r="C495" s="271"/>
      <c r="D495" s="271"/>
      <c r="E495" s="271"/>
      <c r="F495" s="271"/>
      <c r="G495" s="273"/>
      <c r="H495" s="29" t="str">
        <f>IF(A495="","",VLOOKUP(A495,AA_Cuadrillas,4,FALSE))</f>
        <v/>
      </c>
      <c r="I495" s="394" t="str">
        <f>IF(A495="","",VLOOKUP(A495,AA_Cuadrillas,5,FALSE))</f>
        <v/>
      </c>
      <c r="J495" s="273"/>
      <c r="K495" s="9" t="str">
        <f>IF(A495="","",F.P!$I$2)</f>
        <v/>
      </c>
      <c r="L495" s="37"/>
      <c r="M495" s="394" t="str">
        <f t="shared" si="57"/>
        <v/>
      </c>
      <c r="N495" s="273"/>
    </row>
    <row r="496" spans="1:14" ht="12.75" customHeight="1" x14ac:dyDescent="0.25">
      <c r="A496" s="393"/>
      <c r="B496" s="271"/>
      <c r="C496" s="271"/>
      <c r="D496" s="271"/>
      <c r="E496" s="271"/>
      <c r="F496" s="271"/>
      <c r="G496" s="273"/>
      <c r="H496" s="29" t="str">
        <f>IF(A496="","",VLOOKUP(A496,AA_Cuadrillas,4,FALSE))</f>
        <v/>
      </c>
      <c r="I496" s="394" t="str">
        <f>IF(A496="","",VLOOKUP(A496,AA_Cuadrillas,5,FALSE))</f>
        <v/>
      </c>
      <c r="J496" s="273"/>
      <c r="K496" s="9" t="str">
        <f>IF(A496="","",F.P!$I$2)</f>
        <v/>
      </c>
      <c r="L496" s="37"/>
      <c r="M496" s="394" t="str">
        <f t="shared" si="57"/>
        <v/>
      </c>
      <c r="N496" s="273"/>
    </row>
    <row r="497" spans="1:15" ht="12.75" customHeight="1" x14ac:dyDescent="0.25">
      <c r="A497" s="4"/>
      <c r="B497" s="4"/>
      <c r="C497" s="4"/>
      <c r="D497" s="4"/>
      <c r="E497" s="4"/>
      <c r="F497" s="4"/>
      <c r="G497" s="4"/>
      <c r="H497" s="4"/>
      <c r="I497" s="4"/>
      <c r="J497" s="4"/>
      <c r="K497" s="396" t="s">
        <v>444</v>
      </c>
      <c r="L497" s="273"/>
      <c r="M497" s="394">
        <f>SUM(M492:N496)</f>
        <v>165803.88444444444</v>
      </c>
      <c r="N497" s="273"/>
    </row>
    <row r="498" spans="1:15" ht="12.75" customHeight="1" x14ac:dyDescent="0.25">
      <c r="A498" s="4"/>
      <c r="B498" s="4"/>
      <c r="C498" s="4"/>
      <c r="D498" s="4"/>
      <c r="E498" s="4"/>
      <c r="F498" s="4"/>
      <c r="G498" s="4"/>
      <c r="H498" s="4"/>
      <c r="I498" s="4"/>
      <c r="J498" s="4"/>
      <c r="K498" s="94"/>
      <c r="L498" s="95"/>
      <c r="M498" s="89"/>
      <c r="N498" s="96"/>
    </row>
    <row r="499" spans="1:15" ht="12.75" customHeight="1" x14ac:dyDescent="0.2">
      <c r="A499" s="407" t="s">
        <v>3180</v>
      </c>
      <c r="B499" s="275"/>
      <c r="C499" s="275"/>
      <c r="D499" s="275"/>
      <c r="E499" s="275"/>
      <c r="F499" s="275"/>
      <c r="G499" s="275"/>
      <c r="H499" s="275"/>
      <c r="I499" s="275"/>
      <c r="J499" s="275"/>
      <c r="K499" s="275"/>
      <c r="L499" s="275"/>
      <c r="M499" s="275"/>
      <c r="N499" s="276"/>
      <c r="O499" s="166"/>
    </row>
    <row r="500" spans="1:15" ht="12.75" customHeight="1" x14ac:dyDescent="0.2">
      <c r="A500" s="277"/>
      <c r="B500" s="278"/>
      <c r="C500" s="278"/>
      <c r="D500" s="278"/>
      <c r="E500" s="278"/>
      <c r="F500" s="278"/>
      <c r="G500" s="278"/>
      <c r="H500" s="278"/>
      <c r="I500" s="278"/>
      <c r="J500" s="278"/>
      <c r="K500" s="278"/>
      <c r="L500" s="278"/>
      <c r="M500" s="278"/>
      <c r="N500" s="279"/>
      <c r="O500" s="166"/>
    </row>
    <row r="501" spans="1:15" ht="12.75" customHeight="1" x14ac:dyDescent="0.2">
      <c r="A501" s="75"/>
      <c r="B501" s="75"/>
      <c r="C501" s="75"/>
      <c r="D501" s="75"/>
      <c r="E501" s="75"/>
      <c r="F501" s="75"/>
      <c r="G501" s="75"/>
      <c r="H501" s="75"/>
      <c r="I501" s="75"/>
      <c r="J501" s="75"/>
      <c r="K501" s="75"/>
      <c r="L501" s="75"/>
      <c r="M501" s="75"/>
      <c r="N501" s="75"/>
    </row>
    <row r="502" spans="1:15" ht="12.75" customHeight="1" x14ac:dyDescent="0.3">
      <c r="A502" s="79" t="s">
        <v>624</v>
      </c>
      <c r="B502" s="80" t="str">
        <f>A499</f>
        <v>CONCRETO DE 4000 PSI A TODO COSTO (280 KG/CM2)</v>
      </c>
      <c r="C502" s="81" t="s">
        <v>916</v>
      </c>
      <c r="D502" s="82" t="s">
        <v>258</v>
      </c>
      <c r="E502" s="83" t="s">
        <v>445</v>
      </c>
      <c r="F502" s="240">
        <f>(H502+J502+L502+N502)</f>
        <v>790161.82467906782</v>
      </c>
      <c r="G502" s="83" t="s">
        <v>607</v>
      </c>
      <c r="H502" s="86">
        <f>M514</f>
        <v>455140</v>
      </c>
      <c r="I502" s="83" t="s">
        <v>918</v>
      </c>
      <c r="J502" s="86">
        <f>M523</f>
        <v>48031.749777777775</v>
      </c>
      <c r="K502" s="83" t="s">
        <v>609</v>
      </c>
      <c r="L502" s="86">
        <f>M532</f>
        <v>121186.19045684562</v>
      </c>
      <c r="M502" s="83" t="s">
        <v>610</v>
      </c>
      <c r="N502" s="86">
        <f>M541</f>
        <v>165803.88444444444</v>
      </c>
      <c r="O502" t="s">
        <v>3222</v>
      </c>
    </row>
    <row r="503" spans="1:15" ht="12.75" customHeight="1" x14ac:dyDescent="0.25">
      <c r="A503" s="87"/>
      <c r="B503" s="87"/>
      <c r="C503" s="87"/>
      <c r="D503" s="87"/>
      <c r="E503" s="87"/>
      <c r="F503" s="87"/>
      <c r="G503" s="87"/>
      <c r="J503" s="87"/>
      <c r="K503" s="215" t="s">
        <v>3217</v>
      </c>
      <c r="L503" s="215">
        <f>+F502*presup!$O$5</f>
        <v>1027210.3720827883</v>
      </c>
      <c r="M503" s="87"/>
      <c r="N503" s="87"/>
    </row>
    <row r="504" spans="1:15" ht="12.75" customHeight="1" x14ac:dyDescent="0.2">
      <c r="A504" s="398" t="s">
        <v>919</v>
      </c>
      <c r="B504" s="271"/>
      <c r="C504" s="271"/>
      <c r="D504" s="271"/>
      <c r="E504" s="271"/>
      <c r="F504" s="271"/>
      <c r="G504" s="271"/>
      <c r="H504" s="271"/>
      <c r="I504" s="271"/>
      <c r="J504" s="271"/>
      <c r="K504" s="271"/>
      <c r="L504" s="271"/>
      <c r="M504" s="271"/>
      <c r="N504" s="273"/>
    </row>
    <row r="505" spans="1:15" ht="12.75" customHeight="1" x14ac:dyDescent="0.2">
      <c r="A505" s="396" t="s">
        <v>76</v>
      </c>
      <c r="B505" s="271"/>
      <c r="C505" s="271"/>
      <c r="D505" s="271"/>
      <c r="E505" s="271"/>
      <c r="F505" s="271"/>
      <c r="G505" s="273"/>
      <c r="H505" s="88" t="s">
        <v>77</v>
      </c>
      <c r="I505" s="399" t="s">
        <v>920</v>
      </c>
      <c r="J505" s="273"/>
      <c r="K505" s="399" t="s">
        <v>453</v>
      </c>
      <c r="L505" s="273"/>
      <c r="M505" s="399" t="s">
        <v>921</v>
      </c>
      <c r="N505" s="273"/>
    </row>
    <row r="506" spans="1:15" ht="12.75" customHeight="1" x14ac:dyDescent="0.2">
      <c r="A506" s="400" t="s">
        <v>953</v>
      </c>
      <c r="B506" s="271"/>
      <c r="C506" s="271"/>
      <c r="D506" s="271"/>
      <c r="E506" s="271"/>
      <c r="F506" s="271"/>
      <c r="G506" s="273"/>
      <c r="H506" s="29" t="str">
        <f t="shared" ref="H506:H513" si="58">IF(A506="","",VLOOKUP(A506,AA_Materiales,7,FALSE))</f>
        <v>Kg</v>
      </c>
      <c r="I506" s="394">
        <f t="shared" ref="I506:I513" si="59">IF(A506="","",VLOOKUP(A506,AA_Materiales,8,FALSE))</f>
        <v>800</v>
      </c>
      <c r="J506" s="273"/>
      <c r="K506" s="395">
        <v>425</v>
      </c>
      <c r="L506" s="273"/>
      <c r="M506" s="394">
        <f t="shared" ref="M506:M513" si="60">IF(A506="","",I506*K506)</f>
        <v>340000</v>
      </c>
      <c r="N506" s="273"/>
    </row>
    <row r="507" spans="1:15" ht="12.75" customHeight="1" x14ac:dyDescent="0.2">
      <c r="A507" s="400" t="s">
        <v>954</v>
      </c>
      <c r="B507" s="271"/>
      <c r="C507" s="271"/>
      <c r="D507" s="271"/>
      <c r="E507" s="271"/>
      <c r="F507" s="271"/>
      <c r="G507" s="273"/>
      <c r="H507" s="29" t="str">
        <f t="shared" si="58"/>
        <v>m3</v>
      </c>
      <c r="I507" s="394">
        <f t="shared" si="59"/>
        <v>83000</v>
      </c>
      <c r="J507" s="273"/>
      <c r="K507" s="395">
        <v>0.57999999999999996</v>
      </c>
      <c r="L507" s="273"/>
      <c r="M507" s="394">
        <f t="shared" si="60"/>
        <v>48140</v>
      </c>
      <c r="N507" s="273"/>
    </row>
    <row r="508" spans="1:15" ht="12.75" customHeight="1" x14ac:dyDescent="0.2">
      <c r="A508" s="400" t="s">
        <v>955</v>
      </c>
      <c r="B508" s="271"/>
      <c r="C508" s="271"/>
      <c r="D508" s="271"/>
      <c r="E508" s="271"/>
      <c r="F508" s="271"/>
      <c r="G508" s="273"/>
      <c r="H508" s="29" t="str">
        <f t="shared" si="58"/>
        <v>m3</v>
      </c>
      <c r="I508" s="394">
        <f t="shared" si="59"/>
        <v>90000</v>
      </c>
      <c r="J508" s="273"/>
      <c r="K508" s="395">
        <v>0.7</v>
      </c>
      <c r="L508" s="273"/>
      <c r="M508" s="394">
        <f t="shared" si="60"/>
        <v>62999.999999999993</v>
      </c>
      <c r="N508" s="273"/>
    </row>
    <row r="509" spans="1:15" ht="12.75" customHeight="1" x14ac:dyDescent="0.2">
      <c r="A509" s="400" t="s">
        <v>956</v>
      </c>
      <c r="B509" s="271"/>
      <c r="C509" s="271"/>
      <c r="D509" s="271"/>
      <c r="E509" s="271"/>
      <c r="F509" s="271"/>
      <c r="G509" s="273"/>
      <c r="H509" s="29" t="str">
        <f t="shared" si="58"/>
        <v>Lt</v>
      </c>
      <c r="I509" s="394">
        <f t="shared" si="59"/>
        <v>20</v>
      </c>
      <c r="J509" s="273"/>
      <c r="K509" s="395">
        <v>200</v>
      </c>
      <c r="L509" s="273"/>
      <c r="M509" s="394">
        <f t="shared" si="60"/>
        <v>4000</v>
      </c>
      <c r="N509" s="273"/>
    </row>
    <row r="510" spans="1:15" ht="12.75" customHeight="1" x14ac:dyDescent="0.2">
      <c r="A510" s="400"/>
      <c r="B510" s="271"/>
      <c r="C510" s="271"/>
      <c r="D510" s="271"/>
      <c r="E510" s="271"/>
      <c r="F510" s="271"/>
      <c r="G510" s="273"/>
      <c r="H510" s="29" t="str">
        <f t="shared" si="58"/>
        <v/>
      </c>
      <c r="I510" s="394" t="str">
        <f t="shared" si="59"/>
        <v/>
      </c>
      <c r="J510" s="273"/>
      <c r="K510" s="395"/>
      <c r="L510" s="273"/>
      <c r="M510" s="394" t="str">
        <f t="shared" si="60"/>
        <v/>
      </c>
      <c r="N510" s="273"/>
    </row>
    <row r="511" spans="1:15" ht="12.75" customHeight="1" x14ac:dyDescent="0.2">
      <c r="A511" s="400"/>
      <c r="B511" s="271"/>
      <c r="C511" s="271"/>
      <c r="D511" s="271"/>
      <c r="E511" s="271"/>
      <c r="F511" s="271"/>
      <c r="G511" s="273"/>
      <c r="H511" s="29" t="str">
        <f t="shared" si="58"/>
        <v/>
      </c>
      <c r="I511" s="394" t="str">
        <f t="shared" si="59"/>
        <v/>
      </c>
      <c r="J511" s="273"/>
      <c r="K511" s="395"/>
      <c r="L511" s="273"/>
      <c r="M511" s="394" t="str">
        <f t="shared" si="60"/>
        <v/>
      </c>
      <c r="N511" s="273"/>
    </row>
    <row r="512" spans="1:15" ht="12.75" customHeight="1" x14ac:dyDescent="0.2">
      <c r="A512" s="400"/>
      <c r="B512" s="271"/>
      <c r="C512" s="271"/>
      <c r="D512" s="271"/>
      <c r="E512" s="271"/>
      <c r="F512" s="271"/>
      <c r="G512" s="273"/>
      <c r="H512" s="29" t="str">
        <f t="shared" si="58"/>
        <v/>
      </c>
      <c r="I512" s="394" t="str">
        <f t="shared" si="59"/>
        <v/>
      </c>
      <c r="J512" s="273"/>
      <c r="K512" s="395"/>
      <c r="L512" s="273"/>
      <c r="M512" s="394" t="str">
        <f t="shared" si="60"/>
        <v/>
      </c>
      <c r="N512" s="273"/>
    </row>
    <row r="513" spans="1:14" ht="12.75" customHeight="1" x14ac:dyDescent="0.2">
      <c r="A513" s="400"/>
      <c r="B513" s="271"/>
      <c r="C513" s="271"/>
      <c r="D513" s="271"/>
      <c r="E513" s="271"/>
      <c r="F513" s="271"/>
      <c r="G513" s="273"/>
      <c r="H513" s="29" t="str">
        <f t="shared" si="58"/>
        <v/>
      </c>
      <c r="I513" s="394" t="str">
        <f t="shared" si="59"/>
        <v/>
      </c>
      <c r="J513" s="273"/>
      <c r="K513" s="395"/>
      <c r="L513" s="273"/>
      <c r="M513" s="394" t="str">
        <f t="shared" si="60"/>
        <v/>
      </c>
      <c r="N513" s="273"/>
    </row>
    <row r="514" spans="1:14" ht="12.75" customHeight="1" x14ac:dyDescent="0.25">
      <c r="A514" s="4"/>
      <c r="B514" s="4"/>
      <c r="C514" s="4"/>
      <c r="D514" s="4"/>
      <c r="E514" s="4"/>
      <c r="F514" s="4"/>
      <c r="G514" s="4"/>
      <c r="H514" s="4"/>
      <c r="I514" s="4"/>
      <c r="J514" s="4"/>
      <c r="K514" s="396" t="s">
        <v>444</v>
      </c>
      <c r="L514" s="273"/>
      <c r="M514" s="394">
        <f>SUM(M506:N513)</f>
        <v>455140</v>
      </c>
      <c r="N514" s="273"/>
    </row>
    <row r="515" spans="1:14" ht="12.75" customHeight="1" x14ac:dyDescent="0.25">
      <c r="A515" s="4"/>
      <c r="B515" s="4"/>
      <c r="C515" s="4"/>
      <c r="D515" s="4"/>
      <c r="E515" s="4"/>
      <c r="F515" s="4"/>
      <c r="G515" s="4"/>
      <c r="H515" s="4"/>
      <c r="I515" s="4"/>
      <c r="J515" s="4"/>
      <c r="K515" s="4"/>
      <c r="L515" s="4"/>
      <c r="M515" s="4"/>
      <c r="N515" s="4"/>
    </row>
    <row r="516" spans="1:14" ht="12.75" customHeight="1" x14ac:dyDescent="0.2">
      <c r="A516" s="398" t="s">
        <v>926</v>
      </c>
      <c r="B516" s="271"/>
      <c r="C516" s="271"/>
      <c r="D516" s="271"/>
      <c r="E516" s="271"/>
      <c r="F516" s="271"/>
      <c r="G516" s="271"/>
      <c r="H516" s="271"/>
      <c r="I516" s="271"/>
      <c r="J516" s="271"/>
      <c r="K516" s="271"/>
      <c r="L516" s="271"/>
      <c r="M516" s="271"/>
      <c r="N516" s="273"/>
    </row>
    <row r="517" spans="1:14" ht="12.75" customHeight="1" x14ac:dyDescent="0.2">
      <c r="A517" s="396" t="s">
        <v>76</v>
      </c>
      <c r="B517" s="271"/>
      <c r="C517" s="271"/>
      <c r="D517" s="271"/>
      <c r="E517" s="271"/>
      <c r="F517" s="271"/>
      <c r="G517" s="273"/>
      <c r="H517" s="88" t="s">
        <v>77</v>
      </c>
      <c r="I517" s="399" t="s">
        <v>920</v>
      </c>
      <c r="J517" s="273"/>
      <c r="K517" s="399" t="s">
        <v>453</v>
      </c>
      <c r="L517" s="273"/>
      <c r="M517" s="399" t="s">
        <v>921</v>
      </c>
      <c r="N517" s="273"/>
    </row>
    <row r="518" spans="1:14" ht="12.75" customHeight="1" x14ac:dyDescent="0.2">
      <c r="A518" s="400" t="s">
        <v>927</v>
      </c>
      <c r="B518" s="271"/>
      <c r="C518" s="271"/>
      <c r="D518" s="271"/>
      <c r="E518" s="271"/>
      <c r="F518" s="271"/>
      <c r="G518" s="273"/>
      <c r="H518" s="29" t="str">
        <f>IF(A518="","",VLOOKUP(A518,AA_Equipos,7,FALSE))</f>
        <v>% M.O.</v>
      </c>
      <c r="I518" s="394">
        <f>M541</f>
        <v>165803.88444444444</v>
      </c>
      <c r="J518" s="273"/>
      <c r="K518" s="405">
        <v>0.05</v>
      </c>
      <c r="L518" s="406"/>
      <c r="M518" s="394">
        <f t="shared" ref="M518:M522" si="61">IF(A518="","",I518*K518)</f>
        <v>8290.1942222222224</v>
      </c>
      <c r="N518" s="273"/>
    </row>
    <row r="519" spans="1:14" ht="12.75" customHeight="1" x14ac:dyDescent="0.2">
      <c r="A519" s="403" t="s">
        <v>957</v>
      </c>
      <c r="B519" s="271"/>
      <c r="C519" s="271"/>
      <c r="D519" s="271"/>
      <c r="E519" s="271"/>
      <c r="F519" s="271"/>
      <c r="G519" s="273"/>
      <c r="H519" s="29" t="str">
        <f>IF(A519="","",VLOOKUP(A519,AA_Equipos,7,FALSE))</f>
        <v>Dia</v>
      </c>
      <c r="I519" s="394">
        <f>IF(A519="","",VLOOKUP(A519,AA_Equipos,8,FALSE))</f>
        <v>107071</v>
      </c>
      <c r="J519" s="273"/>
      <c r="K519" s="402">
        <f t="shared" ref="K519:K520" si="62">1/4.5</f>
        <v>0.22222222222222221</v>
      </c>
      <c r="L519" s="273"/>
      <c r="M519" s="394">
        <f t="shared" si="61"/>
        <v>23793.555555555555</v>
      </c>
      <c r="N519" s="273"/>
    </row>
    <row r="520" spans="1:14" ht="12.75" customHeight="1" x14ac:dyDescent="0.2">
      <c r="A520" s="400" t="s">
        <v>964</v>
      </c>
      <c r="B520" s="271"/>
      <c r="C520" s="271"/>
      <c r="D520" s="271"/>
      <c r="E520" s="271"/>
      <c r="F520" s="271"/>
      <c r="G520" s="273"/>
      <c r="H520" s="29" t="str">
        <f>IF(A520="","",VLOOKUP(A520,AA_Equipos,7,FALSE))</f>
        <v>Dia</v>
      </c>
      <c r="I520" s="394">
        <f>IF(A520="","",VLOOKUP(A520,AA_Equipos,8,FALSE))</f>
        <v>71766</v>
      </c>
      <c r="J520" s="273"/>
      <c r="K520" s="395">
        <f t="shared" si="62"/>
        <v>0.22222222222222221</v>
      </c>
      <c r="L520" s="273"/>
      <c r="M520" s="394">
        <f t="shared" si="61"/>
        <v>15948</v>
      </c>
      <c r="N520" s="273"/>
    </row>
    <row r="521" spans="1:14" ht="12.75" customHeight="1" x14ac:dyDescent="0.2">
      <c r="A521" s="400"/>
      <c r="B521" s="271"/>
      <c r="C521" s="271"/>
      <c r="D521" s="271"/>
      <c r="E521" s="271"/>
      <c r="F521" s="271"/>
      <c r="G521" s="273"/>
      <c r="H521" s="29" t="str">
        <f>IF(A521="","",VLOOKUP(A521,AA_Equipos,7,FALSE))</f>
        <v/>
      </c>
      <c r="I521" s="394" t="str">
        <f>IF(A521="","",VLOOKUP(A521,AA_Equipos,8,FALSE))</f>
        <v/>
      </c>
      <c r="J521" s="273"/>
      <c r="K521" s="395"/>
      <c r="L521" s="273"/>
      <c r="M521" s="394" t="str">
        <f t="shared" si="61"/>
        <v/>
      </c>
      <c r="N521" s="273"/>
    </row>
    <row r="522" spans="1:14" ht="12.75" customHeight="1" x14ac:dyDescent="0.2">
      <c r="A522" s="400"/>
      <c r="B522" s="271"/>
      <c r="C522" s="271"/>
      <c r="D522" s="271"/>
      <c r="E522" s="271"/>
      <c r="F522" s="271"/>
      <c r="G522" s="273"/>
      <c r="H522" s="29" t="str">
        <f>IF(A522="","",VLOOKUP(A522,AA_Equipos,7,FALSE))</f>
        <v/>
      </c>
      <c r="I522" s="394" t="str">
        <f>IF(A522="","",VLOOKUP(A522,AA_Equipos,8,FALSE))</f>
        <v/>
      </c>
      <c r="J522" s="273"/>
      <c r="K522" s="395"/>
      <c r="L522" s="273"/>
      <c r="M522" s="394" t="str">
        <f t="shared" si="61"/>
        <v/>
      </c>
      <c r="N522" s="273"/>
    </row>
    <row r="523" spans="1:14" ht="12.75" customHeight="1" x14ac:dyDescent="0.25">
      <c r="A523" s="4"/>
      <c r="B523" s="4"/>
      <c r="C523" s="4"/>
      <c r="D523" s="4"/>
      <c r="E523" s="4"/>
      <c r="F523" s="4"/>
      <c r="G523" s="4"/>
      <c r="H523" s="4"/>
      <c r="I523" s="4"/>
      <c r="J523" s="4"/>
      <c r="K523" s="396" t="s">
        <v>444</v>
      </c>
      <c r="L523" s="273"/>
      <c r="M523" s="394">
        <f>SUM(M518:N522)</f>
        <v>48031.749777777775</v>
      </c>
      <c r="N523" s="273"/>
    </row>
    <row r="524" spans="1:14" ht="12.75" customHeight="1" x14ac:dyDescent="0.25">
      <c r="A524" s="4"/>
      <c r="B524" s="4"/>
      <c r="C524" s="4"/>
      <c r="D524" s="4"/>
      <c r="E524" s="4"/>
      <c r="F524" s="4"/>
      <c r="G524" s="4"/>
      <c r="H524" s="4"/>
      <c r="I524" s="4"/>
      <c r="J524" s="4"/>
      <c r="K524" s="4"/>
      <c r="L524" s="4"/>
      <c r="M524" s="4"/>
      <c r="N524" s="4"/>
    </row>
    <row r="525" spans="1:14" ht="12.75" customHeight="1" x14ac:dyDescent="0.2">
      <c r="A525" s="398" t="s">
        <v>929</v>
      </c>
      <c r="B525" s="271"/>
      <c r="C525" s="271"/>
      <c r="D525" s="271"/>
      <c r="E525" s="271"/>
      <c r="F525" s="271"/>
      <c r="G525" s="271"/>
      <c r="H525" s="271"/>
      <c r="I525" s="271"/>
      <c r="J525" s="271"/>
      <c r="K525" s="271"/>
      <c r="L525" s="271"/>
      <c r="M525" s="271"/>
      <c r="N525" s="273"/>
    </row>
    <row r="526" spans="1:14" ht="12.75" customHeight="1" x14ac:dyDescent="0.2">
      <c r="A526" s="396" t="s">
        <v>76</v>
      </c>
      <c r="B526" s="271"/>
      <c r="C526" s="271"/>
      <c r="D526" s="271"/>
      <c r="E526" s="271"/>
      <c r="F526" s="271"/>
      <c r="G526" s="273"/>
      <c r="H526" s="88" t="s">
        <v>77</v>
      </c>
      <c r="I526" s="399" t="s">
        <v>920</v>
      </c>
      <c r="J526" s="273"/>
      <c r="K526" s="399" t="s">
        <v>453</v>
      </c>
      <c r="L526" s="273"/>
      <c r="M526" s="399" t="s">
        <v>921</v>
      </c>
      <c r="N526" s="273"/>
    </row>
    <row r="527" spans="1:14" ht="12.75" customHeight="1" x14ac:dyDescent="0.2">
      <c r="A527" s="400" t="s">
        <v>965</v>
      </c>
      <c r="B527" s="271"/>
      <c r="C527" s="271"/>
      <c r="D527" s="271"/>
      <c r="E527" s="271"/>
      <c r="F527" s="271"/>
      <c r="G527" s="273"/>
      <c r="H527" s="29" t="s">
        <v>959</v>
      </c>
      <c r="I527" s="394">
        <f>+M523</f>
        <v>48031.749777777775</v>
      </c>
      <c r="J527" s="273"/>
      <c r="K527" s="404">
        <v>0.05</v>
      </c>
      <c r="L527" s="273"/>
      <c r="M527" s="394">
        <f t="shared" ref="M527:M531" si="63">IF(A527="","",I527*K527)</f>
        <v>2401.5874888888889</v>
      </c>
      <c r="N527" s="273"/>
    </row>
    <row r="528" spans="1:14" ht="12.75" customHeight="1" x14ac:dyDescent="0.2">
      <c r="A528" s="403" t="s">
        <v>3172</v>
      </c>
      <c r="B528" s="271"/>
      <c r="C528" s="271"/>
      <c r="D528" s="271"/>
      <c r="E528" s="271"/>
      <c r="F528" s="271"/>
      <c r="G528" s="273"/>
      <c r="H528" s="29" t="s">
        <v>968</v>
      </c>
      <c r="I528" s="394">
        <f>'precios '!J222</f>
        <v>2077.2367952644231</v>
      </c>
      <c r="J528" s="273"/>
      <c r="K528" s="417">
        <f>+Indice!$L$21</f>
        <v>49</v>
      </c>
      <c r="L528" s="273"/>
      <c r="M528" s="394">
        <f t="shared" si="63"/>
        <v>101784.60296795673</v>
      </c>
      <c r="N528" s="273"/>
    </row>
    <row r="529" spans="1:15" ht="12.75" customHeight="1" x14ac:dyDescent="0.2">
      <c r="A529" s="400" t="s">
        <v>3173</v>
      </c>
      <c r="B529" s="271"/>
      <c r="C529" s="271"/>
      <c r="D529" s="271"/>
      <c r="E529" s="271"/>
      <c r="F529" s="271"/>
      <c r="G529" s="273"/>
      <c r="H529" s="29" t="s">
        <v>24</v>
      </c>
      <c r="I529" s="394">
        <f>+M506</f>
        <v>340000</v>
      </c>
      <c r="J529" s="273"/>
      <c r="K529" s="404">
        <v>0.05</v>
      </c>
      <c r="L529" s="273"/>
      <c r="M529" s="394">
        <f t="shared" si="63"/>
        <v>17000</v>
      </c>
      <c r="N529" s="273"/>
    </row>
    <row r="530" spans="1:15" ht="12.75" customHeight="1" x14ac:dyDescent="0.2">
      <c r="A530" s="400"/>
      <c r="B530" s="271"/>
      <c r="C530" s="271"/>
      <c r="D530" s="271"/>
      <c r="E530" s="271"/>
      <c r="F530" s="271"/>
      <c r="G530" s="273"/>
      <c r="H530" s="29"/>
      <c r="I530" s="394"/>
      <c r="J530" s="273"/>
      <c r="K530" s="395"/>
      <c r="L530" s="273"/>
      <c r="M530" s="394" t="str">
        <f t="shared" si="63"/>
        <v/>
      </c>
      <c r="N530" s="273"/>
    </row>
    <row r="531" spans="1:15" ht="12.75" customHeight="1" x14ac:dyDescent="0.2">
      <c r="A531" s="400"/>
      <c r="B531" s="271"/>
      <c r="C531" s="271"/>
      <c r="D531" s="271"/>
      <c r="E531" s="271"/>
      <c r="F531" s="271"/>
      <c r="G531" s="273"/>
      <c r="H531" s="29"/>
      <c r="I531" s="394"/>
      <c r="J531" s="273"/>
      <c r="K531" s="395"/>
      <c r="L531" s="273"/>
      <c r="M531" s="394" t="str">
        <f t="shared" si="63"/>
        <v/>
      </c>
      <c r="N531" s="273"/>
    </row>
    <row r="532" spans="1:15" ht="12.75" customHeight="1" x14ac:dyDescent="0.25">
      <c r="A532" s="4"/>
      <c r="B532" s="4"/>
      <c r="C532" s="4"/>
      <c r="D532" s="4"/>
      <c r="E532" s="4"/>
      <c r="F532" s="4"/>
      <c r="G532" s="4"/>
      <c r="H532" s="4"/>
      <c r="I532" s="4"/>
      <c r="J532" s="4"/>
      <c r="K532" s="396" t="s">
        <v>444</v>
      </c>
      <c r="L532" s="273"/>
      <c r="M532" s="394">
        <f>SUM(M527:N531)</f>
        <v>121186.19045684562</v>
      </c>
      <c r="N532" s="273"/>
    </row>
    <row r="533" spans="1:15" ht="12.75" customHeight="1" x14ac:dyDescent="0.25">
      <c r="A533" s="4"/>
      <c r="B533" s="4"/>
      <c r="C533" s="4"/>
      <c r="D533" s="4"/>
      <c r="E533" s="4"/>
      <c r="F533" s="4"/>
      <c r="G533" s="4"/>
      <c r="H533" s="4"/>
      <c r="I533" s="4"/>
      <c r="J533" s="4"/>
      <c r="K533" s="4"/>
      <c r="L533" s="4"/>
      <c r="M533" s="4"/>
      <c r="N533" s="4"/>
    </row>
    <row r="534" spans="1:15" ht="12.75" customHeight="1" x14ac:dyDescent="0.2">
      <c r="A534" s="398" t="s">
        <v>931</v>
      </c>
      <c r="B534" s="271"/>
      <c r="C534" s="271"/>
      <c r="D534" s="271"/>
      <c r="E534" s="271"/>
      <c r="F534" s="271"/>
      <c r="G534" s="271"/>
      <c r="H534" s="271"/>
      <c r="I534" s="271"/>
      <c r="J534" s="271"/>
      <c r="K534" s="271"/>
      <c r="L534" s="271"/>
      <c r="M534" s="271"/>
      <c r="N534" s="273"/>
    </row>
    <row r="535" spans="1:15" ht="12.75" customHeight="1" x14ac:dyDescent="0.2">
      <c r="A535" s="396" t="s">
        <v>76</v>
      </c>
      <c r="B535" s="271"/>
      <c r="C535" s="271"/>
      <c r="D535" s="271"/>
      <c r="E535" s="271"/>
      <c r="F535" s="271"/>
      <c r="G535" s="273"/>
      <c r="H535" s="88" t="s">
        <v>77</v>
      </c>
      <c r="I535" s="399" t="s">
        <v>920</v>
      </c>
      <c r="J535" s="273"/>
      <c r="K535" s="90" t="s">
        <v>514</v>
      </c>
      <c r="L535" s="91" t="s">
        <v>932</v>
      </c>
      <c r="M535" s="399" t="s">
        <v>921</v>
      </c>
      <c r="N535" s="273"/>
    </row>
    <row r="536" spans="1:15" ht="12.75" customHeight="1" x14ac:dyDescent="0.25">
      <c r="A536" s="393" t="s">
        <v>962</v>
      </c>
      <c r="B536" s="271"/>
      <c r="C536" s="271"/>
      <c r="D536" s="271"/>
      <c r="E536" s="271"/>
      <c r="F536" s="271"/>
      <c r="G536" s="273"/>
      <c r="H536" s="29" t="str">
        <f>IF(A536="","",VLOOKUP(A536,AA_Cuadrillas,4,FALSE))</f>
        <v>Cuadrilla</v>
      </c>
      <c r="I536" s="394">
        <f>IF(A536="","",VLOOKUP(A536,AA_Cuadrillas,5,FALSE))</f>
        <v>396871</v>
      </c>
      <c r="J536" s="273"/>
      <c r="K536" s="9">
        <f>IF(A536="","",F.P!$I$2)</f>
        <v>1.88</v>
      </c>
      <c r="L536" s="93">
        <f>1/4.5</f>
        <v>0.22222222222222221</v>
      </c>
      <c r="M536" s="394">
        <f t="shared" ref="M536:M540" si="64">IF(A536="","",I536*K536*L536)</f>
        <v>165803.88444444444</v>
      </c>
      <c r="N536" s="273"/>
    </row>
    <row r="537" spans="1:15" ht="12.75" customHeight="1" x14ac:dyDescent="0.25">
      <c r="A537" s="393"/>
      <c r="B537" s="271"/>
      <c r="C537" s="271"/>
      <c r="D537" s="271"/>
      <c r="E537" s="271"/>
      <c r="F537" s="271"/>
      <c r="G537" s="273"/>
      <c r="H537" s="29" t="str">
        <f>IF(A537="","",VLOOKUP(A537,AA_Cuadrillas,4,FALSE))</f>
        <v/>
      </c>
      <c r="I537" s="394" t="str">
        <f>IF(A537="","",VLOOKUP(A537,AA_Cuadrillas,5,FALSE))</f>
        <v/>
      </c>
      <c r="J537" s="273"/>
      <c r="K537" s="9" t="str">
        <f>IF(A537="","",F.P!$I$2)</f>
        <v/>
      </c>
      <c r="L537" s="9"/>
      <c r="M537" s="394" t="str">
        <f t="shared" si="64"/>
        <v/>
      </c>
      <c r="N537" s="273"/>
    </row>
    <row r="538" spans="1:15" ht="12.75" customHeight="1" x14ac:dyDescent="0.25">
      <c r="A538" s="393"/>
      <c r="B538" s="271"/>
      <c r="C538" s="271"/>
      <c r="D538" s="271"/>
      <c r="E538" s="271"/>
      <c r="F538" s="271"/>
      <c r="G538" s="273"/>
      <c r="H538" s="29" t="str">
        <f>IF(A538="","",VLOOKUP(A538,AA_Cuadrillas,4,FALSE))</f>
        <v/>
      </c>
      <c r="I538" s="394" t="str">
        <f>IF(A538="","",VLOOKUP(A538,AA_Cuadrillas,5,FALSE))</f>
        <v/>
      </c>
      <c r="J538" s="273"/>
      <c r="K538" s="9" t="str">
        <f>IF(A538="","",F.P!$I$2)</f>
        <v/>
      </c>
      <c r="L538" s="37"/>
      <c r="M538" s="394" t="str">
        <f t="shared" si="64"/>
        <v/>
      </c>
      <c r="N538" s="273"/>
    </row>
    <row r="539" spans="1:15" ht="12.75" customHeight="1" x14ac:dyDescent="0.25">
      <c r="A539" s="393"/>
      <c r="B539" s="271"/>
      <c r="C539" s="271"/>
      <c r="D539" s="271"/>
      <c r="E539" s="271"/>
      <c r="F539" s="271"/>
      <c r="G539" s="273"/>
      <c r="H539" s="29" t="str">
        <f>IF(A539="","",VLOOKUP(A539,AA_Cuadrillas,4,FALSE))</f>
        <v/>
      </c>
      <c r="I539" s="394" t="str">
        <f>IF(A539="","",VLOOKUP(A539,AA_Cuadrillas,5,FALSE))</f>
        <v/>
      </c>
      <c r="J539" s="273"/>
      <c r="K539" s="9" t="str">
        <f>IF(A539="","",F.P!$I$2)</f>
        <v/>
      </c>
      <c r="L539" s="37"/>
      <c r="M539" s="394" t="str">
        <f t="shared" si="64"/>
        <v/>
      </c>
      <c r="N539" s="273"/>
    </row>
    <row r="540" spans="1:15" ht="12.75" customHeight="1" x14ac:dyDescent="0.25">
      <c r="A540" s="393"/>
      <c r="B540" s="271"/>
      <c r="C540" s="271"/>
      <c r="D540" s="271"/>
      <c r="E540" s="271"/>
      <c r="F540" s="271"/>
      <c r="G540" s="273"/>
      <c r="H540" s="29" t="str">
        <f>IF(A540="","",VLOOKUP(A540,AA_Cuadrillas,4,FALSE))</f>
        <v/>
      </c>
      <c r="I540" s="394" t="str">
        <f>IF(A540="","",VLOOKUP(A540,AA_Cuadrillas,5,FALSE))</f>
        <v/>
      </c>
      <c r="J540" s="273"/>
      <c r="K540" s="9" t="str">
        <f>IF(A540="","",F.P!$I$2)</f>
        <v/>
      </c>
      <c r="L540" s="37"/>
      <c r="M540" s="394" t="str">
        <f t="shared" si="64"/>
        <v/>
      </c>
      <c r="N540" s="273"/>
    </row>
    <row r="541" spans="1:15" ht="12.75" customHeight="1" x14ac:dyDescent="0.25">
      <c r="A541" s="4"/>
      <c r="B541" s="4"/>
      <c r="C541" s="4"/>
      <c r="D541" s="4"/>
      <c r="E541" s="4"/>
      <c r="F541" s="4"/>
      <c r="G541" s="4"/>
      <c r="H541" s="4"/>
      <c r="I541" s="4"/>
      <c r="J541" s="4"/>
      <c r="K541" s="396" t="s">
        <v>444</v>
      </c>
      <c r="L541" s="273"/>
      <c r="M541" s="394">
        <f>SUM(M536:N540)</f>
        <v>165803.88444444444</v>
      </c>
      <c r="N541" s="273"/>
    </row>
    <row r="542" spans="1:15" ht="12.75" customHeight="1" x14ac:dyDescent="0.25">
      <c r="A542" s="4"/>
      <c r="B542" s="4"/>
      <c r="C542" s="4"/>
      <c r="D542" s="4"/>
      <c r="E542" s="4"/>
      <c r="F542" s="4"/>
      <c r="G542" s="4"/>
      <c r="H542" s="4"/>
      <c r="I542" s="4"/>
      <c r="J542" s="4"/>
      <c r="K542" s="4"/>
      <c r="L542" s="4"/>
      <c r="M542" s="4"/>
      <c r="N542" s="4"/>
    </row>
    <row r="543" spans="1:15" ht="12.75" customHeight="1" x14ac:dyDescent="0.2">
      <c r="A543" s="407" t="s">
        <v>200</v>
      </c>
      <c r="B543" s="275"/>
      <c r="C543" s="275"/>
      <c r="D543" s="275"/>
      <c r="E543" s="275"/>
      <c r="F543" s="275"/>
      <c r="G543" s="275"/>
      <c r="H543" s="275"/>
      <c r="I543" s="275"/>
      <c r="J543" s="275"/>
      <c r="K543" s="275"/>
      <c r="L543" s="275"/>
      <c r="M543" s="275"/>
      <c r="N543" s="276"/>
      <c r="O543" s="166"/>
    </row>
    <row r="544" spans="1:15" ht="12.75" customHeight="1" x14ac:dyDescent="0.2">
      <c r="A544" s="277"/>
      <c r="B544" s="278"/>
      <c r="C544" s="278"/>
      <c r="D544" s="278"/>
      <c r="E544" s="278"/>
      <c r="F544" s="278"/>
      <c r="G544" s="278"/>
      <c r="H544" s="278"/>
      <c r="I544" s="278"/>
      <c r="J544" s="278"/>
      <c r="K544" s="278"/>
      <c r="L544" s="278"/>
      <c r="M544" s="278"/>
      <c r="N544" s="279"/>
      <c r="O544" s="166"/>
    </row>
    <row r="545" spans="1:17" ht="12.75" customHeight="1" x14ac:dyDescent="0.2">
      <c r="A545" s="75"/>
      <c r="B545" s="75"/>
      <c r="C545" s="75"/>
      <c r="D545" s="75"/>
      <c r="E545" s="75"/>
      <c r="F545" s="75"/>
      <c r="G545" s="75"/>
      <c r="H545" s="75"/>
      <c r="I545" s="75"/>
      <c r="J545" s="75"/>
      <c r="K545" s="75"/>
      <c r="L545" s="75"/>
      <c r="M545" s="75"/>
      <c r="N545" s="75"/>
    </row>
    <row r="546" spans="1:17" ht="12.75" customHeight="1" x14ac:dyDescent="0.3">
      <c r="A546" s="79" t="s">
        <v>625</v>
      </c>
      <c r="B546" s="80" t="str">
        <f>A543</f>
        <v>SUMINISTRO FIGURADO Y ARMADO DE ACERO DE REFUERZO 60000 PSI (INCLUYE DESPERDICIO DEL 5%)</v>
      </c>
      <c r="C546" s="81" t="s">
        <v>916</v>
      </c>
      <c r="D546" s="82" t="s">
        <v>969</v>
      </c>
      <c r="E546" s="83" t="s">
        <v>445</v>
      </c>
      <c r="F546" s="234">
        <f>(H546+J546+L546+N546)*1.3</f>
        <v>10407.86484233889</v>
      </c>
      <c r="G546" s="83" t="s">
        <v>607</v>
      </c>
      <c r="H546" s="86">
        <f>M564</f>
        <v>53.642457777777786</v>
      </c>
      <c r="I546" s="83" t="s">
        <v>918</v>
      </c>
      <c r="J546" s="86">
        <f>M555</f>
        <v>6549.4058500000001</v>
      </c>
      <c r="K546" s="83" t="s">
        <v>609</v>
      </c>
      <c r="L546" s="86">
        <f>M573</f>
        <v>330.15241538888893</v>
      </c>
      <c r="M546" s="83" t="s">
        <v>610</v>
      </c>
      <c r="N546" s="86">
        <f>M582</f>
        <v>1072.8491555555556</v>
      </c>
    </row>
    <row r="547" spans="1:17" ht="12.75" customHeight="1" x14ac:dyDescent="0.25">
      <c r="A547" s="87"/>
      <c r="B547" s="87"/>
      <c r="C547" s="87"/>
      <c r="D547" s="87"/>
      <c r="E547" s="87"/>
      <c r="F547" s="87"/>
      <c r="G547" s="87"/>
      <c r="J547" s="87"/>
      <c r="K547" s="215" t="s">
        <v>3217</v>
      </c>
      <c r="L547" s="215">
        <f>+F546*presup!$O$5</f>
        <v>13530.224295040556</v>
      </c>
      <c r="M547" s="87"/>
      <c r="N547" s="87"/>
    </row>
    <row r="548" spans="1:17" ht="12.75" customHeight="1" x14ac:dyDescent="0.2">
      <c r="A548" s="398" t="s">
        <v>919</v>
      </c>
      <c r="B548" s="271"/>
      <c r="C548" s="271"/>
      <c r="D548" s="271"/>
      <c r="E548" s="271"/>
      <c r="F548" s="271"/>
      <c r="G548" s="271"/>
      <c r="H548" s="271"/>
      <c r="I548" s="271"/>
      <c r="J548" s="271"/>
      <c r="K548" s="271"/>
      <c r="L548" s="271"/>
      <c r="M548" s="271"/>
      <c r="N548" s="273"/>
    </row>
    <row r="549" spans="1:17" ht="12.75" customHeight="1" x14ac:dyDescent="0.2">
      <c r="A549" s="396" t="s">
        <v>76</v>
      </c>
      <c r="B549" s="271"/>
      <c r="C549" s="271"/>
      <c r="D549" s="271"/>
      <c r="E549" s="271"/>
      <c r="F549" s="271"/>
      <c r="G549" s="273"/>
      <c r="H549" s="88" t="s">
        <v>77</v>
      </c>
      <c r="I549" s="399" t="s">
        <v>920</v>
      </c>
      <c r="J549" s="273"/>
      <c r="K549" s="399" t="s">
        <v>453</v>
      </c>
      <c r="L549" s="273"/>
      <c r="M549" s="399" t="s">
        <v>921</v>
      </c>
      <c r="N549" s="273"/>
    </row>
    <row r="550" spans="1:17" ht="12.75" customHeight="1" x14ac:dyDescent="0.2">
      <c r="A550" s="400" t="s">
        <v>970</v>
      </c>
      <c r="B550" s="271"/>
      <c r="C550" s="271"/>
      <c r="D550" s="271"/>
      <c r="E550" s="271"/>
      <c r="F550" s="271"/>
      <c r="G550" s="273"/>
      <c r="H550" s="29" t="str">
        <f>IF(A550="","",VLOOKUP(A550,AA_Materiales,7,FALSE))</f>
        <v>Kg</v>
      </c>
      <c r="I550" s="394">
        <f>IF(A550="","",VLOOKUP(A550,AA_Materiales,8,FALSE))</f>
        <v>5883.1369999999997</v>
      </c>
      <c r="J550" s="273"/>
      <c r="K550" s="395">
        <v>1.05</v>
      </c>
      <c r="L550" s="273"/>
      <c r="M550" s="394">
        <f t="shared" ref="M550:M554" si="65">IF(A550="","",I550*K550)</f>
        <v>6177.29385</v>
      </c>
      <c r="N550" s="273"/>
    </row>
    <row r="551" spans="1:17" ht="12.75" customHeight="1" x14ac:dyDescent="0.2">
      <c r="A551" s="400" t="s">
        <v>971</v>
      </c>
      <c r="B551" s="271"/>
      <c r="C551" s="271"/>
      <c r="D551" s="271"/>
      <c r="E551" s="271"/>
      <c r="F551" s="271"/>
      <c r="G551" s="273"/>
      <c r="H551" s="29" t="str">
        <f>IF(A551="","",VLOOKUP(A551,AA_Materiales,7,FALSE))</f>
        <v>Kg</v>
      </c>
      <c r="I551" s="394">
        <f>IF(A551="","",VLOOKUP(A551,AA_Materiales,8,FALSE))</f>
        <v>9302.8000000000011</v>
      </c>
      <c r="J551" s="273"/>
      <c r="K551" s="395">
        <v>0.04</v>
      </c>
      <c r="L551" s="273"/>
      <c r="M551" s="394">
        <f t="shared" si="65"/>
        <v>372.11200000000002</v>
      </c>
      <c r="N551" s="273"/>
    </row>
    <row r="552" spans="1:17" ht="12.75" customHeight="1" x14ac:dyDescent="0.2">
      <c r="A552" s="400"/>
      <c r="B552" s="271"/>
      <c r="C552" s="271"/>
      <c r="D552" s="271"/>
      <c r="E552" s="271"/>
      <c r="F552" s="271"/>
      <c r="G552" s="273"/>
      <c r="H552" s="29" t="str">
        <f>IF(A552="","",VLOOKUP(A552,AA_Materiales,7,FALSE))</f>
        <v/>
      </c>
      <c r="I552" s="394" t="str">
        <f>IF(A552="","",VLOOKUP(A552,AA_Materiales,8,FALSE))</f>
        <v/>
      </c>
      <c r="J552" s="273"/>
      <c r="K552" s="395"/>
      <c r="L552" s="273"/>
      <c r="M552" s="394" t="str">
        <f t="shared" si="65"/>
        <v/>
      </c>
      <c r="N552" s="273"/>
    </row>
    <row r="553" spans="1:17" ht="12.75" customHeight="1" x14ac:dyDescent="0.2">
      <c r="A553" s="400"/>
      <c r="B553" s="271"/>
      <c r="C553" s="271"/>
      <c r="D553" s="271"/>
      <c r="E553" s="271"/>
      <c r="F553" s="271"/>
      <c r="G553" s="273"/>
      <c r="H553" s="29" t="str">
        <f>IF(A553="","",VLOOKUP(A553,AA_Materiales,7,FALSE))</f>
        <v/>
      </c>
      <c r="I553" s="394" t="str">
        <f>IF(A553="","",VLOOKUP(A553,AA_Materiales,8,FALSE))</f>
        <v/>
      </c>
      <c r="J553" s="273"/>
      <c r="K553" s="395"/>
      <c r="L553" s="273"/>
      <c r="M553" s="394" t="str">
        <f t="shared" si="65"/>
        <v/>
      </c>
      <c r="N553" s="273"/>
    </row>
    <row r="554" spans="1:17" ht="12.75" customHeight="1" x14ac:dyDescent="0.2">
      <c r="A554" s="400"/>
      <c r="B554" s="271"/>
      <c r="C554" s="271"/>
      <c r="D554" s="271"/>
      <c r="E554" s="271"/>
      <c r="F554" s="271"/>
      <c r="G554" s="273"/>
      <c r="H554" s="29" t="str">
        <f>IF(A554="","",VLOOKUP(A554,AA_Materiales,7,FALSE))</f>
        <v/>
      </c>
      <c r="I554" s="394" t="str">
        <f>IF(A554="","",VLOOKUP(A554,AA_Materiales,8,FALSE))</f>
        <v/>
      </c>
      <c r="J554" s="273"/>
      <c r="K554" s="395"/>
      <c r="L554" s="273"/>
      <c r="M554" s="394" t="str">
        <f t="shared" si="65"/>
        <v/>
      </c>
      <c r="N554" s="273"/>
    </row>
    <row r="555" spans="1:17" ht="12.75" customHeight="1" x14ac:dyDescent="0.25">
      <c r="A555" s="4"/>
      <c r="B555" s="4"/>
      <c r="C555" s="4"/>
      <c r="D555" s="4"/>
      <c r="E555" s="4"/>
      <c r="F555" s="4"/>
      <c r="G555" s="4"/>
      <c r="H555" s="4"/>
      <c r="I555" s="4"/>
      <c r="J555" s="4"/>
      <c r="K555" s="396" t="s">
        <v>444</v>
      </c>
      <c r="L555" s="273"/>
      <c r="M555" s="394">
        <f>SUM(M550:N554)</f>
        <v>6549.4058500000001</v>
      </c>
      <c r="N555" s="273"/>
      <c r="Q555" s="221"/>
    </row>
    <row r="556" spans="1:17" ht="12.75" customHeight="1" x14ac:dyDescent="0.25">
      <c r="A556" s="4"/>
      <c r="B556" s="4"/>
      <c r="C556" s="4"/>
      <c r="D556" s="4"/>
      <c r="E556" s="4"/>
      <c r="F556" s="4"/>
      <c r="G556" s="4"/>
      <c r="H556" s="4"/>
      <c r="I556" s="4"/>
      <c r="J556" s="4"/>
      <c r="K556" s="4"/>
      <c r="L556" s="4"/>
      <c r="M556" s="4"/>
      <c r="N556" s="4"/>
    </row>
    <row r="557" spans="1:17" ht="12.75" customHeight="1" x14ac:dyDescent="0.2">
      <c r="A557" s="398" t="s">
        <v>926</v>
      </c>
      <c r="B557" s="271"/>
      <c r="C557" s="271"/>
      <c r="D557" s="271"/>
      <c r="E557" s="271"/>
      <c r="F557" s="271"/>
      <c r="G557" s="271"/>
      <c r="H557" s="271"/>
      <c r="I557" s="271"/>
      <c r="J557" s="271"/>
      <c r="K557" s="271"/>
      <c r="L557" s="271"/>
      <c r="M557" s="271"/>
      <c r="N557" s="273"/>
    </row>
    <row r="558" spans="1:17" ht="12.75" customHeight="1" x14ac:dyDescent="0.2">
      <c r="A558" s="396" t="s">
        <v>76</v>
      </c>
      <c r="B558" s="271"/>
      <c r="C558" s="271"/>
      <c r="D558" s="271"/>
      <c r="E558" s="271"/>
      <c r="F558" s="271"/>
      <c r="G558" s="273"/>
      <c r="H558" s="88" t="s">
        <v>77</v>
      </c>
      <c r="I558" s="399" t="s">
        <v>920</v>
      </c>
      <c r="J558" s="273"/>
      <c r="K558" s="399" t="s">
        <v>453</v>
      </c>
      <c r="L558" s="273"/>
      <c r="M558" s="399" t="s">
        <v>921</v>
      </c>
      <c r="N558" s="273"/>
    </row>
    <row r="559" spans="1:17" ht="12.75" customHeight="1" x14ac:dyDescent="0.2">
      <c r="A559" s="400" t="s">
        <v>927</v>
      </c>
      <c r="B559" s="271"/>
      <c r="C559" s="271"/>
      <c r="D559" s="271"/>
      <c r="E559" s="271"/>
      <c r="F559" s="271"/>
      <c r="G559" s="273"/>
      <c r="H559" s="29" t="str">
        <f>IF(A559="","",VLOOKUP(A559,AA_Equipos,7,FALSE))</f>
        <v>% M.O.</v>
      </c>
      <c r="I559" s="394">
        <f>M582</f>
        <v>1072.8491555555556</v>
      </c>
      <c r="J559" s="273"/>
      <c r="K559" s="404">
        <v>0.05</v>
      </c>
      <c r="L559" s="273"/>
      <c r="M559" s="394">
        <f t="shared" ref="M559:M563" si="66">IF(A559="","",I559*K559)</f>
        <v>53.642457777777786</v>
      </c>
      <c r="N559" s="273"/>
    </row>
    <row r="560" spans="1:17" ht="12.75" customHeight="1" x14ac:dyDescent="0.2">
      <c r="A560" s="403"/>
      <c r="B560" s="271"/>
      <c r="C560" s="271"/>
      <c r="D560" s="271"/>
      <c r="E560" s="271"/>
      <c r="F560" s="271"/>
      <c r="G560" s="273"/>
      <c r="H560" s="29" t="str">
        <f>IF(A560="","",VLOOKUP(A560,AA_Equipos,7,FALSE))</f>
        <v/>
      </c>
      <c r="I560" s="394" t="str">
        <f>IF(A560="","",VLOOKUP(A560,AA_Equipos,8,FALSE))</f>
        <v/>
      </c>
      <c r="J560" s="273"/>
      <c r="K560" s="402"/>
      <c r="L560" s="273"/>
      <c r="M560" s="394" t="str">
        <f t="shared" si="66"/>
        <v/>
      </c>
      <c r="N560" s="273"/>
    </row>
    <row r="561" spans="1:14" ht="12.75" customHeight="1" x14ac:dyDescent="0.2">
      <c r="A561" s="400"/>
      <c r="B561" s="271"/>
      <c r="C561" s="271"/>
      <c r="D561" s="271"/>
      <c r="E561" s="271"/>
      <c r="F561" s="271"/>
      <c r="G561" s="273"/>
      <c r="H561" s="29" t="str">
        <f>IF(A561="","",VLOOKUP(A561,AA_Equipos,7,FALSE))</f>
        <v/>
      </c>
      <c r="I561" s="394" t="str">
        <f>IF(A561="","",VLOOKUP(A561,AA_Equipos,8,FALSE))</f>
        <v/>
      </c>
      <c r="J561" s="273"/>
      <c r="K561" s="395"/>
      <c r="L561" s="273"/>
      <c r="M561" s="394" t="str">
        <f t="shared" si="66"/>
        <v/>
      </c>
      <c r="N561" s="273"/>
    </row>
    <row r="562" spans="1:14" ht="12.75" customHeight="1" x14ac:dyDescent="0.2">
      <c r="A562" s="400"/>
      <c r="B562" s="271"/>
      <c r="C562" s="271"/>
      <c r="D562" s="271"/>
      <c r="E562" s="271"/>
      <c r="F562" s="271"/>
      <c r="G562" s="273"/>
      <c r="H562" s="29" t="str">
        <f>IF(A562="","",VLOOKUP(A562,AA_Equipos,7,FALSE))</f>
        <v/>
      </c>
      <c r="I562" s="394" t="str">
        <f>IF(A562="","",VLOOKUP(A562,AA_Equipos,8,FALSE))</f>
        <v/>
      </c>
      <c r="J562" s="273"/>
      <c r="K562" s="395"/>
      <c r="L562" s="273"/>
      <c r="M562" s="394" t="str">
        <f t="shared" si="66"/>
        <v/>
      </c>
      <c r="N562" s="273"/>
    </row>
    <row r="563" spans="1:14" ht="12.75" customHeight="1" x14ac:dyDescent="0.2">
      <c r="A563" s="400"/>
      <c r="B563" s="271"/>
      <c r="C563" s="271"/>
      <c r="D563" s="271"/>
      <c r="E563" s="271"/>
      <c r="F563" s="271"/>
      <c r="G563" s="273"/>
      <c r="H563" s="29" t="str">
        <f>IF(A563="","",VLOOKUP(A563,AA_Equipos,7,FALSE))</f>
        <v/>
      </c>
      <c r="I563" s="394" t="str">
        <f>IF(A563="","",VLOOKUP(A563,AA_Equipos,8,FALSE))</f>
        <v/>
      </c>
      <c r="J563" s="273"/>
      <c r="K563" s="395"/>
      <c r="L563" s="273"/>
      <c r="M563" s="394" t="str">
        <f t="shared" si="66"/>
        <v/>
      </c>
      <c r="N563" s="273"/>
    </row>
    <row r="564" spans="1:14" ht="12.75" customHeight="1" x14ac:dyDescent="0.25">
      <c r="A564" s="4"/>
      <c r="B564" s="4"/>
      <c r="C564" s="4"/>
      <c r="D564" s="4"/>
      <c r="E564" s="4"/>
      <c r="F564" s="4"/>
      <c r="G564" s="4"/>
      <c r="H564" s="4"/>
      <c r="I564" s="4"/>
      <c r="J564" s="4"/>
      <c r="K564" s="396" t="s">
        <v>444</v>
      </c>
      <c r="L564" s="273"/>
      <c r="M564" s="394">
        <f>SUM(M559:N563)</f>
        <v>53.642457777777786</v>
      </c>
      <c r="N564" s="273"/>
    </row>
    <row r="565" spans="1:14" ht="12.75" customHeight="1" x14ac:dyDescent="0.25">
      <c r="A565" s="4"/>
      <c r="B565" s="4"/>
      <c r="C565" s="4"/>
      <c r="D565" s="4"/>
      <c r="E565" s="4"/>
      <c r="F565" s="4"/>
      <c r="G565" s="4"/>
      <c r="H565" s="4"/>
      <c r="I565" s="4"/>
      <c r="J565" s="4"/>
      <c r="K565" s="4"/>
      <c r="L565" s="4"/>
      <c r="M565" s="4"/>
      <c r="N565" s="4"/>
    </row>
    <row r="566" spans="1:14" ht="12.75" customHeight="1" x14ac:dyDescent="0.2">
      <c r="A566" s="398" t="s">
        <v>929</v>
      </c>
      <c r="B566" s="271"/>
      <c r="C566" s="271"/>
      <c r="D566" s="271"/>
      <c r="E566" s="271"/>
      <c r="F566" s="271"/>
      <c r="G566" s="271"/>
      <c r="H566" s="271"/>
      <c r="I566" s="271"/>
      <c r="J566" s="271"/>
      <c r="K566" s="271"/>
      <c r="L566" s="271"/>
      <c r="M566" s="271"/>
      <c r="N566" s="273"/>
    </row>
    <row r="567" spans="1:14" ht="12.75" customHeight="1" x14ac:dyDescent="0.2">
      <c r="A567" s="396" t="s">
        <v>76</v>
      </c>
      <c r="B567" s="271"/>
      <c r="C567" s="271"/>
      <c r="D567" s="271"/>
      <c r="E567" s="271"/>
      <c r="F567" s="271"/>
      <c r="G567" s="273"/>
      <c r="H567" s="88" t="s">
        <v>77</v>
      </c>
      <c r="I567" s="399" t="s">
        <v>920</v>
      </c>
      <c r="J567" s="273"/>
      <c r="K567" s="399" t="s">
        <v>453</v>
      </c>
      <c r="L567" s="273"/>
      <c r="M567" s="399" t="s">
        <v>921</v>
      </c>
      <c r="N567" s="273"/>
    </row>
    <row r="568" spans="1:14" ht="12.75" customHeight="1" x14ac:dyDescent="0.2">
      <c r="A568" s="400" t="s">
        <v>966</v>
      </c>
      <c r="B568" s="271"/>
      <c r="C568" s="271"/>
      <c r="D568" s="271"/>
      <c r="E568" s="271"/>
      <c r="F568" s="271"/>
      <c r="G568" s="273"/>
      <c r="H568" s="29" t="s">
        <v>972</v>
      </c>
      <c r="I568" s="394">
        <f>+M555</f>
        <v>6549.4058500000001</v>
      </c>
      <c r="J568" s="273"/>
      <c r="K568" s="404">
        <v>0.05</v>
      </c>
      <c r="L568" s="273"/>
      <c r="M568" s="394">
        <f t="shared" ref="M568:M572" si="67">IF(A568="","",I568*K568)</f>
        <v>327.47029250000003</v>
      </c>
      <c r="N568" s="273"/>
    </row>
    <row r="569" spans="1:14" ht="12.75" customHeight="1" x14ac:dyDescent="0.2">
      <c r="A569" s="403" t="s">
        <v>3174</v>
      </c>
      <c r="B569" s="271"/>
      <c r="C569" s="271"/>
      <c r="D569" s="271"/>
      <c r="E569" s="271"/>
      <c r="F569" s="271"/>
      <c r="G569" s="273"/>
      <c r="H569" s="29" t="s">
        <v>24</v>
      </c>
      <c r="I569" s="394">
        <f>+M564</f>
        <v>53.642457777777786</v>
      </c>
      <c r="J569" s="273"/>
      <c r="K569" s="404">
        <v>0.05</v>
      </c>
      <c r="L569" s="273"/>
      <c r="M569" s="394">
        <f t="shared" si="67"/>
        <v>2.6821228888888893</v>
      </c>
      <c r="N569" s="273"/>
    </row>
    <row r="570" spans="1:14" ht="12.75" customHeight="1" x14ac:dyDescent="0.2">
      <c r="A570" s="400"/>
      <c r="B570" s="271"/>
      <c r="C570" s="271"/>
      <c r="D570" s="271"/>
      <c r="E570" s="271"/>
      <c r="F570" s="271"/>
      <c r="G570" s="273"/>
      <c r="H570" s="29"/>
      <c r="I570" s="394"/>
      <c r="J570" s="273"/>
      <c r="K570" s="395"/>
      <c r="L570" s="273"/>
      <c r="M570" s="394" t="str">
        <f t="shared" si="67"/>
        <v/>
      </c>
      <c r="N570" s="273"/>
    </row>
    <row r="571" spans="1:14" ht="12.75" customHeight="1" x14ac:dyDescent="0.2">
      <c r="A571" s="400"/>
      <c r="B571" s="271"/>
      <c r="C571" s="271"/>
      <c r="D571" s="271"/>
      <c r="E571" s="271"/>
      <c r="F571" s="271"/>
      <c r="G571" s="273"/>
      <c r="H571" s="29"/>
      <c r="I571" s="394"/>
      <c r="J571" s="273"/>
      <c r="K571" s="395"/>
      <c r="L571" s="273"/>
      <c r="M571" s="394" t="str">
        <f t="shared" si="67"/>
        <v/>
      </c>
      <c r="N571" s="273"/>
    </row>
    <row r="572" spans="1:14" ht="12.75" customHeight="1" x14ac:dyDescent="0.2">
      <c r="A572" s="400"/>
      <c r="B572" s="271"/>
      <c r="C572" s="271"/>
      <c r="D572" s="271"/>
      <c r="E572" s="271"/>
      <c r="F572" s="271"/>
      <c r="G572" s="273"/>
      <c r="H572" s="29"/>
      <c r="I572" s="394"/>
      <c r="J572" s="273"/>
      <c r="K572" s="395"/>
      <c r="L572" s="273"/>
      <c r="M572" s="394" t="str">
        <f t="shared" si="67"/>
        <v/>
      </c>
      <c r="N572" s="273"/>
    </row>
    <row r="573" spans="1:14" ht="12.75" customHeight="1" x14ac:dyDescent="0.25">
      <c r="A573" s="4"/>
      <c r="B573" s="4"/>
      <c r="C573" s="4"/>
      <c r="D573" s="4"/>
      <c r="E573" s="4"/>
      <c r="F573" s="4"/>
      <c r="G573" s="4"/>
      <c r="H573" s="4"/>
      <c r="I573" s="4"/>
      <c r="J573" s="4"/>
      <c r="K573" s="396" t="s">
        <v>444</v>
      </c>
      <c r="L573" s="273"/>
      <c r="M573" s="394">
        <f>SUM(M568:N572)</f>
        <v>330.15241538888893</v>
      </c>
      <c r="N573" s="273"/>
    </row>
    <row r="574" spans="1:14" ht="12.75" customHeight="1" x14ac:dyDescent="0.25">
      <c r="A574" s="4"/>
      <c r="B574" s="4"/>
      <c r="C574" s="4"/>
      <c r="D574" s="4"/>
      <c r="E574" s="4"/>
      <c r="F574" s="4"/>
      <c r="G574" s="4"/>
      <c r="H574" s="4"/>
      <c r="I574" s="4"/>
      <c r="J574" s="4"/>
      <c r="K574" s="4"/>
      <c r="L574" s="4"/>
      <c r="M574" s="4"/>
      <c r="N574" s="4"/>
    </row>
    <row r="575" spans="1:14" ht="12.75" customHeight="1" x14ac:dyDescent="0.2">
      <c r="A575" s="398" t="s">
        <v>931</v>
      </c>
      <c r="B575" s="271"/>
      <c r="C575" s="271"/>
      <c r="D575" s="271"/>
      <c r="E575" s="271"/>
      <c r="F575" s="271"/>
      <c r="G575" s="271"/>
      <c r="H575" s="271"/>
      <c r="I575" s="271"/>
      <c r="J575" s="271"/>
      <c r="K575" s="271"/>
      <c r="L575" s="271"/>
      <c r="M575" s="271"/>
      <c r="N575" s="273"/>
    </row>
    <row r="576" spans="1:14" ht="12.75" customHeight="1" x14ac:dyDescent="0.2">
      <c r="A576" s="396" t="s">
        <v>76</v>
      </c>
      <c r="B576" s="271"/>
      <c r="C576" s="271"/>
      <c r="D576" s="271"/>
      <c r="E576" s="271"/>
      <c r="F576" s="271"/>
      <c r="G576" s="273"/>
      <c r="H576" s="88" t="s">
        <v>77</v>
      </c>
      <c r="I576" s="399" t="s">
        <v>920</v>
      </c>
      <c r="J576" s="273"/>
      <c r="K576" s="90" t="s">
        <v>514</v>
      </c>
      <c r="L576" s="91" t="s">
        <v>932</v>
      </c>
      <c r="M576" s="399" t="s">
        <v>921</v>
      </c>
      <c r="N576" s="273"/>
    </row>
    <row r="577" spans="1:15" ht="12.75" customHeight="1" x14ac:dyDescent="0.25">
      <c r="A577" s="393" t="s">
        <v>973</v>
      </c>
      <c r="B577" s="271"/>
      <c r="C577" s="271"/>
      <c r="D577" s="271"/>
      <c r="E577" s="271"/>
      <c r="F577" s="271"/>
      <c r="G577" s="273"/>
      <c r="H577" s="29" t="str">
        <f>IF(A577="","",VLOOKUP(A577,AA_Cuadrillas,4,FALSE))</f>
        <v>Cuadrilla</v>
      </c>
      <c r="I577" s="394">
        <f>IF(A577="","",VLOOKUP(A577,AA_Cuadrillas,5,FALSE))</f>
        <v>256799</v>
      </c>
      <c r="J577" s="273"/>
      <c r="K577" s="9">
        <f>IF(A577="","",F.P!$I$2)</f>
        <v>1.88</v>
      </c>
      <c r="L577" s="93">
        <f>1/450</f>
        <v>2.2222222222222222E-3</v>
      </c>
      <c r="M577" s="394">
        <f t="shared" ref="M577:M581" si="68">IF(A577="","",I577*K577*L577)</f>
        <v>1072.8491555555556</v>
      </c>
      <c r="N577" s="273"/>
    </row>
    <row r="578" spans="1:15" ht="12.75" customHeight="1" x14ac:dyDescent="0.25">
      <c r="A578" s="393"/>
      <c r="B578" s="271"/>
      <c r="C578" s="271"/>
      <c r="D578" s="271"/>
      <c r="E578" s="271"/>
      <c r="F578" s="271"/>
      <c r="G578" s="273"/>
      <c r="H578" s="29" t="str">
        <f>IF(A578="","",VLOOKUP(A578,AA_Cuadrillas,4,FALSE))</f>
        <v/>
      </c>
      <c r="I578" s="394" t="str">
        <f>IF(A578="","",VLOOKUP(A578,AA_Cuadrillas,5,FALSE))</f>
        <v/>
      </c>
      <c r="J578" s="273"/>
      <c r="K578" s="9" t="str">
        <f>IF(A578="","",F.P!$I$2)</f>
        <v/>
      </c>
      <c r="L578" s="9"/>
      <c r="M578" s="394" t="str">
        <f t="shared" si="68"/>
        <v/>
      </c>
      <c r="N578" s="273"/>
    </row>
    <row r="579" spans="1:15" ht="12.75" customHeight="1" x14ac:dyDescent="0.25">
      <c r="A579" s="393"/>
      <c r="B579" s="271"/>
      <c r="C579" s="271"/>
      <c r="D579" s="271"/>
      <c r="E579" s="271"/>
      <c r="F579" s="271"/>
      <c r="G579" s="273"/>
      <c r="H579" s="29" t="str">
        <f>IF(A579="","",VLOOKUP(A579,AA_Cuadrillas,4,FALSE))</f>
        <v/>
      </c>
      <c r="I579" s="394" t="str">
        <f>IF(A579="","",VLOOKUP(A579,AA_Cuadrillas,5,FALSE))</f>
        <v/>
      </c>
      <c r="J579" s="273"/>
      <c r="K579" s="9" t="str">
        <f>IF(A579="","",F.P!$I$2)</f>
        <v/>
      </c>
      <c r="L579" s="37"/>
      <c r="M579" s="394" t="str">
        <f t="shared" si="68"/>
        <v/>
      </c>
      <c r="N579" s="273"/>
    </row>
    <row r="580" spans="1:15" ht="12.75" customHeight="1" x14ac:dyDescent="0.25">
      <c r="A580" s="393"/>
      <c r="B580" s="271"/>
      <c r="C580" s="271"/>
      <c r="D580" s="271"/>
      <c r="E580" s="271"/>
      <c r="F580" s="271"/>
      <c r="G580" s="273"/>
      <c r="H580" s="29" t="str">
        <f>IF(A580="","",VLOOKUP(A580,AA_Cuadrillas,4,FALSE))</f>
        <v/>
      </c>
      <c r="I580" s="394" t="str">
        <f>IF(A580="","",VLOOKUP(A580,AA_Cuadrillas,5,FALSE))</f>
        <v/>
      </c>
      <c r="J580" s="273"/>
      <c r="K580" s="9" t="str">
        <f>IF(A580="","",F.P!$I$2)</f>
        <v/>
      </c>
      <c r="L580" s="37"/>
      <c r="M580" s="394" t="str">
        <f t="shared" si="68"/>
        <v/>
      </c>
      <c r="N580" s="273"/>
    </row>
    <row r="581" spans="1:15" ht="12.75" customHeight="1" x14ac:dyDescent="0.25">
      <c r="A581" s="393"/>
      <c r="B581" s="271"/>
      <c r="C581" s="271"/>
      <c r="D581" s="271"/>
      <c r="E581" s="271"/>
      <c r="F581" s="271"/>
      <c r="G581" s="273"/>
      <c r="H581" s="29" t="str">
        <f>IF(A581="","",VLOOKUP(A581,AA_Cuadrillas,4,FALSE))</f>
        <v/>
      </c>
      <c r="I581" s="394" t="str">
        <f>IF(A581="","",VLOOKUP(A581,AA_Cuadrillas,5,FALSE))</f>
        <v/>
      </c>
      <c r="J581" s="273"/>
      <c r="K581" s="9" t="str">
        <f>IF(A581="","",F.P!$I$2)</f>
        <v/>
      </c>
      <c r="L581" s="37"/>
      <c r="M581" s="394" t="str">
        <f t="shared" si="68"/>
        <v/>
      </c>
      <c r="N581" s="273"/>
    </row>
    <row r="582" spans="1:15" ht="12.75" customHeight="1" x14ac:dyDescent="0.25">
      <c r="A582" s="4"/>
      <c r="B582" s="4"/>
      <c r="C582" s="4"/>
      <c r="D582" s="4"/>
      <c r="E582" s="4"/>
      <c r="F582" s="4"/>
      <c r="G582" s="4"/>
      <c r="H582" s="4"/>
      <c r="I582" s="4"/>
      <c r="J582" s="4"/>
      <c r="K582" s="396" t="s">
        <v>444</v>
      </c>
      <c r="L582" s="273"/>
      <c r="M582" s="394">
        <f>SUM(M577:N581)</f>
        <v>1072.8491555555556</v>
      </c>
      <c r="N582" s="273"/>
    </row>
    <row r="583" spans="1:15" ht="12.75" customHeight="1" x14ac:dyDescent="0.2"/>
    <row r="584" spans="1:15" ht="12.75" customHeight="1" x14ac:dyDescent="0.2">
      <c r="A584" s="407" t="s">
        <v>356</v>
      </c>
      <c r="B584" s="275"/>
      <c r="C584" s="275"/>
      <c r="D584" s="275"/>
      <c r="E584" s="275"/>
      <c r="F584" s="275"/>
      <c r="G584" s="275"/>
      <c r="H584" s="275"/>
      <c r="I584" s="275"/>
      <c r="J584" s="275"/>
      <c r="K584" s="275"/>
      <c r="L584" s="275"/>
      <c r="M584" s="275"/>
      <c r="N584" s="276"/>
      <c r="O584" s="166"/>
    </row>
    <row r="585" spans="1:15" ht="12.75" customHeight="1" x14ac:dyDescent="0.2">
      <c r="A585" s="277"/>
      <c r="B585" s="278"/>
      <c r="C585" s="278"/>
      <c r="D585" s="278"/>
      <c r="E585" s="278"/>
      <c r="F585" s="278"/>
      <c r="G585" s="278"/>
      <c r="H585" s="278"/>
      <c r="I585" s="278"/>
      <c r="J585" s="278"/>
      <c r="K585" s="278"/>
      <c r="L585" s="278"/>
      <c r="M585" s="278"/>
      <c r="N585" s="279"/>
      <c r="O585" s="166"/>
    </row>
    <row r="586" spans="1:15" ht="12.75" customHeight="1" x14ac:dyDescent="0.2">
      <c r="A586" s="75"/>
      <c r="B586" s="75"/>
      <c r="C586" s="75"/>
      <c r="D586" s="75"/>
      <c r="E586" s="75"/>
      <c r="F586" s="75"/>
      <c r="G586" s="75"/>
      <c r="H586" s="75"/>
      <c r="I586" s="75"/>
      <c r="J586" s="75"/>
      <c r="K586" s="75"/>
      <c r="L586" s="75"/>
      <c r="M586" s="75"/>
      <c r="N586" s="75"/>
    </row>
    <row r="587" spans="1:15" ht="12.75" customHeight="1" x14ac:dyDescent="0.3">
      <c r="A587" s="79" t="s">
        <v>626</v>
      </c>
      <c r="B587" s="80" t="str">
        <f>A584</f>
        <v>SUMINISTRO Y COLOCACIÓN DE SUB-BASE GRANULAR SEGÚN NORMA INVIAS E - 320 (INCLUYE MATERIALES, EQUIPOS Y HERRAMIENTAS Y MANO DE OBRA)</v>
      </c>
      <c r="C587" s="81" t="s">
        <v>916</v>
      </c>
      <c r="D587" s="82" t="s">
        <v>258</v>
      </c>
      <c r="E587" s="83" t="s">
        <v>445</v>
      </c>
      <c r="F587" s="234">
        <f>(H587+J587+L587+N587)*1.3</f>
        <v>330421.97545884375</v>
      </c>
      <c r="G587" s="83" t="s">
        <v>607</v>
      </c>
      <c r="H587" s="86">
        <f>M605</f>
        <v>5953.5937000000004</v>
      </c>
      <c r="I587" s="83" t="s">
        <v>918</v>
      </c>
      <c r="J587" s="86">
        <f>M596</f>
        <v>108829</v>
      </c>
      <c r="K587" s="83" t="s">
        <v>609</v>
      </c>
      <c r="L587" s="86">
        <f>M614</f>
        <v>102082.28265295672</v>
      </c>
      <c r="M587" s="83" t="s">
        <v>610</v>
      </c>
      <c r="N587" s="86">
        <f>M623</f>
        <v>37305.874000000003</v>
      </c>
    </row>
    <row r="588" spans="1:15" ht="12.75" customHeight="1" x14ac:dyDescent="0.25">
      <c r="A588" s="87"/>
      <c r="B588" s="87"/>
      <c r="C588" s="87"/>
      <c r="D588" s="87"/>
      <c r="E588" s="87"/>
      <c r="F588" s="87"/>
      <c r="G588" s="87"/>
      <c r="J588" s="87"/>
      <c r="K588" s="215" t="s">
        <v>3217</v>
      </c>
      <c r="L588" s="215">
        <f>+F587*presup!$O$5</f>
        <v>429548.56809649686</v>
      </c>
      <c r="M588" s="87"/>
      <c r="N588" s="87"/>
    </row>
    <row r="589" spans="1:15" ht="12.75" customHeight="1" x14ac:dyDescent="0.2">
      <c r="A589" s="398" t="s">
        <v>919</v>
      </c>
      <c r="B589" s="271"/>
      <c r="C589" s="271"/>
      <c r="D589" s="271"/>
      <c r="E589" s="271"/>
      <c r="F589" s="271"/>
      <c r="G589" s="271"/>
      <c r="H589" s="271"/>
      <c r="I589" s="271"/>
      <c r="J589" s="271"/>
      <c r="K589" s="271"/>
      <c r="L589" s="271"/>
      <c r="M589" s="271"/>
      <c r="N589" s="273"/>
    </row>
    <row r="590" spans="1:15" ht="12.75" customHeight="1" x14ac:dyDescent="0.2">
      <c r="A590" s="396" t="s">
        <v>76</v>
      </c>
      <c r="B590" s="271"/>
      <c r="C590" s="271"/>
      <c r="D590" s="271"/>
      <c r="E590" s="271"/>
      <c r="F590" s="271"/>
      <c r="G590" s="273"/>
      <c r="H590" s="88" t="s">
        <v>77</v>
      </c>
      <c r="I590" s="399" t="s">
        <v>920</v>
      </c>
      <c r="J590" s="273"/>
      <c r="K590" s="399" t="s">
        <v>453</v>
      </c>
      <c r="L590" s="273"/>
      <c r="M590" s="399" t="s">
        <v>921</v>
      </c>
      <c r="N590" s="273"/>
    </row>
    <row r="591" spans="1:15" ht="12.75" customHeight="1" x14ac:dyDescent="0.2">
      <c r="A591" s="400" t="s">
        <v>974</v>
      </c>
      <c r="B591" s="271"/>
      <c r="C591" s="271"/>
      <c r="D591" s="271"/>
      <c r="E591" s="271"/>
      <c r="F591" s="271"/>
      <c r="G591" s="273"/>
      <c r="H591" s="29" t="str">
        <f>IF(A591="","",VLOOKUP(A591,AA_Materiales,7,FALSE))</f>
        <v>m3</v>
      </c>
      <c r="I591" s="394">
        <f>IF(A591="","",VLOOKUP(A591,AA_Materiales,8,FALSE))</f>
        <v>83330</v>
      </c>
      <c r="J591" s="273"/>
      <c r="K591" s="395">
        <v>1.3</v>
      </c>
      <c r="L591" s="273"/>
      <c r="M591" s="394">
        <f t="shared" ref="M591:M595" si="69">IF(A591="","",I591*K591)</f>
        <v>108329</v>
      </c>
      <c r="N591" s="273"/>
    </row>
    <row r="592" spans="1:15" ht="12.75" customHeight="1" x14ac:dyDescent="0.2">
      <c r="A592" s="400" t="s">
        <v>956</v>
      </c>
      <c r="B592" s="271"/>
      <c r="C592" s="271"/>
      <c r="D592" s="271"/>
      <c r="E592" s="271"/>
      <c r="F592" s="271"/>
      <c r="G592" s="273"/>
      <c r="H592" s="29" t="str">
        <f>IF(A592="","",VLOOKUP(A592,AA_Materiales,7,FALSE))</f>
        <v>Lt</v>
      </c>
      <c r="I592" s="394">
        <f>IF(A592="","",VLOOKUP(A592,AA_Materiales,8,FALSE))</f>
        <v>20</v>
      </c>
      <c r="J592" s="273"/>
      <c r="K592" s="395">
        <v>25</v>
      </c>
      <c r="L592" s="273"/>
      <c r="M592" s="394">
        <f t="shared" si="69"/>
        <v>500</v>
      </c>
      <c r="N592" s="273"/>
    </row>
    <row r="593" spans="1:14" ht="12.75" customHeight="1" x14ac:dyDescent="0.2">
      <c r="A593" s="400"/>
      <c r="B593" s="271"/>
      <c r="C593" s="271"/>
      <c r="D593" s="271"/>
      <c r="E593" s="271"/>
      <c r="F593" s="271"/>
      <c r="G593" s="273"/>
      <c r="H593" s="29" t="str">
        <f>IF(A593="","",VLOOKUP(A593,AA_Materiales,7,FALSE))</f>
        <v/>
      </c>
      <c r="I593" s="394" t="str">
        <f>IF(A593="","",VLOOKUP(A593,AA_Materiales,8,FALSE))</f>
        <v/>
      </c>
      <c r="J593" s="273"/>
      <c r="K593" s="395"/>
      <c r="L593" s="273"/>
      <c r="M593" s="394" t="str">
        <f t="shared" si="69"/>
        <v/>
      </c>
      <c r="N593" s="273"/>
    </row>
    <row r="594" spans="1:14" ht="12.75" customHeight="1" x14ac:dyDescent="0.2">
      <c r="A594" s="400"/>
      <c r="B594" s="271"/>
      <c r="C594" s="271"/>
      <c r="D594" s="271"/>
      <c r="E594" s="271"/>
      <c r="F594" s="271"/>
      <c r="G594" s="273"/>
      <c r="H594" s="29" t="str">
        <f>IF(A594="","",VLOOKUP(A594,AA_Materiales,7,FALSE))</f>
        <v/>
      </c>
      <c r="I594" s="394" t="str">
        <f>IF(A594="","",VLOOKUP(A594,AA_Materiales,8,FALSE))</f>
        <v/>
      </c>
      <c r="J594" s="273"/>
      <c r="K594" s="395"/>
      <c r="L594" s="273"/>
      <c r="M594" s="394" t="str">
        <f t="shared" si="69"/>
        <v/>
      </c>
      <c r="N594" s="273"/>
    </row>
    <row r="595" spans="1:14" ht="12.75" customHeight="1" x14ac:dyDescent="0.2">
      <c r="A595" s="400"/>
      <c r="B595" s="271"/>
      <c r="C595" s="271"/>
      <c r="D595" s="271"/>
      <c r="E595" s="271"/>
      <c r="F595" s="271"/>
      <c r="G595" s="273"/>
      <c r="H595" s="29" t="str">
        <f>IF(A595="","",VLOOKUP(A595,AA_Materiales,7,FALSE))</f>
        <v/>
      </c>
      <c r="I595" s="394" t="str">
        <f>IF(A595="","",VLOOKUP(A595,AA_Materiales,8,FALSE))</f>
        <v/>
      </c>
      <c r="J595" s="273"/>
      <c r="K595" s="395"/>
      <c r="L595" s="273"/>
      <c r="M595" s="394" t="str">
        <f t="shared" si="69"/>
        <v/>
      </c>
      <c r="N595" s="273"/>
    </row>
    <row r="596" spans="1:14" ht="12.75" customHeight="1" x14ac:dyDescent="0.25">
      <c r="A596" s="4"/>
      <c r="B596" s="4"/>
      <c r="C596" s="4"/>
      <c r="D596" s="4"/>
      <c r="E596" s="4"/>
      <c r="F596" s="4"/>
      <c r="G596" s="4"/>
      <c r="H596" s="4"/>
      <c r="I596" s="4"/>
      <c r="J596" s="4"/>
      <c r="K596" s="396" t="s">
        <v>444</v>
      </c>
      <c r="L596" s="273"/>
      <c r="M596" s="394">
        <f>SUM(M591:N595)</f>
        <v>108829</v>
      </c>
      <c r="N596" s="273"/>
    </row>
    <row r="597" spans="1:14" ht="12.75" customHeight="1" x14ac:dyDescent="0.25">
      <c r="A597" s="4"/>
      <c r="B597" s="4"/>
      <c r="C597" s="4"/>
      <c r="D597" s="4"/>
      <c r="E597" s="4"/>
      <c r="F597" s="4"/>
      <c r="G597" s="4"/>
      <c r="H597" s="4"/>
      <c r="I597" s="4"/>
      <c r="J597" s="4"/>
      <c r="K597" s="4"/>
      <c r="L597" s="4"/>
      <c r="M597" s="4"/>
      <c r="N597" s="4"/>
    </row>
    <row r="598" spans="1:14" ht="12.75" customHeight="1" x14ac:dyDescent="0.2">
      <c r="A598" s="398" t="s">
        <v>926</v>
      </c>
      <c r="B598" s="271"/>
      <c r="C598" s="271"/>
      <c r="D598" s="271"/>
      <c r="E598" s="271"/>
      <c r="F598" s="271"/>
      <c r="G598" s="271"/>
      <c r="H598" s="271"/>
      <c r="I598" s="271"/>
      <c r="J598" s="271"/>
      <c r="K598" s="271"/>
      <c r="L598" s="271"/>
      <c r="M598" s="271"/>
      <c r="N598" s="273"/>
    </row>
    <row r="599" spans="1:14" ht="12.75" customHeight="1" x14ac:dyDescent="0.2">
      <c r="A599" s="396" t="s">
        <v>76</v>
      </c>
      <c r="B599" s="271"/>
      <c r="C599" s="271"/>
      <c r="D599" s="271"/>
      <c r="E599" s="271"/>
      <c r="F599" s="271"/>
      <c r="G599" s="273"/>
      <c r="H599" s="88" t="s">
        <v>77</v>
      </c>
      <c r="I599" s="399" t="s">
        <v>920</v>
      </c>
      <c r="J599" s="273"/>
      <c r="K599" s="399" t="s">
        <v>453</v>
      </c>
      <c r="L599" s="273"/>
      <c r="M599" s="399" t="s">
        <v>921</v>
      </c>
      <c r="N599" s="273"/>
    </row>
    <row r="600" spans="1:14" ht="12.75" customHeight="1" x14ac:dyDescent="0.2">
      <c r="A600" s="400" t="s">
        <v>927</v>
      </c>
      <c r="B600" s="271"/>
      <c r="C600" s="271"/>
      <c r="D600" s="271"/>
      <c r="E600" s="271"/>
      <c r="F600" s="271"/>
      <c r="G600" s="273"/>
      <c r="H600" s="29" t="str">
        <f>IF(A600="","",VLOOKUP(A600,AA_Equipos,7,FALSE))</f>
        <v>% M.O.</v>
      </c>
      <c r="I600" s="394">
        <f>M623</f>
        <v>37305.874000000003</v>
      </c>
      <c r="J600" s="273"/>
      <c r="K600" s="404">
        <v>0.05</v>
      </c>
      <c r="L600" s="273"/>
      <c r="M600" s="394">
        <f t="shared" ref="M600:M604" si="70">IF(A600="","",I600*K600)</f>
        <v>1865.2937000000002</v>
      </c>
      <c r="N600" s="273"/>
    </row>
    <row r="601" spans="1:14" ht="12.75" customHeight="1" x14ac:dyDescent="0.2">
      <c r="A601" s="403" t="s">
        <v>952</v>
      </c>
      <c r="B601" s="271"/>
      <c r="C601" s="271"/>
      <c r="D601" s="271"/>
      <c r="E601" s="271"/>
      <c r="F601" s="271"/>
      <c r="G601" s="273"/>
      <c r="H601" s="29" t="str">
        <f>IF(A601="","",VLOOKUP(A601,AA_Equipos,7,FALSE))</f>
        <v>Dia</v>
      </c>
      <c r="I601" s="394">
        <f>IF(A601="","",VLOOKUP(A601,AA_Equipos,8,FALSE))</f>
        <v>81766</v>
      </c>
      <c r="J601" s="273"/>
      <c r="K601" s="402">
        <v>0.05</v>
      </c>
      <c r="L601" s="273"/>
      <c r="M601" s="394">
        <f t="shared" si="70"/>
        <v>4088.3</v>
      </c>
      <c r="N601" s="273"/>
    </row>
    <row r="602" spans="1:14" ht="12.75" customHeight="1" x14ac:dyDescent="0.2">
      <c r="A602" s="400"/>
      <c r="B602" s="271"/>
      <c r="C602" s="271"/>
      <c r="D602" s="271"/>
      <c r="E602" s="271"/>
      <c r="F602" s="271"/>
      <c r="G602" s="273"/>
      <c r="H602" s="29" t="str">
        <f>IF(A602="","",VLOOKUP(A602,AA_Equipos,7,FALSE))</f>
        <v/>
      </c>
      <c r="I602" s="394" t="str">
        <f>IF(A602="","",VLOOKUP(A602,AA_Equipos,8,FALSE))</f>
        <v/>
      </c>
      <c r="J602" s="273"/>
      <c r="K602" s="395"/>
      <c r="L602" s="273"/>
      <c r="M602" s="394" t="str">
        <f t="shared" si="70"/>
        <v/>
      </c>
      <c r="N602" s="273"/>
    </row>
    <row r="603" spans="1:14" ht="12.75" customHeight="1" x14ac:dyDescent="0.2">
      <c r="A603" s="400"/>
      <c r="B603" s="271"/>
      <c r="C603" s="271"/>
      <c r="D603" s="271"/>
      <c r="E603" s="271"/>
      <c r="F603" s="271"/>
      <c r="G603" s="273"/>
      <c r="H603" s="29" t="str">
        <f>IF(A603="","",VLOOKUP(A603,AA_Equipos,7,FALSE))</f>
        <v/>
      </c>
      <c r="I603" s="394" t="str">
        <f>IF(A603="","",VLOOKUP(A603,AA_Equipos,8,FALSE))</f>
        <v/>
      </c>
      <c r="J603" s="273"/>
      <c r="K603" s="395"/>
      <c r="L603" s="273"/>
      <c r="M603" s="394" t="str">
        <f t="shared" si="70"/>
        <v/>
      </c>
      <c r="N603" s="273"/>
    </row>
    <row r="604" spans="1:14" ht="12.75" customHeight="1" x14ac:dyDescent="0.2">
      <c r="A604" s="400"/>
      <c r="B604" s="271"/>
      <c r="C604" s="271"/>
      <c r="D604" s="271"/>
      <c r="E604" s="271"/>
      <c r="F604" s="271"/>
      <c r="G604" s="273"/>
      <c r="H604" s="29" t="str">
        <f>IF(A604="","",VLOOKUP(A604,AA_Equipos,7,FALSE))</f>
        <v/>
      </c>
      <c r="I604" s="394" t="str">
        <f>IF(A604="","",VLOOKUP(A604,AA_Equipos,8,FALSE))</f>
        <v/>
      </c>
      <c r="J604" s="273"/>
      <c r="K604" s="395"/>
      <c r="L604" s="273"/>
      <c r="M604" s="394" t="str">
        <f t="shared" si="70"/>
        <v/>
      </c>
      <c r="N604" s="273"/>
    </row>
    <row r="605" spans="1:14" ht="12.75" customHeight="1" x14ac:dyDescent="0.25">
      <c r="A605" s="4"/>
      <c r="B605" s="4"/>
      <c r="C605" s="4"/>
      <c r="D605" s="4"/>
      <c r="E605" s="4"/>
      <c r="F605" s="4"/>
      <c r="G605" s="4"/>
      <c r="H605" s="4"/>
      <c r="I605" s="4"/>
      <c r="J605" s="4"/>
      <c r="K605" s="396" t="s">
        <v>444</v>
      </c>
      <c r="L605" s="273"/>
      <c r="M605" s="394">
        <f>SUM(M600:N604)</f>
        <v>5953.5937000000004</v>
      </c>
      <c r="N605" s="273"/>
    </row>
    <row r="606" spans="1:14" ht="12.75" customHeight="1" x14ac:dyDescent="0.25">
      <c r="A606" s="4"/>
      <c r="B606" s="4"/>
      <c r="C606" s="4"/>
      <c r="D606" s="4"/>
      <c r="E606" s="4"/>
      <c r="F606" s="4"/>
      <c r="G606" s="4"/>
      <c r="H606" s="4"/>
      <c r="I606" s="4"/>
      <c r="J606" s="4"/>
      <c r="K606" s="4"/>
      <c r="L606" s="4"/>
      <c r="M606" s="4"/>
      <c r="N606" s="4"/>
    </row>
    <row r="607" spans="1:14" ht="12.75" customHeight="1" x14ac:dyDescent="0.2">
      <c r="A607" s="398" t="s">
        <v>929</v>
      </c>
      <c r="B607" s="271"/>
      <c r="C607" s="271"/>
      <c r="D607" s="271"/>
      <c r="E607" s="271"/>
      <c r="F607" s="271"/>
      <c r="G607" s="271"/>
      <c r="H607" s="271"/>
      <c r="I607" s="271"/>
      <c r="J607" s="271"/>
      <c r="K607" s="271"/>
      <c r="L607" s="271"/>
      <c r="M607" s="271"/>
      <c r="N607" s="273"/>
    </row>
    <row r="608" spans="1:14" ht="12.75" customHeight="1" x14ac:dyDescent="0.2">
      <c r="A608" s="396" t="s">
        <v>76</v>
      </c>
      <c r="B608" s="271"/>
      <c r="C608" s="271"/>
      <c r="D608" s="271"/>
      <c r="E608" s="271"/>
      <c r="F608" s="271"/>
      <c r="G608" s="273"/>
      <c r="H608" s="88" t="s">
        <v>77</v>
      </c>
      <c r="I608" s="399" t="s">
        <v>920</v>
      </c>
      <c r="J608" s="273"/>
      <c r="K608" s="399" t="s">
        <v>453</v>
      </c>
      <c r="L608" s="273"/>
      <c r="M608" s="399" t="s">
        <v>921</v>
      </c>
      <c r="N608" s="273"/>
    </row>
    <row r="609" spans="1:14" ht="12.75" customHeight="1" x14ac:dyDescent="0.2">
      <c r="A609" s="400" t="s">
        <v>960</v>
      </c>
      <c r="B609" s="271"/>
      <c r="C609" s="271"/>
      <c r="D609" s="271"/>
      <c r="E609" s="271"/>
      <c r="F609" s="271"/>
      <c r="G609" s="273"/>
      <c r="H609" s="29" t="s">
        <v>3191</v>
      </c>
      <c r="I609" s="394">
        <f>+'precios '!J222</f>
        <v>2077.2367952644231</v>
      </c>
      <c r="J609" s="273"/>
      <c r="K609" s="395">
        <f>+Indice!$L$21</f>
        <v>49</v>
      </c>
      <c r="L609" s="273"/>
      <c r="M609" s="394">
        <f t="shared" ref="M609:M613" si="71">IF(A609="","",I609*K609)</f>
        <v>101784.60296795673</v>
      </c>
      <c r="N609" s="273"/>
    </row>
    <row r="610" spans="1:14" ht="12.75" customHeight="1" x14ac:dyDescent="0.2">
      <c r="A610" s="403" t="s">
        <v>939</v>
      </c>
      <c r="B610" s="271"/>
      <c r="C610" s="271"/>
      <c r="D610" s="271"/>
      <c r="E610" s="271"/>
      <c r="F610" s="271"/>
      <c r="G610" s="273"/>
      <c r="H610" s="29" t="s">
        <v>940</v>
      </c>
      <c r="I610" s="394">
        <f>+M605</f>
        <v>5953.5937000000004</v>
      </c>
      <c r="J610" s="273"/>
      <c r="K610" s="404">
        <v>0.05</v>
      </c>
      <c r="L610" s="273"/>
      <c r="M610" s="394">
        <f t="shared" si="71"/>
        <v>297.67968500000001</v>
      </c>
      <c r="N610" s="273"/>
    </row>
    <row r="611" spans="1:14" ht="12.75" customHeight="1" x14ac:dyDescent="0.2">
      <c r="A611" s="400"/>
      <c r="B611" s="271"/>
      <c r="C611" s="271"/>
      <c r="D611" s="271"/>
      <c r="E611" s="271"/>
      <c r="F611" s="271"/>
      <c r="G611" s="273"/>
      <c r="H611" s="29"/>
      <c r="I611" s="394"/>
      <c r="J611" s="273"/>
      <c r="K611" s="395"/>
      <c r="L611" s="273"/>
      <c r="M611" s="394" t="str">
        <f t="shared" si="71"/>
        <v/>
      </c>
      <c r="N611" s="273"/>
    </row>
    <row r="612" spans="1:14" ht="12.75" customHeight="1" x14ac:dyDescent="0.2">
      <c r="A612" s="400"/>
      <c r="B612" s="271"/>
      <c r="C612" s="271"/>
      <c r="D612" s="271"/>
      <c r="E612" s="271"/>
      <c r="F612" s="271"/>
      <c r="G612" s="273"/>
      <c r="H612" s="29"/>
      <c r="I612" s="394"/>
      <c r="J612" s="273"/>
      <c r="K612" s="395"/>
      <c r="L612" s="273"/>
      <c r="M612" s="394" t="str">
        <f t="shared" si="71"/>
        <v/>
      </c>
      <c r="N612" s="273"/>
    </row>
    <row r="613" spans="1:14" ht="12.75" customHeight="1" x14ac:dyDescent="0.2">
      <c r="A613" s="400"/>
      <c r="B613" s="271"/>
      <c r="C613" s="271"/>
      <c r="D613" s="271"/>
      <c r="E613" s="271"/>
      <c r="F613" s="271"/>
      <c r="G613" s="273"/>
      <c r="H613" s="29"/>
      <c r="I613" s="394"/>
      <c r="J613" s="273"/>
      <c r="K613" s="395"/>
      <c r="L613" s="273"/>
      <c r="M613" s="394" t="str">
        <f t="shared" si="71"/>
        <v/>
      </c>
      <c r="N613" s="273"/>
    </row>
    <row r="614" spans="1:14" ht="12.75" customHeight="1" x14ac:dyDescent="0.25">
      <c r="A614" s="4"/>
      <c r="B614" s="4"/>
      <c r="C614" s="4"/>
      <c r="D614" s="4"/>
      <c r="E614" s="4"/>
      <c r="F614" s="4"/>
      <c r="G614" s="4"/>
      <c r="H614" s="4"/>
      <c r="I614" s="4"/>
      <c r="J614" s="4"/>
      <c r="K614" s="396" t="s">
        <v>444</v>
      </c>
      <c r="L614" s="273"/>
      <c r="M614" s="394">
        <f>SUM(M609:N613)</f>
        <v>102082.28265295672</v>
      </c>
      <c r="N614" s="273"/>
    </row>
    <row r="615" spans="1:14" ht="12.75" customHeight="1" x14ac:dyDescent="0.25">
      <c r="A615" s="4"/>
      <c r="B615" s="4"/>
      <c r="C615" s="4"/>
      <c r="D615" s="4"/>
      <c r="E615" s="4"/>
      <c r="F615" s="4"/>
      <c r="G615" s="4"/>
      <c r="H615" s="4"/>
      <c r="I615" s="4"/>
      <c r="J615" s="4"/>
      <c r="K615" s="4"/>
      <c r="L615" s="4"/>
      <c r="M615" s="4"/>
      <c r="N615" s="4"/>
    </row>
    <row r="616" spans="1:14" ht="12.75" customHeight="1" x14ac:dyDescent="0.2">
      <c r="A616" s="398" t="s">
        <v>931</v>
      </c>
      <c r="B616" s="271"/>
      <c r="C616" s="271"/>
      <c r="D616" s="271"/>
      <c r="E616" s="271"/>
      <c r="F616" s="271"/>
      <c r="G616" s="271"/>
      <c r="H616" s="271"/>
      <c r="I616" s="271"/>
      <c r="J616" s="271"/>
      <c r="K616" s="271"/>
      <c r="L616" s="271"/>
      <c r="M616" s="271"/>
      <c r="N616" s="273"/>
    </row>
    <row r="617" spans="1:14" ht="12.75" customHeight="1" x14ac:dyDescent="0.2">
      <c r="A617" s="396" t="s">
        <v>76</v>
      </c>
      <c r="B617" s="271"/>
      <c r="C617" s="271"/>
      <c r="D617" s="271"/>
      <c r="E617" s="271"/>
      <c r="F617" s="271"/>
      <c r="G617" s="273"/>
      <c r="H617" s="88" t="s">
        <v>77</v>
      </c>
      <c r="I617" s="399" t="s">
        <v>920</v>
      </c>
      <c r="J617" s="273"/>
      <c r="K617" s="90" t="s">
        <v>514</v>
      </c>
      <c r="L617" s="91" t="s">
        <v>932</v>
      </c>
      <c r="M617" s="399" t="s">
        <v>921</v>
      </c>
      <c r="N617" s="273"/>
    </row>
    <row r="618" spans="1:14" ht="12.75" customHeight="1" x14ac:dyDescent="0.25">
      <c r="A618" s="393" t="s">
        <v>962</v>
      </c>
      <c r="B618" s="271"/>
      <c r="C618" s="271"/>
      <c r="D618" s="271"/>
      <c r="E618" s="271"/>
      <c r="F618" s="271"/>
      <c r="G618" s="273"/>
      <c r="H618" s="29" t="str">
        <f>IF(A618="","",VLOOKUP(A618,AA_Cuadrillas,4,FALSE))</f>
        <v>Cuadrilla</v>
      </c>
      <c r="I618" s="394">
        <f>IF(A618="","",VLOOKUP(A618,AA_Cuadrillas,5,FALSE))</f>
        <v>396871</v>
      </c>
      <c r="J618" s="273"/>
      <c r="K618" s="9">
        <f>IF(A618="","",F.P!$I$2)</f>
        <v>1.88</v>
      </c>
      <c r="L618" s="93">
        <f>1/20</f>
        <v>0.05</v>
      </c>
      <c r="M618" s="394">
        <f t="shared" ref="M618:M622" si="72">IF(A618="","",I618*K618*L618)</f>
        <v>37305.874000000003</v>
      </c>
      <c r="N618" s="273"/>
    </row>
    <row r="619" spans="1:14" ht="12.75" customHeight="1" x14ac:dyDescent="0.25">
      <c r="A619" s="393"/>
      <c r="B619" s="271"/>
      <c r="C619" s="271"/>
      <c r="D619" s="271"/>
      <c r="E619" s="271"/>
      <c r="F619" s="271"/>
      <c r="G619" s="273"/>
      <c r="H619" s="29" t="str">
        <f>IF(A619="","",VLOOKUP(A619,AA_Cuadrillas,4,FALSE))</f>
        <v/>
      </c>
      <c r="I619" s="394" t="str">
        <f>IF(A619="","",VLOOKUP(A619,AA_Cuadrillas,5,FALSE))</f>
        <v/>
      </c>
      <c r="J619" s="273"/>
      <c r="K619" s="9" t="str">
        <f>IF(A619="","",F.P!$I$2)</f>
        <v/>
      </c>
      <c r="L619" s="9"/>
      <c r="M619" s="394" t="str">
        <f t="shared" si="72"/>
        <v/>
      </c>
      <c r="N619" s="273"/>
    </row>
    <row r="620" spans="1:14" ht="12.75" customHeight="1" x14ac:dyDescent="0.25">
      <c r="A620" s="393"/>
      <c r="B620" s="271"/>
      <c r="C620" s="271"/>
      <c r="D620" s="271"/>
      <c r="E620" s="271"/>
      <c r="F620" s="271"/>
      <c r="G620" s="273"/>
      <c r="H620" s="29" t="str">
        <f>IF(A620="","",VLOOKUP(A620,AA_Cuadrillas,4,FALSE))</f>
        <v/>
      </c>
      <c r="I620" s="394" t="str">
        <f>IF(A620="","",VLOOKUP(A620,AA_Cuadrillas,5,FALSE))</f>
        <v/>
      </c>
      <c r="J620" s="273"/>
      <c r="K620" s="9" t="str">
        <f>IF(A620="","",F.P!$I$2)</f>
        <v/>
      </c>
      <c r="L620" s="37"/>
      <c r="M620" s="394" t="str">
        <f t="shared" si="72"/>
        <v/>
      </c>
      <c r="N620" s="273"/>
    </row>
    <row r="621" spans="1:14" ht="12.75" customHeight="1" x14ac:dyDescent="0.25">
      <c r="A621" s="393"/>
      <c r="B621" s="271"/>
      <c r="C621" s="271"/>
      <c r="D621" s="271"/>
      <c r="E621" s="271"/>
      <c r="F621" s="271"/>
      <c r="G621" s="273"/>
      <c r="H621" s="29" t="str">
        <f>IF(A621="","",VLOOKUP(A621,AA_Cuadrillas,4,FALSE))</f>
        <v/>
      </c>
      <c r="I621" s="394" t="str">
        <f>IF(A621="","",VLOOKUP(A621,AA_Cuadrillas,5,FALSE))</f>
        <v/>
      </c>
      <c r="J621" s="273"/>
      <c r="K621" s="9" t="str">
        <f>IF(A621="","",F.P!$I$2)</f>
        <v/>
      </c>
      <c r="L621" s="37"/>
      <c r="M621" s="394" t="str">
        <f t="shared" si="72"/>
        <v/>
      </c>
      <c r="N621" s="273"/>
    </row>
    <row r="622" spans="1:14" ht="12.75" customHeight="1" x14ac:dyDescent="0.25">
      <c r="A622" s="393"/>
      <c r="B622" s="271"/>
      <c r="C622" s="271"/>
      <c r="D622" s="271"/>
      <c r="E622" s="271"/>
      <c r="F622" s="271"/>
      <c r="G622" s="273"/>
      <c r="H622" s="29" t="str">
        <f>IF(A622="","",VLOOKUP(A622,AA_Cuadrillas,4,FALSE))</f>
        <v/>
      </c>
      <c r="I622" s="394" t="str">
        <f>IF(A622="","",VLOOKUP(A622,AA_Cuadrillas,5,FALSE))</f>
        <v/>
      </c>
      <c r="J622" s="273"/>
      <c r="K622" s="9" t="str">
        <f>IF(A622="","",F.P!$I$2)</f>
        <v/>
      </c>
      <c r="L622" s="37"/>
      <c r="M622" s="394" t="str">
        <f t="shared" si="72"/>
        <v/>
      </c>
      <c r="N622" s="273"/>
    </row>
    <row r="623" spans="1:14" ht="12.75" customHeight="1" x14ac:dyDescent="0.25">
      <c r="A623" s="4"/>
      <c r="B623" s="4"/>
      <c r="C623" s="4"/>
      <c r="D623" s="4"/>
      <c r="E623" s="4"/>
      <c r="F623" s="4"/>
      <c r="G623" s="4"/>
      <c r="H623" s="4"/>
      <c r="I623" s="4"/>
      <c r="J623" s="4"/>
      <c r="K623" s="396" t="s">
        <v>444</v>
      </c>
      <c r="L623" s="273"/>
      <c r="M623" s="394">
        <f>SUM(M618:N622)</f>
        <v>37305.874000000003</v>
      </c>
      <c r="N623" s="273"/>
    </row>
    <row r="624" spans="1:14" ht="12.75" customHeight="1" x14ac:dyDescent="0.25">
      <c r="A624" s="4"/>
      <c r="B624" s="4"/>
      <c r="C624" s="4"/>
      <c r="D624" s="4"/>
      <c r="E624" s="4"/>
      <c r="F624" s="4"/>
      <c r="G624" s="4"/>
      <c r="H624" s="4"/>
      <c r="I624" s="4"/>
      <c r="J624" s="4"/>
      <c r="K624" s="4"/>
      <c r="L624" s="4"/>
      <c r="M624" s="4"/>
      <c r="N624" s="4"/>
    </row>
    <row r="625" spans="1:15" ht="12.75" customHeight="1" x14ac:dyDescent="0.2">
      <c r="A625" s="407" t="s">
        <v>358</v>
      </c>
      <c r="B625" s="275"/>
      <c r="C625" s="275"/>
      <c r="D625" s="275"/>
      <c r="E625" s="275"/>
      <c r="F625" s="275"/>
      <c r="G625" s="275"/>
      <c r="H625" s="275"/>
      <c r="I625" s="275"/>
      <c r="J625" s="275"/>
      <c r="K625" s="275"/>
      <c r="L625" s="275"/>
      <c r="M625" s="275"/>
      <c r="N625" s="276"/>
      <c r="O625" s="166"/>
    </row>
    <row r="626" spans="1:15" ht="12.75" customHeight="1" x14ac:dyDescent="0.2">
      <c r="A626" s="277"/>
      <c r="B626" s="278"/>
      <c r="C626" s="278"/>
      <c r="D626" s="278"/>
      <c r="E626" s="278"/>
      <c r="F626" s="278"/>
      <c r="G626" s="278"/>
      <c r="H626" s="278"/>
      <c r="I626" s="278"/>
      <c r="J626" s="278"/>
      <c r="K626" s="278"/>
      <c r="L626" s="278"/>
      <c r="M626" s="278"/>
      <c r="N626" s="279"/>
      <c r="O626" s="166"/>
    </row>
    <row r="627" spans="1:15" ht="12.75" customHeight="1" x14ac:dyDescent="0.2">
      <c r="A627" s="75"/>
      <c r="B627" s="75"/>
      <c r="C627" s="75"/>
      <c r="D627" s="75"/>
      <c r="E627" s="75"/>
      <c r="F627" s="75"/>
      <c r="G627" s="75"/>
      <c r="H627" s="75"/>
      <c r="I627" s="75"/>
      <c r="J627" s="75"/>
      <c r="K627" s="75"/>
      <c r="L627" s="75"/>
      <c r="M627" s="75"/>
      <c r="N627" s="75"/>
    </row>
    <row r="628" spans="1:15" ht="12.75" customHeight="1" x14ac:dyDescent="0.3">
      <c r="A628" s="79" t="s">
        <v>627</v>
      </c>
      <c r="B628" s="80" t="str">
        <f>A625</f>
        <v>SUMINISTRO Y COLOCACIÓN DE BASE GRANULAR SEGÚN INVIAS 330 (INCLUYE MATERIAL, EQUIPOS, HERRAMIENTAS Y MANO DE OBRA)</v>
      </c>
      <c r="C628" s="81" t="s">
        <v>916</v>
      </c>
      <c r="D628" s="82" t="s">
        <v>258</v>
      </c>
      <c r="E628" s="83" t="s">
        <v>445</v>
      </c>
      <c r="F628" s="234">
        <f>(H628+J628+L628+N628)*1.3</f>
        <v>350482.27545884374</v>
      </c>
      <c r="G628" s="83" t="s">
        <v>607</v>
      </c>
      <c r="H628" s="86">
        <f>M646</f>
        <v>5953.5937000000004</v>
      </c>
      <c r="I628" s="83" t="s">
        <v>918</v>
      </c>
      <c r="J628" s="86">
        <f>M637</f>
        <v>124260</v>
      </c>
      <c r="K628" s="83" t="s">
        <v>609</v>
      </c>
      <c r="L628" s="86">
        <f>M655</f>
        <v>102082.28265295672</v>
      </c>
      <c r="M628" s="83" t="s">
        <v>610</v>
      </c>
      <c r="N628" s="86">
        <f>M664</f>
        <v>37305.874000000003</v>
      </c>
    </row>
    <row r="629" spans="1:15" ht="12.75" customHeight="1" x14ac:dyDescent="0.25">
      <c r="A629" s="87"/>
      <c r="B629" s="87"/>
      <c r="C629" s="87"/>
      <c r="D629" s="87"/>
      <c r="E629" s="87"/>
      <c r="F629" s="87"/>
      <c r="G629" s="87"/>
      <c r="J629" s="87"/>
      <c r="K629" s="215" t="s">
        <v>3217</v>
      </c>
      <c r="L629" s="215">
        <f>+F628*presup!$O$5</f>
        <v>455626.95809649688</v>
      </c>
      <c r="M629" s="87"/>
      <c r="N629" s="87"/>
    </row>
    <row r="630" spans="1:15" ht="12.75" customHeight="1" x14ac:dyDescent="0.2">
      <c r="A630" s="398" t="s">
        <v>919</v>
      </c>
      <c r="B630" s="271"/>
      <c r="C630" s="271"/>
      <c r="D630" s="271"/>
      <c r="E630" s="271"/>
      <c r="F630" s="271"/>
      <c r="G630" s="271"/>
      <c r="H630" s="271"/>
      <c r="I630" s="271"/>
      <c r="J630" s="271"/>
      <c r="K630" s="271"/>
      <c r="L630" s="271"/>
      <c r="M630" s="271"/>
      <c r="N630" s="273"/>
    </row>
    <row r="631" spans="1:15" ht="12.75" customHeight="1" x14ac:dyDescent="0.2">
      <c r="A631" s="396" t="s">
        <v>76</v>
      </c>
      <c r="B631" s="271"/>
      <c r="C631" s="271"/>
      <c r="D631" s="271"/>
      <c r="E631" s="271"/>
      <c r="F631" s="271"/>
      <c r="G631" s="273"/>
      <c r="H631" s="88" t="s">
        <v>77</v>
      </c>
      <c r="I631" s="399" t="s">
        <v>920</v>
      </c>
      <c r="J631" s="273"/>
      <c r="K631" s="399" t="s">
        <v>453</v>
      </c>
      <c r="L631" s="273"/>
      <c r="M631" s="399" t="s">
        <v>921</v>
      </c>
      <c r="N631" s="273"/>
    </row>
    <row r="632" spans="1:15" ht="12.75" customHeight="1" x14ac:dyDescent="0.2">
      <c r="A632" s="400" t="s">
        <v>975</v>
      </c>
      <c r="B632" s="271"/>
      <c r="C632" s="271"/>
      <c r="D632" s="271"/>
      <c r="E632" s="271"/>
      <c r="F632" s="271"/>
      <c r="G632" s="273"/>
      <c r="H632" s="29" t="str">
        <f>IF(A632="","",VLOOKUP(A632,AA_Materiales,7,FALSE))</f>
        <v>m3</v>
      </c>
      <c r="I632" s="394">
        <f>IF(A632="","",VLOOKUP(A632,AA_Materiales,8,FALSE))</f>
        <v>95200</v>
      </c>
      <c r="J632" s="273"/>
      <c r="K632" s="395">
        <v>1.3</v>
      </c>
      <c r="L632" s="273"/>
      <c r="M632" s="394">
        <f t="shared" ref="M632:M636" si="73">IF(A632="","",I632*K632)</f>
        <v>123760</v>
      </c>
      <c r="N632" s="273"/>
    </row>
    <row r="633" spans="1:15" ht="12.75" customHeight="1" x14ac:dyDescent="0.2">
      <c r="A633" s="400" t="s">
        <v>956</v>
      </c>
      <c r="B633" s="271"/>
      <c r="C633" s="271"/>
      <c r="D633" s="271"/>
      <c r="E633" s="271"/>
      <c r="F633" s="271"/>
      <c r="G633" s="273"/>
      <c r="H633" s="29" t="str">
        <f>IF(A633="","",VLOOKUP(A633,AA_Materiales,7,FALSE))</f>
        <v>Lt</v>
      </c>
      <c r="I633" s="394">
        <f>IF(A633="","",VLOOKUP(A633,AA_Materiales,8,FALSE))</f>
        <v>20</v>
      </c>
      <c r="J633" s="273"/>
      <c r="K633" s="395">
        <v>25</v>
      </c>
      <c r="L633" s="273"/>
      <c r="M633" s="394">
        <f t="shared" si="73"/>
        <v>500</v>
      </c>
      <c r="N633" s="273"/>
    </row>
    <row r="634" spans="1:15" ht="12.75" customHeight="1" x14ac:dyDescent="0.2">
      <c r="A634" s="400"/>
      <c r="B634" s="271"/>
      <c r="C634" s="271"/>
      <c r="D634" s="271"/>
      <c r="E634" s="271"/>
      <c r="F634" s="271"/>
      <c r="G634" s="273"/>
      <c r="H634" s="29" t="str">
        <f>IF(A634="","",VLOOKUP(A634,AA_Materiales,7,FALSE))</f>
        <v/>
      </c>
      <c r="I634" s="394" t="str">
        <f>IF(A634="","",VLOOKUP(A634,AA_Materiales,8,FALSE))</f>
        <v/>
      </c>
      <c r="J634" s="273"/>
      <c r="K634" s="395"/>
      <c r="L634" s="273"/>
      <c r="M634" s="394" t="str">
        <f t="shared" si="73"/>
        <v/>
      </c>
      <c r="N634" s="273"/>
    </row>
    <row r="635" spans="1:15" ht="12.75" customHeight="1" x14ac:dyDescent="0.2">
      <c r="A635" s="400"/>
      <c r="B635" s="271"/>
      <c r="C635" s="271"/>
      <c r="D635" s="271"/>
      <c r="E635" s="271"/>
      <c r="F635" s="271"/>
      <c r="G635" s="273"/>
      <c r="H635" s="29" t="str">
        <f>IF(A635="","",VLOOKUP(A635,AA_Materiales,7,FALSE))</f>
        <v/>
      </c>
      <c r="I635" s="394" t="str">
        <f>IF(A635="","",VLOOKUP(A635,AA_Materiales,8,FALSE))</f>
        <v/>
      </c>
      <c r="J635" s="273"/>
      <c r="K635" s="395"/>
      <c r="L635" s="273"/>
      <c r="M635" s="394" t="str">
        <f t="shared" si="73"/>
        <v/>
      </c>
      <c r="N635" s="273"/>
    </row>
    <row r="636" spans="1:15" ht="12.75" customHeight="1" x14ac:dyDescent="0.2">
      <c r="A636" s="400"/>
      <c r="B636" s="271"/>
      <c r="C636" s="271"/>
      <c r="D636" s="271"/>
      <c r="E636" s="271"/>
      <c r="F636" s="271"/>
      <c r="G636" s="273"/>
      <c r="H636" s="29" t="str">
        <f>IF(A636="","",VLOOKUP(A636,AA_Materiales,7,FALSE))</f>
        <v/>
      </c>
      <c r="I636" s="394" t="str">
        <f>IF(A636="","",VLOOKUP(A636,AA_Materiales,8,FALSE))</f>
        <v/>
      </c>
      <c r="J636" s="273"/>
      <c r="K636" s="395"/>
      <c r="L636" s="273"/>
      <c r="M636" s="394" t="str">
        <f t="shared" si="73"/>
        <v/>
      </c>
      <c r="N636" s="273"/>
    </row>
    <row r="637" spans="1:15" ht="12.75" customHeight="1" x14ac:dyDescent="0.25">
      <c r="A637" s="4"/>
      <c r="B637" s="4"/>
      <c r="C637" s="4"/>
      <c r="D637" s="4"/>
      <c r="E637" s="4"/>
      <c r="F637" s="4"/>
      <c r="G637" s="4"/>
      <c r="H637" s="4"/>
      <c r="I637" s="4"/>
      <c r="J637" s="4"/>
      <c r="K637" s="396" t="s">
        <v>444</v>
      </c>
      <c r="L637" s="273"/>
      <c r="M637" s="394">
        <f>SUM(M632:N636)</f>
        <v>124260</v>
      </c>
      <c r="N637" s="273"/>
    </row>
    <row r="638" spans="1:15" ht="12.75" customHeight="1" x14ac:dyDescent="0.25">
      <c r="A638" s="4"/>
      <c r="B638" s="4"/>
      <c r="C638" s="4"/>
      <c r="D638" s="4"/>
      <c r="E638" s="4"/>
      <c r="F638" s="4"/>
      <c r="G638" s="4"/>
      <c r="H638" s="4"/>
      <c r="I638" s="4"/>
      <c r="J638" s="4"/>
      <c r="K638" s="4"/>
      <c r="L638" s="4"/>
      <c r="M638" s="4"/>
      <c r="N638" s="4"/>
    </row>
    <row r="639" spans="1:15" ht="12.75" customHeight="1" x14ac:dyDescent="0.2">
      <c r="A639" s="398" t="s">
        <v>926</v>
      </c>
      <c r="B639" s="271"/>
      <c r="C639" s="271"/>
      <c r="D639" s="271"/>
      <c r="E639" s="271"/>
      <c r="F639" s="271"/>
      <c r="G639" s="271"/>
      <c r="H639" s="271"/>
      <c r="I639" s="271"/>
      <c r="J639" s="271"/>
      <c r="K639" s="271"/>
      <c r="L639" s="271"/>
      <c r="M639" s="271"/>
      <c r="N639" s="273"/>
    </row>
    <row r="640" spans="1:15" ht="12.75" customHeight="1" x14ac:dyDescent="0.2">
      <c r="A640" s="396" t="s">
        <v>76</v>
      </c>
      <c r="B640" s="271"/>
      <c r="C640" s="271"/>
      <c r="D640" s="271"/>
      <c r="E640" s="271"/>
      <c r="F640" s="271"/>
      <c r="G640" s="273"/>
      <c r="H640" s="88" t="s">
        <v>77</v>
      </c>
      <c r="I640" s="399" t="s">
        <v>920</v>
      </c>
      <c r="J640" s="273"/>
      <c r="K640" s="399" t="s">
        <v>453</v>
      </c>
      <c r="L640" s="273"/>
      <c r="M640" s="399" t="s">
        <v>921</v>
      </c>
      <c r="N640" s="273"/>
    </row>
    <row r="641" spans="1:14" ht="12.75" customHeight="1" x14ac:dyDescent="0.2">
      <c r="A641" s="400" t="s">
        <v>927</v>
      </c>
      <c r="B641" s="271"/>
      <c r="C641" s="271"/>
      <c r="D641" s="271"/>
      <c r="E641" s="271"/>
      <c r="F641" s="271"/>
      <c r="G641" s="273"/>
      <c r="H641" s="29" t="str">
        <f>IF(A641="","",VLOOKUP(A641,AA_Equipos,7,FALSE))</f>
        <v>% M.O.</v>
      </c>
      <c r="I641" s="394">
        <f>M664</f>
        <v>37305.874000000003</v>
      </c>
      <c r="J641" s="273"/>
      <c r="K641" s="395">
        <v>0.05</v>
      </c>
      <c r="L641" s="273"/>
      <c r="M641" s="394">
        <f t="shared" ref="M641:M645" si="74">IF(A641="","",I641*K641)</f>
        <v>1865.2937000000002</v>
      </c>
      <c r="N641" s="273"/>
    </row>
    <row r="642" spans="1:14" ht="12.75" customHeight="1" x14ac:dyDescent="0.2">
      <c r="A642" s="403" t="s">
        <v>952</v>
      </c>
      <c r="B642" s="271"/>
      <c r="C642" s="271"/>
      <c r="D642" s="271"/>
      <c r="E642" s="271"/>
      <c r="F642" s="271"/>
      <c r="G642" s="273"/>
      <c r="H642" s="29" t="str">
        <f>IF(A642="","",VLOOKUP(A642,AA_Equipos,7,FALSE))</f>
        <v>Dia</v>
      </c>
      <c r="I642" s="394">
        <f>IF(A642="","",VLOOKUP(A642,AA_Equipos,8,FALSE))</f>
        <v>81766</v>
      </c>
      <c r="J642" s="273"/>
      <c r="K642" s="402">
        <f>1/20</f>
        <v>0.05</v>
      </c>
      <c r="L642" s="273"/>
      <c r="M642" s="394">
        <f t="shared" si="74"/>
        <v>4088.3</v>
      </c>
      <c r="N642" s="273"/>
    </row>
    <row r="643" spans="1:14" ht="12.75" customHeight="1" x14ac:dyDescent="0.2">
      <c r="A643" s="400"/>
      <c r="B643" s="271"/>
      <c r="C643" s="271"/>
      <c r="D643" s="271"/>
      <c r="E643" s="271"/>
      <c r="F643" s="271"/>
      <c r="G643" s="273"/>
      <c r="H643" s="29" t="str">
        <f>IF(A643="","",VLOOKUP(A643,AA_Equipos,7,FALSE))</f>
        <v/>
      </c>
      <c r="I643" s="394" t="str">
        <f>IF(A643="","",VLOOKUP(A643,AA_Equipos,8,FALSE))</f>
        <v/>
      </c>
      <c r="J643" s="273"/>
      <c r="K643" s="395"/>
      <c r="L643" s="273"/>
      <c r="M643" s="394" t="str">
        <f t="shared" si="74"/>
        <v/>
      </c>
      <c r="N643" s="273"/>
    </row>
    <row r="644" spans="1:14" ht="12.75" customHeight="1" x14ac:dyDescent="0.2">
      <c r="A644" s="400"/>
      <c r="B644" s="271"/>
      <c r="C644" s="271"/>
      <c r="D644" s="271"/>
      <c r="E644" s="271"/>
      <c r="F644" s="271"/>
      <c r="G644" s="273"/>
      <c r="H644" s="29" t="str">
        <f>IF(A644="","",VLOOKUP(A644,AA_Equipos,7,FALSE))</f>
        <v/>
      </c>
      <c r="I644" s="394" t="str">
        <f>IF(A644="","",VLOOKUP(A644,AA_Equipos,8,FALSE))</f>
        <v/>
      </c>
      <c r="J644" s="273"/>
      <c r="K644" s="395"/>
      <c r="L644" s="273"/>
      <c r="M644" s="394" t="str">
        <f t="shared" si="74"/>
        <v/>
      </c>
      <c r="N644" s="273"/>
    </row>
    <row r="645" spans="1:14" ht="12.75" customHeight="1" x14ac:dyDescent="0.2">
      <c r="A645" s="400"/>
      <c r="B645" s="271"/>
      <c r="C645" s="271"/>
      <c r="D645" s="271"/>
      <c r="E645" s="271"/>
      <c r="F645" s="271"/>
      <c r="G645" s="273"/>
      <c r="H645" s="29" t="str">
        <f>IF(A645="","",VLOOKUP(A645,AA_Equipos,7,FALSE))</f>
        <v/>
      </c>
      <c r="I645" s="394" t="str">
        <f>IF(A645="","",VLOOKUP(A645,AA_Equipos,8,FALSE))</f>
        <v/>
      </c>
      <c r="J645" s="273"/>
      <c r="K645" s="395"/>
      <c r="L645" s="273"/>
      <c r="M645" s="394" t="str">
        <f t="shared" si="74"/>
        <v/>
      </c>
      <c r="N645" s="273"/>
    </row>
    <row r="646" spans="1:14" ht="12.75" customHeight="1" x14ac:dyDescent="0.25">
      <c r="A646" s="4"/>
      <c r="B646" s="4"/>
      <c r="C646" s="4"/>
      <c r="D646" s="4"/>
      <c r="E646" s="4"/>
      <c r="F646" s="4"/>
      <c r="G646" s="4"/>
      <c r="H646" s="4"/>
      <c r="I646" s="4"/>
      <c r="J646" s="4"/>
      <c r="K646" s="396" t="s">
        <v>444</v>
      </c>
      <c r="L646" s="273"/>
      <c r="M646" s="394">
        <f>SUM(M641:N645)</f>
        <v>5953.5937000000004</v>
      </c>
      <c r="N646" s="273"/>
    </row>
    <row r="647" spans="1:14" ht="12.75" customHeight="1" x14ac:dyDescent="0.25">
      <c r="A647" s="4"/>
      <c r="B647" s="4"/>
      <c r="C647" s="4"/>
      <c r="D647" s="4"/>
      <c r="E647" s="4"/>
      <c r="F647" s="4"/>
      <c r="G647" s="4"/>
      <c r="H647" s="4"/>
      <c r="I647" s="4"/>
      <c r="J647" s="4"/>
      <c r="K647" s="4"/>
      <c r="L647" s="4"/>
      <c r="M647" s="4"/>
      <c r="N647" s="4"/>
    </row>
    <row r="648" spans="1:14" ht="12.75" customHeight="1" x14ac:dyDescent="0.2">
      <c r="A648" s="398" t="s">
        <v>929</v>
      </c>
      <c r="B648" s="271"/>
      <c r="C648" s="271"/>
      <c r="D648" s="271"/>
      <c r="E648" s="271"/>
      <c r="F648" s="271"/>
      <c r="G648" s="271"/>
      <c r="H648" s="271"/>
      <c r="I648" s="271"/>
      <c r="J648" s="271"/>
      <c r="K648" s="271"/>
      <c r="L648" s="271"/>
      <c r="M648" s="271"/>
      <c r="N648" s="273"/>
    </row>
    <row r="649" spans="1:14" ht="12.75" customHeight="1" x14ac:dyDescent="0.2">
      <c r="A649" s="396" t="s">
        <v>76</v>
      </c>
      <c r="B649" s="271"/>
      <c r="C649" s="271"/>
      <c r="D649" s="271"/>
      <c r="E649" s="271"/>
      <c r="F649" s="271"/>
      <c r="G649" s="273"/>
      <c r="H649" s="88" t="s">
        <v>77</v>
      </c>
      <c r="I649" s="399" t="s">
        <v>920</v>
      </c>
      <c r="J649" s="273"/>
      <c r="K649" s="399" t="s">
        <v>453</v>
      </c>
      <c r="L649" s="273"/>
      <c r="M649" s="399" t="s">
        <v>921</v>
      </c>
      <c r="N649" s="273"/>
    </row>
    <row r="650" spans="1:14" ht="12.75" customHeight="1" x14ac:dyDescent="0.2">
      <c r="A650" s="400" t="s">
        <v>960</v>
      </c>
      <c r="B650" s="271"/>
      <c r="C650" s="271"/>
      <c r="D650" s="271"/>
      <c r="E650" s="271"/>
      <c r="F650" s="271"/>
      <c r="G650" s="273"/>
      <c r="H650" s="29" t="s">
        <v>3192</v>
      </c>
      <c r="I650" s="394">
        <f>+'precios '!J222</f>
        <v>2077.2367952644231</v>
      </c>
      <c r="J650" s="273"/>
      <c r="K650" s="417">
        <f>+Indice!$L$21</f>
        <v>49</v>
      </c>
      <c r="L650" s="273"/>
      <c r="M650" s="394">
        <f t="shared" ref="M650:M654" si="75">IF(A650="","",I650*K650)</f>
        <v>101784.60296795673</v>
      </c>
      <c r="N650" s="273"/>
    </row>
    <row r="651" spans="1:14" ht="12.75" customHeight="1" x14ac:dyDescent="0.2">
      <c r="A651" s="403" t="s">
        <v>939</v>
      </c>
      <c r="B651" s="271"/>
      <c r="C651" s="271"/>
      <c r="D651" s="271"/>
      <c r="E651" s="271"/>
      <c r="F651" s="271"/>
      <c r="G651" s="273"/>
      <c r="H651" s="29" t="s">
        <v>976</v>
      </c>
      <c r="I651" s="394">
        <f>+M646</f>
        <v>5953.5937000000004</v>
      </c>
      <c r="J651" s="273"/>
      <c r="K651" s="404">
        <v>0.05</v>
      </c>
      <c r="L651" s="273"/>
      <c r="M651" s="394">
        <f t="shared" si="75"/>
        <v>297.67968500000001</v>
      </c>
      <c r="N651" s="273"/>
    </row>
    <row r="652" spans="1:14" ht="12.75" customHeight="1" x14ac:dyDescent="0.2">
      <c r="A652" s="400"/>
      <c r="B652" s="271"/>
      <c r="C652" s="271"/>
      <c r="D652" s="271"/>
      <c r="E652" s="271"/>
      <c r="F652" s="271"/>
      <c r="G652" s="273"/>
      <c r="H652" s="29"/>
      <c r="I652" s="394"/>
      <c r="J652" s="273"/>
      <c r="K652" s="395"/>
      <c r="L652" s="273"/>
      <c r="M652" s="394" t="str">
        <f t="shared" si="75"/>
        <v/>
      </c>
      <c r="N652" s="273"/>
    </row>
    <row r="653" spans="1:14" ht="12.75" customHeight="1" x14ac:dyDescent="0.2">
      <c r="A653" s="400"/>
      <c r="B653" s="271"/>
      <c r="C653" s="271"/>
      <c r="D653" s="271"/>
      <c r="E653" s="271"/>
      <c r="F653" s="271"/>
      <c r="G653" s="273"/>
      <c r="H653" s="29"/>
      <c r="I653" s="394"/>
      <c r="J653" s="273"/>
      <c r="K653" s="395"/>
      <c r="L653" s="273"/>
      <c r="M653" s="394" t="str">
        <f t="shared" si="75"/>
        <v/>
      </c>
      <c r="N653" s="273"/>
    </row>
    <row r="654" spans="1:14" ht="12.75" customHeight="1" x14ac:dyDescent="0.2">
      <c r="A654" s="400"/>
      <c r="B654" s="271"/>
      <c r="C654" s="271"/>
      <c r="D654" s="271"/>
      <c r="E654" s="271"/>
      <c r="F654" s="271"/>
      <c r="G654" s="273"/>
      <c r="H654" s="29"/>
      <c r="I654" s="394"/>
      <c r="J654" s="273"/>
      <c r="K654" s="395"/>
      <c r="L654" s="273"/>
      <c r="M654" s="394" t="str">
        <f t="shared" si="75"/>
        <v/>
      </c>
      <c r="N654" s="273"/>
    </row>
    <row r="655" spans="1:14" ht="12.75" customHeight="1" x14ac:dyDescent="0.25">
      <c r="A655" s="4"/>
      <c r="B655" s="4"/>
      <c r="C655" s="4"/>
      <c r="D655" s="4"/>
      <c r="E655" s="4"/>
      <c r="F655" s="4"/>
      <c r="G655" s="4"/>
      <c r="H655" s="4"/>
      <c r="I655" s="4"/>
      <c r="J655" s="4"/>
      <c r="K655" s="396" t="s">
        <v>444</v>
      </c>
      <c r="L655" s="273"/>
      <c r="M655" s="394">
        <f>SUM(M650:N654)</f>
        <v>102082.28265295672</v>
      </c>
      <c r="N655" s="273"/>
    </row>
    <row r="656" spans="1:14" ht="12.75" customHeight="1" x14ac:dyDescent="0.25">
      <c r="A656" s="4"/>
      <c r="B656" s="4"/>
      <c r="C656" s="4"/>
      <c r="D656" s="4"/>
      <c r="E656" s="4"/>
      <c r="F656" s="4"/>
      <c r="G656" s="4"/>
      <c r="H656" s="4"/>
      <c r="I656" s="4"/>
      <c r="J656" s="4"/>
      <c r="K656" s="4"/>
      <c r="L656" s="4"/>
      <c r="M656" s="4"/>
      <c r="N656" s="4"/>
    </row>
    <row r="657" spans="1:14" ht="12.75" customHeight="1" x14ac:dyDescent="0.2">
      <c r="A657" s="398" t="s">
        <v>931</v>
      </c>
      <c r="B657" s="271"/>
      <c r="C657" s="271"/>
      <c r="D657" s="271"/>
      <c r="E657" s="271"/>
      <c r="F657" s="271"/>
      <c r="G657" s="271"/>
      <c r="H657" s="271"/>
      <c r="I657" s="271"/>
      <c r="J657" s="271"/>
      <c r="K657" s="271"/>
      <c r="L657" s="271"/>
      <c r="M657" s="271"/>
      <c r="N657" s="273"/>
    </row>
    <row r="658" spans="1:14" ht="12.75" customHeight="1" x14ac:dyDescent="0.2">
      <c r="A658" s="396" t="s">
        <v>76</v>
      </c>
      <c r="B658" s="271"/>
      <c r="C658" s="271"/>
      <c r="D658" s="271"/>
      <c r="E658" s="271"/>
      <c r="F658" s="271"/>
      <c r="G658" s="273"/>
      <c r="H658" s="88" t="s">
        <v>77</v>
      </c>
      <c r="I658" s="399" t="s">
        <v>920</v>
      </c>
      <c r="J658" s="273"/>
      <c r="K658" s="90" t="s">
        <v>514</v>
      </c>
      <c r="L658" s="91" t="s">
        <v>932</v>
      </c>
      <c r="M658" s="399" t="s">
        <v>921</v>
      </c>
      <c r="N658" s="273"/>
    </row>
    <row r="659" spans="1:14" ht="12.75" customHeight="1" x14ac:dyDescent="0.25">
      <c r="A659" s="393" t="s">
        <v>962</v>
      </c>
      <c r="B659" s="271"/>
      <c r="C659" s="271"/>
      <c r="D659" s="271"/>
      <c r="E659" s="271"/>
      <c r="F659" s="271"/>
      <c r="G659" s="273"/>
      <c r="H659" s="29" t="str">
        <f>IF(A659="","",VLOOKUP(A659,AA_Cuadrillas,4,FALSE))</f>
        <v>Cuadrilla</v>
      </c>
      <c r="I659" s="394">
        <f>IF(A659="","",VLOOKUP(A659,AA_Cuadrillas,5,FALSE))</f>
        <v>396871</v>
      </c>
      <c r="J659" s="273"/>
      <c r="K659" s="9">
        <f>IF(A659="","",F.P!$I$2)</f>
        <v>1.88</v>
      </c>
      <c r="L659" s="93">
        <f>1/20</f>
        <v>0.05</v>
      </c>
      <c r="M659" s="394">
        <f t="shared" ref="M659:M663" si="76">IF(A659="","",I659*K659*L659)</f>
        <v>37305.874000000003</v>
      </c>
      <c r="N659" s="273"/>
    </row>
    <row r="660" spans="1:14" ht="12.75" customHeight="1" x14ac:dyDescent="0.25">
      <c r="A660" s="393"/>
      <c r="B660" s="271"/>
      <c r="C660" s="271"/>
      <c r="D660" s="271"/>
      <c r="E660" s="271"/>
      <c r="F660" s="271"/>
      <c r="G660" s="273"/>
      <c r="H660" s="29" t="str">
        <f>IF(A660="","",VLOOKUP(A660,AA_Cuadrillas,4,FALSE))</f>
        <v/>
      </c>
      <c r="I660" s="394" t="str">
        <f>IF(A660="","",VLOOKUP(A660,AA_Cuadrillas,5,FALSE))</f>
        <v/>
      </c>
      <c r="J660" s="273"/>
      <c r="K660" s="9" t="str">
        <f>IF(A660="","",F.P!$I$2)</f>
        <v/>
      </c>
      <c r="L660" s="9"/>
      <c r="M660" s="394" t="str">
        <f t="shared" si="76"/>
        <v/>
      </c>
      <c r="N660" s="273"/>
    </row>
    <row r="661" spans="1:14" ht="12.75" customHeight="1" x14ac:dyDescent="0.25">
      <c r="A661" s="393"/>
      <c r="B661" s="271"/>
      <c r="C661" s="271"/>
      <c r="D661" s="271"/>
      <c r="E661" s="271"/>
      <c r="F661" s="271"/>
      <c r="G661" s="273"/>
      <c r="H661" s="29" t="str">
        <f>IF(A661="","",VLOOKUP(A661,AA_Cuadrillas,4,FALSE))</f>
        <v/>
      </c>
      <c r="I661" s="394" t="str">
        <f>IF(A661="","",VLOOKUP(A661,AA_Cuadrillas,5,FALSE))</f>
        <v/>
      </c>
      <c r="J661" s="273"/>
      <c r="K661" s="9" t="str">
        <f>IF(A661="","",F.P!$I$2)</f>
        <v/>
      </c>
      <c r="L661" s="37"/>
      <c r="M661" s="394" t="str">
        <f t="shared" si="76"/>
        <v/>
      </c>
      <c r="N661" s="273"/>
    </row>
    <row r="662" spans="1:14" ht="12.75" customHeight="1" x14ac:dyDescent="0.25">
      <c r="A662" s="393"/>
      <c r="B662" s="271"/>
      <c r="C662" s="271"/>
      <c r="D662" s="271"/>
      <c r="E662" s="271"/>
      <c r="F662" s="271"/>
      <c r="G662" s="273"/>
      <c r="H662" s="29" t="str">
        <f>IF(A662="","",VLOOKUP(A662,AA_Cuadrillas,4,FALSE))</f>
        <v/>
      </c>
      <c r="I662" s="394" t="str">
        <f>IF(A662="","",VLOOKUP(A662,AA_Cuadrillas,5,FALSE))</f>
        <v/>
      </c>
      <c r="J662" s="273"/>
      <c r="K662" s="9" t="str">
        <f>IF(A662="","",F.P!$I$2)</f>
        <v/>
      </c>
      <c r="L662" s="37"/>
      <c r="M662" s="394" t="str">
        <f t="shared" si="76"/>
        <v/>
      </c>
      <c r="N662" s="273"/>
    </row>
    <row r="663" spans="1:14" ht="12.75" customHeight="1" x14ac:dyDescent="0.25">
      <c r="A663" s="393"/>
      <c r="B663" s="271"/>
      <c r="C663" s="271"/>
      <c r="D663" s="271"/>
      <c r="E663" s="271"/>
      <c r="F663" s="271"/>
      <c r="G663" s="273"/>
      <c r="H663" s="29" t="str">
        <f>IF(A663="","",VLOOKUP(A663,AA_Cuadrillas,4,FALSE))</f>
        <v/>
      </c>
      <c r="I663" s="394" t="str">
        <f>IF(A663="","",VLOOKUP(A663,AA_Cuadrillas,5,FALSE))</f>
        <v/>
      </c>
      <c r="J663" s="273"/>
      <c r="K663" s="9" t="str">
        <f>IF(A663="","",F.P!$I$2)</f>
        <v/>
      </c>
      <c r="L663" s="37"/>
      <c r="M663" s="394" t="str">
        <f t="shared" si="76"/>
        <v/>
      </c>
      <c r="N663" s="273"/>
    </row>
    <row r="664" spans="1:14" ht="12.75" customHeight="1" x14ac:dyDescent="0.25">
      <c r="A664" s="4"/>
      <c r="B664" s="4"/>
      <c r="C664" s="4"/>
      <c r="D664" s="4"/>
      <c r="E664" s="4"/>
      <c r="F664" s="4"/>
      <c r="G664" s="4"/>
      <c r="H664" s="4"/>
      <c r="I664" s="4"/>
      <c r="J664" s="4"/>
      <c r="K664" s="396" t="s">
        <v>444</v>
      </c>
      <c r="L664" s="273"/>
      <c r="M664" s="394">
        <f>SUM(M659:N663)</f>
        <v>37305.874000000003</v>
      </c>
      <c r="N664" s="273"/>
    </row>
    <row r="665" spans="1:14" ht="12.75" customHeight="1" x14ac:dyDescent="0.25">
      <c r="A665" s="4"/>
      <c r="B665" s="4"/>
      <c r="C665" s="4"/>
      <c r="D665" s="4"/>
      <c r="E665" s="4"/>
      <c r="F665" s="4"/>
      <c r="G665" s="4"/>
      <c r="H665" s="4"/>
      <c r="I665" s="4"/>
      <c r="J665" s="4"/>
      <c r="K665" s="4"/>
      <c r="L665" s="4"/>
      <c r="M665" s="4"/>
      <c r="N665" s="4"/>
    </row>
    <row r="666" spans="1:14" ht="12.75" customHeight="1" x14ac:dyDescent="0.2">
      <c r="A666" s="407" t="s">
        <v>977</v>
      </c>
      <c r="B666" s="275"/>
      <c r="C666" s="275"/>
      <c r="D666" s="275"/>
      <c r="E666" s="275"/>
      <c r="F666" s="275"/>
      <c r="G666" s="275"/>
      <c r="H666" s="275"/>
      <c r="I666" s="275"/>
      <c r="J666" s="275"/>
      <c r="K666" s="275"/>
      <c r="L666" s="275"/>
      <c r="M666" s="275"/>
      <c r="N666" s="276"/>
    </row>
    <row r="667" spans="1:14" ht="12.75" customHeight="1" x14ac:dyDescent="0.2">
      <c r="A667" s="277"/>
      <c r="B667" s="278"/>
      <c r="C667" s="278"/>
      <c r="D667" s="278"/>
      <c r="E667" s="278"/>
      <c r="F667" s="278"/>
      <c r="G667" s="278"/>
      <c r="H667" s="278"/>
      <c r="I667" s="278"/>
      <c r="J667" s="278"/>
      <c r="K667" s="278"/>
      <c r="L667" s="278"/>
      <c r="M667" s="278"/>
      <c r="N667" s="279"/>
    </row>
    <row r="668" spans="1:14" ht="12.75" customHeight="1" x14ac:dyDescent="0.2">
      <c r="A668" s="75"/>
      <c r="B668" s="75"/>
      <c r="C668" s="75"/>
      <c r="D668" s="75"/>
      <c r="E668" s="75"/>
      <c r="F668" s="75"/>
      <c r="G668" s="75"/>
      <c r="H668" s="75"/>
      <c r="I668" s="75"/>
      <c r="J668" s="75"/>
      <c r="K668" s="75"/>
      <c r="L668" s="75"/>
      <c r="M668" s="75"/>
      <c r="N668" s="75"/>
    </row>
    <row r="669" spans="1:14" ht="12.75" customHeight="1" x14ac:dyDescent="0.3">
      <c r="A669" s="79" t="s">
        <v>628</v>
      </c>
      <c r="B669" s="80" t="str">
        <f>A666</f>
        <v>SUMINISTRO E INSTALACIÓN DE GEOTEXTIL NO TEJIDO 2000 O SIMILARES</v>
      </c>
      <c r="C669" s="81" t="s">
        <v>916</v>
      </c>
      <c r="D669" s="82" t="s">
        <v>934</v>
      </c>
      <c r="E669" s="83" t="s">
        <v>445</v>
      </c>
      <c r="F669" s="234">
        <f>(H669+J669+L669+N669)*1.3</f>
        <v>24694.535476000001</v>
      </c>
      <c r="G669" s="83" t="s">
        <v>607</v>
      </c>
      <c r="H669" s="86">
        <f>M679</f>
        <v>7935.7114000000001</v>
      </c>
      <c r="I669" s="83" t="s">
        <v>918</v>
      </c>
      <c r="J669" s="86">
        <f>M688</f>
        <v>526.67071999999996</v>
      </c>
      <c r="K669" s="83" t="s">
        <v>609</v>
      </c>
      <c r="L669" s="86">
        <f>M697</f>
        <v>0</v>
      </c>
      <c r="M669" s="83" t="s">
        <v>610</v>
      </c>
      <c r="N669" s="86">
        <f>M706</f>
        <v>10533.4144</v>
      </c>
    </row>
    <row r="670" spans="1:14" ht="12.75" customHeight="1" x14ac:dyDescent="0.25">
      <c r="A670" s="87"/>
      <c r="B670" s="87"/>
      <c r="C670" s="87"/>
      <c r="D670" s="87"/>
      <c r="E670" s="87"/>
      <c r="F670" s="87"/>
      <c r="G670" s="87"/>
      <c r="J670" s="87"/>
      <c r="K670" s="215" t="s">
        <v>3217</v>
      </c>
      <c r="L670" s="215">
        <f>+F669*presup!$O$5</f>
        <v>32102.896118800003</v>
      </c>
      <c r="M670" s="87"/>
      <c r="N670" s="87"/>
    </row>
    <row r="671" spans="1:14" ht="12.75" customHeight="1" x14ac:dyDescent="0.2">
      <c r="A671" s="398" t="s">
        <v>919</v>
      </c>
      <c r="B671" s="271"/>
      <c r="C671" s="271"/>
      <c r="D671" s="271"/>
      <c r="E671" s="271"/>
      <c r="F671" s="271"/>
      <c r="G671" s="271"/>
      <c r="H671" s="271"/>
      <c r="I671" s="271"/>
      <c r="J671" s="271"/>
      <c r="K671" s="271"/>
      <c r="L671" s="271"/>
      <c r="M671" s="271"/>
      <c r="N671" s="273"/>
    </row>
    <row r="672" spans="1:14" ht="12.75" customHeight="1" x14ac:dyDescent="0.2">
      <c r="A672" s="396" t="s">
        <v>76</v>
      </c>
      <c r="B672" s="271"/>
      <c r="C672" s="271"/>
      <c r="D672" s="271"/>
      <c r="E672" s="271"/>
      <c r="F672" s="271"/>
      <c r="G672" s="273"/>
      <c r="H672" s="88" t="s">
        <v>77</v>
      </c>
      <c r="I672" s="399" t="s">
        <v>920</v>
      </c>
      <c r="J672" s="273"/>
      <c r="K672" s="399" t="s">
        <v>453</v>
      </c>
      <c r="L672" s="273"/>
      <c r="M672" s="399" t="s">
        <v>921</v>
      </c>
      <c r="N672" s="273"/>
    </row>
    <row r="673" spans="1:14" ht="12.75" customHeight="1" x14ac:dyDescent="0.2">
      <c r="A673" s="400" t="s">
        <v>978</v>
      </c>
      <c r="B673" s="271"/>
      <c r="C673" s="271"/>
      <c r="D673" s="271"/>
      <c r="E673" s="271"/>
      <c r="F673" s="271"/>
      <c r="G673" s="273"/>
      <c r="H673" s="29" t="str">
        <f t="shared" ref="H673:H678" si="77">IF(A673="","",VLOOKUP(A673,AA_Materiales,7,FALSE))</f>
        <v>m2</v>
      </c>
      <c r="I673" s="394">
        <f t="shared" ref="I673:I678" si="78">IF(A673="","",VLOOKUP(A673,AA_Materiales,8,FALSE))</f>
        <v>7857.14</v>
      </c>
      <c r="J673" s="273"/>
      <c r="K673" s="395">
        <v>1.01</v>
      </c>
      <c r="L673" s="273"/>
      <c r="M673" s="394">
        <f t="shared" ref="M673:M678" si="79">IF(A673="","",I673*K673)</f>
        <v>7935.7114000000001</v>
      </c>
      <c r="N673" s="273"/>
    </row>
    <row r="674" spans="1:14" ht="12.75" customHeight="1" x14ac:dyDescent="0.2">
      <c r="A674" s="400"/>
      <c r="B674" s="271"/>
      <c r="C674" s="271"/>
      <c r="D674" s="271"/>
      <c r="E674" s="271"/>
      <c r="F674" s="271"/>
      <c r="G674" s="273"/>
      <c r="H674" s="29" t="str">
        <f t="shared" si="77"/>
        <v/>
      </c>
      <c r="I674" s="394" t="str">
        <f t="shared" si="78"/>
        <v/>
      </c>
      <c r="J674" s="273"/>
      <c r="K674" s="395"/>
      <c r="L674" s="273"/>
      <c r="M674" s="394" t="str">
        <f t="shared" si="79"/>
        <v/>
      </c>
      <c r="N674" s="273"/>
    </row>
    <row r="675" spans="1:14" ht="12.75" customHeight="1" x14ac:dyDescent="0.2">
      <c r="A675" s="400"/>
      <c r="B675" s="271"/>
      <c r="C675" s="271"/>
      <c r="D675" s="271"/>
      <c r="E675" s="271"/>
      <c r="F675" s="271"/>
      <c r="G675" s="273"/>
      <c r="H675" s="29" t="str">
        <f t="shared" si="77"/>
        <v/>
      </c>
      <c r="I675" s="394" t="str">
        <f t="shared" si="78"/>
        <v/>
      </c>
      <c r="J675" s="273"/>
      <c r="K675" s="395"/>
      <c r="L675" s="273"/>
      <c r="M675" s="394" t="str">
        <f t="shared" si="79"/>
        <v/>
      </c>
      <c r="N675" s="273"/>
    </row>
    <row r="676" spans="1:14" ht="12.75" customHeight="1" x14ac:dyDescent="0.2">
      <c r="A676" s="400"/>
      <c r="B676" s="271"/>
      <c r="C676" s="271"/>
      <c r="D676" s="271"/>
      <c r="E676" s="271"/>
      <c r="F676" s="271"/>
      <c r="G676" s="273"/>
      <c r="H676" s="29" t="str">
        <f t="shared" si="77"/>
        <v/>
      </c>
      <c r="I676" s="394" t="str">
        <f t="shared" si="78"/>
        <v/>
      </c>
      <c r="J676" s="273"/>
      <c r="K676" s="395"/>
      <c r="L676" s="273"/>
      <c r="M676" s="394" t="str">
        <f t="shared" si="79"/>
        <v/>
      </c>
      <c r="N676" s="273"/>
    </row>
    <row r="677" spans="1:14" ht="12.75" customHeight="1" x14ac:dyDescent="0.2">
      <c r="A677" s="400"/>
      <c r="B677" s="271"/>
      <c r="C677" s="271"/>
      <c r="D677" s="271"/>
      <c r="E677" s="271"/>
      <c r="F677" s="271"/>
      <c r="G677" s="273"/>
      <c r="H677" s="29" t="str">
        <f t="shared" si="77"/>
        <v/>
      </c>
      <c r="I677" s="394" t="str">
        <f t="shared" si="78"/>
        <v/>
      </c>
      <c r="J677" s="273"/>
      <c r="K677" s="395"/>
      <c r="L677" s="273"/>
      <c r="M677" s="394" t="str">
        <f t="shared" si="79"/>
        <v/>
      </c>
      <c r="N677" s="273"/>
    </row>
    <row r="678" spans="1:14" ht="12.75" customHeight="1" x14ac:dyDescent="0.2">
      <c r="A678" s="400"/>
      <c r="B678" s="271"/>
      <c r="C678" s="271"/>
      <c r="D678" s="271"/>
      <c r="E678" s="271"/>
      <c r="F678" s="271"/>
      <c r="G678" s="273"/>
      <c r="H678" s="29" t="str">
        <f t="shared" si="77"/>
        <v/>
      </c>
      <c r="I678" s="394" t="str">
        <f t="shared" si="78"/>
        <v/>
      </c>
      <c r="J678" s="273"/>
      <c r="K678" s="395"/>
      <c r="L678" s="273"/>
      <c r="M678" s="394" t="str">
        <f t="shared" si="79"/>
        <v/>
      </c>
      <c r="N678" s="273"/>
    </row>
    <row r="679" spans="1:14" ht="12.75" customHeight="1" x14ac:dyDescent="0.25">
      <c r="A679" s="4"/>
      <c r="B679" s="4"/>
      <c r="C679" s="4"/>
      <c r="D679" s="4"/>
      <c r="E679" s="4"/>
      <c r="F679" s="4"/>
      <c r="G679" s="4"/>
      <c r="H679" s="4"/>
      <c r="I679" s="4"/>
      <c r="J679" s="4"/>
      <c r="K679" s="396" t="s">
        <v>444</v>
      </c>
      <c r="L679" s="273"/>
      <c r="M679" s="394">
        <f>SUM(M673:N678)</f>
        <v>7935.7114000000001</v>
      </c>
      <c r="N679" s="273"/>
    </row>
    <row r="680" spans="1:14" ht="12.75" customHeight="1" x14ac:dyDescent="0.25">
      <c r="A680" s="4"/>
      <c r="B680" s="4"/>
      <c r="C680" s="4"/>
      <c r="D680" s="4"/>
      <c r="E680" s="4"/>
      <c r="F680" s="4"/>
      <c r="G680" s="4"/>
      <c r="H680" s="4"/>
      <c r="I680" s="4"/>
      <c r="J680" s="4"/>
      <c r="K680" s="4"/>
      <c r="L680" s="4"/>
      <c r="M680" s="4"/>
      <c r="N680" s="4"/>
    </row>
    <row r="681" spans="1:14" ht="12.75" customHeight="1" x14ac:dyDescent="0.2">
      <c r="A681" s="398" t="s">
        <v>926</v>
      </c>
      <c r="B681" s="271"/>
      <c r="C681" s="271"/>
      <c r="D681" s="271"/>
      <c r="E681" s="271"/>
      <c r="F681" s="271"/>
      <c r="G681" s="271"/>
      <c r="H681" s="271"/>
      <c r="I681" s="271"/>
      <c r="J681" s="271"/>
      <c r="K681" s="271"/>
      <c r="L681" s="271"/>
      <c r="M681" s="271"/>
      <c r="N681" s="273"/>
    </row>
    <row r="682" spans="1:14" ht="12.75" customHeight="1" x14ac:dyDescent="0.2">
      <c r="A682" s="396" t="s">
        <v>76</v>
      </c>
      <c r="B682" s="271"/>
      <c r="C682" s="271"/>
      <c r="D682" s="271"/>
      <c r="E682" s="271"/>
      <c r="F682" s="271"/>
      <c r="G682" s="273"/>
      <c r="H682" s="88" t="s">
        <v>77</v>
      </c>
      <c r="I682" s="399" t="s">
        <v>920</v>
      </c>
      <c r="J682" s="273"/>
      <c r="K682" s="399" t="s">
        <v>453</v>
      </c>
      <c r="L682" s="273"/>
      <c r="M682" s="399" t="s">
        <v>921</v>
      </c>
      <c r="N682" s="273"/>
    </row>
    <row r="683" spans="1:14" ht="12.75" customHeight="1" x14ac:dyDescent="0.2">
      <c r="A683" s="400" t="s">
        <v>927</v>
      </c>
      <c r="B683" s="271"/>
      <c r="C683" s="271"/>
      <c r="D683" s="271"/>
      <c r="E683" s="271"/>
      <c r="F683" s="271"/>
      <c r="G683" s="273"/>
      <c r="H683" s="29" t="str">
        <f>IF(A683="","",VLOOKUP(A683,AA_Equipos,7,FALSE))</f>
        <v>% M.O.</v>
      </c>
      <c r="I683" s="394">
        <f>M706</f>
        <v>10533.4144</v>
      </c>
      <c r="J683" s="273"/>
      <c r="K683" s="395">
        <v>0.05</v>
      </c>
      <c r="L683" s="273"/>
      <c r="M683" s="394">
        <f t="shared" ref="M683:M687" si="80">IF(A683="","",I683*K683)</f>
        <v>526.67071999999996</v>
      </c>
      <c r="N683" s="273"/>
    </row>
    <row r="684" spans="1:14" ht="12.75" customHeight="1" x14ac:dyDescent="0.2">
      <c r="A684" s="403"/>
      <c r="B684" s="271"/>
      <c r="C684" s="271"/>
      <c r="D684" s="271"/>
      <c r="E684" s="271"/>
      <c r="F684" s="271"/>
      <c r="G684" s="273"/>
      <c r="H684" s="29" t="str">
        <f>IF(A684="","",VLOOKUP(A684,AA_Equipos,7,FALSE))</f>
        <v/>
      </c>
      <c r="I684" s="394" t="str">
        <f>IF(A684="","",VLOOKUP(A684,AA_Equipos,8,FALSE))</f>
        <v/>
      </c>
      <c r="J684" s="273"/>
      <c r="K684" s="402"/>
      <c r="L684" s="273"/>
      <c r="M684" s="394" t="str">
        <f t="shared" si="80"/>
        <v/>
      </c>
      <c r="N684" s="273"/>
    </row>
    <row r="685" spans="1:14" ht="12.75" customHeight="1" x14ac:dyDescent="0.2">
      <c r="A685" s="400"/>
      <c r="B685" s="271"/>
      <c r="C685" s="271"/>
      <c r="D685" s="271"/>
      <c r="E685" s="271"/>
      <c r="F685" s="271"/>
      <c r="G685" s="273"/>
      <c r="H685" s="29" t="str">
        <f>IF(A685="","",VLOOKUP(A685,AA_Equipos,7,FALSE))</f>
        <v/>
      </c>
      <c r="I685" s="394" t="str">
        <f>IF(A685="","",VLOOKUP(A685,AA_Equipos,8,FALSE))</f>
        <v/>
      </c>
      <c r="J685" s="273"/>
      <c r="K685" s="401"/>
      <c r="L685" s="273"/>
      <c r="M685" s="394" t="str">
        <f t="shared" si="80"/>
        <v/>
      </c>
      <c r="N685" s="273"/>
    </row>
    <row r="686" spans="1:14" ht="12.75" customHeight="1" x14ac:dyDescent="0.2">
      <c r="A686" s="400"/>
      <c r="B686" s="271"/>
      <c r="C686" s="271"/>
      <c r="D686" s="271"/>
      <c r="E686" s="271"/>
      <c r="F686" s="271"/>
      <c r="G686" s="273"/>
      <c r="H686" s="29" t="str">
        <f>IF(A686="","",VLOOKUP(A686,AA_Equipos,7,FALSE))</f>
        <v/>
      </c>
      <c r="I686" s="394" t="str">
        <f>IF(A686="","",VLOOKUP(A686,AA_Equipos,8,FALSE))</f>
        <v/>
      </c>
      <c r="J686" s="273"/>
      <c r="K686" s="395"/>
      <c r="L686" s="273"/>
      <c r="M686" s="394" t="str">
        <f t="shared" si="80"/>
        <v/>
      </c>
      <c r="N686" s="273"/>
    </row>
    <row r="687" spans="1:14" ht="12.75" customHeight="1" x14ac:dyDescent="0.2">
      <c r="A687" s="400"/>
      <c r="B687" s="271"/>
      <c r="C687" s="271"/>
      <c r="D687" s="271"/>
      <c r="E687" s="271"/>
      <c r="F687" s="271"/>
      <c r="G687" s="273"/>
      <c r="H687" s="29" t="str">
        <f>IF(A687="","",VLOOKUP(A687,AA_Equipos,7,FALSE))</f>
        <v/>
      </c>
      <c r="I687" s="394" t="str">
        <f>IF(A687="","",VLOOKUP(A687,AA_Equipos,8,FALSE))</f>
        <v/>
      </c>
      <c r="J687" s="273"/>
      <c r="K687" s="395"/>
      <c r="L687" s="273"/>
      <c r="M687" s="394" t="str">
        <f t="shared" si="80"/>
        <v/>
      </c>
      <c r="N687" s="273"/>
    </row>
    <row r="688" spans="1:14" ht="12.75" customHeight="1" x14ac:dyDescent="0.25">
      <c r="A688" s="4"/>
      <c r="B688" s="4"/>
      <c r="C688" s="4"/>
      <c r="D688" s="4"/>
      <c r="E688" s="4"/>
      <c r="F688" s="4"/>
      <c r="G688" s="4"/>
      <c r="H688" s="4"/>
      <c r="I688" s="4"/>
      <c r="J688" s="4"/>
      <c r="K688" s="396" t="s">
        <v>444</v>
      </c>
      <c r="L688" s="273"/>
      <c r="M688" s="394">
        <f>SUM(M683:N687)</f>
        <v>526.67071999999996</v>
      </c>
      <c r="N688" s="273"/>
    </row>
    <row r="689" spans="1:14" ht="12.75" customHeight="1" x14ac:dyDescent="0.25">
      <c r="A689" s="4"/>
      <c r="B689" s="4"/>
      <c r="C689" s="4"/>
      <c r="D689" s="4"/>
      <c r="E689" s="4"/>
      <c r="F689" s="4"/>
      <c r="G689" s="4"/>
      <c r="H689" s="4"/>
      <c r="I689" s="4"/>
      <c r="J689" s="4"/>
      <c r="K689" s="4"/>
      <c r="L689" s="4"/>
      <c r="M689" s="4"/>
      <c r="N689" s="4"/>
    </row>
    <row r="690" spans="1:14" ht="12.75" customHeight="1" x14ac:dyDescent="0.2">
      <c r="A690" s="398" t="s">
        <v>929</v>
      </c>
      <c r="B690" s="271"/>
      <c r="C690" s="271"/>
      <c r="D690" s="271"/>
      <c r="E690" s="271"/>
      <c r="F690" s="271"/>
      <c r="G690" s="271"/>
      <c r="H690" s="271"/>
      <c r="I690" s="271"/>
      <c r="J690" s="271"/>
      <c r="K690" s="271"/>
      <c r="L690" s="271"/>
      <c r="M690" s="271"/>
      <c r="N690" s="273"/>
    </row>
    <row r="691" spans="1:14" ht="12.75" customHeight="1" x14ac:dyDescent="0.2">
      <c r="A691" s="396" t="s">
        <v>76</v>
      </c>
      <c r="B691" s="271"/>
      <c r="C691" s="271"/>
      <c r="D691" s="271"/>
      <c r="E691" s="271"/>
      <c r="F691" s="271"/>
      <c r="G691" s="273"/>
      <c r="H691" s="88" t="s">
        <v>77</v>
      </c>
      <c r="I691" s="399" t="s">
        <v>920</v>
      </c>
      <c r="J691" s="273"/>
      <c r="K691" s="399" t="s">
        <v>453</v>
      </c>
      <c r="L691" s="273"/>
      <c r="M691" s="399" t="s">
        <v>921</v>
      </c>
      <c r="N691" s="273"/>
    </row>
    <row r="692" spans="1:14" ht="12.75" customHeight="1" x14ac:dyDescent="0.2">
      <c r="A692" s="400"/>
      <c r="B692" s="271"/>
      <c r="C692" s="271"/>
      <c r="D692" s="271"/>
      <c r="E692" s="271"/>
      <c r="F692" s="271"/>
      <c r="G692" s="273"/>
      <c r="H692" s="29"/>
      <c r="I692" s="394"/>
      <c r="J692" s="273"/>
      <c r="K692" s="404"/>
      <c r="L692" s="273"/>
      <c r="M692" s="394" t="str">
        <f t="shared" ref="M692:M696" si="81">IF(A692="","",I692*K692)</f>
        <v/>
      </c>
      <c r="N692" s="273"/>
    </row>
    <row r="693" spans="1:14" ht="12.75" customHeight="1" x14ac:dyDescent="0.2">
      <c r="A693" s="403"/>
      <c r="B693" s="271"/>
      <c r="C693" s="271"/>
      <c r="D693" s="271"/>
      <c r="E693" s="271"/>
      <c r="F693" s="271"/>
      <c r="G693" s="273"/>
      <c r="H693" s="29"/>
      <c r="I693" s="394"/>
      <c r="J693" s="273"/>
      <c r="K693" s="404"/>
      <c r="L693" s="273"/>
      <c r="M693" s="394" t="str">
        <f t="shared" si="81"/>
        <v/>
      </c>
      <c r="N693" s="273"/>
    </row>
    <row r="694" spans="1:14" ht="12.75" customHeight="1" x14ac:dyDescent="0.2">
      <c r="A694" s="400"/>
      <c r="B694" s="271"/>
      <c r="C694" s="271"/>
      <c r="D694" s="271"/>
      <c r="E694" s="271"/>
      <c r="F694" s="271"/>
      <c r="G694" s="273"/>
      <c r="H694" s="29"/>
      <c r="I694" s="394"/>
      <c r="J694" s="273"/>
      <c r="K694" s="395"/>
      <c r="L694" s="273"/>
      <c r="M694" s="394" t="str">
        <f t="shared" si="81"/>
        <v/>
      </c>
      <c r="N694" s="273"/>
    </row>
    <row r="695" spans="1:14" ht="12.75" customHeight="1" x14ac:dyDescent="0.2">
      <c r="A695" s="400"/>
      <c r="B695" s="271"/>
      <c r="C695" s="271"/>
      <c r="D695" s="271"/>
      <c r="E695" s="271"/>
      <c r="F695" s="271"/>
      <c r="G695" s="273"/>
      <c r="H695" s="29"/>
      <c r="I695" s="394"/>
      <c r="J695" s="273"/>
      <c r="K695" s="395"/>
      <c r="L695" s="273"/>
      <c r="M695" s="394" t="str">
        <f t="shared" si="81"/>
        <v/>
      </c>
      <c r="N695" s="273"/>
    </row>
    <row r="696" spans="1:14" ht="12.75" customHeight="1" x14ac:dyDescent="0.2">
      <c r="A696" s="400"/>
      <c r="B696" s="271"/>
      <c r="C696" s="271"/>
      <c r="D696" s="271"/>
      <c r="E696" s="271"/>
      <c r="F696" s="271"/>
      <c r="G696" s="273"/>
      <c r="H696" s="29"/>
      <c r="I696" s="394"/>
      <c r="J696" s="273"/>
      <c r="K696" s="395"/>
      <c r="L696" s="273"/>
      <c r="M696" s="394" t="str">
        <f t="shared" si="81"/>
        <v/>
      </c>
      <c r="N696" s="273"/>
    </row>
    <row r="697" spans="1:14" ht="12.75" customHeight="1" x14ac:dyDescent="0.25">
      <c r="A697" s="4"/>
      <c r="B697" s="4"/>
      <c r="C697" s="4"/>
      <c r="D697" s="4"/>
      <c r="E697" s="4"/>
      <c r="F697" s="4"/>
      <c r="G697" s="4"/>
      <c r="H697" s="4"/>
      <c r="I697" s="4"/>
      <c r="J697" s="4"/>
      <c r="K697" s="396" t="s">
        <v>444</v>
      </c>
      <c r="L697" s="273"/>
      <c r="M697" s="394">
        <f>SUM(M692:N696)</f>
        <v>0</v>
      </c>
      <c r="N697" s="273"/>
    </row>
    <row r="698" spans="1:14" ht="12.75" customHeight="1" x14ac:dyDescent="0.25">
      <c r="A698" s="4"/>
      <c r="B698" s="4"/>
      <c r="C698" s="4"/>
      <c r="D698" s="4"/>
      <c r="E698" s="4"/>
      <c r="F698" s="4"/>
      <c r="G698" s="4"/>
      <c r="H698" s="4"/>
      <c r="I698" s="4"/>
      <c r="J698" s="4"/>
      <c r="K698" s="4"/>
      <c r="L698" s="4"/>
      <c r="M698" s="4"/>
      <c r="N698" s="4"/>
    </row>
    <row r="699" spans="1:14" ht="12.75" customHeight="1" x14ac:dyDescent="0.2">
      <c r="A699" s="398" t="s">
        <v>931</v>
      </c>
      <c r="B699" s="271"/>
      <c r="C699" s="271"/>
      <c r="D699" s="271"/>
      <c r="E699" s="271"/>
      <c r="F699" s="271"/>
      <c r="G699" s="271"/>
      <c r="H699" s="271"/>
      <c r="I699" s="271"/>
      <c r="J699" s="271"/>
      <c r="K699" s="271"/>
      <c r="L699" s="271"/>
      <c r="M699" s="271"/>
      <c r="N699" s="273"/>
    </row>
    <row r="700" spans="1:14" ht="12.75" customHeight="1" x14ac:dyDescent="0.2">
      <c r="A700" s="396" t="s">
        <v>76</v>
      </c>
      <c r="B700" s="271"/>
      <c r="C700" s="271"/>
      <c r="D700" s="271"/>
      <c r="E700" s="271"/>
      <c r="F700" s="271"/>
      <c r="G700" s="273"/>
      <c r="H700" s="88" t="s">
        <v>77</v>
      </c>
      <c r="I700" s="399" t="s">
        <v>920</v>
      </c>
      <c r="J700" s="273"/>
      <c r="K700" s="90" t="s">
        <v>514</v>
      </c>
      <c r="L700" s="91" t="s">
        <v>932</v>
      </c>
      <c r="M700" s="399" t="s">
        <v>921</v>
      </c>
      <c r="N700" s="273"/>
    </row>
    <row r="701" spans="1:14" ht="12.75" customHeight="1" x14ac:dyDescent="0.25">
      <c r="A701" s="393" t="s">
        <v>979</v>
      </c>
      <c r="B701" s="271"/>
      <c r="C701" s="271"/>
      <c r="D701" s="271"/>
      <c r="E701" s="271"/>
      <c r="F701" s="271"/>
      <c r="G701" s="273"/>
      <c r="H701" s="29" t="str">
        <f>IF(A701="","",VLOOKUP(A701,AA_Cuadrillas,4,FALSE))</f>
        <v>Cuadrilla</v>
      </c>
      <c r="I701" s="394">
        <f>IF(A701="","",VLOOKUP(A701,AA_Cuadrillas,5,FALSE))</f>
        <v>140072</v>
      </c>
      <c r="J701" s="273"/>
      <c r="K701" s="9">
        <f>IF(A701="","",F.P!$I$2)</f>
        <v>1.88</v>
      </c>
      <c r="L701" s="93">
        <v>0.04</v>
      </c>
      <c r="M701" s="394">
        <f t="shared" ref="M701:M705" si="82">IF(A701="","",I701*K701*L701)</f>
        <v>10533.4144</v>
      </c>
      <c r="N701" s="273"/>
    </row>
    <row r="702" spans="1:14" ht="12.75" customHeight="1" x14ac:dyDescent="0.25">
      <c r="A702" s="393"/>
      <c r="B702" s="271"/>
      <c r="C702" s="271"/>
      <c r="D702" s="271"/>
      <c r="E702" s="271"/>
      <c r="F702" s="271"/>
      <c r="G702" s="273"/>
      <c r="H702" s="29" t="str">
        <f>IF(A702="","",VLOOKUP(A702,AA_Cuadrillas,4,FALSE))</f>
        <v/>
      </c>
      <c r="I702" s="394" t="str">
        <f>IF(A702="","",VLOOKUP(A702,AA_Cuadrillas,5,FALSE))</f>
        <v/>
      </c>
      <c r="J702" s="273"/>
      <c r="K702" s="9" t="str">
        <f>IF(A702="","",F.P!$I$2)</f>
        <v/>
      </c>
      <c r="L702" s="9"/>
      <c r="M702" s="394" t="str">
        <f t="shared" si="82"/>
        <v/>
      </c>
      <c r="N702" s="273"/>
    </row>
    <row r="703" spans="1:14" ht="12.75" customHeight="1" x14ac:dyDescent="0.25">
      <c r="A703" s="393"/>
      <c r="B703" s="271"/>
      <c r="C703" s="271"/>
      <c r="D703" s="271"/>
      <c r="E703" s="271"/>
      <c r="F703" s="271"/>
      <c r="G703" s="273"/>
      <c r="H703" s="29" t="str">
        <f>IF(A703="","",VLOOKUP(A703,AA_Cuadrillas,4,FALSE))</f>
        <v/>
      </c>
      <c r="I703" s="394" t="str">
        <f>IF(A703="","",VLOOKUP(A703,AA_Cuadrillas,5,FALSE))</f>
        <v/>
      </c>
      <c r="J703" s="273"/>
      <c r="K703" s="9" t="str">
        <f>IF(A703="","",F.P!$I$2)</f>
        <v/>
      </c>
      <c r="L703" s="37"/>
      <c r="M703" s="394" t="str">
        <f t="shared" si="82"/>
        <v/>
      </c>
      <c r="N703" s="273"/>
    </row>
    <row r="704" spans="1:14" ht="12.75" customHeight="1" x14ac:dyDescent="0.25">
      <c r="A704" s="393"/>
      <c r="B704" s="271"/>
      <c r="C704" s="271"/>
      <c r="D704" s="271"/>
      <c r="E704" s="271"/>
      <c r="F704" s="271"/>
      <c r="G704" s="273"/>
      <c r="H704" s="29" t="str">
        <f>IF(A704="","",VLOOKUP(A704,AA_Cuadrillas,4,FALSE))</f>
        <v/>
      </c>
      <c r="I704" s="394" t="str">
        <f>IF(A704="","",VLOOKUP(A704,AA_Cuadrillas,5,FALSE))</f>
        <v/>
      </c>
      <c r="J704" s="273"/>
      <c r="K704" s="9" t="str">
        <f>IF(A704="","",F.P!$I$2)</f>
        <v/>
      </c>
      <c r="L704" s="37"/>
      <c r="M704" s="394" t="str">
        <f t="shared" si="82"/>
        <v/>
      </c>
      <c r="N704" s="273"/>
    </row>
    <row r="705" spans="1:15" ht="12.75" customHeight="1" x14ac:dyDescent="0.25">
      <c r="A705" s="393"/>
      <c r="B705" s="271"/>
      <c r="C705" s="271"/>
      <c r="D705" s="271"/>
      <c r="E705" s="271"/>
      <c r="F705" s="271"/>
      <c r="G705" s="273"/>
      <c r="H705" s="29" t="str">
        <f>IF(A705="","",VLOOKUP(A705,AA_Cuadrillas,4,FALSE))</f>
        <v/>
      </c>
      <c r="I705" s="394" t="str">
        <f>IF(A705="","",VLOOKUP(A705,AA_Cuadrillas,5,FALSE))</f>
        <v/>
      </c>
      <c r="J705" s="273"/>
      <c r="K705" s="9" t="str">
        <f>IF(A705="","",F.P!$I$2)</f>
        <v/>
      </c>
      <c r="L705" s="37"/>
      <c r="M705" s="394" t="str">
        <f t="shared" si="82"/>
        <v/>
      </c>
      <c r="N705" s="273"/>
    </row>
    <row r="706" spans="1:15" ht="12.75" customHeight="1" x14ac:dyDescent="0.25">
      <c r="A706" s="4"/>
      <c r="B706" s="4"/>
      <c r="C706" s="4"/>
      <c r="D706" s="4"/>
      <c r="E706" s="4"/>
      <c r="F706" s="4"/>
      <c r="G706" s="4"/>
      <c r="H706" s="4"/>
      <c r="I706" s="4"/>
      <c r="J706" s="4"/>
      <c r="K706" s="396" t="s">
        <v>444</v>
      </c>
      <c r="L706" s="273"/>
      <c r="M706" s="394">
        <f>SUM(M701:N705)</f>
        <v>10533.4144</v>
      </c>
      <c r="N706" s="273"/>
    </row>
    <row r="707" spans="1:15" ht="12.75" customHeight="1" x14ac:dyDescent="0.2">
      <c r="A707" s="407" t="s">
        <v>980</v>
      </c>
      <c r="B707" s="275"/>
      <c r="C707" s="275"/>
      <c r="D707" s="275"/>
      <c r="E707" s="275"/>
      <c r="F707" s="275"/>
      <c r="G707" s="275"/>
      <c r="H707" s="275"/>
      <c r="I707" s="275"/>
      <c r="J707" s="275"/>
      <c r="K707" s="275"/>
      <c r="L707" s="275"/>
      <c r="M707" s="275"/>
      <c r="N707" s="276"/>
    </row>
    <row r="708" spans="1:15" ht="12.75" customHeight="1" x14ac:dyDescent="0.2">
      <c r="A708" s="277"/>
      <c r="B708" s="278"/>
      <c r="C708" s="278"/>
      <c r="D708" s="278"/>
      <c r="E708" s="278"/>
      <c r="F708" s="278"/>
      <c r="G708" s="278"/>
      <c r="H708" s="278"/>
      <c r="I708" s="278"/>
      <c r="J708" s="278"/>
      <c r="K708" s="278"/>
      <c r="L708" s="278"/>
      <c r="M708" s="278"/>
      <c r="N708" s="279"/>
    </row>
    <row r="709" spans="1:15" ht="12.75" customHeight="1" x14ac:dyDescent="0.2">
      <c r="A709" s="75"/>
      <c r="B709" s="75"/>
      <c r="C709" s="75"/>
      <c r="D709" s="75"/>
      <c r="E709" s="75"/>
      <c r="F709" s="75"/>
      <c r="G709" s="75"/>
      <c r="H709" s="75"/>
      <c r="I709" s="75"/>
      <c r="J709" s="75"/>
      <c r="K709" s="75"/>
      <c r="L709" s="75"/>
      <c r="M709" s="75"/>
      <c r="N709" s="75"/>
    </row>
    <row r="710" spans="1:15" ht="12.75" customHeight="1" x14ac:dyDescent="0.3">
      <c r="A710" s="79" t="s">
        <v>629</v>
      </c>
      <c r="B710" s="80" t="str">
        <f>A707</f>
        <v>SUMINISTRO E INSTALACION DE TUBERÍA PVC D=4"</v>
      </c>
      <c r="C710" s="81" t="s">
        <v>916</v>
      </c>
      <c r="D710" s="82" t="s">
        <v>981</v>
      </c>
      <c r="E710" s="83" t="s">
        <v>445</v>
      </c>
      <c r="F710" s="234">
        <f>(H710+J710+L710+N710)*1.3</f>
        <v>89475.67356000001</v>
      </c>
      <c r="G710" s="83" t="s">
        <v>607</v>
      </c>
      <c r="H710" s="86">
        <f>M719</f>
        <v>30438.5</v>
      </c>
      <c r="I710" s="83" t="s">
        <v>918</v>
      </c>
      <c r="J710" s="86">
        <f>M728</f>
        <v>1755.5722000000003</v>
      </c>
      <c r="K710" s="83" t="s">
        <v>609</v>
      </c>
      <c r="L710" s="86">
        <f>M737</f>
        <v>1521.9250000000002</v>
      </c>
      <c r="M710" s="83" t="s">
        <v>610</v>
      </c>
      <c r="N710" s="86">
        <f>M746</f>
        <v>35111.444000000003</v>
      </c>
      <c r="O710" t="s">
        <v>3223</v>
      </c>
    </row>
    <row r="711" spans="1:15" ht="12.75" customHeight="1" x14ac:dyDescent="0.25">
      <c r="A711" s="87"/>
      <c r="B711" s="87"/>
      <c r="C711" s="87"/>
      <c r="D711" s="87"/>
      <c r="E711" s="87"/>
      <c r="F711" s="87"/>
      <c r="G711" s="87"/>
      <c r="J711" s="87"/>
      <c r="K711" s="215" t="s">
        <v>3217</v>
      </c>
      <c r="L711" s="215">
        <f>+F710*presup!$O$5</f>
        <v>116318.37562800002</v>
      </c>
      <c r="M711" s="87"/>
      <c r="N711" s="87"/>
    </row>
    <row r="712" spans="1:15" ht="12.75" customHeight="1" x14ac:dyDescent="0.2">
      <c r="A712" s="398" t="s">
        <v>919</v>
      </c>
      <c r="B712" s="271"/>
      <c r="C712" s="271"/>
      <c r="D712" s="271"/>
      <c r="E712" s="271"/>
      <c r="F712" s="271"/>
      <c r="G712" s="271"/>
      <c r="H712" s="271"/>
      <c r="I712" s="271"/>
      <c r="J712" s="271"/>
      <c r="K712" s="271"/>
      <c r="L712" s="271"/>
      <c r="M712" s="271"/>
      <c r="N712" s="273"/>
    </row>
    <row r="713" spans="1:15" ht="12.75" customHeight="1" x14ac:dyDescent="0.2">
      <c r="A713" s="396" t="s">
        <v>76</v>
      </c>
      <c r="B713" s="271"/>
      <c r="C713" s="271"/>
      <c r="D713" s="271"/>
      <c r="E713" s="271"/>
      <c r="F713" s="271"/>
      <c r="G713" s="273"/>
      <c r="H713" s="88" t="s">
        <v>77</v>
      </c>
      <c r="I713" s="399" t="s">
        <v>920</v>
      </c>
      <c r="J713" s="273"/>
      <c r="K713" s="399" t="s">
        <v>453</v>
      </c>
      <c r="L713" s="273"/>
      <c r="M713" s="399" t="s">
        <v>921</v>
      </c>
      <c r="N713" s="273"/>
    </row>
    <row r="714" spans="1:15" ht="12.75" customHeight="1" x14ac:dyDescent="0.2">
      <c r="A714" s="400" t="s">
        <v>982</v>
      </c>
      <c r="B714" s="271"/>
      <c r="C714" s="271"/>
      <c r="D714" s="271"/>
      <c r="E714" s="271"/>
      <c r="F714" s="271"/>
      <c r="G714" s="273"/>
      <c r="H714" s="29" t="str">
        <f>IF(A714="","",VLOOKUP(A714,AA_Materiales,7,FALSE))</f>
        <v>ml</v>
      </c>
      <c r="I714" s="394">
        <f>IF(A714="","",VLOOKUP(A714,AA_Materiales,8,FALSE))</f>
        <v>19650</v>
      </c>
      <c r="J714" s="273"/>
      <c r="K714" s="395">
        <v>1.05</v>
      </c>
      <c r="L714" s="273"/>
      <c r="M714" s="394">
        <f t="shared" ref="M714:M718" si="83">IF(A714="","",I714*K714)</f>
        <v>20632.5</v>
      </c>
      <c r="N714" s="273"/>
    </row>
    <row r="715" spans="1:15" ht="12.75" customHeight="1" x14ac:dyDescent="0.2">
      <c r="A715" s="400" t="s">
        <v>983</v>
      </c>
      <c r="B715" s="271"/>
      <c r="C715" s="271"/>
      <c r="D715" s="271"/>
      <c r="E715" s="271"/>
      <c r="F715" s="271"/>
      <c r="G715" s="273"/>
      <c r="H715" s="29" t="str">
        <f>IF(A715="","",VLOOKUP(A715,AA_Materiales,7,FALSE))</f>
        <v>Unidad</v>
      </c>
      <c r="I715" s="394">
        <f>IF(A715="","",VLOOKUP(A715,AA_Materiales,8,FALSE))</f>
        <v>10600</v>
      </c>
      <c r="J715" s="273"/>
      <c r="K715" s="395">
        <v>0.2</v>
      </c>
      <c r="L715" s="273"/>
      <c r="M715" s="394">
        <f t="shared" si="83"/>
        <v>2120</v>
      </c>
      <c r="N715" s="273"/>
    </row>
    <row r="716" spans="1:15" ht="12.75" customHeight="1" x14ac:dyDescent="0.2">
      <c r="A716" s="400" t="s">
        <v>984</v>
      </c>
      <c r="B716" s="271"/>
      <c r="C716" s="271"/>
      <c r="D716" s="271"/>
      <c r="E716" s="271"/>
      <c r="F716" s="271"/>
      <c r="G716" s="273"/>
      <c r="H716" s="29" t="str">
        <f>IF(A716="","",VLOOKUP(A716,AA_Materiales,7,FALSE))</f>
        <v>Galón</v>
      </c>
      <c r="I716" s="394">
        <f>IF(A716="","",VLOOKUP(A716,AA_Materiales,8,FALSE))</f>
        <v>80900</v>
      </c>
      <c r="J716" s="273"/>
      <c r="K716" s="395">
        <v>0.06</v>
      </c>
      <c r="L716" s="273"/>
      <c r="M716" s="394">
        <f t="shared" si="83"/>
        <v>4854</v>
      </c>
      <c r="N716" s="273"/>
    </row>
    <row r="717" spans="1:15" ht="12.75" customHeight="1" x14ac:dyDescent="0.2">
      <c r="A717" s="400" t="s">
        <v>985</v>
      </c>
      <c r="B717" s="271"/>
      <c r="C717" s="271"/>
      <c r="D717" s="271"/>
      <c r="E717" s="271"/>
      <c r="F717" s="271"/>
      <c r="G717" s="273"/>
      <c r="H717" s="29" t="str">
        <f>IF(A717="","",VLOOKUP(A717,AA_Materiales,7,FALSE))</f>
        <v>Galón</v>
      </c>
      <c r="I717" s="394">
        <f>IF(A717="","",VLOOKUP(A717,AA_Materiales,8,FALSE))</f>
        <v>47200</v>
      </c>
      <c r="J717" s="273"/>
      <c r="K717" s="395">
        <v>0.06</v>
      </c>
      <c r="L717" s="273"/>
      <c r="M717" s="394">
        <f t="shared" si="83"/>
        <v>2832</v>
      </c>
      <c r="N717" s="273"/>
    </row>
    <row r="718" spans="1:15" ht="12.75" customHeight="1" x14ac:dyDescent="0.2">
      <c r="A718" s="400"/>
      <c r="B718" s="271"/>
      <c r="C718" s="271"/>
      <c r="D718" s="271"/>
      <c r="E718" s="271"/>
      <c r="F718" s="271"/>
      <c r="G718" s="273"/>
      <c r="H718" s="29" t="str">
        <f>IF(A718="","",VLOOKUP(A718,AA_Materiales,7,FALSE))</f>
        <v/>
      </c>
      <c r="I718" s="394" t="str">
        <f>IF(A718="","",VLOOKUP(A718,AA_Materiales,8,FALSE))</f>
        <v/>
      </c>
      <c r="J718" s="273"/>
      <c r="K718" s="395"/>
      <c r="L718" s="273"/>
      <c r="M718" s="394" t="str">
        <f t="shared" si="83"/>
        <v/>
      </c>
      <c r="N718" s="273"/>
    </row>
    <row r="719" spans="1:15" ht="12.75" customHeight="1" x14ac:dyDescent="0.25">
      <c r="A719" s="4"/>
      <c r="B719" s="4"/>
      <c r="C719" s="4"/>
      <c r="D719" s="4"/>
      <c r="E719" s="4"/>
      <c r="F719" s="4"/>
      <c r="G719" s="4"/>
      <c r="H719" s="4"/>
      <c r="I719" s="4"/>
      <c r="J719" s="4"/>
      <c r="K719" s="396" t="s">
        <v>444</v>
      </c>
      <c r="L719" s="273"/>
      <c r="M719" s="394">
        <f>SUM(M714:N718)</f>
        <v>30438.5</v>
      </c>
      <c r="N719" s="273"/>
    </row>
    <row r="720" spans="1:15" ht="12.75" customHeight="1" x14ac:dyDescent="0.25">
      <c r="A720" s="4"/>
      <c r="B720" s="4"/>
      <c r="C720" s="4"/>
      <c r="D720" s="4"/>
      <c r="E720" s="4"/>
      <c r="F720" s="4"/>
      <c r="G720" s="4"/>
      <c r="H720" s="4"/>
      <c r="I720" s="4"/>
      <c r="J720" s="4"/>
      <c r="K720" s="4"/>
      <c r="L720" s="4"/>
      <c r="M720" s="4"/>
      <c r="N720" s="4"/>
    </row>
    <row r="721" spans="1:14" ht="12.75" customHeight="1" x14ac:dyDescent="0.2">
      <c r="A721" s="398" t="s">
        <v>926</v>
      </c>
      <c r="B721" s="271"/>
      <c r="C721" s="271"/>
      <c r="D721" s="271"/>
      <c r="E721" s="271"/>
      <c r="F721" s="271"/>
      <c r="G721" s="271"/>
      <c r="H721" s="271"/>
      <c r="I721" s="271"/>
      <c r="J721" s="271"/>
      <c r="K721" s="271"/>
      <c r="L721" s="271"/>
      <c r="M721" s="271"/>
      <c r="N721" s="273"/>
    </row>
    <row r="722" spans="1:14" ht="12.75" customHeight="1" x14ac:dyDescent="0.2">
      <c r="A722" s="396" t="s">
        <v>76</v>
      </c>
      <c r="B722" s="271"/>
      <c r="C722" s="271"/>
      <c r="D722" s="271"/>
      <c r="E722" s="271"/>
      <c r="F722" s="271"/>
      <c r="G722" s="273"/>
      <c r="H722" s="88" t="s">
        <v>77</v>
      </c>
      <c r="I722" s="399" t="s">
        <v>920</v>
      </c>
      <c r="J722" s="273"/>
      <c r="K722" s="399" t="s">
        <v>453</v>
      </c>
      <c r="L722" s="273"/>
      <c r="M722" s="399" t="s">
        <v>921</v>
      </c>
      <c r="N722" s="273"/>
    </row>
    <row r="723" spans="1:14" ht="12.75" customHeight="1" x14ac:dyDescent="0.2">
      <c r="A723" s="400" t="s">
        <v>927</v>
      </c>
      <c r="B723" s="271"/>
      <c r="C723" s="271"/>
      <c r="D723" s="271"/>
      <c r="E723" s="271"/>
      <c r="F723" s="271"/>
      <c r="G723" s="273"/>
      <c r="H723" s="29" t="str">
        <f>IF(A723="","",VLOOKUP(A723,AA_Equipos,7,FALSE))</f>
        <v>% M.O.</v>
      </c>
      <c r="I723" s="394">
        <f>M746</f>
        <v>35111.444000000003</v>
      </c>
      <c r="J723" s="273"/>
      <c r="K723" s="395">
        <v>0.05</v>
      </c>
      <c r="L723" s="273"/>
      <c r="M723" s="394">
        <f t="shared" ref="M723:M727" si="84">IF(A723="","",I723*K723)</f>
        <v>1755.5722000000003</v>
      </c>
      <c r="N723" s="273"/>
    </row>
    <row r="724" spans="1:14" ht="12.75" customHeight="1" x14ac:dyDescent="0.2">
      <c r="A724" s="403"/>
      <c r="B724" s="271"/>
      <c r="C724" s="271"/>
      <c r="D724" s="271"/>
      <c r="E724" s="271"/>
      <c r="F724" s="271"/>
      <c r="G724" s="273"/>
      <c r="H724" s="29" t="str">
        <f>IF(A724="","",VLOOKUP(A724,AA_Equipos,7,FALSE))</f>
        <v/>
      </c>
      <c r="I724" s="394" t="str">
        <f>IF(A724="","",VLOOKUP(A724,AA_Equipos,8,FALSE))</f>
        <v/>
      </c>
      <c r="J724" s="273"/>
      <c r="K724" s="402"/>
      <c r="L724" s="273"/>
      <c r="M724" s="394" t="str">
        <f t="shared" si="84"/>
        <v/>
      </c>
      <c r="N724" s="273"/>
    </row>
    <row r="725" spans="1:14" ht="12.75" customHeight="1" x14ac:dyDescent="0.2">
      <c r="A725" s="400"/>
      <c r="B725" s="271"/>
      <c r="C725" s="271"/>
      <c r="D725" s="271"/>
      <c r="E725" s="271"/>
      <c r="F725" s="271"/>
      <c r="G725" s="273"/>
      <c r="H725" s="29" t="str">
        <f>IF(A725="","",VLOOKUP(A725,AA_Equipos,7,FALSE))</f>
        <v/>
      </c>
      <c r="I725" s="394" t="str">
        <f>IF(A725="","",VLOOKUP(A725,AA_Equipos,8,FALSE))</f>
        <v/>
      </c>
      <c r="J725" s="273"/>
      <c r="K725" s="395"/>
      <c r="L725" s="273"/>
      <c r="M725" s="394" t="str">
        <f t="shared" si="84"/>
        <v/>
      </c>
      <c r="N725" s="273"/>
    </row>
    <row r="726" spans="1:14" ht="12.75" customHeight="1" x14ac:dyDescent="0.2">
      <c r="A726" s="400"/>
      <c r="B726" s="271"/>
      <c r="C726" s="271"/>
      <c r="D726" s="271"/>
      <c r="E726" s="271"/>
      <c r="F726" s="271"/>
      <c r="G726" s="273"/>
      <c r="H726" s="29" t="str">
        <f>IF(A726="","",VLOOKUP(A726,AA_Equipos,7,FALSE))</f>
        <v/>
      </c>
      <c r="I726" s="394" t="str">
        <f>IF(A726="","",VLOOKUP(A726,AA_Equipos,8,FALSE))</f>
        <v/>
      </c>
      <c r="J726" s="273"/>
      <c r="K726" s="395"/>
      <c r="L726" s="273"/>
      <c r="M726" s="394" t="str">
        <f t="shared" si="84"/>
        <v/>
      </c>
      <c r="N726" s="273"/>
    </row>
    <row r="727" spans="1:14" ht="12.75" customHeight="1" x14ac:dyDescent="0.2">
      <c r="A727" s="400"/>
      <c r="B727" s="271"/>
      <c r="C727" s="271"/>
      <c r="D727" s="271"/>
      <c r="E727" s="271"/>
      <c r="F727" s="271"/>
      <c r="G727" s="273"/>
      <c r="H727" s="29" t="str">
        <f>IF(A727="","",VLOOKUP(A727,AA_Equipos,7,FALSE))</f>
        <v/>
      </c>
      <c r="I727" s="394" t="str">
        <f>IF(A727="","",VLOOKUP(A727,AA_Equipos,8,FALSE))</f>
        <v/>
      </c>
      <c r="J727" s="273"/>
      <c r="K727" s="395"/>
      <c r="L727" s="273"/>
      <c r="M727" s="394" t="str">
        <f t="shared" si="84"/>
        <v/>
      </c>
      <c r="N727" s="273"/>
    </row>
    <row r="728" spans="1:14" ht="12.75" customHeight="1" x14ac:dyDescent="0.25">
      <c r="A728" s="4"/>
      <c r="B728" s="4"/>
      <c r="C728" s="4"/>
      <c r="D728" s="4"/>
      <c r="E728" s="4"/>
      <c r="F728" s="4"/>
      <c r="G728" s="4"/>
      <c r="H728" s="4"/>
      <c r="I728" s="4"/>
      <c r="J728" s="4"/>
      <c r="K728" s="396" t="s">
        <v>444</v>
      </c>
      <c r="L728" s="273"/>
      <c r="M728" s="394">
        <f>SUM(M723:N727)</f>
        <v>1755.5722000000003</v>
      </c>
      <c r="N728" s="273"/>
    </row>
    <row r="729" spans="1:14" ht="12.75" customHeight="1" x14ac:dyDescent="0.25">
      <c r="A729" s="4"/>
      <c r="B729" s="4"/>
      <c r="C729" s="4"/>
      <c r="D729" s="4"/>
      <c r="E729" s="4"/>
      <c r="F729" s="4"/>
      <c r="G729" s="4"/>
      <c r="H729" s="4"/>
      <c r="I729" s="4"/>
      <c r="J729" s="4"/>
      <c r="K729" s="4"/>
      <c r="L729" s="4"/>
      <c r="M729" s="4"/>
      <c r="N729" s="4"/>
    </row>
    <row r="730" spans="1:14" ht="12.75" customHeight="1" x14ac:dyDescent="0.2">
      <c r="A730" s="398" t="s">
        <v>929</v>
      </c>
      <c r="B730" s="271"/>
      <c r="C730" s="271"/>
      <c r="D730" s="271"/>
      <c r="E730" s="271"/>
      <c r="F730" s="271"/>
      <c r="G730" s="271"/>
      <c r="H730" s="271"/>
      <c r="I730" s="271"/>
      <c r="J730" s="271"/>
      <c r="K730" s="271"/>
      <c r="L730" s="271"/>
      <c r="M730" s="271"/>
      <c r="N730" s="273"/>
    </row>
    <row r="731" spans="1:14" ht="12.75" customHeight="1" x14ac:dyDescent="0.2">
      <c r="A731" s="396" t="s">
        <v>76</v>
      </c>
      <c r="B731" s="271"/>
      <c r="C731" s="271"/>
      <c r="D731" s="271"/>
      <c r="E731" s="271"/>
      <c r="F731" s="271"/>
      <c r="G731" s="273"/>
      <c r="H731" s="88" t="s">
        <v>77</v>
      </c>
      <c r="I731" s="399" t="s">
        <v>920</v>
      </c>
      <c r="J731" s="273"/>
      <c r="K731" s="399" t="s">
        <v>453</v>
      </c>
      <c r="L731" s="273"/>
      <c r="M731" s="399" t="s">
        <v>921</v>
      </c>
      <c r="N731" s="273"/>
    </row>
    <row r="732" spans="1:14" ht="12.75" customHeight="1" x14ac:dyDescent="0.2">
      <c r="A732" s="403" t="s">
        <v>966</v>
      </c>
      <c r="B732" s="271"/>
      <c r="C732" s="271"/>
      <c r="D732" s="271"/>
      <c r="E732" s="271"/>
      <c r="F732" s="271"/>
      <c r="G732" s="273"/>
      <c r="H732" s="29" t="s">
        <v>950</v>
      </c>
      <c r="I732" s="394">
        <f>+M719</f>
        <v>30438.5</v>
      </c>
      <c r="J732" s="273"/>
      <c r="K732" s="404">
        <v>0.05</v>
      </c>
      <c r="L732" s="273"/>
      <c r="M732" s="394">
        <f t="shared" ref="M732:M736" si="85">IF(A732="","",I732*K732)</f>
        <v>1521.9250000000002</v>
      </c>
      <c r="N732" s="273"/>
    </row>
    <row r="733" spans="1:14" ht="12.75" customHeight="1" x14ac:dyDescent="0.2">
      <c r="A733" s="403"/>
      <c r="B733" s="271"/>
      <c r="C733" s="271"/>
      <c r="D733" s="271"/>
      <c r="E733" s="271"/>
      <c r="F733" s="271"/>
      <c r="G733" s="273"/>
      <c r="H733" s="29"/>
      <c r="I733" s="394"/>
      <c r="J733" s="273"/>
      <c r="K733" s="404"/>
      <c r="L733" s="273"/>
      <c r="M733" s="394" t="str">
        <f t="shared" si="85"/>
        <v/>
      </c>
      <c r="N733" s="273"/>
    </row>
    <row r="734" spans="1:14" ht="12.75" customHeight="1" x14ac:dyDescent="0.2">
      <c r="A734" s="400"/>
      <c r="B734" s="271"/>
      <c r="C734" s="271"/>
      <c r="D734" s="271"/>
      <c r="E734" s="271"/>
      <c r="F734" s="271"/>
      <c r="G734" s="273"/>
      <c r="H734" s="29"/>
      <c r="I734" s="394"/>
      <c r="J734" s="273"/>
      <c r="K734" s="395"/>
      <c r="L734" s="273"/>
      <c r="M734" s="394" t="str">
        <f t="shared" si="85"/>
        <v/>
      </c>
      <c r="N734" s="273"/>
    </row>
    <row r="735" spans="1:14" ht="12.75" customHeight="1" x14ac:dyDescent="0.2">
      <c r="A735" s="400"/>
      <c r="B735" s="271"/>
      <c r="C735" s="271"/>
      <c r="D735" s="271"/>
      <c r="E735" s="271"/>
      <c r="F735" s="271"/>
      <c r="G735" s="273"/>
      <c r="H735" s="29"/>
      <c r="I735" s="394"/>
      <c r="J735" s="273"/>
      <c r="K735" s="395"/>
      <c r="L735" s="273"/>
      <c r="M735" s="394" t="str">
        <f t="shared" si="85"/>
        <v/>
      </c>
      <c r="N735" s="273"/>
    </row>
    <row r="736" spans="1:14" ht="12.75" customHeight="1" x14ac:dyDescent="0.2">
      <c r="A736" s="400"/>
      <c r="B736" s="271"/>
      <c r="C736" s="271"/>
      <c r="D736" s="271"/>
      <c r="E736" s="271"/>
      <c r="F736" s="271"/>
      <c r="G736" s="273"/>
      <c r="H736" s="29"/>
      <c r="I736" s="394"/>
      <c r="J736" s="273"/>
      <c r="K736" s="395"/>
      <c r="L736" s="273"/>
      <c r="M736" s="394" t="str">
        <f t="shared" si="85"/>
        <v/>
      </c>
      <c r="N736" s="273"/>
    </row>
    <row r="737" spans="1:14" ht="12.75" customHeight="1" x14ac:dyDescent="0.25">
      <c r="A737" s="4"/>
      <c r="B737" s="4"/>
      <c r="C737" s="4"/>
      <c r="D737" s="4"/>
      <c r="E737" s="4"/>
      <c r="F737" s="4"/>
      <c r="G737" s="4"/>
      <c r="H737" s="4"/>
      <c r="I737" s="4"/>
      <c r="J737" s="4"/>
      <c r="K737" s="396" t="s">
        <v>444</v>
      </c>
      <c r="L737" s="273"/>
      <c r="M737" s="394">
        <f>SUM(M732:N736)</f>
        <v>1521.9250000000002</v>
      </c>
      <c r="N737" s="273"/>
    </row>
    <row r="738" spans="1:14" ht="12.75" customHeight="1" x14ac:dyDescent="0.25">
      <c r="A738" s="4"/>
      <c r="B738" s="4"/>
      <c r="C738" s="4"/>
      <c r="D738" s="4"/>
      <c r="E738" s="4"/>
      <c r="F738" s="4"/>
      <c r="G738" s="4"/>
      <c r="H738" s="4"/>
      <c r="I738" s="4"/>
      <c r="J738" s="4"/>
      <c r="K738" s="4"/>
      <c r="L738" s="4"/>
      <c r="M738" s="4"/>
      <c r="N738" s="4"/>
    </row>
    <row r="739" spans="1:14" ht="12.75" customHeight="1" x14ac:dyDescent="0.2">
      <c r="A739" s="398" t="s">
        <v>931</v>
      </c>
      <c r="B739" s="271"/>
      <c r="C739" s="271"/>
      <c r="D739" s="271"/>
      <c r="E739" s="271"/>
      <c r="F739" s="271"/>
      <c r="G739" s="271"/>
      <c r="H739" s="271"/>
      <c r="I739" s="271"/>
      <c r="J739" s="271"/>
      <c r="K739" s="271"/>
      <c r="L739" s="271"/>
      <c r="M739" s="271"/>
      <c r="N739" s="273"/>
    </row>
    <row r="740" spans="1:14" ht="12.75" customHeight="1" x14ac:dyDescent="0.2">
      <c r="A740" s="396" t="s">
        <v>76</v>
      </c>
      <c r="B740" s="271"/>
      <c r="C740" s="271"/>
      <c r="D740" s="271"/>
      <c r="E740" s="271"/>
      <c r="F740" s="271"/>
      <c r="G740" s="273"/>
      <c r="H740" s="88" t="s">
        <v>77</v>
      </c>
      <c r="I740" s="399" t="s">
        <v>920</v>
      </c>
      <c r="J740" s="273"/>
      <c r="K740" s="90" t="s">
        <v>514</v>
      </c>
      <c r="L740" s="91" t="s">
        <v>932</v>
      </c>
      <c r="M740" s="399" t="s">
        <v>921</v>
      </c>
      <c r="N740" s="273"/>
    </row>
    <row r="741" spans="1:14" ht="12.75" customHeight="1" x14ac:dyDescent="0.25">
      <c r="A741" s="393" t="s">
        <v>986</v>
      </c>
      <c r="B741" s="271"/>
      <c r="C741" s="271"/>
      <c r="D741" s="271"/>
      <c r="E741" s="271"/>
      <c r="F741" s="271"/>
      <c r="G741" s="273"/>
      <c r="H741" s="29" t="str">
        <f>IF(A741="","",VLOOKUP(A741,AA_Cuadrillas,4,FALSE))</f>
        <v>Cuadrilla</v>
      </c>
      <c r="I741" s="394">
        <f>IF(A741="","",VLOOKUP(A741,AA_Cuadrillas,5,FALSE))</f>
        <v>186763</v>
      </c>
      <c r="J741" s="273"/>
      <c r="K741" s="9">
        <f>IF(A741="","",F.P!$I$2)</f>
        <v>1.88</v>
      </c>
      <c r="L741" s="93">
        <v>0.1</v>
      </c>
      <c r="M741" s="394">
        <f t="shared" ref="M741:M745" si="86">IF(A741="","",I741*K741*L741)</f>
        <v>35111.444000000003</v>
      </c>
      <c r="N741" s="273"/>
    </row>
    <row r="742" spans="1:14" ht="12.75" customHeight="1" x14ac:dyDescent="0.25">
      <c r="A742" s="393"/>
      <c r="B742" s="271"/>
      <c r="C742" s="271"/>
      <c r="D742" s="271"/>
      <c r="E742" s="271"/>
      <c r="F742" s="271"/>
      <c r="G742" s="273"/>
      <c r="H742" s="29" t="str">
        <f>IF(A742="","",VLOOKUP(A742,AA_Cuadrillas,4,FALSE))</f>
        <v/>
      </c>
      <c r="I742" s="394" t="str">
        <f>IF(A742="","",VLOOKUP(A742,AA_Cuadrillas,5,FALSE))</f>
        <v/>
      </c>
      <c r="J742" s="273"/>
      <c r="K742" s="9" t="str">
        <f>IF(A742="","",F.P!$I$2)</f>
        <v/>
      </c>
      <c r="L742" s="9"/>
      <c r="M742" s="394" t="str">
        <f t="shared" si="86"/>
        <v/>
      </c>
      <c r="N742" s="273"/>
    </row>
    <row r="743" spans="1:14" ht="12.75" customHeight="1" x14ac:dyDescent="0.25">
      <c r="A743" s="393"/>
      <c r="B743" s="271"/>
      <c r="C743" s="271"/>
      <c r="D743" s="271"/>
      <c r="E743" s="271"/>
      <c r="F743" s="271"/>
      <c r="G743" s="273"/>
      <c r="H743" s="29" t="str">
        <f>IF(A743="","",VLOOKUP(A743,AA_Cuadrillas,4,FALSE))</f>
        <v/>
      </c>
      <c r="I743" s="394" t="str">
        <f>IF(A743="","",VLOOKUP(A743,AA_Cuadrillas,5,FALSE))</f>
        <v/>
      </c>
      <c r="J743" s="273"/>
      <c r="K743" s="9" t="str">
        <f>IF(A743="","",F.P!$I$2)</f>
        <v/>
      </c>
      <c r="L743" s="37"/>
      <c r="M743" s="394" t="str">
        <f t="shared" si="86"/>
        <v/>
      </c>
      <c r="N743" s="273"/>
    </row>
    <row r="744" spans="1:14" ht="12.75" customHeight="1" x14ac:dyDescent="0.25">
      <c r="A744" s="393"/>
      <c r="B744" s="271"/>
      <c r="C744" s="271"/>
      <c r="D744" s="271"/>
      <c r="E744" s="271"/>
      <c r="F744" s="271"/>
      <c r="G744" s="273"/>
      <c r="H744" s="29" t="str">
        <f>IF(A744="","",VLOOKUP(A744,AA_Cuadrillas,4,FALSE))</f>
        <v/>
      </c>
      <c r="I744" s="394" t="str">
        <f>IF(A744="","",VLOOKUP(A744,AA_Cuadrillas,5,FALSE))</f>
        <v/>
      </c>
      <c r="J744" s="273"/>
      <c r="K744" s="9" t="str">
        <f>IF(A744="","",F.P!$I$2)</f>
        <v/>
      </c>
      <c r="L744" s="37"/>
      <c r="M744" s="394" t="str">
        <f t="shared" si="86"/>
        <v/>
      </c>
      <c r="N744" s="273"/>
    </row>
    <row r="745" spans="1:14" ht="12.75" customHeight="1" x14ac:dyDescent="0.25">
      <c r="A745" s="393"/>
      <c r="B745" s="271"/>
      <c r="C745" s="271"/>
      <c r="D745" s="271"/>
      <c r="E745" s="271"/>
      <c r="F745" s="271"/>
      <c r="G745" s="273"/>
      <c r="H745" s="29" t="str">
        <f>IF(A745="","",VLOOKUP(A745,AA_Cuadrillas,4,FALSE))</f>
        <v/>
      </c>
      <c r="I745" s="394" t="str">
        <f>IF(A745="","",VLOOKUP(A745,AA_Cuadrillas,5,FALSE))</f>
        <v/>
      </c>
      <c r="J745" s="273"/>
      <c r="K745" s="9" t="str">
        <f>IF(A745="","",F.P!$I$2)</f>
        <v/>
      </c>
      <c r="L745" s="37"/>
      <c r="M745" s="394" t="str">
        <f t="shared" si="86"/>
        <v/>
      </c>
      <c r="N745" s="273"/>
    </row>
    <row r="746" spans="1:14" ht="12.75" customHeight="1" x14ac:dyDescent="0.25">
      <c r="A746" s="4"/>
      <c r="B746" s="4"/>
      <c r="C746" s="4"/>
      <c r="D746" s="4"/>
      <c r="E746" s="4"/>
      <c r="F746" s="4"/>
      <c r="G746" s="4"/>
      <c r="H746" s="4"/>
      <c r="I746" s="4"/>
      <c r="J746" s="4"/>
      <c r="K746" s="396" t="s">
        <v>444</v>
      </c>
      <c r="L746" s="273"/>
      <c r="M746" s="394">
        <f>SUM(M741:N745)</f>
        <v>35111.444000000003</v>
      </c>
      <c r="N746" s="273"/>
    </row>
    <row r="747" spans="1:14" ht="12.75" customHeight="1" x14ac:dyDescent="0.2"/>
    <row r="748" spans="1:14" ht="12.75" customHeight="1" x14ac:dyDescent="0.2">
      <c r="A748" s="397" t="s">
        <v>225</v>
      </c>
      <c r="B748" s="275"/>
      <c r="C748" s="275"/>
      <c r="D748" s="275"/>
      <c r="E748" s="275"/>
      <c r="F748" s="275"/>
      <c r="G748" s="275"/>
      <c r="H748" s="275"/>
      <c r="I748" s="275"/>
      <c r="J748" s="275"/>
      <c r="K748" s="275"/>
      <c r="L748" s="275"/>
      <c r="M748" s="275"/>
      <c r="N748" s="276"/>
    </row>
    <row r="749" spans="1:14" ht="12.75" customHeight="1" x14ac:dyDescent="0.2">
      <c r="A749" s="277"/>
      <c r="B749" s="278"/>
      <c r="C749" s="278"/>
      <c r="D749" s="278"/>
      <c r="E749" s="278"/>
      <c r="F749" s="278"/>
      <c r="G749" s="278"/>
      <c r="H749" s="278"/>
      <c r="I749" s="278"/>
      <c r="J749" s="278"/>
      <c r="K749" s="278"/>
      <c r="L749" s="278"/>
      <c r="M749" s="278"/>
      <c r="N749" s="279"/>
    </row>
    <row r="750" spans="1:14" ht="12.75" customHeight="1" x14ac:dyDescent="0.2">
      <c r="A750" s="75"/>
      <c r="B750" s="75"/>
      <c r="C750" s="75"/>
      <c r="D750" s="75"/>
      <c r="E750" s="75"/>
      <c r="F750" s="75"/>
      <c r="G750" s="75"/>
      <c r="H750" s="75"/>
      <c r="I750" s="75"/>
      <c r="J750" s="75"/>
      <c r="K750" s="75"/>
      <c r="L750" s="75"/>
      <c r="M750" s="75"/>
      <c r="N750" s="75"/>
    </row>
    <row r="751" spans="1:14" ht="12.75" customHeight="1" x14ac:dyDescent="0.3">
      <c r="A751" s="79" t="s">
        <v>630</v>
      </c>
      <c r="B751" s="80" t="str">
        <f>A748</f>
        <v>CERRAMIENTO EN MALLA ESLABONADA APOYADA EN TUBERIA GALVANIZADA Ø2 1/2" (INCLUYE POSTES, SOLDADURA, ÁNGULOS, PINTURA, MATERIALES, HERRAMIENTA MENOR, Y MANO DE OBRA)</v>
      </c>
      <c r="C751" s="81" t="s">
        <v>916</v>
      </c>
      <c r="D751" s="82" t="s">
        <v>981</v>
      </c>
      <c r="E751" s="83" t="s">
        <v>445</v>
      </c>
      <c r="F751" s="234">
        <f>(H751+J751+L751+N751)*1.3</f>
        <v>901857.53004252084</v>
      </c>
      <c r="G751" s="83" t="s">
        <v>607</v>
      </c>
      <c r="H751" s="86">
        <f>M778</f>
        <v>12069.553</v>
      </c>
      <c r="I751" s="83" t="s">
        <v>918</v>
      </c>
      <c r="J751" s="86">
        <f>M769</f>
        <v>418735.68659159035</v>
      </c>
      <c r="K751" s="83" t="s">
        <v>609</v>
      </c>
      <c r="L751" s="86">
        <f>M787</f>
        <v>21540.261979579518</v>
      </c>
      <c r="M751" s="83" t="s">
        <v>610</v>
      </c>
      <c r="N751" s="86">
        <f>M796</f>
        <v>241391.06</v>
      </c>
    </row>
    <row r="752" spans="1:14" ht="12.75" customHeight="1" x14ac:dyDescent="0.25">
      <c r="A752" s="87"/>
      <c r="B752" s="87"/>
      <c r="C752" s="87"/>
      <c r="D752" s="87"/>
      <c r="E752" s="87"/>
      <c r="F752" s="87"/>
      <c r="G752" s="87"/>
      <c r="J752" s="87"/>
      <c r="K752" s="215" t="s">
        <v>3217</v>
      </c>
      <c r="L752" s="215">
        <f>+F751*presup!$O$5</f>
        <v>1172414.7890552771</v>
      </c>
      <c r="M752" s="87"/>
      <c r="N752" s="87"/>
    </row>
    <row r="753" spans="1:14" ht="12.75" customHeight="1" x14ac:dyDescent="0.2">
      <c r="A753" s="398" t="s">
        <v>919</v>
      </c>
      <c r="B753" s="271"/>
      <c r="C753" s="271"/>
      <c r="D753" s="271"/>
      <c r="E753" s="271"/>
      <c r="F753" s="271"/>
      <c r="G753" s="271"/>
      <c r="H753" s="271"/>
      <c r="I753" s="271"/>
      <c r="J753" s="271"/>
      <c r="K753" s="271"/>
      <c r="L753" s="271"/>
      <c r="M753" s="271"/>
      <c r="N753" s="273"/>
    </row>
    <row r="754" spans="1:14" ht="12.75" customHeight="1" x14ac:dyDescent="0.2">
      <c r="A754" s="396" t="s">
        <v>76</v>
      </c>
      <c r="B754" s="271"/>
      <c r="C754" s="271"/>
      <c r="D754" s="271"/>
      <c r="E754" s="271"/>
      <c r="F754" s="271"/>
      <c r="G754" s="273"/>
      <c r="H754" s="88" t="s">
        <v>77</v>
      </c>
      <c r="I754" s="399" t="s">
        <v>920</v>
      </c>
      <c r="J754" s="273"/>
      <c r="K754" s="399" t="s">
        <v>453</v>
      </c>
      <c r="L754" s="273"/>
      <c r="M754" s="399" t="s">
        <v>921</v>
      </c>
      <c r="N754" s="273"/>
    </row>
    <row r="755" spans="1:14" ht="12.75" customHeight="1" x14ac:dyDescent="0.2">
      <c r="A755" s="400" t="s">
        <v>987</v>
      </c>
      <c r="B755" s="271"/>
      <c r="C755" s="271"/>
      <c r="D755" s="271"/>
      <c r="E755" s="271"/>
      <c r="F755" s="271"/>
      <c r="G755" s="273"/>
      <c r="H755" s="29" t="str">
        <f t="shared" ref="H755:H768" si="87">IF(A755="","",VLOOKUP(A755,AA_Materiales,7,FALSE))</f>
        <v>m3</v>
      </c>
      <c r="I755" s="394">
        <f t="shared" ref="I755:I768" si="88">IF(A755="","",VLOOKUP(A755,AA_Materiales,8,FALSE))</f>
        <v>965054.12208278815</v>
      </c>
      <c r="J755" s="273"/>
      <c r="K755" s="395">
        <v>0.14000000000000001</v>
      </c>
      <c r="L755" s="273"/>
      <c r="M755" s="394">
        <f t="shared" ref="M755:M768" si="89">IF(A755="","",I755*K755)</f>
        <v>135107.57709159036</v>
      </c>
      <c r="N755" s="273"/>
    </row>
    <row r="756" spans="1:14" ht="12.75" customHeight="1" x14ac:dyDescent="0.2">
      <c r="A756" s="400" t="s">
        <v>963</v>
      </c>
      <c r="B756" s="271"/>
      <c r="C756" s="271"/>
      <c r="D756" s="271"/>
      <c r="E756" s="271"/>
      <c r="F756" s="271"/>
      <c r="G756" s="273"/>
      <c r="H756" s="29" t="str">
        <f t="shared" si="87"/>
        <v>m2</v>
      </c>
      <c r="I756" s="394">
        <f t="shared" si="88"/>
        <v>8750</v>
      </c>
      <c r="J756" s="273"/>
      <c r="K756" s="395">
        <v>0.84</v>
      </c>
      <c r="L756" s="273"/>
      <c r="M756" s="394">
        <f t="shared" si="89"/>
        <v>7350</v>
      </c>
      <c r="N756" s="273"/>
    </row>
    <row r="757" spans="1:14" ht="12.75" customHeight="1" x14ac:dyDescent="0.2">
      <c r="A757" s="400" t="s">
        <v>988</v>
      </c>
      <c r="B757" s="271"/>
      <c r="C757" s="271"/>
      <c r="D757" s="271"/>
      <c r="E757" s="271"/>
      <c r="F757" s="271"/>
      <c r="G757" s="273"/>
      <c r="H757" s="29" t="str">
        <f t="shared" si="87"/>
        <v>m3</v>
      </c>
      <c r="I757" s="394">
        <f t="shared" si="88"/>
        <v>418293</v>
      </c>
      <c r="J757" s="273"/>
      <c r="K757" s="395">
        <v>0.12</v>
      </c>
      <c r="L757" s="273"/>
      <c r="M757" s="394">
        <f t="shared" si="89"/>
        <v>50195.159999999996</v>
      </c>
      <c r="N757" s="273"/>
    </row>
    <row r="758" spans="1:14" ht="12.75" customHeight="1" x14ac:dyDescent="0.2">
      <c r="A758" s="400" t="s">
        <v>989</v>
      </c>
      <c r="B758" s="271"/>
      <c r="C758" s="271"/>
      <c r="D758" s="271"/>
      <c r="E758" s="271"/>
      <c r="F758" s="271"/>
      <c r="G758" s="273"/>
      <c r="H758" s="29" t="str">
        <f t="shared" si="87"/>
        <v>m2</v>
      </c>
      <c r="I758" s="394">
        <f t="shared" si="88"/>
        <v>20125</v>
      </c>
      <c r="J758" s="273"/>
      <c r="K758" s="395">
        <v>1.4</v>
      </c>
      <c r="L758" s="273"/>
      <c r="M758" s="394">
        <f t="shared" si="89"/>
        <v>28175</v>
      </c>
      <c r="N758" s="273"/>
    </row>
    <row r="759" spans="1:14" ht="12.75" customHeight="1" x14ac:dyDescent="0.2">
      <c r="A759" s="400" t="s">
        <v>990</v>
      </c>
      <c r="B759" s="271"/>
      <c r="C759" s="271"/>
      <c r="D759" s="271"/>
      <c r="E759" s="271"/>
      <c r="F759" s="271"/>
      <c r="G759" s="273"/>
      <c r="H759" s="29" t="str">
        <f t="shared" si="87"/>
        <v>ml</v>
      </c>
      <c r="I759" s="394">
        <f t="shared" si="88"/>
        <v>7000</v>
      </c>
      <c r="J759" s="273"/>
      <c r="K759" s="395">
        <v>0.53</v>
      </c>
      <c r="L759" s="273"/>
      <c r="M759" s="394">
        <f t="shared" si="89"/>
        <v>3710</v>
      </c>
      <c r="N759" s="273"/>
    </row>
    <row r="760" spans="1:14" ht="12.75" customHeight="1" x14ac:dyDescent="0.2">
      <c r="A760" s="400" t="s">
        <v>991</v>
      </c>
      <c r="B760" s="271"/>
      <c r="C760" s="271"/>
      <c r="D760" s="271"/>
      <c r="E760" s="271"/>
      <c r="F760" s="271"/>
      <c r="G760" s="273"/>
      <c r="H760" s="29" t="str">
        <f t="shared" si="87"/>
        <v>Unidad</v>
      </c>
      <c r="I760" s="394">
        <f t="shared" si="88"/>
        <v>23550</v>
      </c>
      <c r="J760" s="273"/>
      <c r="K760" s="395">
        <v>0.03</v>
      </c>
      <c r="L760" s="273"/>
      <c r="M760" s="394">
        <f t="shared" si="89"/>
        <v>706.5</v>
      </c>
      <c r="N760" s="273"/>
    </row>
    <row r="761" spans="1:14" ht="12.75" customHeight="1" x14ac:dyDescent="0.2">
      <c r="A761" s="400" t="s">
        <v>992</v>
      </c>
      <c r="B761" s="271"/>
      <c r="C761" s="271"/>
      <c r="D761" s="271"/>
      <c r="E761" s="271"/>
      <c r="F761" s="271"/>
      <c r="G761" s="273"/>
      <c r="H761" s="29" t="str">
        <f t="shared" si="87"/>
        <v>ml</v>
      </c>
      <c r="I761" s="394">
        <f t="shared" si="88"/>
        <v>868.29</v>
      </c>
      <c r="J761" s="273"/>
      <c r="K761" s="395">
        <v>3</v>
      </c>
      <c r="L761" s="273"/>
      <c r="M761" s="394">
        <f t="shared" si="89"/>
        <v>2604.87</v>
      </c>
      <c r="N761" s="273"/>
    </row>
    <row r="762" spans="1:14" ht="12.75" customHeight="1" x14ac:dyDescent="0.2">
      <c r="A762" s="400" t="s">
        <v>993</v>
      </c>
      <c r="B762" s="271"/>
      <c r="C762" s="271"/>
      <c r="D762" s="271"/>
      <c r="E762" s="271"/>
      <c r="F762" s="271"/>
      <c r="G762" s="273"/>
      <c r="H762" s="29" t="str">
        <f t="shared" si="87"/>
        <v>Kg</v>
      </c>
      <c r="I762" s="394">
        <f t="shared" si="88"/>
        <v>23400</v>
      </c>
      <c r="J762" s="273"/>
      <c r="K762" s="395">
        <v>0.5</v>
      </c>
      <c r="L762" s="273"/>
      <c r="M762" s="394">
        <f t="shared" si="89"/>
        <v>11700</v>
      </c>
      <c r="N762" s="273"/>
    </row>
    <row r="763" spans="1:14" ht="12.75" customHeight="1" x14ac:dyDescent="0.2">
      <c r="A763" s="400" t="s">
        <v>994</v>
      </c>
      <c r="B763" s="271"/>
      <c r="C763" s="271"/>
      <c r="D763" s="271"/>
      <c r="E763" s="271"/>
      <c r="F763" s="271"/>
      <c r="G763" s="273"/>
      <c r="H763" s="29" t="str">
        <f t="shared" si="87"/>
        <v>ml</v>
      </c>
      <c r="I763" s="394">
        <f t="shared" si="88"/>
        <v>22125</v>
      </c>
      <c r="J763" s="273"/>
      <c r="K763" s="395">
        <v>0.27</v>
      </c>
      <c r="L763" s="273"/>
      <c r="M763" s="394">
        <f t="shared" si="89"/>
        <v>5973.75</v>
      </c>
      <c r="N763" s="273"/>
    </row>
    <row r="764" spans="1:14" ht="12.75" customHeight="1" x14ac:dyDescent="0.2">
      <c r="A764" s="400" t="s">
        <v>995</v>
      </c>
      <c r="B764" s="271"/>
      <c r="C764" s="271"/>
      <c r="D764" s="271"/>
      <c r="E764" s="271"/>
      <c r="F764" s="271"/>
      <c r="G764" s="273"/>
      <c r="H764" s="29" t="str">
        <f t="shared" si="87"/>
        <v>Galón</v>
      </c>
      <c r="I764" s="394">
        <f t="shared" si="88"/>
        <v>95900</v>
      </c>
      <c r="J764" s="273"/>
      <c r="K764" s="395">
        <v>0.03</v>
      </c>
      <c r="L764" s="273"/>
      <c r="M764" s="394">
        <f t="shared" si="89"/>
        <v>2877</v>
      </c>
      <c r="N764" s="273"/>
    </row>
    <row r="765" spans="1:14" ht="12.75" customHeight="1" x14ac:dyDescent="0.2">
      <c r="A765" s="400" t="s">
        <v>970</v>
      </c>
      <c r="B765" s="271"/>
      <c r="C765" s="271"/>
      <c r="D765" s="271"/>
      <c r="E765" s="271"/>
      <c r="F765" s="271"/>
      <c r="G765" s="273"/>
      <c r="H765" s="29" t="str">
        <f t="shared" si="87"/>
        <v>Kg</v>
      </c>
      <c r="I765" s="394">
        <f t="shared" si="88"/>
        <v>5883.1369999999997</v>
      </c>
      <c r="J765" s="273"/>
      <c r="K765" s="395">
        <v>13.5</v>
      </c>
      <c r="L765" s="273"/>
      <c r="M765" s="394">
        <f t="shared" si="89"/>
        <v>79422.349499999997</v>
      </c>
      <c r="N765" s="273"/>
    </row>
    <row r="766" spans="1:14" ht="12.75" customHeight="1" x14ac:dyDescent="0.2">
      <c r="A766" s="400" t="s">
        <v>996</v>
      </c>
      <c r="B766" s="271"/>
      <c r="C766" s="271"/>
      <c r="D766" s="271"/>
      <c r="E766" s="271"/>
      <c r="F766" s="271"/>
      <c r="G766" s="273"/>
      <c r="H766" s="29" t="str">
        <f t="shared" si="87"/>
        <v>Unidad</v>
      </c>
      <c r="I766" s="394">
        <f t="shared" si="88"/>
        <v>1900</v>
      </c>
      <c r="J766" s="273"/>
      <c r="K766" s="395">
        <v>40</v>
      </c>
      <c r="L766" s="273"/>
      <c r="M766" s="394">
        <f t="shared" si="89"/>
        <v>76000</v>
      </c>
      <c r="N766" s="273"/>
    </row>
    <row r="767" spans="1:14" ht="12.75" customHeight="1" x14ac:dyDescent="0.2">
      <c r="A767" s="400" t="s">
        <v>997</v>
      </c>
      <c r="B767" s="271"/>
      <c r="C767" s="271"/>
      <c r="D767" s="271"/>
      <c r="E767" s="271"/>
      <c r="F767" s="271"/>
      <c r="G767" s="273"/>
      <c r="H767" s="29" t="str">
        <f t="shared" si="87"/>
        <v>m3</v>
      </c>
      <c r="I767" s="394">
        <f t="shared" si="88"/>
        <v>497116</v>
      </c>
      <c r="J767" s="273"/>
      <c r="K767" s="395">
        <v>0.03</v>
      </c>
      <c r="L767" s="273"/>
      <c r="M767" s="394">
        <f t="shared" si="89"/>
        <v>14913.48</v>
      </c>
      <c r="N767" s="273"/>
    </row>
    <row r="768" spans="1:14" ht="12.75" customHeight="1" x14ac:dyDescent="0.2">
      <c r="A768" s="400"/>
      <c r="B768" s="271"/>
      <c r="C768" s="271"/>
      <c r="D768" s="271"/>
      <c r="E768" s="271"/>
      <c r="F768" s="271"/>
      <c r="G768" s="273"/>
      <c r="H768" s="29" t="str">
        <f t="shared" si="87"/>
        <v/>
      </c>
      <c r="I768" s="394" t="str">
        <f t="shared" si="88"/>
        <v/>
      </c>
      <c r="J768" s="273"/>
      <c r="K768" s="395"/>
      <c r="L768" s="273"/>
      <c r="M768" s="394" t="str">
        <f t="shared" si="89"/>
        <v/>
      </c>
      <c r="N768" s="273"/>
    </row>
    <row r="769" spans="1:14" ht="12.75" customHeight="1" x14ac:dyDescent="0.25">
      <c r="A769" s="4"/>
      <c r="B769" s="4"/>
      <c r="C769" s="4"/>
      <c r="D769" s="4"/>
      <c r="E769" s="4"/>
      <c r="F769" s="4"/>
      <c r="G769" s="4"/>
      <c r="H769" s="4"/>
      <c r="I769" s="4"/>
      <c r="J769" s="4"/>
      <c r="K769" s="396" t="s">
        <v>444</v>
      </c>
      <c r="L769" s="273"/>
      <c r="M769" s="394">
        <f>SUM(M755:N768)</f>
        <v>418735.68659159035</v>
      </c>
      <c r="N769" s="273"/>
    </row>
    <row r="770" spans="1:14" ht="12.75" customHeight="1" x14ac:dyDescent="0.25">
      <c r="A770" s="4"/>
      <c r="B770" s="4"/>
      <c r="C770" s="4"/>
      <c r="D770" s="4"/>
      <c r="E770" s="4"/>
      <c r="F770" s="4"/>
      <c r="G770" s="4"/>
      <c r="H770" s="4"/>
      <c r="I770" s="4"/>
      <c r="J770" s="4"/>
      <c r="K770" s="4"/>
      <c r="L770" s="4"/>
      <c r="M770" s="4"/>
      <c r="N770" s="4"/>
    </row>
    <row r="771" spans="1:14" ht="12.75" customHeight="1" x14ac:dyDescent="0.2">
      <c r="A771" s="398" t="s">
        <v>926</v>
      </c>
      <c r="B771" s="271"/>
      <c r="C771" s="271"/>
      <c r="D771" s="271"/>
      <c r="E771" s="271"/>
      <c r="F771" s="271"/>
      <c r="G771" s="271"/>
      <c r="H771" s="271"/>
      <c r="I771" s="271"/>
      <c r="J771" s="271"/>
      <c r="K771" s="271"/>
      <c r="L771" s="271"/>
      <c r="M771" s="271"/>
      <c r="N771" s="273"/>
    </row>
    <row r="772" spans="1:14" ht="12.75" customHeight="1" x14ac:dyDescent="0.2">
      <c r="A772" s="396" t="s">
        <v>76</v>
      </c>
      <c r="B772" s="271"/>
      <c r="C772" s="271"/>
      <c r="D772" s="271"/>
      <c r="E772" s="271"/>
      <c r="F772" s="271"/>
      <c r="G772" s="273"/>
      <c r="H772" s="88" t="s">
        <v>77</v>
      </c>
      <c r="I772" s="399" t="s">
        <v>920</v>
      </c>
      <c r="J772" s="273"/>
      <c r="K772" s="399" t="s">
        <v>453</v>
      </c>
      <c r="L772" s="273"/>
      <c r="M772" s="399" t="s">
        <v>921</v>
      </c>
      <c r="N772" s="273"/>
    </row>
    <row r="773" spans="1:14" ht="12.75" customHeight="1" x14ac:dyDescent="0.2">
      <c r="A773" s="400" t="s">
        <v>927</v>
      </c>
      <c r="B773" s="271"/>
      <c r="C773" s="271"/>
      <c r="D773" s="271"/>
      <c r="E773" s="271"/>
      <c r="F773" s="271"/>
      <c r="G773" s="273"/>
      <c r="H773" s="29" t="str">
        <f>IF(A773="","",VLOOKUP(A773,AA_Equipos,7,FALSE))</f>
        <v>% M.O.</v>
      </c>
      <c r="I773" s="394">
        <f>M796</f>
        <v>241391.06</v>
      </c>
      <c r="J773" s="273"/>
      <c r="K773" s="404">
        <v>0.05</v>
      </c>
      <c r="L773" s="273"/>
      <c r="M773" s="394">
        <f t="shared" ref="M773:M777" si="90">IF(A773="","",I773*K773)</f>
        <v>12069.553</v>
      </c>
      <c r="N773" s="273"/>
    </row>
    <row r="774" spans="1:14" ht="12.75" customHeight="1" x14ac:dyDescent="0.2">
      <c r="A774" s="403"/>
      <c r="B774" s="271"/>
      <c r="C774" s="271"/>
      <c r="D774" s="271"/>
      <c r="E774" s="271"/>
      <c r="F774" s="271"/>
      <c r="G774" s="273"/>
      <c r="H774" s="29" t="str">
        <f>IF(A774="","",VLOOKUP(A774,AA_Equipos,7,FALSE))</f>
        <v/>
      </c>
      <c r="I774" s="394" t="str">
        <f>IF(A774="","",VLOOKUP(A774,AA_Equipos,8,FALSE))</f>
        <v/>
      </c>
      <c r="J774" s="273"/>
      <c r="K774" s="402"/>
      <c r="L774" s="273"/>
      <c r="M774" s="394" t="str">
        <f t="shared" si="90"/>
        <v/>
      </c>
      <c r="N774" s="273"/>
    </row>
    <row r="775" spans="1:14" ht="12.75" customHeight="1" x14ac:dyDescent="0.2">
      <c r="A775" s="400"/>
      <c r="B775" s="271"/>
      <c r="C775" s="271"/>
      <c r="D775" s="271"/>
      <c r="E775" s="271"/>
      <c r="F775" s="271"/>
      <c r="G775" s="273"/>
      <c r="H775" s="29" t="str">
        <f>IF(A775="","",VLOOKUP(A775,AA_Equipos,7,FALSE))</f>
        <v/>
      </c>
      <c r="I775" s="394" t="str">
        <f>IF(A775="","",VLOOKUP(A775,AA_Equipos,8,FALSE))</f>
        <v/>
      </c>
      <c r="J775" s="273"/>
      <c r="K775" s="395"/>
      <c r="L775" s="273"/>
      <c r="M775" s="394" t="str">
        <f t="shared" si="90"/>
        <v/>
      </c>
      <c r="N775" s="273"/>
    </row>
    <row r="776" spans="1:14" ht="12.75" customHeight="1" x14ac:dyDescent="0.2">
      <c r="A776" s="400"/>
      <c r="B776" s="271"/>
      <c r="C776" s="271"/>
      <c r="D776" s="271"/>
      <c r="E776" s="271"/>
      <c r="F776" s="271"/>
      <c r="G776" s="273"/>
      <c r="H776" s="29" t="str">
        <f>IF(A776="","",VLOOKUP(A776,AA_Equipos,7,FALSE))</f>
        <v/>
      </c>
      <c r="I776" s="394" t="str">
        <f>IF(A776="","",VLOOKUP(A776,AA_Equipos,8,FALSE))</f>
        <v/>
      </c>
      <c r="J776" s="273"/>
      <c r="K776" s="395"/>
      <c r="L776" s="273"/>
      <c r="M776" s="394" t="str">
        <f t="shared" si="90"/>
        <v/>
      </c>
      <c r="N776" s="273"/>
    </row>
    <row r="777" spans="1:14" ht="12.75" customHeight="1" x14ac:dyDescent="0.2">
      <c r="A777" s="400"/>
      <c r="B777" s="271"/>
      <c r="C777" s="271"/>
      <c r="D777" s="271"/>
      <c r="E777" s="271"/>
      <c r="F777" s="271"/>
      <c r="G777" s="273"/>
      <c r="H777" s="29" t="str">
        <f>IF(A777="","",VLOOKUP(A777,AA_Equipos,7,FALSE))</f>
        <v/>
      </c>
      <c r="I777" s="394" t="str">
        <f>IF(A777="","",VLOOKUP(A777,AA_Equipos,8,FALSE))</f>
        <v/>
      </c>
      <c r="J777" s="273"/>
      <c r="K777" s="395"/>
      <c r="L777" s="273"/>
      <c r="M777" s="394" t="str">
        <f t="shared" si="90"/>
        <v/>
      </c>
      <c r="N777" s="273"/>
    </row>
    <row r="778" spans="1:14" ht="12.75" customHeight="1" x14ac:dyDescent="0.25">
      <c r="A778" s="4"/>
      <c r="B778" s="4"/>
      <c r="C778" s="4"/>
      <c r="D778" s="4"/>
      <c r="E778" s="4"/>
      <c r="F778" s="4"/>
      <c r="G778" s="4"/>
      <c r="H778" s="4"/>
      <c r="I778" s="4"/>
      <c r="J778" s="4"/>
      <c r="K778" s="396" t="s">
        <v>444</v>
      </c>
      <c r="L778" s="273"/>
      <c r="M778" s="394">
        <f>SUM(M773:N777)</f>
        <v>12069.553</v>
      </c>
      <c r="N778" s="273"/>
    </row>
    <row r="779" spans="1:14" ht="12.75" customHeight="1" x14ac:dyDescent="0.25">
      <c r="A779" s="4"/>
      <c r="B779" s="4"/>
      <c r="C779" s="4"/>
      <c r="D779" s="4"/>
      <c r="E779" s="4"/>
      <c r="F779" s="4"/>
      <c r="G779" s="4"/>
      <c r="H779" s="4"/>
      <c r="I779" s="4"/>
      <c r="J779" s="4"/>
      <c r="K779" s="4"/>
      <c r="L779" s="4"/>
      <c r="M779" s="4"/>
      <c r="N779" s="4"/>
    </row>
    <row r="780" spans="1:14" ht="12.75" customHeight="1" x14ac:dyDescent="0.2">
      <c r="A780" s="398" t="s">
        <v>929</v>
      </c>
      <c r="B780" s="271"/>
      <c r="C780" s="271"/>
      <c r="D780" s="271"/>
      <c r="E780" s="271"/>
      <c r="F780" s="271"/>
      <c r="G780" s="271"/>
      <c r="H780" s="271"/>
      <c r="I780" s="271"/>
      <c r="J780" s="271"/>
      <c r="K780" s="271"/>
      <c r="L780" s="271"/>
      <c r="M780" s="271"/>
      <c r="N780" s="273"/>
    </row>
    <row r="781" spans="1:14" ht="12.75" customHeight="1" x14ac:dyDescent="0.2">
      <c r="A781" s="396" t="s">
        <v>76</v>
      </c>
      <c r="B781" s="271"/>
      <c r="C781" s="271"/>
      <c r="D781" s="271"/>
      <c r="E781" s="271"/>
      <c r="F781" s="271"/>
      <c r="G781" s="273"/>
      <c r="H781" s="88" t="s">
        <v>77</v>
      </c>
      <c r="I781" s="399" t="s">
        <v>920</v>
      </c>
      <c r="J781" s="273"/>
      <c r="K781" s="399" t="s">
        <v>453</v>
      </c>
      <c r="L781" s="273"/>
      <c r="M781" s="399" t="s">
        <v>921</v>
      </c>
      <c r="N781" s="273"/>
    </row>
    <row r="782" spans="1:14" ht="12.75" customHeight="1" x14ac:dyDescent="0.2">
      <c r="A782" s="400" t="s">
        <v>960</v>
      </c>
      <c r="B782" s="271"/>
      <c r="C782" s="271"/>
      <c r="D782" s="271"/>
      <c r="E782" s="271"/>
      <c r="F782" s="271"/>
      <c r="G782" s="273"/>
      <c r="H782" s="29" t="s">
        <v>950</v>
      </c>
      <c r="I782" s="394">
        <f>+M769</f>
        <v>418735.68659159035</v>
      </c>
      <c r="J782" s="273"/>
      <c r="K782" s="404">
        <v>0.05</v>
      </c>
      <c r="L782" s="273"/>
      <c r="M782" s="394">
        <f t="shared" ref="M782:M786" si="91">IF(A782="","",I782*K782)</f>
        <v>20936.784329579517</v>
      </c>
      <c r="N782" s="273"/>
    </row>
    <row r="783" spans="1:14" ht="12.75" customHeight="1" x14ac:dyDescent="0.2">
      <c r="A783" s="403" t="s">
        <v>939</v>
      </c>
      <c r="B783" s="271"/>
      <c r="C783" s="271"/>
      <c r="D783" s="271"/>
      <c r="E783" s="271"/>
      <c r="F783" s="271"/>
      <c r="G783" s="273"/>
      <c r="H783" s="29" t="s">
        <v>940</v>
      </c>
      <c r="I783" s="394">
        <f>+M778</f>
        <v>12069.553</v>
      </c>
      <c r="J783" s="273"/>
      <c r="K783" s="404">
        <v>0.05</v>
      </c>
      <c r="L783" s="273"/>
      <c r="M783" s="394">
        <f t="shared" si="91"/>
        <v>603.47765000000004</v>
      </c>
      <c r="N783" s="273"/>
    </row>
    <row r="784" spans="1:14" ht="12.75" customHeight="1" x14ac:dyDescent="0.2">
      <c r="A784" s="400"/>
      <c r="B784" s="271"/>
      <c r="C784" s="271"/>
      <c r="D784" s="271"/>
      <c r="E784" s="271"/>
      <c r="F784" s="271"/>
      <c r="G784" s="273"/>
      <c r="H784" s="29"/>
      <c r="I784" s="394"/>
      <c r="J784" s="273"/>
      <c r="K784" s="395"/>
      <c r="L784" s="273"/>
      <c r="M784" s="394" t="str">
        <f t="shared" si="91"/>
        <v/>
      </c>
      <c r="N784" s="273"/>
    </row>
    <row r="785" spans="1:14" ht="12.75" customHeight="1" x14ac:dyDescent="0.2">
      <c r="A785" s="400"/>
      <c r="B785" s="271"/>
      <c r="C785" s="271"/>
      <c r="D785" s="271"/>
      <c r="E785" s="271"/>
      <c r="F785" s="271"/>
      <c r="G785" s="273"/>
      <c r="H785" s="29"/>
      <c r="I785" s="394"/>
      <c r="J785" s="273"/>
      <c r="K785" s="395"/>
      <c r="L785" s="273"/>
      <c r="M785" s="394" t="str">
        <f t="shared" si="91"/>
        <v/>
      </c>
      <c r="N785" s="273"/>
    </row>
    <row r="786" spans="1:14" ht="12.75" customHeight="1" x14ac:dyDescent="0.2">
      <c r="A786" s="400"/>
      <c r="B786" s="271"/>
      <c r="C786" s="271"/>
      <c r="D786" s="271"/>
      <c r="E786" s="271"/>
      <c r="F786" s="271"/>
      <c r="G786" s="273"/>
      <c r="H786" s="29"/>
      <c r="I786" s="394"/>
      <c r="J786" s="273"/>
      <c r="K786" s="395"/>
      <c r="L786" s="273"/>
      <c r="M786" s="394" t="str">
        <f t="shared" si="91"/>
        <v/>
      </c>
      <c r="N786" s="273"/>
    </row>
    <row r="787" spans="1:14" ht="12.75" customHeight="1" x14ac:dyDescent="0.25">
      <c r="A787" s="4"/>
      <c r="B787" s="4"/>
      <c r="C787" s="4"/>
      <c r="D787" s="4"/>
      <c r="E787" s="4"/>
      <c r="F787" s="4"/>
      <c r="G787" s="4"/>
      <c r="H787" s="4"/>
      <c r="I787" s="4"/>
      <c r="J787" s="4"/>
      <c r="K787" s="396" t="s">
        <v>444</v>
      </c>
      <c r="L787" s="273"/>
      <c r="M787" s="394">
        <f>SUM(M782:N786)</f>
        <v>21540.261979579518</v>
      </c>
      <c r="N787" s="273"/>
    </row>
    <row r="788" spans="1:14" ht="12.75" customHeight="1" x14ac:dyDescent="0.25">
      <c r="A788" s="4"/>
      <c r="B788" s="4"/>
      <c r="C788" s="4"/>
      <c r="D788" s="4"/>
      <c r="E788" s="4"/>
      <c r="F788" s="4"/>
      <c r="G788" s="4"/>
      <c r="H788" s="4"/>
      <c r="I788" s="4"/>
      <c r="J788" s="4"/>
      <c r="K788" s="4"/>
      <c r="L788" s="4"/>
      <c r="M788" s="4"/>
      <c r="N788" s="4"/>
    </row>
    <row r="789" spans="1:14" ht="12.75" customHeight="1" x14ac:dyDescent="0.2">
      <c r="A789" s="398" t="s">
        <v>931</v>
      </c>
      <c r="B789" s="271"/>
      <c r="C789" s="271"/>
      <c r="D789" s="271"/>
      <c r="E789" s="271"/>
      <c r="F789" s="271"/>
      <c r="G789" s="271"/>
      <c r="H789" s="271"/>
      <c r="I789" s="271"/>
      <c r="J789" s="271"/>
      <c r="K789" s="271"/>
      <c r="L789" s="271"/>
      <c r="M789" s="271"/>
      <c r="N789" s="273"/>
    </row>
    <row r="790" spans="1:14" ht="12.75" customHeight="1" x14ac:dyDescent="0.2">
      <c r="A790" s="396" t="s">
        <v>76</v>
      </c>
      <c r="B790" s="271"/>
      <c r="C790" s="271"/>
      <c r="D790" s="271"/>
      <c r="E790" s="271"/>
      <c r="F790" s="271"/>
      <c r="G790" s="273"/>
      <c r="H790" s="88" t="s">
        <v>77</v>
      </c>
      <c r="I790" s="399" t="s">
        <v>920</v>
      </c>
      <c r="J790" s="273"/>
      <c r="K790" s="90" t="s">
        <v>514</v>
      </c>
      <c r="L790" s="91" t="s">
        <v>932</v>
      </c>
      <c r="M790" s="399" t="s">
        <v>921</v>
      </c>
      <c r="N790" s="273"/>
    </row>
    <row r="791" spans="1:14" ht="12.75" customHeight="1" x14ac:dyDescent="0.25">
      <c r="A791" s="393" t="s">
        <v>973</v>
      </c>
      <c r="B791" s="271"/>
      <c r="C791" s="271"/>
      <c r="D791" s="271"/>
      <c r="E791" s="271"/>
      <c r="F791" s="271"/>
      <c r="G791" s="273"/>
      <c r="H791" s="29" t="str">
        <f>IF(A791="","",VLOOKUP(A791,AA_Cuadrillas,4,FALSE))</f>
        <v>Cuadrilla</v>
      </c>
      <c r="I791" s="394">
        <f>IF(A791="","",VLOOKUP(A791,AA_Cuadrillas,5,FALSE))</f>
        <v>256799</v>
      </c>
      <c r="J791" s="273"/>
      <c r="K791" s="9">
        <f>IF(A791="","",F.P!$I$2)</f>
        <v>1.88</v>
      </c>
      <c r="L791" s="93">
        <v>0.5</v>
      </c>
      <c r="M791" s="394">
        <f t="shared" ref="M791:M795" si="92">IF(A791="","",I791*K791*L791)</f>
        <v>241391.06</v>
      </c>
      <c r="N791" s="273"/>
    </row>
    <row r="792" spans="1:14" ht="12.75" customHeight="1" x14ac:dyDescent="0.25">
      <c r="A792" s="393"/>
      <c r="B792" s="271"/>
      <c r="C792" s="271"/>
      <c r="D792" s="271"/>
      <c r="E792" s="271"/>
      <c r="F792" s="271"/>
      <c r="G792" s="273"/>
      <c r="H792" s="29" t="str">
        <f>IF(A792="","",VLOOKUP(A792,AA_Cuadrillas,4,FALSE))</f>
        <v/>
      </c>
      <c r="I792" s="394" t="str">
        <f>IF(A792="","",VLOOKUP(A792,AA_Cuadrillas,5,FALSE))</f>
        <v/>
      </c>
      <c r="J792" s="273"/>
      <c r="K792" s="9" t="str">
        <f>IF(A792="","",F.P!$I$2)</f>
        <v/>
      </c>
      <c r="L792" s="9"/>
      <c r="M792" s="394" t="str">
        <f t="shared" si="92"/>
        <v/>
      </c>
      <c r="N792" s="273"/>
    </row>
    <row r="793" spans="1:14" ht="12.75" customHeight="1" x14ac:dyDescent="0.25">
      <c r="A793" s="393"/>
      <c r="B793" s="271"/>
      <c r="C793" s="271"/>
      <c r="D793" s="271"/>
      <c r="E793" s="271"/>
      <c r="F793" s="271"/>
      <c r="G793" s="273"/>
      <c r="H793" s="29" t="str">
        <f>IF(A793="","",VLOOKUP(A793,AA_Cuadrillas,4,FALSE))</f>
        <v/>
      </c>
      <c r="I793" s="394" t="str">
        <f>IF(A793="","",VLOOKUP(A793,AA_Cuadrillas,5,FALSE))</f>
        <v/>
      </c>
      <c r="J793" s="273"/>
      <c r="K793" s="9" t="str">
        <f>IF(A793="","",F.P!$I$2)</f>
        <v/>
      </c>
      <c r="L793" s="37"/>
      <c r="M793" s="394" t="str">
        <f t="shared" si="92"/>
        <v/>
      </c>
      <c r="N793" s="273"/>
    </row>
    <row r="794" spans="1:14" ht="12.75" customHeight="1" x14ac:dyDescent="0.25">
      <c r="A794" s="393"/>
      <c r="B794" s="271"/>
      <c r="C794" s="271"/>
      <c r="D794" s="271"/>
      <c r="E794" s="271"/>
      <c r="F794" s="271"/>
      <c r="G794" s="273"/>
      <c r="H794" s="29" t="str">
        <f>IF(A794="","",VLOOKUP(A794,AA_Cuadrillas,4,FALSE))</f>
        <v/>
      </c>
      <c r="I794" s="394" t="str">
        <f>IF(A794="","",VLOOKUP(A794,AA_Cuadrillas,5,FALSE))</f>
        <v/>
      </c>
      <c r="J794" s="273"/>
      <c r="K794" s="9" t="str">
        <f>IF(A794="","",F.P!$I$2)</f>
        <v/>
      </c>
      <c r="L794" s="37"/>
      <c r="M794" s="394" t="str">
        <f t="shared" si="92"/>
        <v/>
      </c>
      <c r="N794" s="273"/>
    </row>
    <row r="795" spans="1:14" ht="12.75" customHeight="1" x14ac:dyDescent="0.25">
      <c r="A795" s="393"/>
      <c r="B795" s="271"/>
      <c r="C795" s="271"/>
      <c r="D795" s="271"/>
      <c r="E795" s="271"/>
      <c r="F795" s="271"/>
      <c r="G795" s="273"/>
      <c r="H795" s="29" t="str">
        <f>IF(A795="","",VLOOKUP(A795,AA_Cuadrillas,4,FALSE))</f>
        <v/>
      </c>
      <c r="I795" s="394" t="str">
        <f>IF(A795="","",VLOOKUP(A795,AA_Cuadrillas,5,FALSE))</f>
        <v/>
      </c>
      <c r="J795" s="273"/>
      <c r="K795" s="9" t="str">
        <f>IF(A795="","",F.P!$I$2)</f>
        <v/>
      </c>
      <c r="L795" s="37"/>
      <c r="M795" s="394" t="str">
        <f t="shared" si="92"/>
        <v/>
      </c>
      <c r="N795" s="273"/>
    </row>
    <row r="796" spans="1:14" ht="12.75" customHeight="1" x14ac:dyDescent="0.25">
      <c r="A796" s="4"/>
      <c r="B796" s="4"/>
      <c r="C796" s="4"/>
      <c r="D796" s="4"/>
      <c r="E796" s="4"/>
      <c r="F796" s="4"/>
      <c r="G796" s="4"/>
      <c r="H796" s="4"/>
      <c r="I796" s="4"/>
      <c r="J796" s="4"/>
      <c r="K796" s="396" t="s">
        <v>444</v>
      </c>
      <c r="L796" s="273"/>
      <c r="M796" s="394">
        <f>SUM(M791:N795)</f>
        <v>241391.06</v>
      </c>
      <c r="N796" s="273"/>
    </row>
    <row r="797" spans="1:14" ht="12.75" customHeight="1" x14ac:dyDescent="0.2"/>
    <row r="798" spans="1:14" ht="12.75" customHeight="1" x14ac:dyDescent="0.2">
      <c r="A798" s="407" t="s">
        <v>998</v>
      </c>
      <c r="B798" s="275"/>
      <c r="C798" s="275"/>
      <c r="D798" s="275"/>
      <c r="E798" s="275"/>
      <c r="F798" s="275"/>
      <c r="G798" s="275"/>
      <c r="H798" s="275"/>
      <c r="I798" s="275"/>
      <c r="J798" s="275"/>
      <c r="K798" s="275"/>
      <c r="L798" s="275"/>
      <c r="M798" s="275"/>
      <c r="N798" s="276"/>
    </row>
    <row r="799" spans="1:14" ht="12.75" customHeight="1" x14ac:dyDescent="0.2">
      <c r="A799" s="277"/>
      <c r="B799" s="278"/>
      <c r="C799" s="278"/>
      <c r="D799" s="278"/>
      <c r="E799" s="278"/>
      <c r="F799" s="278"/>
      <c r="G799" s="278"/>
      <c r="H799" s="278"/>
      <c r="I799" s="278"/>
      <c r="J799" s="278"/>
      <c r="K799" s="278"/>
      <c r="L799" s="278"/>
      <c r="M799" s="278"/>
      <c r="N799" s="279"/>
    </row>
    <row r="800" spans="1:14" s="217" customFormat="1" ht="12.75" customHeight="1" x14ac:dyDescent="0.2">
      <c r="A800" s="216"/>
      <c r="B800" s="216"/>
      <c r="C800" s="216"/>
      <c r="D800" s="216"/>
      <c r="E800" s="216"/>
      <c r="F800" s="216"/>
      <c r="G800" s="216"/>
      <c r="H800" s="216"/>
      <c r="I800" s="216"/>
      <c r="J800" s="216"/>
      <c r="K800" s="216"/>
      <c r="L800" s="216"/>
      <c r="M800" s="216"/>
      <c r="N800" s="216"/>
    </row>
    <row r="801" spans="1:14" ht="12.75" customHeight="1" x14ac:dyDescent="0.3">
      <c r="A801" s="79" t="s">
        <v>631</v>
      </c>
      <c r="B801" s="80" t="str">
        <f>A798</f>
        <v>CAJAS DE INSPECCIÓN 0,60X0,60m</v>
      </c>
      <c r="C801" s="81" t="s">
        <v>916</v>
      </c>
      <c r="D801" s="82" t="s">
        <v>999</v>
      </c>
      <c r="E801" s="83" t="s">
        <v>445</v>
      </c>
      <c r="F801" s="234">
        <f>(H801+J801+L801+N801)*1.3</f>
        <v>655368.69131499995</v>
      </c>
      <c r="G801" s="83" t="s">
        <v>607</v>
      </c>
      <c r="H801" s="86">
        <f>M811</f>
        <v>314842.21100000001</v>
      </c>
      <c r="I801" s="83" t="s">
        <v>918</v>
      </c>
      <c r="J801" s="86">
        <f>M820</f>
        <v>8777.8610000000008</v>
      </c>
      <c r="K801" s="83" t="s">
        <v>609</v>
      </c>
      <c r="L801" s="86">
        <f>M829</f>
        <v>4952.47055</v>
      </c>
      <c r="M801" s="83" t="s">
        <v>610</v>
      </c>
      <c r="N801" s="86">
        <f>M838</f>
        <v>175557.22</v>
      </c>
    </row>
    <row r="802" spans="1:14" ht="12.75" customHeight="1" x14ac:dyDescent="0.25">
      <c r="A802" s="87"/>
      <c r="B802" s="87"/>
      <c r="C802" s="87"/>
      <c r="D802" s="87"/>
      <c r="E802" s="87"/>
      <c r="F802" s="87"/>
      <c r="G802" s="87"/>
      <c r="J802" s="87"/>
      <c r="K802" s="215" t="s">
        <v>3217</v>
      </c>
      <c r="L802" s="215">
        <f>+F801*presup!$O$5</f>
        <v>851979.2987095</v>
      </c>
      <c r="M802" s="87"/>
      <c r="N802" s="87"/>
    </row>
    <row r="803" spans="1:14" ht="12.75" customHeight="1" x14ac:dyDescent="0.2">
      <c r="A803" s="398" t="s">
        <v>919</v>
      </c>
      <c r="B803" s="271"/>
      <c r="C803" s="271"/>
      <c r="D803" s="271"/>
      <c r="E803" s="271"/>
      <c r="F803" s="271"/>
      <c r="G803" s="271"/>
      <c r="H803" s="271"/>
      <c r="I803" s="271"/>
      <c r="J803" s="271"/>
      <c r="K803" s="271"/>
      <c r="L803" s="271"/>
      <c r="M803" s="271"/>
      <c r="N803" s="273"/>
    </row>
    <row r="804" spans="1:14" ht="12.75" customHeight="1" x14ac:dyDescent="0.2">
      <c r="A804" s="396" t="s">
        <v>76</v>
      </c>
      <c r="B804" s="271"/>
      <c r="C804" s="271"/>
      <c r="D804" s="271"/>
      <c r="E804" s="271"/>
      <c r="F804" s="271"/>
      <c r="G804" s="273"/>
      <c r="H804" s="88" t="s">
        <v>77</v>
      </c>
      <c r="I804" s="399" t="s">
        <v>920</v>
      </c>
      <c r="J804" s="273"/>
      <c r="K804" s="399" t="s">
        <v>453</v>
      </c>
      <c r="L804" s="273"/>
      <c r="M804" s="399" t="s">
        <v>921</v>
      </c>
      <c r="N804" s="273"/>
    </row>
    <row r="805" spans="1:14" ht="12.75" customHeight="1" x14ac:dyDescent="0.2">
      <c r="A805" s="400" t="s">
        <v>1000</v>
      </c>
      <c r="B805" s="271"/>
      <c r="C805" s="271"/>
      <c r="D805" s="271"/>
      <c r="E805" s="271"/>
      <c r="F805" s="271"/>
      <c r="G805" s="273"/>
      <c r="H805" s="29" t="str">
        <f t="shared" ref="H805:H810" si="93">IF(A805="","",VLOOKUP(A805,AA_Materiales,7,FALSE))</f>
        <v>m3</v>
      </c>
      <c r="I805" s="394">
        <f t="shared" ref="I805:I810" si="94">IF(A805="","",VLOOKUP(A805,AA_Materiales,8,FALSE))</f>
        <v>539482</v>
      </c>
      <c r="J805" s="273"/>
      <c r="K805" s="395">
        <v>0.4</v>
      </c>
      <c r="L805" s="273"/>
      <c r="M805" s="394">
        <f t="shared" ref="M805:M810" si="95">IF(A805="","",I805*K805)</f>
        <v>215792.80000000002</v>
      </c>
      <c r="N805" s="273"/>
    </row>
    <row r="806" spans="1:14" ht="12.75" customHeight="1" x14ac:dyDescent="0.2">
      <c r="A806" s="400" t="s">
        <v>1001</v>
      </c>
      <c r="B806" s="271"/>
      <c r="C806" s="271"/>
      <c r="D806" s="271"/>
      <c r="E806" s="271"/>
      <c r="F806" s="271"/>
      <c r="G806" s="273"/>
      <c r="H806" s="29" t="e">
        <f t="shared" si="93"/>
        <v>#N/A</v>
      </c>
      <c r="I806" s="394">
        <f>'precios '!J17</f>
        <v>5883.1369999999997</v>
      </c>
      <c r="J806" s="273"/>
      <c r="K806" s="395">
        <v>3</v>
      </c>
      <c r="L806" s="273"/>
      <c r="M806" s="394">
        <f t="shared" si="95"/>
        <v>17649.411</v>
      </c>
      <c r="N806" s="273"/>
    </row>
    <row r="807" spans="1:14" ht="12.75" customHeight="1" x14ac:dyDescent="0.2">
      <c r="A807" s="400" t="s">
        <v>948</v>
      </c>
      <c r="B807" s="271"/>
      <c r="C807" s="271"/>
      <c r="D807" s="271"/>
      <c r="E807" s="271"/>
      <c r="F807" s="271"/>
      <c r="G807" s="273"/>
      <c r="H807" s="29" t="str">
        <f t="shared" si="93"/>
        <v>Unidad</v>
      </c>
      <c r="I807" s="394">
        <f t="shared" si="94"/>
        <v>25000</v>
      </c>
      <c r="J807" s="273"/>
      <c r="K807" s="395">
        <v>2.4</v>
      </c>
      <c r="L807" s="273"/>
      <c r="M807" s="394">
        <f t="shared" si="95"/>
        <v>60000</v>
      </c>
      <c r="N807" s="273"/>
    </row>
    <row r="808" spans="1:14" ht="12.75" customHeight="1" x14ac:dyDescent="0.2">
      <c r="A808" s="400" t="s">
        <v>1002</v>
      </c>
      <c r="B808" s="271"/>
      <c r="C808" s="271"/>
      <c r="D808" s="271"/>
      <c r="E808" s="271"/>
      <c r="F808" s="271"/>
      <c r="G808" s="273"/>
      <c r="H808" s="29" t="str">
        <f t="shared" si="93"/>
        <v>Unidad</v>
      </c>
      <c r="I808" s="394">
        <f t="shared" si="94"/>
        <v>12000</v>
      </c>
      <c r="J808" s="273"/>
      <c r="K808" s="395">
        <v>1</v>
      </c>
      <c r="L808" s="273"/>
      <c r="M808" s="394">
        <f t="shared" si="95"/>
        <v>12000</v>
      </c>
      <c r="N808" s="273"/>
    </row>
    <row r="809" spans="1:14" ht="12.75" customHeight="1" x14ac:dyDescent="0.2">
      <c r="A809" s="400" t="s">
        <v>946</v>
      </c>
      <c r="B809" s="271"/>
      <c r="C809" s="271"/>
      <c r="D809" s="271"/>
      <c r="E809" s="271"/>
      <c r="F809" s="271"/>
      <c r="G809" s="273"/>
      <c r="H809" s="29" t="str">
        <f t="shared" si="93"/>
        <v>Unidad</v>
      </c>
      <c r="I809" s="394">
        <f t="shared" si="94"/>
        <v>18000</v>
      </c>
      <c r="J809" s="273"/>
      <c r="K809" s="395">
        <v>0.4</v>
      </c>
      <c r="L809" s="273"/>
      <c r="M809" s="394">
        <f t="shared" si="95"/>
        <v>7200</v>
      </c>
      <c r="N809" s="273"/>
    </row>
    <row r="810" spans="1:14" ht="12.75" customHeight="1" x14ac:dyDescent="0.2">
      <c r="A810" s="400" t="s">
        <v>947</v>
      </c>
      <c r="B810" s="271"/>
      <c r="C810" s="271"/>
      <c r="D810" s="271"/>
      <c r="E810" s="271"/>
      <c r="F810" s="271"/>
      <c r="G810" s="273"/>
      <c r="H810" s="29" t="str">
        <f t="shared" si="93"/>
        <v>LB</v>
      </c>
      <c r="I810" s="394">
        <f t="shared" si="94"/>
        <v>5500</v>
      </c>
      <c r="J810" s="273"/>
      <c r="K810" s="395">
        <v>0.4</v>
      </c>
      <c r="L810" s="273"/>
      <c r="M810" s="394">
        <f t="shared" si="95"/>
        <v>2200</v>
      </c>
      <c r="N810" s="273"/>
    </row>
    <row r="811" spans="1:14" ht="12.75" customHeight="1" x14ac:dyDescent="0.25">
      <c r="A811" s="4"/>
      <c r="B811" s="4"/>
      <c r="C811" s="4"/>
      <c r="D811" s="4"/>
      <c r="E811" s="4"/>
      <c r="F811" s="4"/>
      <c r="G811" s="4"/>
      <c r="H811" s="4"/>
      <c r="I811" s="4"/>
      <c r="J811" s="4"/>
      <c r="K811" s="396" t="s">
        <v>444</v>
      </c>
      <c r="L811" s="273"/>
      <c r="M811" s="394">
        <f>SUM(M805:N810)</f>
        <v>314842.21100000001</v>
      </c>
      <c r="N811" s="273"/>
    </row>
    <row r="812" spans="1:14" ht="12.75" customHeight="1" x14ac:dyDescent="0.25">
      <c r="A812" s="4"/>
      <c r="B812" s="4"/>
      <c r="C812" s="4"/>
      <c r="D812" s="4"/>
      <c r="E812" s="4"/>
      <c r="F812" s="4"/>
      <c r="G812" s="4"/>
      <c r="H812" s="4"/>
      <c r="I812" s="4"/>
      <c r="J812" s="4"/>
      <c r="K812" s="4"/>
      <c r="L812" s="4"/>
      <c r="M812" s="4"/>
      <c r="N812" s="4"/>
    </row>
    <row r="813" spans="1:14" ht="12.75" customHeight="1" x14ac:dyDescent="0.2">
      <c r="A813" s="398" t="s">
        <v>926</v>
      </c>
      <c r="B813" s="271"/>
      <c r="C813" s="271"/>
      <c r="D813" s="271"/>
      <c r="E813" s="271"/>
      <c r="F813" s="271"/>
      <c r="G813" s="271"/>
      <c r="H813" s="271"/>
      <c r="I813" s="271"/>
      <c r="J813" s="271"/>
      <c r="K813" s="271"/>
      <c r="L813" s="271"/>
      <c r="M813" s="271"/>
      <c r="N813" s="273"/>
    </row>
    <row r="814" spans="1:14" ht="12.75" customHeight="1" x14ac:dyDescent="0.2">
      <c r="A814" s="396" t="s">
        <v>76</v>
      </c>
      <c r="B814" s="271"/>
      <c r="C814" s="271"/>
      <c r="D814" s="271"/>
      <c r="E814" s="271"/>
      <c r="F814" s="271"/>
      <c r="G814" s="273"/>
      <c r="H814" s="88" t="s">
        <v>77</v>
      </c>
      <c r="I814" s="399" t="s">
        <v>920</v>
      </c>
      <c r="J814" s="273"/>
      <c r="K814" s="399" t="s">
        <v>453</v>
      </c>
      <c r="L814" s="273"/>
      <c r="M814" s="399" t="s">
        <v>921</v>
      </c>
      <c r="N814" s="273"/>
    </row>
    <row r="815" spans="1:14" ht="12.75" customHeight="1" x14ac:dyDescent="0.2">
      <c r="A815" s="400" t="s">
        <v>927</v>
      </c>
      <c r="B815" s="271"/>
      <c r="C815" s="271"/>
      <c r="D815" s="271"/>
      <c r="E815" s="271"/>
      <c r="F815" s="271"/>
      <c r="G815" s="273"/>
      <c r="H815" s="29" t="str">
        <f>IF(A815="","",VLOOKUP(A815,AA_Equipos,7,FALSE))</f>
        <v>% M.O.</v>
      </c>
      <c r="I815" s="394">
        <f>M838</f>
        <v>175557.22</v>
      </c>
      <c r="J815" s="273"/>
      <c r="K815" s="395">
        <v>0.05</v>
      </c>
      <c r="L815" s="273"/>
      <c r="M815" s="394">
        <f t="shared" ref="M815:M819" si="96">IF(A815="","",I815*K815)</f>
        <v>8777.8610000000008</v>
      </c>
      <c r="N815" s="273"/>
    </row>
    <row r="816" spans="1:14" ht="12.75" customHeight="1" x14ac:dyDescent="0.2">
      <c r="A816" s="403"/>
      <c r="B816" s="271"/>
      <c r="C816" s="271"/>
      <c r="D816" s="271"/>
      <c r="E816" s="271"/>
      <c r="F816" s="271"/>
      <c r="G816" s="273"/>
      <c r="H816" s="29" t="str">
        <f>IF(A816="","",VLOOKUP(A816,AA_Equipos,7,FALSE))</f>
        <v/>
      </c>
      <c r="I816" s="394" t="str">
        <f>IF(A816="","",VLOOKUP(A816,AA_Equipos,8,FALSE))</f>
        <v/>
      </c>
      <c r="J816" s="273"/>
      <c r="K816" s="402"/>
      <c r="L816" s="273"/>
      <c r="M816" s="394" t="str">
        <f t="shared" si="96"/>
        <v/>
      </c>
      <c r="N816" s="273"/>
    </row>
    <row r="817" spans="1:14" ht="12.75" customHeight="1" x14ac:dyDescent="0.2">
      <c r="A817" s="400"/>
      <c r="B817" s="271"/>
      <c r="C817" s="271"/>
      <c r="D817" s="271"/>
      <c r="E817" s="271"/>
      <c r="F817" s="271"/>
      <c r="G817" s="273"/>
      <c r="H817" s="29" t="str">
        <f>IF(A817="","",VLOOKUP(A817,AA_Equipos,7,FALSE))</f>
        <v/>
      </c>
      <c r="I817" s="394" t="str">
        <f>IF(A817="","",VLOOKUP(A817,AA_Equipos,8,FALSE))</f>
        <v/>
      </c>
      <c r="J817" s="273"/>
      <c r="K817" s="401"/>
      <c r="L817" s="273"/>
      <c r="M817" s="394" t="str">
        <f t="shared" si="96"/>
        <v/>
      </c>
      <c r="N817" s="273"/>
    </row>
    <row r="818" spans="1:14" ht="12.75" customHeight="1" x14ac:dyDescent="0.2">
      <c r="A818" s="400"/>
      <c r="B818" s="271"/>
      <c r="C818" s="271"/>
      <c r="D818" s="271"/>
      <c r="E818" s="271"/>
      <c r="F818" s="271"/>
      <c r="G818" s="273"/>
      <c r="H818" s="29" t="str">
        <f>IF(A818="","",VLOOKUP(A818,AA_Equipos,7,FALSE))</f>
        <v/>
      </c>
      <c r="I818" s="394" t="str">
        <f>IF(A818="","",VLOOKUP(A818,AA_Equipos,8,FALSE))</f>
        <v/>
      </c>
      <c r="J818" s="273"/>
      <c r="K818" s="395"/>
      <c r="L818" s="273"/>
      <c r="M818" s="394" t="str">
        <f t="shared" si="96"/>
        <v/>
      </c>
      <c r="N818" s="273"/>
    </row>
    <row r="819" spans="1:14" ht="12.75" customHeight="1" x14ac:dyDescent="0.2">
      <c r="A819" s="400"/>
      <c r="B819" s="271"/>
      <c r="C819" s="271"/>
      <c r="D819" s="271"/>
      <c r="E819" s="271"/>
      <c r="F819" s="271"/>
      <c r="G819" s="273"/>
      <c r="H819" s="29" t="str">
        <f>IF(A819="","",VLOOKUP(A819,AA_Equipos,7,FALSE))</f>
        <v/>
      </c>
      <c r="I819" s="394" t="str">
        <f>IF(A819="","",VLOOKUP(A819,AA_Equipos,8,FALSE))</f>
        <v/>
      </c>
      <c r="J819" s="273"/>
      <c r="K819" s="395"/>
      <c r="L819" s="273"/>
      <c r="M819" s="394" t="str">
        <f t="shared" si="96"/>
        <v/>
      </c>
      <c r="N819" s="273"/>
    </row>
    <row r="820" spans="1:14" ht="12.75" customHeight="1" x14ac:dyDescent="0.25">
      <c r="A820" s="4"/>
      <c r="B820" s="4"/>
      <c r="C820" s="4"/>
      <c r="D820" s="4"/>
      <c r="E820" s="4"/>
      <c r="F820" s="4"/>
      <c r="G820" s="4"/>
      <c r="H820" s="4"/>
      <c r="I820" s="4"/>
      <c r="J820" s="4"/>
      <c r="K820" s="396" t="s">
        <v>444</v>
      </c>
      <c r="L820" s="273"/>
      <c r="M820" s="394">
        <f>SUM(M815:N819)</f>
        <v>8777.8610000000008</v>
      </c>
      <c r="N820" s="273"/>
    </row>
    <row r="821" spans="1:14" ht="12.75" customHeight="1" x14ac:dyDescent="0.25">
      <c r="A821" s="4"/>
      <c r="B821" s="4"/>
      <c r="C821" s="4"/>
      <c r="D821" s="4"/>
      <c r="E821" s="4"/>
      <c r="F821" s="4"/>
      <c r="G821" s="4"/>
      <c r="H821" s="4"/>
      <c r="I821" s="4"/>
      <c r="J821" s="4"/>
      <c r="K821" s="4"/>
      <c r="L821" s="4"/>
      <c r="M821" s="4"/>
      <c r="N821" s="4"/>
    </row>
    <row r="822" spans="1:14" ht="12.75" customHeight="1" x14ac:dyDescent="0.2">
      <c r="A822" s="398" t="s">
        <v>929</v>
      </c>
      <c r="B822" s="271"/>
      <c r="C822" s="271"/>
      <c r="D822" s="271"/>
      <c r="E822" s="271"/>
      <c r="F822" s="271"/>
      <c r="G822" s="271"/>
      <c r="H822" s="271"/>
      <c r="I822" s="271"/>
      <c r="J822" s="271"/>
      <c r="K822" s="271"/>
      <c r="L822" s="271"/>
      <c r="M822" s="271"/>
      <c r="N822" s="273"/>
    </row>
    <row r="823" spans="1:14" ht="12.75" customHeight="1" x14ac:dyDescent="0.2">
      <c r="A823" s="396" t="s">
        <v>76</v>
      </c>
      <c r="B823" s="271"/>
      <c r="C823" s="271"/>
      <c r="D823" s="271"/>
      <c r="E823" s="271"/>
      <c r="F823" s="271"/>
      <c r="G823" s="273"/>
      <c r="H823" s="88" t="s">
        <v>77</v>
      </c>
      <c r="I823" s="399" t="s">
        <v>920</v>
      </c>
      <c r="J823" s="273"/>
      <c r="K823" s="399" t="s">
        <v>453</v>
      </c>
      <c r="L823" s="273"/>
      <c r="M823" s="399" t="s">
        <v>921</v>
      </c>
      <c r="N823" s="273"/>
    </row>
    <row r="824" spans="1:14" ht="12.75" customHeight="1" x14ac:dyDescent="0.2">
      <c r="A824" s="400" t="s">
        <v>949</v>
      </c>
      <c r="B824" s="271"/>
      <c r="C824" s="271"/>
      <c r="D824" s="271"/>
      <c r="E824" s="271"/>
      <c r="F824" s="271"/>
      <c r="G824" s="273"/>
      <c r="H824" s="29" t="s">
        <v>950</v>
      </c>
      <c r="I824" s="394">
        <f>+SUM(M806:N810)</f>
        <v>99049.410999999993</v>
      </c>
      <c r="J824" s="273"/>
      <c r="K824" s="404">
        <v>0.05</v>
      </c>
      <c r="L824" s="273"/>
      <c r="M824" s="394">
        <f t="shared" ref="M824:M828" si="97">IF(A824="","",I824*K824)</f>
        <v>4952.47055</v>
      </c>
      <c r="N824" s="273"/>
    </row>
    <row r="825" spans="1:14" ht="12.75" customHeight="1" x14ac:dyDescent="0.2">
      <c r="A825" s="403"/>
      <c r="B825" s="271"/>
      <c r="C825" s="271"/>
      <c r="D825" s="271"/>
      <c r="E825" s="271"/>
      <c r="F825" s="271"/>
      <c r="G825" s="273"/>
      <c r="H825" s="29"/>
      <c r="I825" s="394"/>
      <c r="J825" s="273"/>
      <c r="K825" s="404"/>
      <c r="L825" s="273"/>
      <c r="M825" s="394" t="str">
        <f t="shared" si="97"/>
        <v/>
      </c>
      <c r="N825" s="273"/>
    </row>
    <row r="826" spans="1:14" ht="12.75" customHeight="1" x14ac:dyDescent="0.2">
      <c r="A826" s="400"/>
      <c r="B826" s="271"/>
      <c r="C826" s="271"/>
      <c r="D826" s="271"/>
      <c r="E826" s="271"/>
      <c r="F826" s="271"/>
      <c r="G826" s="273"/>
      <c r="H826" s="29"/>
      <c r="I826" s="394"/>
      <c r="J826" s="273"/>
      <c r="K826" s="395"/>
      <c r="L826" s="273"/>
      <c r="M826" s="394" t="str">
        <f t="shared" si="97"/>
        <v/>
      </c>
      <c r="N826" s="273"/>
    </row>
    <row r="827" spans="1:14" ht="12.75" customHeight="1" x14ac:dyDescent="0.2">
      <c r="A827" s="400"/>
      <c r="B827" s="271"/>
      <c r="C827" s="271"/>
      <c r="D827" s="271"/>
      <c r="E827" s="271"/>
      <c r="F827" s="271"/>
      <c r="G827" s="273"/>
      <c r="H827" s="29"/>
      <c r="I827" s="394"/>
      <c r="J827" s="273"/>
      <c r="K827" s="395"/>
      <c r="L827" s="273"/>
      <c r="M827" s="394" t="str">
        <f t="shared" si="97"/>
        <v/>
      </c>
      <c r="N827" s="273"/>
    </row>
    <row r="828" spans="1:14" ht="12.75" customHeight="1" x14ac:dyDescent="0.2">
      <c r="A828" s="400"/>
      <c r="B828" s="271"/>
      <c r="C828" s="271"/>
      <c r="D828" s="271"/>
      <c r="E828" s="271"/>
      <c r="F828" s="271"/>
      <c r="G828" s="273"/>
      <c r="H828" s="29"/>
      <c r="I828" s="394"/>
      <c r="J828" s="273"/>
      <c r="K828" s="395"/>
      <c r="L828" s="273"/>
      <c r="M828" s="394" t="str">
        <f t="shared" si="97"/>
        <v/>
      </c>
      <c r="N828" s="273"/>
    </row>
    <row r="829" spans="1:14" ht="12.75" customHeight="1" x14ac:dyDescent="0.25">
      <c r="A829" s="4"/>
      <c r="B829" s="4"/>
      <c r="C829" s="4"/>
      <c r="D829" s="4"/>
      <c r="E829" s="4"/>
      <c r="F829" s="4"/>
      <c r="G829" s="4"/>
      <c r="H829" s="4"/>
      <c r="I829" s="4"/>
      <c r="J829" s="4"/>
      <c r="K829" s="396" t="s">
        <v>444</v>
      </c>
      <c r="L829" s="273"/>
      <c r="M829" s="394">
        <f>SUM(M824:N828)</f>
        <v>4952.47055</v>
      </c>
      <c r="N829" s="273"/>
    </row>
    <row r="830" spans="1:14" ht="12.75" customHeight="1" x14ac:dyDescent="0.25">
      <c r="A830" s="4"/>
      <c r="B830" s="4"/>
      <c r="C830" s="4"/>
      <c r="D830" s="4"/>
      <c r="E830" s="4"/>
      <c r="F830" s="4"/>
      <c r="G830" s="4"/>
      <c r="H830" s="4"/>
      <c r="I830" s="4"/>
      <c r="J830" s="4"/>
      <c r="K830" s="4"/>
      <c r="L830" s="4"/>
      <c r="M830" s="4"/>
      <c r="N830" s="4"/>
    </row>
    <row r="831" spans="1:14" ht="12.75" customHeight="1" x14ac:dyDescent="0.2">
      <c r="A831" s="398" t="s">
        <v>931</v>
      </c>
      <c r="B831" s="271"/>
      <c r="C831" s="271"/>
      <c r="D831" s="271"/>
      <c r="E831" s="271"/>
      <c r="F831" s="271"/>
      <c r="G831" s="271"/>
      <c r="H831" s="271"/>
      <c r="I831" s="271"/>
      <c r="J831" s="271"/>
      <c r="K831" s="271"/>
      <c r="L831" s="271"/>
      <c r="M831" s="271"/>
      <c r="N831" s="273"/>
    </row>
    <row r="832" spans="1:14" ht="12.75" customHeight="1" x14ac:dyDescent="0.2">
      <c r="A832" s="396" t="s">
        <v>76</v>
      </c>
      <c r="B832" s="271"/>
      <c r="C832" s="271"/>
      <c r="D832" s="271"/>
      <c r="E832" s="271"/>
      <c r="F832" s="271"/>
      <c r="G832" s="273"/>
      <c r="H832" s="88" t="s">
        <v>77</v>
      </c>
      <c r="I832" s="399" t="s">
        <v>920</v>
      </c>
      <c r="J832" s="273"/>
      <c r="K832" s="90" t="s">
        <v>514</v>
      </c>
      <c r="L832" s="91" t="s">
        <v>932</v>
      </c>
      <c r="M832" s="399" t="s">
        <v>921</v>
      </c>
      <c r="N832" s="273"/>
    </row>
    <row r="833" spans="1:14" ht="12.75" customHeight="1" x14ac:dyDescent="0.25">
      <c r="A833" s="393" t="s">
        <v>951</v>
      </c>
      <c r="B833" s="271"/>
      <c r="C833" s="271"/>
      <c r="D833" s="271"/>
      <c r="E833" s="271"/>
      <c r="F833" s="271"/>
      <c r="G833" s="273"/>
      <c r="H833" s="29" t="str">
        <f>IF(A833="","",VLOOKUP(A833,AA_Cuadrillas,4,FALSE))</f>
        <v>Cuadrilla</v>
      </c>
      <c r="I833" s="394">
        <f>IF(A833="","",VLOOKUP(A833,AA_Cuadrillas,5,FALSE))</f>
        <v>186763</v>
      </c>
      <c r="J833" s="273"/>
      <c r="K833" s="9">
        <f>IF(A833="","",F.P!$I$2)</f>
        <v>1.88</v>
      </c>
      <c r="L833" s="93">
        <v>0.5</v>
      </c>
      <c r="M833" s="394">
        <f t="shared" ref="M833:M837" si="98">IF(A833="","",I833*K833*L833)</f>
        <v>175557.22</v>
      </c>
      <c r="N833" s="273"/>
    </row>
    <row r="834" spans="1:14" ht="12.75" customHeight="1" x14ac:dyDescent="0.25">
      <c r="A834" s="393"/>
      <c r="B834" s="271"/>
      <c r="C834" s="271"/>
      <c r="D834" s="271"/>
      <c r="E834" s="271"/>
      <c r="F834" s="271"/>
      <c r="G834" s="273"/>
      <c r="H834" s="29" t="str">
        <f>IF(A834="","",VLOOKUP(A834,AA_Cuadrillas,4,FALSE))</f>
        <v/>
      </c>
      <c r="I834" s="394" t="str">
        <f>IF(A834="","",VLOOKUP(A834,AA_Cuadrillas,5,FALSE))</f>
        <v/>
      </c>
      <c r="J834" s="273"/>
      <c r="K834" s="9" t="str">
        <f>IF(A834="","",F.P!$I$2)</f>
        <v/>
      </c>
      <c r="L834" s="9"/>
      <c r="M834" s="394" t="str">
        <f t="shared" si="98"/>
        <v/>
      </c>
      <c r="N834" s="273"/>
    </row>
    <row r="835" spans="1:14" ht="12.75" customHeight="1" x14ac:dyDescent="0.25">
      <c r="A835" s="393"/>
      <c r="B835" s="271"/>
      <c r="C835" s="271"/>
      <c r="D835" s="271"/>
      <c r="E835" s="271"/>
      <c r="F835" s="271"/>
      <c r="G835" s="273"/>
      <c r="H835" s="29" t="str">
        <f>IF(A835="","",VLOOKUP(A835,AA_Cuadrillas,4,FALSE))</f>
        <v/>
      </c>
      <c r="I835" s="394" t="str">
        <f>IF(A835="","",VLOOKUP(A835,AA_Cuadrillas,5,FALSE))</f>
        <v/>
      </c>
      <c r="J835" s="273"/>
      <c r="K835" s="9" t="str">
        <f>IF(A835="","",F.P!$I$2)</f>
        <v/>
      </c>
      <c r="L835" s="37"/>
      <c r="M835" s="394" t="str">
        <f t="shared" si="98"/>
        <v/>
      </c>
      <c r="N835" s="273"/>
    </row>
    <row r="836" spans="1:14" ht="12.75" customHeight="1" x14ac:dyDescent="0.25">
      <c r="A836" s="393"/>
      <c r="B836" s="271"/>
      <c r="C836" s="271"/>
      <c r="D836" s="271"/>
      <c r="E836" s="271"/>
      <c r="F836" s="271"/>
      <c r="G836" s="273"/>
      <c r="H836" s="29" t="str">
        <f>IF(A836="","",VLOOKUP(A836,AA_Cuadrillas,4,FALSE))</f>
        <v/>
      </c>
      <c r="I836" s="394" t="str">
        <f>IF(A836="","",VLOOKUP(A836,AA_Cuadrillas,5,FALSE))</f>
        <v/>
      </c>
      <c r="J836" s="273"/>
      <c r="K836" s="9" t="str">
        <f>IF(A836="","",F.P!$I$2)</f>
        <v/>
      </c>
      <c r="L836" s="37"/>
      <c r="M836" s="394" t="str">
        <f t="shared" si="98"/>
        <v/>
      </c>
      <c r="N836" s="273"/>
    </row>
    <row r="837" spans="1:14" ht="12.75" customHeight="1" x14ac:dyDescent="0.25">
      <c r="A837" s="393"/>
      <c r="B837" s="271"/>
      <c r="C837" s="271"/>
      <c r="D837" s="271"/>
      <c r="E837" s="271"/>
      <c r="F837" s="271"/>
      <c r="G837" s="273"/>
      <c r="H837" s="29" t="str">
        <f>IF(A837="","",VLOOKUP(A837,AA_Cuadrillas,4,FALSE))</f>
        <v/>
      </c>
      <c r="I837" s="394" t="str">
        <f>IF(A837="","",VLOOKUP(A837,AA_Cuadrillas,5,FALSE))</f>
        <v/>
      </c>
      <c r="J837" s="273"/>
      <c r="K837" s="9" t="str">
        <f>IF(A837="","",F.P!$I$2)</f>
        <v/>
      </c>
      <c r="L837" s="37"/>
      <c r="M837" s="394" t="str">
        <f t="shared" si="98"/>
        <v/>
      </c>
      <c r="N837" s="273"/>
    </row>
    <row r="838" spans="1:14" ht="12.75" customHeight="1" x14ac:dyDescent="0.25">
      <c r="A838" s="4"/>
      <c r="B838" s="4"/>
      <c r="C838" s="4"/>
      <c r="D838" s="4"/>
      <c r="E838" s="4"/>
      <c r="F838" s="4"/>
      <c r="G838" s="4"/>
      <c r="H838" s="4"/>
      <c r="I838" s="4"/>
      <c r="J838" s="4"/>
      <c r="K838" s="396" t="s">
        <v>444</v>
      </c>
      <c r="L838" s="273"/>
      <c r="M838" s="394">
        <f>SUM(M833:N837)</f>
        <v>175557.22</v>
      </c>
      <c r="N838" s="273"/>
    </row>
    <row r="839" spans="1:14" ht="12.75" customHeight="1" x14ac:dyDescent="0.2"/>
    <row r="840" spans="1:14" ht="12.75" customHeight="1" x14ac:dyDescent="0.2">
      <c r="A840" s="407" t="s">
        <v>1003</v>
      </c>
      <c r="B840" s="275"/>
      <c r="C840" s="275"/>
      <c r="D840" s="275"/>
      <c r="E840" s="275"/>
      <c r="F840" s="275"/>
      <c r="G840" s="275"/>
      <c r="H840" s="275"/>
      <c r="I840" s="275"/>
      <c r="J840" s="275"/>
      <c r="K840" s="275"/>
      <c r="L840" s="275"/>
      <c r="M840" s="275"/>
      <c r="N840" s="276"/>
    </row>
    <row r="841" spans="1:14" ht="12.75" customHeight="1" x14ac:dyDescent="0.2">
      <c r="A841" s="277"/>
      <c r="B841" s="278"/>
      <c r="C841" s="278"/>
      <c r="D841" s="278"/>
      <c r="E841" s="278"/>
      <c r="F841" s="278"/>
      <c r="G841" s="278"/>
      <c r="H841" s="278"/>
      <c r="I841" s="278"/>
      <c r="J841" s="278"/>
      <c r="K841" s="278"/>
      <c r="L841" s="278"/>
      <c r="M841" s="278"/>
      <c r="N841" s="279"/>
    </row>
    <row r="842" spans="1:14" ht="12.75" customHeight="1" x14ac:dyDescent="0.2">
      <c r="A842" s="75"/>
      <c r="B842" s="75"/>
      <c r="C842" s="75"/>
      <c r="D842" s="75"/>
      <c r="E842" s="75"/>
      <c r="F842" s="75"/>
      <c r="G842" s="75"/>
      <c r="H842" s="75"/>
      <c r="I842" s="75"/>
      <c r="J842" s="75"/>
      <c r="K842" s="75"/>
      <c r="L842" s="75"/>
      <c r="M842" s="75"/>
      <c r="N842" s="75"/>
    </row>
    <row r="843" spans="1:14" ht="12.75" customHeight="1" x14ac:dyDescent="0.3">
      <c r="A843" s="79" t="s">
        <v>632</v>
      </c>
      <c r="B843" s="80" t="str">
        <f>A840</f>
        <v>CONFORMACIÓN Y EMPRADIZACIÓN</v>
      </c>
      <c r="C843" s="81" t="s">
        <v>916</v>
      </c>
      <c r="D843" s="82" t="s">
        <v>934</v>
      </c>
      <c r="E843" s="83" t="s">
        <v>445</v>
      </c>
      <c r="F843" s="234">
        <f>(H843+J843+L843+N843)*1.3</f>
        <v>41016.125920128638</v>
      </c>
      <c r="G843" s="83" t="s">
        <v>607</v>
      </c>
      <c r="H843" s="86">
        <f>M853</f>
        <v>11192.549400000002</v>
      </c>
      <c r="I843" s="83" t="s">
        <v>918</v>
      </c>
      <c r="J843" s="86">
        <f>M862</f>
        <v>2242.9672224066389</v>
      </c>
      <c r="K843" s="83" t="s">
        <v>609</v>
      </c>
      <c r="L843" s="86">
        <f>M871</f>
        <v>559.62747000000013</v>
      </c>
      <c r="M843" s="83" t="s">
        <v>610</v>
      </c>
      <c r="N843" s="86">
        <f>M880</f>
        <v>17555.722000000002</v>
      </c>
    </row>
    <row r="844" spans="1:14" ht="12.75" customHeight="1" x14ac:dyDescent="0.25">
      <c r="A844" s="87"/>
      <c r="B844" s="87"/>
      <c r="C844" s="87"/>
      <c r="D844" s="87"/>
      <c r="E844" s="87"/>
      <c r="F844" s="87"/>
      <c r="G844" s="87"/>
      <c r="J844" s="87"/>
      <c r="K844" s="215" t="s">
        <v>3217</v>
      </c>
      <c r="L844" s="215">
        <f>+F843*presup!$O$5</f>
        <v>53320.96369616723</v>
      </c>
      <c r="M844" s="87"/>
      <c r="N844" s="87"/>
    </row>
    <row r="845" spans="1:14" ht="12.75" customHeight="1" x14ac:dyDescent="0.2">
      <c r="A845" s="398" t="s">
        <v>919</v>
      </c>
      <c r="B845" s="271"/>
      <c r="C845" s="271"/>
      <c r="D845" s="271"/>
      <c r="E845" s="271"/>
      <c r="F845" s="271"/>
      <c r="G845" s="271"/>
      <c r="H845" s="271"/>
      <c r="I845" s="271"/>
      <c r="J845" s="271"/>
      <c r="K845" s="271"/>
      <c r="L845" s="271"/>
      <c r="M845" s="271"/>
      <c r="N845" s="273"/>
    </row>
    <row r="846" spans="1:14" ht="12.75" customHeight="1" x14ac:dyDescent="0.2">
      <c r="A846" s="396" t="s">
        <v>76</v>
      </c>
      <c r="B846" s="271"/>
      <c r="C846" s="271"/>
      <c r="D846" s="271"/>
      <c r="E846" s="271"/>
      <c r="F846" s="271"/>
      <c r="G846" s="273"/>
      <c r="H846" s="88" t="s">
        <v>77</v>
      </c>
      <c r="I846" s="399" t="s">
        <v>920</v>
      </c>
      <c r="J846" s="273"/>
      <c r="K846" s="399" t="s">
        <v>453</v>
      </c>
      <c r="L846" s="273"/>
      <c r="M846" s="399" t="s">
        <v>921</v>
      </c>
      <c r="N846" s="273"/>
    </row>
    <row r="847" spans="1:14" ht="12.75" customHeight="1" x14ac:dyDescent="0.2">
      <c r="A847" s="400" t="s">
        <v>1004</v>
      </c>
      <c r="B847" s="271"/>
      <c r="C847" s="271"/>
      <c r="D847" s="271"/>
      <c r="E847" s="271"/>
      <c r="F847" s="271"/>
      <c r="G847" s="273"/>
      <c r="H847" s="29" t="str">
        <f t="shared" ref="H847:H852" si="99">IF(A847="","",VLOOKUP(A847,AA_Materiales,7,FALSE))</f>
        <v>Kg</v>
      </c>
      <c r="I847" s="394">
        <f t="shared" ref="I847:I852" si="100">IF(A847="","",VLOOKUP(A847,AA_Materiales,8,FALSE))</f>
        <v>10433.73</v>
      </c>
      <c r="J847" s="273"/>
      <c r="K847" s="395">
        <v>0.03</v>
      </c>
      <c r="L847" s="273"/>
      <c r="M847" s="394">
        <f t="shared" ref="M847:M852" si="101">IF(A847="","",I847*K847)</f>
        <v>313.01189999999997</v>
      </c>
      <c r="N847" s="273"/>
    </row>
    <row r="848" spans="1:14" ht="12.75" customHeight="1" x14ac:dyDescent="0.2">
      <c r="A848" s="400" t="s">
        <v>1005</v>
      </c>
      <c r="B848" s="271"/>
      <c r="C848" s="271"/>
      <c r="D848" s="271"/>
      <c r="E848" s="271"/>
      <c r="F848" s="271"/>
      <c r="G848" s="273"/>
      <c r="H848" s="29" t="str">
        <f t="shared" si="99"/>
        <v>m3</v>
      </c>
      <c r="I848" s="394">
        <f t="shared" si="100"/>
        <v>49455.87</v>
      </c>
      <c r="J848" s="273"/>
      <c r="K848" s="395">
        <v>0.15</v>
      </c>
      <c r="L848" s="273"/>
      <c r="M848" s="394">
        <f t="shared" si="101"/>
        <v>7418.3805000000002</v>
      </c>
      <c r="N848" s="273"/>
    </row>
    <row r="849" spans="1:14" ht="12.75" customHeight="1" x14ac:dyDescent="0.2">
      <c r="A849" s="400" t="s">
        <v>1006</v>
      </c>
      <c r="B849" s="271"/>
      <c r="C849" s="271"/>
      <c r="D849" s="271"/>
      <c r="E849" s="271"/>
      <c r="F849" s="271"/>
      <c r="G849" s="273"/>
      <c r="H849" s="29" t="str">
        <f t="shared" si="99"/>
        <v>Kg</v>
      </c>
      <c r="I849" s="394">
        <f t="shared" si="100"/>
        <v>62.6</v>
      </c>
      <c r="J849" s="273"/>
      <c r="K849" s="395">
        <v>6</v>
      </c>
      <c r="L849" s="273"/>
      <c r="M849" s="394">
        <f t="shared" si="101"/>
        <v>375.6</v>
      </c>
      <c r="N849" s="273"/>
    </row>
    <row r="850" spans="1:14" ht="12.75" customHeight="1" x14ac:dyDescent="0.2">
      <c r="A850" s="400" t="s">
        <v>1007</v>
      </c>
      <c r="B850" s="271"/>
      <c r="C850" s="271"/>
      <c r="D850" s="271"/>
      <c r="E850" s="271"/>
      <c r="F850" s="271"/>
      <c r="G850" s="273"/>
      <c r="H850" s="29" t="str">
        <f t="shared" si="99"/>
        <v>Kg</v>
      </c>
      <c r="I850" s="394">
        <f t="shared" si="100"/>
        <v>855.57</v>
      </c>
      <c r="J850" s="273"/>
      <c r="K850" s="395">
        <v>0.1</v>
      </c>
      <c r="L850" s="273"/>
      <c r="M850" s="394">
        <f t="shared" si="101"/>
        <v>85.557000000000016</v>
      </c>
      <c r="N850" s="273"/>
    </row>
    <row r="851" spans="1:14" ht="12.75" customHeight="1" x14ac:dyDescent="0.2">
      <c r="A851" s="400" t="s">
        <v>956</v>
      </c>
      <c r="B851" s="271"/>
      <c r="C851" s="271"/>
      <c r="D851" s="271"/>
      <c r="E851" s="271"/>
      <c r="F851" s="271"/>
      <c r="G851" s="273"/>
      <c r="H851" s="29" t="str">
        <f t="shared" si="99"/>
        <v>Lt</v>
      </c>
      <c r="I851" s="394">
        <f t="shared" si="100"/>
        <v>20</v>
      </c>
      <c r="J851" s="273"/>
      <c r="K851" s="395">
        <v>150</v>
      </c>
      <c r="L851" s="273"/>
      <c r="M851" s="394">
        <f t="shared" si="101"/>
        <v>3000</v>
      </c>
      <c r="N851" s="273"/>
    </row>
    <row r="852" spans="1:14" ht="12.75" customHeight="1" x14ac:dyDescent="0.2">
      <c r="A852" s="400"/>
      <c r="B852" s="271"/>
      <c r="C852" s="271"/>
      <c r="D852" s="271"/>
      <c r="E852" s="271"/>
      <c r="F852" s="271"/>
      <c r="G852" s="273"/>
      <c r="H852" s="29" t="str">
        <f t="shared" si="99"/>
        <v/>
      </c>
      <c r="I852" s="394" t="str">
        <f t="shared" si="100"/>
        <v/>
      </c>
      <c r="J852" s="273"/>
      <c r="K852" s="395"/>
      <c r="L852" s="273"/>
      <c r="M852" s="394" t="str">
        <f t="shared" si="101"/>
        <v/>
      </c>
      <c r="N852" s="273"/>
    </row>
    <row r="853" spans="1:14" ht="12.75" customHeight="1" x14ac:dyDescent="0.25">
      <c r="A853" s="4"/>
      <c r="B853" s="4"/>
      <c r="C853" s="4"/>
      <c r="D853" s="4"/>
      <c r="E853" s="4"/>
      <c r="F853" s="4"/>
      <c r="G853" s="4"/>
      <c r="H853" s="4"/>
      <c r="I853" s="4"/>
      <c r="J853" s="4"/>
      <c r="K853" s="396" t="s">
        <v>444</v>
      </c>
      <c r="L853" s="273"/>
      <c r="M853" s="394">
        <f>SUM(M847:N852)</f>
        <v>11192.549400000002</v>
      </c>
      <c r="N853" s="273"/>
    </row>
    <row r="854" spans="1:14" ht="12.75" customHeight="1" x14ac:dyDescent="0.25">
      <c r="A854" s="4"/>
      <c r="B854" s="4"/>
      <c r="C854" s="4"/>
      <c r="D854" s="4"/>
      <c r="E854" s="4"/>
      <c r="F854" s="4"/>
      <c r="G854" s="4"/>
      <c r="H854" s="4"/>
      <c r="I854" s="4"/>
      <c r="J854" s="4"/>
      <c r="K854" s="4"/>
      <c r="L854" s="4"/>
      <c r="M854" s="4"/>
      <c r="N854" s="4"/>
    </row>
    <row r="855" spans="1:14" ht="12.75" customHeight="1" x14ac:dyDescent="0.2">
      <c r="A855" s="398" t="s">
        <v>926</v>
      </c>
      <c r="B855" s="271"/>
      <c r="C855" s="271"/>
      <c r="D855" s="271"/>
      <c r="E855" s="271"/>
      <c r="F855" s="271"/>
      <c r="G855" s="271"/>
      <c r="H855" s="271"/>
      <c r="I855" s="271"/>
      <c r="J855" s="271"/>
      <c r="K855" s="271"/>
      <c r="L855" s="271"/>
      <c r="M855" s="271"/>
      <c r="N855" s="273"/>
    </row>
    <row r="856" spans="1:14" ht="12.75" customHeight="1" x14ac:dyDescent="0.2">
      <c r="A856" s="396" t="s">
        <v>76</v>
      </c>
      <c r="B856" s="271"/>
      <c r="C856" s="271"/>
      <c r="D856" s="271"/>
      <c r="E856" s="271"/>
      <c r="F856" s="271"/>
      <c r="G856" s="273"/>
      <c r="H856" s="88" t="s">
        <v>77</v>
      </c>
      <c r="I856" s="399" t="s">
        <v>920</v>
      </c>
      <c r="J856" s="273"/>
      <c r="K856" s="399" t="s">
        <v>453</v>
      </c>
      <c r="L856" s="273"/>
      <c r="M856" s="399" t="s">
        <v>921</v>
      </c>
      <c r="N856" s="273"/>
    </row>
    <row r="857" spans="1:14" ht="12.75" customHeight="1" x14ac:dyDescent="0.2">
      <c r="A857" s="400" t="s">
        <v>927</v>
      </c>
      <c r="B857" s="271"/>
      <c r="C857" s="271"/>
      <c r="D857" s="271"/>
      <c r="E857" s="271"/>
      <c r="F857" s="271"/>
      <c r="G857" s="273"/>
      <c r="H857" s="29" t="str">
        <f>IF(A857="","",VLOOKUP(A857,AA_Equipos,7,FALSE))</f>
        <v>% M.O.</v>
      </c>
      <c r="I857" s="394">
        <f>M880</f>
        <v>17555.722000000002</v>
      </c>
      <c r="J857" s="273"/>
      <c r="K857" s="395">
        <v>0.05</v>
      </c>
      <c r="L857" s="273"/>
      <c r="M857" s="394">
        <f t="shared" ref="M857:M861" si="102">IF(A857="","",I857*K857)</f>
        <v>877.78610000000015</v>
      </c>
      <c r="N857" s="273"/>
    </row>
    <row r="858" spans="1:14" ht="12.75" customHeight="1" x14ac:dyDescent="0.2">
      <c r="A858" s="403" t="s">
        <v>1008</v>
      </c>
      <c r="B858" s="271"/>
      <c r="C858" s="271"/>
      <c r="D858" s="271"/>
      <c r="E858" s="271"/>
      <c r="F858" s="271"/>
      <c r="G858" s="273"/>
      <c r="H858" s="29" t="str">
        <f>IF(A858="","",VLOOKUP(A858,AA_Equipos,7,FALSE))</f>
        <v>Dia</v>
      </c>
      <c r="I858" s="394">
        <f>IF(A858="","",VLOOKUP(A858,AA_Equipos,8,FALSE))</f>
        <v>240000</v>
      </c>
      <c r="J858" s="273"/>
      <c r="K858" s="402">
        <v>4.1493775933609959E-3</v>
      </c>
      <c r="L858" s="273"/>
      <c r="M858" s="394">
        <f t="shared" si="102"/>
        <v>995.85062240663899</v>
      </c>
      <c r="N858" s="273"/>
    </row>
    <row r="859" spans="1:14" ht="12.75" customHeight="1" x14ac:dyDescent="0.2">
      <c r="A859" s="400" t="s">
        <v>1009</v>
      </c>
      <c r="B859" s="271"/>
      <c r="C859" s="271"/>
      <c r="D859" s="271"/>
      <c r="E859" s="271"/>
      <c r="F859" s="271"/>
      <c r="G859" s="273"/>
      <c r="H859" s="29" t="str">
        <f>IF(A859="","",VLOOKUP(A859,AA_Equipos,7,FALSE))</f>
        <v>Hora</v>
      </c>
      <c r="I859" s="394">
        <f>IF(A859="","",VLOOKUP(A859,AA_Equipos,8,FALSE))</f>
        <v>7386.61</v>
      </c>
      <c r="J859" s="273"/>
      <c r="K859" s="401">
        <v>0.05</v>
      </c>
      <c r="L859" s="273"/>
      <c r="M859" s="394">
        <f t="shared" si="102"/>
        <v>369.33050000000003</v>
      </c>
      <c r="N859" s="273"/>
    </row>
    <row r="860" spans="1:14" ht="12.75" customHeight="1" x14ac:dyDescent="0.2">
      <c r="A860" s="400"/>
      <c r="B860" s="271"/>
      <c r="C860" s="271"/>
      <c r="D860" s="271"/>
      <c r="E860" s="271"/>
      <c r="F860" s="271"/>
      <c r="G860" s="273"/>
      <c r="H860" s="29" t="str">
        <f>IF(A860="","",VLOOKUP(A860,AA_Equipos,7,FALSE))</f>
        <v/>
      </c>
      <c r="I860" s="394" t="str">
        <f>IF(A860="","",VLOOKUP(A860,AA_Equipos,8,FALSE))</f>
        <v/>
      </c>
      <c r="J860" s="273"/>
      <c r="K860" s="395"/>
      <c r="L860" s="273"/>
      <c r="M860" s="394" t="str">
        <f t="shared" si="102"/>
        <v/>
      </c>
      <c r="N860" s="273"/>
    </row>
    <row r="861" spans="1:14" ht="12.75" customHeight="1" x14ac:dyDescent="0.2">
      <c r="A861" s="400"/>
      <c r="B861" s="271"/>
      <c r="C861" s="271"/>
      <c r="D861" s="271"/>
      <c r="E861" s="271"/>
      <c r="F861" s="271"/>
      <c r="G861" s="273"/>
      <c r="H861" s="29" t="str">
        <f>IF(A861="","",VLOOKUP(A861,AA_Equipos,7,FALSE))</f>
        <v/>
      </c>
      <c r="I861" s="394" t="str">
        <f>IF(A861="","",VLOOKUP(A861,AA_Equipos,8,FALSE))</f>
        <v/>
      </c>
      <c r="J861" s="273"/>
      <c r="K861" s="395"/>
      <c r="L861" s="273"/>
      <c r="M861" s="394" t="str">
        <f t="shared" si="102"/>
        <v/>
      </c>
      <c r="N861" s="273"/>
    </row>
    <row r="862" spans="1:14" ht="12.75" customHeight="1" x14ac:dyDescent="0.25">
      <c r="A862" s="4"/>
      <c r="B862" s="4"/>
      <c r="C862" s="4"/>
      <c r="D862" s="4"/>
      <c r="E862" s="4"/>
      <c r="F862" s="4"/>
      <c r="G862" s="4"/>
      <c r="H862" s="4"/>
      <c r="I862" s="4"/>
      <c r="J862" s="4"/>
      <c r="K862" s="396" t="s">
        <v>444</v>
      </c>
      <c r="L862" s="273"/>
      <c r="M862" s="394">
        <f>SUM(M857:N861)</f>
        <v>2242.9672224066389</v>
      </c>
      <c r="N862" s="273"/>
    </row>
    <row r="863" spans="1:14" ht="12.75" customHeight="1" x14ac:dyDescent="0.25">
      <c r="A863" s="4"/>
      <c r="B863" s="4"/>
      <c r="C863" s="4"/>
      <c r="D863" s="4"/>
      <c r="E863" s="4"/>
      <c r="F863" s="4"/>
      <c r="G863" s="4"/>
      <c r="H863" s="4"/>
      <c r="I863" s="4"/>
      <c r="J863" s="4"/>
      <c r="K863" s="4"/>
      <c r="L863" s="4"/>
      <c r="M863" s="4"/>
      <c r="N863" s="4"/>
    </row>
    <row r="864" spans="1:14" ht="12.75" customHeight="1" x14ac:dyDescent="0.2">
      <c r="A864" s="398" t="s">
        <v>929</v>
      </c>
      <c r="B864" s="271"/>
      <c r="C864" s="271"/>
      <c r="D864" s="271"/>
      <c r="E864" s="271"/>
      <c r="F864" s="271"/>
      <c r="G864" s="271"/>
      <c r="H864" s="271"/>
      <c r="I864" s="271"/>
      <c r="J864" s="271"/>
      <c r="K864" s="271"/>
      <c r="L864" s="271"/>
      <c r="M864" s="271"/>
      <c r="N864" s="273"/>
    </row>
    <row r="865" spans="1:14" ht="12.75" customHeight="1" x14ac:dyDescent="0.2">
      <c r="A865" s="396" t="s">
        <v>76</v>
      </c>
      <c r="B865" s="271"/>
      <c r="C865" s="271"/>
      <c r="D865" s="271"/>
      <c r="E865" s="271"/>
      <c r="F865" s="271"/>
      <c r="G865" s="273"/>
      <c r="H865" s="88" t="s">
        <v>77</v>
      </c>
      <c r="I865" s="399" t="s">
        <v>920</v>
      </c>
      <c r="J865" s="273"/>
      <c r="K865" s="399" t="s">
        <v>453</v>
      </c>
      <c r="L865" s="273"/>
      <c r="M865" s="399" t="s">
        <v>921</v>
      </c>
      <c r="N865" s="273"/>
    </row>
    <row r="866" spans="1:14" ht="12.75" customHeight="1" x14ac:dyDescent="0.2">
      <c r="A866" s="400" t="s">
        <v>949</v>
      </c>
      <c r="B866" s="271"/>
      <c r="C866" s="271"/>
      <c r="D866" s="271"/>
      <c r="E866" s="271"/>
      <c r="F866" s="271"/>
      <c r="G866" s="273"/>
      <c r="H866" s="29" t="s">
        <v>950</v>
      </c>
      <c r="I866" s="394">
        <f>+M853</f>
        <v>11192.549400000002</v>
      </c>
      <c r="J866" s="273"/>
      <c r="K866" s="404">
        <v>0.05</v>
      </c>
      <c r="L866" s="273"/>
      <c r="M866" s="394">
        <f t="shared" ref="M866:M870" si="103">IF(A866="","",I866*K866)</f>
        <v>559.62747000000013</v>
      </c>
      <c r="N866" s="273"/>
    </row>
    <row r="867" spans="1:14" ht="12.75" customHeight="1" x14ac:dyDescent="0.2">
      <c r="A867" s="403"/>
      <c r="B867" s="271"/>
      <c r="C867" s="271"/>
      <c r="D867" s="271"/>
      <c r="E867" s="271"/>
      <c r="F867" s="271"/>
      <c r="G867" s="273"/>
      <c r="H867" s="29"/>
      <c r="I867" s="394"/>
      <c r="J867" s="273"/>
      <c r="K867" s="404"/>
      <c r="L867" s="273"/>
      <c r="M867" s="394" t="str">
        <f t="shared" si="103"/>
        <v/>
      </c>
      <c r="N867" s="273"/>
    </row>
    <row r="868" spans="1:14" ht="12.75" customHeight="1" x14ac:dyDescent="0.2">
      <c r="A868" s="400"/>
      <c r="B868" s="271"/>
      <c r="C868" s="271"/>
      <c r="D868" s="271"/>
      <c r="E868" s="271"/>
      <c r="F868" s="271"/>
      <c r="G868" s="273"/>
      <c r="H868" s="29"/>
      <c r="I868" s="394"/>
      <c r="J868" s="273"/>
      <c r="K868" s="395"/>
      <c r="L868" s="273"/>
      <c r="M868" s="394" t="str">
        <f t="shared" si="103"/>
        <v/>
      </c>
      <c r="N868" s="273"/>
    </row>
    <row r="869" spans="1:14" ht="12.75" customHeight="1" x14ac:dyDescent="0.2">
      <c r="A869" s="400"/>
      <c r="B869" s="271"/>
      <c r="C869" s="271"/>
      <c r="D869" s="271"/>
      <c r="E869" s="271"/>
      <c r="F869" s="271"/>
      <c r="G869" s="273"/>
      <c r="H869" s="29"/>
      <c r="I869" s="394"/>
      <c r="J869" s="273"/>
      <c r="K869" s="395"/>
      <c r="L869" s="273"/>
      <c r="M869" s="394" t="str">
        <f t="shared" si="103"/>
        <v/>
      </c>
      <c r="N869" s="273"/>
    </row>
    <row r="870" spans="1:14" ht="12.75" customHeight="1" x14ac:dyDescent="0.2">
      <c r="A870" s="400"/>
      <c r="B870" s="271"/>
      <c r="C870" s="271"/>
      <c r="D870" s="271"/>
      <c r="E870" s="271"/>
      <c r="F870" s="271"/>
      <c r="G870" s="273"/>
      <c r="H870" s="29"/>
      <c r="I870" s="394"/>
      <c r="J870" s="273"/>
      <c r="K870" s="395"/>
      <c r="L870" s="273"/>
      <c r="M870" s="394" t="str">
        <f t="shared" si="103"/>
        <v/>
      </c>
      <c r="N870" s="273"/>
    </row>
    <row r="871" spans="1:14" ht="12.75" customHeight="1" x14ac:dyDescent="0.25">
      <c r="A871" s="4"/>
      <c r="B871" s="4"/>
      <c r="C871" s="4"/>
      <c r="D871" s="4"/>
      <c r="E871" s="4"/>
      <c r="F871" s="4"/>
      <c r="G871" s="4"/>
      <c r="H871" s="4"/>
      <c r="I871" s="4"/>
      <c r="J871" s="4"/>
      <c r="K871" s="396" t="s">
        <v>444</v>
      </c>
      <c r="L871" s="273"/>
      <c r="M871" s="394">
        <f>SUM(M866:N870)</f>
        <v>559.62747000000013</v>
      </c>
      <c r="N871" s="273"/>
    </row>
    <row r="872" spans="1:14" ht="12.75" customHeight="1" x14ac:dyDescent="0.25">
      <c r="A872" s="4"/>
      <c r="B872" s="4"/>
      <c r="C872" s="4"/>
      <c r="D872" s="4"/>
      <c r="E872" s="4"/>
      <c r="F872" s="4"/>
      <c r="G872" s="4"/>
      <c r="H872" s="4"/>
      <c r="I872" s="4"/>
      <c r="J872" s="4"/>
      <c r="K872" s="4"/>
      <c r="L872" s="4"/>
      <c r="M872" s="4"/>
      <c r="N872" s="4"/>
    </row>
    <row r="873" spans="1:14" ht="12.75" customHeight="1" x14ac:dyDescent="0.2">
      <c r="A873" s="398" t="s">
        <v>931</v>
      </c>
      <c r="B873" s="271"/>
      <c r="C873" s="271"/>
      <c r="D873" s="271"/>
      <c r="E873" s="271"/>
      <c r="F873" s="271"/>
      <c r="G873" s="271"/>
      <c r="H873" s="271"/>
      <c r="I873" s="271"/>
      <c r="J873" s="271"/>
      <c r="K873" s="271"/>
      <c r="L873" s="271"/>
      <c r="M873" s="271"/>
      <c r="N873" s="273"/>
    </row>
    <row r="874" spans="1:14" ht="12.75" customHeight="1" x14ac:dyDescent="0.2">
      <c r="A874" s="396" t="s">
        <v>76</v>
      </c>
      <c r="B874" s="271"/>
      <c r="C874" s="271"/>
      <c r="D874" s="271"/>
      <c r="E874" s="271"/>
      <c r="F874" s="271"/>
      <c r="G874" s="273"/>
      <c r="H874" s="88" t="s">
        <v>77</v>
      </c>
      <c r="I874" s="399" t="s">
        <v>920</v>
      </c>
      <c r="J874" s="273"/>
      <c r="K874" s="90" t="s">
        <v>514</v>
      </c>
      <c r="L874" s="91" t="s">
        <v>932</v>
      </c>
      <c r="M874" s="399" t="s">
        <v>921</v>
      </c>
      <c r="N874" s="273"/>
    </row>
    <row r="875" spans="1:14" ht="12.75" customHeight="1" x14ac:dyDescent="0.25">
      <c r="A875" s="393" t="s">
        <v>951</v>
      </c>
      <c r="B875" s="271"/>
      <c r="C875" s="271"/>
      <c r="D875" s="271"/>
      <c r="E875" s="271"/>
      <c r="F875" s="271"/>
      <c r="G875" s="273"/>
      <c r="H875" s="29" t="str">
        <f>IF(A875="","",VLOOKUP(A875,AA_Cuadrillas,4,FALSE))</f>
        <v>Cuadrilla</v>
      </c>
      <c r="I875" s="394">
        <f>IF(A875="","",VLOOKUP(A875,AA_Cuadrillas,5,FALSE))</f>
        <v>186763</v>
      </c>
      <c r="J875" s="273"/>
      <c r="K875" s="9">
        <f>IF(A875="","",F.P!$I$2)</f>
        <v>1.88</v>
      </c>
      <c r="L875" s="9">
        <v>0.05</v>
      </c>
      <c r="M875" s="394">
        <f t="shared" ref="M875:M879" si="104">IF(A875="","",I875*K875*L875)</f>
        <v>17555.722000000002</v>
      </c>
      <c r="N875" s="273"/>
    </row>
    <row r="876" spans="1:14" ht="12.75" customHeight="1" x14ac:dyDescent="0.25">
      <c r="A876" s="393"/>
      <c r="B876" s="271"/>
      <c r="C876" s="271"/>
      <c r="D876" s="271"/>
      <c r="E876" s="271"/>
      <c r="F876" s="271"/>
      <c r="G876" s="273"/>
      <c r="H876" s="29" t="str">
        <f>IF(A876="","",VLOOKUP(A876,AA_Cuadrillas,4,FALSE))</f>
        <v/>
      </c>
      <c r="I876" s="394" t="str">
        <f>IF(A876="","",VLOOKUP(A876,AA_Cuadrillas,5,FALSE))</f>
        <v/>
      </c>
      <c r="J876" s="273"/>
      <c r="K876" s="9" t="str">
        <f>IF(A876="","",F.P!$I$2)</f>
        <v/>
      </c>
      <c r="L876" s="9"/>
      <c r="M876" s="394" t="str">
        <f t="shared" si="104"/>
        <v/>
      </c>
      <c r="N876" s="273"/>
    </row>
    <row r="877" spans="1:14" ht="12.75" customHeight="1" x14ac:dyDescent="0.25">
      <c r="A877" s="393"/>
      <c r="B877" s="271"/>
      <c r="C877" s="271"/>
      <c r="D877" s="271"/>
      <c r="E877" s="271"/>
      <c r="F877" s="271"/>
      <c r="G877" s="273"/>
      <c r="H877" s="29" t="str">
        <f>IF(A877="","",VLOOKUP(A877,AA_Cuadrillas,4,FALSE))</f>
        <v/>
      </c>
      <c r="I877" s="394" t="str">
        <f>IF(A877="","",VLOOKUP(A877,AA_Cuadrillas,5,FALSE))</f>
        <v/>
      </c>
      <c r="J877" s="273"/>
      <c r="K877" s="9" t="str">
        <f>IF(A877="","",F.P!$I$2)</f>
        <v/>
      </c>
      <c r="L877" s="37"/>
      <c r="M877" s="394" t="str">
        <f t="shared" si="104"/>
        <v/>
      </c>
      <c r="N877" s="273"/>
    </row>
    <row r="878" spans="1:14" ht="12.75" customHeight="1" x14ac:dyDescent="0.25">
      <c r="A878" s="393"/>
      <c r="B878" s="271"/>
      <c r="C878" s="271"/>
      <c r="D878" s="271"/>
      <c r="E878" s="271"/>
      <c r="F878" s="271"/>
      <c r="G878" s="273"/>
      <c r="H878" s="29" t="str">
        <f>IF(A878="","",VLOOKUP(A878,AA_Cuadrillas,4,FALSE))</f>
        <v/>
      </c>
      <c r="I878" s="394" t="str">
        <f>IF(A878="","",VLOOKUP(A878,AA_Cuadrillas,5,FALSE))</f>
        <v/>
      </c>
      <c r="J878" s="273"/>
      <c r="K878" s="9" t="str">
        <f>IF(A878="","",F.P!$I$2)</f>
        <v/>
      </c>
      <c r="L878" s="37"/>
      <c r="M878" s="394" t="str">
        <f t="shared" si="104"/>
        <v/>
      </c>
      <c r="N878" s="273"/>
    </row>
    <row r="879" spans="1:14" ht="12.75" customHeight="1" x14ac:dyDescent="0.25">
      <c r="A879" s="393"/>
      <c r="B879" s="271"/>
      <c r="C879" s="271"/>
      <c r="D879" s="271"/>
      <c r="E879" s="271"/>
      <c r="F879" s="271"/>
      <c r="G879" s="273"/>
      <c r="H879" s="29" t="str">
        <f>IF(A879="","",VLOOKUP(A879,AA_Cuadrillas,4,FALSE))</f>
        <v/>
      </c>
      <c r="I879" s="394" t="str">
        <f>IF(A879="","",VLOOKUP(A879,AA_Cuadrillas,5,FALSE))</f>
        <v/>
      </c>
      <c r="J879" s="273"/>
      <c r="K879" s="9" t="str">
        <f>IF(A879="","",F.P!$I$2)</f>
        <v/>
      </c>
      <c r="L879" s="37"/>
      <c r="M879" s="394" t="str">
        <f t="shared" si="104"/>
        <v/>
      </c>
      <c r="N879" s="273"/>
    </row>
    <row r="880" spans="1:14" ht="12.75" customHeight="1" x14ac:dyDescent="0.25">
      <c r="A880" s="4"/>
      <c r="B880" s="4"/>
      <c r="C880" s="4"/>
      <c r="D880" s="4"/>
      <c r="E880" s="4"/>
      <c r="F880" s="4"/>
      <c r="G880" s="4"/>
      <c r="H880" s="4"/>
      <c r="I880" s="4"/>
      <c r="J880" s="4"/>
      <c r="K880" s="396" t="s">
        <v>444</v>
      </c>
      <c r="L880" s="273"/>
      <c r="M880" s="394">
        <f>SUM(M875:N879)</f>
        <v>17555.722000000002</v>
      </c>
      <c r="N880" s="273"/>
    </row>
    <row r="881" spans="1:15" ht="12.75" customHeight="1" x14ac:dyDescent="0.2"/>
    <row r="882" spans="1:15" ht="12.75" customHeight="1" x14ac:dyDescent="0.2">
      <c r="A882" s="397" t="s">
        <v>92</v>
      </c>
      <c r="B882" s="275"/>
      <c r="C882" s="275"/>
      <c r="D882" s="275"/>
      <c r="E882" s="275"/>
      <c r="F882" s="275"/>
      <c r="G882" s="275"/>
      <c r="H882" s="275"/>
      <c r="I882" s="275"/>
      <c r="J882" s="275"/>
      <c r="K882" s="275"/>
      <c r="L882" s="275"/>
      <c r="M882" s="275"/>
      <c r="N882" s="276"/>
      <c r="O882" s="166"/>
    </row>
    <row r="883" spans="1:15" ht="12.75" customHeight="1" x14ac:dyDescent="0.2">
      <c r="A883" s="277"/>
      <c r="B883" s="278"/>
      <c r="C883" s="278"/>
      <c r="D883" s="278"/>
      <c r="E883" s="278"/>
      <c r="F883" s="278"/>
      <c r="G883" s="278"/>
      <c r="H883" s="278"/>
      <c r="I883" s="278"/>
      <c r="J883" s="278"/>
      <c r="K883" s="278"/>
      <c r="L883" s="278"/>
      <c r="M883" s="278"/>
      <c r="N883" s="279"/>
      <c r="O883" s="166"/>
    </row>
    <row r="884" spans="1:15" ht="12.75" customHeight="1" x14ac:dyDescent="0.2">
      <c r="A884" s="75"/>
      <c r="B884" s="75"/>
      <c r="C884" s="75"/>
      <c r="D884" s="75"/>
      <c r="E884" s="75"/>
      <c r="F884" s="75"/>
      <c r="G884" s="75"/>
      <c r="H884" s="75"/>
      <c r="I884" s="75"/>
      <c r="J884" s="75"/>
      <c r="K884" s="75"/>
      <c r="L884" s="75"/>
      <c r="M884" s="75"/>
      <c r="N884" s="75"/>
    </row>
    <row r="885" spans="1:15" ht="12.75" customHeight="1" x14ac:dyDescent="0.3">
      <c r="A885" s="79" t="s">
        <v>633</v>
      </c>
      <c r="B885" s="80" t="str">
        <f>A882</f>
        <v>RELLENO TIPO II: CON RECEBO SELECCIONADO, COMPACTADO EN CAPAS DE 20 CM, PROCTOR MODIFICADO 95%, A TODO FACTOR (INCLUYE RECEBO, EQUIPOS, HERRAMIENTAS, TRANSPORTE Y MANO DE OBRA)</v>
      </c>
      <c r="C885" s="81" t="s">
        <v>916</v>
      </c>
      <c r="D885" s="82" t="s">
        <v>258</v>
      </c>
      <c r="E885" s="83" t="s">
        <v>445</v>
      </c>
      <c r="F885" s="234">
        <f>(H885+J885+L885+N885)*1.3</f>
        <v>229192.31748567708</v>
      </c>
      <c r="G885" s="83" t="s">
        <v>607</v>
      </c>
      <c r="H885" s="86">
        <f>M904</f>
        <v>3164.4256</v>
      </c>
      <c r="I885" s="83" t="s">
        <v>918</v>
      </c>
      <c r="J885" s="86">
        <f>M895</f>
        <v>62416.6875</v>
      </c>
      <c r="K885" s="83" t="s">
        <v>609</v>
      </c>
      <c r="L885" s="86">
        <f>M913</f>
        <v>101942.82424795673</v>
      </c>
      <c r="M885" s="83" t="s">
        <v>610</v>
      </c>
      <c r="N885" s="86">
        <f>M922</f>
        <v>8777.8453333333327</v>
      </c>
    </row>
    <row r="886" spans="1:15" ht="12.75" customHeight="1" x14ac:dyDescent="0.25">
      <c r="A886" s="87"/>
      <c r="B886" s="87"/>
      <c r="C886" s="87"/>
      <c r="D886" s="87"/>
      <c r="E886" s="87"/>
      <c r="F886" s="87"/>
      <c r="G886" s="87"/>
      <c r="J886" s="87"/>
      <c r="K886" s="215" t="s">
        <v>3217</v>
      </c>
      <c r="L886" s="215">
        <f>+F885*presup!$O$5</f>
        <v>297950.01273138024</v>
      </c>
      <c r="M886" s="87"/>
      <c r="N886" s="87"/>
    </row>
    <row r="887" spans="1:15" ht="12.75" customHeight="1" x14ac:dyDescent="0.2">
      <c r="A887" s="398" t="s">
        <v>919</v>
      </c>
      <c r="B887" s="271"/>
      <c r="C887" s="271"/>
      <c r="D887" s="271"/>
      <c r="E887" s="271"/>
      <c r="F887" s="271"/>
      <c r="G887" s="271"/>
      <c r="H887" s="271"/>
      <c r="I887" s="271"/>
      <c r="J887" s="271"/>
      <c r="K887" s="271"/>
      <c r="L887" s="271"/>
      <c r="M887" s="271"/>
      <c r="N887" s="273"/>
    </row>
    <row r="888" spans="1:15" ht="12.75" customHeight="1" x14ac:dyDescent="0.2">
      <c r="A888" s="396" t="s">
        <v>76</v>
      </c>
      <c r="B888" s="271"/>
      <c r="C888" s="271"/>
      <c r="D888" s="271"/>
      <c r="E888" s="271"/>
      <c r="F888" s="271"/>
      <c r="G888" s="273"/>
      <c r="H888" s="88" t="s">
        <v>77</v>
      </c>
      <c r="I888" s="399" t="s">
        <v>920</v>
      </c>
      <c r="J888" s="273"/>
      <c r="K888" s="399" t="s">
        <v>453</v>
      </c>
      <c r="L888" s="273"/>
      <c r="M888" s="399" t="s">
        <v>921</v>
      </c>
      <c r="N888" s="273"/>
    </row>
    <row r="889" spans="1:15" ht="12.75" customHeight="1" x14ac:dyDescent="0.2">
      <c r="A889" s="400" t="s">
        <v>1010</v>
      </c>
      <c r="B889" s="271"/>
      <c r="C889" s="271"/>
      <c r="D889" s="271"/>
      <c r="E889" s="271"/>
      <c r="F889" s="271"/>
      <c r="G889" s="273"/>
      <c r="H889" s="29" t="str">
        <f t="shared" ref="H889:H894" si="105">IF(A889="","",VLOOKUP(A889,AA_Materiales,7,FALSE))</f>
        <v>m3</v>
      </c>
      <c r="I889" s="394">
        <f t="shared" ref="I889:I894" si="106">IF(A889="","",VLOOKUP(A889,AA_Materiales,8,FALSE))</f>
        <v>49933.35</v>
      </c>
      <c r="J889" s="273"/>
      <c r="K889" s="395">
        <f>1+Indice!$L$15</f>
        <v>1.25</v>
      </c>
      <c r="L889" s="273"/>
      <c r="M889" s="394">
        <f t="shared" ref="M889:M894" si="107">IF(A889="","",I889*K889)</f>
        <v>62416.6875</v>
      </c>
      <c r="N889" s="273"/>
    </row>
    <row r="890" spans="1:15" ht="12.75" customHeight="1" x14ac:dyDescent="0.2">
      <c r="A890" s="400"/>
      <c r="B890" s="271"/>
      <c r="C890" s="271"/>
      <c r="D890" s="271"/>
      <c r="E890" s="271"/>
      <c r="F890" s="271"/>
      <c r="G890" s="273"/>
      <c r="H890" s="29" t="str">
        <f t="shared" si="105"/>
        <v/>
      </c>
      <c r="I890" s="394" t="str">
        <f t="shared" si="106"/>
        <v/>
      </c>
      <c r="J890" s="273"/>
      <c r="K890" s="395"/>
      <c r="L890" s="273"/>
      <c r="M890" s="394" t="str">
        <f t="shared" si="107"/>
        <v/>
      </c>
      <c r="N890" s="273"/>
    </row>
    <row r="891" spans="1:15" ht="12.75" customHeight="1" x14ac:dyDescent="0.2">
      <c r="A891" s="400"/>
      <c r="B891" s="271"/>
      <c r="C891" s="271"/>
      <c r="D891" s="271"/>
      <c r="E891" s="271"/>
      <c r="F891" s="271"/>
      <c r="G891" s="273"/>
      <c r="H891" s="29" t="str">
        <f t="shared" si="105"/>
        <v/>
      </c>
      <c r="I891" s="394" t="str">
        <f t="shared" si="106"/>
        <v/>
      </c>
      <c r="J891" s="273"/>
      <c r="K891" s="395"/>
      <c r="L891" s="273"/>
      <c r="M891" s="394" t="str">
        <f t="shared" si="107"/>
        <v/>
      </c>
      <c r="N891" s="273"/>
    </row>
    <row r="892" spans="1:15" ht="12.75" customHeight="1" x14ac:dyDescent="0.2">
      <c r="A892" s="400"/>
      <c r="B892" s="271"/>
      <c r="C892" s="271"/>
      <c r="D892" s="271"/>
      <c r="E892" s="271"/>
      <c r="F892" s="271"/>
      <c r="G892" s="273"/>
      <c r="H892" s="29" t="str">
        <f t="shared" si="105"/>
        <v/>
      </c>
      <c r="I892" s="394" t="str">
        <f t="shared" si="106"/>
        <v/>
      </c>
      <c r="J892" s="273"/>
      <c r="K892" s="395"/>
      <c r="L892" s="273"/>
      <c r="M892" s="394" t="str">
        <f t="shared" si="107"/>
        <v/>
      </c>
      <c r="N892" s="273"/>
    </row>
    <row r="893" spans="1:15" ht="12.75" customHeight="1" x14ac:dyDescent="0.2">
      <c r="A893" s="400"/>
      <c r="B893" s="271"/>
      <c r="C893" s="271"/>
      <c r="D893" s="271"/>
      <c r="E893" s="271"/>
      <c r="F893" s="271"/>
      <c r="G893" s="273"/>
      <c r="H893" s="29" t="str">
        <f t="shared" si="105"/>
        <v/>
      </c>
      <c r="I893" s="394" t="str">
        <f t="shared" si="106"/>
        <v/>
      </c>
      <c r="J893" s="273"/>
      <c r="K893" s="395"/>
      <c r="L893" s="273"/>
      <c r="M893" s="394" t="str">
        <f t="shared" si="107"/>
        <v/>
      </c>
      <c r="N893" s="273"/>
    </row>
    <row r="894" spans="1:15" ht="12.75" customHeight="1" x14ac:dyDescent="0.2">
      <c r="A894" s="400"/>
      <c r="B894" s="271"/>
      <c r="C894" s="271"/>
      <c r="D894" s="271"/>
      <c r="E894" s="271"/>
      <c r="F894" s="271"/>
      <c r="G894" s="273"/>
      <c r="H894" s="29" t="str">
        <f t="shared" si="105"/>
        <v/>
      </c>
      <c r="I894" s="394" t="str">
        <f t="shared" si="106"/>
        <v/>
      </c>
      <c r="J894" s="273"/>
      <c r="K894" s="395"/>
      <c r="L894" s="273"/>
      <c r="M894" s="394" t="str">
        <f t="shared" si="107"/>
        <v/>
      </c>
      <c r="N894" s="273"/>
    </row>
    <row r="895" spans="1:15" ht="12.75" customHeight="1" x14ac:dyDescent="0.25">
      <c r="A895" s="4"/>
      <c r="B895" s="4"/>
      <c r="C895" s="4"/>
      <c r="D895" s="4"/>
      <c r="E895" s="4"/>
      <c r="F895" s="4"/>
      <c r="G895" s="4"/>
      <c r="H895" s="4"/>
      <c r="I895" s="4"/>
      <c r="J895" s="4"/>
      <c r="K895" s="396" t="s">
        <v>444</v>
      </c>
      <c r="L895" s="273"/>
      <c r="M895" s="394">
        <f>SUM(M889:N894)</f>
        <v>62416.6875</v>
      </c>
      <c r="N895" s="273"/>
    </row>
    <row r="896" spans="1:15" ht="12.75" customHeight="1" x14ac:dyDescent="0.25">
      <c r="A896" s="4"/>
      <c r="B896" s="4"/>
      <c r="C896" s="4"/>
      <c r="D896" s="4"/>
      <c r="E896" s="4"/>
      <c r="F896" s="4"/>
      <c r="G896" s="4"/>
      <c r="H896" s="4"/>
      <c r="I896" s="4"/>
      <c r="J896" s="4"/>
      <c r="K896" s="4"/>
      <c r="L896" s="4"/>
      <c r="M896" s="4"/>
      <c r="N896" s="4"/>
    </row>
    <row r="897" spans="1:14" ht="12.75" customHeight="1" x14ac:dyDescent="0.2">
      <c r="A897" s="398" t="s">
        <v>926</v>
      </c>
      <c r="B897" s="271"/>
      <c r="C897" s="271"/>
      <c r="D897" s="271"/>
      <c r="E897" s="271"/>
      <c r="F897" s="271"/>
      <c r="G897" s="271"/>
      <c r="H897" s="271"/>
      <c r="I897" s="271"/>
      <c r="J897" s="271"/>
      <c r="K897" s="271"/>
      <c r="L897" s="271"/>
      <c r="M897" s="271"/>
      <c r="N897" s="273"/>
    </row>
    <row r="898" spans="1:14" ht="12.75" customHeight="1" x14ac:dyDescent="0.2">
      <c r="A898" s="396" t="s">
        <v>76</v>
      </c>
      <c r="B898" s="271"/>
      <c r="C898" s="271"/>
      <c r="D898" s="271"/>
      <c r="E898" s="271"/>
      <c r="F898" s="271"/>
      <c r="G898" s="273"/>
      <c r="H898" s="88" t="s">
        <v>77</v>
      </c>
      <c r="I898" s="399" t="s">
        <v>920</v>
      </c>
      <c r="J898" s="273"/>
      <c r="K898" s="399" t="s">
        <v>453</v>
      </c>
      <c r="L898" s="273"/>
      <c r="M898" s="399" t="s">
        <v>921</v>
      </c>
      <c r="N898" s="273"/>
    </row>
    <row r="899" spans="1:14" ht="12.75" customHeight="1" x14ac:dyDescent="0.2">
      <c r="A899" s="400" t="s">
        <v>927</v>
      </c>
      <c r="B899" s="271"/>
      <c r="C899" s="271"/>
      <c r="D899" s="271"/>
      <c r="E899" s="271"/>
      <c r="F899" s="271"/>
      <c r="G899" s="273"/>
      <c r="H899" s="29" t="str">
        <f>IF(A899="","",VLOOKUP(A899,AA_Equipos,7,FALSE))</f>
        <v>% M.O.</v>
      </c>
      <c r="I899" s="394">
        <f>M922</f>
        <v>8777.8453333333327</v>
      </c>
      <c r="J899" s="273"/>
      <c r="K899" s="404">
        <v>0.05</v>
      </c>
      <c r="L899" s="273"/>
      <c r="M899" s="394">
        <f t="shared" ref="M899:M903" si="108">IF(A899="","",I899*K899)</f>
        <v>438.89226666666667</v>
      </c>
      <c r="N899" s="273"/>
    </row>
    <row r="900" spans="1:14" ht="12.75" customHeight="1" x14ac:dyDescent="0.2">
      <c r="A900" s="403" t="s">
        <v>952</v>
      </c>
      <c r="B900" s="271"/>
      <c r="C900" s="271"/>
      <c r="D900" s="271"/>
      <c r="E900" s="271"/>
      <c r="F900" s="271"/>
      <c r="G900" s="273"/>
      <c r="H900" s="29" t="str">
        <f>IF(A900="","",VLOOKUP(A900,AA_Equipos,7,FALSE))</f>
        <v>Dia</v>
      </c>
      <c r="I900" s="394">
        <f>IF(A900="","",VLOOKUP(A900,AA_Equipos,8,FALSE))</f>
        <v>81766</v>
      </c>
      <c r="J900" s="273"/>
      <c r="K900" s="402">
        <f>1/30</f>
        <v>3.3333333333333333E-2</v>
      </c>
      <c r="L900" s="273"/>
      <c r="M900" s="394">
        <f t="shared" si="108"/>
        <v>2725.5333333333333</v>
      </c>
      <c r="N900" s="273"/>
    </row>
    <row r="901" spans="1:14" ht="12.75" customHeight="1" x14ac:dyDescent="0.2">
      <c r="A901" s="400"/>
      <c r="B901" s="271"/>
      <c r="C901" s="271"/>
      <c r="D901" s="271"/>
      <c r="E901" s="271"/>
      <c r="F901" s="271"/>
      <c r="G901" s="273"/>
      <c r="H901" s="29" t="str">
        <f>IF(A901="","",VLOOKUP(A901,AA_Equipos,7,FALSE))</f>
        <v/>
      </c>
      <c r="I901" s="394" t="str">
        <f>IF(A901="","",VLOOKUP(A901,AA_Equipos,8,FALSE))</f>
        <v/>
      </c>
      <c r="J901" s="273"/>
      <c r="K901" s="401"/>
      <c r="L901" s="273"/>
      <c r="M901" s="394" t="str">
        <f t="shared" si="108"/>
        <v/>
      </c>
      <c r="N901" s="273"/>
    </row>
    <row r="902" spans="1:14" ht="12.75" customHeight="1" x14ac:dyDescent="0.2">
      <c r="A902" s="400"/>
      <c r="B902" s="271"/>
      <c r="C902" s="271"/>
      <c r="D902" s="271"/>
      <c r="E902" s="271"/>
      <c r="F902" s="271"/>
      <c r="G902" s="273"/>
      <c r="H902" s="29" t="str">
        <f>IF(A902="","",VLOOKUP(A902,AA_Equipos,7,FALSE))</f>
        <v/>
      </c>
      <c r="I902" s="394" t="str">
        <f>IF(A902="","",VLOOKUP(A902,AA_Equipos,8,FALSE))</f>
        <v/>
      </c>
      <c r="J902" s="273"/>
      <c r="K902" s="395"/>
      <c r="L902" s="273"/>
      <c r="M902" s="394" t="str">
        <f t="shared" si="108"/>
        <v/>
      </c>
      <c r="N902" s="273"/>
    </row>
    <row r="903" spans="1:14" ht="12.75" customHeight="1" x14ac:dyDescent="0.2">
      <c r="A903" s="400"/>
      <c r="B903" s="271"/>
      <c r="C903" s="271"/>
      <c r="D903" s="271"/>
      <c r="E903" s="271"/>
      <c r="F903" s="271"/>
      <c r="G903" s="273"/>
      <c r="H903" s="29" t="str">
        <f>IF(A903="","",VLOOKUP(A903,AA_Equipos,7,FALSE))</f>
        <v/>
      </c>
      <c r="I903" s="394" t="str">
        <f>IF(A903="","",VLOOKUP(A903,AA_Equipos,8,FALSE))</f>
        <v/>
      </c>
      <c r="J903" s="273"/>
      <c r="K903" s="395"/>
      <c r="L903" s="273"/>
      <c r="M903" s="394" t="str">
        <f t="shared" si="108"/>
        <v/>
      </c>
      <c r="N903" s="273"/>
    </row>
    <row r="904" spans="1:14" ht="12.75" customHeight="1" x14ac:dyDescent="0.25">
      <c r="A904" s="4"/>
      <c r="B904" s="4"/>
      <c r="C904" s="4"/>
      <c r="D904" s="4"/>
      <c r="E904" s="4"/>
      <c r="F904" s="4"/>
      <c r="G904" s="4"/>
      <c r="H904" s="4"/>
      <c r="I904" s="4"/>
      <c r="J904" s="4"/>
      <c r="K904" s="396" t="s">
        <v>444</v>
      </c>
      <c r="L904" s="273"/>
      <c r="M904" s="394">
        <f>SUM(M899:N903)</f>
        <v>3164.4256</v>
      </c>
      <c r="N904" s="273"/>
    </row>
    <row r="905" spans="1:14" ht="12.75" customHeight="1" x14ac:dyDescent="0.25">
      <c r="A905" s="4"/>
      <c r="B905" s="4"/>
      <c r="C905" s="4"/>
      <c r="D905" s="4"/>
      <c r="E905" s="4"/>
      <c r="F905" s="4"/>
      <c r="G905" s="4"/>
      <c r="H905" s="4"/>
      <c r="I905" s="4"/>
      <c r="J905" s="4"/>
      <c r="K905" s="4"/>
      <c r="L905" s="4"/>
      <c r="M905" s="4"/>
      <c r="N905" s="4"/>
    </row>
    <row r="906" spans="1:14" ht="12.75" customHeight="1" x14ac:dyDescent="0.2">
      <c r="A906" s="398" t="s">
        <v>929</v>
      </c>
      <c r="B906" s="271"/>
      <c r="C906" s="271"/>
      <c r="D906" s="271"/>
      <c r="E906" s="271"/>
      <c r="F906" s="271"/>
      <c r="G906" s="271"/>
      <c r="H906" s="271"/>
      <c r="I906" s="271"/>
      <c r="J906" s="271"/>
      <c r="K906" s="271"/>
      <c r="L906" s="271"/>
      <c r="M906" s="271"/>
      <c r="N906" s="273"/>
    </row>
    <row r="907" spans="1:14" ht="12.75" customHeight="1" x14ac:dyDescent="0.2">
      <c r="A907" s="396" t="s">
        <v>76</v>
      </c>
      <c r="B907" s="271"/>
      <c r="C907" s="271"/>
      <c r="D907" s="271"/>
      <c r="E907" s="271"/>
      <c r="F907" s="271"/>
      <c r="G907" s="273"/>
      <c r="H907" s="88" t="s">
        <v>77</v>
      </c>
      <c r="I907" s="399" t="s">
        <v>920</v>
      </c>
      <c r="J907" s="273"/>
      <c r="K907" s="399" t="s">
        <v>453</v>
      </c>
      <c r="L907" s="273"/>
      <c r="M907" s="399" t="s">
        <v>921</v>
      </c>
      <c r="N907" s="273"/>
    </row>
    <row r="908" spans="1:14" ht="12.75" customHeight="1" x14ac:dyDescent="0.2">
      <c r="A908" s="400" t="s">
        <v>949</v>
      </c>
      <c r="B908" s="271"/>
      <c r="C908" s="271"/>
      <c r="D908" s="271"/>
      <c r="E908" s="271"/>
      <c r="F908" s="271"/>
      <c r="G908" s="273"/>
      <c r="H908" s="29" t="s">
        <v>1011</v>
      </c>
      <c r="I908" s="394">
        <f>'precios '!$J$222</f>
        <v>2077.2367952644231</v>
      </c>
      <c r="J908" s="273"/>
      <c r="K908" s="395">
        <f>Indice!$L$21</f>
        <v>49</v>
      </c>
      <c r="L908" s="273"/>
      <c r="M908" s="394">
        <f t="shared" ref="M908:M912" si="109">IF(A908="","",I908*K908)</f>
        <v>101784.60296795673</v>
      </c>
      <c r="N908" s="273"/>
    </row>
    <row r="909" spans="1:14" ht="12.75" customHeight="1" x14ac:dyDescent="0.2">
      <c r="A909" s="403" t="s">
        <v>1012</v>
      </c>
      <c r="B909" s="271"/>
      <c r="C909" s="271"/>
      <c r="D909" s="271"/>
      <c r="E909" s="271"/>
      <c r="F909" s="271"/>
      <c r="G909" s="273"/>
      <c r="H909" s="29" t="s">
        <v>944</v>
      </c>
      <c r="I909" s="394">
        <f>+M904</f>
        <v>3164.4256</v>
      </c>
      <c r="J909" s="273"/>
      <c r="K909" s="404">
        <v>0.05</v>
      </c>
      <c r="L909" s="273"/>
      <c r="M909" s="394">
        <f t="shared" si="109"/>
        <v>158.22128000000001</v>
      </c>
      <c r="N909" s="273"/>
    </row>
    <row r="910" spans="1:14" ht="12.75" customHeight="1" x14ac:dyDescent="0.2">
      <c r="A910" s="400"/>
      <c r="B910" s="271"/>
      <c r="C910" s="271"/>
      <c r="D910" s="271"/>
      <c r="E910" s="271"/>
      <c r="F910" s="271"/>
      <c r="G910" s="273"/>
      <c r="H910" s="29"/>
      <c r="I910" s="394"/>
      <c r="J910" s="273"/>
      <c r="K910" s="395"/>
      <c r="L910" s="273"/>
      <c r="M910" s="394" t="str">
        <f t="shared" si="109"/>
        <v/>
      </c>
      <c r="N910" s="273"/>
    </row>
    <row r="911" spans="1:14" ht="12.75" customHeight="1" x14ac:dyDescent="0.2">
      <c r="A911" s="400"/>
      <c r="B911" s="271"/>
      <c r="C911" s="271"/>
      <c r="D911" s="271"/>
      <c r="E911" s="271"/>
      <c r="F911" s="271"/>
      <c r="G911" s="273"/>
      <c r="H911" s="29"/>
      <c r="I911" s="394"/>
      <c r="J911" s="273"/>
      <c r="K911" s="395"/>
      <c r="L911" s="273"/>
      <c r="M911" s="394" t="str">
        <f t="shared" si="109"/>
        <v/>
      </c>
      <c r="N911" s="273"/>
    </row>
    <row r="912" spans="1:14" ht="12.75" customHeight="1" x14ac:dyDescent="0.2">
      <c r="A912" s="400"/>
      <c r="B912" s="271"/>
      <c r="C912" s="271"/>
      <c r="D912" s="271"/>
      <c r="E912" s="271"/>
      <c r="F912" s="271"/>
      <c r="G912" s="273"/>
      <c r="H912" s="29"/>
      <c r="I912" s="394"/>
      <c r="J912" s="273"/>
      <c r="K912" s="395"/>
      <c r="L912" s="273"/>
      <c r="M912" s="394" t="str">
        <f t="shared" si="109"/>
        <v/>
      </c>
      <c r="N912" s="273"/>
    </row>
    <row r="913" spans="1:15" ht="12.75" customHeight="1" x14ac:dyDescent="0.25">
      <c r="A913" s="4"/>
      <c r="B913" s="4"/>
      <c r="C913" s="4"/>
      <c r="D913" s="4"/>
      <c r="E913" s="4"/>
      <c r="F913" s="4"/>
      <c r="G913" s="4"/>
      <c r="H913" s="4"/>
      <c r="I913" s="4"/>
      <c r="J913" s="4"/>
      <c r="K913" s="396" t="s">
        <v>444</v>
      </c>
      <c r="L913" s="273"/>
      <c r="M913" s="394">
        <f>SUM(M908:N912)</f>
        <v>101942.82424795673</v>
      </c>
      <c r="N913" s="273"/>
    </row>
    <row r="914" spans="1:15" ht="12.75" customHeight="1" x14ac:dyDescent="0.25">
      <c r="A914" s="4"/>
      <c r="B914" s="4"/>
      <c r="C914" s="4"/>
      <c r="D914" s="4"/>
      <c r="E914" s="4"/>
      <c r="F914" s="4"/>
      <c r="G914" s="4"/>
      <c r="H914" s="4"/>
      <c r="I914" s="4"/>
      <c r="J914" s="4"/>
      <c r="K914" s="4"/>
      <c r="L914" s="4"/>
      <c r="M914" s="4"/>
      <c r="N914" s="4"/>
    </row>
    <row r="915" spans="1:15" ht="12.75" customHeight="1" x14ac:dyDescent="0.2">
      <c r="A915" s="398" t="s">
        <v>931</v>
      </c>
      <c r="B915" s="271"/>
      <c r="C915" s="271"/>
      <c r="D915" s="271"/>
      <c r="E915" s="271"/>
      <c r="F915" s="271"/>
      <c r="G915" s="271"/>
      <c r="H915" s="271"/>
      <c r="I915" s="271"/>
      <c r="J915" s="271"/>
      <c r="K915" s="271"/>
      <c r="L915" s="271"/>
      <c r="M915" s="271"/>
      <c r="N915" s="273"/>
    </row>
    <row r="916" spans="1:15" ht="12.75" customHeight="1" x14ac:dyDescent="0.2">
      <c r="A916" s="396" t="s">
        <v>76</v>
      </c>
      <c r="B916" s="271"/>
      <c r="C916" s="271"/>
      <c r="D916" s="271"/>
      <c r="E916" s="271"/>
      <c r="F916" s="271"/>
      <c r="G916" s="273"/>
      <c r="H916" s="88" t="s">
        <v>77</v>
      </c>
      <c r="I916" s="399" t="s">
        <v>920</v>
      </c>
      <c r="J916" s="273"/>
      <c r="K916" s="90" t="s">
        <v>514</v>
      </c>
      <c r="L916" s="91" t="s">
        <v>932</v>
      </c>
      <c r="M916" s="399" t="s">
        <v>921</v>
      </c>
      <c r="N916" s="273"/>
    </row>
    <row r="917" spans="1:15" ht="12.75" customHeight="1" x14ac:dyDescent="0.25">
      <c r="A917" s="393" t="s">
        <v>979</v>
      </c>
      <c r="B917" s="271"/>
      <c r="C917" s="271"/>
      <c r="D917" s="271"/>
      <c r="E917" s="271"/>
      <c r="F917" s="271"/>
      <c r="G917" s="273"/>
      <c r="H917" s="29" t="str">
        <f>IF(A917="","",VLOOKUP(A917,AA_Cuadrillas,4,FALSE))</f>
        <v>Cuadrilla</v>
      </c>
      <c r="I917" s="394">
        <f>IF(A917="","",VLOOKUP(A917,AA_Cuadrillas,5,FALSE))</f>
        <v>140072</v>
      </c>
      <c r="J917" s="273"/>
      <c r="K917" s="9">
        <f>IF(A917="","",F.P!$I$2)</f>
        <v>1.88</v>
      </c>
      <c r="L917" s="93">
        <f>1/30</f>
        <v>3.3333333333333333E-2</v>
      </c>
      <c r="M917" s="394">
        <f t="shared" ref="M917:M921" si="110">IF(A917="","",I917*K917*L917)</f>
        <v>8777.8453333333327</v>
      </c>
      <c r="N917" s="273"/>
    </row>
    <row r="918" spans="1:15" ht="12.75" customHeight="1" x14ac:dyDescent="0.25">
      <c r="A918" s="393"/>
      <c r="B918" s="271"/>
      <c r="C918" s="271"/>
      <c r="D918" s="271"/>
      <c r="E918" s="271"/>
      <c r="F918" s="271"/>
      <c r="G918" s="273"/>
      <c r="H918" s="29" t="str">
        <f>IF(A918="","",VLOOKUP(A918,AA_Cuadrillas,4,FALSE))</f>
        <v/>
      </c>
      <c r="I918" s="394" t="str">
        <f>IF(A918="","",VLOOKUP(A918,AA_Cuadrillas,5,FALSE))</f>
        <v/>
      </c>
      <c r="J918" s="273"/>
      <c r="K918" s="9" t="str">
        <f>IF(A918="","",F.P!$I$2)</f>
        <v/>
      </c>
      <c r="L918" s="9"/>
      <c r="M918" s="394" t="str">
        <f t="shared" si="110"/>
        <v/>
      </c>
      <c r="N918" s="273"/>
    </row>
    <row r="919" spans="1:15" ht="12.75" customHeight="1" x14ac:dyDescent="0.25">
      <c r="A919" s="393"/>
      <c r="B919" s="271"/>
      <c r="C919" s="271"/>
      <c r="D919" s="271"/>
      <c r="E919" s="271"/>
      <c r="F919" s="271"/>
      <c r="G919" s="273"/>
      <c r="H919" s="29" t="str">
        <f>IF(A919="","",VLOOKUP(A919,AA_Cuadrillas,4,FALSE))</f>
        <v/>
      </c>
      <c r="I919" s="394" t="str">
        <f>IF(A919="","",VLOOKUP(A919,AA_Cuadrillas,5,FALSE))</f>
        <v/>
      </c>
      <c r="J919" s="273"/>
      <c r="K919" s="9" t="str">
        <f>IF(A919="","",F.P!$I$2)</f>
        <v/>
      </c>
      <c r="L919" s="37"/>
      <c r="M919" s="394" t="str">
        <f t="shared" si="110"/>
        <v/>
      </c>
      <c r="N919" s="273"/>
    </row>
    <row r="920" spans="1:15" ht="12.75" customHeight="1" x14ac:dyDescent="0.25">
      <c r="A920" s="393"/>
      <c r="B920" s="271"/>
      <c r="C920" s="271"/>
      <c r="D920" s="271"/>
      <c r="E920" s="271"/>
      <c r="F920" s="271"/>
      <c r="G920" s="273"/>
      <c r="H920" s="29" t="str">
        <f>IF(A920="","",VLOOKUP(A920,AA_Cuadrillas,4,FALSE))</f>
        <v/>
      </c>
      <c r="I920" s="394" t="str">
        <f>IF(A920="","",VLOOKUP(A920,AA_Cuadrillas,5,FALSE))</f>
        <v/>
      </c>
      <c r="J920" s="273"/>
      <c r="K920" s="9" t="str">
        <f>IF(A920="","",F.P!$I$2)</f>
        <v/>
      </c>
      <c r="L920" s="37"/>
      <c r="M920" s="394" t="str">
        <f t="shared" si="110"/>
        <v/>
      </c>
      <c r="N920" s="273"/>
    </row>
    <row r="921" spans="1:15" ht="12.75" customHeight="1" x14ac:dyDescent="0.25">
      <c r="A921" s="393"/>
      <c r="B921" s="271"/>
      <c r="C921" s="271"/>
      <c r="D921" s="271"/>
      <c r="E921" s="271"/>
      <c r="F921" s="271"/>
      <c r="G921" s="273"/>
      <c r="H921" s="29" t="str">
        <f>IF(A921="","",VLOOKUP(A921,AA_Cuadrillas,4,FALSE))</f>
        <v/>
      </c>
      <c r="I921" s="394" t="str">
        <f>IF(A921="","",VLOOKUP(A921,AA_Cuadrillas,5,FALSE))</f>
        <v/>
      </c>
      <c r="J921" s="273"/>
      <c r="K921" s="9" t="str">
        <f>IF(A921="","",F.P!$I$2)</f>
        <v/>
      </c>
      <c r="L921" s="37"/>
      <c r="M921" s="394" t="str">
        <f t="shared" si="110"/>
        <v/>
      </c>
      <c r="N921" s="273"/>
    </row>
    <row r="922" spans="1:15" ht="12.75" customHeight="1" x14ac:dyDescent="0.25">
      <c r="A922" s="4"/>
      <c r="B922" s="4"/>
      <c r="C922" s="4"/>
      <c r="D922" s="4"/>
      <c r="E922" s="4"/>
      <c r="F922" s="4"/>
      <c r="G922" s="4"/>
      <c r="H922" s="4"/>
      <c r="I922" s="4"/>
      <c r="J922" s="4"/>
      <c r="K922" s="396" t="s">
        <v>444</v>
      </c>
      <c r="L922" s="273"/>
      <c r="M922" s="394">
        <f>SUM(M917:N921)</f>
        <v>8777.8453333333327</v>
      </c>
      <c r="N922" s="273"/>
    </row>
    <row r="923" spans="1:15" ht="12.75" customHeight="1" x14ac:dyDescent="0.2"/>
    <row r="924" spans="1:15" ht="12.75" customHeight="1" x14ac:dyDescent="0.2">
      <c r="A924" s="407" t="s">
        <v>100</v>
      </c>
      <c r="B924" s="275"/>
      <c r="C924" s="275"/>
      <c r="D924" s="275"/>
      <c r="E924" s="275"/>
      <c r="F924" s="275"/>
      <c r="G924" s="275"/>
      <c r="H924" s="275"/>
      <c r="I924" s="275"/>
      <c r="J924" s="275"/>
      <c r="K924" s="275"/>
      <c r="L924" s="275"/>
      <c r="M924" s="275"/>
      <c r="N924" s="276"/>
      <c r="O924" s="166"/>
    </row>
    <row r="925" spans="1:15" ht="12.75" customHeight="1" x14ac:dyDescent="0.2">
      <c r="A925" s="277"/>
      <c r="B925" s="278"/>
      <c r="C925" s="278"/>
      <c r="D925" s="278"/>
      <c r="E925" s="278"/>
      <c r="F925" s="278"/>
      <c r="G925" s="278"/>
      <c r="H925" s="278"/>
      <c r="I925" s="278"/>
      <c r="J925" s="278"/>
      <c r="K925" s="278"/>
      <c r="L925" s="278"/>
      <c r="M925" s="278"/>
      <c r="N925" s="279"/>
      <c r="O925" s="166"/>
    </row>
    <row r="926" spans="1:15" ht="12.75" customHeight="1" x14ac:dyDescent="0.2">
      <c r="A926" s="75"/>
      <c r="B926" s="75"/>
      <c r="C926" s="75"/>
      <c r="D926" s="75"/>
      <c r="E926" s="75"/>
      <c r="F926" s="75"/>
      <c r="G926" s="75"/>
      <c r="H926" s="75"/>
      <c r="I926" s="75"/>
      <c r="J926" s="75"/>
      <c r="K926" s="75"/>
      <c r="L926" s="75"/>
      <c r="M926" s="75"/>
      <c r="N926" s="75"/>
    </row>
    <row r="927" spans="1:15" ht="12.75" customHeight="1" x14ac:dyDescent="0.3">
      <c r="A927" s="79" t="s">
        <v>634</v>
      </c>
      <c r="B927" s="80" t="str">
        <f>A924</f>
        <v>MALLA ELECTROSOLDADA 15X15X4MM (Xx-084) 6X2,35M</v>
      </c>
      <c r="C927" s="81" t="s">
        <v>916</v>
      </c>
      <c r="D927" s="82" t="s">
        <v>934</v>
      </c>
      <c r="E927" s="83" t="s">
        <v>445</v>
      </c>
      <c r="F927" s="234">
        <f>(H927+J927+L927+N927)*1.3</f>
        <v>11901.358633060001</v>
      </c>
      <c r="G927" s="83" t="s">
        <v>607</v>
      </c>
      <c r="H927" s="86">
        <f>M946</f>
        <v>35.111443999999999</v>
      </c>
      <c r="I927" s="83" t="s">
        <v>918</v>
      </c>
      <c r="J927" s="86">
        <f>M937</f>
        <v>8015.0432000000001</v>
      </c>
      <c r="K927" s="83" t="s">
        <v>609</v>
      </c>
      <c r="L927" s="86">
        <f>M955</f>
        <v>402.50773220000002</v>
      </c>
      <c r="M927" s="83" t="s">
        <v>610</v>
      </c>
      <c r="N927" s="86">
        <f>M964</f>
        <v>702.22888</v>
      </c>
    </row>
    <row r="928" spans="1:15" ht="12.75" customHeight="1" x14ac:dyDescent="0.25">
      <c r="A928" s="87"/>
      <c r="B928" s="87"/>
      <c r="C928" s="87"/>
      <c r="D928" s="87"/>
      <c r="E928" s="87"/>
      <c r="F928" s="87"/>
      <c r="G928" s="87"/>
      <c r="J928" s="87"/>
      <c r="K928" s="215" t="s">
        <v>3217</v>
      </c>
      <c r="L928" s="215">
        <f>+F927*presup!$O$5</f>
        <v>15471.766222978002</v>
      </c>
      <c r="M928" s="87"/>
      <c r="N928" s="87"/>
    </row>
    <row r="929" spans="1:14" ht="12.75" customHeight="1" x14ac:dyDescent="0.2">
      <c r="A929" s="398" t="s">
        <v>919</v>
      </c>
      <c r="B929" s="271"/>
      <c r="C929" s="271"/>
      <c r="D929" s="271"/>
      <c r="E929" s="271"/>
      <c r="F929" s="271"/>
      <c r="G929" s="271"/>
      <c r="H929" s="271"/>
      <c r="I929" s="271"/>
      <c r="J929" s="271"/>
      <c r="K929" s="271"/>
      <c r="L929" s="271"/>
      <c r="M929" s="271"/>
      <c r="N929" s="273"/>
    </row>
    <row r="930" spans="1:14" ht="12.75" customHeight="1" x14ac:dyDescent="0.2">
      <c r="A930" s="396" t="s">
        <v>76</v>
      </c>
      <c r="B930" s="271"/>
      <c r="C930" s="271"/>
      <c r="D930" s="271"/>
      <c r="E930" s="271"/>
      <c r="F930" s="271"/>
      <c r="G930" s="273"/>
      <c r="H930" s="88" t="s">
        <v>77</v>
      </c>
      <c r="I930" s="399" t="s">
        <v>920</v>
      </c>
      <c r="J930" s="273"/>
      <c r="K930" s="399" t="s">
        <v>453</v>
      </c>
      <c r="L930" s="273"/>
      <c r="M930" s="399" t="s">
        <v>921</v>
      </c>
      <c r="N930" s="273"/>
    </row>
    <row r="931" spans="1:14" ht="12.75" customHeight="1" x14ac:dyDescent="0.2">
      <c r="A931" s="400" t="s">
        <v>1013</v>
      </c>
      <c r="B931" s="271"/>
      <c r="C931" s="271"/>
      <c r="D931" s="271"/>
      <c r="E931" s="271"/>
      <c r="F931" s="271"/>
      <c r="G931" s="273"/>
      <c r="H931" s="29" t="str">
        <f t="shared" ref="H931:H936" si="111">IF(A931="","",VLOOKUP(A931,AA_Materiales,7,FALSE))</f>
        <v>m2</v>
      </c>
      <c r="I931" s="394">
        <f t="shared" ref="I931:I936" si="112">IF(A931="","",VLOOKUP(A931,AA_Materiales,8,FALSE))</f>
        <v>7510.64</v>
      </c>
      <c r="J931" s="273"/>
      <c r="K931" s="395">
        <v>1.03</v>
      </c>
      <c r="L931" s="273"/>
      <c r="M931" s="394">
        <f t="shared" ref="M931:M936" si="113">IF(A931="","",I931*K931)</f>
        <v>7735.9592000000002</v>
      </c>
      <c r="N931" s="273"/>
    </row>
    <row r="932" spans="1:14" ht="12.75" customHeight="1" x14ac:dyDescent="0.2">
      <c r="A932" s="400" t="s">
        <v>971</v>
      </c>
      <c r="B932" s="271"/>
      <c r="C932" s="271"/>
      <c r="D932" s="271"/>
      <c r="E932" s="271"/>
      <c r="F932" s="271"/>
      <c r="G932" s="273"/>
      <c r="H932" s="29" t="str">
        <f t="shared" si="111"/>
        <v>Kg</v>
      </c>
      <c r="I932" s="394">
        <f t="shared" si="112"/>
        <v>9302.8000000000011</v>
      </c>
      <c r="J932" s="273"/>
      <c r="K932" s="395">
        <v>0.03</v>
      </c>
      <c r="L932" s="273"/>
      <c r="M932" s="394">
        <f t="shared" si="113"/>
        <v>279.084</v>
      </c>
      <c r="N932" s="273"/>
    </row>
    <row r="933" spans="1:14" ht="12.75" customHeight="1" x14ac:dyDescent="0.2">
      <c r="A933" s="400"/>
      <c r="B933" s="271"/>
      <c r="C933" s="271"/>
      <c r="D933" s="271"/>
      <c r="E933" s="271"/>
      <c r="F933" s="271"/>
      <c r="G933" s="273"/>
      <c r="H933" s="29" t="str">
        <f t="shared" si="111"/>
        <v/>
      </c>
      <c r="I933" s="394" t="str">
        <f t="shared" si="112"/>
        <v/>
      </c>
      <c r="J933" s="273"/>
      <c r="K933" s="395"/>
      <c r="L933" s="273"/>
      <c r="M933" s="394" t="str">
        <f t="shared" si="113"/>
        <v/>
      </c>
      <c r="N933" s="273"/>
    </row>
    <row r="934" spans="1:14" ht="12.75" customHeight="1" x14ac:dyDescent="0.2">
      <c r="A934" s="400"/>
      <c r="B934" s="271"/>
      <c r="C934" s="271"/>
      <c r="D934" s="271"/>
      <c r="E934" s="271"/>
      <c r="F934" s="271"/>
      <c r="G934" s="273"/>
      <c r="H934" s="29" t="str">
        <f t="shared" si="111"/>
        <v/>
      </c>
      <c r="I934" s="394" t="str">
        <f t="shared" si="112"/>
        <v/>
      </c>
      <c r="J934" s="273"/>
      <c r="K934" s="395"/>
      <c r="L934" s="273"/>
      <c r="M934" s="394" t="str">
        <f t="shared" si="113"/>
        <v/>
      </c>
      <c r="N934" s="273"/>
    </row>
    <row r="935" spans="1:14" ht="12.75" customHeight="1" x14ac:dyDescent="0.2">
      <c r="A935" s="400"/>
      <c r="B935" s="271"/>
      <c r="C935" s="271"/>
      <c r="D935" s="271"/>
      <c r="E935" s="271"/>
      <c r="F935" s="271"/>
      <c r="G935" s="273"/>
      <c r="H935" s="29" t="str">
        <f t="shared" si="111"/>
        <v/>
      </c>
      <c r="I935" s="394" t="str">
        <f t="shared" si="112"/>
        <v/>
      </c>
      <c r="J935" s="273"/>
      <c r="K935" s="395"/>
      <c r="L935" s="273"/>
      <c r="M935" s="394" t="str">
        <f t="shared" si="113"/>
        <v/>
      </c>
      <c r="N935" s="273"/>
    </row>
    <row r="936" spans="1:14" ht="12.75" customHeight="1" x14ac:dyDescent="0.2">
      <c r="A936" s="400"/>
      <c r="B936" s="271"/>
      <c r="C936" s="271"/>
      <c r="D936" s="271"/>
      <c r="E936" s="271"/>
      <c r="F936" s="271"/>
      <c r="G936" s="273"/>
      <c r="H936" s="29" t="str">
        <f t="shared" si="111"/>
        <v/>
      </c>
      <c r="I936" s="394" t="str">
        <f t="shared" si="112"/>
        <v/>
      </c>
      <c r="J936" s="273"/>
      <c r="K936" s="395"/>
      <c r="L936" s="273"/>
      <c r="M936" s="394" t="str">
        <f t="shared" si="113"/>
        <v/>
      </c>
      <c r="N936" s="273"/>
    </row>
    <row r="937" spans="1:14" ht="12.75" customHeight="1" x14ac:dyDescent="0.25">
      <c r="A937" s="4"/>
      <c r="B937" s="4"/>
      <c r="C937" s="4"/>
      <c r="D937" s="4"/>
      <c r="E937" s="4"/>
      <c r="F937" s="4"/>
      <c r="G937" s="4"/>
      <c r="H937" s="4"/>
      <c r="I937" s="4"/>
      <c r="J937" s="4"/>
      <c r="K937" s="396" t="s">
        <v>444</v>
      </c>
      <c r="L937" s="273"/>
      <c r="M937" s="394">
        <f>SUM(M931:N936)</f>
        <v>8015.0432000000001</v>
      </c>
      <c r="N937" s="273"/>
    </row>
    <row r="938" spans="1:14" ht="12.75" customHeight="1" x14ac:dyDescent="0.25">
      <c r="A938" s="4"/>
      <c r="B938" s="4"/>
      <c r="C938" s="4"/>
      <c r="D938" s="4"/>
      <c r="E938" s="4"/>
      <c r="F938" s="4"/>
      <c r="G938" s="4"/>
      <c r="H938" s="4"/>
      <c r="I938" s="4"/>
      <c r="J938" s="4"/>
      <c r="K938" s="4"/>
      <c r="L938" s="4"/>
      <c r="M938" s="4"/>
      <c r="N938" s="4"/>
    </row>
    <row r="939" spans="1:14" ht="12.75" customHeight="1" x14ac:dyDescent="0.2">
      <c r="A939" s="398" t="s">
        <v>926</v>
      </c>
      <c r="B939" s="271"/>
      <c r="C939" s="271"/>
      <c r="D939" s="271"/>
      <c r="E939" s="271"/>
      <c r="F939" s="271"/>
      <c r="G939" s="271"/>
      <c r="H939" s="271"/>
      <c r="I939" s="271"/>
      <c r="J939" s="271"/>
      <c r="K939" s="271"/>
      <c r="L939" s="271"/>
      <c r="M939" s="271"/>
      <c r="N939" s="273"/>
    </row>
    <row r="940" spans="1:14" ht="12.75" customHeight="1" x14ac:dyDescent="0.2">
      <c r="A940" s="396" t="s">
        <v>76</v>
      </c>
      <c r="B940" s="271"/>
      <c r="C940" s="271"/>
      <c r="D940" s="271"/>
      <c r="E940" s="271"/>
      <c r="F940" s="271"/>
      <c r="G940" s="273"/>
      <c r="H940" s="88" t="s">
        <v>77</v>
      </c>
      <c r="I940" s="399" t="s">
        <v>920</v>
      </c>
      <c r="J940" s="273"/>
      <c r="K940" s="399" t="s">
        <v>453</v>
      </c>
      <c r="L940" s="273"/>
      <c r="M940" s="399" t="s">
        <v>921</v>
      </c>
      <c r="N940" s="273"/>
    </row>
    <row r="941" spans="1:14" ht="12.75" customHeight="1" x14ac:dyDescent="0.2">
      <c r="A941" s="400" t="s">
        <v>927</v>
      </c>
      <c r="B941" s="271"/>
      <c r="C941" s="271"/>
      <c r="D941" s="271"/>
      <c r="E941" s="271"/>
      <c r="F941" s="271"/>
      <c r="G941" s="273"/>
      <c r="H941" s="29" t="str">
        <f>IF(A941="","",VLOOKUP(A941,AA_Equipos,7,FALSE))</f>
        <v>% M.O.</v>
      </c>
      <c r="I941" s="394">
        <f>M964</f>
        <v>702.22888</v>
      </c>
      <c r="J941" s="273"/>
      <c r="K941" s="404">
        <v>0.05</v>
      </c>
      <c r="L941" s="273"/>
      <c r="M941" s="394">
        <f t="shared" ref="M941:M945" si="114">IF(A941="","",I941*K941)</f>
        <v>35.111443999999999</v>
      </c>
      <c r="N941" s="273"/>
    </row>
    <row r="942" spans="1:14" ht="12.75" customHeight="1" x14ac:dyDescent="0.2">
      <c r="A942" s="403"/>
      <c r="B942" s="271"/>
      <c r="C942" s="271"/>
      <c r="D942" s="271"/>
      <c r="E942" s="271"/>
      <c r="F942" s="271"/>
      <c r="G942" s="273"/>
      <c r="H942" s="29" t="str">
        <f>IF(A942="","",VLOOKUP(A942,AA_Equipos,7,FALSE))</f>
        <v/>
      </c>
      <c r="I942" s="394" t="str">
        <f>IF(A942="","",VLOOKUP(A942,AA_Equipos,8,FALSE))</f>
        <v/>
      </c>
      <c r="J942" s="273"/>
      <c r="K942" s="402"/>
      <c r="L942" s="273"/>
      <c r="M942" s="394" t="str">
        <f t="shared" si="114"/>
        <v/>
      </c>
      <c r="N942" s="273"/>
    </row>
    <row r="943" spans="1:14" ht="12.75" customHeight="1" x14ac:dyDescent="0.2">
      <c r="A943" s="400"/>
      <c r="B943" s="271"/>
      <c r="C943" s="271"/>
      <c r="D943" s="271"/>
      <c r="E943" s="271"/>
      <c r="F943" s="271"/>
      <c r="G943" s="273"/>
      <c r="H943" s="29" t="str">
        <f>IF(A943="","",VLOOKUP(A943,AA_Equipos,7,FALSE))</f>
        <v/>
      </c>
      <c r="I943" s="394" t="str">
        <f>IF(A943="","",VLOOKUP(A943,AA_Equipos,8,FALSE))</f>
        <v/>
      </c>
      <c r="J943" s="273"/>
      <c r="K943" s="401"/>
      <c r="L943" s="273"/>
      <c r="M943" s="394" t="str">
        <f t="shared" si="114"/>
        <v/>
      </c>
      <c r="N943" s="273"/>
    </row>
    <row r="944" spans="1:14" ht="12.75" customHeight="1" x14ac:dyDescent="0.2">
      <c r="A944" s="400"/>
      <c r="B944" s="271"/>
      <c r="C944" s="271"/>
      <c r="D944" s="271"/>
      <c r="E944" s="271"/>
      <c r="F944" s="271"/>
      <c r="G944" s="273"/>
      <c r="H944" s="29" t="str">
        <f>IF(A944="","",VLOOKUP(A944,AA_Equipos,7,FALSE))</f>
        <v/>
      </c>
      <c r="I944" s="394" t="str">
        <f>IF(A944="","",VLOOKUP(A944,AA_Equipos,8,FALSE))</f>
        <v/>
      </c>
      <c r="J944" s="273"/>
      <c r="K944" s="395"/>
      <c r="L944" s="273"/>
      <c r="M944" s="394" t="str">
        <f t="shared" si="114"/>
        <v/>
      </c>
      <c r="N944" s="273"/>
    </row>
    <row r="945" spans="1:14" ht="12.75" customHeight="1" x14ac:dyDescent="0.2">
      <c r="A945" s="400"/>
      <c r="B945" s="271"/>
      <c r="C945" s="271"/>
      <c r="D945" s="271"/>
      <c r="E945" s="271"/>
      <c r="F945" s="271"/>
      <c r="G945" s="273"/>
      <c r="H945" s="29" t="str">
        <f>IF(A945="","",VLOOKUP(A945,AA_Equipos,7,FALSE))</f>
        <v/>
      </c>
      <c r="I945" s="394" t="str">
        <f>IF(A945="","",VLOOKUP(A945,AA_Equipos,8,FALSE))</f>
        <v/>
      </c>
      <c r="J945" s="273"/>
      <c r="K945" s="395"/>
      <c r="L945" s="273"/>
      <c r="M945" s="394" t="str">
        <f t="shared" si="114"/>
        <v/>
      </c>
      <c r="N945" s="273"/>
    </row>
    <row r="946" spans="1:14" ht="12.75" customHeight="1" x14ac:dyDescent="0.25">
      <c r="A946" s="4"/>
      <c r="B946" s="4"/>
      <c r="C946" s="4"/>
      <c r="D946" s="4"/>
      <c r="E946" s="4"/>
      <c r="F946" s="4"/>
      <c r="G946" s="4"/>
      <c r="H946" s="4"/>
      <c r="I946" s="4"/>
      <c r="J946" s="4"/>
      <c r="K946" s="396" t="s">
        <v>444</v>
      </c>
      <c r="L946" s="273"/>
      <c r="M946" s="394">
        <f>SUM(M941:N945)</f>
        <v>35.111443999999999</v>
      </c>
      <c r="N946" s="273"/>
    </row>
    <row r="947" spans="1:14" ht="12.75" customHeight="1" x14ac:dyDescent="0.25">
      <c r="A947" s="4"/>
      <c r="B947" s="4"/>
      <c r="C947" s="4"/>
      <c r="D947" s="4"/>
      <c r="E947" s="4"/>
      <c r="F947" s="4"/>
      <c r="G947" s="4"/>
      <c r="H947" s="4"/>
      <c r="I947" s="4"/>
      <c r="J947" s="4"/>
      <c r="K947" s="4"/>
      <c r="L947" s="4"/>
      <c r="M947" s="4"/>
      <c r="N947" s="4"/>
    </row>
    <row r="948" spans="1:14" ht="12.75" customHeight="1" x14ac:dyDescent="0.2">
      <c r="A948" s="398" t="s">
        <v>929</v>
      </c>
      <c r="B948" s="271"/>
      <c r="C948" s="271"/>
      <c r="D948" s="271"/>
      <c r="E948" s="271"/>
      <c r="F948" s="271"/>
      <c r="G948" s="271"/>
      <c r="H948" s="271"/>
      <c r="I948" s="271"/>
      <c r="J948" s="271"/>
      <c r="K948" s="271"/>
      <c r="L948" s="271"/>
      <c r="M948" s="271"/>
      <c r="N948" s="273"/>
    </row>
    <row r="949" spans="1:14" ht="12.75" customHeight="1" x14ac:dyDescent="0.2">
      <c r="A949" s="396" t="s">
        <v>76</v>
      </c>
      <c r="B949" s="271"/>
      <c r="C949" s="271"/>
      <c r="D949" s="271"/>
      <c r="E949" s="271"/>
      <c r="F949" s="271"/>
      <c r="G949" s="273"/>
      <c r="H949" s="88" t="s">
        <v>77</v>
      </c>
      <c r="I949" s="399" t="s">
        <v>920</v>
      </c>
      <c r="J949" s="273"/>
      <c r="K949" s="399" t="s">
        <v>453</v>
      </c>
      <c r="L949" s="273"/>
      <c r="M949" s="399" t="s">
        <v>921</v>
      </c>
      <c r="N949" s="273"/>
    </row>
    <row r="950" spans="1:14" ht="12.75" customHeight="1" x14ac:dyDescent="0.2">
      <c r="A950" s="400" t="s">
        <v>949</v>
      </c>
      <c r="B950" s="271"/>
      <c r="C950" s="271"/>
      <c r="D950" s="271"/>
      <c r="E950" s="271"/>
      <c r="F950" s="271"/>
      <c r="G950" s="273"/>
      <c r="H950" s="29" t="s">
        <v>950</v>
      </c>
      <c r="I950" s="394">
        <f>+M937</f>
        <v>8015.0432000000001</v>
      </c>
      <c r="J950" s="273"/>
      <c r="K950" s="404">
        <v>0.05</v>
      </c>
      <c r="L950" s="273"/>
      <c r="M950" s="394">
        <f t="shared" ref="M950:M954" si="115">IF(A950="","",I950*K950)</f>
        <v>400.75216</v>
      </c>
      <c r="N950" s="273"/>
    </row>
    <row r="951" spans="1:14" ht="12.75" customHeight="1" x14ac:dyDescent="0.2">
      <c r="A951" s="403" t="s">
        <v>3177</v>
      </c>
      <c r="B951" s="271"/>
      <c r="C951" s="271"/>
      <c r="D951" s="271"/>
      <c r="E951" s="271"/>
      <c r="F951" s="271"/>
      <c r="G951" s="273"/>
      <c r="H951" s="29" t="s">
        <v>24</v>
      </c>
      <c r="I951" s="394">
        <f>+M946</f>
        <v>35.111443999999999</v>
      </c>
      <c r="J951" s="273"/>
      <c r="K951" s="404">
        <v>0.05</v>
      </c>
      <c r="L951" s="273"/>
      <c r="M951" s="394">
        <f t="shared" si="115"/>
        <v>1.7555722</v>
      </c>
      <c r="N951" s="273"/>
    </row>
    <row r="952" spans="1:14" ht="12.75" customHeight="1" x14ac:dyDescent="0.2">
      <c r="A952" s="400"/>
      <c r="B952" s="271"/>
      <c r="C952" s="271"/>
      <c r="D952" s="271"/>
      <c r="E952" s="271"/>
      <c r="F952" s="271"/>
      <c r="G952" s="273"/>
      <c r="H952" s="29"/>
      <c r="I952" s="394"/>
      <c r="J952" s="273"/>
      <c r="K952" s="395"/>
      <c r="L952" s="273"/>
      <c r="M952" s="394" t="str">
        <f t="shared" si="115"/>
        <v/>
      </c>
      <c r="N952" s="273"/>
    </row>
    <row r="953" spans="1:14" ht="12.75" customHeight="1" x14ac:dyDescent="0.2">
      <c r="A953" s="400"/>
      <c r="B953" s="271"/>
      <c r="C953" s="271"/>
      <c r="D953" s="271"/>
      <c r="E953" s="271"/>
      <c r="F953" s="271"/>
      <c r="G953" s="273"/>
      <c r="H953" s="29"/>
      <c r="I953" s="394"/>
      <c r="J953" s="273"/>
      <c r="K953" s="395"/>
      <c r="L953" s="273"/>
      <c r="M953" s="394" t="str">
        <f t="shared" si="115"/>
        <v/>
      </c>
      <c r="N953" s="273"/>
    </row>
    <row r="954" spans="1:14" ht="12.75" customHeight="1" x14ac:dyDescent="0.2">
      <c r="A954" s="400"/>
      <c r="B954" s="271"/>
      <c r="C954" s="271"/>
      <c r="D954" s="271"/>
      <c r="E954" s="271"/>
      <c r="F954" s="271"/>
      <c r="G954" s="273"/>
      <c r="H954" s="29"/>
      <c r="I954" s="394"/>
      <c r="J954" s="273"/>
      <c r="K954" s="395"/>
      <c r="L954" s="273"/>
      <c r="M954" s="394" t="str">
        <f t="shared" si="115"/>
        <v/>
      </c>
      <c r="N954" s="273"/>
    </row>
    <row r="955" spans="1:14" ht="12.75" customHeight="1" x14ac:dyDescent="0.25">
      <c r="A955" s="4"/>
      <c r="B955" s="4"/>
      <c r="C955" s="4"/>
      <c r="D955" s="4"/>
      <c r="E955" s="4"/>
      <c r="F955" s="4"/>
      <c r="G955" s="4"/>
      <c r="H955" s="4"/>
      <c r="I955" s="4"/>
      <c r="J955" s="4"/>
      <c r="K955" s="396" t="s">
        <v>444</v>
      </c>
      <c r="L955" s="273"/>
      <c r="M955" s="394">
        <f>SUM(M950:N954)</f>
        <v>402.50773220000002</v>
      </c>
      <c r="N955" s="273"/>
    </row>
    <row r="956" spans="1:14" ht="12.75" customHeight="1" x14ac:dyDescent="0.25">
      <c r="A956" s="4"/>
      <c r="B956" s="4"/>
      <c r="C956" s="4"/>
      <c r="D956" s="4"/>
      <c r="E956" s="4"/>
      <c r="F956" s="4"/>
      <c r="G956" s="4"/>
      <c r="H956" s="4"/>
      <c r="I956" s="4"/>
      <c r="J956" s="4"/>
      <c r="K956" s="4"/>
      <c r="L956" s="4"/>
      <c r="M956" s="4"/>
      <c r="N956" s="4"/>
    </row>
    <row r="957" spans="1:14" ht="12.75" customHeight="1" x14ac:dyDescent="0.2">
      <c r="A957" s="398" t="s">
        <v>931</v>
      </c>
      <c r="B957" s="271"/>
      <c r="C957" s="271"/>
      <c r="D957" s="271"/>
      <c r="E957" s="271"/>
      <c r="F957" s="271"/>
      <c r="G957" s="271"/>
      <c r="H957" s="271"/>
      <c r="I957" s="271"/>
      <c r="J957" s="271"/>
      <c r="K957" s="271"/>
      <c r="L957" s="271"/>
      <c r="M957" s="271"/>
      <c r="N957" s="273"/>
    </row>
    <row r="958" spans="1:14" ht="12.75" customHeight="1" x14ac:dyDescent="0.2">
      <c r="A958" s="396" t="s">
        <v>76</v>
      </c>
      <c r="B958" s="271"/>
      <c r="C958" s="271"/>
      <c r="D958" s="271"/>
      <c r="E958" s="271"/>
      <c r="F958" s="271"/>
      <c r="G958" s="273"/>
      <c r="H958" s="88" t="s">
        <v>77</v>
      </c>
      <c r="I958" s="399" t="s">
        <v>920</v>
      </c>
      <c r="J958" s="273"/>
      <c r="K958" s="90" t="s">
        <v>514</v>
      </c>
      <c r="L958" s="91" t="s">
        <v>932</v>
      </c>
      <c r="M958" s="399" t="s">
        <v>921</v>
      </c>
      <c r="N958" s="273"/>
    </row>
    <row r="959" spans="1:14" ht="12.75" customHeight="1" x14ac:dyDescent="0.25">
      <c r="A959" s="393" t="s">
        <v>951</v>
      </c>
      <c r="B959" s="271"/>
      <c r="C959" s="271"/>
      <c r="D959" s="271"/>
      <c r="E959" s="271"/>
      <c r="F959" s="271"/>
      <c r="G959" s="273"/>
      <c r="H959" s="29" t="str">
        <f>IF(A959="","",VLOOKUP(A959,AA_Cuadrillas,4,FALSE))</f>
        <v>Cuadrilla</v>
      </c>
      <c r="I959" s="394">
        <f>IF(A959="","",VLOOKUP(A959,AA_Cuadrillas,5,FALSE))</f>
        <v>186763</v>
      </c>
      <c r="J959" s="273"/>
      <c r="K959" s="9">
        <f>IF(A959="","",F.P!$I$2)</f>
        <v>1.88</v>
      </c>
      <c r="L959" s="93">
        <f>1/500</f>
        <v>2E-3</v>
      </c>
      <c r="M959" s="394">
        <f t="shared" ref="M959:M963" si="116">IF(A959="","",I959*K959*L959)</f>
        <v>702.22888</v>
      </c>
      <c r="N959" s="273"/>
    </row>
    <row r="960" spans="1:14" ht="12.75" customHeight="1" x14ac:dyDescent="0.25">
      <c r="A960" s="393"/>
      <c r="B960" s="271"/>
      <c r="C960" s="271"/>
      <c r="D960" s="271"/>
      <c r="E960" s="271"/>
      <c r="F960" s="271"/>
      <c r="G960" s="273"/>
      <c r="H960" s="29" t="str">
        <f>IF(A960="","",VLOOKUP(A960,AA_Cuadrillas,4,FALSE))</f>
        <v/>
      </c>
      <c r="I960" s="394" t="str">
        <f>IF(A960="","",VLOOKUP(A960,AA_Cuadrillas,5,FALSE))</f>
        <v/>
      </c>
      <c r="J960" s="273"/>
      <c r="K960" s="9" t="str">
        <f>IF(A960="","",F.P!$I$2)</f>
        <v/>
      </c>
      <c r="L960" s="9"/>
      <c r="M960" s="394" t="str">
        <f t="shared" si="116"/>
        <v/>
      </c>
      <c r="N960" s="273"/>
    </row>
    <row r="961" spans="1:15" ht="12.75" customHeight="1" x14ac:dyDescent="0.25">
      <c r="A961" s="393"/>
      <c r="B961" s="271"/>
      <c r="C961" s="271"/>
      <c r="D961" s="271"/>
      <c r="E961" s="271"/>
      <c r="F961" s="271"/>
      <c r="G961" s="273"/>
      <c r="H961" s="29" t="str">
        <f>IF(A961="","",VLOOKUP(A961,AA_Cuadrillas,4,FALSE))</f>
        <v/>
      </c>
      <c r="I961" s="394" t="str">
        <f>IF(A961="","",VLOOKUP(A961,AA_Cuadrillas,5,FALSE))</f>
        <v/>
      </c>
      <c r="J961" s="273"/>
      <c r="K961" s="9" t="str">
        <f>IF(A961="","",F.P!$I$2)</f>
        <v/>
      </c>
      <c r="L961" s="37"/>
      <c r="M961" s="394" t="str">
        <f t="shared" si="116"/>
        <v/>
      </c>
      <c r="N961" s="273"/>
    </row>
    <row r="962" spans="1:15" ht="12.75" customHeight="1" x14ac:dyDescent="0.25">
      <c r="A962" s="393"/>
      <c r="B962" s="271"/>
      <c r="C962" s="271"/>
      <c r="D962" s="271"/>
      <c r="E962" s="271"/>
      <c r="F962" s="271"/>
      <c r="G962" s="273"/>
      <c r="H962" s="29" t="str">
        <f>IF(A962="","",VLOOKUP(A962,AA_Cuadrillas,4,FALSE))</f>
        <v/>
      </c>
      <c r="I962" s="394" t="str">
        <f>IF(A962="","",VLOOKUP(A962,AA_Cuadrillas,5,FALSE))</f>
        <v/>
      </c>
      <c r="J962" s="273"/>
      <c r="K962" s="9" t="str">
        <f>IF(A962="","",F.P!$I$2)</f>
        <v/>
      </c>
      <c r="L962" s="37"/>
      <c r="M962" s="394" t="str">
        <f t="shared" si="116"/>
        <v/>
      </c>
      <c r="N962" s="273"/>
    </row>
    <row r="963" spans="1:15" ht="12.75" customHeight="1" x14ac:dyDescent="0.25">
      <c r="A963" s="393"/>
      <c r="B963" s="271"/>
      <c r="C963" s="271"/>
      <c r="D963" s="271"/>
      <c r="E963" s="271"/>
      <c r="F963" s="271"/>
      <c r="G963" s="273"/>
      <c r="H963" s="29" t="str">
        <f>IF(A963="","",VLOOKUP(A963,AA_Cuadrillas,4,FALSE))</f>
        <v/>
      </c>
      <c r="I963" s="394" t="str">
        <f>IF(A963="","",VLOOKUP(A963,AA_Cuadrillas,5,FALSE))</f>
        <v/>
      </c>
      <c r="J963" s="273"/>
      <c r="K963" s="9" t="str">
        <f>IF(A963="","",F.P!$I$2)</f>
        <v/>
      </c>
      <c r="L963" s="37"/>
      <c r="M963" s="394" t="str">
        <f t="shared" si="116"/>
        <v/>
      </c>
      <c r="N963" s="273"/>
    </row>
    <row r="964" spans="1:15" ht="12.75" customHeight="1" x14ac:dyDescent="0.25">
      <c r="A964" s="4"/>
      <c r="B964" s="4"/>
      <c r="C964" s="4"/>
      <c r="D964" s="4"/>
      <c r="E964" s="4"/>
      <c r="F964" s="4"/>
      <c r="G964" s="4"/>
      <c r="H964" s="4"/>
      <c r="I964" s="4"/>
      <c r="J964" s="4"/>
      <c r="K964" s="396" t="s">
        <v>444</v>
      </c>
      <c r="L964" s="273"/>
      <c r="M964" s="394">
        <f>SUM(M959:N963)</f>
        <v>702.22888</v>
      </c>
      <c r="N964" s="273"/>
    </row>
    <row r="965" spans="1:15" ht="12.75" customHeight="1" x14ac:dyDescent="0.2"/>
    <row r="966" spans="1:15" ht="12.75" customHeight="1" x14ac:dyDescent="0.2">
      <c r="A966" s="407" t="s">
        <v>102</v>
      </c>
      <c r="B966" s="275"/>
      <c r="C966" s="275"/>
      <c r="D966" s="275"/>
      <c r="E966" s="275"/>
      <c r="F966" s="275"/>
      <c r="G966" s="275"/>
      <c r="H966" s="275"/>
      <c r="I966" s="275"/>
      <c r="J966" s="275"/>
      <c r="K966" s="275"/>
      <c r="L966" s="275"/>
      <c r="M966" s="275"/>
      <c r="N966" s="276"/>
      <c r="O966" s="166"/>
    </row>
    <row r="967" spans="1:15" ht="12.75" customHeight="1" x14ac:dyDescent="0.2">
      <c r="A967" s="277"/>
      <c r="B967" s="278"/>
      <c r="C967" s="278"/>
      <c r="D967" s="278"/>
      <c r="E967" s="278"/>
      <c r="F967" s="278"/>
      <c r="G967" s="278"/>
      <c r="H967" s="278"/>
      <c r="I967" s="278"/>
      <c r="J967" s="278"/>
      <c r="K967" s="278"/>
      <c r="L967" s="278"/>
      <c r="M967" s="278"/>
      <c r="N967" s="279"/>
      <c r="O967" s="166"/>
    </row>
    <row r="968" spans="1:15" ht="12.75" customHeight="1" x14ac:dyDescent="0.2">
      <c r="A968" s="75"/>
      <c r="B968" s="75"/>
      <c r="C968" s="75"/>
      <c r="D968" s="75"/>
      <c r="E968" s="75"/>
      <c r="F968" s="75"/>
      <c r="G968" s="75"/>
      <c r="H968" s="75"/>
      <c r="I968" s="75"/>
      <c r="J968" s="75"/>
      <c r="K968" s="75"/>
      <c r="L968" s="75"/>
      <c r="M968" s="75"/>
      <c r="N968" s="75"/>
    </row>
    <row r="969" spans="1:15" ht="12.75" customHeight="1" x14ac:dyDescent="0.3">
      <c r="A969" s="79" t="s">
        <v>635</v>
      </c>
      <c r="B969" s="80" t="str">
        <f>A966</f>
        <v>PAÑETE INTERIOR Y EXTERIOR 1:4 IMPERMEABILIZADO (INCLUYE MATERIALES, HERRAMIENTAS Y MANO DE OBRA)</v>
      </c>
      <c r="C969" s="81" t="s">
        <v>916</v>
      </c>
      <c r="D969" s="82" t="s">
        <v>934</v>
      </c>
      <c r="E969" s="83" t="s">
        <v>445</v>
      </c>
      <c r="F969" s="234">
        <f>(H969+J969+L969+N969)*1.3</f>
        <v>54796.612011818179</v>
      </c>
      <c r="G969" s="83" t="s">
        <v>607</v>
      </c>
      <c r="H969" s="86">
        <f>M987</f>
        <v>1595.9747272727273</v>
      </c>
      <c r="I969" s="83" t="s">
        <v>918</v>
      </c>
      <c r="J969" s="86">
        <f>M978</f>
        <v>8550.9719999999998</v>
      </c>
      <c r="K969" s="83" t="s">
        <v>609</v>
      </c>
      <c r="L969" s="86">
        <f>M996</f>
        <v>84.798736363636365</v>
      </c>
      <c r="M969" s="83" t="s">
        <v>610</v>
      </c>
      <c r="N969" s="86">
        <f>M1005</f>
        <v>31919.494545454545</v>
      </c>
    </row>
    <row r="970" spans="1:15" ht="12.75" customHeight="1" x14ac:dyDescent="0.25">
      <c r="A970" s="87"/>
      <c r="B970" s="87"/>
      <c r="C970" s="87"/>
      <c r="D970" s="87"/>
      <c r="E970" s="87"/>
      <c r="F970" s="87"/>
      <c r="G970" s="87"/>
      <c r="J970" s="87"/>
      <c r="K970" s="215" t="s">
        <v>3217</v>
      </c>
      <c r="L970" s="215">
        <f>+F969*presup!$O$5</f>
        <v>71235.595615363636</v>
      </c>
      <c r="M970" s="87"/>
      <c r="N970" s="87"/>
    </row>
    <row r="971" spans="1:15" ht="12.75" customHeight="1" x14ac:dyDescent="0.2">
      <c r="A971" s="398" t="s">
        <v>919</v>
      </c>
      <c r="B971" s="271"/>
      <c r="C971" s="271"/>
      <c r="D971" s="271"/>
      <c r="E971" s="271"/>
      <c r="F971" s="271"/>
      <c r="G971" s="271"/>
      <c r="H971" s="271"/>
      <c r="I971" s="271"/>
      <c r="J971" s="271"/>
      <c r="K971" s="271"/>
      <c r="L971" s="271"/>
      <c r="M971" s="271"/>
      <c r="N971" s="273"/>
    </row>
    <row r="972" spans="1:15" ht="12.75" customHeight="1" x14ac:dyDescent="0.2">
      <c r="A972" s="396" t="s">
        <v>76</v>
      </c>
      <c r="B972" s="271"/>
      <c r="C972" s="271"/>
      <c r="D972" s="271"/>
      <c r="E972" s="271"/>
      <c r="F972" s="271"/>
      <c r="G972" s="273"/>
      <c r="H972" s="88" t="s">
        <v>77</v>
      </c>
      <c r="I972" s="399" t="s">
        <v>920</v>
      </c>
      <c r="J972" s="273"/>
      <c r="K972" s="399" t="s">
        <v>453</v>
      </c>
      <c r="L972" s="273"/>
      <c r="M972" s="399" t="s">
        <v>921</v>
      </c>
      <c r="N972" s="273"/>
    </row>
    <row r="973" spans="1:15" ht="12.75" customHeight="1" x14ac:dyDescent="0.2">
      <c r="A973" s="400" t="s">
        <v>997</v>
      </c>
      <c r="B973" s="271"/>
      <c r="C973" s="271"/>
      <c r="D973" s="271"/>
      <c r="E973" s="271"/>
      <c r="F973" s="271"/>
      <c r="G973" s="273"/>
      <c r="H973" s="29" t="str">
        <f t="shared" ref="H973:H977" si="117">IF(A973="","",VLOOKUP(A973,AA_Materiales,7,FALSE))</f>
        <v>m3</v>
      </c>
      <c r="I973" s="394">
        <f t="shared" ref="I973:I977" si="118">IF(A973="","",VLOOKUP(A973,AA_Materiales,8,FALSE))</f>
        <v>497116</v>
      </c>
      <c r="J973" s="273"/>
      <c r="K973" s="395">
        <v>1.7000000000000001E-2</v>
      </c>
      <c r="L973" s="273"/>
      <c r="M973" s="394">
        <f t="shared" ref="M973:M977" si="119">IF(A973="","",I973*K973)</f>
        <v>8450.9719999999998</v>
      </c>
      <c r="N973" s="273"/>
    </row>
    <row r="974" spans="1:15" ht="12.75" customHeight="1" x14ac:dyDescent="0.2">
      <c r="A974" s="400" t="s">
        <v>956</v>
      </c>
      <c r="B974" s="271"/>
      <c r="C974" s="271"/>
      <c r="D974" s="271"/>
      <c r="E974" s="271"/>
      <c r="F974" s="271"/>
      <c r="G974" s="273"/>
      <c r="H974" s="29" t="str">
        <f t="shared" si="117"/>
        <v>Lt</v>
      </c>
      <c r="I974" s="394">
        <f t="shared" si="118"/>
        <v>20</v>
      </c>
      <c r="J974" s="273"/>
      <c r="K974" s="395">
        <v>5</v>
      </c>
      <c r="L974" s="273"/>
      <c r="M974" s="394">
        <f t="shared" si="119"/>
        <v>100</v>
      </c>
      <c r="N974" s="273"/>
    </row>
    <row r="975" spans="1:15" ht="12.75" customHeight="1" x14ac:dyDescent="0.2">
      <c r="A975" s="400"/>
      <c r="B975" s="271"/>
      <c r="C975" s="271"/>
      <c r="D975" s="271"/>
      <c r="E975" s="271"/>
      <c r="F975" s="271"/>
      <c r="G975" s="273"/>
      <c r="H975" s="29" t="str">
        <f t="shared" si="117"/>
        <v/>
      </c>
      <c r="I975" s="394" t="str">
        <f t="shared" si="118"/>
        <v/>
      </c>
      <c r="J975" s="273"/>
      <c r="K975" s="395"/>
      <c r="L975" s="273"/>
      <c r="M975" s="394" t="str">
        <f t="shared" si="119"/>
        <v/>
      </c>
      <c r="N975" s="273"/>
    </row>
    <row r="976" spans="1:15" ht="12.75" customHeight="1" x14ac:dyDescent="0.2">
      <c r="A976" s="400"/>
      <c r="B976" s="271"/>
      <c r="C976" s="271"/>
      <c r="D976" s="271"/>
      <c r="E976" s="271"/>
      <c r="F976" s="271"/>
      <c r="G976" s="273"/>
      <c r="H976" s="29" t="str">
        <f t="shared" si="117"/>
        <v/>
      </c>
      <c r="I976" s="394" t="str">
        <f t="shared" si="118"/>
        <v/>
      </c>
      <c r="J976" s="273"/>
      <c r="K976" s="395"/>
      <c r="L976" s="273"/>
      <c r="M976" s="394" t="str">
        <f t="shared" si="119"/>
        <v/>
      </c>
      <c r="N976" s="273"/>
    </row>
    <row r="977" spans="1:14" ht="12.75" customHeight="1" x14ac:dyDescent="0.2">
      <c r="A977" s="400"/>
      <c r="B977" s="271"/>
      <c r="C977" s="271"/>
      <c r="D977" s="271"/>
      <c r="E977" s="271"/>
      <c r="F977" s="271"/>
      <c r="G977" s="273"/>
      <c r="H977" s="29" t="str">
        <f t="shared" si="117"/>
        <v/>
      </c>
      <c r="I977" s="394" t="str">
        <f t="shared" si="118"/>
        <v/>
      </c>
      <c r="J977" s="273"/>
      <c r="K977" s="395"/>
      <c r="L977" s="273"/>
      <c r="M977" s="394" t="str">
        <f t="shared" si="119"/>
        <v/>
      </c>
      <c r="N977" s="273"/>
    </row>
    <row r="978" spans="1:14" ht="12.75" customHeight="1" x14ac:dyDescent="0.25">
      <c r="A978" s="4"/>
      <c r="B978" s="4"/>
      <c r="C978" s="4"/>
      <c r="D978" s="4"/>
      <c r="E978" s="4"/>
      <c r="F978" s="4"/>
      <c r="G978" s="4"/>
      <c r="H978" s="4"/>
      <c r="I978" s="4"/>
      <c r="J978" s="4"/>
      <c r="K978" s="396" t="s">
        <v>444</v>
      </c>
      <c r="L978" s="273"/>
      <c r="M978" s="394">
        <f>SUM(M973:N977)</f>
        <v>8550.9719999999998</v>
      </c>
      <c r="N978" s="273"/>
    </row>
    <row r="979" spans="1:14" ht="12.75" customHeight="1" x14ac:dyDescent="0.25">
      <c r="A979" s="4"/>
      <c r="B979" s="4"/>
      <c r="C979" s="4"/>
      <c r="D979" s="4"/>
      <c r="E979" s="4"/>
      <c r="F979" s="4"/>
      <c r="G979" s="4"/>
      <c r="H979" s="4"/>
      <c r="I979" s="4"/>
      <c r="J979" s="4"/>
      <c r="K979" s="4"/>
      <c r="L979" s="4"/>
      <c r="M979" s="4"/>
      <c r="N979" s="4"/>
    </row>
    <row r="980" spans="1:14" ht="12.75" customHeight="1" x14ac:dyDescent="0.2">
      <c r="A980" s="398" t="s">
        <v>926</v>
      </c>
      <c r="B980" s="271"/>
      <c r="C980" s="271"/>
      <c r="D980" s="271"/>
      <c r="E980" s="271"/>
      <c r="F980" s="271"/>
      <c r="G980" s="271"/>
      <c r="H980" s="271"/>
      <c r="I980" s="271"/>
      <c r="J980" s="271"/>
      <c r="K980" s="271"/>
      <c r="L980" s="271"/>
      <c r="M980" s="271"/>
      <c r="N980" s="273"/>
    </row>
    <row r="981" spans="1:14" ht="12.75" customHeight="1" x14ac:dyDescent="0.2">
      <c r="A981" s="396" t="s">
        <v>76</v>
      </c>
      <c r="B981" s="271"/>
      <c r="C981" s="271"/>
      <c r="D981" s="271"/>
      <c r="E981" s="271"/>
      <c r="F981" s="271"/>
      <c r="G981" s="273"/>
      <c r="H981" s="88" t="s">
        <v>77</v>
      </c>
      <c r="I981" s="399" t="s">
        <v>920</v>
      </c>
      <c r="J981" s="273"/>
      <c r="K981" s="399" t="s">
        <v>453</v>
      </c>
      <c r="L981" s="273"/>
      <c r="M981" s="399" t="s">
        <v>921</v>
      </c>
      <c r="N981" s="273"/>
    </row>
    <row r="982" spans="1:14" ht="12.75" customHeight="1" x14ac:dyDescent="0.2">
      <c r="A982" s="400" t="s">
        <v>927</v>
      </c>
      <c r="B982" s="271"/>
      <c r="C982" s="271"/>
      <c r="D982" s="271"/>
      <c r="E982" s="271"/>
      <c r="F982" s="271"/>
      <c r="G982" s="273"/>
      <c r="H982" s="29" t="str">
        <f>IF(A982="","",VLOOKUP(A982,AA_Equipos,7,FALSE))</f>
        <v>% M.O.</v>
      </c>
      <c r="I982" s="394">
        <f>M1005</f>
        <v>31919.494545454545</v>
      </c>
      <c r="J982" s="273"/>
      <c r="K982" s="404">
        <v>0.05</v>
      </c>
      <c r="L982" s="273"/>
      <c r="M982" s="394">
        <f t="shared" ref="M982:M986" si="120">IF(A982="","",I982*K982)</f>
        <v>1595.9747272727273</v>
      </c>
      <c r="N982" s="273"/>
    </row>
    <row r="983" spans="1:14" ht="12.75" customHeight="1" x14ac:dyDescent="0.2">
      <c r="A983" s="403"/>
      <c r="B983" s="271"/>
      <c r="C983" s="271"/>
      <c r="D983" s="271"/>
      <c r="E983" s="271"/>
      <c r="F983" s="271"/>
      <c r="G983" s="273"/>
      <c r="H983" s="29" t="str">
        <f>IF(A983="","",VLOOKUP(A983,AA_Equipos,7,FALSE))</f>
        <v/>
      </c>
      <c r="I983" s="394" t="str">
        <f>IF(A983="","",VLOOKUP(A983,AA_Equipos,8,FALSE))</f>
        <v/>
      </c>
      <c r="J983" s="273"/>
      <c r="K983" s="402"/>
      <c r="L983" s="273"/>
      <c r="M983" s="394" t="str">
        <f t="shared" si="120"/>
        <v/>
      </c>
      <c r="N983" s="273"/>
    </row>
    <row r="984" spans="1:14" ht="12.75" customHeight="1" x14ac:dyDescent="0.2">
      <c r="A984" s="400"/>
      <c r="B984" s="271"/>
      <c r="C984" s="271"/>
      <c r="D984" s="271"/>
      <c r="E984" s="271"/>
      <c r="F984" s="271"/>
      <c r="G984" s="273"/>
      <c r="H984" s="29" t="str">
        <f>IF(A984="","",VLOOKUP(A984,AA_Equipos,7,FALSE))</f>
        <v/>
      </c>
      <c r="I984" s="394" t="str">
        <f>IF(A984="","",VLOOKUP(A984,AA_Equipos,8,FALSE))</f>
        <v/>
      </c>
      <c r="J984" s="273"/>
      <c r="K984" s="401"/>
      <c r="L984" s="273"/>
      <c r="M984" s="394" t="str">
        <f t="shared" si="120"/>
        <v/>
      </c>
      <c r="N984" s="273"/>
    </row>
    <row r="985" spans="1:14" ht="12.75" customHeight="1" x14ac:dyDescent="0.2">
      <c r="A985" s="400"/>
      <c r="B985" s="271"/>
      <c r="C985" s="271"/>
      <c r="D985" s="271"/>
      <c r="E985" s="271"/>
      <c r="F985" s="271"/>
      <c r="G985" s="273"/>
      <c r="H985" s="29" t="str">
        <f>IF(A985="","",VLOOKUP(A985,AA_Equipos,7,FALSE))</f>
        <v/>
      </c>
      <c r="I985" s="394" t="str">
        <f>IF(A985="","",VLOOKUP(A985,AA_Equipos,8,FALSE))</f>
        <v/>
      </c>
      <c r="J985" s="273"/>
      <c r="K985" s="395"/>
      <c r="L985" s="273"/>
      <c r="M985" s="394" t="str">
        <f t="shared" si="120"/>
        <v/>
      </c>
      <c r="N985" s="273"/>
    </row>
    <row r="986" spans="1:14" ht="12.75" customHeight="1" x14ac:dyDescent="0.2">
      <c r="A986" s="400"/>
      <c r="B986" s="271"/>
      <c r="C986" s="271"/>
      <c r="D986" s="271"/>
      <c r="E986" s="271"/>
      <c r="F986" s="271"/>
      <c r="G986" s="273"/>
      <c r="H986" s="29" t="str">
        <f>IF(A986="","",VLOOKUP(A986,AA_Equipos,7,FALSE))</f>
        <v/>
      </c>
      <c r="I986" s="394" t="str">
        <f>IF(A986="","",VLOOKUP(A986,AA_Equipos,8,FALSE))</f>
        <v/>
      </c>
      <c r="J986" s="273"/>
      <c r="K986" s="395"/>
      <c r="L986" s="273"/>
      <c r="M986" s="394" t="str">
        <f t="shared" si="120"/>
        <v/>
      </c>
      <c r="N986" s="273"/>
    </row>
    <row r="987" spans="1:14" ht="12.75" customHeight="1" x14ac:dyDescent="0.25">
      <c r="A987" s="4"/>
      <c r="B987" s="4"/>
      <c r="C987" s="4"/>
      <c r="D987" s="4"/>
      <c r="E987" s="4"/>
      <c r="F987" s="4"/>
      <c r="G987" s="4"/>
      <c r="H987" s="4"/>
      <c r="I987" s="4"/>
      <c r="J987" s="4"/>
      <c r="K987" s="396" t="s">
        <v>444</v>
      </c>
      <c r="L987" s="273"/>
      <c r="M987" s="394">
        <f>SUM(M982:N986)</f>
        <v>1595.9747272727273</v>
      </c>
      <c r="N987" s="273"/>
    </row>
    <row r="988" spans="1:14" ht="12.75" customHeight="1" x14ac:dyDescent="0.25">
      <c r="A988" s="4"/>
      <c r="B988" s="4"/>
      <c r="C988" s="4"/>
      <c r="D988" s="4"/>
      <c r="E988" s="4"/>
      <c r="F988" s="4"/>
      <c r="G988" s="4"/>
      <c r="H988" s="4"/>
      <c r="I988" s="4"/>
      <c r="J988" s="4"/>
      <c r="K988" s="4"/>
      <c r="L988" s="4"/>
      <c r="M988" s="4"/>
      <c r="N988" s="4"/>
    </row>
    <row r="989" spans="1:14" ht="12.75" customHeight="1" x14ac:dyDescent="0.2">
      <c r="A989" s="398" t="s">
        <v>929</v>
      </c>
      <c r="B989" s="271"/>
      <c r="C989" s="271"/>
      <c r="D989" s="271"/>
      <c r="E989" s="271"/>
      <c r="F989" s="271"/>
      <c r="G989" s="271"/>
      <c r="H989" s="271"/>
      <c r="I989" s="271"/>
      <c r="J989" s="271"/>
      <c r="K989" s="271"/>
      <c r="L989" s="271"/>
      <c r="M989" s="271"/>
      <c r="N989" s="273"/>
    </row>
    <row r="990" spans="1:14" ht="12.75" customHeight="1" x14ac:dyDescent="0.2">
      <c r="A990" s="396" t="s">
        <v>76</v>
      </c>
      <c r="B990" s="271"/>
      <c r="C990" s="271"/>
      <c r="D990" s="271"/>
      <c r="E990" s="271"/>
      <c r="F990" s="271"/>
      <c r="G990" s="273"/>
      <c r="H990" s="88" t="s">
        <v>77</v>
      </c>
      <c r="I990" s="399" t="s">
        <v>920</v>
      </c>
      <c r="J990" s="273"/>
      <c r="K990" s="399" t="s">
        <v>453</v>
      </c>
      <c r="L990" s="273"/>
      <c r="M990" s="399" t="s">
        <v>921</v>
      </c>
      <c r="N990" s="273"/>
    </row>
    <row r="991" spans="1:14" ht="12.75" customHeight="1" x14ac:dyDescent="0.2">
      <c r="A991" s="400" t="s">
        <v>949</v>
      </c>
      <c r="B991" s="271"/>
      <c r="C991" s="271"/>
      <c r="D991" s="271"/>
      <c r="E991" s="271"/>
      <c r="F991" s="271"/>
      <c r="G991" s="273"/>
      <c r="H991" s="29" t="s">
        <v>950</v>
      </c>
      <c r="I991" s="394">
        <f>+M974</f>
        <v>100</v>
      </c>
      <c r="J991" s="273"/>
      <c r="K991" s="404">
        <v>0.05</v>
      </c>
      <c r="L991" s="273"/>
      <c r="M991" s="394">
        <f t="shared" ref="M991:M995" si="121">IF(A991="","",I991*K991)</f>
        <v>5</v>
      </c>
      <c r="N991" s="273"/>
    </row>
    <row r="992" spans="1:14" ht="12.75" customHeight="1" x14ac:dyDescent="0.2">
      <c r="A992" s="403" t="s">
        <v>1015</v>
      </c>
      <c r="B992" s="271"/>
      <c r="C992" s="271"/>
      <c r="D992" s="271"/>
      <c r="E992" s="271"/>
      <c r="F992" s="271"/>
      <c r="G992" s="273"/>
      <c r="H992" s="29" t="s">
        <v>944</v>
      </c>
      <c r="I992" s="394">
        <f>M987</f>
        <v>1595.9747272727273</v>
      </c>
      <c r="J992" s="273"/>
      <c r="K992" s="404">
        <v>0.05</v>
      </c>
      <c r="L992" s="273"/>
      <c r="M992" s="394">
        <f t="shared" si="121"/>
        <v>79.798736363636365</v>
      </c>
      <c r="N992" s="273"/>
    </row>
    <row r="993" spans="1:14" ht="12.75" customHeight="1" x14ac:dyDescent="0.2">
      <c r="A993" s="400"/>
      <c r="B993" s="271"/>
      <c r="C993" s="271"/>
      <c r="D993" s="271"/>
      <c r="E993" s="271"/>
      <c r="F993" s="271"/>
      <c r="G993" s="273"/>
      <c r="H993" s="29"/>
      <c r="I993" s="394"/>
      <c r="J993" s="273"/>
      <c r="K993" s="395"/>
      <c r="L993" s="273"/>
      <c r="M993" s="394" t="str">
        <f t="shared" si="121"/>
        <v/>
      </c>
      <c r="N993" s="273"/>
    </row>
    <row r="994" spans="1:14" ht="12.75" customHeight="1" x14ac:dyDescent="0.2">
      <c r="A994" s="400"/>
      <c r="B994" s="271"/>
      <c r="C994" s="271"/>
      <c r="D994" s="271"/>
      <c r="E994" s="271"/>
      <c r="F994" s="271"/>
      <c r="G994" s="273"/>
      <c r="H994" s="29"/>
      <c r="I994" s="394"/>
      <c r="J994" s="273"/>
      <c r="K994" s="395"/>
      <c r="L994" s="273"/>
      <c r="M994" s="394" t="str">
        <f t="shared" si="121"/>
        <v/>
      </c>
      <c r="N994" s="273"/>
    </row>
    <row r="995" spans="1:14" ht="12.75" customHeight="1" x14ac:dyDescent="0.2">
      <c r="A995" s="400"/>
      <c r="B995" s="271"/>
      <c r="C995" s="271"/>
      <c r="D995" s="271"/>
      <c r="E995" s="271"/>
      <c r="F995" s="271"/>
      <c r="G995" s="273"/>
      <c r="H995" s="29"/>
      <c r="I995" s="394"/>
      <c r="J995" s="273"/>
      <c r="K995" s="395"/>
      <c r="L995" s="273"/>
      <c r="M995" s="394" t="str">
        <f t="shared" si="121"/>
        <v/>
      </c>
      <c r="N995" s="273"/>
    </row>
    <row r="996" spans="1:14" ht="12.75" customHeight="1" x14ac:dyDescent="0.25">
      <c r="A996" s="4"/>
      <c r="B996" s="4"/>
      <c r="C996" s="4"/>
      <c r="D996" s="4"/>
      <c r="E996" s="4"/>
      <c r="F996" s="4"/>
      <c r="G996" s="4"/>
      <c r="H996" s="4"/>
      <c r="I996" s="4"/>
      <c r="J996" s="4"/>
      <c r="K996" s="396" t="s">
        <v>444</v>
      </c>
      <c r="L996" s="273"/>
      <c r="M996" s="394">
        <f>SUM(M991:N995)</f>
        <v>84.798736363636365</v>
      </c>
      <c r="N996" s="273"/>
    </row>
    <row r="997" spans="1:14" ht="12.75" customHeight="1" x14ac:dyDescent="0.25">
      <c r="A997" s="4"/>
      <c r="B997" s="4"/>
      <c r="C997" s="4"/>
      <c r="D997" s="4"/>
      <c r="E997" s="4"/>
      <c r="F997" s="4"/>
      <c r="G997" s="4"/>
      <c r="H997" s="4"/>
      <c r="I997" s="4"/>
      <c r="J997" s="4"/>
      <c r="K997" s="4"/>
      <c r="L997" s="4"/>
      <c r="M997" s="4"/>
      <c r="N997" s="4"/>
    </row>
    <row r="998" spans="1:14" ht="12.75" customHeight="1" x14ac:dyDescent="0.2">
      <c r="A998" s="398" t="s">
        <v>931</v>
      </c>
      <c r="B998" s="271"/>
      <c r="C998" s="271"/>
      <c r="D998" s="271"/>
      <c r="E998" s="271"/>
      <c r="F998" s="271"/>
      <c r="G998" s="271"/>
      <c r="H998" s="271"/>
      <c r="I998" s="271"/>
      <c r="J998" s="271"/>
      <c r="K998" s="271"/>
      <c r="L998" s="271"/>
      <c r="M998" s="271"/>
      <c r="N998" s="273"/>
    </row>
    <row r="999" spans="1:14" ht="12.75" customHeight="1" x14ac:dyDescent="0.2">
      <c r="A999" s="396" t="s">
        <v>76</v>
      </c>
      <c r="B999" s="271"/>
      <c r="C999" s="271"/>
      <c r="D999" s="271"/>
      <c r="E999" s="271"/>
      <c r="F999" s="271"/>
      <c r="G999" s="273"/>
      <c r="H999" s="88" t="s">
        <v>77</v>
      </c>
      <c r="I999" s="399" t="s">
        <v>920</v>
      </c>
      <c r="J999" s="273"/>
      <c r="K999" s="90" t="s">
        <v>514</v>
      </c>
      <c r="L999" s="91" t="s">
        <v>932</v>
      </c>
      <c r="M999" s="399" t="s">
        <v>921</v>
      </c>
      <c r="N999" s="273"/>
    </row>
    <row r="1000" spans="1:14" ht="12.75" customHeight="1" x14ac:dyDescent="0.25">
      <c r="A1000" s="393" t="s">
        <v>951</v>
      </c>
      <c r="B1000" s="271"/>
      <c r="C1000" s="271"/>
      <c r="D1000" s="271"/>
      <c r="E1000" s="271"/>
      <c r="F1000" s="271"/>
      <c r="G1000" s="273"/>
      <c r="H1000" s="29" t="str">
        <f>IF(A1000="","",VLOOKUP(A1000,AA_Cuadrillas,4,FALSE))</f>
        <v>Cuadrilla</v>
      </c>
      <c r="I1000" s="394">
        <f>IF(A1000="","",VLOOKUP(A1000,AA_Cuadrillas,5,FALSE))</f>
        <v>186763</v>
      </c>
      <c r="J1000" s="273"/>
      <c r="K1000" s="9">
        <f>IF(A1000="","",F.P!$I$2)</f>
        <v>1.88</v>
      </c>
      <c r="L1000" s="93">
        <f>1/11</f>
        <v>9.0909090909090912E-2</v>
      </c>
      <c r="M1000" s="394">
        <f t="shared" ref="M1000:M1004" si="122">IF(A1000="","",I1000*K1000*L1000)</f>
        <v>31919.494545454545</v>
      </c>
      <c r="N1000" s="273"/>
    </row>
    <row r="1001" spans="1:14" ht="12.75" customHeight="1" x14ac:dyDescent="0.25">
      <c r="A1001" s="393"/>
      <c r="B1001" s="271"/>
      <c r="C1001" s="271"/>
      <c r="D1001" s="271"/>
      <c r="E1001" s="271"/>
      <c r="F1001" s="271"/>
      <c r="G1001" s="273"/>
      <c r="H1001" s="29" t="str">
        <f>IF(A1001="","",VLOOKUP(A1001,AA_Cuadrillas,4,FALSE))</f>
        <v/>
      </c>
      <c r="I1001" s="394" t="str">
        <f>IF(A1001="","",VLOOKUP(A1001,AA_Cuadrillas,5,FALSE))</f>
        <v/>
      </c>
      <c r="J1001" s="273"/>
      <c r="K1001" s="9" t="str">
        <f>IF(A1001="","",F.P!$I$2)</f>
        <v/>
      </c>
      <c r="L1001" s="9"/>
      <c r="M1001" s="394" t="str">
        <f t="shared" si="122"/>
        <v/>
      </c>
      <c r="N1001" s="273"/>
    </row>
    <row r="1002" spans="1:14" ht="12.75" customHeight="1" x14ac:dyDescent="0.25">
      <c r="A1002" s="393"/>
      <c r="B1002" s="271"/>
      <c r="C1002" s="271"/>
      <c r="D1002" s="271"/>
      <c r="E1002" s="271"/>
      <c r="F1002" s="271"/>
      <c r="G1002" s="273"/>
      <c r="H1002" s="29" t="str">
        <f>IF(A1002="","",VLOOKUP(A1002,AA_Cuadrillas,4,FALSE))</f>
        <v/>
      </c>
      <c r="I1002" s="394" t="str">
        <f>IF(A1002="","",VLOOKUP(A1002,AA_Cuadrillas,5,FALSE))</f>
        <v/>
      </c>
      <c r="J1002" s="273"/>
      <c r="K1002" s="9" t="str">
        <f>IF(A1002="","",F.P!$I$2)</f>
        <v/>
      </c>
      <c r="L1002" s="37"/>
      <c r="M1002" s="394" t="str">
        <f t="shared" si="122"/>
        <v/>
      </c>
      <c r="N1002" s="273"/>
    </row>
    <row r="1003" spans="1:14" ht="12.75" customHeight="1" x14ac:dyDescent="0.25">
      <c r="A1003" s="393"/>
      <c r="B1003" s="271"/>
      <c r="C1003" s="271"/>
      <c r="D1003" s="271"/>
      <c r="E1003" s="271"/>
      <c r="F1003" s="271"/>
      <c r="G1003" s="273"/>
      <c r="H1003" s="29" t="str">
        <f>IF(A1003="","",VLOOKUP(A1003,AA_Cuadrillas,4,FALSE))</f>
        <v/>
      </c>
      <c r="I1003" s="394" t="str">
        <f>IF(A1003="","",VLOOKUP(A1003,AA_Cuadrillas,5,FALSE))</f>
        <v/>
      </c>
      <c r="J1003" s="273"/>
      <c r="K1003" s="9" t="str">
        <f>IF(A1003="","",F.P!$I$2)</f>
        <v/>
      </c>
      <c r="L1003" s="37"/>
      <c r="M1003" s="394" t="str">
        <f t="shared" si="122"/>
        <v/>
      </c>
      <c r="N1003" s="273"/>
    </row>
    <row r="1004" spans="1:14" ht="12.75" customHeight="1" x14ac:dyDescent="0.25">
      <c r="A1004" s="393"/>
      <c r="B1004" s="271"/>
      <c r="C1004" s="271"/>
      <c r="D1004" s="271"/>
      <c r="E1004" s="271"/>
      <c r="F1004" s="271"/>
      <c r="G1004" s="273"/>
      <c r="H1004" s="29" t="str">
        <f>IF(A1004="","",VLOOKUP(A1004,AA_Cuadrillas,4,FALSE))</f>
        <v/>
      </c>
      <c r="I1004" s="394" t="str">
        <f>IF(A1004="","",VLOOKUP(A1004,AA_Cuadrillas,5,FALSE))</f>
        <v/>
      </c>
      <c r="J1004" s="273"/>
      <c r="K1004" s="9" t="str">
        <f>IF(A1004="","",F.P!$I$2)</f>
        <v/>
      </c>
      <c r="L1004" s="37"/>
      <c r="M1004" s="394" t="str">
        <f t="shared" si="122"/>
        <v/>
      </c>
      <c r="N1004" s="273"/>
    </row>
    <row r="1005" spans="1:14" ht="12.75" customHeight="1" x14ac:dyDescent="0.25">
      <c r="A1005" s="4"/>
      <c r="B1005" s="4"/>
      <c r="C1005" s="4"/>
      <c r="D1005" s="4"/>
      <c r="E1005" s="4"/>
      <c r="F1005" s="4"/>
      <c r="G1005" s="4"/>
      <c r="H1005" s="4"/>
      <c r="I1005" s="4"/>
      <c r="J1005" s="4"/>
      <c r="K1005" s="396" t="s">
        <v>444</v>
      </c>
      <c r="L1005" s="273"/>
      <c r="M1005" s="394">
        <f>SUM(M1000:N1004)</f>
        <v>31919.494545454545</v>
      </c>
      <c r="N1005" s="273"/>
    </row>
    <row r="1006" spans="1:14" ht="12.75" customHeight="1" x14ac:dyDescent="0.2"/>
    <row r="1007" spans="1:14" ht="12.75" customHeight="1" x14ac:dyDescent="0.2">
      <c r="A1007" s="407" t="s">
        <v>104</v>
      </c>
      <c r="B1007" s="275"/>
      <c r="C1007" s="275"/>
      <c r="D1007" s="275"/>
      <c r="E1007" s="275"/>
      <c r="F1007" s="275"/>
      <c r="G1007" s="275"/>
      <c r="H1007" s="275"/>
      <c r="I1007" s="275"/>
      <c r="J1007" s="275"/>
      <c r="K1007" s="275"/>
      <c r="L1007" s="275"/>
      <c r="M1007" s="275"/>
      <c r="N1007" s="276"/>
    </row>
    <row r="1008" spans="1:14" ht="12.75" customHeight="1" x14ac:dyDescent="0.2">
      <c r="A1008" s="277"/>
      <c r="B1008" s="278"/>
      <c r="C1008" s="278"/>
      <c r="D1008" s="278"/>
      <c r="E1008" s="278"/>
      <c r="F1008" s="278"/>
      <c r="G1008" s="278"/>
      <c r="H1008" s="278"/>
      <c r="I1008" s="278"/>
      <c r="J1008" s="278"/>
      <c r="K1008" s="278"/>
      <c r="L1008" s="278"/>
      <c r="M1008" s="278"/>
      <c r="N1008" s="279"/>
    </row>
    <row r="1009" spans="1:14" ht="12.75" customHeight="1" x14ac:dyDescent="0.2">
      <c r="A1009" s="75"/>
      <c r="B1009" s="75"/>
      <c r="C1009" s="75"/>
      <c r="D1009" s="75"/>
      <c r="E1009" s="75"/>
      <c r="F1009" s="75"/>
      <c r="G1009" s="75"/>
      <c r="H1009" s="75"/>
      <c r="I1009" s="75"/>
      <c r="J1009" s="75"/>
      <c r="K1009" s="75"/>
      <c r="L1009" s="75"/>
      <c r="M1009" s="75"/>
      <c r="N1009" s="75"/>
    </row>
    <row r="1010" spans="1:14" ht="12.75" customHeight="1" x14ac:dyDescent="0.3">
      <c r="A1010" s="79" t="s">
        <v>636</v>
      </c>
      <c r="B1010" s="80" t="str">
        <f>A1007</f>
        <v>CONSTRUCCIÓN DE MURO EN GAVIONES DE PREVENCIÓN PERIMETRAL (INCLUYE MATERIALES, MAQUINARIA, HERRAMIENTAS Y MANO DE OBRA)</v>
      </c>
      <c r="C1010" s="81" t="s">
        <v>916</v>
      </c>
      <c r="D1010" s="82" t="s">
        <v>258</v>
      </c>
      <c r="E1010" s="83" t="s">
        <v>445</v>
      </c>
      <c r="F1010" s="234">
        <f>(H1010+J1010+L1010+N1010)*1.3</f>
        <v>276351.9628783334</v>
      </c>
      <c r="G1010" s="83" t="s">
        <v>607</v>
      </c>
      <c r="H1010" s="86">
        <f>M1029</f>
        <v>66414.076166666666</v>
      </c>
      <c r="I1010" s="83" t="s">
        <v>918</v>
      </c>
      <c r="J1010" s="86">
        <f>M1020</f>
        <v>80309.123500000002</v>
      </c>
      <c r="K1010" s="83" t="s">
        <v>609</v>
      </c>
      <c r="L1010" s="86">
        <f>M1038</f>
        <v>7336.1599833333339</v>
      </c>
      <c r="M1010" s="83" t="s">
        <v>610</v>
      </c>
      <c r="N1010" s="86">
        <f>M1047</f>
        <v>58519.073333333334</v>
      </c>
    </row>
    <row r="1011" spans="1:14" ht="12.75" customHeight="1" x14ac:dyDescent="0.25">
      <c r="A1011" s="87"/>
      <c r="B1011" s="87"/>
      <c r="C1011" s="87"/>
      <c r="D1011" s="87"/>
      <c r="E1011" s="87"/>
      <c r="F1011" s="87"/>
      <c r="G1011" s="87"/>
      <c r="J1011" s="87"/>
      <c r="K1011" s="215" t="s">
        <v>3217</v>
      </c>
      <c r="L1011" s="215">
        <f>+F1010*presup!$O$5</f>
        <v>359257.55174183345</v>
      </c>
      <c r="M1011" s="87"/>
      <c r="N1011" s="87"/>
    </row>
    <row r="1012" spans="1:14" ht="12.75" customHeight="1" x14ac:dyDescent="0.2">
      <c r="A1012" s="398" t="s">
        <v>919</v>
      </c>
      <c r="B1012" s="271"/>
      <c r="C1012" s="271"/>
      <c r="D1012" s="271"/>
      <c r="E1012" s="271"/>
      <c r="F1012" s="271"/>
      <c r="G1012" s="271"/>
      <c r="H1012" s="271"/>
      <c r="I1012" s="271"/>
      <c r="J1012" s="271"/>
      <c r="K1012" s="271"/>
      <c r="L1012" s="271"/>
      <c r="M1012" s="271"/>
      <c r="N1012" s="273"/>
    </row>
    <row r="1013" spans="1:14" ht="12.75" customHeight="1" x14ac:dyDescent="0.2">
      <c r="A1013" s="396" t="s">
        <v>76</v>
      </c>
      <c r="B1013" s="271"/>
      <c r="C1013" s="271"/>
      <c r="D1013" s="271"/>
      <c r="E1013" s="271"/>
      <c r="F1013" s="271"/>
      <c r="G1013" s="273"/>
      <c r="H1013" s="88" t="s">
        <v>77</v>
      </c>
      <c r="I1013" s="399" t="s">
        <v>920</v>
      </c>
      <c r="J1013" s="273"/>
      <c r="K1013" s="399" t="s">
        <v>453</v>
      </c>
      <c r="L1013" s="273"/>
      <c r="M1013" s="399" t="s">
        <v>921</v>
      </c>
      <c r="N1013" s="273"/>
    </row>
    <row r="1014" spans="1:14" ht="27" customHeight="1" x14ac:dyDescent="0.2">
      <c r="A1014" s="403" t="s">
        <v>1016</v>
      </c>
      <c r="B1014" s="271"/>
      <c r="C1014" s="271"/>
      <c r="D1014" s="271"/>
      <c r="E1014" s="271"/>
      <c r="F1014" s="271"/>
      <c r="G1014" s="273"/>
      <c r="H1014" s="29" t="str">
        <f t="shared" ref="H1014:H1019" si="123">IF(A1014="","",VLOOKUP(A1014,AA_Materiales,7,FALSE))</f>
        <v>Unidad</v>
      </c>
      <c r="I1014" s="394">
        <f t="shared" ref="I1014:I1019" si="124">IF(A1014="","",VLOOKUP(A1014,AA_Materiales,8,FALSE))</f>
        <v>56982.559999999998</v>
      </c>
      <c r="J1014" s="273"/>
      <c r="K1014" s="395">
        <v>0.52500000000000002</v>
      </c>
      <c r="L1014" s="273"/>
      <c r="M1014" s="394">
        <f t="shared" ref="M1014:M1019" si="125">IF(A1014="","",I1014*K1014)</f>
        <v>29915.844000000001</v>
      </c>
      <c r="N1014" s="273"/>
    </row>
    <row r="1015" spans="1:14" ht="12.75" customHeight="1" x14ac:dyDescent="0.2">
      <c r="A1015" s="400" t="s">
        <v>1017</v>
      </c>
      <c r="B1015" s="271"/>
      <c r="C1015" s="271"/>
      <c r="D1015" s="271"/>
      <c r="E1015" s="271"/>
      <c r="F1015" s="271"/>
      <c r="G1015" s="273"/>
      <c r="H1015" s="29" t="str">
        <f t="shared" si="123"/>
        <v>ml</v>
      </c>
      <c r="I1015" s="394">
        <f t="shared" si="124"/>
        <v>2110.38</v>
      </c>
      <c r="J1015" s="273"/>
      <c r="K1015" s="395">
        <v>1.75</v>
      </c>
      <c r="L1015" s="273"/>
      <c r="M1015" s="394">
        <f t="shared" si="125"/>
        <v>3693.165</v>
      </c>
      <c r="N1015" s="273"/>
    </row>
    <row r="1016" spans="1:14" ht="12.75" customHeight="1" x14ac:dyDescent="0.2">
      <c r="A1016" s="400" t="s">
        <v>1018</v>
      </c>
      <c r="B1016" s="271"/>
      <c r="C1016" s="271"/>
      <c r="D1016" s="271"/>
      <c r="E1016" s="271"/>
      <c r="F1016" s="271"/>
      <c r="G1016" s="273"/>
      <c r="H1016" s="29" t="str">
        <f t="shared" si="123"/>
        <v>ml</v>
      </c>
      <c r="I1016" s="394">
        <f t="shared" si="124"/>
        <v>8320.98</v>
      </c>
      <c r="J1016" s="273"/>
      <c r="K1016" s="395">
        <v>0.3</v>
      </c>
      <c r="L1016" s="273"/>
      <c r="M1016" s="394">
        <f t="shared" si="125"/>
        <v>2496.2939999999999</v>
      </c>
      <c r="N1016" s="273"/>
    </row>
    <row r="1017" spans="1:14" ht="12.75" customHeight="1" x14ac:dyDescent="0.2">
      <c r="A1017" s="400" t="s">
        <v>1019</v>
      </c>
      <c r="B1017" s="271"/>
      <c r="C1017" s="271"/>
      <c r="D1017" s="271"/>
      <c r="E1017" s="271"/>
      <c r="F1017" s="271"/>
      <c r="G1017" s="273"/>
      <c r="H1017" s="29" t="str">
        <f t="shared" si="123"/>
        <v>Kg</v>
      </c>
      <c r="I1017" s="394">
        <f t="shared" si="124"/>
        <v>23800</v>
      </c>
      <c r="J1017" s="273"/>
      <c r="K1017" s="395">
        <v>7.4999999999999997E-2</v>
      </c>
      <c r="L1017" s="273"/>
      <c r="M1017" s="394">
        <f t="shared" si="125"/>
        <v>1785</v>
      </c>
      <c r="N1017" s="273"/>
    </row>
    <row r="1018" spans="1:14" ht="12.75" customHeight="1" x14ac:dyDescent="0.2">
      <c r="A1018" s="400" t="s">
        <v>1020</v>
      </c>
      <c r="B1018" s="271"/>
      <c r="C1018" s="271"/>
      <c r="D1018" s="271"/>
      <c r="E1018" s="271"/>
      <c r="F1018" s="271"/>
      <c r="G1018" s="273"/>
      <c r="H1018" s="29" t="str">
        <f t="shared" si="123"/>
        <v>ml</v>
      </c>
      <c r="I1018" s="394">
        <f t="shared" si="124"/>
        <v>7889.29</v>
      </c>
      <c r="J1018" s="273"/>
      <c r="K1018" s="395">
        <v>0.05</v>
      </c>
      <c r="L1018" s="273"/>
      <c r="M1018" s="394">
        <f t="shared" si="125"/>
        <v>394.46450000000004</v>
      </c>
      <c r="N1018" s="273"/>
    </row>
    <row r="1019" spans="1:14" ht="12.75" customHeight="1" x14ac:dyDescent="0.2">
      <c r="A1019" s="400" t="s">
        <v>1021</v>
      </c>
      <c r="B1019" s="271"/>
      <c r="C1019" s="271"/>
      <c r="D1019" s="271"/>
      <c r="E1019" s="271"/>
      <c r="F1019" s="271"/>
      <c r="G1019" s="273"/>
      <c r="H1019" s="29" t="str">
        <f t="shared" si="123"/>
        <v>m3</v>
      </c>
      <c r="I1019" s="394">
        <f t="shared" si="124"/>
        <v>38203.96</v>
      </c>
      <c r="J1019" s="273"/>
      <c r="K1019" s="395">
        <v>1.1000000000000001</v>
      </c>
      <c r="L1019" s="273"/>
      <c r="M1019" s="394">
        <f t="shared" si="125"/>
        <v>42024.356</v>
      </c>
      <c r="N1019" s="273"/>
    </row>
    <row r="1020" spans="1:14" ht="12.75" customHeight="1" x14ac:dyDescent="0.25">
      <c r="A1020" s="4"/>
      <c r="B1020" s="4"/>
      <c r="C1020" s="4"/>
      <c r="D1020" s="4"/>
      <c r="E1020" s="4"/>
      <c r="F1020" s="4"/>
      <c r="G1020" s="4"/>
      <c r="H1020" s="4"/>
      <c r="I1020" s="4"/>
      <c r="J1020" s="4"/>
      <c r="K1020" s="396" t="s">
        <v>444</v>
      </c>
      <c r="L1020" s="273"/>
      <c r="M1020" s="394">
        <f>SUM(M1014:N1019)</f>
        <v>80309.123500000002</v>
      </c>
      <c r="N1020" s="273"/>
    </row>
    <row r="1021" spans="1:14" ht="12.75" customHeight="1" x14ac:dyDescent="0.25">
      <c r="A1021" s="4"/>
      <c r="B1021" s="4"/>
      <c r="C1021" s="4"/>
      <c r="D1021" s="4"/>
      <c r="E1021" s="4"/>
      <c r="F1021" s="4"/>
      <c r="G1021" s="4"/>
      <c r="H1021" s="4"/>
      <c r="I1021" s="4"/>
      <c r="J1021" s="4"/>
      <c r="K1021" s="4"/>
      <c r="L1021" s="4"/>
      <c r="M1021" s="4"/>
      <c r="N1021" s="4"/>
    </row>
    <row r="1022" spans="1:14" ht="12.75" customHeight="1" x14ac:dyDescent="0.2">
      <c r="A1022" s="398" t="s">
        <v>926</v>
      </c>
      <c r="B1022" s="271"/>
      <c r="C1022" s="271"/>
      <c r="D1022" s="271"/>
      <c r="E1022" s="271"/>
      <c r="F1022" s="271"/>
      <c r="G1022" s="271"/>
      <c r="H1022" s="271"/>
      <c r="I1022" s="271"/>
      <c r="J1022" s="271"/>
      <c r="K1022" s="271"/>
      <c r="L1022" s="271"/>
      <c r="M1022" s="271"/>
      <c r="N1022" s="273"/>
    </row>
    <row r="1023" spans="1:14" ht="12.75" customHeight="1" x14ac:dyDescent="0.2">
      <c r="A1023" s="396" t="s">
        <v>76</v>
      </c>
      <c r="B1023" s="271"/>
      <c r="C1023" s="271"/>
      <c r="D1023" s="271"/>
      <c r="E1023" s="271"/>
      <c r="F1023" s="271"/>
      <c r="G1023" s="273"/>
      <c r="H1023" s="88" t="s">
        <v>77</v>
      </c>
      <c r="I1023" s="399" t="s">
        <v>920</v>
      </c>
      <c r="J1023" s="273"/>
      <c r="K1023" s="399" t="s">
        <v>453</v>
      </c>
      <c r="L1023" s="273"/>
      <c r="M1023" s="399" t="s">
        <v>921</v>
      </c>
      <c r="N1023" s="273"/>
    </row>
    <row r="1024" spans="1:14" ht="12.75" customHeight="1" x14ac:dyDescent="0.2">
      <c r="A1024" s="400" t="s">
        <v>927</v>
      </c>
      <c r="B1024" s="271"/>
      <c r="C1024" s="271"/>
      <c r="D1024" s="271"/>
      <c r="E1024" s="271"/>
      <c r="F1024" s="271"/>
      <c r="G1024" s="273"/>
      <c r="H1024" s="29" t="str">
        <f>IF(A1024="","",VLOOKUP(A1024,AA_Equipos,7,FALSE))</f>
        <v>% M.O.</v>
      </c>
      <c r="I1024" s="394">
        <f>M1047</f>
        <v>58519.073333333334</v>
      </c>
      <c r="J1024" s="273"/>
      <c r="K1024" s="404">
        <v>0.05</v>
      </c>
      <c r="L1024" s="273"/>
      <c r="M1024" s="394">
        <f t="shared" ref="M1024:M1028" si="126">IF(A1024="","",I1024*K1024)</f>
        <v>2925.9536666666668</v>
      </c>
      <c r="N1024" s="273"/>
    </row>
    <row r="1025" spans="1:14" ht="12.75" customHeight="1" x14ac:dyDescent="0.2">
      <c r="A1025" s="403" t="s">
        <v>938</v>
      </c>
      <c r="B1025" s="271"/>
      <c r="C1025" s="271"/>
      <c r="D1025" s="271"/>
      <c r="E1025" s="271"/>
      <c r="F1025" s="271"/>
      <c r="G1025" s="273"/>
      <c r="H1025" s="29" t="str">
        <f>IF(A1025="","",VLOOKUP(A1025,AA_Equipos,7,FALSE))</f>
        <v>Hora</v>
      </c>
      <c r="I1025" s="394">
        <f>IF(A1025="","",VLOOKUP(A1025,AA_Equipos,8,FALSE))</f>
        <v>120000</v>
      </c>
      <c r="J1025" s="273"/>
      <c r="K1025" s="402">
        <v>0.33</v>
      </c>
      <c r="L1025" s="273"/>
      <c r="M1025" s="394">
        <f t="shared" si="126"/>
        <v>39600</v>
      </c>
      <c r="N1025" s="273"/>
    </row>
    <row r="1026" spans="1:14" ht="12.75" customHeight="1" x14ac:dyDescent="0.2">
      <c r="A1026" s="400" t="s">
        <v>1022</v>
      </c>
      <c r="B1026" s="271"/>
      <c r="C1026" s="271"/>
      <c r="D1026" s="271"/>
      <c r="E1026" s="271"/>
      <c r="F1026" s="271"/>
      <c r="G1026" s="273"/>
      <c r="H1026" s="29" t="str">
        <f>IF(A1026="","",VLOOKUP(A1026,AA_Equipos,7,FALSE))</f>
        <v>Hora</v>
      </c>
      <c r="I1026" s="394">
        <f>IF(A1026="","",VLOOKUP(A1026,AA_Equipos,8,FALSE))</f>
        <v>86865.9</v>
      </c>
      <c r="J1026" s="273"/>
      <c r="K1026" s="401">
        <v>0.27500000000000002</v>
      </c>
      <c r="L1026" s="273"/>
      <c r="M1026" s="394">
        <f t="shared" si="126"/>
        <v>23888.122500000001</v>
      </c>
      <c r="N1026" s="273"/>
    </row>
    <row r="1027" spans="1:14" ht="12.75" customHeight="1" x14ac:dyDescent="0.2">
      <c r="A1027" s="400"/>
      <c r="B1027" s="271"/>
      <c r="C1027" s="271"/>
      <c r="D1027" s="271"/>
      <c r="E1027" s="271"/>
      <c r="F1027" s="271"/>
      <c r="G1027" s="273"/>
      <c r="H1027" s="29" t="str">
        <f>IF(A1027="","",VLOOKUP(A1027,AA_Equipos,7,FALSE))</f>
        <v/>
      </c>
      <c r="I1027" s="394" t="str">
        <f>IF(A1027="","",VLOOKUP(A1027,AA_Equipos,8,FALSE))</f>
        <v/>
      </c>
      <c r="J1027" s="273"/>
      <c r="K1027" s="395"/>
      <c r="L1027" s="273"/>
      <c r="M1027" s="394" t="str">
        <f t="shared" si="126"/>
        <v/>
      </c>
      <c r="N1027" s="273"/>
    </row>
    <row r="1028" spans="1:14" ht="12.75" customHeight="1" x14ac:dyDescent="0.2">
      <c r="A1028" s="400"/>
      <c r="B1028" s="271"/>
      <c r="C1028" s="271"/>
      <c r="D1028" s="271"/>
      <c r="E1028" s="271"/>
      <c r="F1028" s="271"/>
      <c r="G1028" s="273"/>
      <c r="H1028" s="29" t="str">
        <f>IF(A1028="","",VLOOKUP(A1028,AA_Equipos,7,FALSE))</f>
        <v/>
      </c>
      <c r="I1028" s="394" t="str">
        <f>IF(A1028="","",VLOOKUP(A1028,AA_Equipos,8,FALSE))</f>
        <v/>
      </c>
      <c r="J1028" s="273"/>
      <c r="K1028" s="395"/>
      <c r="L1028" s="273"/>
      <c r="M1028" s="394" t="str">
        <f t="shared" si="126"/>
        <v/>
      </c>
      <c r="N1028" s="273"/>
    </row>
    <row r="1029" spans="1:14" ht="12.75" customHeight="1" x14ac:dyDescent="0.25">
      <c r="A1029" s="4"/>
      <c r="B1029" s="4"/>
      <c r="C1029" s="4"/>
      <c r="D1029" s="4"/>
      <c r="E1029" s="4"/>
      <c r="F1029" s="4"/>
      <c r="G1029" s="4"/>
      <c r="H1029" s="4"/>
      <c r="I1029" s="4"/>
      <c r="J1029" s="4"/>
      <c r="K1029" s="396" t="s">
        <v>444</v>
      </c>
      <c r="L1029" s="273"/>
      <c r="M1029" s="394">
        <f>SUM(M1024:N1028)</f>
        <v>66414.076166666666</v>
      </c>
      <c r="N1029" s="273"/>
    </row>
    <row r="1030" spans="1:14" ht="12.75" customHeight="1" x14ac:dyDescent="0.25">
      <c r="A1030" s="4"/>
      <c r="B1030" s="4"/>
      <c r="C1030" s="4"/>
      <c r="D1030" s="4"/>
      <c r="E1030" s="4"/>
      <c r="F1030" s="4"/>
      <c r="G1030" s="4"/>
      <c r="H1030" s="4"/>
      <c r="I1030" s="4"/>
      <c r="J1030" s="4"/>
      <c r="K1030" s="4"/>
      <c r="L1030" s="4"/>
      <c r="M1030" s="4"/>
      <c r="N1030" s="4"/>
    </row>
    <row r="1031" spans="1:14" ht="12.75" customHeight="1" x14ac:dyDescent="0.2">
      <c r="A1031" s="398" t="s">
        <v>929</v>
      </c>
      <c r="B1031" s="271"/>
      <c r="C1031" s="271"/>
      <c r="D1031" s="271"/>
      <c r="E1031" s="271"/>
      <c r="F1031" s="271"/>
      <c r="G1031" s="271"/>
      <c r="H1031" s="271"/>
      <c r="I1031" s="271"/>
      <c r="J1031" s="271"/>
      <c r="K1031" s="271"/>
      <c r="L1031" s="271"/>
      <c r="M1031" s="271"/>
      <c r="N1031" s="273"/>
    </row>
    <row r="1032" spans="1:14" ht="12.75" customHeight="1" x14ac:dyDescent="0.2">
      <c r="A1032" s="396" t="s">
        <v>76</v>
      </c>
      <c r="B1032" s="271"/>
      <c r="C1032" s="271"/>
      <c r="D1032" s="271"/>
      <c r="E1032" s="271"/>
      <c r="F1032" s="271"/>
      <c r="G1032" s="273"/>
      <c r="H1032" s="88" t="s">
        <v>77</v>
      </c>
      <c r="I1032" s="399" t="s">
        <v>920</v>
      </c>
      <c r="J1032" s="273"/>
      <c r="K1032" s="399" t="s">
        <v>453</v>
      </c>
      <c r="L1032" s="273"/>
      <c r="M1032" s="399" t="s">
        <v>921</v>
      </c>
      <c r="N1032" s="273"/>
    </row>
    <row r="1033" spans="1:14" ht="12.75" customHeight="1" x14ac:dyDescent="0.2">
      <c r="A1033" s="400" t="s">
        <v>949</v>
      </c>
      <c r="B1033" s="271"/>
      <c r="C1033" s="271"/>
      <c r="D1033" s="271"/>
      <c r="E1033" s="271"/>
      <c r="F1033" s="271"/>
      <c r="G1033" s="273"/>
      <c r="H1033" s="29" t="s">
        <v>950</v>
      </c>
      <c r="I1033" s="394">
        <f>+M1020</f>
        <v>80309.123500000002</v>
      </c>
      <c r="J1033" s="273"/>
      <c r="K1033" s="404">
        <v>0.05</v>
      </c>
      <c r="L1033" s="273"/>
      <c r="M1033" s="394">
        <f t="shared" ref="M1033:M1037" si="127">IF(A1033="","",I1033*K1033)</f>
        <v>4015.4561750000003</v>
      </c>
      <c r="N1033" s="273"/>
    </row>
    <row r="1034" spans="1:14" ht="12.75" customHeight="1" x14ac:dyDescent="0.2">
      <c r="A1034" s="403" t="s">
        <v>1012</v>
      </c>
      <c r="B1034" s="271"/>
      <c r="C1034" s="271"/>
      <c r="D1034" s="271"/>
      <c r="E1034" s="271"/>
      <c r="F1034" s="271"/>
      <c r="G1034" s="273"/>
      <c r="H1034" s="29" t="s">
        <v>944</v>
      </c>
      <c r="I1034" s="394">
        <f>+M1029</f>
        <v>66414.076166666666</v>
      </c>
      <c r="J1034" s="273"/>
      <c r="K1034" s="404">
        <v>0.05</v>
      </c>
      <c r="L1034" s="273"/>
      <c r="M1034" s="394">
        <f t="shared" si="127"/>
        <v>3320.7038083333337</v>
      </c>
      <c r="N1034" s="273"/>
    </row>
    <row r="1035" spans="1:14" ht="12.75" customHeight="1" x14ac:dyDescent="0.2">
      <c r="A1035" s="400"/>
      <c r="B1035" s="271"/>
      <c r="C1035" s="271"/>
      <c r="D1035" s="271"/>
      <c r="E1035" s="271"/>
      <c r="F1035" s="271"/>
      <c r="G1035" s="273"/>
      <c r="H1035" s="29"/>
      <c r="I1035" s="394"/>
      <c r="J1035" s="273"/>
      <c r="K1035" s="395"/>
      <c r="L1035" s="273"/>
      <c r="M1035" s="394" t="str">
        <f t="shared" si="127"/>
        <v/>
      </c>
      <c r="N1035" s="273"/>
    </row>
    <row r="1036" spans="1:14" ht="12.75" customHeight="1" x14ac:dyDescent="0.2">
      <c r="A1036" s="400"/>
      <c r="B1036" s="271"/>
      <c r="C1036" s="271"/>
      <c r="D1036" s="271"/>
      <c r="E1036" s="271"/>
      <c r="F1036" s="271"/>
      <c r="G1036" s="273"/>
      <c r="H1036" s="29"/>
      <c r="I1036" s="394"/>
      <c r="J1036" s="273"/>
      <c r="K1036" s="395"/>
      <c r="L1036" s="273"/>
      <c r="M1036" s="394" t="str">
        <f t="shared" si="127"/>
        <v/>
      </c>
      <c r="N1036" s="273"/>
    </row>
    <row r="1037" spans="1:14" ht="12.75" customHeight="1" x14ac:dyDescent="0.2">
      <c r="A1037" s="400"/>
      <c r="B1037" s="271"/>
      <c r="C1037" s="271"/>
      <c r="D1037" s="271"/>
      <c r="E1037" s="271"/>
      <c r="F1037" s="271"/>
      <c r="G1037" s="273"/>
      <c r="H1037" s="29"/>
      <c r="I1037" s="394"/>
      <c r="J1037" s="273"/>
      <c r="K1037" s="395"/>
      <c r="L1037" s="273"/>
      <c r="M1037" s="394" t="str">
        <f t="shared" si="127"/>
        <v/>
      </c>
      <c r="N1037" s="273"/>
    </row>
    <row r="1038" spans="1:14" ht="12.75" customHeight="1" x14ac:dyDescent="0.25">
      <c r="A1038" s="4"/>
      <c r="B1038" s="4"/>
      <c r="C1038" s="4"/>
      <c r="D1038" s="4"/>
      <c r="E1038" s="4"/>
      <c r="F1038" s="4"/>
      <c r="G1038" s="4"/>
      <c r="H1038" s="4"/>
      <c r="I1038" s="4"/>
      <c r="J1038" s="4"/>
      <c r="K1038" s="396" t="s">
        <v>444</v>
      </c>
      <c r="L1038" s="273"/>
      <c r="M1038" s="394">
        <f>SUM(M1033:N1037)</f>
        <v>7336.1599833333339</v>
      </c>
      <c r="N1038" s="273"/>
    </row>
    <row r="1039" spans="1:14" ht="12.75" customHeight="1" x14ac:dyDescent="0.25">
      <c r="A1039" s="4"/>
      <c r="B1039" s="4"/>
      <c r="C1039" s="4"/>
      <c r="D1039" s="4"/>
      <c r="E1039" s="4"/>
      <c r="F1039" s="4"/>
      <c r="G1039" s="4"/>
      <c r="H1039" s="4"/>
      <c r="I1039" s="4"/>
      <c r="J1039" s="4"/>
      <c r="K1039" s="4"/>
      <c r="L1039" s="4"/>
      <c r="M1039" s="4"/>
      <c r="N1039" s="4"/>
    </row>
    <row r="1040" spans="1:14" ht="12.75" customHeight="1" x14ac:dyDescent="0.2">
      <c r="A1040" s="398" t="s">
        <v>931</v>
      </c>
      <c r="B1040" s="271"/>
      <c r="C1040" s="271"/>
      <c r="D1040" s="271"/>
      <c r="E1040" s="271"/>
      <c r="F1040" s="271"/>
      <c r="G1040" s="271"/>
      <c r="H1040" s="271"/>
      <c r="I1040" s="271"/>
      <c r="J1040" s="271"/>
      <c r="K1040" s="271"/>
      <c r="L1040" s="271"/>
      <c r="M1040" s="271"/>
      <c r="N1040" s="273"/>
    </row>
    <row r="1041" spans="1:15" ht="12.75" customHeight="1" x14ac:dyDescent="0.2">
      <c r="A1041" s="396" t="s">
        <v>76</v>
      </c>
      <c r="B1041" s="271"/>
      <c r="C1041" s="271"/>
      <c r="D1041" s="271"/>
      <c r="E1041" s="271"/>
      <c r="F1041" s="271"/>
      <c r="G1041" s="273"/>
      <c r="H1041" s="88" t="s">
        <v>77</v>
      </c>
      <c r="I1041" s="399" t="s">
        <v>920</v>
      </c>
      <c r="J1041" s="273"/>
      <c r="K1041" s="90" t="s">
        <v>514</v>
      </c>
      <c r="L1041" s="91" t="s">
        <v>932</v>
      </c>
      <c r="M1041" s="399" t="s">
        <v>921</v>
      </c>
      <c r="N1041" s="273"/>
    </row>
    <row r="1042" spans="1:15" ht="12.75" customHeight="1" x14ac:dyDescent="0.25">
      <c r="A1042" s="393" t="s">
        <v>951</v>
      </c>
      <c r="B1042" s="271"/>
      <c r="C1042" s="271"/>
      <c r="D1042" s="271"/>
      <c r="E1042" s="271"/>
      <c r="F1042" s="271"/>
      <c r="G1042" s="273"/>
      <c r="H1042" s="29" t="str">
        <f>IF(A1042="","",VLOOKUP(A1042,AA_Cuadrillas,4,FALSE))</f>
        <v>Cuadrilla</v>
      </c>
      <c r="I1042" s="394">
        <f>IF(A1042="","",VLOOKUP(A1042,AA_Cuadrillas,5,FALSE))</f>
        <v>186763</v>
      </c>
      <c r="J1042" s="273"/>
      <c r="K1042" s="9">
        <f>IF(A1042="","",F.P!$I$2)</f>
        <v>1.88</v>
      </c>
      <c r="L1042" s="93">
        <v>0.16666666666666666</v>
      </c>
      <c r="M1042" s="394">
        <f t="shared" ref="M1042:M1046" si="128">IF(A1042="","",I1042*K1042*L1042)</f>
        <v>58519.073333333334</v>
      </c>
      <c r="N1042" s="273"/>
    </row>
    <row r="1043" spans="1:15" ht="12.75" customHeight="1" x14ac:dyDescent="0.25">
      <c r="A1043" s="393"/>
      <c r="B1043" s="271"/>
      <c r="C1043" s="271"/>
      <c r="D1043" s="271"/>
      <c r="E1043" s="271"/>
      <c r="F1043" s="271"/>
      <c r="G1043" s="273"/>
      <c r="H1043" s="29" t="str">
        <f>IF(A1043="","",VLOOKUP(A1043,AA_Cuadrillas,4,FALSE))</f>
        <v/>
      </c>
      <c r="I1043" s="394" t="str">
        <f>IF(A1043="","",VLOOKUP(A1043,AA_Cuadrillas,5,FALSE))</f>
        <v/>
      </c>
      <c r="J1043" s="273"/>
      <c r="K1043" s="9" t="str">
        <f>IF(A1043="","",F.P!$I$2)</f>
        <v/>
      </c>
      <c r="L1043" s="9"/>
      <c r="M1043" s="394" t="str">
        <f t="shared" si="128"/>
        <v/>
      </c>
      <c r="N1043" s="273"/>
    </row>
    <row r="1044" spans="1:15" ht="12.75" customHeight="1" x14ac:dyDescent="0.25">
      <c r="A1044" s="393"/>
      <c r="B1044" s="271"/>
      <c r="C1044" s="271"/>
      <c r="D1044" s="271"/>
      <c r="E1044" s="271"/>
      <c r="F1044" s="271"/>
      <c r="G1044" s="273"/>
      <c r="H1044" s="29" t="str">
        <f>IF(A1044="","",VLOOKUP(A1044,AA_Cuadrillas,4,FALSE))</f>
        <v/>
      </c>
      <c r="I1044" s="394" t="str">
        <f>IF(A1044="","",VLOOKUP(A1044,AA_Cuadrillas,5,FALSE))</f>
        <v/>
      </c>
      <c r="J1044" s="273"/>
      <c r="K1044" s="9" t="str">
        <f>IF(A1044="","",F.P!$I$2)</f>
        <v/>
      </c>
      <c r="L1044" s="37"/>
      <c r="M1044" s="394" t="str">
        <f t="shared" si="128"/>
        <v/>
      </c>
      <c r="N1044" s="273"/>
    </row>
    <row r="1045" spans="1:15" ht="12.75" customHeight="1" x14ac:dyDescent="0.25">
      <c r="A1045" s="393"/>
      <c r="B1045" s="271"/>
      <c r="C1045" s="271"/>
      <c r="D1045" s="271"/>
      <c r="E1045" s="271"/>
      <c r="F1045" s="271"/>
      <c r="G1045" s="273"/>
      <c r="H1045" s="29" t="str">
        <f>IF(A1045="","",VLOOKUP(A1045,AA_Cuadrillas,4,FALSE))</f>
        <v/>
      </c>
      <c r="I1045" s="394" t="str">
        <f>IF(A1045="","",VLOOKUP(A1045,AA_Cuadrillas,5,FALSE))</f>
        <v/>
      </c>
      <c r="J1045" s="273"/>
      <c r="K1045" s="9" t="str">
        <f>IF(A1045="","",F.P!$I$2)</f>
        <v/>
      </c>
      <c r="L1045" s="37"/>
      <c r="M1045" s="394" t="str">
        <f t="shared" si="128"/>
        <v/>
      </c>
      <c r="N1045" s="273"/>
    </row>
    <row r="1046" spans="1:15" ht="12.75" customHeight="1" x14ac:dyDescent="0.25">
      <c r="A1046" s="393"/>
      <c r="B1046" s="271"/>
      <c r="C1046" s="271"/>
      <c r="D1046" s="271"/>
      <c r="E1046" s="271"/>
      <c r="F1046" s="271"/>
      <c r="G1046" s="273"/>
      <c r="H1046" s="29" t="str">
        <f>IF(A1046="","",VLOOKUP(A1046,AA_Cuadrillas,4,FALSE))</f>
        <v/>
      </c>
      <c r="I1046" s="394" t="str">
        <f>IF(A1046="","",VLOOKUP(A1046,AA_Cuadrillas,5,FALSE))</f>
        <v/>
      </c>
      <c r="J1046" s="273"/>
      <c r="K1046" s="9" t="str">
        <f>IF(A1046="","",F.P!$I$2)</f>
        <v/>
      </c>
      <c r="L1046" s="37"/>
      <c r="M1046" s="394" t="str">
        <f t="shared" si="128"/>
        <v/>
      </c>
      <c r="N1046" s="273"/>
    </row>
    <row r="1047" spans="1:15" ht="12.75" customHeight="1" x14ac:dyDescent="0.25">
      <c r="A1047" s="4"/>
      <c r="B1047" s="4"/>
      <c r="C1047" s="4"/>
      <c r="D1047" s="4"/>
      <c r="E1047" s="4"/>
      <c r="F1047" s="4"/>
      <c r="G1047" s="4"/>
      <c r="H1047" s="4"/>
      <c r="I1047" s="4"/>
      <c r="J1047" s="4"/>
      <c r="K1047" s="396" t="s">
        <v>444</v>
      </c>
      <c r="L1047" s="273"/>
      <c r="M1047" s="394">
        <f>SUM(M1042:N1046)</f>
        <v>58519.073333333334</v>
      </c>
      <c r="N1047" s="273"/>
    </row>
    <row r="1048" spans="1:15" ht="12.75" customHeight="1" x14ac:dyDescent="0.2"/>
    <row r="1049" spans="1:15" ht="12.75" customHeight="1" x14ac:dyDescent="0.2">
      <c r="A1049" s="407" t="s">
        <v>105</v>
      </c>
      <c r="B1049" s="275"/>
      <c r="C1049" s="275"/>
      <c r="D1049" s="275"/>
      <c r="E1049" s="275"/>
      <c r="F1049" s="275"/>
      <c r="G1049" s="275"/>
      <c r="H1049" s="275"/>
      <c r="I1049" s="275"/>
      <c r="J1049" s="275"/>
      <c r="K1049" s="275"/>
      <c r="L1049" s="275"/>
      <c r="M1049" s="275"/>
      <c r="N1049" s="276"/>
      <c r="O1049" s="166"/>
    </row>
    <row r="1050" spans="1:15" ht="12.75" customHeight="1" x14ac:dyDescent="0.2">
      <c r="A1050" s="277"/>
      <c r="B1050" s="278"/>
      <c r="C1050" s="278"/>
      <c r="D1050" s="278"/>
      <c r="E1050" s="278"/>
      <c r="F1050" s="278"/>
      <c r="G1050" s="278"/>
      <c r="H1050" s="278"/>
      <c r="I1050" s="278"/>
      <c r="J1050" s="278"/>
      <c r="K1050" s="278"/>
      <c r="L1050" s="278"/>
      <c r="M1050" s="278"/>
      <c r="N1050" s="279"/>
      <c r="O1050" s="166"/>
    </row>
    <row r="1051" spans="1:15" ht="12.75" customHeight="1" x14ac:dyDescent="0.2">
      <c r="A1051" s="75"/>
      <c r="B1051" s="75"/>
      <c r="C1051" s="75"/>
      <c r="D1051" s="75"/>
      <c r="E1051" s="75"/>
      <c r="F1051" s="75"/>
      <c r="G1051" s="75"/>
      <c r="H1051" s="75"/>
      <c r="I1051" s="75"/>
      <c r="J1051" s="75"/>
      <c r="K1051" s="75"/>
      <c r="L1051" s="75"/>
      <c r="M1051" s="75"/>
      <c r="N1051" s="75"/>
    </row>
    <row r="1052" spans="1:15" ht="12.75" customHeight="1" x14ac:dyDescent="0.3">
      <c r="A1052" s="79" t="s">
        <v>637</v>
      </c>
      <c r="B1052" s="80" t="str">
        <f>A1049</f>
        <v>CONSTRUCCIÓN DE CAJA ACHIQUE (INCLUYE MATERIALES, HERRAMIENTAS Y MANO DE OBRA)</v>
      </c>
      <c r="C1052" s="81" t="s">
        <v>916</v>
      </c>
      <c r="D1052" s="82" t="s">
        <v>934</v>
      </c>
      <c r="E1052" s="83" t="s">
        <v>445</v>
      </c>
      <c r="F1052" s="234">
        <f>(H1052+J1052+L1052+N1052)*1.3</f>
        <v>423410.24051659688</v>
      </c>
      <c r="G1052" s="83" t="s">
        <v>607</v>
      </c>
      <c r="H1052" s="86">
        <f>M1071</f>
        <v>1404.4577600000002</v>
      </c>
      <c r="I1052" s="83" t="s">
        <v>918</v>
      </c>
      <c r="J1052" s="86">
        <f>M1062</f>
        <v>291386.34916476678</v>
      </c>
      <c r="K1052" s="83" t="s">
        <v>609</v>
      </c>
      <c r="L1052" s="86">
        <f>M1080</f>
        <v>4820.2228880000002</v>
      </c>
      <c r="M1052" s="83" t="s">
        <v>610</v>
      </c>
      <c r="N1052" s="86">
        <f>M1089</f>
        <v>28089.155200000001</v>
      </c>
    </row>
    <row r="1053" spans="1:15" ht="12.75" customHeight="1" x14ac:dyDescent="0.25">
      <c r="A1053" s="87"/>
      <c r="B1053" s="87"/>
      <c r="C1053" s="87"/>
      <c r="D1053" s="87"/>
      <c r="E1053" s="87"/>
      <c r="F1053" s="87"/>
      <c r="G1053" s="87"/>
      <c r="J1053" s="87"/>
      <c r="K1053" s="215" t="s">
        <v>3217</v>
      </c>
      <c r="L1053" s="215">
        <f>+F1052*presup!$O$5</f>
        <v>550433.31267157593</v>
      </c>
      <c r="M1053" s="87"/>
      <c r="N1053" s="87"/>
    </row>
    <row r="1054" spans="1:15" ht="12.75" customHeight="1" x14ac:dyDescent="0.2">
      <c r="A1054" s="398" t="s">
        <v>919</v>
      </c>
      <c r="B1054" s="271"/>
      <c r="C1054" s="271"/>
      <c r="D1054" s="271"/>
      <c r="E1054" s="271"/>
      <c r="F1054" s="271"/>
      <c r="G1054" s="271"/>
      <c r="H1054" s="271"/>
      <c r="I1054" s="271"/>
      <c r="J1054" s="271"/>
      <c r="K1054" s="271"/>
      <c r="L1054" s="271"/>
      <c r="M1054" s="271"/>
      <c r="N1054" s="273"/>
    </row>
    <row r="1055" spans="1:15" ht="12.75" customHeight="1" x14ac:dyDescent="0.2">
      <c r="A1055" s="396" t="s">
        <v>76</v>
      </c>
      <c r="B1055" s="271"/>
      <c r="C1055" s="271"/>
      <c r="D1055" s="271"/>
      <c r="E1055" s="271"/>
      <c r="F1055" s="271"/>
      <c r="G1055" s="273"/>
      <c r="H1055" s="88" t="s">
        <v>77</v>
      </c>
      <c r="I1055" s="399" t="s">
        <v>920</v>
      </c>
      <c r="J1055" s="273"/>
      <c r="K1055" s="399" t="s">
        <v>453</v>
      </c>
      <c r="L1055" s="273"/>
      <c r="M1055" s="399" t="s">
        <v>921</v>
      </c>
      <c r="N1055" s="273"/>
    </row>
    <row r="1056" spans="1:15" ht="12.75" customHeight="1" x14ac:dyDescent="0.2">
      <c r="A1056" s="403" t="s">
        <v>1023</v>
      </c>
      <c r="B1056" s="271"/>
      <c r="C1056" s="271"/>
      <c r="D1056" s="271"/>
      <c r="E1056" s="271"/>
      <c r="F1056" s="271"/>
      <c r="G1056" s="273"/>
      <c r="H1056" s="29" t="str">
        <f t="shared" ref="H1056:H1061" si="129">IF(A1056="","",VLOOKUP(A1056,AA_Materiales,7,FALSE))</f>
        <v>m3</v>
      </c>
      <c r="I1056" s="411">
        <f t="shared" ref="I1056:I1061" si="130">IF(A1056="","",VLOOKUP(A1056,AA_Materiales,8,FALSE))</f>
        <v>745047.0496790678</v>
      </c>
      <c r="J1056" s="368"/>
      <c r="K1056" s="395">
        <v>0.05</v>
      </c>
      <c r="L1056" s="273"/>
      <c r="M1056" s="394">
        <f t="shared" ref="M1056:M1061" si="131">IF(A1056="","",I1056*K1056)</f>
        <v>37252.352483953393</v>
      </c>
      <c r="N1056" s="273"/>
      <c r="O1056" t="s">
        <v>3225</v>
      </c>
    </row>
    <row r="1057" spans="1:15" ht="12.75" customHeight="1" x14ac:dyDescent="0.2">
      <c r="A1057" s="400" t="s">
        <v>996</v>
      </c>
      <c r="B1057" s="271"/>
      <c r="C1057" s="271"/>
      <c r="D1057" s="271"/>
      <c r="E1057" s="271"/>
      <c r="F1057" s="271"/>
      <c r="G1057" s="273"/>
      <c r="H1057" s="29" t="str">
        <f t="shared" si="129"/>
        <v>Unidad</v>
      </c>
      <c r="I1057" s="394">
        <f t="shared" si="130"/>
        <v>1900</v>
      </c>
      <c r="J1057" s="273"/>
      <c r="K1057" s="395">
        <v>50</v>
      </c>
      <c r="L1057" s="273"/>
      <c r="M1057" s="394">
        <f t="shared" si="131"/>
        <v>95000</v>
      </c>
      <c r="N1057" s="273"/>
    </row>
    <row r="1058" spans="1:15" ht="12.75" customHeight="1" x14ac:dyDescent="0.2">
      <c r="A1058" s="400" t="s">
        <v>987</v>
      </c>
      <c r="B1058" s="271"/>
      <c r="C1058" s="271"/>
      <c r="D1058" s="271"/>
      <c r="E1058" s="271"/>
      <c r="F1058" s="271"/>
      <c r="G1058" s="273"/>
      <c r="H1058" s="29" t="str">
        <f t="shared" si="129"/>
        <v>m3</v>
      </c>
      <c r="I1058" s="411">
        <f t="shared" si="130"/>
        <v>965054.12208278815</v>
      </c>
      <c r="J1058" s="368"/>
      <c r="K1058" s="395">
        <v>5.5E-2</v>
      </c>
      <c r="L1058" s="273"/>
      <c r="M1058" s="394">
        <f t="shared" si="131"/>
        <v>53077.976714553348</v>
      </c>
      <c r="N1058" s="273"/>
      <c r="O1058" t="s">
        <v>3225</v>
      </c>
    </row>
    <row r="1059" spans="1:15" ht="12.75" customHeight="1" x14ac:dyDescent="0.2">
      <c r="A1059" s="400" t="s">
        <v>1024</v>
      </c>
      <c r="B1059" s="271"/>
      <c r="C1059" s="271"/>
      <c r="D1059" s="271"/>
      <c r="E1059" s="271"/>
      <c r="F1059" s="271"/>
      <c r="G1059" s="273"/>
      <c r="H1059" s="29" t="str">
        <f t="shared" si="129"/>
        <v>m2</v>
      </c>
      <c r="I1059" s="394">
        <f t="shared" si="130"/>
        <v>176760.03327710004</v>
      </c>
      <c r="J1059" s="273"/>
      <c r="K1059" s="395">
        <v>0.6</v>
      </c>
      <c r="L1059" s="273"/>
      <c r="M1059" s="394">
        <f t="shared" si="131"/>
        <v>106056.01996626002</v>
      </c>
      <c r="N1059" s="273"/>
    </row>
    <row r="1060" spans="1:15" ht="12.75" customHeight="1" x14ac:dyDescent="0.2">
      <c r="A1060" s="400"/>
      <c r="B1060" s="271"/>
      <c r="C1060" s="271"/>
      <c r="D1060" s="271"/>
      <c r="E1060" s="271"/>
      <c r="F1060" s="271"/>
      <c r="G1060" s="273"/>
      <c r="H1060" s="29" t="str">
        <f t="shared" si="129"/>
        <v/>
      </c>
      <c r="I1060" s="394" t="str">
        <f t="shared" si="130"/>
        <v/>
      </c>
      <c r="J1060" s="273"/>
      <c r="K1060" s="395"/>
      <c r="L1060" s="273"/>
      <c r="M1060" s="394" t="str">
        <f t="shared" si="131"/>
        <v/>
      </c>
      <c r="N1060" s="273"/>
    </row>
    <row r="1061" spans="1:15" ht="12.75" customHeight="1" x14ac:dyDescent="0.2">
      <c r="A1061" s="400"/>
      <c r="B1061" s="271"/>
      <c r="C1061" s="271"/>
      <c r="D1061" s="271"/>
      <c r="E1061" s="271"/>
      <c r="F1061" s="271"/>
      <c r="G1061" s="273"/>
      <c r="H1061" s="29" t="str">
        <f t="shared" si="129"/>
        <v/>
      </c>
      <c r="I1061" s="394" t="str">
        <f t="shared" si="130"/>
        <v/>
      </c>
      <c r="J1061" s="273"/>
      <c r="K1061" s="395"/>
      <c r="L1061" s="273"/>
      <c r="M1061" s="394" t="str">
        <f t="shared" si="131"/>
        <v/>
      </c>
      <c r="N1061" s="273"/>
    </row>
    <row r="1062" spans="1:15" ht="12.75" customHeight="1" x14ac:dyDescent="0.25">
      <c r="A1062" s="4"/>
      <c r="B1062" s="4"/>
      <c r="C1062" s="4"/>
      <c r="D1062" s="4"/>
      <c r="E1062" s="4"/>
      <c r="F1062" s="4"/>
      <c r="G1062" s="4"/>
      <c r="H1062" s="4"/>
      <c r="I1062" s="4"/>
      <c r="J1062" s="4"/>
      <c r="K1062" s="396" t="s">
        <v>444</v>
      </c>
      <c r="L1062" s="273"/>
      <c r="M1062" s="394">
        <f>SUM(M1056:N1061)</f>
        <v>291386.34916476678</v>
      </c>
      <c r="N1062" s="273"/>
    </row>
    <row r="1063" spans="1:15" ht="12.75" customHeight="1" x14ac:dyDescent="0.25">
      <c r="A1063" s="4"/>
      <c r="B1063" s="4"/>
      <c r="C1063" s="4"/>
      <c r="D1063" s="4"/>
      <c r="E1063" s="4"/>
      <c r="F1063" s="4"/>
      <c r="G1063" s="4"/>
      <c r="H1063" s="4"/>
      <c r="I1063" s="4"/>
      <c r="J1063" s="4"/>
      <c r="K1063" s="4"/>
      <c r="L1063" s="4"/>
      <c r="M1063" s="4"/>
      <c r="N1063" s="4"/>
    </row>
    <row r="1064" spans="1:15" ht="12.75" customHeight="1" x14ac:dyDescent="0.2">
      <c r="A1064" s="398" t="s">
        <v>926</v>
      </c>
      <c r="B1064" s="271"/>
      <c r="C1064" s="271"/>
      <c r="D1064" s="271"/>
      <c r="E1064" s="271"/>
      <c r="F1064" s="271"/>
      <c r="G1064" s="271"/>
      <c r="H1064" s="271"/>
      <c r="I1064" s="271"/>
      <c r="J1064" s="271"/>
      <c r="K1064" s="271"/>
      <c r="L1064" s="271"/>
      <c r="M1064" s="271"/>
      <c r="N1064" s="273"/>
    </row>
    <row r="1065" spans="1:15" ht="12.75" customHeight="1" x14ac:dyDescent="0.2">
      <c r="A1065" s="396" t="s">
        <v>76</v>
      </c>
      <c r="B1065" s="271"/>
      <c r="C1065" s="271"/>
      <c r="D1065" s="271"/>
      <c r="E1065" s="271"/>
      <c r="F1065" s="271"/>
      <c r="G1065" s="273"/>
      <c r="H1065" s="88" t="s">
        <v>77</v>
      </c>
      <c r="I1065" s="399" t="s">
        <v>920</v>
      </c>
      <c r="J1065" s="273"/>
      <c r="K1065" s="399" t="s">
        <v>453</v>
      </c>
      <c r="L1065" s="273"/>
      <c r="M1065" s="399" t="s">
        <v>921</v>
      </c>
      <c r="N1065" s="273"/>
    </row>
    <row r="1066" spans="1:15" ht="12.75" customHeight="1" x14ac:dyDescent="0.2">
      <c r="A1066" s="400" t="s">
        <v>927</v>
      </c>
      <c r="B1066" s="271"/>
      <c r="C1066" s="271"/>
      <c r="D1066" s="271"/>
      <c r="E1066" s="271"/>
      <c r="F1066" s="271"/>
      <c r="G1066" s="273"/>
      <c r="H1066" s="29" t="str">
        <f>IF(A1066="","",VLOOKUP(A1066,AA_Equipos,7,FALSE))</f>
        <v>% M.O.</v>
      </c>
      <c r="I1066" s="394">
        <f>M1089</f>
        <v>28089.155200000001</v>
      </c>
      <c r="J1066" s="273"/>
      <c r="K1066" s="404">
        <v>0.05</v>
      </c>
      <c r="L1066" s="273"/>
      <c r="M1066" s="394">
        <f t="shared" ref="M1066:M1070" si="132">IF(A1066="","",I1066*K1066)</f>
        <v>1404.4577600000002</v>
      </c>
      <c r="N1066" s="273"/>
    </row>
    <row r="1067" spans="1:15" ht="12.75" customHeight="1" x14ac:dyDescent="0.2">
      <c r="A1067" s="403"/>
      <c r="B1067" s="271"/>
      <c r="C1067" s="271"/>
      <c r="D1067" s="271"/>
      <c r="E1067" s="271"/>
      <c r="F1067" s="271"/>
      <c r="G1067" s="273"/>
      <c r="H1067" s="29" t="str">
        <f>IF(A1067="","",VLOOKUP(A1067,AA_Equipos,7,FALSE))</f>
        <v/>
      </c>
      <c r="I1067" s="394" t="str">
        <f>IF(A1067="","",VLOOKUP(A1067,AA_Equipos,8,FALSE))</f>
        <v/>
      </c>
      <c r="J1067" s="273"/>
      <c r="K1067" s="402"/>
      <c r="L1067" s="273"/>
      <c r="M1067" s="394" t="str">
        <f t="shared" si="132"/>
        <v/>
      </c>
      <c r="N1067" s="273"/>
    </row>
    <row r="1068" spans="1:15" ht="12.75" customHeight="1" x14ac:dyDescent="0.2">
      <c r="A1068" s="400"/>
      <c r="B1068" s="271"/>
      <c r="C1068" s="271"/>
      <c r="D1068" s="271"/>
      <c r="E1068" s="271"/>
      <c r="F1068" s="271"/>
      <c r="G1068" s="273"/>
      <c r="H1068" s="29" t="str">
        <f>IF(A1068="","",VLOOKUP(A1068,AA_Equipos,7,FALSE))</f>
        <v/>
      </c>
      <c r="I1068" s="394" t="str">
        <f>IF(A1068="","",VLOOKUP(A1068,AA_Equipos,8,FALSE))</f>
        <v/>
      </c>
      <c r="J1068" s="273"/>
      <c r="K1068" s="401"/>
      <c r="L1068" s="273"/>
      <c r="M1068" s="394" t="str">
        <f t="shared" si="132"/>
        <v/>
      </c>
      <c r="N1068" s="273"/>
    </row>
    <row r="1069" spans="1:15" ht="12.75" customHeight="1" x14ac:dyDescent="0.2">
      <c r="A1069" s="400"/>
      <c r="B1069" s="271"/>
      <c r="C1069" s="271"/>
      <c r="D1069" s="271"/>
      <c r="E1069" s="271"/>
      <c r="F1069" s="271"/>
      <c r="G1069" s="273"/>
      <c r="H1069" s="29" t="str">
        <f>IF(A1069="","",VLOOKUP(A1069,AA_Equipos,7,FALSE))</f>
        <v/>
      </c>
      <c r="I1069" s="394" t="str">
        <f>IF(A1069="","",VLOOKUP(A1069,AA_Equipos,8,FALSE))</f>
        <v/>
      </c>
      <c r="J1069" s="273"/>
      <c r="K1069" s="395"/>
      <c r="L1069" s="273"/>
      <c r="M1069" s="394" t="str">
        <f t="shared" si="132"/>
        <v/>
      </c>
      <c r="N1069" s="273"/>
    </row>
    <row r="1070" spans="1:15" ht="12.75" customHeight="1" x14ac:dyDescent="0.2">
      <c r="A1070" s="400"/>
      <c r="B1070" s="271"/>
      <c r="C1070" s="271"/>
      <c r="D1070" s="271"/>
      <c r="E1070" s="271"/>
      <c r="F1070" s="271"/>
      <c r="G1070" s="273"/>
      <c r="H1070" s="29" t="str">
        <f>IF(A1070="","",VLOOKUP(A1070,AA_Equipos,7,FALSE))</f>
        <v/>
      </c>
      <c r="I1070" s="394" t="str">
        <f>IF(A1070="","",VLOOKUP(A1070,AA_Equipos,8,FALSE))</f>
        <v/>
      </c>
      <c r="J1070" s="273"/>
      <c r="K1070" s="395"/>
      <c r="L1070" s="273"/>
      <c r="M1070" s="394" t="str">
        <f t="shared" si="132"/>
        <v/>
      </c>
      <c r="N1070" s="273"/>
    </row>
    <row r="1071" spans="1:15" ht="12.75" customHeight="1" x14ac:dyDescent="0.25">
      <c r="A1071" s="4"/>
      <c r="B1071" s="4"/>
      <c r="C1071" s="4"/>
      <c r="D1071" s="4"/>
      <c r="E1071" s="4"/>
      <c r="F1071" s="4"/>
      <c r="G1071" s="4"/>
      <c r="H1071" s="4"/>
      <c r="I1071" s="4"/>
      <c r="J1071" s="4"/>
      <c r="K1071" s="396" t="s">
        <v>444</v>
      </c>
      <c r="L1071" s="273"/>
      <c r="M1071" s="394">
        <f>SUM(M1066:N1070)</f>
        <v>1404.4577600000002</v>
      </c>
      <c r="N1071" s="273"/>
    </row>
    <row r="1072" spans="1:15" ht="12.75" customHeight="1" x14ac:dyDescent="0.25">
      <c r="A1072" s="4"/>
      <c r="B1072" s="4"/>
      <c r="C1072" s="4"/>
      <c r="D1072" s="4"/>
      <c r="E1072" s="4"/>
      <c r="F1072" s="4"/>
      <c r="G1072" s="4"/>
      <c r="H1072" s="4"/>
      <c r="I1072" s="4"/>
      <c r="J1072" s="4"/>
      <c r="K1072" s="4"/>
      <c r="L1072" s="4"/>
      <c r="M1072" s="4"/>
      <c r="N1072" s="4"/>
    </row>
    <row r="1073" spans="1:14" ht="12.75" customHeight="1" x14ac:dyDescent="0.2">
      <c r="A1073" s="398" t="s">
        <v>929</v>
      </c>
      <c r="B1073" s="271"/>
      <c r="C1073" s="271"/>
      <c r="D1073" s="271"/>
      <c r="E1073" s="271"/>
      <c r="F1073" s="271"/>
      <c r="G1073" s="271"/>
      <c r="H1073" s="271"/>
      <c r="I1073" s="271"/>
      <c r="J1073" s="271"/>
      <c r="K1073" s="271"/>
      <c r="L1073" s="271"/>
      <c r="M1073" s="271"/>
      <c r="N1073" s="273"/>
    </row>
    <row r="1074" spans="1:14" ht="12.75" customHeight="1" x14ac:dyDescent="0.2">
      <c r="A1074" s="396" t="s">
        <v>76</v>
      </c>
      <c r="B1074" s="271"/>
      <c r="C1074" s="271"/>
      <c r="D1074" s="271"/>
      <c r="E1074" s="271"/>
      <c r="F1074" s="271"/>
      <c r="G1074" s="273"/>
      <c r="H1074" s="88" t="s">
        <v>77</v>
      </c>
      <c r="I1074" s="399" t="s">
        <v>920</v>
      </c>
      <c r="J1074" s="273"/>
      <c r="K1074" s="399" t="s">
        <v>453</v>
      </c>
      <c r="L1074" s="273"/>
      <c r="M1074" s="399" t="s">
        <v>921</v>
      </c>
      <c r="N1074" s="273"/>
    </row>
    <row r="1075" spans="1:14" ht="12.75" customHeight="1" x14ac:dyDescent="0.2">
      <c r="A1075" s="400" t="s">
        <v>949</v>
      </c>
      <c r="B1075" s="271"/>
      <c r="C1075" s="271"/>
      <c r="D1075" s="271"/>
      <c r="E1075" s="271"/>
      <c r="F1075" s="271"/>
      <c r="G1075" s="273"/>
      <c r="H1075" s="29" t="s">
        <v>950</v>
      </c>
      <c r="I1075" s="394">
        <f>+M1057</f>
        <v>95000</v>
      </c>
      <c r="J1075" s="273"/>
      <c r="K1075" s="404">
        <v>0.05</v>
      </c>
      <c r="L1075" s="273"/>
      <c r="M1075" s="394">
        <f t="shared" ref="M1075:M1079" si="133">IF(A1075="","",I1075*K1075)</f>
        <v>4750</v>
      </c>
      <c r="N1075" s="273"/>
    </row>
    <row r="1076" spans="1:14" ht="12.75" customHeight="1" x14ac:dyDescent="0.2">
      <c r="A1076" s="403" t="s">
        <v>3174</v>
      </c>
      <c r="B1076" s="271"/>
      <c r="C1076" s="271"/>
      <c r="D1076" s="271"/>
      <c r="E1076" s="271"/>
      <c r="F1076" s="271"/>
      <c r="G1076" s="273"/>
      <c r="H1076" s="29" t="s">
        <v>24</v>
      </c>
      <c r="I1076" s="394">
        <f>+M1071</f>
        <v>1404.4577600000002</v>
      </c>
      <c r="J1076" s="273"/>
      <c r="K1076" s="404">
        <v>0.05</v>
      </c>
      <c r="L1076" s="273"/>
      <c r="M1076" s="394">
        <f t="shared" si="133"/>
        <v>70.222888000000012</v>
      </c>
      <c r="N1076" s="273"/>
    </row>
    <row r="1077" spans="1:14" ht="12.75" customHeight="1" x14ac:dyDescent="0.2">
      <c r="A1077" s="400"/>
      <c r="B1077" s="271"/>
      <c r="C1077" s="271"/>
      <c r="D1077" s="271"/>
      <c r="E1077" s="271"/>
      <c r="F1077" s="271"/>
      <c r="G1077" s="273"/>
      <c r="H1077" s="29"/>
      <c r="I1077" s="394"/>
      <c r="J1077" s="273"/>
      <c r="K1077" s="395"/>
      <c r="L1077" s="273"/>
      <c r="M1077" s="394" t="str">
        <f t="shared" si="133"/>
        <v/>
      </c>
      <c r="N1077" s="273"/>
    </row>
    <row r="1078" spans="1:14" ht="12.75" customHeight="1" x14ac:dyDescent="0.2">
      <c r="A1078" s="400"/>
      <c r="B1078" s="271"/>
      <c r="C1078" s="271"/>
      <c r="D1078" s="271"/>
      <c r="E1078" s="271"/>
      <c r="F1078" s="271"/>
      <c r="G1078" s="273"/>
      <c r="H1078" s="29"/>
      <c r="I1078" s="394"/>
      <c r="J1078" s="273"/>
      <c r="K1078" s="395"/>
      <c r="L1078" s="273"/>
      <c r="M1078" s="394" t="str">
        <f t="shared" si="133"/>
        <v/>
      </c>
      <c r="N1078" s="273"/>
    </row>
    <row r="1079" spans="1:14" ht="12.75" customHeight="1" x14ac:dyDescent="0.2">
      <c r="A1079" s="400"/>
      <c r="B1079" s="271"/>
      <c r="C1079" s="271"/>
      <c r="D1079" s="271"/>
      <c r="E1079" s="271"/>
      <c r="F1079" s="271"/>
      <c r="G1079" s="273"/>
      <c r="H1079" s="29"/>
      <c r="I1079" s="394"/>
      <c r="J1079" s="273"/>
      <c r="K1079" s="395"/>
      <c r="L1079" s="273"/>
      <c r="M1079" s="394" t="str">
        <f t="shared" si="133"/>
        <v/>
      </c>
      <c r="N1079" s="273"/>
    </row>
    <row r="1080" spans="1:14" ht="12.75" customHeight="1" x14ac:dyDescent="0.25">
      <c r="A1080" s="4"/>
      <c r="B1080" s="4"/>
      <c r="C1080" s="4"/>
      <c r="D1080" s="4"/>
      <c r="E1080" s="4"/>
      <c r="F1080" s="4"/>
      <c r="G1080" s="4"/>
      <c r="H1080" s="4"/>
      <c r="I1080" s="4"/>
      <c r="J1080" s="4"/>
      <c r="K1080" s="396" t="s">
        <v>444</v>
      </c>
      <c r="L1080" s="273"/>
      <c r="M1080" s="394">
        <f>SUM(M1075:N1079)</f>
        <v>4820.2228880000002</v>
      </c>
      <c r="N1080" s="273"/>
    </row>
    <row r="1081" spans="1:14" ht="12.75" customHeight="1" x14ac:dyDescent="0.25">
      <c r="A1081" s="4"/>
      <c r="B1081" s="4"/>
      <c r="C1081" s="4"/>
      <c r="D1081" s="4"/>
      <c r="E1081" s="4"/>
      <c r="F1081" s="4"/>
      <c r="G1081" s="4"/>
      <c r="H1081" s="4"/>
      <c r="I1081" s="4"/>
      <c r="J1081" s="4"/>
      <c r="K1081" s="4"/>
      <c r="L1081" s="4"/>
      <c r="M1081" s="4"/>
      <c r="N1081" s="4"/>
    </row>
    <row r="1082" spans="1:14" ht="12.75" customHeight="1" x14ac:dyDescent="0.2">
      <c r="A1082" s="398" t="s">
        <v>931</v>
      </c>
      <c r="B1082" s="271"/>
      <c r="C1082" s="271"/>
      <c r="D1082" s="271"/>
      <c r="E1082" s="271"/>
      <c r="F1082" s="271"/>
      <c r="G1082" s="271"/>
      <c r="H1082" s="271"/>
      <c r="I1082" s="271"/>
      <c r="J1082" s="271"/>
      <c r="K1082" s="271"/>
      <c r="L1082" s="271"/>
      <c r="M1082" s="271"/>
      <c r="N1082" s="273"/>
    </row>
    <row r="1083" spans="1:14" ht="12.75" customHeight="1" x14ac:dyDescent="0.2">
      <c r="A1083" s="396" t="s">
        <v>76</v>
      </c>
      <c r="B1083" s="271"/>
      <c r="C1083" s="271"/>
      <c r="D1083" s="271"/>
      <c r="E1083" s="271"/>
      <c r="F1083" s="271"/>
      <c r="G1083" s="273"/>
      <c r="H1083" s="88" t="s">
        <v>77</v>
      </c>
      <c r="I1083" s="399" t="s">
        <v>920</v>
      </c>
      <c r="J1083" s="273"/>
      <c r="K1083" s="90" t="s">
        <v>514</v>
      </c>
      <c r="L1083" s="91" t="s">
        <v>932</v>
      </c>
      <c r="M1083" s="399" t="s">
        <v>921</v>
      </c>
      <c r="N1083" s="273"/>
    </row>
    <row r="1084" spans="1:14" ht="12.75" customHeight="1" x14ac:dyDescent="0.25">
      <c r="A1084" s="393" t="s">
        <v>951</v>
      </c>
      <c r="B1084" s="271"/>
      <c r="C1084" s="271"/>
      <c r="D1084" s="271"/>
      <c r="E1084" s="271"/>
      <c r="F1084" s="271"/>
      <c r="G1084" s="273"/>
      <c r="H1084" s="29" t="str">
        <f>IF(A1084="","",VLOOKUP(A1084,AA_Cuadrillas,4,FALSE))</f>
        <v>Cuadrilla</v>
      </c>
      <c r="I1084" s="394">
        <f>IF(A1084="","",VLOOKUP(A1084,AA_Cuadrillas,5,FALSE))</f>
        <v>186763</v>
      </c>
      <c r="J1084" s="273"/>
      <c r="K1084" s="9">
        <f>IF(A1084="","",F.P!$I$2)</f>
        <v>1.88</v>
      </c>
      <c r="L1084" s="93">
        <v>0.08</v>
      </c>
      <c r="M1084" s="394">
        <f t="shared" ref="M1084:M1088" si="134">IF(A1084="","",I1084*K1084*L1084)</f>
        <v>28089.155200000001</v>
      </c>
      <c r="N1084" s="273"/>
    </row>
    <row r="1085" spans="1:14" ht="12.75" customHeight="1" x14ac:dyDescent="0.25">
      <c r="A1085" s="393"/>
      <c r="B1085" s="271"/>
      <c r="C1085" s="271"/>
      <c r="D1085" s="271"/>
      <c r="E1085" s="271"/>
      <c r="F1085" s="271"/>
      <c r="G1085" s="273"/>
      <c r="H1085" s="29" t="str">
        <f>IF(A1085="","",VLOOKUP(A1085,AA_Cuadrillas,4,FALSE))</f>
        <v/>
      </c>
      <c r="I1085" s="394" t="str">
        <f>IF(A1085="","",VLOOKUP(A1085,AA_Cuadrillas,5,FALSE))</f>
        <v/>
      </c>
      <c r="J1085" s="273"/>
      <c r="K1085" s="9" t="str">
        <f>IF(A1085="","",F.P!$I$2)</f>
        <v/>
      </c>
      <c r="L1085" s="9"/>
      <c r="M1085" s="394" t="str">
        <f t="shared" si="134"/>
        <v/>
      </c>
      <c r="N1085" s="273"/>
    </row>
    <row r="1086" spans="1:14" ht="12.75" customHeight="1" x14ac:dyDescent="0.25">
      <c r="A1086" s="393"/>
      <c r="B1086" s="271"/>
      <c r="C1086" s="271"/>
      <c r="D1086" s="271"/>
      <c r="E1086" s="271"/>
      <c r="F1086" s="271"/>
      <c r="G1086" s="273"/>
      <c r="H1086" s="29" t="str">
        <f>IF(A1086="","",VLOOKUP(A1086,AA_Cuadrillas,4,FALSE))</f>
        <v/>
      </c>
      <c r="I1086" s="394" t="str">
        <f>IF(A1086="","",VLOOKUP(A1086,AA_Cuadrillas,5,FALSE))</f>
        <v/>
      </c>
      <c r="J1086" s="273"/>
      <c r="K1086" s="9" t="str">
        <f>IF(A1086="","",F.P!$I$2)</f>
        <v/>
      </c>
      <c r="L1086" s="37"/>
      <c r="M1086" s="394" t="str">
        <f t="shared" si="134"/>
        <v/>
      </c>
      <c r="N1086" s="273"/>
    </row>
    <row r="1087" spans="1:14" ht="12.75" customHeight="1" x14ac:dyDescent="0.25">
      <c r="A1087" s="393"/>
      <c r="B1087" s="271"/>
      <c r="C1087" s="271"/>
      <c r="D1087" s="271"/>
      <c r="E1087" s="271"/>
      <c r="F1087" s="271"/>
      <c r="G1087" s="273"/>
      <c r="H1087" s="29" t="str">
        <f>IF(A1087="","",VLOOKUP(A1087,AA_Cuadrillas,4,FALSE))</f>
        <v/>
      </c>
      <c r="I1087" s="394" t="str">
        <f>IF(A1087="","",VLOOKUP(A1087,AA_Cuadrillas,5,FALSE))</f>
        <v/>
      </c>
      <c r="J1087" s="273"/>
      <c r="K1087" s="9" t="str">
        <f>IF(A1087="","",F.P!$I$2)</f>
        <v/>
      </c>
      <c r="L1087" s="37"/>
      <c r="M1087" s="394" t="str">
        <f t="shared" si="134"/>
        <v/>
      </c>
      <c r="N1087" s="273"/>
    </row>
    <row r="1088" spans="1:14" ht="12.75" customHeight="1" x14ac:dyDescent="0.25">
      <c r="A1088" s="393"/>
      <c r="B1088" s="271"/>
      <c r="C1088" s="271"/>
      <c r="D1088" s="271"/>
      <c r="E1088" s="271"/>
      <c r="F1088" s="271"/>
      <c r="G1088" s="273"/>
      <c r="H1088" s="29" t="str">
        <f>IF(A1088="","",VLOOKUP(A1088,AA_Cuadrillas,4,FALSE))</f>
        <v/>
      </c>
      <c r="I1088" s="394" t="str">
        <f>IF(A1088="","",VLOOKUP(A1088,AA_Cuadrillas,5,FALSE))</f>
        <v/>
      </c>
      <c r="J1088" s="273"/>
      <c r="K1088" s="9" t="str">
        <f>IF(A1088="","",F.P!$I$2)</f>
        <v/>
      </c>
      <c r="L1088" s="37"/>
      <c r="M1088" s="394" t="str">
        <f t="shared" si="134"/>
        <v/>
      </c>
      <c r="N1088" s="273"/>
    </row>
    <row r="1089" spans="1:15" ht="12.75" customHeight="1" x14ac:dyDescent="0.25">
      <c r="A1089" s="4"/>
      <c r="B1089" s="4"/>
      <c r="C1089" s="4"/>
      <c r="D1089" s="4"/>
      <c r="E1089" s="4"/>
      <c r="F1089" s="4"/>
      <c r="G1089" s="4"/>
      <c r="H1089" s="4"/>
      <c r="I1089" s="4"/>
      <c r="J1089" s="4"/>
      <c r="K1089" s="396" t="s">
        <v>444</v>
      </c>
      <c r="L1089" s="273"/>
      <c r="M1089" s="394">
        <f>SUM(M1084:N1088)</f>
        <v>28089.155200000001</v>
      </c>
      <c r="N1089" s="273"/>
    </row>
    <row r="1090" spans="1:15" ht="12.75" customHeight="1" x14ac:dyDescent="0.2"/>
    <row r="1091" spans="1:15" ht="12.75" customHeight="1" x14ac:dyDescent="0.2">
      <c r="A1091" s="407" t="s">
        <v>109</v>
      </c>
      <c r="B1091" s="275"/>
      <c r="C1091" s="275"/>
      <c r="D1091" s="275"/>
      <c r="E1091" s="275"/>
      <c r="F1091" s="275"/>
      <c r="G1091" s="275"/>
      <c r="H1091" s="275"/>
      <c r="I1091" s="275"/>
      <c r="J1091" s="275"/>
      <c r="K1091" s="275"/>
      <c r="L1091" s="275"/>
      <c r="M1091" s="275"/>
      <c r="N1091" s="276"/>
      <c r="O1091" s="166"/>
    </row>
    <row r="1092" spans="1:15" ht="12.75" customHeight="1" x14ac:dyDescent="0.2">
      <c r="A1092" s="277"/>
      <c r="B1092" s="278"/>
      <c r="C1092" s="278"/>
      <c r="D1092" s="278"/>
      <c r="E1092" s="278"/>
      <c r="F1092" s="278"/>
      <c r="G1092" s="278"/>
      <c r="H1092" s="278"/>
      <c r="I1092" s="278"/>
      <c r="J1092" s="278"/>
      <c r="K1092" s="278"/>
      <c r="L1092" s="278"/>
      <c r="M1092" s="278"/>
      <c r="N1092" s="279"/>
      <c r="O1092" s="166"/>
    </row>
    <row r="1093" spans="1:15" ht="12.75" customHeight="1" x14ac:dyDescent="0.2">
      <c r="A1093" s="75"/>
      <c r="B1093" s="75"/>
      <c r="C1093" s="75"/>
      <c r="D1093" s="75"/>
      <c r="E1093" s="75"/>
      <c r="F1093" s="75"/>
      <c r="G1093" s="75"/>
      <c r="H1093" s="75"/>
      <c r="I1093" s="75"/>
      <c r="J1093" s="75"/>
      <c r="K1093" s="75"/>
      <c r="L1093" s="75"/>
      <c r="M1093" s="75"/>
      <c r="N1093" s="75"/>
    </row>
    <row r="1094" spans="1:15" ht="12.75" customHeight="1" x14ac:dyDescent="0.3">
      <c r="A1094" s="79" t="s">
        <v>638</v>
      </c>
      <c r="B1094" s="80" t="str">
        <f>A1091</f>
        <v>RETIRO DE MATERIAL SOBRANTE HASTA BOTADERO AUTORIZADO, DISTANCIA 5KM (INCLUYE FACTOR DE EXPANSIÓN, CARGUE Y TRANSPORTE DE MATERIAL)</v>
      </c>
      <c r="C1094" s="81" t="s">
        <v>916</v>
      </c>
      <c r="D1094" s="82" t="s">
        <v>1025</v>
      </c>
      <c r="E1094" s="83" t="s">
        <v>445</v>
      </c>
      <c r="F1094" s="234">
        <f>(H1094+J1094+L1094+N1094)*1.3</f>
        <v>10890.40783384375</v>
      </c>
      <c r="G1094" s="83" t="s">
        <v>607</v>
      </c>
      <c r="H1094" s="86">
        <f>M1113</f>
        <v>6000</v>
      </c>
      <c r="I1094" s="83" t="s">
        <v>918</v>
      </c>
      <c r="J1094" s="86">
        <f>M1104</f>
        <v>0</v>
      </c>
      <c r="K1094" s="83" t="s">
        <v>609</v>
      </c>
      <c r="L1094" s="86">
        <f>M1122</f>
        <v>2377.2367952644231</v>
      </c>
      <c r="M1094" s="83" t="s">
        <v>610</v>
      </c>
      <c r="N1094" s="86">
        <f>M1131</f>
        <v>0</v>
      </c>
    </row>
    <row r="1095" spans="1:15" ht="12.75" customHeight="1" x14ac:dyDescent="0.25">
      <c r="A1095" s="87"/>
      <c r="B1095" s="87"/>
      <c r="C1095" s="87"/>
      <c r="D1095" s="87"/>
      <c r="E1095" s="87"/>
      <c r="F1095" s="87"/>
      <c r="G1095" s="87"/>
      <c r="J1095" s="87"/>
      <c r="K1095" s="215" t="s">
        <v>3217</v>
      </c>
      <c r="L1095" s="215">
        <f>+F1094*presup!$O$5</f>
        <v>14157.530183996876</v>
      </c>
      <c r="M1095" s="87"/>
      <c r="N1095" s="87"/>
    </row>
    <row r="1096" spans="1:15" ht="12.75" customHeight="1" x14ac:dyDescent="0.2">
      <c r="A1096" s="398" t="s">
        <v>919</v>
      </c>
      <c r="B1096" s="271"/>
      <c r="C1096" s="271"/>
      <c r="D1096" s="271"/>
      <c r="E1096" s="271"/>
      <c r="F1096" s="271"/>
      <c r="G1096" s="271"/>
      <c r="H1096" s="271"/>
      <c r="I1096" s="271"/>
      <c r="J1096" s="271"/>
      <c r="K1096" s="271"/>
      <c r="L1096" s="271"/>
      <c r="M1096" s="271"/>
      <c r="N1096" s="273"/>
    </row>
    <row r="1097" spans="1:15" ht="12.75" customHeight="1" x14ac:dyDescent="0.2">
      <c r="A1097" s="396" t="s">
        <v>76</v>
      </c>
      <c r="B1097" s="271"/>
      <c r="C1097" s="271"/>
      <c r="D1097" s="271"/>
      <c r="E1097" s="271"/>
      <c r="F1097" s="271"/>
      <c r="G1097" s="273"/>
      <c r="H1097" s="88" t="s">
        <v>77</v>
      </c>
      <c r="I1097" s="399" t="s">
        <v>920</v>
      </c>
      <c r="J1097" s="273"/>
      <c r="K1097" s="399" t="s">
        <v>453</v>
      </c>
      <c r="L1097" s="273"/>
      <c r="M1097" s="399" t="s">
        <v>921</v>
      </c>
      <c r="N1097" s="273"/>
    </row>
    <row r="1098" spans="1:15" ht="12.75" customHeight="1" x14ac:dyDescent="0.2">
      <c r="A1098" s="403"/>
      <c r="B1098" s="271"/>
      <c r="C1098" s="271"/>
      <c r="D1098" s="271"/>
      <c r="E1098" s="271"/>
      <c r="F1098" s="271"/>
      <c r="G1098" s="273"/>
      <c r="H1098" s="29" t="str">
        <f t="shared" ref="H1098:H1103" si="135">IF(A1098="","",VLOOKUP(A1098,AA_Materiales,7,FALSE))</f>
        <v/>
      </c>
      <c r="I1098" s="394" t="str">
        <f t="shared" ref="I1098:I1103" si="136">IF(A1098="","",VLOOKUP(A1098,AA_Materiales,8,FALSE))</f>
        <v/>
      </c>
      <c r="J1098" s="273"/>
      <c r="K1098" s="395"/>
      <c r="L1098" s="273"/>
      <c r="M1098" s="394" t="str">
        <f t="shared" ref="M1098:M1103" si="137">IF(A1098="","",I1098*K1098)</f>
        <v/>
      </c>
      <c r="N1098" s="273"/>
    </row>
    <row r="1099" spans="1:15" ht="12.75" customHeight="1" x14ac:dyDescent="0.2">
      <c r="A1099" s="400"/>
      <c r="B1099" s="271"/>
      <c r="C1099" s="271"/>
      <c r="D1099" s="271"/>
      <c r="E1099" s="271"/>
      <c r="F1099" s="271"/>
      <c r="G1099" s="273"/>
      <c r="H1099" s="29" t="str">
        <f t="shared" si="135"/>
        <v/>
      </c>
      <c r="I1099" s="394" t="str">
        <f t="shared" si="136"/>
        <v/>
      </c>
      <c r="J1099" s="273"/>
      <c r="K1099" s="395"/>
      <c r="L1099" s="273"/>
      <c r="M1099" s="394" t="str">
        <f t="shared" si="137"/>
        <v/>
      </c>
      <c r="N1099" s="273"/>
    </row>
    <row r="1100" spans="1:15" ht="12.75" customHeight="1" x14ac:dyDescent="0.2">
      <c r="A1100" s="400"/>
      <c r="B1100" s="271"/>
      <c r="C1100" s="271"/>
      <c r="D1100" s="271"/>
      <c r="E1100" s="271"/>
      <c r="F1100" s="271"/>
      <c r="G1100" s="273"/>
      <c r="H1100" s="29" t="str">
        <f t="shared" si="135"/>
        <v/>
      </c>
      <c r="I1100" s="394" t="str">
        <f t="shared" si="136"/>
        <v/>
      </c>
      <c r="J1100" s="273"/>
      <c r="K1100" s="395"/>
      <c r="L1100" s="273"/>
      <c r="M1100" s="394" t="str">
        <f t="shared" si="137"/>
        <v/>
      </c>
      <c r="N1100" s="273"/>
    </row>
    <row r="1101" spans="1:15" ht="12.75" customHeight="1" x14ac:dyDescent="0.2">
      <c r="A1101" s="400"/>
      <c r="B1101" s="271"/>
      <c r="C1101" s="271"/>
      <c r="D1101" s="271"/>
      <c r="E1101" s="271"/>
      <c r="F1101" s="271"/>
      <c r="G1101" s="273"/>
      <c r="H1101" s="29" t="str">
        <f t="shared" si="135"/>
        <v/>
      </c>
      <c r="I1101" s="394" t="str">
        <f t="shared" si="136"/>
        <v/>
      </c>
      <c r="J1101" s="273"/>
      <c r="K1101" s="395"/>
      <c r="L1101" s="273"/>
      <c r="M1101" s="394" t="str">
        <f t="shared" si="137"/>
        <v/>
      </c>
      <c r="N1101" s="273"/>
    </row>
    <row r="1102" spans="1:15" ht="12.75" customHeight="1" x14ac:dyDescent="0.2">
      <c r="A1102" s="400"/>
      <c r="B1102" s="271"/>
      <c r="C1102" s="271"/>
      <c r="D1102" s="271"/>
      <c r="E1102" s="271"/>
      <c r="F1102" s="271"/>
      <c r="G1102" s="273"/>
      <c r="H1102" s="29" t="str">
        <f t="shared" si="135"/>
        <v/>
      </c>
      <c r="I1102" s="394" t="str">
        <f t="shared" si="136"/>
        <v/>
      </c>
      <c r="J1102" s="273"/>
      <c r="K1102" s="395"/>
      <c r="L1102" s="273"/>
      <c r="M1102" s="394" t="str">
        <f t="shared" si="137"/>
        <v/>
      </c>
      <c r="N1102" s="273"/>
    </row>
    <row r="1103" spans="1:15" ht="12.75" customHeight="1" x14ac:dyDescent="0.2">
      <c r="A1103" s="400"/>
      <c r="B1103" s="271"/>
      <c r="C1103" s="271"/>
      <c r="D1103" s="271"/>
      <c r="E1103" s="271"/>
      <c r="F1103" s="271"/>
      <c r="G1103" s="273"/>
      <c r="H1103" s="29" t="str">
        <f t="shared" si="135"/>
        <v/>
      </c>
      <c r="I1103" s="394" t="str">
        <f t="shared" si="136"/>
        <v/>
      </c>
      <c r="J1103" s="273"/>
      <c r="K1103" s="395"/>
      <c r="L1103" s="273"/>
      <c r="M1103" s="394" t="str">
        <f t="shared" si="137"/>
        <v/>
      </c>
      <c r="N1103" s="273"/>
    </row>
    <row r="1104" spans="1:15" ht="12.75" customHeight="1" x14ac:dyDescent="0.25">
      <c r="A1104" s="4"/>
      <c r="B1104" s="4"/>
      <c r="C1104" s="4"/>
      <c r="D1104" s="4"/>
      <c r="E1104" s="4"/>
      <c r="F1104" s="4"/>
      <c r="G1104" s="4"/>
      <c r="H1104" s="4"/>
      <c r="I1104" s="4"/>
      <c r="J1104" s="4"/>
      <c r="K1104" s="396" t="s">
        <v>444</v>
      </c>
      <c r="L1104" s="273"/>
      <c r="M1104" s="394">
        <f>SUM(M1098:N1103)</f>
        <v>0</v>
      </c>
      <c r="N1104" s="273"/>
    </row>
    <row r="1105" spans="1:14" ht="12.75" customHeight="1" x14ac:dyDescent="0.25">
      <c r="A1105" s="4"/>
      <c r="B1105" s="4"/>
      <c r="C1105" s="4"/>
      <c r="D1105" s="4"/>
      <c r="E1105" s="4"/>
      <c r="F1105" s="4"/>
      <c r="G1105" s="4"/>
      <c r="H1105" s="4"/>
      <c r="I1105" s="4"/>
      <c r="J1105" s="4"/>
      <c r="K1105" s="4"/>
      <c r="L1105" s="4"/>
      <c r="M1105" s="4"/>
      <c r="N1105" s="4"/>
    </row>
    <row r="1106" spans="1:14" ht="12.75" customHeight="1" x14ac:dyDescent="0.2">
      <c r="A1106" s="398" t="s">
        <v>926</v>
      </c>
      <c r="B1106" s="271"/>
      <c r="C1106" s="271"/>
      <c r="D1106" s="271"/>
      <c r="E1106" s="271"/>
      <c r="F1106" s="271"/>
      <c r="G1106" s="271"/>
      <c r="H1106" s="271"/>
      <c r="I1106" s="271"/>
      <c r="J1106" s="271"/>
      <c r="K1106" s="271"/>
      <c r="L1106" s="271"/>
      <c r="M1106" s="271"/>
      <c r="N1106" s="273"/>
    </row>
    <row r="1107" spans="1:14" ht="12.75" customHeight="1" x14ac:dyDescent="0.2">
      <c r="A1107" s="396" t="s">
        <v>76</v>
      </c>
      <c r="B1107" s="271"/>
      <c r="C1107" s="271"/>
      <c r="D1107" s="271"/>
      <c r="E1107" s="271"/>
      <c r="F1107" s="271"/>
      <c r="G1107" s="273"/>
      <c r="H1107" s="88" t="s">
        <v>77</v>
      </c>
      <c r="I1107" s="399" t="s">
        <v>920</v>
      </c>
      <c r="J1107" s="273"/>
      <c r="K1107" s="399" t="s">
        <v>453</v>
      </c>
      <c r="L1107" s="273"/>
      <c r="M1107" s="399" t="s">
        <v>921</v>
      </c>
      <c r="N1107" s="273"/>
    </row>
    <row r="1108" spans="1:14" ht="12.75" customHeight="1" x14ac:dyDescent="0.2">
      <c r="A1108" s="403" t="s">
        <v>938</v>
      </c>
      <c r="B1108" s="271"/>
      <c r="C1108" s="271"/>
      <c r="D1108" s="271"/>
      <c r="E1108" s="271"/>
      <c r="F1108" s="271"/>
      <c r="G1108" s="273"/>
      <c r="H1108" s="29" t="str">
        <f>IF(A1108="","",VLOOKUP(A1108,AA_Equipos,7,FALSE))</f>
        <v>Hora</v>
      </c>
      <c r="I1108" s="394">
        <f>IF(A1108="","",VLOOKUP(A1108,AA_Equipos,8,FALSE))</f>
        <v>120000</v>
      </c>
      <c r="J1108" s="273"/>
      <c r="K1108" s="402">
        <v>0.05</v>
      </c>
      <c r="L1108" s="273"/>
      <c r="M1108" s="394">
        <f t="shared" ref="M1108:M1112" si="138">IF(A1108="","",I1108*K1108)</f>
        <v>6000</v>
      </c>
      <c r="N1108" s="273"/>
    </row>
    <row r="1109" spans="1:14" ht="12.75" customHeight="1" x14ac:dyDescent="0.2">
      <c r="A1109" s="403"/>
      <c r="B1109" s="271"/>
      <c r="C1109" s="271"/>
      <c r="D1109" s="271"/>
      <c r="E1109" s="271"/>
      <c r="F1109" s="271"/>
      <c r="G1109" s="273"/>
      <c r="H1109" s="29" t="str">
        <f>IF(A1109="","",VLOOKUP(A1109,AA_Equipos,7,FALSE))</f>
        <v/>
      </c>
      <c r="I1109" s="394" t="str">
        <f>IF(A1109="","",VLOOKUP(A1109,AA_Equipos,8,FALSE))</f>
        <v/>
      </c>
      <c r="J1109" s="273"/>
      <c r="K1109" s="402"/>
      <c r="L1109" s="273"/>
      <c r="M1109" s="394" t="str">
        <f t="shared" si="138"/>
        <v/>
      </c>
      <c r="N1109" s="273"/>
    </row>
    <row r="1110" spans="1:14" ht="12.75" customHeight="1" x14ac:dyDescent="0.2">
      <c r="A1110" s="400"/>
      <c r="B1110" s="271"/>
      <c r="C1110" s="271"/>
      <c r="D1110" s="271"/>
      <c r="E1110" s="271"/>
      <c r="F1110" s="271"/>
      <c r="G1110" s="273"/>
      <c r="H1110" s="29" t="str">
        <f>IF(A1110="","",VLOOKUP(A1110,AA_Equipos,7,FALSE))</f>
        <v/>
      </c>
      <c r="I1110" s="394" t="str">
        <f>IF(A1110="","",VLOOKUP(A1110,AA_Equipos,8,FALSE))</f>
        <v/>
      </c>
      <c r="J1110" s="273"/>
      <c r="K1110" s="401"/>
      <c r="L1110" s="273"/>
      <c r="M1110" s="394" t="str">
        <f t="shared" si="138"/>
        <v/>
      </c>
      <c r="N1110" s="273"/>
    </row>
    <row r="1111" spans="1:14" ht="12.75" customHeight="1" x14ac:dyDescent="0.2">
      <c r="A1111" s="400"/>
      <c r="B1111" s="271"/>
      <c r="C1111" s="271"/>
      <c r="D1111" s="271"/>
      <c r="E1111" s="271"/>
      <c r="F1111" s="271"/>
      <c r="G1111" s="273"/>
      <c r="H1111" s="29" t="str">
        <f>IF(A1111="","",VLOOKUP(A1111,AA_Equipos,7,FALSE))</f>
        <v/>
      </c>
      <c r="I1111" s="394" t="str">
        <f>IF(A1111="","",VLOOKUP(A1111,AA_Equipos,8,FALSE))</f>
        <v/>
      </c>
      <c r="J1111" s="273"/>
      <c r="K1111" s="395"/>
      <c r="L1111" s="273"/>
      <c r="M1111" s="394" t="str">
        <f t="shared" si="138"/>
        <v/>
      </c>
      <c r="N1111" s="273"/>
    </row>
    <row r="1112" spans="1:14" ht="12.75" customHeight="1" x14ac:dyDescent="0.2">
      <c r="A1112" s="400"/>
      <c r="B1112" s="271"/>
      <c r="C1112" s="271"/>
      <c r="D1112" s="271"/>
      <c r="E1112" s="271"/>
      <c r="F1112" s="271"/>
      <c r="G1112" s="273"/>
      <c r="H1112" s="29" t="str">
        <f>IF(A1112="","",VLOOKUP(A1112,AA_Equipos,7,FALSE))</f>
        <v/>
      </c>
      <c r="I1112" s="394" t="str">
        <f>IF(A1112="","",VLOOKUP(A1112,AA_Equipos,8,FALSE))</f>
        <v/>
      </c>
      <c r="J1112" s="273"/>
      <c r="K1112" s="395"/>
      <c r="L1112" s="273"/>
      <c r="M1112" s="394" t="str">
        <f t="shared" si="138"/>
        <v/>
      </c>
      <c r="N1112" s="273"/>
    </row>
    <row r="1113" spans="1:14" ht="12.75" customHeight="1" x14ac:dyDescent="0.25">
      <c r="A1113" s="4"/>
      <c r="B1113" s="4"/>
      <c r="C1113" s="4"/>
      <c r="D1113" s="4"/>
      <c r="E1113" s="4"/>
      <c r="F1113" s="4"/>
      <c r="G1113" s="4"/>
      <c r="H1113" s="4"/>
      <c r="I1113" s="4"/>
      <c r="J1113" s="4"/>
      <c r="K1113" s="396" t="s">
        <v>444</v>
      </c>
      <c r="L1113" s="273"/>
      <c r="M1113" s="394">
        <f>SUM(M1108:N1112)</f>
        <v>6000</v>
      </c>
      <c r="N1113" s="273"/>
    </row>
    <row r="1114" spans="1:14" ht="12.75" customHeight="1" x14ac:dyDescent="0.25">
      <c r="A1114" s="4"/>
      <c r="B1114" s="4"/>
      <c r="C1114" s="4"/>
      <c r="D1114" s="4"/>
      <c r="E1114" s="4"/>
      <c r="F1114" s="4"/>
      <c r="G1114" s="4"/>
      <c r="H1114" s="4"/>
      <c r="I1114" s="4"/>
      <c r="J1114" s="4"/>
      <c r="K1114" s="4"/>
      <c r="L1114" s="4"/>
      <c r="M1114" s="4"/>
      <c r="N1114" s="4"/>
    </row>
    <row r="1115" spans="1:14" ht="12.75" customHeight="1" x14ac:dyDescent="0.2">
      <c r="A1115" s="398" t="s">
        <v>929</v>
      </c>
      <c r="B1115" s="271"/>
      <c r="C1115" s="271"/>
      <c r="D1115" s="271"/>
      <c r="E1115" s="271"/>
      <c r="F1115" s="271"/>
      <c r="G1115" s="271"/>
      <c r="H1115" s="271"/>
      <c r="I1115" s="271"/>
      <c r="J1115" s="271"/>
      <c r="K1115" s="271"/>
      <c r="L1115" s="271"/>
      <c r="M1115" s="271"/>
      <c r="N1115" s="273"/>
    </row>
    <row r="1116" spans="1:14" ht="12.75" customHeight="1" x14ac:dyDescent="0.2">
      <c r="A1116" s="396" t="s">
        <v>76</v>
      </c>
      <c r="B1116" s="271"/>
      <c r="C1116" s="271"/>
      <c r="D1116" s="271"/>
      <c r="E1116" s="271"/>
      <c r="F1116" s="271"/>
      <c r="G1116" s="273"/>
      <c r="H1116" s="88" t="s">
        <v>77</v>
      </c>
      <c r="I1116" s="399" t="s">
        <v>920</v>
      </c>
      <c r="J1116" s="273"/>
      <c r="K1116" s="399" t="s">
        <v>453</v>
      </c>
      <c r="L1116" s="273"/>
      <c r="M1116" s="399" t="s">
        <v>921</v>
      </c>
      <c r="N1116" s="273"/>
    </row>
    <row r="1117" spans="1:14" ht="12.75" customHeight="1" x14ac:dyDescent="0.2">
      <c r="A1117" s="400" t="s">
        <v>1026</v>
      </c>
      <c r="B1117" s="271"/>
      <c r="C1117" s="271"/>
      <c r="D1117" s="271"/>
      <c r="E1117" s="271"/>
      <c r="F1117" s="271"/>
      <c r="G1117" s="273"/>
      <c r="H1117" s="228" t="s">
        <v>1027</v>
      </c>
      <c r="I1117" s="411">
        <f>'precios '!J222</f>
        <v>2077.2367952644231</v>
      </c>
      <c r="J1117" s="368"/>
      <c r="K1117" s="425">
        <v>1</v>
      </c>
      <c r="L1117" s="368"/>
      <c r="M1117" s="411">
        <f t="shared" ref="M1117:M1121" si="139">IF(A1117="","",I1117*K1117)</f>
        <v>2077.2367952644231</v>
      </c>
      <c r="N1117" s="368"/>
    </row>
    <row r="1118" spans="1:14" ht="12.75" customHeight="1" x14ac:dyDescent="0.2">
      <c r="A1118" s="403" t="s">
        <v>3174</v>
      </c>
      <c r="B1118" s="271"/>
      <c r="C1118" s="271"/>
      <c r="D1118" s="271"/>
      <c r="E1118" s="271"/>
      <c r="F1118" s="271"/>
      <c r="G1118" s="273"/>
      <c r="H1118" s="29" t="s">
        <v>24</v>
      </c>
      <c r="I1118" s="394">
        <f>+M1113</f>
        <v>6000</v>
      </c>
      <c r="J1118" s="273"/>
      <c r="K1118" s="404">
        <v>0.05</v>
      </c>
      <c r="L1118" s="273"/>
      <c r="M1118" s="394">
        <f t="shared" si="139"/>
        <v>300</v>
      </c>
      <c r="N1118" s="273"/>
    </row>
    <row r="1119" spans="1:14" ht="12.75" customHeight="1" x14ac:dyDescent="0.2">
      <c r="A1119" s="400"/>
      <c r="B1119" s="271"/>
      <c r="C1119" s="271"/>
      <c r="D1119" s="271"/>
      <c r="E1119" s="271"/>
      <c r="F1119" s="271"/>
      <c r="G1119" s="273"/>
      <c r="H1119" s="29"/>
      <c r="I1119" s="394"/>
      <c r="J1119" s="273"/>
      <c r="K1119" s="395"/>
      <c r="L1119" s="273"/>
      <c r="M1119" s="394" t="str">
        <f t="shared" si="139"/>
        <v/>
      </c>
      <c r="N1119" s="273"/>
    </row>
    <row r="1120" spans="1:14" ht="12.75" customHeight="1" x14ac:dyDescent="0.2">
      <c r="A1120" s="400"/>
      <c r="B1120" s="271"/>
      <c r="C1120" s="271"/>
      <c r="D1120" s="271"/>
      <c r="E1120" s="271"/>
      <c r="F1120" s="271"/>
      <c r="G1120" s="273"/>
      <c r="H1120" s="29"/>
      <c r="I1120" s="394"/>
      <c r="J1120" s="273"/>
      <c r="K1120" s="395"/>
      <c r="L1120" s="273"/>
      <c r="M1120" s="394" t="str">
        <f t="shared" si="139"/>
        <v/>
      </c>
      <c r="N1120" s="273"/>
    </row>
    <row r="1121" spans="1:15" ht="12.75" customHeight="1" x14ac:dyDescent="0.2">
      <c r="A1121" s="400"/>
      <c r="B1121" s="271"/>
      <c r="C1121" s="271"/>
      <c r="D1121" s="271"/>
      <c r="E1121" s="271"/>
      <c r="F1121" s="271"/>
      <c r="G1121" s="273"/>
      <c r="H1121" s="29"/>
      <c r="I1121" s="394"/>
      <c r="J1121" s="273"/>
      <c r="K1121" s="395"/>
      <c r="L1121" s="273"/>
      <c r="M1121" s="394" t="str">
        <f t="shared" si="139"/>
        <v/>
      </c>
      <c r="N1121" s="273"/>
    </row>
    <row r="1122" spans="1:15" ht="12.75" customHeight="1" x14ac:dyDescent="0.25">
      <c r="A1122" s="4"/>
      <c r="B1122" s="4"/>
      <c r="C1122" s="4"/>
      <c r="D1122" s="4"/>
      <c r="E1122" s="4"/>
      <c r="F1122" s="4"/>
      <c r="G1122" s="4"/>
      <c r="H1122" s="4"/>
      <c r="I1122" s="4"/>
      <c r="J1122" s="4"/>
      <c r="K1122" s="396" t="s">
        <v>444</v>
      </c>
      <c r="L1122" s="273"/>
      <c r="M1122" s="394">
        <f>SUM(M1117:N1121)</f>
        <v>2377.2367952644231</v>
      </c>
      <c r="N1122" s="273"/>
    </row>
    <row r="1123" spans="1:15" ht="12.75" customHeight="1" x14ac:dyDescent="0.25">
      <c r="A1123" s="4"/>
      <c r="B1123" s="4"/>
      <c r="C1123" s="4"/>
      <c r="D1123" s="4"/>
      <c r="E1123" s="4"/>
      <c r="F1123" s="4"/>
      <c r="G1123" s="4"/>
      <c r="H1123" s="4"/>
      <c r="I1123" s="4"/>
      <c r="J1123" s="4"/>
      <c r="K1123" s="4"/>
      <c r="L1123" s="4"/>
      <c r="M1123" s="4"/>
      <c r="N1123" s="4"/>
    </row>
    <row r="1124" spans="1:15" ht="12.75" customHeight="1" x14ac:dyDescent="0.2">
      <c r="A1124" s="398" t="s">
        <v>931</v>
      </c>
      <c r="B1124" s="271"/>
      <c r="C1124" s="271"/>
      <c r="D1124" s="271"/>
      <c r="E1124" s="271"/>
      <c r="F1124" s="271"/>
      <c r="G1124" s="271"/>
      <c r="H1124" s="271"/>
      <c r="I1124" s="271"/>
      <c r="J1124" s="271"/>
      <c r="K1124" s="271"/>
      <c r="L1124" s="271"/>
      <c r="M1124" s="271"/>
      <c r="N1124" s="273"/>
    </row>
    <row r="1125" spans="1:15" ht="12.75" customHeight="1" x14ac:dyDescent="0.2">
      <c r="A1125" s="396" t="s">
        <v>76</v>
      </c>
      <c r="B1125" s="271"/>
      <c r="C1125" s="271"/>
      <c r="D1125" s="271"/>
      <c r="E1125" s="271"/>
      <c r="F1125" s="271"/>
      <c r="G1125" s="273"/>
      <c r="H1125" s="88" t="s">
        <v>77</v>
      </c>
      <c r="I1125" s="399" t="s">
        <v>920</v>
      </c>
      <c r="J1125" s="273"/>
      <c r="K1125" s="90" t="s">
        <v>514</v>
      </c>
      <c r="L1125" s="91" t="s">
        <v>932</v>
      </c>
      <c r="M1125" s="399" t="s">
        <v>921</v>
      </c>
      <c r="N1125" s="273"/>
    </row>
    <row r="1126" spans="1:15" ht="12.75" customHeight="1" x14ac:dyDescent="0.25">
      <c r="A1126" s="393"/>
      <c r="B1126" s="271"/>
      <c r="C1126" s="271"/>
      <c r="D1126" s="271"/>
      <c r="E1126" s="271"/>
      <c r="F1126" s="271"/>
      <c r="G1126" s="273"/>
      <c r="H1126" s="29" t="str">
        <f>IF(A1126="","",VLOOKUP(A1126,AA_Cuadrillas,4,FALSE))</f>
        <v/>
      </c>
      <c r="I1126" s="394" t="str">
        <f>IF(A1126="","",VLOOKUP(A1126,AA_Cuadrillas,5,FALSE))</f>
        <v/>
      </c>
      <c r="J1126" s="273"/>
      <c r="K1126" s="9" t="str">
        <f>IF(A1126="","",F.P!$I$2)</f>
        <v/>
      </c>
      <c r="L1126" s="93"/>
      <c r="M1126" s="394" t="str">
        <f t="shared" ref="M1126:M1130" si="140">IF(A1126="","",I1126*K1126*L1126)</f>
        <v/>
      </c>
      <c r="N1126" s="273"/>
    </row>
    <row r="1127" spans="1:15" ht="12.75" customHeight="1" x14ac:dyDescent="0.25">
      <c r="A1127" s="393"/>
      <c r="B1127" s="271"/>
      <c r="C1127" s="271"/>
      <c r="D1127" s="271"/>
      <c r="E1127" s="271"/>
      <c r="F1127" s="271"/>
      <c r="G1127" s="273"/>
      <c r="H1127" s="29" t="str">
        <f>IF(A1127="","",VLOOKUP(A1127,AA_Cuadrillas,4,FALSE))</f>
        <v/>
      </c>
      <c r="I1127" s="394" t="str">
        <f>IF(A1127="","",VLOOKUP(A1127,AA_Cuadrillas,5,FALSE))</f>
        <v/>
      </c>
      <c r="J1127" s="273"/>
      <c r="K1127" s="9" t="str">
        <f>IF(A1127="","",F.P!$I$2)</f>
        <v/>
      </c>
      <c r="L1127" s="9"/>
      <c r="M1127" s="394" t="str">
        <f t="shared" si="140"/>
        <v/>
      </c>
      <c r="N1127" s="273"/>
    </row>
    <row r="1128" spans="1:15" ht="12.75" customHeight="1" x14ac:dyDescent="0.25">
      <c r="A1128" s="393"/>
      <c r="B1128" s="271"/>
      <c r="C1128" s="271"/>
      <c r="D1128" s="271"/>
      <c r="E1128" s="271"/>
      <c r="F1128" s="271"/>
      <c r="G1128" s="273"/>
      <c r="H1128" s="29" t="str">
        <f>IF(A1128="","",VLOOKUP(A1128,AA_Cuadrillas,4,FALSE))</f>
        <v/>
      </c>
      <c r="I1128" s="394" t="str">
        <f>IF(A1128="","",VLOOKUP(A1128,AA_Cuadrillas,5,FALSE))</f>
        <v/>
      </c>
      <c r="J1128" s="273"/>
      <c r="K1128" s="9" t="str">
        <f>IF(A1128="","",F.P!$I$2)</f>
        <v/>
      </c>
      <c r="L1128" s="37"/>
      <c r="M1128" s="394" t="str">
        <f t="shared" si="140"/>
        <v/>
      </c>
      <c r="N1128" s="273"/>
    </row>
    <row r="1129" spans="1:15" ht="12.75" customHeight="1" x14ac:dyDescent="0.25">
      <c r="A1129" s="393"/>
      <c r="B1129" s="271"/>
      <c r="C1129" s="271"/>
      <c r="D1129" s="271"/>
      <c r="E1129" s="271"/>
      <c r="F1129" s="271"/>
      <c r="G1129" s="273"/>
      <c r="H1129" s="29" t="str">
        <f>IF(A1129="","",VLOOKUP(A1129,AA_Cuadrillas,4,FALSE))</f>
        <v/>
      </c>
      <c r="I1129" s="394" t="str">
        <f>IF(A1129="","",VLOOKUP(A1129,AA_Cuadrillas,5,FALSE))</f>
        <v/>
      </c>
      <c r="J1129" s="273"/>
      <c r="K1129" s="9" t="str">
        <f>IF(A1129="","",F.P!$I$2)</f>
        <v/>
      </c>
      <c r="L1129" s="37"/>
      <c r="M1129" s="394" t="str">
        <f t="shared" si="140"/>
        <v/>
      </c>
      <c r="N1129" s="273"/>
    </row>
    <row r="1130" spans="1:15" ht="12.75" customHeight="1" x14ac:dyDescent="0.25">
      <c r="A1130" s="393"/>
      <c r="B1130" s="271"/>
      <c r="C1130" s="271"/>
      <c r="D1130" s="271"/>
      <c r="E1130" s="271"/>
      <c r="F1130" s="271"/>
      <c r="G1130" s="273"/>
      <c r="H1130" s="29" t="str">
        <f>IF(A1130="","",VLOOKUP(A1130,AA_Cuadrillas,4,FALSE))</f>
        <v/>
      </c>
      <c r="I1130" s="394" t="str">
        <f>IF(A1130="","",VLOOKUP(A1130,AA_Cuadrillas,5,FALSE))</f>
        <v/>
      </c>
      <c r="J1130" s="273"/>
      <c r="K1130" s="9" t="str">
        <f>IF(A1130="","",F.P!$I$2)</f>
        <v/>
      </c>
      <c r="L1130" s="37"/>
      <c r="M1130" s="394" t="str">
        <f t="shared" si="140"/>
        <v/>
      </c>
      <c r="N1130" s="273"/>
    </row>
    <row r="1131" spans="1:15" ht="12.75" customHeight="1" x14ac:dyDescent="0.25">
      <c r="A1131" s="4"/>
      <c r="B1131" s="4"/>
      <c r="C1131" s="4"/>
      <c r="D1131" s="4"/>
      <c r="E1131" s="4"/>
      <c r="F1131" s="4"/>
      <c r="G1131" s="4"/>
      <c r="H1131" s="4"/>
      <c r="I1131" s="4"/>
      <c r="J1131" s="4"/>
      <c r="K1131" s="396" t="s">
        <v>444</v>
      </c>
      <c r="L1131" s="273"/>
      <c r="M1131" s="394">
        <f>SUM(M1126:N1130)</f>
        <v>0</v>
      </c>
      <c r="N1131" s="273"/>
    </row>
    <row r="1132" spans="1:15" ht="12.75" customHeight="1" x14ac:dyDescent="0.2"/>
    <row r="1133" spans="1:15" ht="12.75" customHeight="1" x14ac:dyDescent="0.2">
      <c r="A1133" s="407" t="s">
        <v>111</v>
      </c>
      <c r="B1133" s="275"/>
      <c r="C1133" s="275"/>
      <c r="D1133" s="275"/>
      <c r="E1133" s="275"/>
      <c r="F1133" s="275"/>
      <c r="G1133" s="275"/>
      <c r="H1133" s="275"/>
      <c r="I1133" s="275"/>
      <c r="J1133" s="275"/>
      <c r="K1133" s="275"/>
      <c r="L1133" s="275"/>
      <c r="M1133" s="275"/>
      <c r="N1133" s="276"/>
      <c r="O1133" s="166"/>
    </row>
    <row r="1134" spans="1:15" ht="12.75" customHeight="1" x14ac:dyDescent="0.2">
      <c r="A1134" s="277"/>
      <c r="B1134" s="278"/>
      <c r="C1134" s="278"/>
      <c r="D1134" s="278"/>
      <c r="E1134" s="278"/>
      <c r="F1134" s="278"/>
      <c r="G1134" s="278"/>
      <c r="H1134" s="278"/>
      <c r="I1134" s="278"/>
      <c r="J1134" s="278"/>
      <c r="K1134" s="278"/>
      <c r="L1134" s="278"/>
      <c r="M1134" s="278"/>
      <c r="N1134" s="279"/>
      <c r="O1134" s="166"/>
    </row>
    <row r="1135" spans="1:15" ht="12.75" customHeight="1" x14ac:dyDescent="0.2">
      <c r="A1135" s="75"/>
      <c r="B1135" s="75"/>
      <c r="C1135" s="75"/>
      <c r="D1135" s="75"/>
      <c r="E1135" s="75"/>
      <c r="F1135" s="75"/>
      <c r="G1135" s="75"/>
      <c r="H1135" s="75"/>
      <c r="I1135" s="75"/>
      <c r="J1135" s="75"/>
      <c r="K1135" s="75"/>
      <c r="L1135" s="75"/>
      <c r="M1135" s="75"/>
      <c r="N1135" s="75"/>
    </row>
    <row r="1136" spans="1:15" ht="12.75" customHeight="1" x14ac:dyDescent="0.3">
      <c r="A1136" s="79" t="s">
        <v>639</v>
      </c>
      <c r="B1136" s="80" t="str">
        <f>A1133</f>
        <v>DISPOSICIÓN DE MATERIAL PROVENIENTE DE EXCAVACIÓN (INCLUYE TRANSPORTE)</v>
      </c>
      <c r="C1136" s="81" t="s">
        <v>916</v>
      </c>
      <c r="D1136" s="82" t="s">
        <v>258</v>
      </c>
      <c r="E1136" s="83" t="s">
        <v>445</v>
      </c>
      <c r="F1136" s="234">
        <f>(H1136+J1136+L1136+N1136)*1.3</f>
        <v>6384.6287895000005</v>
      </c>
      <c r="G1136" s="83" t="s">
        <v>607</v>
      </c>
      <c r="H1136" s="86">
        <f>M1155</f>
        <v>1762.2923000000001</v>
      </c>
      <c r="I1136" s="83" t="s">
        <v>918</v>
      </c>
      <c r="J1136" s="86">
        <f>M1146</f>
        <v>0</v>
      </c>
      <c r="K1136" s="83" t="s">
        <v>609</v>
      </c>
      <c r="L1136" s="86">
        <f>M1164</f>
        <v>1503.114615</v>
      </c>
      <c r="M1136" s="83" t="s">
        <v>610</v>
      </c>
      <c r="N1136" s="86">
        <f>M1173</f>
        <v>1645.846</v>
      </c>
    </row>
    <row r="1137" spans="1:14" ht="12.75" customHeight="1" x14ac:dyDescent="0.25">
      <c r="A1137" s="87"/>
      <c r="B1137" s="87"/>
      <c r="C1137" s="87"/>
      <c r="D1137" s="87"/>
      <c r="E1137" s="87"/>
      <c r="F1137" s="87"/>
      <c r="G1137" s="87"/>
      <c r="J1137" s="87"/>
      <c r="K1137" s="215" t="s">
        <v>3217</v>
      </c>
      <c r="L1137" s="215">
        <f>+F1136*presup!$O$5</f>
        <v>8300.0174263500012</v>
      </c>
      <c r="M1137" s="87"/>
      <c r="N1137" s="87"/>
    </row>
    <row r="1138" spans="1:14" ht="12.75" customHeight="1" x14ac:dyDescent="0.2">
      <c r="A1138" s="398" t="s">
        <v>919</v>
      </c>
      <c r="B1138" s="271"/>
      <c r="C1138" s="271"/>
      <c r="D1138" s="271"/>
      <c r="E1138" s="271"/>
      <c r="F1138" s="271"/>
      <c r="G1138" s="271"/>
      <c r="H1138" s="271"/>
      <c r="I1138" s="271"/>
      <c r="J1138" s="271"/>
      <c r="K1138" s="271"/>
      <c r="L1138" s="271"/>
      <c r="M1138" s="271"/>
      <c r="N1138" s="273"/>
    </row>
    <row r="1139" spans="1:14" ht="12.75" customHeight="1" x14ac:dyDescent="0.2">
      <c r="A1139" s="396" t="s">
        <v>76</v>
      </c>
      <c r="B1139" s="271"/>
      <c r="C1139" s="271"/>
      <c r="D1139" s="271"/>
      <c r="E1139" s="271"/>
      <c r="F1139" s="271"/>
      <c r="G1139" s="273"/>
      <c r="H1139" s="88" t="s">
        <v>77</v>
      </c>
      <c r="I1139" s="399" t="s">
        <v>920</v>
      </c>
      <c r="J1139" s="273"/>
      <c r="K1139" s="399" t="s">
        <v>453</v>
      </c>
      <c r="L1139" s="273"/>
      <c r="M1139" s="399" t="s">
        <v>921</v>
      </c>
      <c r="N1139" s="273"/>
    </row>
    <row r="1140" spans="1:14" ht="12.75" customHeight="1" x14ac:dyDescent="0.2">
      <c r="A1140" s="403"/>
      <c r="B1140" s="271"/>
      <c r="C1140" s="271"/>
      <c r="D1140" s="271"/>
      <c r="E1140" s="271"/>
      <c r="F1140" s="271"/>
      <c r="G1140" s="273"/>
      <c r="H1140" s="29" t="str">
        <f t="shared" ref="H1140:H1145" si="141">IF(A1140="","",VLOOKUP(A1140,AA_Materiales,7,FALSE))</f>
        <v/>
      </c>
      <c r="I1140" s="394" t="str">
        <f t="shared" ref="I1140:I1145" si="142">IF(A1140="","",VLOOKUP(A1140,AA_Materiales,8,FALSE))</f>
        <v/>
      </c>
      <c r="J1140" s="273"/>
      <c r="K1140" s="395"/>
      <c r="L1140" s="273"/>
      <c r="M1140" s="394" t="str">
        <f t="shared" ref="M1140:M1145" si="143">IF(A1140="","",I1140*K1140)</f>
        <v/>
      </c>
      <c r="N1140" s="273"/>
    </row>
    <row r="1141" spans="1:14" ht="12.75" customHeight="1" x14ac:dyDescent="0.2">
      <c r="A1141" s="400"/>
      <c r="B1141" s="271"/>
      <c r="C1141" s="271"/>
      <c r="D1141" s="271"/>
      <c r="E1141" s="271"/>
      <c r="F1141" s="271"/>
      <c r="G1141" s="273"/>
      <c r="H1141" s="29" t="str">
        <f t="shared" si="141"/>
        <v/>
      </c>
      <c r="I1141" s="394" t="str">
        <f t="shared" si="142"/>
        <v/>
      </c>
      <c r="J1141" s="273"/>
      <c r="K1141" s="395"/>
      <c r="L1141" s="273"/>
      <c r="M1141" s="394" t="str">
        <f t="shared" si="143"/>
        <v/>
      </c>
      <c r="N1141" s="273"/>
    </row>
    <row r="1142" spans="1:14" ht="12.75" customHeight="1" x14ac:dyDescent="0.2">
      <c r="A1142" s="400"/>
      <c r="B1142" s="271"/>
      <c r="C1142" s="271"/>
      <c r="D1142" s="271"/>
      <c r="E1142" s="271"/>
      <c r="F1142" s="271"/>
      <c r="G1142" s="273"/>
      <c r="H1142" s="29" t="str">
        <f t="shared" si="141"/>
        <v/>
      </c>
      <c r="I1142" s="394" t="str">
        <f t="shared" si="142"/>
        <v/>
      </c>
      <c r="J1142" s="273"/>
      <c r="K1142" s="395"/>
      <c r="L1142" s="273"/>
      <c r="M1142" s="394" t="str">
        <f t="shared" si="143"/>
        <v/>
      </c>
      <c r="N1142" s="273"/>
    </row>
    <row r="1143" spans="1:14" ht="12.75" customHeight="1" x14ac:dyDescent="0.2">
      <c r="A1143" s="400"/>
      <c r="B1143" s="271"/>
      <c r="C1143" s="271"/>
      <c r="D1143" s="271"/>
      <c r="E1143" s="271"/>
      <c r="F1143" s="271"/>
      <c r="G1143" s="273"/>
      <c r="H1143" s="29" t="str">
        <f t="shared" si="141"/>
        <v/>
      </c>
      <c r="I1143" s="394" t="str">
        <f t="shared" si="142"/>
        <v/>
      </c>
      <c r="J1143" s="273"/>
      <c r="K1143" s="395"/>
      <c r="L1143" s="273"/>
      <c r="M1143" s="394" t="str">
        <f t="shared" si="143"/>
        <v/>
      </c>
      <c r="N1143" s="273"/>
    </row>
    <row r="1144" spans="1:14" ht="12.75" customHeight="1" x14ac:dyDescent="0.2">
      <c r="A1144" s="400"/>
      <c r="B1144" s="271"/>
      <c r="C1144" s="271"/>
      <c r="D1144" s="271"/>
      <c r="E1144" s="271"/>
      <c r="F1144" s="271"/>
      <c r="G1144" s="273"/>
      <c r="H1144" s="29" t="str">
        <f t="shared" si="141"/>
        <v/>
      </c>
      <c r="I1144" s="394" t="str">
        <f t="shared" si="142"/>
        <v/>
      </c>
      <c r="J1144" s="273"/>
      <c r="K1144" s="395"/>
      <c r="L1144" s="273"/>
      <c r="M1144" s="394" t="str">
        <f t="shared" si="143"/>
        <v/>
      </c>
      <c r="N1144" s="273"/>
    </row>
    <row r="1145" spans="1:14" ht="12.75" customHeight="1" x14ac:dyDescent="0.2">
      <c r="A1145" s="400"/>
      <c r="B1145" s="271"/>
      <c r="C1145" s="271"/>
      <c r="D1145" s="271"/>
      <c r="E1145" s="271"/>
      <c r="F1145" s="271"/>
      <c r="G1145" s="273"/>
      <c r="H1145" s="29" t="str">
        <f t="shared" si="141"/>
        <v/>
      </c>
      <c r="I1145" s="394" t="str">
        <f t="shared" si="142"/>
        <v/>
      </c>
      <c r="J1145" s="273"/>
      <c r="K1145" s="395"/>
      <c r="L1145" s="273"/>
      <c r="M1145" s="394" t="str">
        <f t="shared" si="143"/>
        <v/>
      </c>
      <c r="N1145" s="273"/>
    </row>
    <row r="1146" spans="1:14" ht="12.75" customHeight="1" x14ac:dyDescent="0.25">
      <c r="A1146" s="4"/>
      <c r="B1146" s="4"/>
      <c r="C1146" s="4"/>
      <c r="D1146" s="4"/>
      <c r="E1146" s="4"/>
      <c r="F1146" s="4"/>
      <c r="G1146" s="4"/>
      <c r="H1146" s="4"/>
      <c r="I1146" s="4"/>
      <c r="J1146" s="4"/>
      <c r="K1146" s="396" t="s">
        <v>444</v>
      </c>
      <c r="L1146" s="273"/>
      <c r="M1146" s="394">
        <f>SUM(M1140:N1145)</f>
        <v>0</v>
      </c>
      <c r="N1146" s="273"/>
    </row>
    <row r="1147" spans="1:14" ht="12.75" customHeight="1" x14ac:dyDescent="0.25">
      <c r="A1147" s="4"/>
      <c r="B1147" s="4"/>
      <c r="C1147" s="4"/>
      <c r="D1147" s="4"/>
      <c r="E1147" s="4"/>
      <c r="F1147" s="4"/>
      <c r="G1147" s="4"/>
      <c r="H1147" s="4"/>
      <c r="I1147" s="4"/>
      <c r="J1147" s="4"/>
      <c r="K1147" s="4"/>
      <c r="L1147" s="4"/>
      <c r="M1147" s="4"/>
      <c r="N1147" s="4"/>
    </row>
    <row r="1148" spans="1:14" ht="12.75" customHeight="1" x14ac:dyDescent="0.2">
      <c r="A1148" s="398" t="s">
        <v>926</v>
      </c>
      <c r="B1148" s="271"/>
      <c r="C1148" s="271"/>
      <c r="D1148" s="271"/>
      <c r="E1148" s="271"/>
      <c r="F1148" s="271"/>
      <c r="G1148" s="271"/>
      <c r="H1148" s="271"/>
      <c r="I1148" s="271"/>
      <c r="J1148" s="271"/>
      <c r="K1148" s="271"/>
      <c r="L1148" s="271"/>
      <c r="M1148" s="271"/>
      <c r="N1148" s="273"/>
    </row>
    <row r="1149" spans="1:14" ht="12.75" customHeight="1" x14ac:dyDescent="0.2">
      <c r="A1149" s="396" t="s">
        <v>76</v>
      </c>
      <c r="B1149" s="271"/>
      <c r="C1149" s="271"/>
      <c r="D1149" s="271"/>
      <c r="E1149" s="271"/>
      <c r="F1149" s="271"/>
      <c r="G1149" s="273"/>
      <c r="H1149" s="88" t="s">
        <v>77</v>
      </c>
      <c r="I1149" s="399" t="s">
        <v>920</v>
      </c>
      <c r="J1149" s="273"/>
      <c r="K1149" s="399" t="s">
        <v>453</v>
      </c>
      <c r="L1149" s="273"/>
      <c r="M1149" s="399" t="s">
        <v>921</v>
      </c>
      <c r="N1149" s="273"/>
    </row>
    <row r="1150" spans="1:14" ht="12.75" customHeight="1" x14ac:dyDescent="0.2">
      <c r="A1150" s="400" t="s">
        <v>927</v>
      </c>
      <c r="B1150" s="271"/>
      <c r="C1150" s="271"/>
      <c r="D1150" s="271"/>
      <c r="E1150" s="271"/>
      <c r="F1150" s="271"/>
      <c r="G1150" s="273"/>
      <c r="H1150" s="29" t="str">
        <f>IF(A1150="","",VLOOKUP(A1150,AA_Equipos,7,FALSE))</f>
        <v>% M.O.</v>
      </c>
      <c r="I1150" s="394">
        <f>+M1173</f>
        <v>1645.846</v>
      </c>
      <c r="J1150" s="273"/>
      <c r="K1150" s="404">
        <v>0.05</v>
      </c>
      <c r="L1150" s="273"/>
      <c r="M1150" s="394">
        <f t="shared" ref="M1150:M1154" si="144">IF(A1150="","",I1150*K1150)</f>
        <v>82.292300000000012</v>
      </c>
      <c r="N1150" s="273"/>
    </row>
    <row r="1151" spans="1:14" ht="12.75" customHeight="1" x14ac:dyDescent="0.2">
      <c r="A1151" s="403" t="s">
        <v>938</v>
      </c>
      <c r="B1151" s="271"/>
      <c r="C1151" s="271"/>
      <c r="D1151" s="271"/>
      <c r="E1151" s="271"/>
      <c r="F1151" s="271"/>
      <c r="G1151" s="273"/>
      <c r="H1151" s="29" t="str">
        <f>IF(A1151="","",VLOOKUP(A1151,AA_Equipos,7,FALSE))</f>
        <v>Hora</v>
      </c>
      <c r="I1151" s="394">
        <f>IF(A1151="","",VLOOKUP(A1151,AA_Equipos,8,FALSE))</f>
        <v>120000</v>
      </c>
      <c r="J1151" s="273"/>
      <c r="K1151" s="402">
        <v>1.4E-2</v>
      </c>
      <c r="L1151" s="273"/>
      <c r="M1151" s="394">
        <f t="shared" si="144"/>
        <v>1680</v>
      </c>
      <c r="N1151" s="273"/>
    </row>
    <row r="1152" spans="1:14" ht="12.75" customHeight="1" x14ac:dyDescent="0.2">
      <c r="A1152" s="400"/>
      <c r="B1152" s="271"/>
      <c r="C1152" s="271"/>
      <c r="D1152" s="271"/>
      <c r="E1152" s="271"/>
      <c r="F1152" s="271"/>
      <c r="G1152" s="273"/>
      <c r="H1152" s="29" t="str">
        <f>IF(A1152="","",VLOOKUP(A1152,AA_Equipos,7,FALSE))</f>
        <v/>
      </c>
      <c r="I1152" s="394" t="str">
        <f>IF(A1152="","",VLOOKUP(A1152,AA_Equipos,8,FALSE))</f>
        <v/>
      </c>
      <c r="J1152" s="273"/>
      <c r="K1152" s="401"/>
      <c r="L1152" s="273"/>
      <c r="M1152" s="394" t="str">
        <f t="shared" si="144"/>
        <v/>
      </c>
      <c r="N1152" s="273"/>
    </row>
    <row r="1153" spans="1:14" ht="12.75" customHeight="1" x14ac:dyDescent="0.2">
      <c r="A1153" s="400"/>
      <c r="B1153" s="271"/>
      <c r="C1153" s="271"/>
      <c r="D1153" s="271"/>
      <c r="E1153" s="271"/>
      <c r="F1153" s="271"/>
      <c r="G1153" s="273"/>
      <c r="H1153" s="29" t="str">
        <f>IF(A1153="","",VLOOKUP(A1153,AA_Equipos,7,FALSE))</f>
        <v/>
      </c>
      <c r="I1153" s="394" t="str">
        <f>IF(A1153="","",VLOOKUP(A1153,AA_Equipos,8,FALSE))</f>
        <v/>
      </c>
      <c r="J1153" s="273"/>
      <c r="K1153" s="395"/>
      <c r="L1153" s="273"/>
      <c r="M1153" s="394" t="str">
        <f t="shared" si="144"/>
        <v/>
      </c>
      <c r="N1153" s="273"/>
    </row>
    <row r="1154" spans="1:14" ht="12.75" customHeight="1" x14ac:dyDescent="0.2">
      <c r="A1154" s="400"/>
      <c r="B1154" s="271"/>
      <c r="C1154" s="271"/>
      <c r="D1154" s="271"/>
      <c r="E1154" s="271"/>
      <c r="F1154" s="271"/>
      <c r="G1154" s="273"/>
      <c r="H1154" s="29" t="str">
        <f>IF(A1154="","",VLOOKUP(A1154,AA_Equipos,7,FALSE))</f>
        <v/>
      </c>
      <c r="I1154" s="394" t="str">
        <f>IF(A1154="","",VLOOKUP(A1154,AA_Equipos,8,FALSE))</f>
        <v/>
      </c>
      <c r="J1154" s="273"/>
      <c r="K1154" s="395"/>
      <c r="L1154" s="273"/>
      <c r="M1154" s="394" t="str">
        <f t="shared" si="144"/>
        <v/>
      </c>
      <c r="N1154" s="273"/>
    </row>
    <row r="1155" spans="1:14" ht="12.75" customHeight="1" x14ac:dyDescent="0.25">
      <c r="A1155" s="4"/>
      <c r="B1155" s="4"/>
      <c r="C1155" s="4"/>
      <c r="D1155" s="4"/>
      <c r="E1155" s="4"/>
      <c r="F1155" s="4"/>
      <c r="G1155" s="4"/>
      <c r="H1155" s="4"/>
      <c r="I1155" s="4"/>
      <c r="J1155" s="4"/>
      <c r="K1155" s="396" t="s">
        <v>444</v>
      </c>
      <c r="L1155" s="273"/>
      <c r="M1155" s="394">
        <f>SUM(M1150:N1154)</f>
        <v>1762.2923000000001</v>
      </c>
      <c r="N1155" s="273"/>
    </row>
    <row r="1156" spans="1:14" ht="12.75" customHeight="1" x14ac:dyDescent="0.25">
      <c r="A1156" s="4"/>
      <c r="B1156" s="4"/>
      <c r="C1156" s="4"/>
      <c r="D1156" s="4"/>
      <c r="E1156" s="4"/>
      <c r="F1156" s="4"/>
      <c r="G1156" s="4"/>
      <c r="H1156" s="4"/>
      <c r="I1156" s="4"/>
      <c r="J1156" s="4"/>
      <c r="K1156" s="4"/>
      <c r="L1156" s="4"/>
      <c r="M1156" s="4"/>
      <c r="N1156" s="4"/>
    </row>
    <row r="1157" spans="1:14" ht="12.75" customHeight="1" x14ac:dyDescent="0.2">
      <c r="A1157" s="398" t="s">
        <v>929</v>
      </c>
      <c r="B1157" s="271"/>
      <c r="C1157" s="271"/>
      <c r="D1157" s="271"/>
      <c r="E1157" s="271"/>
      <c r="F1157" s="271"/>
      <c r="G1157" s="271"/>
      <c r="H1157" s="271"/>
      <c r="I1157" s="271"/>
      <c r="J1157" s="271"/>
      <c r="K1157" s="271"/>
      <c r="L1157" s="271"/>
      <c r="M1157" s="271"/>
      <c r="N1157" s="273"/>
    </row>
    <row r="1158" spans="1:14" ht="12.75" customHeight="1" x14ac:dyDescent="0.2">
      <c r="A1158" s="396" t="s">
        <v>76</v>
      </c>
      <c r="B1158" s="271"/>
      <c r="C1158" s="271"/>
      <c r="D1158" s="271"/>
      <c r="E1158" s="271"/>
      <c r="F1158" s="271"/>
      <c r="G1158" s="273"/>
      <c r="H1158" s="88" t="s">
        <v>77</v>
      </c>
      <c r="I1158" s="399" t="s">
        <v>920</v>
      </c>
      <c r="J1158" s="273"/>
      <c r="K1158" s="399" t="s">
        <v>453</v>
      </c>
      <c r="L1158" s="273"/>
      <c r="M1158" s="399" t="s">
        <v>921</v>
      </c>
      <c r="N1158" s="273"/>
    </row>
    <row r="1159" spans="1:14" ht="12.75" customHeight="1" x14ac:dyDescent="0.2">
      <c r="A1159" s="400" t="s">
        <v>1026</v>
      </c>
      <c r="B1159" s="271"/>
      <c r="C1159" s="271"/>
      <c r="D1159" s="271"/>
      <c r="E1159" s="271"/>
      <c r="F1159" s="271"/>
      <c r="G1159" s="273"/>
      <c r="H1159" s="29"/>
      <c r="I1159" s="394"/>
      <c r="J1159" s="273"/>
      <c r="K1159" s="395"/>
      <c r="L1159" s="273"/>
      <c r="M1159" s="394">
        <f>IF(A1159="","",I1159*K1159)</f>
        <v>0</v>
      </c>
      <c r="N1159" s="273"/>
    </row>
    <row r="1160" spans="1:14" ht="12.75" customHeight="1" x14ac:dyDescent="0.2">
      <c r="A1160" s="403" t="s">
        <v>3174</v>
      </c>
      <c r="B1160" s="271"/>
      <c r="C1160" s="271"/>
      <c r="D1160" s="271"/>
      <c r="E1160" s="271"/>
      <c r="F1160" s="271"/>
      <c r="G1160" s="273"/>
      <c r="H1160" s="29" t="s">
        <v>24</v>
      </c>
      <c r="I1160" s="394">
        <f>+M1155</f>
        <v>1762.2923000000001</v>
      </c>
      <c r="J1160" s="273"/>
      <c r="K1160" s="405">
        <v>0.05</v>
      </c>
      <c r="L1160" s="406"/>
      <c r="M1160" s="394">
        <f t="shared" ref="M1160:M1163" si="145">IF(A1160="","",I1160*K1160)</f>
        <v>88.114615000000015</v>
      </c>
      <c r="N1160" s="273"/>
    </row>
    <row r="1161" spans="1:14" ht="12.75" customHeight="1" x14ac:dyDescent="0.2">
      <c r="A1161" s="400" t="str">
        <f>'precios '!C223</f>
        <v>Disposición de material</v>
      </c>
      <c r="B1161" s="271"/>
      <c r="C1161" s="271"/>
      <c r="D1161" s="271"/>
      <c r="E1161" s="271"/>
      <c r="F1161" s="271"/>
      <c r="G1161" s="273"/>
      <c r="H1161" s="29"/>
      <c r="I1161" s="394">
        <f>'precios '!J223</f>
        <v>1132</v>
      </c>
      <c r="J1161" s="273"/>
      <c r="K1161" s="395">
        <v>1.25</v>
      </c>
      <c r="L1161" s="273"/>
      <c r="M1161" s="394">
        <f t="shared" si="145"/>
        <v>1415</v>
      </c>
      <c r="N1161" s="273"/>
    </row>
    <row r="1162" spans="1:14" ht="12.75" customHeight="1" x14ac:dyDescent="0.2">
      <c r="A1162" s="400"/>
      <c r="B1162" s="271"/>
      <c r="C1162" s="271"/>
      <c r="D1162" s="271"/>
      <c r="E1162" s="271"/>
      <c r="F1162" s="271"/>
      <c r="G1162" s="273"/>
      <c r="H1162" s="29"/>
      <c r="I1162" s="394"/>
      <c r="J1162" s="273"/>
      <c r="K1162" s="395"/>
      <c r="L1162" s="273"/>
      <c r="M1162" s="394" t="str">
        <f t="shared" si="145"/>
        <v/>
      </c>
      <c r="N1162" s="273"/>
    </row>
    <row r="1163" spans="1:14" ht="12.75" customHeight="1" x14ac:dyDescent="0.2">
      <c r="A1163" s="400"/>
      <c r="B1163" s="271"/>
      <c r="C1163" s="271"/>
      <c r="D1163" s="271"/>
      <c r="E1163" s="271"/>
      <c r="F1163" s="271"/>
      <c r="G1163" s="273"/>
      <c r="H1163" s="29"/>
      <c r="I1163" s="394"/>
      <c r="J1163" s="273"/>
      <c r="K1163" s="395"/>
      <c r="L1163" s="273"/>
      <c r="M1163" s="394" t="str">
        <f t="shared" si="145"/>
        <v/>
      </c>
      <c r="N1163" s="273"/>
    </row>
    <row r="1164" spans="1:14" ht="12.75" customHeight="1" x14ac:dyDescent="0.25">
      <c r="A1164" s="4"/>
      <c r="B1164" s="4"/>
      <c r="C1164" s="4"/>
      <c r="D1164" s="4"/>
      <c r="E1164" s="4"/>
      <c r="F1164" s="4"/>
      <c r="G1164" s="4"/>
      <c r="H1164" s="4"/>
      <c r="I1164" s="4"/>
      <c r="J1164" s="4"/>
      <c r="K1164" s="396" t="s">
        <v>444</v>
      </c>
      <c r="L1164" s="273"/>
      <c r="M1164" s="394">
        <f>SUM(M1159:N1163)</f>
        <v>1503.114615</v>
      </c>
      <c r="N1164" s="273"/>
    </row>
    <row r="1165" spans="1:14" ht="12.75" customHeight="1" x14ac:dyDescent="0.25">
      <c r="A1165" s="4"/>
      <c r="B1165" s="4"/>
      <c r="C1165" s="4"/>
      <c r="D1165" s="4"/>
      <c r="E1165" s="4"/>
      <c r="F1165" s="4"/>
      <c r="G1165" s="4"/>
      <c r="H1165" s="4"/>
      <c r="I1165" s="4"/>
      <c r="J1165" s="4"/>
      <c r="K1165" s="4"/>
      <c r="L1165" s="4"/>
      <c r="M1165" s="4"/>
      <c r="N1165" s="4"/>
    </row>
    <row r="1166" spans="1:14" ht="12.75" customHeight="1" x14ac:dyDescent="0.2">
      <c r="A1166" s="398" t="s">
        <v>931</v>
      </c>
      <c r="B1166" s="271"/>
      <c r="C1166" s="271"/>
      <c r="D1166" s="271"/>
      <c r="E1166" s="271"/>
      <c r="F1166" s="271"/>
      <c r="G1166" s="271"/>
      <c r="H1166" s="271"/>
      <c r="I1166" s="271"/>
      <c r="J1166" s="271"/>
      <c r="K1166" s="271"/>
      <c r="L1166" s="271"/>
      <c r="M1166" s="271"/>
      <c r="N1166" s="273"/>
    </row>
    <row r="1167" spans="1:14" ht="12.75" customHeight="1" x14ac:dyDescent="0.2">
      <c r="A1167" s="396" t="s">
        <v>76</v>
      </c>
      <c r="B1167" s="271"/>
      <c r="C1167" s="271"/>
      <c r="D1167" s="271"/>
      <c r="E1167" s="271"/>
      <c r="F1167" s="271"/>
      <c r="G1167" s="273"/>
      <c r="H1167" s="88" t="s">
        <v>77</v>
      </c>
      <c r="I1167" s="399" t="s">
        <v>920</v>
      </c>
      <c r="J1167" s="273"/>
      <c r="K1167" s="90" t="s">
        <v>514</v>
      </c>
      <c r="L1167" s="91" t="s">
        <v>932</v>
      </c>
      <c r="M1167" s="399" t="s">
        <v>921</v>
      </c>
      <c r="N1167" s="273"/>
    </row>
    <row r="1168" spans="1:14" ht="12.75" customHeight="1" x14ac:dyDescent="0.25">
      <c r="A1168" s="393" t="s">
        <v>936</v>
      </c>
      <c r="B1168" s="271"/>
      <c r="C1168" s="271"/>
      <c r="D1168" s="271"/>
      <c r="E1168" s="271"/>
      <c r="F1168" s="271"/>
      <c r="G1168" s="273"/>
      <c r="H1168" s="29" t="str">
        <f>IF(A1168="","",VLOOKUP(A1168,AA_Cuadrillas,4,FALSE))</f>
        <v>Cuadrilla</v>
      </c>
      <c r="I1168" s="394">
        <f>IF(A1168="","",VLOOKUP(A1168,AA_Cuadrillas,5,FALSE))</f>
        <v>70036</v>
      </c>
      <c r="J1168" s="273"/>
      <c r="K1168" s="9">
        <f>IF(A1168="","",F.P!$I$2)</f>
        <v>1.88</v>
      </c>
      <c r="L1168" s="93">
        <v>1.2500000000000001E-2</v>
      </c>
      <c r="M1168" s="394">
        <f t="shared" ref="M1168:M1172" si="146">IF(A1168="","",I1168*K1168*L1168)</f>
        <v>1645.846</v>
      </c>
      <c r="N1168" s="273"/>
    </row>
    <row r="1169" spans="1:15" ht="12.75" customHeight="1" x14ac:dyDescent="0.25">
      <c r="A1169" s="393"/>
      <c r="B1169" s="271"/>
      <c r="C1169" s="271"/>
      <c r="D1169" s="271"/>
      <c r="E1169" s="271"/>
      <c r="F1169" s="271"/>
      <c r="G1169" s="273"/>
      <c r="H1169" s="29" t="str">
        <f>IF(A1169="","",VLOOKUP(A1169,AA_Cuadrillas,4,FALSE))</f>
        <v/>
      </c>
      <c r="I1169" s="394" t="str">
        <f>IF(A1169="","",VLOOKUP(A1169,AA_Cuadrillas,5,FALSE))</f>
        <v/>
      </c>
      <c r="J1169" s="273"/>
      <c r="K1169" s="9" t="str">
        <f>IF(A1169="","",F.P!$I$2)</f>
        <v/>
      </c>
      <c r="L1169" s="9"/>
      <c r="M1169" s="394" t="str">
        <f t="shared" si="146"/>
        <v/>
      </c>
      <c r="N1169" s="273"/>
    </row>
    <row r="1170" spans="1:15" ht="12.75" customHeight="1" x14ac:dyDescent="0.25">
      <c r="A1170" s="393"/>
      <c r="B1170" s="271"/>
      <c r="C1170" s="271"/>
      <c r="D1170" s="271"/>
      <c r="E1170" s="271"/>
      <c r="F1170" s="271"/>
      <c r="G1170" s="273"/>
      <c r="H1170" s="29" t="str">
        <f>IF(A1170="","",VLOOKUP(A1170,AA_Cuadrillas,4,FALSE))</f>
        <v/>
      </c>
      <c r="I1170" s="394" t="str">
        <f>IF(A1170="","",VLOOKUP(A1170,AA_Cuadrillas,5,FALSE))</f>
        <v/>
      </c>
      <c r="J1170" s="273"/>
      <c r="K1170" s="9" t="str">
        <f>IF(A1170="","",F.P!$I$2)</f>
        <v/>
      </c>
      <c r="L1170" s="37"/>
      <c r="M1170" s="394" t="str">
        <f t="shared" si="146"/>
        <v/>
      </c>
      <c r="N1170" s="273"/>
    </row>
    <row r="1171" spans="1:15" ht="12.75" customHeight="1" x14ac:dyDescent="0.25">
      <c r="A1171" s="393"/>
      <c r="B1171" s="271"/>
      <c r="C1171" s="271"/>
      <c r="D1171" s="271"/>
      <c r="E1171" s="271"/>
      <c r="F1171" s="271"/>
      <c r="G1171" s="273"/>
      <c r="H1171" s="29" t="str">
        <f>IF(A1171="","",VLOOKUP(A1171,AA_Cuadrillas,4,FALSE))</f>
        <v/>
      </c>
      <c r="I1171" s="394" t="str">
        <f>IF(A1171="","",VLOOKUP(A1171,AA_Cuadrillas,5,FALSE))</f>
        <v/>
      </c>
      <c r="J1171" s="273"/>
      <c r="K1171" s="9" t="str">
        <f>IF(A1171="","",F.P!$I$2)</f>
        <v/>
      </c>
      <c r="L1171" s="37"/>
      <c r="M1171" s="394" t="str">
        <f t="shared" si="146"/>
        <v/>
      </c>
      <c r="N1171" s="273"/>
    </row>
    <row r="1172" spans="1:15" ht="12.75" customHeight="1" x14ac:dyDescent="0.25">
      <c r="A1172" s="393"/>
      <c r="B1172" s="271"/>
      <c r="C1172" s="271"/>
      <c r="D1172" s="271"/>
      <c r="E1172" s="271"/>
      <c r="F1172" s="271"/>
      <c r="G1172" s="273"/>
      <c r="H1172" s="29" t="str">
        <f>IF(A1172="","",VLOOKUP(A1172,AA_Cuadrillas,4,FALSE))</f>
        <v/>
      </c>
      <c r="I1172" s="394" t="str">
        <f>IF(A1172="","",VLOOKUP(A1172,AA_Cuadrillas,5,FALSE))</f>
        <v/>
      </c>
      <c r="J1172" s="273"/>
      <c r="K1172" s="9" t="str">
        <f>IF(A1172="","",F.P!$I$2)</f>
        <v/>
      </c>
      <c r="L1172" s="37"/>
      <c r="M1172" s="394" t="str">
        <f t="shared" si="146"/>
        <v/>
      </c>
      <c r="N1172" s="273"/>
    </row>
    <row r="1173" spans="1:15" ht="12.75" customHeight="1" x14ac:dyDescent="0.25">
      <c r="A1173" s="4"/>
      <c r="B1173" s="4"/>
      <c r="C1173" s="4"/>
      <c r="D1173" s="4"/>
      <c r="E1173" s="4"/>
      <c r="F1173" s="4"/>
      <c r="G1173" s="4"/>
      <c r="H1173" s="4"/>
      <c r="I1173" s="4"/>
      <c r="J1173" s="4"/>
      <c r="K1173" s="396" t="s">
        <v>444</v>
      </c>
      <c r="L1173" s="273"/>
      <c r="M1173" s="394">
        <f>SUM(M1168:N1172)</f>
        <v>1645.846</v>
      </c>
      <c r="N1173" s="273"/>
    </row>
    <row r="1174" spans="1:15" ht="12.75" customHeight="1" x14ac:dyDescent="0.2"/>
    <row r="1175" spans="1:15" ht="12.75" customHeight="1" x14ac:dyDescent="0.2">
      <c r="A1175" s="397" t="s">
        <v>115</v>
      </c>
      <c r="B1175" s="275"/>
      <c r="C1175" s="275"/>
      <c r="D1175" s="275"/>
      <c r="E1175" s="275"/>
      <c r="F1175" s="275"/>
      <c r="G1175" s="275"/>
      <c r="H1175" s="275"/>
      <c r="I1175" s="275"/>
      <c r="J1175" s="275"/>
      <c r="K1175" s="275"/>
      <c r="L1175" s="275"/>
      <c r="M1175" s="275"/>
      <c r="N1175" s="276"/>
      <c r="O1175" s="166"/>
    </row>
    <row r="1176" spans="1:15" ht="12.75" customHeight="1" x14ac:dyDescent="0.2">
      <c r="A1176" s="277"/>
      <c r="B1176" s="278"/>
      <c r="C1176" s="278"/>
      <c r="D1176" s="278"/>
      <c r="E1176" s="278"/>
      <c r="F1176" s="278"/>
      <c r="G1176" s="278"/>
      <c r="H1176" s="278"/>
      <c r="I1176" s="278"/>
      <c r="J1176" s="278"/>
      <c r="K1176" s="278"/>
      <c r="L1176" s="278"/>
      <c r="M1176" s="278"/>
      <c r="N1176" s="279"/>
      <c r="O1176" s="166"/>
    </row>
    <row r="1177" spans="1:15" ht="12.75" customHeight="1" x14ac:dyDescent="0.2">
      <c r="A1177" s="75"/>
      <c r="B1177" s="75"/>
      <c r="C1177" s="75"/>
      <c r="D1177" s="75"/>
      <c r="E1177" s="75"/>
      <c r="F1177" s="75"/>
      <c r="G1177" s="75"/>
      <c r="H1177" s="75"/>
      <c r="I1177" s="75"/>
      <c r="J1177" s="75"/>
      <c r="K1177" s="75"/>
      <c r="L1177" s="75"/>
      <c r="M1177" s="75"/>
      <c r="N1177" s="75"/>
    </row>
    <row r="1178" spans="1:15" ht="12.75" customHeight="1" x14ac:dyDescent="0.3">
      <c r="A1178" s="79" t="s">
        <v>640</v>
      </c>
      <c r="B1178" s="80" t="str">
        <f>A1175</f>
        <v>SUMINISTRO E INSTALACIÓN BARANDA METÁLICA EN TUBO DE HIERRO GALVANIZADO DE 1 1/2", PLATINA DE 4 X 3/16" (INCLUYE EQUIPO DE SOLDADURA, MATERIALES, HERRAMIENTAS Y MANO DE OBRA)</v>
      </c>
      <c r="C1178" s="81" t="s">
        <v>916</v>
      </c>
      <c r="D1178" s="82" t="s">
        <v>981</v>
      </c>
      <c r="E1178" s="83" t="s">
        <v>445</v>
      </c>
      <c r="F1178" s="234">
        <f>(H1178+J1178+L1178+N1178)*1.3</f>
        <v>438978.28376566671</v>
      </c>
      <c r="G1178" s="83" t="s">
        <v>607</v>
      </c>
      <c r="H1178" s="86">
        <f>M1197</f>
        <v>19744.094833333336</v>
      </c>
      <c r="I1178" s="83" t="s">
        <v>918</v>
      </c>
      <c r="J1178" s="86">
        <f>M1188</f>
        <v>116249.9111</v>
      </c>
      <c r="K1178" s="83" t="s">
        <v>609</v>
      </c>
      <c r="L1178" s="86">
        <f>M1206</f>
        <v>6799.7002966666678</v>
      </c>
      <c r="M1178" s="83" t="s">
        <v>610</v>
      </c>
      <c r="N1178" s="86">
        <f>M1215</f>
        <v>194881.89666666667</v>
      </c>
    </row>
    <row r="1179" spans="1:15" ht="12.75" customHeight="1" x14ac:dyDescent="0.25">
      <c r="A1179" s="87"/>
      <c r="B1179" s="87"/>
      <c r="C1179" s="87"/>
      <c r="D1179" s="87"/>
      <c r="E1179" s="87"/>
      <c r="F1179" s="87"/>
      <c r="G1179" s="87"/>
      <c r="J1179" s="87"/>
      <c r="K1179" s="215" t="s">
        <v>3217</v>
      </c>
      <c r="L1179" s="215">
        <f>+F1178*presup!$O$5</f>
        <v>570671.76889536669</v>
      </c>
      <c r="M1179" s="87"/>
      <c r="N1179" s="87"/>
    </row>
    <row r="1180" spans="1:15" ht="12.75" customHeight="1" x14ac:dyDescent="0.2">
      <c r="A1180" s="398" t="s">
        <v>919</v>
      </c>
      <c r="B1180" s="271"/>
      <c r="C1180" s="271"/>
      <c r="D1180" s="271"/>
      <c r="E1180" s="271"/>
      <c r="F1180" s="271"/>
      <c r="G1180" s="271"/>
      <c r="H1180" s="271"/>
      <c r="I1180" s="271"/>
      <c r="J1180" s="271"/>
      <c r="K1180" s="271"/>
      <c r="L1180" s="271"/>
      <c r="M1180" s="271"/>
      <c r="N1180" s="273"/>
    </row>
    <row r="1181" spans="1:15" ht="12.75" customHeight="1" x14ac:dyDescent="0.2">
      <c r="A1181" s="396" t="s">
        <v>76</v>
      </c>
      <c r="B1181" s="271"/>
      <c r="C1181" s="271"/>
      <c r="D1181" s="271"/>
      <c r="E1181" s="271"/>
      <c r="F1181" s="271"/>
      <c r="G1181" s="273"/>
      <c r="H1181" s="88" t="s">
        <v>77</v>
      </c>
      <c r="I1181" s="399" t="s">
        <v>920</v>
      </c>
      <c r="J1181" s="273"/>
      <c r="K1181" s="399" t="s">
        <v>453</v>
      </c>
      <c r="L1181" s="273"/>
      <c r="M1181" s="399" t="s">
        <v>921</v>
      </c>
      <c r="N1181" s="273"/>
    </row>
    <row r="1182" spans="1:15" ht="12.75" customHeight="1" x14ac:dyDescent="0.2">
      <c r="A1182" s="403" t="s">
        <v>1028</v>
      </c>
      <c r="B1182" s="271"/>
      <c r="C1182" s="271"/>
      <c r="D1182" s="271"/>
      <c r="E1182" s="271"/>
      <c r="F1182" s="271"/>
      <c r="G1182" s="273"/>
      <c r="H1182" s="29" t="str">
        <f t="shared" ref="H1182:H1187" si="147">IF(A1182="","",VLOOKUP(A1182,AA_Materiales,7,FALSE))</f>
        <v>ml</v>
      </c>
      <c r="I1182" s="394">
        <f t="shared" ref="I1182:I1187" si="148">IF(A1182="","",VLOOKUP(A1182,AA_Materiales,8,FALSE))</f>
        <v>18316.669999999998</v>
      </c>
      <c r="J1182" s="273"/>
      <c r="K1182" s="395">
        <v>3.33</v>
      </c>
      <c r="L1182" s="273"/>
      <c r="M1182" s="394">
        <f t="shared" ref="M1182:M1187" si="149">IF(A1182="","",I1182*K1182)</f>
        <v>60994.511099999996</v>
      </c>
      <c r="N1182" s="273"/>
    </row>
    <row r="1183" spans="1:15" ht="12.75" customHeight="1" x14ac:dyDescent="0.2">
      <c r="A1183" s="400" t="s">
        <v>1029</v>
      </c>
      <c r="B1183" s="271"/>
      <c r="C1183" s="271"/>
      <c r="D1183" s="271"/>
      <c r="E1183" s="271"/>
      <c r="F1183" s="271"/>
      <c r="G1183" s="273"/>
      <c r="H1183" s="29" t="str">
        <f t="shared" si="147"/>
        <v>Unidad</v>
      </c>
      <c r="I1183" s="394">
        <f t="shared" si="148"/>
        <v>24887</v>
      </c>
      <c r="J1183" s="273"/>
      <c r="K1183" s="395">
        <v>1.8</v>
      </c>
      <c r="L1183" s="273"/>
      <c r="M1183" s="394">
        <f t="shared" si="149"/>
        <v>44796.6</v>
      </c>
      <c r="N1183" s="273"/>
    </row>
    <row r="1184" spans="1:15" ht="12.75" customHeight="1" x14ac:dyDescent="0.2">
      <c r="A1184" s="400" t="s">
        <v>1030</v>
      </c>
      <c r="B1184" s="271"/>
      <c r="C1184" s="271"/>
      <c r="D1184" s="271"/>
      <c r="E1184" s="271"/>
      <c r="F1184" s="271"/>
      <c r="G1184" s="273"/>
      <c r="H1184" s="29" t="str">
        <f t="shared" si="147"/>
        <v>Unidad</v>
      </c>
      <c r="I1184" s="394">
        <f t="shared" si="148"/>
        <v>2841</v>
      </c>
      <c r="J1184" s="273"/>
      <c r="K1184" s="395">
        <v>1.8</v>
      </c>
      <c r="L1184" s="273"/>
      <c r="M1184" s="394">
        <f t="shared" si="149"/>
        <v>5113.8</v>
      </c>
      <c r="N1184" s="273"/>
    </row>
    <row r="1185" spans="1:14" ht="12.75" customHeight="1" x14ac:dyDescent="0.2">
      <c r="A1185" s="400" t="s">
        <v>1031</v>
      </c>
      <c r="B1185" s="271"/>
      <c r="C1185" s="271"/>
      <c r="D1185" s="271"/>
      <c r="E1185" s="271"/>
      <c r="F1185" s="271"/>
      <c r="G1185" s="273"/>
      <c r="H1185" s="29" t="str">
        <f t="shared" si="147"/>
        <v>Kg</v>
      </c>
      <c r="I1185" s="394">
        <f t="shared" si="148"/>
        <v>21380</v>
      </c>
      <c r="J1185" s="273"/>
      <c r="K1185" s="395">
        <v>0.25</v>
      </c>
      <c r="L1185" s="273"/>
      <c r="M1185" s="394">
        <f t="shared" si="149"/>
        <v>5345</v>
      </c>
      <c r="N1185" s="273"/>
    </row>
    <row r="1186" spans="1:14" ht="12.75" customHeight="1" x14ac:dyDescent="0.2">
      <c r="A1186" s="400"/>
      <c r="B1186" s="271"/>
      <c r="C1186" s="271"/>
      <c r="D1186" s="271"/>
      <c r="E1186" s="271"/>
      <c r="F1186" s="271"/>
      <c r="G1186" s="273"/>
      <c r="H1186" s="29" t="str">
        <f t="shared" si="147"/>
        <v/>
      </c>
      <c r="I1186" s="394" t="str">
        <f t="shared" si="148"/>
        <v/>
      </c>
      <c r="J1186" s="273"/>
      <c r="K1186" s="395"/>
      <c r="L1186" s="273"/>
      <c r="M1186" s="394" t="str">
        <f t="shared" si="149"/>
        <v/>
      </c>
      <c r="N1186" s="273"/>
    </row>
    <row r="1187" spans="1:14" ht="12.75" customHeight="1" x14ac:dyDescent="0.2">
      <c r="A1187" s="400"/>
      <c r="B1187" s="271"/>
      <c r="C1187" s="271"/>
      <c r="D1187" s="271"/>
      <c r="E1187" s="271"/>
      <c r="F1187" s="271"/>
      <c r="G1187" s="273"/>
      <c r="H1187" s="29" t="str">
        <f t="shared" si="147"/>
        <v/>
      </c>
      <c r="I1187" s="394" t="str">
        <f t="shared" si="148"/>
        <v/>
      </c>
      <c r="J1187" s="273"/>
      <c r="K1187" s="395"/>
      <c r="L1187" s="273"/>
      <c r="M1187" s="394" t="str">
        <f t="shared" si="149"/>
        <v/>
      </c>
      <c r="N1187" s="273"/>
    </row>
    <row r="1188" spans="1:14" ht="12.75" customHeight="1" x14ac:dyDescent="0.25">
      <c r="A1188" s="4"/>
      <c r="B1188" s="4"/>
      <c r="C1188" s="4"/>
      <c r="D1188" s="4"/>
      <c r="E1188" s="4"/>
      <c r="F1188" s="4"/>
      <c r="G1188" s="4"/>
      <c r="H1188" s="4"/>
      <c r="I1188" s="4"/>
      <c r="J1188" s="4"/>
      <c r="K1188" s="396" t="s">
        <v>444</v>
      </c>
      <c r="L1188" s="273"/>
      <c r="M1188" s="394">
        <f>SUM(M1182:N1187)</f>
        <v>116249.9111</v>
      </c>
      <c r="N1188" s="273"/>
    </row>
    <row r="1189" spans="1:14" ht="12.75" customHeight="1" x14ac:dyDescent="0.25">
      <c r="A1189" s="4"/>
      <c r="B1189" s="4"/>
      <c r="C1189" s="4"/>
      <c r="D1189" s="4"/>
      <c r="E1189" s="4"/>
      <c r="F1189" s="4"/>
      <c r="G1189" s="4"/>
      <c r="H1189" s="4"/>
      <c r="I1189" s="4"/>
      <c r="J1189" s="4"/>
      <c r="K1189" s="4"/>
      <c r="L1189" s="4"/>
      <c r="M1189" s="4"/>
      <c r="N1189" s="4"/>
    </row>
    <row r="1190" spans="1:14" ht="12.75" customHeight="1" x14ac:dyDescent="0.2">
      <c r="A1190" s="398" t="s">
        <v>926</v>
      </c>
      <c r="B1190" s="271"/>
      <c r="C1190" s="271"/>
      <c r="D1190" s="271"/>
      <c r="E1190" s="271"/>
      <c r="F1190" s="271"/>
      <c r="G1190" s="271"/>
      <c r="H1190" s="271"/>
      <c r="I1190" s="271"/>
      <c r="J1190" s="271"/>
      <c r="K1190" s="271"/>
      <c r="L1190" s="271"/>
      <c r="M1190" s="271"/>
      <c r="N1190" s="273"/>
    </row>
    <row r="1191" spans="1:14" ht="12.75" customHeight="1" x14ac:dyDescent="0.2">
      <c r="A1191" s="396" t="s">
        <v>76</v>
      </c>
      <c r="B1191" s="271"/>
      <c r="C1191" s="271"/>
      <c r="D1191" s="271"/>
      <c r="E1191" s="271"/>
      <c r="F1191" s="271"/>
      <c r="G1191" s="273"/>
      <c r="H1191" s="88" t="s">
        <v>77</v>
      </c>
      <c r="I1191" s="399" t="s">
        <v>920</v>
      </c>
      <c r="J1191" s="273"/>
      <c r="K1191" s="399" t="s">
        <v>453</v>
      </c>
      <c r="L1191" s="273"/>
      <c r="M1191" s="399" t="s">
        <v>921</v>
      </c>
      <c r="N1191" s="273"/>
    </row>
    <row r="1192" spans="1:14" ht="12.75" customHeight="1" x14ac:dyDescent="0.2">
      <c r="A1192" s="400" t="s">
        <v>927</v>
      </c>
      <c r="B1192" s="271"/>
      <c r="C1192" s="271"/>
      <c r="D1192" s="271"/>
      <c r="E1192" s="271"/>
      <c r="F1192" s="271"/>
      <c r="G1192" s="273"/>
      <c r="H1192" s="29" t="str">
        <f>IF(A1192="","",VLOOKUP(A1192,AA_Equipos,7,FALSE))</f>
        <v>% M.O.</v>
      </c>
      <c r="I1192" s="394">
        <f>+M1215</f>
        <v>194881.89666666667</v>
      </c>
      <c r="J1192" s="273"/>
      <c r="K1192" s="404">
        <v>0.05</v>
      </c>
      <c r="L1192" s="273"/>
      <c r="M1192" s="394">
        <f t="shared" ref="M1192:M1196" si="150">IF(A1192="","",I1192*K1192)</f>
        <v>9744.0948333333345</v>
      </c>
      <c r="N1192" s="273"/>
    </row>
    <row r="1193" spans="1:14" ht="12.75" customHeight="1" x14ac:dyDescent="0.2">
      <c r="A1193" s="403" t="s">
        <v>1032</v>
      </c>
      <c r="B1193" s="271"/>
      <c r="C1193" s="271"/>
      <c r="D1193" s="271"/>
      <c r="E1193" s="271"/>
      <c r="F1193" s="271"/>
      <c r="G1193" s="273"/>
      <c r="H1193" s="29" t="str">
        <f>IF(A1193="","",VLOOKUP(A1193,AA_Equipos,7,FALSE))</f>
        <v>Dia</v>
      </c>
      <c r="I1193" s="394">
        <f>IF(A1193="","",VLOOKUP(A1193,AA_Equipos,8,FALSE))</f>
        <v>50000</v>
      </c>
      <c r="J1193" s="273"/>
      <c r="K1193" s="402">
        <v>0.2</v>
      </c>
      <c r="L1193" s="273"/>
      <c r="M1193" s="394">
        <f t="shared" si="150"/>
        <v>10000</v>
      </c>
      <c r="N1193" s="273"/>
    </row>
    <row r="1194" spans="1:14" ht="12.75" customHeight="1" x14ac:dyDescent="0.2">
      <c r="A1194" s="400"/>
      <c r="B1194" s="271"/>
      <c r="C1194" s="271"/>
      <c r="D1194" s="271"/>
      <c r="E1194" s="271"/>
      <c r="F1194" s="271"/>
      <c r="G1194" s="273"/>
      <c r="H1194" s="29" t="str">
        <f>IF(A1194="","",VLOOKUP(A1194,AA_Equipos,7,FALSE))</f>
        <v/>
      </c>
      <c r="I1194" s="394" t="str">
        <f>IF(A1194="","",VLOOKUP(A1194,AA_Equipos,8,FALSE))</f>
        <v/>
      </c>
      <c r="J1194" s="273"/>
      <c r="K1194" s="401"/>
      <c r="L1194" s="273"/>
      <c r="M1194" s="394" t="str">
        <f t="shared" si="150"/>
        <v/>
      </c>
      <c r="N1194" s="273"/>
    </row>
    <row r="1195" spans="1:14" ht="12.75" customHeight="1" x14ac:dyDescent="0.2">
      <c r="A1195" s="400"/>
      <c r="B1195" s="271"/>
      <c r="C1195" s="271"/>
      <c r="D1195" s="271"/>
      <c r="E1195" s="271"/>
      <c r="F1195" s="271"/>
      <c r="G1195" s="273"/>
      <c r="H1195" s="29" t="str">
        <f>IF(A1195="","",VLOOKUP(A1195,AA_Equipos,7,FALSE))</f>
        <v/>
      </c>
      <c r="I1195" s="394" t="str">
        <f>IF(A1195="","",VLOOKUP(A1195,AA_Equipos,8,FALSE))</f>
        <v/>
      </c>
      <c r="J1195" s="273"/>
      <c r="K1195" s="395"/>
      <c r="L1195" s="273"/>
      <c r="M1195" s="394" t="str">
        <f t="shared" si="150"/>
        <v/>
      </c>
      <c r="N1195" s="273"/>
    </row>
    <row r="1196" spans="1:14" ht="12.75" customHeight="1" x14ac:dyDescent="0.2">
      <c r="A1196" s="400"/>
      <c r="B1196" s="271"/>
      <c r="C1196" s="271"/>
      <c r="D1196" s="271"/>
      <c r="E1196" s="271"/>
      <c r="F1196" s="271"/>
      <c r="G1196" s="273"/>
      <c r="H1196" s="29" t="str">
        <f>IF(A1196="","",VLOOKUP(A1196,AA_Equipos,7,FALSE))</f>
        <v/>
      </c>
      <c r="I1196" s="394" t="str">
        <f>IF(A1196="","",VLOOKUP(A1196,AA_Equipos,8,FALSE))</f>
        <v/>
      </c>
      <c r="J1196" s="273"/>
      <c r="K1196" s="395"/>
      <c r="L1196" s="273"/>
      <c r="M1196" s="394" t="str">
        <f t="shared" si="150"/>
        <v/>
      </c>
      <c r="N1196" s="273"/>
    </row>
    <row r="1197" spans="1:14" ht="12.75" customHeight="1" x14ac:dyDescent="0.25">
      <c r="A1197" s="4"/>
      <c r="B1197" s="4"/>
      <c r="C1197" s="4"/>
      <c r="D1197" s="4"/>
      <c r="E1197" s="4"/>
      <c r="F1197" s="4"/>
      <c r="G1197" s="4"/>
      <c r="H1197" s="4"/>
      <c r="I1197" s="4"/>
      <c r="J1197" s="4"/>
      <c r="K1197" s="396" t="s">
        <v>444</v>
      </c>
      <c r="L1197" s="273"/>
      <c r="M1197" s="394">
        <f>SUM(M1192:N1196)</f>
        <v>19744.094833333336</v>
      </c>
      <c r="N1197" s="273"/>
    </row>
    <row r="1198" spans="1:14" ht="12.75" customHeight="1" x14ac:dyDescent="0.25">
      <c r="A1198" s="4"/>
      <c r="B1198" s="4"/>
      <c r="C1198" s="4"/>
      <c r="D1198" s="4"/>
      <c r="E1198" s="4"/>
      <c r="F1198" s="4"/>
      <c r="G1198" s="4"/>
      <c r="H1198" s="4"/>
      <c r="I1198" s="4"/>
      <c r="J1198" s="4"/>
      <c r="K1198" s="4"/>
      <c r="L1198" s="4"/>
      <c r="M1198" s="4"/>
      <c r="N1198" s="4"/>
    </row>
    <row r="1199" spans="1:14" ht="12.75" customHeight="1" x14ac:dyDescent="0.2">
      <c r="A1199" s="398" t="s">
        <v>929</v>
      </c>
      <c r="B1199" s="271"/>
      <c r="C1199" s="271"/>
      <c r="D1199" s="271"/>
      <c r="E1199" s="271"/>
      <c r="F1199" s="271"/>
      <c r="G1199" s="271"/>
      <c r="H1199" s="271"/>
      <c r="I1199" s="271"/>
      <c r="J1199" s="271"/>
      <c r="K1199" s="271"/>
      <c r="L1199" s="271"/>
      <c r="M1199" s="271"/>
      <c r="N1199" s="273"/>
    </row>
    <row r="1200" spans="1:14" ht="12.75" customHeight="1" x14ac:dyDescent="0.2">
      <c r="A1200" s="396" t="s">
        <v>76</v>
      </c>
      <c r="B1200" s="271"/>
      <c r="C1200" s="271"/>
      <c r="D1200" s="271"/>
      <c r="E1200" s="271"/>
      <c r="F1200" s="271"/>
      <c r="G1200" s="273"/>
      <c r="H1200" s="88" t="s">
        <v>77</v>
      </c>
      <c r="I1200" s="399" t="s">
        <v>920</v>
      </c>
      <c r="J1200" s="273"/>
      <c r="K1200" s="399" t="s">
        <v>453</v>
      </c>
      <c r="L1200" s="273"/>
      <c r="M1200" s="399" t="s">
        <v>921</v>
      </c>
      <c r="N1200" s="273"/>
    </row>
    <row r="1201" spans="1:14" ht="12.75" customHeight="1" x14ac:dyDescent="0.2">
      <c r="A1201" s="400" t="s">
        <v>960</v>
      </c>
      <c r="B1201" s="271"/>
      <c r="C1201" s="271"/>
      <c r="D1201" s="271"/>
      <c r="E1201" s="271"/>
      <c r="F1201" s="271"/>
      <c r="G1201" s="273"/>
      <c r="H1201" s="29" t="s">
        <v>950</v>
      </c>
      <c r="I1201" s="394">
        <f>+M1188</f>
        <v>116249.9111</v>
      </c>
      <c r="J1201" s="273"/>
      <c r="K1201" s="404">
        <v>0.05</v>
      </c>
      <c r="L1201" s="273"/>
      <c r="M1201" s="394">
        <f t="shared" ref="M1201:M1205" si="151">IF(A1201="","",I1201*K1201)</f>
        <v>5812.4955550000004</v>
      </c>
      <c r="N1201" s="273"/>
    </row>
    <row r="1202" spans="1:14" ht="12.75" customHeight="1" x14ac:dyDescent="0.2">
      <c r="A1202" s="403" t="s">
        <v>1012</v>
      </c>
      <c r="B1202" s="271"/>
      <c r="C1202" s="271"/>
      <c r="D1202" s="271"/>
      <c r="E1202" s="271"/>
      <c r="F1202" s="271"/>
      <c r="G1202" s="273"/>
      <c r="H1202" s="29" t="s">
        <v>1033</v>
      </c>
      <c r="I1202" s="394">
        <f>+M1197</f>
        <v>19744.094833333336</v>
      </c>
      <c r="J1202" s="273"/>
      <c r="K1202" s="404">
        <v>0.05</v>
      </c>
      <c r="L1202" s="273"/>
      <c r="M1202" s="394">
        <f t="shared" si="151"/>
        <v>987.20474166666691</v>
      </c>
      <c r="N1202" s="273"/>
    </row>
    <row r="1203" spans="1:14" ht="12.75" customHeight="1" x14ac:dyDescent="0.2">
      <c r="A1203" s="400"/>
      <c r="B1203" s="271"/>
      <c r="C1203" s="271"/>
      <c r="D1203" s="271"/>
      <c r="E1203" s="271"/>
      <c r="F1203" s="271"/>
      <c r="G1203" s="273"/>
      <c r="H1203" s="29"/>
      <c r="I1203" s="394"/>
      <c r="J1203" s="273"/>
      <c r="K1203" s="395"/>
      <c r="L1203" s="273"/>
      <c r="M1203" s="394" t="str">
        <f t="shared" si="151"/>
        <v/>
      </c>
      <c r="N1203" s="273"/>
    </row>
    <row r="1204" spans="1:14" ht="12.75" customHeight="1" x14ac:dyDescent="0.2">
      <c r="A1204" s="400"/>
      <c r="B1204" s="271"/>
      <c r="C1204" s="271"/>
      <c r="D1204" s="271"/>
      <c r="E1204" s="271"/>
      <c r="F1204" s="271"/>
      <c r="G1204" s="273"/>
      <c r="H1204" s="29"/>
      <c r="I1204" s="394"/>
      <c r="J1204" s="273"/>
      <c r="K1204" s="395"/>
      <c r="L1204" s="273"/>
      <c r="M1204" s="394" t="str">
        <f t="shared" si="151"/>
        <v/>
      </c>
      <c r="N1204" s="273"/>
    </row>
    <row r="1205" spans="1:14" ht="12.75" customHeight="1" x14ac:dyDescent="0.2">
      <c r="A1205" s="400"/>
      <c r="B1205" s="271"/>
      <c r="C1205" s="271"/>
      <c r="D1205" s="271"/>
      <c r="E1205" s="271"/>
      <c r="F1205" s="271"/>
      <c r="G1205" s="273"/>
      <c r="H1205" s="29"/>
      <c r="I1205" s="394"/>
      <c r="J1205" s="273"/>
      <c r="K1205" s="395"/>
      <c r="L1205" s="273"/>
      <c r="M1205" s="394" t="str">
        <f t="shared" si="151"/>
        <v/>
      </c>
      <c r="N1205" s="273"/>
    </row>
    <row r="1206" spans="1:14" ht="12.75" customHeight="1" x14ac:dyDescent="0.25">
      <c r="A1206" s="4"/>
      <c r="B1206" s="4"/>
      <c r="C1206" s="4"/>
      <c r="D1206" s="4"/>
      <c r="E1206" s="4"/>
      <c r="F1206" s="4"/>
      <c r="G1206" s="4"/>
      <c r="H1206" s="4"/>
      <c r="I1206" s="4"/>
      <c r="J1206" s="4"/>
      <c r="K1206" s="396" t="s">
        <v>444</v>
      </c>
      <c r="L1206" s="273"/>
      <c r="M1206" s="394">
        <f>SUM(M1201:N1205)</f>
        <v>6799.7002966666678</v>
      </c>
      <c r="N1206" s="273"/>
    </row>
    <row r="1207" spans="1:14" ht="12.75" customHeight="1" x14ac:dyDescent="0.25">
      <c r="A1207" s="4"/>
      <c r="B1207" s="4"/>
      <c r="C1207" s="4"/>
      <c r="D1207" s="4"/>
      <c r="E1207" s="4"/>
      <c r="F1207" s="4"/>
      <c r="G1207" s="4"/>
      <c r="H1207" s="4"/>
      <c r="I1207" s="4"/>
      <c r="J1207" s="4"/>
      <c r="K1207" s="4"/>
      <c r="L1207" s="4"/>
      <c r="M1207" s="4"/>
      <c r="N1207" s="4"/>
    </row>
    <row r="1208" spans="1:14" ht="12.75" customHeight="1" x14ac:dyDescent="0.2">
      <c r="A1208" s="398" t="s">
        <v>931</v>
      </c>
      <c r="B1208" s="271"/>
      <c r="C1208" s="271"/>
      <c r="D1208" s="271"/>
      <c r="E1208" s="271"/>
      <c r="F1208" s="271"/>
      <c r="G1208" s="271"/>
      <c r="H1208" s="271"/>
      <c r="I1208" s="271"/>
      <c r="J1208" s="271"/>
      <c r="K1208" s="271"/>
      <c r="L1208" s="271"/>
      <c r="M1208" s="271"/>
      <c r="N1208" s="273"/>
    </row>
    <row r="1209" spans="1:14" ht="12.75" customHeight="1" x14ac:dyDescent="0.2">
      <c r="A1209" s="396" t="s">
        <v>76</v>
      </c>
      <c r="B1209" s="271"/>
      <c r="C1209" s="271"/>
      <c r="D1209" s="271"/>
      <c r="E1209" s="271"/>
      <c r="F1209" s="271"/>
      <c r="G1209" s="273"/>
      <c r="H1209" s="88" t="s">
        <v>77</v>
      </c>
      <c r="I1209" s="399" t="s">
        <v>920</v>
      </c>
      <c r="J1209" s="273"/>
      <c r="K1209" s="90" t="s">
        <v>514</v>
      </c>
      <c r="L1209" s="91" t="s">
        <v>932</v>
      </c>
      <c r="M1209" s="399" t="s">
        <v>921</v>
      </c>
      <c r="N1209" s="273"/>
    </row>
    <row r="1210" spans="1:14" ht="12.75" customHeight="1" x14ac:dyDescent="0.25">
      <c r="A1210" s="393" t="s">
        <v>951</v>
      </c>
      <c r="B1210" s="271"/>
      <c r="C1210" s="271"/>
      <c r="D1210" s="271"/>
      <c r="E1210" s="271"/>
      <c r="F1210" s="271"/>
      <c r="G1210" s="273"/>
      <c r="H1210" s="29" t="str">
        <f>IF(A1210="","",VLOOKUP(A1210,AA_Cuadrillas,4,FALSE))</f>
        <v>Cuadrilla</v>
      </c>
      <c r="I1210" s="394">
        <f>IF(A1210="","",VLOOKUP(A1210,AA_Cuadrillas,5,FALSE))</f>
        <v>186763</v>
      </c>
      <c r="J1210" s="273"/>
      <c r="K1210" s="9">
        <f>IF(A1210="","",F.P!$I$2)</f>
        <v>1.88</v>
      </c>
      <c r="L1210" s="93">
        <f>1/3</f>
        <v>0.33333333333333331</v>
      </c>
      <c r="M1210" s="394">
        <f t="shared" ref="M1210:M1214" si="152">IF(A1210="","",I1210*K1210*L1210)</f>
        <v>117038.14666666667</v>
      </c>
      <c r="N1210" s="273"/>
    </row>
    <row r="1211" spans="1:14" ht="12.75" customHeight="1" x14ac:dyDescent="0.25">
      <c r="A1211" s="393" t="s">
        <v>1034</v>
      </c>
      <c r="B1211" s="271"/>
      <c r="C1211" s="271"/>
      <c r="D1211" s="271"/>
      <c r="E1211" s="271"/>
      <c r="F1211" s="271"/>
      <c r="G1211" s="273"/>
      <c r="H1211" s="29" t="str">
        <f>IF(A1211="","",VLOOKUP(A1211,AA_Cuadrillas,4,FALSE))</f>
        <v>Cuadrilla</v>
      </c>
      <c r="I1211" s="394">
        <f>IF(A1211="","",VLOOKUP(A1211,AA_Cuadrillas,5,FALSE))</f>
        <v>207031.25</v>
      </c>
      <c r="J1211" s="273"/>
      <c r="K1211" s="9">
        <f>IF(A1211="","",F.P!$I$2)</f>
        <v>1.88</v>
      </c>
      <c r="L1211" s="9">
        <v>0.2</v>
      </c>
      <c r="M1211" s="394">
        <f t="shared" si="152"/>
        <v>77843.75</v>
      </c>
      <c r="N1211" s="273"/>
    </row>
    <row r="1212" spans="1:14" ht="12.75" customHeight="1" x14ac:dyDescent="0.25">
      <c r="A1212" s="393"/>
      <c r="B1212" s="271"/>
      <c r="C1212" s="271"/>
      <c r="D1212" s="271"/>
      <c r="E1212" s="271"/>
      <c r="F1212" s="271"/>
      <c r="G1212" s="273"/>
      <c r="H1212" s="29" t="str">
        <f>IF(A1212="","",VLOOKUP(A1212,AA_Cuadrillas,4,FALSE))</f>
        <v/>
      </c>
      <c r="I1212" s="394" t="str">
        <f>IF(A1212="","",VLOOKUP(A1212,AA_Cuadrillas,5,FALSE))</f>
        <v/>
      </c>
      <c r="J1212" s="273"/>
      <c r="K1212" s="9" t="str">
        <f>IF(A1212="","",F.P!$I$2)</f>
        <v/>
      </c>
      <c r="L1212" s="37"/>
      <c r="M1212" s="394" t="str">
        <f t="shared" si="152"/>
        <v/>
      </c>
      <c r="N1212" s="273"/>
    </row>
    <row r="1213" spans="1:14" ht="12.75" customHeight="1" x14ac:dyDescent="0.25">
      <c r="A1213" s="393"/>
      <c r="B1213" s="271"/>
      <c r="C1213" s="271"/>
      <c r="D1213" s="271"/>
      <c r="E1213" s="271"/>
      <c r="F1213" s="271"/>
      <c r="G1213" s="273"/>
      <c r="H1213" s="29" t="str">
        <f>IF(A1213="","",VLOOKUP(A1213,AA_Cuadrillas,4,FALSE))</f>
        <v/>
      </c>
      <c r="I1213" s="394" t="str">
        <f>IF(A1213="","",VLOOKUP(A1213,AA_Cuadrillas,5,FALSE))</f>
        <v/>
      </c>
      <c r="J1213" s="273"/>
      <c r="K1213" s="9" t="str">
        <f>IF(A1213="","",F.P!$I$2)</f>
        <v/>
      </c>
      <c r="L1213" s="37"/>
      <c r="M1213" s="394" t="str">
        <f t="shared" si="152"/>
        <v/>
      </c>
      <c r="N1213" s="273"/>
    </row>
    <row r="1214" spans="1:14" ht="12.75" customHeight="1" x14ac:dyDescent="0.25">
      <c r="A1214" s="393"/>
      <c r="B1214" s="271"/>
      <c r="C1214" s="271"/>
      <c r="D1214" s="271"/>
      <c r="E1214" s="271"/>
      <c r="F1214" s="271"/>
      <c r="G1214" s="273"/>
      <c r="H1214" s="29" t="str">
        <f>IF(A1214="","",VLOOKUP(A1214,AA_Cuadrillas,4,FALSE))</f>
        <v/>
      </c>
      <c r="I1214" s="394" t="str">
        <f>IF(A1214="","",VLOOKUP(A1214,AA_Cuadrillas,5,FALSE))</f>
        <v/>
      </c>
      <c r="J1214" s="273"/>
      <c r="K1214" s="9" t="str">
        <f>IF(A1214="","",F.P!$I$2)</f>
        <v/>
      </c>
      <c r="L1214" s="37"/>
      <c r="M1214" s="394" t="str">
        <f t="shared" si="152"/>
        <v/>
      </c>
      <c r="N1214" s="273"/>
    </row>
    <row r="1215" spans="1:14" ht="12.75" customHeight="1" x14ac:dyDescent="0.25">
      <c r="A1215" s="4"/>
      <c r="B1215" s="4"/>
      <c r="C1215" s="4"/>
      <c r="D1215" s="4"/>
      <c r="E1215" s="4"/>
      <c r="F1215" s="4"/>
      <c r="G1215" s="4"/>
      <c r="H1215" s="4"/>
      <c r="I1215" s="4"/>
      <c r="J1215" s="4"/>
      <c r="K1215" s="396" t="s">
        <v>444</v>
      </c>
      <c r="L1215" s="273"/>
      <c r="M1215" s="394">
        <f>SUM(M1210:N1214)</f>
        <v>194881.89666666667</v>
      </c>
      <c r="N1215" s="273"/>
    </row>
    <row r="1216" spans="1:14" ht="12.75" customHeight="1" x14ac:dyDescent="0.2"/>
    <row r="1217" spans="1:15" ht="12.75" customHeight="1" x14ac:dyDescent="0.2">
      <c r="A1217" s="397" t="s">
        <v>117</v>
      </c>
      <c r="B1217" s="275"/>
      <c r="C1217" s="275"/>
      <c r="D1217" s="275"/>
      <c r="E1217" s="275"/>
      <c r="F1217" s="275"/>
      <c r="G1217" s="275"/>
      <c r="H1217" s="275"/>
      <c r="I1217" s="275"/>
      <c r="J1217" s="275"/>
      <c r="K1217" s="275"/>
      <c r="L1217" s="275"/>
      <c r="M1217" s="275"/>
      <c r="N1217" s="276"/>
      <c r="O1217" s="166"/>
    </row>
    <row r="1218" spans="1:15" ht="12.75" customHeight="1" x14ac:dyDescent="0.2">
      <c r="A1218" s="277"/>
      <c r="B1218" s="278"/>
      <c r="C1218" s="278"/>
      <c r="D1218" s="278"/>
      <c r="E1218" s="278"/>
      <c r="F1218" s="278"/>
      <c r="G1218" s="278"/>
      <c r="H1218" s="278"/>
      <c r="I1218" s="278"/>
      <c r="J1218" s="278"/>
      <c r="K1218" s="278"/>
      <c r="L1218" s="278"/>
      <c r="M1218" s="278"/>
      <c r="N1218" s="279"/>
      <c r="O1218" s="166"/>
    </row>
    <row r="1219" spans="1:15" ht="12.75" customHeight="1" x14ac:dyDescent="0.2">
      <c r="A1219" s="75"/>
      <c r="B1219" s="75"/>
      <c r="C1219" s="75"/>
      <c r="D1219" s="75"/>
      <c r="E1219" s="75"/>
      <c r="F1219" s="75"/>
      <c r="G1219" s="75"/>
      <c r="H1219" s="75"/>
      <c r="I1219" s="75"/>
      <c r="J1219" s="75"/>
      <c r="K1219" s="75"/>
      <c r="L1219" s="75"/>
      <c r="M1219" s="75"/>
      <c r="N1219" s="75"/>
    </row>
    <row r="1220" spans="1:15" ht="12.75" customHeight="1" x14ac:dyDescent="0.3">
      <c r="A1220" s="79" t="s">
        <v>641</v>
      </c>
      <c r="B1220" s="80" t="str">
        <f>A1217</f>
        <v>SUMINISTRO E INSTALACIÓN PUNTO LÍNEA DE VIDA PARA PREVENCIÓN DE ACCIDENTES (INCLUYE HERRAMIENTA MENOR, MATERIALES PARA SU INSTALACIÓN Y MANO DE OBRA)</v>
      </c>
      <c r="C1220" s="81" t="s">
        <v>916</v>
      </c>
      <c r="D1220" s="82" t="s">
        <v>999</v>
      </c>
      <c r="E1220" s="83" t="s">
        <v>445</v>
      </c>
      <c r="F1220" s="234">
        <f>(H1220+J1220+L1220+N1220)*1.3</f>
        <v>1841030.5171414001</v>
      </c>
      <c r="G1220" s="83" t="s">
        <v>607</v>
      </c>
      <c r="H1220" s="86">
        <f>M1239</f>
        <v>11937.890960000002</v>
      </c>
      <c r="I1220" s="83" t="s">
        <v>918</v>
      </c>
      <c r="J1220" s="86">
        <f>M1230</f>
        <v>1109414.0153999999</v>
      </c>
      <c r="K1220" s="83" t="s">
        <v>609</v>
      </c>
      <c r="L1220" s="86">
        <f>M1248</f>
        <v>56067.595317999992</v>
      </c>
      <c r="M1220" s="83" t="s">
        <v>610</v>
      </c>
      <c r="N1220" s="86">
        <f>M1257</f>
        <v>238757.81920000003</v>
      </c>
      <c r="O1220" t="s">
        <v>3222</v>
      </c>
    </row>
    <row r="1221" spans="1:15" ht="12.75" customHeight="1" x14ac:dyDescent="0.25">
      <c r="A1221" s="87"/>
      <c r="B1221" s="87"/>
      <c r="C1221" s="87"/>
      <c r="D1221" s="87"/>
      <c r="E1221" s="87"/>
      <c r="F1221" s="87"/>
      <c r="G1221" s="87"/>
      <c r="J1221" s="87"/>
      <c r="K1221" s="215" t="s">
        <v>3217</v>
      </c>
      <c r="L1221" s="215">
        <f>+F1220*presup!$O$5</f>
        <v>2393339.6722838203</v>
      </c>
      <c r="M1221" s="87"/>
      <c r="N1221" s="87"/>
    </row>
    <row r="1222" spans="1:15" ht="12.75" customHeight="1" x14ac:dyDescent="0.2">
      <c r="A1222" s="398" t="s">
        <v>919</v>
      </c>
      <c r="B1222" s="271"/>
      <c r="C1222" s="271"/>
      <c r="D1222" s="271"/>
      <c r="E1222" s="271"/>
      <c r="F1222" s="271"/>
      <c r="G1222" s="271"/>
      <c r="H1222" s="271"/>
      <c r="I1222" s="271"/>
      <c r="J1222" s="271"/>
      <c r="K1222" s="271"/>
      <c r="L1222" s="271"/>
      <c r="M1222" s="271"/>
      <c r="N1222" s="273"/>
    </row>
    <row r="1223" spans="1:15" ht="12.75" customHeight="1" x14ac:dyDescent="0.2">
      <c r="A1223" s="396" t="s">
        <v>76</v>
      </c>
      <c r="B1223" s="271"/>
      <c r="C1223" s="271"/>
      <c r="D1223" s="271"/>
      <c r="E1223" s="271"/>
      <c r="F1223" s="271"/>
      <c r="G1223" s="273"/>
      <c r="H1223" s="88" t="s">
        <v>77</v>
      </c>
      <c r="I1223" s="399" t="s">
        <v>920</v>
      </c>
      <c r="J1223" s="273"/>
      <c r="K1223" s="399" t="s">
        <v>453</v>
      </c>
      <c r="L1223" s="273"/>
      <c r="M1223" s="399" t="s">
        <v>921</v>
      </c>
      <c r="N1223" s="273"/>
    </row>
    <row r="1224" spans="1:15" ht="12.75" customHeight="1" x14ac:dyDescent="0.2">
      <c r="A1224" s="403" t="s">
        <v>1035</v>
      </c>
      <c r="B1224" s="271"/>
      <c r="C1224" s="271"/>
      <c r="D1224" s="271"/>
      <c r="E1224" s="271"/>
      <c r="F1224" s="271"/>
      <c r="G1224" s="273"/>
      <c r="H1224" s="29" t="str">
        <f t="shared" ref="H1224:H1229" si="153">IF(A1224="","",VLOOKUP(A1224,AA_Materiales,7,FALSE))</f>
        <v>Unidad</v>
      </c>
      <c r="I1224" s="394">
        <f t="shared" ref="I1224:I1229" si="154">IF(A1224="","",VLOOKUP(A1224,AA_Materiales,8,FALSE))</f>
        <v>70615.460000000006</v>
      </c>
      <c r="J1224" s="273"/>
      <c r="K1224" s="395">
        <v>2</v>
      </c>
      <c r="L1224" s="273"/>
      <c r="M1224" s="394">
        <f t="shared" ref="M1224:M1229" si="155">IF(A1224="","",I1224*K1224)</f>
        <v>141230.92000000001</v>
      </c>
      <c r="N1224" s="273"/>
    </row>
    <row r="1225" spans="1:15" ht="12.75" customHeight="1" x14ac:dyDescent="0.2">
      <c r="A1225" s="400" t="s">
        <v>1036</v>
      </c>
      <c r="B1225" s="271"/>
      <c r="C1225" s="271"/>
      <c r="D1225" s="271"/>
      <c r="E1225" s="271"/>
      <c r="F1225" s="271"/>
      <c r="G1225" s="273"/>
      <c r="H1225" s="29" t="str">
        <f t="shared" si="153"/>
        <v>Unidad</v>
      </c>
      <c r="I1225" s="394">
        <f t="shared" si="154"/>
        <v>14423.59</v>
      </c>
      <c r="J1225" s="273"/>
      <c r="K1225" s="395">
        <v>8</v>
      </c>
      <c r="L1225" s="273"/>
      <c r="M1225" s="394">
        <f t="shared" si="155"/>
        <v>115388.72</v>
      </c>
      <c r="N1225" s="273"/>
    </row>
    <row r="1226" spans="1:15" ht="12.75" customHeight="1" x14ac:dyDescent="0.2">
      <c r="A1226" s="400" t="s">
        <v>1037</v>
      </c>
      <c r="B1226" s="271"/>
      <c r="C1226" s="271"/>
      <c r="D1226" s="271"/>
      <c r="E1226" s="271"/>
      <c r="F1226" s="271"/>
      <c r="G1226" s="273"/>
      <c r="H1226" s="29" t="str">
        <f t="shared" si="153"/>
        <v>Unidad</v>
      </c>
      <c r="I1226" s="394">
        <f t="shared" si="154"/>
        <v>2584225.38</v>
      </c>
      <c r="J1226" s="273"/>
      <c r="K1226" s="395">
        <v>0.33</v>
      </c>
      <c r="L1226" s="273"/>
      <c r="M1226" s="394">
        <f t="shared" si="155"/>
        <v>852794.37540000002</v>
      </c>
      <c r="N1226" s="273"/>
    </row>
    <row r="1227" spans="1:15" ht="12.75" customHeight="1" x14ac:dyDescent="0.2">
      <c r="A1227" s="400"/>
      <c r="B1227" s="271"/>
      <c r="C1227" s="271"/>
      <c r="D1227" s="271"/>
      <c r="E1227" s="271"/>
      <c r="F1227" s="271"/>
      <c r="G1227" s="273"/>
      <c r="H1227" s="29" t="str">
        <f t="shared" si="153"/>
        <v/>
      </c>
      <c r="I1227" s="394" t="str">
        <f t="shared" si="154"/>
        <v/>
      </c>
      <c r="J1227" s="273"/>
      <c r="K1227" s="395"/>
      <c r="L1227" s="273"/>
      <c r="M1227" s="394" t="str">
        <f t="shared" si="155"/>
        <v/>
      </c>
      <c r="N1227" s="273"/>
    </row>
    <row r="1228" spans="1:15" ht="12.75" customHeight="1" x14ac:dyDescent="0.2">
      <c r="A1228" s="400"/>
      <c r="B1228" s="271"/>
      <c r="C1228" s="271"/>
      <c r="D1228" s="271"/>
      <c r="E1228" s="271"/>
      <c r="F1228" s="271"/>
      <c r="G1228" s="273"/>
      <c r="H1228" s="29" t="str">
        <f t="shared" si="153"/>
        <v/>
      </c>
      <c r="I1228" s="394" t="str">
        <f t="shared" si="154"/>
        <v/>
      </c>
      <c r="J1228" s="273"/>
      <c r="K1228" s="395"/>
      <c r="L1228" s="273"/>
      <c r="M1228" s="394" t="str">
        <f t="shared" si="155"/>
        <v/>
      </c>
      <c r="N1228" s="273"/>
    </row>
    <row r="1229" spans="1:15" ht="12.75" customHeight="1" x14ac:dyDescent="0.2">
      <c r="A1229" s="400"/>
      <c r="B1229" s="271"/>
      <c r="C1229" s="271"/>
      <c r="D1229" s="271"/>
      <c r="E1229" s="271"/>
      <c r="F1229" s="271"/>
      <c r="G1229" s="273"/>
      <c r="H1229" s="29" t="str">
        <f t="shared" si="153"/>
        <v/>
      </c>
      <c r="I1229" s="394" t="str">
        <f t="shared" si="154"/>
        <v/>
      </c>
      <c r="J1229" s="273"/>
      <c r="K1229" s="395"/>
      <c r="L1229" s="273"/>
      <c r="M1229" s="394" t="str">
        <f t="shared" si="155"/>
        <v/>
      </c>
      <c r="N1229" s="273"/>
    </row>
    <row r="1230" spans="1:15" ht="12.75" customHeight="1" x14ac:dyDescent="0.25">
      <c r="A1230" s="4"/>
      <c r="B1230" s="4"/>
      <c r="C1230" s="4"/>
      <c r="D1230" s="4"/>
      <c r="E1230" s="4"/>
      <c r="F1230" s="4"/>
      <c r="G1230" s="4"/>
      <c r="H1230" s="4"/>
      <c r="I1230" s="4"/>
      <c r="J1230" s="4"/>
      <c r="K1230" s="396" t="s">
        <v>444</v>
      </c>
      <c r="L1230" s="273"/>
      <c r="M1230" s="394">
        <f>SUM(M1224:N1229)</f>
        <v>1109414.0153999999</v>
      </c>
      <c r="N1230" s="273"/>
    </row>
    <row r="1231" spans="1:15" ht="12.75" customHeight="1" x14ac:dyDescent="0.25">
      <c r="A1231" s="4"/>
      <c r="B1231" s="4"/>
      <c r="C1231" s="4"/>
      <c r="D1231" s="4"/>
      <c r="E1231" s="4"/>
      <c r="F1231" s="4"/>
      <c r="G1231" s="4"/>
      <c r="H1231" s="4"/>
      <c r="I1231" s="4"/>
      <c r="J1231" s="4"/>
      <c r="K1231" s="4"/>
      <c r="L1231" s="4"/>
      <c r="M1231" s="4"/>
      <c r="N1231" s="4"/>
    </row>
    <row r="1232" spans="1:15" ht="12.75" customHeight="1" x14ac:dyDescent="0.2">
      <c r="A1232" s="398" t="s">
        <v>926</v>
      </c>
      <c r="B1232" s="271"/>
      <c r="C1232" s="271"/>
      <c r="D1232" s="271"/>
      <c r="E1232" s="271"/>
      <c r="F1232" s="271"/>
      <c r="G1232" s="271"/>
      <c r="H1232" s="271"/>
      <c r="I1232" s="271"/>
      <c r="J1232" s="271"/>
      <c r="K1232" s="271"/>
      <c r="L1232" s="271"/>
      <c r="M1232" s="271"/>
      <c r="N1232" s="273"/>
    </row>
    <row r="1233" spans="1:14" ht="12.75" customHeight="1" x14ac:dyDescent="0.2">
      <c r="A1233" s="396" t="s">
        <v>76</v>
      </c>
      <c r="B1233" s="271"/>
      <c r="C1233" s="271"/>
      <c r="D1233" s="271"/>
      <c r="E1233" s="271"/>
      <c r="F1233" s="271"/>
      <c r="G1233" s="273"/>
      <c r="H1233" s="88" t="s">
        <v>77</v>
      </c>
      <c r="I1233" s="399" t="s">
        <v>920</v>
      </c>
      <c r="J1233" s="273"/>
      <c r="K1233" s="399" t="s">
        <v>453</v>
      </c>
      <c r="L1233" s="273"/>
      <c r="M1233" s="399" t="s">
        <v>921</v>
      </c>
      <c r="N1233" s="273"/>
    </row>
    <row r="1234" spans="1:14" ht="12.75" customHeight="1" x14ac:dyDescent="0.2">
      <c r="A1234" s="400" t="s">
        <v>927</v>
      </c>
      <c r="B1234" s="271"/>
      <c r="C1234" s="271"/>
      <c r="D1234" s="271"/>
      <c r="E1234" s="271"/>
      <c r="F1234" s="271"/>
      <c r="G1234" s="273"/>
      <c r="H1234" s="29" t="str">
        <f>IF(A1234="","",VLOOKUP(A1234,AA_Equipos,7,FALSE))</f>
        <v>% M.O.</v>
      </c>
      <c r="I1234" s="394">
        <f>+M1257</f>
        <v>238757.81920000003</v>
      </c>
      <c r="J1234" s="273"/>
      <c r="K1234" s="404">
        <v>0.05</v>
      </c>
      <c r="L1234" s="273"/>
      <c r="M1234" s="394">
        <f t="shared" ref="M1234:M1238" si="156">IF(A1234="","",I1234*K1234)</f>
        <v>11937.890960000002</v>
      </c>
      <c r="N1234" s="273"/>
    </row>
    <row r="1235" spans="1:14" ht="12.75" customHeight="1" x14ac:dyDescent="0.2">
      <c r="A1235" s="403"/>
      <c r="B1235" s="271"/>
      <c r="C1235" s="271"/>
      <c r="D1235" s="271"/>
      <c r="E1235" s="271"/>
      <c r="F1235" s="271"/>
      <c r="G1235" s="273"/>
      <c r="H1235" s="29" t="str">
        <f>IF(A1235="","",VLOOKUP(A1235,AA_Equipos,7,FALSE))</f>
        <v/>
      </c>
      <c r="I1235" s="394" t="str">
        <f>IF(A1235="","",VLOOKUP(A1235,AA_Equipos,8,FALSE))</f>
        <v/>
      </c>
      <c r="J1235" s="273"/>
      <c r="K1235" s="402"/>
      <c r="L1235" s="273"/>
      <c r="M1235" s="394" t="str">
        <f t="shared" si="156"/>
        <v/>
      </c>
      <c r="N1235" s="273"/>
    </row>
    <row r="1236" spans="1:14" ht="12.75" customHeight="1" x14ac:dyDescent="0.2">
      <c r="A1236" s="400"/>
      <c r="B1236" s="271"/>
      <c r="C1236" s="271"/>
      <c r="D1236" s="271"/>
      <c r="E1236" s="271"/>
      <c r="F1236" s="271"/>
      <c r="G1236" s="273"/>
      <c r="H1236" s="29" t="str">
        <f>IF(A1236="","",VLOOKUP(A1236,AA_Equipos,7,FALSE))</f>
        <v/>
      </c>
      <c r="I1236" s="394" t="str">
        <f>IF(A1236="","",VLOOKUP(A1236,AA_Equipos,8,FALSE))</f>
        <v/>
      </c>
      <c r="J1236" s="273"/>
      <c r="K1236" s="401"/>
      <c r="L1236" s="273"/>
      <c r="M1236" s="394" t="str">
        <f t="shared" si="156"/>
        <v/>
      </c>
      <c r="N1236" s="273"/>
    </row>
    <row r="1237" spans="1:14" ht="12.75" customHeight="1" x14ac:dyDescent="0.2">
      <c r="A1237" s="400"/>
      <c r="B1237" s="271"/>
      <c r="C1237" s="271"/>
      <c r="D1237" s="271"/>
      <c r="E1237" s="271"/>
      <c r="F1237" s="271"/>
      <c r="G1237" s="273"/>
      <c r="H1237" s="29" t="str">
        <f>IF(A1237="","",VLOOKUP(A1237,AA_Equipos,7,FALSE))</f>
        <v/>
      </c>
      <c r="I1237" s="394" t="str">
        <f>IF(A1237="","",VLOOKUP(A1237,AA_Equipos,8,FALSE))</f>
        <v/>
      </c>
      <c r="J1237" s="273"/>
      <c r="K1237" s="395"/>
      <c r="L1237" s="273"/>
      <c r="M1237" s="394" t="str">
        <f t="shared" si="156"/>
        <v/>
      </c>
      <c r="N1237" s="273"/>
    </row>
    <row r="1238" spans="1:14" ht="12.75" customHeight="1" x14ac:dyDescent="0.2">
      <c r="A1238" s="400"/>
      <c r="B1238" s="271"/>
      <c r="C1238" s="271"/>
      <c r="D1238" s="271"/>
      <c r="E1238" s="271"/>
      <c r="F1238" s="271"/>
      <c r="G1238" s="273"/>
      <c r="H1238" s="29" t="str">
        <f>IF(A1238="","",VLOOKUP(A1238,AA_Equipos,7,FALSE))</f>
        <v/>
      </c>
      <c r="I1238" s="394" t="str">
        <f>IF(A1238="","",VLOOKUP(A1238,AA_Equipos,8,FALSE))</f>
        <v/>
      </c>
      <c r="J1238" s="273"/>
      <c r="K1238" s="395"/>
      <c r="L1238" s="273"/>
      <c r="M1238" s="394" t="str">
        <f t="shared" si="156"/>
        <v/>
      </c>
      <c r="N1238" s="273"/>
    </row>
    <row r="1239" spans="1:14" ht="12.75" customHeight="1" x14ac:dyDescent="0.25">
      <c r="A1239" s="4"/>
      <c r="B1239" s="4"/>
      <c r="C1239" s="4"/>
      <c r="D1239" s="4"/>
      <c r="E1239" s="4"/>
      <c r="F1239" s="4"/>
      <c r="G1239" s="4"/>
      <c r="H1239" s="4"/>
      <c r="I1239" s="4"/>
      <c r="J1239" s="4"/>
      <c r="K1239" s="396" t="s">
        <v>444</v>
      </c>
      <c r="L1239" s="273"/>
      <c r="M1239" s="394">
        <f>SUM(M1234:N1238)</f>
        <v>11937.890960000002</v>
      </c>
      <c r="N1239" s="273"/>
    </row>
    <row r="1240" spans="1:14" ht="12.75" customHeight="1" x14ac:dyDescent="0.25">
      <c r="A1240" s="4"/>
      <c r="B1240" s="4"/>
      <c r="C1240" s="4"/>
      <c r="D1240" s="4"/>
      <c r="E1240" s="4"/>
      <c r="F1240" s="4"/>
      <c r="G1240" s="4"/>
      <c r="H1240" s="4"/>
      <c r="I1240" s="4"/>
      <c r="J1240" s="4"/>
      <c r="K1240" s="4"/>
      <c r="L1240" s="4"/>
      <c r="M1240" s="4"/>
      <c r="N1240" s="4"/>
    </row>
    <row r="1241" spans="1:14" ht="12.75" customHeight="1" x14ac:dyDescent="0.2">
      <c r="A1241" s="398" t="s">
        <v>929</v>
      </c>
      <c r="B1241" s="271"/>
      <c r="C1241" s="271"/>
      <c r="D1241" s="271"/>
      <c r="E1241" s="271"/>
      <c r="F1241" s="271"/>
      <c r="G1241" s="271"/>
      <c r="H1241" s="271"/>
      <c r="I1241" s="271"/>
      <c r="J1241" s="271"/>
      <c r="K1241" s="271"/>
      <c r="L1241" s="271"/>
      <c r="M1241" s="271"/>
      <c r="N1241" s="273"/>
    </row>
    <row r="1242" spans="1:14" ht="12.75" customHeight="1" x14ac:dyDescent="0.2">
      <c r="A1242" s="396" t="s">
        <v>76</v>
      </c>
      <c r="B1242" s="271"/>
      <c r="C1242" s="271"/>
      <c r="D1242" s="271"/>
      <c r="E1242" s="271"/>
      <c r="F1242" s="271"/>
      <c r="G1242" s="273"/>
      <c r="H1242" s="88" t="s">
        <v>77</v>
      </c>
      <c r="I1242" s="399" t="s">
        <v>920</v>
      </c>
      <c r="J1242" s="273"/>
      <c r="K1242" s="399" t="s">
        <v>453</v>
      </c>
      <c r="L1242" s="273"/>
      <c r="M1242" s="399" t="s">
        <v>921</v>
      </c>
      <c r="N1242" s="273"/>
    </row>
    <row r="1243" spans="1:14" ht="12.75" customHeight="1" x14ac:dyDescent="0.2">
      <c r="A1243" s="400" t="s">
        <v>960</v>
      </c>
      <c r="B1243" s="271"/>
      <c r="C1243" s="271"/>
      <c r="D1243" s="271"/>
      <c r="E1243" s="271"/>
      <c r="F1243" s="271"/>
      <c r="G1243" s="273"/>
      <c r="H1243" s="29" t="s">
        <v>950</v>
      </c>
      <c r="I1243" s="394">
        <f>+M1230</f>
        <v>1109414.0153999999</v>
      </c>
      <c r="J1243" s="273"/>
      <c r="K1243" s="404">
        <v>0.05</v>
      </c>
      <c r="L1243" s="273"/>
      <c r="M1243" s="394">
        <f t="shared" ref="M1243:M1247" si="157">IF(A1243="","",I1243*K1243)</f>
        <v>55470.700769999996</v>
      </c>
      <c r="N1243" s="273"/>
    </row>
    <row r="1244" spans="1:14" ht="12.75" customHeight="1" x14ac:dyDescent="0.2">
      <c r="A1244" s="403" t="s">
        <v>3174</v>
      </c>
      <c r="B1244" s="271"/>
      <c r="C1244" s="271"/>
      <c r="D1244" s="271"/>
      <c r="E1244" s="271"/>
      <c r="F1244" s="271"/>
      <c r="G1244" s="273"/>
      <c r="H1244" s="29" t="s">
        <v>24</v>
      </c>
      <c r="I1244" s="394">
        <f>+M1239</f>
        <v>11937.890960000002</v>
      </c>
      <c r="J1244" s="273"/>
      <c r="K1244" s="404">
        <v>0.05</v>
      </c>
      <c r="L1244" s="273"/>
      <c r="M1244" s="394">
        <f t="shared" si="157"/>
        <v>596.8945480000001</v>
      </c>
      <c r="N1244" s="273"/>
    </row>
    <row r="1245" spans="1:14" ht="12.75" customHeight="1" x14ac:dyDescent="0.2">
      <c r="A1245" s="400"/>
      <c r="B1245" s="271"/>
      <c r="C1245" s="271"/>
      <c r="D1245" s="271"/>
      <c r="E1245" s="271"/>
      <c r="F1245" s="271"/>
      <c r="G1245" s="273"/>
      <c r="H1245" s="29"/>
      <c r="I1245" s="394"/>
      <c r="J1245" s="273"/>
      <c r="K1245" s="395"/>
      <c r="L1245" s="273"/>
      <c r="M1245" s="394" t="str">
        <f t="shared" si="157"/>
        <v/>
      </c>
      <c r="N1245" s="273"/>
    </row>
    <row r="1246" spans="1:14" ht="12.75" customHeight="1" x14ac:dyDescent="0.2">
      <c r="A1246" s="400"/>
      <c r="B1246" s="271"/>
      <c r="C1246" s="271"/>
      <c r="D1246" s="271"/>
      <c r="E1246" s="271"/>
      <c r="F1246" s="271"/>
      <c r="G1246" s="273"/>
      <c r="H1246" s="29"/>
      <c r="I1246" s="394"/>
      <c r="J1246" s="273"/>
      <c r="K1246" s="395"/>
      <c r="L1246" s="273"/>
      <c r="M1246" s="394" t="str">
        <f t="shared" si="157"/>
        <v/>
      </c>
      <c r="N1246" s="273"/>
    </row>
    <row r="1247" spans="1:14" ht="12.75" customHeight="1" x14ac:dyDescent="0.2">
      <c r="A1247" s="400"/>
      <c r="B1247" s="271"/>
      <c r="C1247" s="271"/>
      <c r="D1247" s="271"/>
      <c r="E1247" s="271"/>
      <c r="F1247" s="271"/>
      <c r="G1247" s="273"/>
      <c r="H1247" s="29"/>
      <c r="I1247" s="394"/>
      <c r="J1247" s="273"/>
      <c r="K1247" s="395"/>
      <c r="L1247" s="273"/>
      <c r="M1247" s="394" t="str">
        <f t="shared" si="157"/>
        <v/>
      </c>
      <c r="N1247" s="273"/>
    </row>
    <row r="1248" spans="1:14" ht="12.75" customHeight="1" x14ac:dyDescent="0.25">
      <c r="A1248" s="4"/>
      <c r="B1248" s="4"/>
      <c r="C1248" s="4"/>
      <c r="D1248" s="4"/>
      <c r="E1248" s="4"/>
      <c r="F1248" s="4"/>
      <c r="G1248" s="4"/>
      <c r="H1248" s="4"/>
      <c r="I1248" s="4"/>
      <c r="J1248" s="4"/>
      <c r="K1248" s="396" t="s">
        <v>444</v>
      </c>
      <c r="L1248" s="273"/>
      <c r="M1248" s="394">
        <f>SUM(M1243:N1247)</f>
        <v>56067.595317999992</v>
      </c>
      <c r="N1248" s="273"/>
    </row>
    <row r="1249" spans="1:15" ht="12.75" customHeight="1" x14ac:dyDescent="0.25">
      <c r="A1249" s="4"/>
      <c r="B1249" s="4"/>
      <c r="C1249" s="4"/>
      <c r="D1249" s="4"/>
      <c r="E1249" s="4"/>
      <c r="F1249" s="4"/>
      <c r="G1249" s="4"/>
      <c r="H1249" s="4"/>
      <c r="I1249" s="4"/>
      <c r="J1249" s="4"/>
      <c r="K1249" s="4"/>
      <c r="L1249" s="4"/>
      <c r="M1249" s="4"/>
      <c r="N1249" s="4"/>
    </row>
    <row r="1250" spans="1:15" ht="12.75" customHeight="1" x14ac:dyDescent="0.2">
      <c r="A1250" s="398" t="s">
        <v>931</v>
      </c>
      <c r="B1250" s="271"/>
      <c r="C1250" s="271"/>
      <c r="D1250" s="271"/>
      <c r="E1250" s="271"/>
      <c r="F1250" s="271"/>
      <c r="G1250" s="271"/>
      <c r="H1250" s="271"/>
      <c r="I1250" s="271"/>
      <c r="J1250" s="271"/>
      <c r="K1250" s="271"/>
      <c r="L1250" s="271"/>
      <c r="M1250" s="271"/>
      <c r="N1250" s="273"/>
    </row>
    <row r="1251" spans="1:15" ht="12.75" customHeight="1" x14ac:dyDescent="0.2">
      <c r="A1251" s="396" t="s">
        <v>76</v>
      </c>
      <c r="B1251" s="271"/>
      <c r="C1251" s="271"/>
      <c r="D1251" s="271"/>
      <c r="E1251" s="271"/>
      <c r="F1251" s="271"/>
      <c r="G1251" s="273"/>
      <c r="H1251" s="88" t="s">
        <v>77</v>
      </c>
      <c r="I1251" s="399" t="s">
        <v>920</v>
      </c>
      <c r="J1251" s="273"/>
      <c r="K1251" s="90" t="s">
        <v>514</v>
      </c>
      <c r="L1251" s="91" t="s">
        <v>932</v>
      </c>
      <c r="M1251" s="399" t="s">
        <v>921</v>
      </c>
      <c r="N1251" s="273"/>
    </row>
    <row r="1252" spans="1:15" ht="12.75" customHeight="1" x14ac:dyDescent="0.25">
      <c r="A1252" s="393" t="s">
        <v>951</v>
      </c>
      <c r="B1252" s="271"/>
      <c r="C1252" s="271"/>
      <c r="D1252" s="271"/>
      <c r="E1252" s="271"/>
      <c r="F1252" s="271"/>
      <c r="G1252" s="273"/>
      <c r="H1252" s="29" t="str">
        <f>IF(A1252="","",VLOOKUP(A1252,AA_Cuadrillas,4,FALSE))</f>
        <v>Cuadrilla</v>
      </c>
      <c r="I1252" s="394">
        <f>IF(A1252="","",VLOOKUP(A1252,AA_Cuadrillas,5,FALSE))</f>
        <v>186763</v>
      </c>
      <c r="J1252" s="273"/>
      <c r="K1252" s="9">
        <f>IF(A1252="","",F.P!$I$2)</f>
        <v>1.88</v>
      </c>
      <c r="L1252" s="93">
        <v>0.68</v>
      </c>
      <c r="M1252" s="394">
        <f t="shared" ref="M1252:M1256" si="158">IF(A1252="","",I1252*K1252*L1252)</f>
        <v>238757.81920000003</v>
      </c>
      <c r="N1252" s="273"/>
    </row>
    <row r="1253" spans="1:15" ht="12.75" customHeight="1" x14ac:dyDescent="0.25">
      <c r="A1253" s="393"/>
      <c r="B1253" s="271"/>
      <c r="C1253" s="271"/>
      <c r="D1253" s="271"/>
      <c r="E1253" s="271"/>
      <c r="F1253" s="271"/>
      <c r="G1253" s="273"/>
      <c r="H1253" s="29" t="str">
        <f>IF(A1253="","",VLOOKUP(A1253,AA_Cuadrillas,4,FALSE))</f>
        <v/>
      </c>
      <c r="I1253" s="394" t="str">
        <f>IF(A1253="","",VLOOKUP(A1253,AA_Cuadrillas,5,FALSE))</f>
        <v/>
      </c>
      <c r="J1253" s="273"/>
      <c r="K1253" s="9" t="str">
        <f>IF(A1253="","",F.P!$I$2)</f>
        <v/>
      </c>
      <c r="L1253" s="9"/>
      <c r="M1253" s="394" t="str">
        <f t="shared" si="158"/>
        <v/>
      </c>
      <c r="N1253" s="273"/>
    </row>
    <row r="1254" spans="1:15" ht="12.75" customHeight="1" x14ac:dyDescent="0.25">
      <c r="A1254" s="393"/>
      <c r="B1254" s="271"/>
      <c r="C1254" s="271"/>
      <c r="D1254" s="271"/>
      <c r="E1254" s="271"/>
      <c r="F1254" s="271"/>
      <c r="G1254" s="273"/>
      <c r="H1254" s="29" t="str">
        <f>IF(A1254="","",VLOOKUP(A1254,AA_Cuadrillas,4,FALSE))</f>
        <v/>
      </c>
      <c r="I1254" s="394" t="str">
        <f>IF(A1254="","",VLOOKUP(A1254,AA_Cuadrillas,5,FALSE))</f>
        <v/>
      </c>
      <c r="J1254" s="273"/>
      <c r="K1254" s="9" t="str">
        <f>IF(A1254="","",F.P!$I$2)</f>
        <v/>
      </c>
      <c r="L1254" s="37"/>
      <c r="M1254" s="394" t="str">
        <f t="shared" si="158"/>
        <v/>
      </c>
      <c r="N1254" s="273"/>
    </row>
    <row r="1255" spans="1:15" ht="12.75" customHeight="1" x14ac:dyDescent="0.25">
      <c r="A1255" s="393"/>
      <c r="B1255" s="271"/>
      <c r="C1255" s="271"/>
      <c r="D1255" s="271"/>
      <c r="E1255" s="271"/>
      <c r="F1255" s="271"/>
      <c r="G1255" s="273"/>
      <c r="H1255" s="29" t="str">
        <f>IF(A1255="","",VLOOKUP(A1255,AA_Cuadrillas,4,FALSE))</f>
        <v/>
      </c>
      <c r="I1255" s="394" t="str">
        <f>IF(A1255="","",VLOOKUP(A1255,AA_Cuadrillas,5,FALSE))</f>
        <v/>
      </c>
      <c r="J1255" s="273"/>
      <c r="K1255" s="9" t="str">
        <f>IF(A1255="","",F.P!$I$2)</f>
        <v/>
      </c>
      <c r="L1255" s="37"/>
      <c r="M1255" s="394" t="str">
        <f t="shared" si="158"/>
        <v/>
      </c>
      <c r="N1255" s="273"/>
    </row>
    <row r="1256" spans="1:15" ht="12.75" customHeight="1" x14ac:dyDescent="0.25">
      <c r="A1256" s="393"/>
      <c r="B1256" s="271"/>
      <c r="C1256" s="271"/>
      <c r="D1256" s="271"/>
      <c r="E1256" s="271"/>
      <c r="F1256" s="271"/>
      <c r="G1256" s="273"/>
      <c r="H1256" s="29" t="str">
        <f>IF(A1256="","",VLOOKUP(A1256,AA_Cuadrillas,4,FALSE))</f>
        <v/>
      </c>
      <c r="I1256" s="394" t="str">
        <f>IF(A1256="","",VLOOKUP(A1256,AA_Cuadrillas,5,FALSE))</f>
        <v/>
      </c>
      <c r="J1256" s="273"/>
      <c r="K1256" s="9" t="str">
        <f>IF(A1256="","",F.P!$I$2)</f>
        <v/>
      </c>
      <c r="L1256" s="37"/>
      <c r="M1256" s="394" t="str">
        <f t="shared" si="158"/>
        <v/>
      </c>
      <c r="N1256" s="273"/>
    </row>
    <row r="1257" spans="1:15" ht="12.75" customHeight="1" x14ac:dyDescent="0.25">
      <c r="A1257" s="4"/>
      <c r="B1257" s="4"/>
      <c r="C1257" s="4"/>
      <c r="D1257" s="4"/>
      <c r="E1257" s="4"/>
      <c r="F1257" s="4"/>
      <c r="G1257" s="4"/>
      <c r="H1257" s="4"/>
      <c r="I1257" s="4"/>
      <c r="J1257" s="4"/>
      <c r="K1257" s="396" t="s">
        <v>444</v>
      </c>
      <c r="L1257" s="273"/>
      <c r="M1257" s="394">
        <f>SUM(M1252:N1256)</f>
        <v>238757.81920000003</v>
      </c>
      <c r="N1257" s="273"/>
    </row>
    <row r="1258" spans="1:15" ht="12.75" customHeight="1" x14ac:dyDescent="0.2"/>
    <row r="1259" spans="1:15" ht="12.75" customHeight="1" x14ac:dyDescent="0.2">
      <c r="A1259" s="407" t="s">
        <v>119</v>
      </c>
      <c r="B1259" s="275"/>
      <c r="C1259" s="275"/>
      <c r="D1259" s="275"/>
      <c r="E1259" s="275"/>
      <c r="F1259" s="275"/>
      <c r="G1259" s="275"/>
      <c r="H1259" s="275"/>
      <c r="I1259" s="275"/>
      <c r="J1259" s="275"/>
      <c r="K1259" s="275"/>
      <c r="L1259" s="275"/>
      <c r="M1259" s="275"/>
      <c r="N1259" s="276"/>
      <c r="O1259" s="166"/>
    </row>
    <row r="1260" spans="1:15" ht="12.75" customHeight="1" x14ac:dyDescent="0.2">
      <c r="A1260" s="277"/>
      <c r="B1260" s="278"/>
      <c r="C1260" s="278"/>
      <c r="D1260" s="278"/>
      <c r="E1260" s="278"/>
      <c r="F1260" s="278"/>
      <c r="G1260" s="278"/>
      <c r="H1260" s="278"/>
      <c r="I1260" s="278"/>
      <c r="J1260" s="278"/>
      <c r="K1260" s="278"/>
      <c r="L1260" s="278"/>
      <c r="M1260" s="278"/>
      <c r="N1260" s="279"/>
      <c r="O1260" s="166"/>
    </row>
    <row r="1261" spans="1:15" ht="12.75" customHeight="1" x14ac:dyDescent="0.2">
      <c r="A1261" s="75"/>
      <c r="B1261" s="75"/>
      <c r="C1261" s="75"/>
      <c r="D1261" s="75"/>
      <c r="E1261" s="75"/>
      <c r="F1261" s="75"/>
      <c r="G1261" s="75"/>
      <c r="H1261" s="75"/>
      <c r="I1261" s="75"/>
      <c r="J1261" s="75"/>
      <c r="K1261" s="75"/>
      <c r="L1261" s="75"/>
      <c r="M1261" s="75"/>
      <c r="N1261" s="75"/>
    </row>
    <row r="1262" spans="1:15" ht="12.75" customHeight="1" x14ac:dyDescent="0.3">
      <c r="A1262" s="79" t="s">
        <v>642</v>
      </c>
      <c r="B1262" s="80" t="str">
        <f>A1259</f>
        <v>SUMINISTRO E INSTALACIÓN DE ENCHAPE PARA PISO DE ALTO TRÁFICO (INCLUYE PEGA ENCHAPE, BOQUILLA Y MANO DE OBRA)</v>
      </c>
      <c r="C1262" s="81" t="s">
        <v>916</v>
      </c>
      <c r="D1262" s="82" t="s">
        <v>934</v>
      </c>
      <c r="E1262" s="83" t="s">
        <v>445</v>
      </c>
      <c r="F1262" s="234">
        <f>(H1262+J1262+L1262+N1262)*1.3</f>
        <v>176760.03327710004</v>
      </c>
      <c r="G1262" s="83" t="s">
        <v>607</v>
      </c>
      <c r="H1262" s="86">
        <f>M1281</f>
        <v>1228.9005400000003</v>
      </c>
      <c r="I1262" s="83" t="s">
        <v>918</v>
      </c>
      <c r="J1262" s="86">
        <f>M1272</f>
        <v>104858.00000000001</v>
      </c>
      <c r="K1262" s="83" t="s">
        <v>609</v>
      </c>
      <c r="L1262" s="86">
        <f>M1290</f>
        <v>5304.3450270000012</v>
      </c>
      <c r="M1262" s="83" t="s">
        <v>610</v>
      </c>
      <c r="N1262" s="86">
        <f>M1299</f>
        <v>24578.010800000004</v>
      </c>
    </row>
    <row r="1263" spans="1:15" ht="12.75" customHeight="1" x14ac:dyDescent="0.25">
      <c r="A1263" s="87"/>
      <c r="B1263" s="87"/>
      <c r="C1263" s="87"/>
      <c r="D1263" s="87"/>
      <c r="E1263" s="87"/>
      <c r="F1263" s="87"/>
      <c r="G1263" s="87"/>
      <c r="J1263" s="87"/>
      <c r="K1263" s="215" t="s">
        <v>3217</v>
      </c>
      <c r="L1263" s="215">
        <f>+F1262*presup!$O$5</f>
        <v>229788.04326023007</v>
      </c>
      <c r="M1263" s="87"/>
      <c r="N1263" s="87"/>
    </row>
    <row r="1264" spans="1:15" ht="12.75" customHeight="1" x14ac:dyDescent="0.2">
      <c r="A1264" s="398" t="s">
        <v>919</v>
      </c>
      <c r="B1264" s="271"/>
      <c r="C1264" s="271"/>
      <c r="D1264" s="271"/>
      <c r="E1264" s="271"/>
      <c r="F1264" s="271"/>
      <c r="G1264" s="271"/>
      <c r="H1264" s="271"/>
      <c r="I1264" s="271"/>
      <c r="J1264" s="271"/>
      <c r="K1264" s="271"/>
      <c r="L1264" s="271"/>
      <c r="M1264" s="271"/>
      <c r="N1264" s="273"/>
    </row>
    <row r="1265" spans="1:14" ht="12.75" customHeight="1" x14ac:dyDescent="0.2">
      <c r="A1265" s="396" t="s">
        <v>76</v>
      </c>
      <c r="B1265" s="271"/>
      <c r="C1265" s="271"/>
      <c r="D1265" s="271"/>
      <c r="E1265" s="271"/>
      <c r="F1265" s="271"/>
      <c r="G1265" s="273"/>
      <c r="H1265" s="88" t="s">
        <v>77</v>
      </c>
      <c r="I1265" s="399" t="s">
        <v>920</v>
      </c>
      <c r="J1265" s="273"/>
      <c r="K1265" s="399" t="s">
        <v>453</v>
      </c>
      <c r="L1265" s="273"/>
      <c r="M1265" s="399" t="s">
        <v>921</v>
      </c>
      <c r="N1265" s="273"/>
    </row>
    <row r="1266" spans="1:14" ht="12.75" customHeight="1" x14ac:dyDescent="0.2">
      <c r="A1266" s="403" t="s">
        <v>1038</v>
      </c>
      <c r="B1266" s="271"/>
      <c r="C1266" s="271"/>
      <c r="D1266" s="271"/>
      <c r="E1266" s="271"/>
      <c r="F1266" s="271"/>
      <c r="G1266" s="273"/>
      <c r="H1266" s="29" t="str">
        <f t="shared" ref="H1266:H1271" si="159">IF(A1266="","",VLOOKUP(A1266,AA_Materiales,7,FALSE))</f>
        <v>m2</v>
      </c>
      <c r="I1266" s="394">
        <f t="shared" ref="I1266:I1271" si="160">IF(A1266="","",VLOOKUP(A1266,AA_Materiales,8,FALSE))</f>
        <v>85800</v>
      </c>
      <c r="J1266" s="273"/>
      <c r="K1266" s="395">
        <v>1.1000000000000001</v>
      </c>
      <c r="L1266" s="273"/>
      <c r="M1266" s="394">
        <f t="shared" ref="M1266:M1271" si="161">IF(A1266="","",I1266*K1266)</f>
        <v>94380.000000000015</v>
      </c>
      <c r="N1266" s="273"/>
    </row>
    <row r="1267" spans="1:14" ht="12.75" customHeight="1" x14ac:dyDescent="0.2">
      <c r="A1267" s="400" t="s">
        <v>1039</v>
      </c>
      <c r="B1267" s="271"/>
      <c r="C1267" s="271"/>
      <c r="D1267" s="271"/>
      <c r="E1267" s="271"/>
      <c r="F1267" s="271"/>
      <c r="G1267" s="273"/>
      <c r="H1267" s="29" t="str">
        <f t="shared" si="159"/>
        <v>Kg</v>
      </c>
      <c r="I1267" s="394">
        <f t="shared" si="160"/>
        <v>1596</v>
      </c>
      <c r="J1267" s="273"/>
      <c r="K1267" s="395">
        <v>5.5</v>
      </c>
      <c r="L1267" s="273"/>
      <c r="M1267" s="394">
        <f t="shared" si="161"/>
        <v>8778</v>
      </c>
      <c r="N1267" s="273"/>
    </row>
    <row r="1268" spans="1:14" ht="12.75" customHeight="1" x14ac:dyDescent="0.2">
      <c r="A1268" s="400" t="s">
        <v>1040</v>
      </c>
      <c r="B1268" s="271"/>
      <c r="C1268" s="271"/>
      <c r="D1268" s="271"/>
      <c r="E1268" s="271"/>
      <c r="F1268" s="271"/>
      <c r="G1268" s="273"/>
      <c r="H1268" s="29" t="str">
        <f t="shared" si="159"/>
        <v>Kg</v>
      </c>
      <c r="I1268" s="394">
        <f t="shared" si="160"/>
        <v>6800</v>
      </c>
      <c r="J1268" s="273"/>
      <c r="K1268" s="395">
        <v>0.25</v>
      </c>
      <c r="L1268" s="273"/>
      <c r="M1268" s="394">
        <f t="shared" si="161"/>
        <v>1700</v>
      </c>
      <c r="N1268" s="273"/>
    </row>
    <row r="1269" spans="1:14" ht="12.75" customHeight="1" x14ac:dyDescent="0.2">
      <c r="A1269" s="400"/>
      <c r="B1269" s="271"/>
      <c r="C1269" s="271"/>
      <c r="D1269" s="271"/>
      <c r="E1269" s="271"/>
      <c r="F1269" s="271"/>
      <c r="G1269" s="273"/>
      <c r="H1269" s="29" t="str">
        <f t="shared" si="159"/>
        <v/>
      </c>
      <c r="I1269" s="394" t="str">
        <f t="shared" si="160"/>
        <v/>
      </c>
      <c r="J1269" s="273"/>
      <c r="K1269" s="395"/>
      <c r="L1269" s="273"/>
      <c r="M1269" s="394" t="str">
        <f t="shared" si="161"/>
        <v/>
      </c>
      <c r="N1269" s="273"/>
    </row>
    <row r="1270" spans="1:14" ht="12.75" customHeight="1" x14ac:dyDescent="0.2">
      <c r="A1270" s="400"/>
      <c r="B1270" s="271"/>
      <c r="C1270" s="271"/>
      <c r="D1270" s="271"/>
      <c r="E1270" s="271"/>
      <c r="F1270" s="271"/>
      <c r="G1270" s="273"/>
      <c r="H1270" s="29" t="str">
        <f t="shared" si="159"/>
        <v/>
      </c>
      <c r="I1270" s="394" t="str">
        <f t="shared" si="160"/>
        <v/>
      </c>
      <c r="J1270" s="273"/>
      <c r="K1270" s="395"/>
      <c r="L1270" s="273"/>
      <c r="M1270" s="394" t="str">
        <f t="shared" si="161"/>
        <v/>
      </c>
      <c r="N1270" s="273"/>
    </row>
    <row r="1271" spans="1:14" ht="12.75" customHeight="1" x14ac:dyDescent="0.2">
      <c r="A1271" s="400"/>
      <c r="B1271" s="271"/>
      <c r="C1271" s="271"/>
      <c r="D1271" s="271"/>
      <c r="E1271" s="271"/>
      <c r="F1271" s="271"/>
      <c r="G1271" s="273"/>
      <c r="H1271" s="29" t="str">
        <f t="shared" si="159"/>
        <v/>
      </c>
      <c r="I1271" s="394" t="str">
        <f t="shared" si="160"/>
        <v/>
      </c>
      <c r="J1271" s="273"/>
      <c r="K1271" s="395"/>
      <c r="L1271" s="273"/>
      <c r="M1271" s="394" t="str">
        <f t="shared" si="161"/>
        <v/>
      </c>
      <c r="N1271" s="273"/>
    </row>
    <row r="1272" spans="1:14" ht="12.75" customHeight="1" x14ac:dyDescent="0.25">
      <c r="A1272" s="4"/>
      <c r="B1272" s="4"/>
      <c r="C1272" s="4"/>
      <c r="D1272" s="4"/>
      <c r="E1272" s="4"/>
      <c r="F1272" s="4"/>
      <c r="G1272" s="4"/>
      <c r="H1272" s="4"/>
      <c r="I1272" s="4"/>
      <c r="J1272" s="4"/>
      <c r="K1272" s="396" t="s">
        <v>444</v>
      </c>
      <c r="L1272" s="273"/>
      <c r="M1272" s="394">
        <f>SUM(M1266:N1271)</f>
        <v>104858.00000000001</v>
      </c>
      <c r="N1272" s="273"/>
    </row>
    <row r="1273" spans="1:14" ht="12.75" customHeight="1" x14ac:dyDescent="0.25">
      <c r="A1273" s="4"/>
      <c r="B1273" s="4"/>
      <c r="C1273" s="4"/>
      <c r="D1273" s="4"/>
      <c r="E1273" s="4"/>
      <c r="F1273" s="4"/>
      <c r="G1273" s="4"/>
      <c r="H1273" s="4"/>
      <c r="I1273" s="4"/>
      <c r="J1273" s="4"/>
      <c r="K1273" s="4"/>
      <c r="L1273" s="4"/>
      <c r="M1273" s="4"/>
      <c r="N1273" s="4"/>
    </row>
    <row r="1274" spans="1:14" ht="12.75" customHeight="1" x14ac:dyDescent="0.2">
      <c r="A1274" s="398" t="s">
        <v>926</v>
      </c>
      <c r="B1274" s="271"/>
      <c r="C1274" s="271"/>
      <c r="D1274" s="271"/>
      <c r="E1274" s="271"/>
      <c r="F1274" s="271"/>
      <c r="G1274" s="271"/>
      <c r="H1274" s="271"/>
      <c r="I1274" s="271"/>
      <c r="J1274" s="271"/>
      <c r="K1274" s="271"/>
      <c r="L1274" s="271"/>
      <c r="M1274" s="271"/>
      <c r="N1274" s="273"/>
    </row>
    <row r="1275" spans="1:14" ht="12.75" customHeight="1" x14ac:dyDescent="0.2">
      <c r="A1275" s="396" t="s">
        <v>76</v>
      </c>
      <c r="B1275" s="271"/>
      <c r="C1275" s="271"/>
      <c r="D1275" s="271"/>
      <c r="E1275" s="271"/>
      <c r="F1275" s="271"/>
      <c r="G1275" s="273"/>
      <c r="H1275" s="88" t="s">
        <v>77</v>
      </c>
      <c r="I1275" s="399" t="s">
        <v>920</v>
      </c>
      <c r="J1275" s="273"/>
      <c r="K1275" s="399" t="s">
        <v>453</v>
      </c>
      <c r="L1275" s="273"/>
      <c r="M1275" s="399" t="s">
        <v>921</v>
      </c>
      <c r="N1275" s="273"/>
    </row>
    <row r="1276" spans="1:14" ht="12.75" customHeight="1" x14ac:dyDescent="0.2">
      <c r="A1276" s="400" t="s">
        <v>927</v>
      </c>
      <c r="B1276" s="271"/>
      <c r="C1276" s="271"/>
      <c r="D1276" s="271"/>
      <c r="E1276" s="271"/>
      <c r="F1276" s="271"/>
      <c r="G1276" s="273"/>
      <c r="H1276" s="29" t="str">
        <f>IF(A1276="","",VLOOKUP(A1276,AA_Equipos,7,FALSE))</f>
        <v>% M.O.</v>
      </c>
      <c r="I1276" s="394">
        <f>+M1299</f>
        <v>24578.010800000004</v>
      </c>
      <c r="J1276" s="273"/>
      <c r="K1276" s="404">
        <v>0.05</v>
      </c>
      <c r="L1276" s="273"/>
      <c r="M1276" s="394">
        <f t="shared" ref="M1276:M1280" si="162">IF(A1276="","",I1276*K1276)</f>
        <v>1228.9005400000003</v>
      </c>
      <c r="N1276" s="273"/>
    </row>
    <row r="1277" spans="1:14" ht="12.75" customHeight="1" x14ac:dyDescent="0.2">
      <c r="A1277" s="403"/>
      <c r="B1277" s="271"/>
      <c r="C1277" s="271"/>
      <c r="D1277" s="271"/>
      <c r="E1277" s="271"/>
      <c r="F1277" s="271"/>
      <c r="G1277" s="273"/>
      <c r="H1277" s="29" t="str">
        <f>IF(A1277="","",VLOOKUP(A1277,AA_Equipos,7,FALSE))</f>
        <v/>
      </c>
      <c r="I1277" s="394" t="str">
        <f>IF(A1277="","",VLOOKUP(A1277,AA_Equipos,8,FALSE))</f>
        <v/>
      </c>
      <c r="J1277" s="273"/>
      <c r="K1277" s="402"/>
      <c r="L1277" s="273"/>
      <c r="M1277" s="394" t="str">
        <f t="shared" si="162"/>
        <v/>
      </c>
      <c r="N1277" s="273"/>
    </row>
    <row r="1278" spans="1:14" ht="12.75" customHeight="1" x14ac:dyDescent="0.2">
      <c r="A1278" s="400"/>
      <c r="B1278" s="271"/>
      <c r="C1278" s="271"/>
      <c r="D1278" s="271"/>
      <c r="E1278" s="271"/>
      <c r="F1278" s="271"/>
      <c r="G1278" s="273"/>
      <c r="H1278" s="29" t="str">
        <f>IF(A1278="","",VLOOKUP(A1278,AA_Equipos,7,FALSE))</f>
        <v/>
      </c>
      <c r="I1278" s="394" t="str">
        <f>IF(A1278="","",VLOOKUP(A1278,AA_Equipos,8,FALSE))</f>
        <v/>
      </c>
      <c r="J1278" s="273"/>
      <c r="K1278" s="401"/>
      <c r="L1278" s="273"/>
      <c r="M1278" s="394" t="str">
        <f t="shared" si="162"/>
        <v/>
      </c>
      <c r="N1278" s="273"/>
    </row>
    <row r="1279" spans="1:14" ht="12.75" customHeight="1" x14ac:dyDescent="0.2">
      <c r="A1279" s="400"/>
      <c r="B1279" s="271"/>
      <c r="C1279" s="271"/>
      <c r="D1279" s="271"/>
      <c r="E1279" s="271"/>
      <c r="F1279" s="271"/>
      <c r="G1279" s="273"/>
      <c r="H1279" s="29" t="str">
        <f>IF(A1279="","",VLOOKUP(A1279,AA_Equipos,7,FALSE))</f>
        <v/>
      </c>
      <c r="I1279" s="394" t="str">
        <f>IF(A1279="","",VLOOKUP(A1279,AA_Equipos,8,FALSE))</f>
        <v/>
      </c>
      <c r="J1279" s="273"/>
      <c r="K1279" s="395"/>
      <c r="L1279" s="273"/>
      <c r="M1279" s="394" t="str">
        <f t="shared" si="162"/>
        <v/>
      </c>
      <c r="N1279" s="273"/>
    </row>
    <row r="1280" spans="1:14" ht="12.75" customHeight="1" x14ac:dyDescent="0.2">
      <c r="A1280" s="400"/>
      <c r="B1280" s="271"/>
      <c r="C1280" s="271"/>
      <c r="D1280" s="271"/>
      <c r="E1280" s="271"/>
      <c r="F1280" s="271"/>
      <c r="G1280" s="273"/>
      <c r="H1280" s="29" t="str">
        <f>IF(A1280="","",VLOOKUP(A1280,AA_Equipos,7,FALSE))</f>
        <v/>
      </c>
      <c r="I1280" s="394" t="str">
        <f>IF(A1280="","",VLOOKUP(A1280,AA_Equipos,8,FALSE))</f>
        <v/>
      </c>
      <c r="J1280" s="273"/>
      <c r="K1280" s="395"/>
      <c r="L1280" s="273"/>
      <c r="M1280" s="394" t="str">
        <f t="shared" si="162"/>
        <v/>
      </c>
      <c r="N1280" s="273"/>
    </row>
    <row r="1281" spans="1:14" ht="12.75" customHeight="1" x14ac:dyDescent="0.25">
      <c r="A1281" s="4"/>
      <c r="B1281" s="4"/>
      <c r="C1281" s="4"/>
      <c r="D1281" s="4"/>
      <c r="E1281" s="4"/>
      <c r="F1281" s="4"/>
      <c r="G1281" s="4"/>
      <c r="H1281" s="4"/>
      <c r="I1281" s="4"/>
      <c r="J1281" s="4"/>
      <c r="K1281" s="396" t="s">
        <v>444</v>
      </c>
      <c r="L1281" s="273"/>
      <c r="M1281" s="394">
        <f>SUM(M1276:N1280)</f>
        <v>1228.9005400000003</v>
      </c>
      <c r="N1281" s="273"/>
    </row>
    <row r="1282" spans="1:14" ht="12.75" customHeight="1" x14ac:dyDescent="0.25">
      <c r="A1282" s="4"/>
      <c r="B1282" s="4"/>
      <c r="C1282" s="4"/>
      <c r="D1282" s="4"/>
      <c r="E1282" s="4"/>
      <c r="F1282" s="4"/>
      <c r="G1282" s="4"/>
      <c r="H1282" s="4"/>
      <c r="I1282" s="4"/>
      <c r="J1282" s="4"/>
      <c r="K1282" s="4"/>
      <c r="L1282" s="4"/>
      <c r="M1282" s="4"/>
      <c r="N1282" s="4"/>
    </row>
    <row r="1283" spans="1:14" ht="12.75" customHeight="1" x14ac:dyDescent="0.2">
      <c r="A1283" s="398" t="s">
        <v>929</v>
      </c>
      <c r="B1283" s="271"/>
      <c r="C1283" s="271"/>
      <c r="D1283" s="271"/>
      <c r="E1283" s="271"/>
      <c r="F1283" s="271"/>
      <c r="G1283" s="271"/>
      <c r="H1283" s="271"/>
      <c r="I1283" s="271"/>
      <c r="J1283" s="271"/>
      <c r="K1283" s="271"/>
      <c r="L1283" s="271"/>
      <c r="M1283" s="271"/>
      <c r="N1283" s="273"/>
    </row>
    <row r="1284" spans="1:14" ht="12.75" customHeight="1" x14ac:dyDescent="0.2">
      <c r="A1284" s="396" t="s">
        <v>76</v>
      </c>
      <c r="B1284" s="271"/>
      <c r="C1284" s="271"/>
      <c r="D1284" s="271"/>
      <c r="E1284" s="271"/>
      <c r="F1284" s="271"/>
      <c r="G1284" s="273"/>
      <c r="H1284" s="88" t="s">
        <v>77</v>
      </c>
      <c r="I1284" s="399" t="s">
        <v>920</v>
      </c>
      <c r="J1284" s="273"/>
      <c r="K1284" s="399" t="s">
        <v>453</v>
      </c>
      <c r="L1284" s="273"/>
      <c r="M1284" s="399" t="s">
        <v>921</v>
      </c>
      <c r="N1284" s="273"/>
    </row>
    <row r="1285" spans="1:14" ht="12.75" customHeight="1" x14ac:dyDescent="0.2">
      <c r="A1285" s="400" t="s">
        <v>960</v>
      </c>
      <c r="B1285" s="271"/>
      <c r="C1285" s="271"/>
      <c r="D1285" s="271"/>
      <c r="E1285" s="271"/>
      <c r="F1285" s="271"/>
      <c r="G1285" s="273"/>
      <c r="H1285" s="29" t="s">
        <v>950</v>
      </c>
      <c r="I1285" s="394">
        <f>+M1272</f>
        <v>104858.00000000001</v>
      </c>
      <c r="J1285" s="273"/>
      <c r="K1285" s="404">
        <v>0.05</v>
      </c>
      <c r="L1285" s="273"/>
      <c r="M1285" s="394">
        <f t="shared" ref="M1285:M1289" si="163">IF(A1285="","",I1285*K1285)</f>
        <v>5242.9000000000015</v>
      </c>
      <c r="N1285" s="273"/>
    </row>
    <row r="1286" spans="1:14" ht="12.75" customHeight="1" x14ac:dyDescent="0.2">
      <c r="A1286" s="403" t="s">
        <v>3174</v>
      </c>
      <c r="B1286" s="271"/>
      <c r="C1286" s="271"/>
      <c r="D1286" s="271"/>
      <c r="E1286" s="271"/>
      <c r="F1286" s="271"/>
      <c r="G1286" s="273"/>
      <c r="H1286" s="29" t="s">
        <v>24</v>
      </c>
      <c r="I1286" s="394">
        <f>+M1281</f>
        <v>1228.9005400000003</v>
      </c>
      <c r="J1286" s="273"/>
      <c r="K1286" s="404">
        <v>0.05</v>
      </c>
      <c r="L1286" s="273"/>
      <c r="M1286" s="394">
        <f t="shared" si="163"/>
        <v>61.445027000000017</v>
      </c>
      <c r="N1286" s="273"/>
    </row>
    <row r="1287" spans="1:14" ht="12.75" customHeight="1" x14ac:dyDescent="0.2">
      <c r="A1287" s="400"/>
      <c r="B1287" s="271"/>
      <c r="C1287" s="271"/>
      <c r="D1287" s="271"/>
      <c r="E1287" s="271"/>
      <c r="F1287" s="271"/>
      <c r="G1287" s="273"/>
      <c r="H1287" s="29"/>
      <c r="I1287" s="394"/>
      <c r="J1287" s="273"/>
      <c r="K1287" s="395"/>
      <c r="L1287" s="273"/>
      <c r="M1287" s="394" t="str">
        <f t="shared" si="163"/>
        <v/>
      </c>
      <c r="N1287" s="273"/>
    </row>
    <row r="1288" spans="1:14" ht="12.75" customHeight="1" x14ac:dyDescent="0.2">
      <c r="A1288" s="400"/>
      <c r="B1288" s="271"/>
      <c r="C1288" s="271"/>
      <c r="D1288" s="271"/>
      <c r="E1288" s="271"/>
      <c r="F1288" s="271"/>
      <c r="G1288" s="273"/>
      <c r="H1288" s="29"/>
      <c r="I1288" s="394"/>
      <c r="J1288" s="273"/>
      <c r="K1288" s="395"/>
      <c r="L1288" s="273"/>
      <c r="M1288" s="394" t="str">
        <f t="shared" si="163"/>
        <v/>
      </c>
      <c r="N1288" s="273"/>
    </row>
    <row r="1289" spans="1:14" ht="12.75" customHeight="1" x14ac:dyDescent="0.2">
      <c r="A1289" s="400"/>
      <c r="B1289" s="271"/>
      <c r="C1289" s="271"/>
      <c r="D1289" s="271"/>
      <c r="E1289" s="271"/>
      <c r="F1289" s="271"/>
      <c r="G1289" s="273"/>
      <c r="H1289" s="29"/>
      <c r="I1289" s="394"/>
      <c r="J1289" s="273"/>
      <c r="K1289" s="395"/>
      <c r="L1289" s="273"/>
      <c r="M1289" s="394" t="str">
        <f t="shared" si="163"/>
        <v/>
      </c>
      <c r="N1289" s="273"/>
    </row>
    <row r="1290" spans="1:14" ht="12.75" customHeight="1" x14ac:dyDescent="0.25">
      <c r="A1290" s="4"/>
      <c r="B1290" s="4"/>
      <c r="C1290" s="4"/>
      <c r="D1290" s="4"/>
      <c r="E1290" s="4"/>
      <c r="F1290" s="4"/>
      <c r="G1290" s="4"/>
      <c r="H1290" s="4"/>
      <c r="I1290" s="4"/>
      <c r="J1290" s="4"/>
      <c r="K1290" s="396" t="s">
        <v>444</v>
      </c>
      <c r="L1290" s="273"/>
      <c r="M1290" s="394">
        <f>SUM(M1285:N1289)</f>
        <v>5304.3450270000012</v>
      </c>
      <c r="N1290" s="273"/>
    </row>
    <row r="1291" spans="1:14" ht="12.75" customHeight="1" x14ac:dyDescent="0.25">
      <c r="A1291" s="4"/>
      <c r="B1291" s="4"/>
      <c r="C1291" s="4"/>
      <c r="D1291" s="4"/>
      <c r="E1291" s="4"/>
      <c r="F1291" s="4"/>
      <c r="G1291" s="4"/>
      <c r="H1291" s="4"/>
      <c r="I1291" s="4"/>
      <c r="J1291" s="4"/>
      <c r="K1291" s="4"/>
      <c r="L1291" s="4"/>
      <c r="M1291" s="4"/>
      <c r="N1291" s="4"/>
    </row>
    <row r="1292" spans="1:14" ht="12.75" customHeight="1" x14ac:dyDescent="0.2">
      <c r="A1292" s="398" t="s">
        <v>931</v>
      </c>
      <c r="B1292" s="271"/>
      <c r="C1292" s="271"/>
      <c r="D1292" s="271"/>
      <c r="E1292" s="271"/>
      <c r="F1292" s="271"/>
      <c r="G1292" s="271"/>
      <c r="H1292" s="271"/>
      <c r="I1292" s="271"/>
      <c r="J1292" s="271"/>
      <c r="K1292" s="271"/>
      <c r="L1292" s="271"/>
      <c r="M1292" s="271"/>
      <c r="N1292" s="273"/>
    </row>
    <row r="1293" spans="1:14" ht="12.75" customHeight="1" x14ac:dyDescent="0.2">
      <c r="A1293" s="396" t="s">
        <v>76</v>
      </c>
      <c r="B1293" s="271"/>
      <c r="C1293" s="271"/>
      <c r="D1293" s="271"/>
      <c r="E1293" s="271"/>
      <c r="F1293" s="271"/>
      <c r="G1293" s="273"/>
      <c r="H1293" s="88" t="s">
        <v>77</v>
      </c>
      <c r="I1293" s="399" t="s">
        <v>920</v>
      </c>
      <c r="J1293" s="273"/>
      <c r="K1293" s="90" t="s">
        <v>514</v>
      </c>
      <c r="L1293" s="91" t="s">
        <v>932</v>
      </c>
      <c r="M1293" s="399" t="s">
        <v>921</v>
      </c>
      <c r="N1293" s="273"/>
    </row>
    <row r="1294" spans="1:14" ht="12.75" customHeight="1" x14ac:dyDescent="0.25">
      <c r="A1294" s="393" t="s">
        <v>1041</v>
      </c>
      <c r="B1294" s="271"/>
      <c r="C1294" s="271"/>
      <c r="D1294" s="271"/>
      <c r="E1294" s="271"/>
      <c r="F1294" s="271"/>
      <c r="G1294" s="273"/>
      <c r="H1294" s="29" t="str">
        <f>IF(A1294="","",VLOOKUP(A1294,AA_Cuadrillas,4,FALSE))</f>
        <v>Cuadrilla</v>
      </c>
      <c r="I1294" s="394">
        <f>IF(A1294="","",VLOOKUP(A1294,AA_Cuadrillas,5,FALSE))</f>
        <v>186763</v>
      </c>
      <c r="J1294" s="273"/>
      <c r="K1294" s="9">
        <f>IF(A1294="","",F.P!$I$2)</f>
        <v>1.88</v>
      </c>
      <c r="L1294" s="93">
        <v>7.0000000000000007E-2</v>
      </c>
      <c r="M1294" s="394">
        <f t="shared" ref="M1294:M1298" si="164">IF(A1294="","",I1294*K1294*L1294)</f>
        <v>24578.010800000004</v>
      </c>
      <c r="N1294" s="273"/>
    </row>
    <row r="1295" spans="1:14" ht="12.75" customHeight="1" x14ac:dyDescent="0.25">
      <c r="A1295" s="393"/>
      <c r="B1295" s="271"/>
      <c r="C1295" s="271"/>
      <c r="D1295" s="271"/>
      <c r="E1295" s="271"/>
      <c r="F1295" s="271"/>
      <c r="G1295" s="273"/>
      <c r="H1295" s="29" t="str">
        <f>IF(A1295="","",VLOOKUP(A1295,AA_Cuadrillas,4,FALSE))</f>
        <v/>
      </c>
      <c r="I1295" s="394" t="str">
        <f>IF(A1295="","",VLOOKUP(A1295,AA_Cuadrillas,5,FALSE))</f>
        <v/>
      </c>
      <c r="J1295" s="273"/>
      <c r="K1295" s="9" t="str">
        <f>IF(A1295="","",F.P!$I$2)</f>
        <v/>
      </c>
      <c r="L1295" s="9"/>
      <c r="M1295" s="394" t="str">
        <f t="shared" si="164"/>
        <v/>
      </c>
      <c r="N1295" s="273"/>
    </row>
    <row r="1296" spans="1:14" ht="12.75" customHeight="1" x14ac:dyDescent="0.25">
      <c r="A1296" s="393"/>
      <c r="B1296" s="271"/>
      <c r="C1296" s="271"/>
      <c r="D1296" s="271"/>
      <c r="E1296" s="271"/>
      <c r="F1296" s="271"/>
      <c r="G1296" s="273"/>
      <c r="H1296" s="29" t="str">
        <f>IF(A1296="","",VLOOKUP(A1296,AA_Cuadrillas,4,FALSE))</f>
        <v/>
      </c>
      <c r="I1296" s="394" t="str">
        <f>IF(A1296="","",VLOOKUP(A1296,AA_Cuadrillas,5,FALSE))</f>
        <v/>
      </c>
      <c r="J1296" s="273"/>
      <c r="K1296" s="9" t="str">
        <f>IF(A1296="","",F.P!$I$2)</f>
        <v/>
      </c>
      <c r="L1296" s="37"/>
      <c r="M1296" s="394" t="str">
        <f t="shared" si="164"/>
        <v/>
      </c>
      <c r="N1296" s="273"/>
    </row>
    <row r="1297" spans="1:15" ht="12.75" customHeight="1" x14ac:dyDescent="0.25">
      <c r="A1297" s="393"/>
      <c r="B1297" s="271"/>
      <c r="C1297" s="271"/>
      <c r="D1297" s="271"/>
      <c r="E1297" s="271"/>
      <c r="F1297" s="271"/>
      <c r="G1297" s="273"/>
      <c r="H1297" s="29" t="str">
        <f>IF(A1297="","",VLOOKUP(A1297,AA_Cuadrillas,4,FALSE))</f>
        <v/>
      </c>
      <c r="I1297" s="394" t="str">
        <f>IF(A1297="","",VLOOKUP(A1297,AA_Cuadrillas,5,FALSE))</f>
        <v/>
      </c>
      <c r="J1297" s="273"/>
      <c r="K1297" s="9" t="str">
        <f>IF(A1297="","",F.P!$I$2)</f>
        <v/>
      </c>
      <c r="L1297" s="37"/>
      <c r="M1297" s="394" t="str">
        <f t="shared" si="164"/>
        <v/>
      </c>
      <c r="N1297" s="273"/>
    </row>
    <row r="1298" spans="1:15" ht="12.75" customHeight="1" x14ac:dyDescent="0.25">
      <c r="A1298" s="393"/>
      <c r="B1298" s="271"/>
      <c r="C1298" s="271"/>
      <c r="D1298" s="271"/>
      <c r="E1298" s="271"/>
      <c r="F1298" s="271"/>
      <c r="G1298" s="273"/>
      <c r="H1298" s="29" t="str">
        <f>IF(A1298="","",VLOOKUP(A1298,AA_Cuadrillas,4,FALSE))</f>
        <v/>
      </c>
      <c r="I1298" s="394" t="str">
        <f>IF(A1298="","",VLOOKUP(A1298,AA_Cuadrillas,5,FALSE))</f>
        <v/>
      </c>
      <c r="J1298" s="273"/>
      <c r="K1298" s="9" t="str">
        <f>IF(A1298="","",F.P!$I$2)</f>
        <v/>
      </c>
      <c r="L1298" s="37"/>
      <c r="M1298" s="394" t="str">
        <f t="shared" si="164"/>
        <v/>
      </c>
      <c r="N1298" s="273"/>
    </row>
    <row r="1299" spans="1:15" ht="12.75" customHeight="1" x14ac:dyDescent="0.25">
      <c r="A1299" s="4"/>
      <c r="B1299" s="4"/>
      <c r="C1299" s="4"/>
      <c r="D1299" s="4"/>
      <c r="E1299" s="4"/>
      <c r="F1299" s="4"/>
      <c r="G1299" s="4"/>
      <c r="H1299" s="4"/>
      <c r="I1299" s="4"/>
      <c r="J1299" s="4"/>
      <c r="K1299" s="396" t="s">
        <v>444</v>
      </c>
      <c r="L1299" s="273"/>
      <c r="M1299" s="394">
        <f>SUM(M1294:N1298)</f>
        <v>24578.010800000004</v>
      </c>
      <c r="N1299" s="273"/>
    </row>
    <row r="1300" spans="1:15" ht="12.75" customHeight="1" x14ac:dyDescent="0.2"/>
    <row r="1301" spans="1:15" ht="12.75" customHeight="1" x14ac:dyDescent="0.2">
      <c r="A1301" s="407" t="s">
        <v>121</v>
      </c>
      <c r="B1301" s="275"/>
      <c r="C1301" s="275"/>
      <c r="D1301" s="275"/>
      <c r="E1301" s="275"/>
      <c r="F1301" s="275"/>
      <c r="G1301" s="275"/>
      <c r="H1301" s="275"/>
      <c r="I1301" s="275"/>
      <c r="J1301" s="275"/>
      <c r="K1301" s="275"/>
      <c r="L1301" s="275"/>
      <c r="M1301" s="275"/>
      <c r="N1301" s="276"/>
      <c r="O1301" s="166"/>
    </row>
    <row r="1302" spans="1:15" ht="12.75" customHeight="1" x14ac:dyDescent="0.2">
      <c r="A1302" s="277"/>
      <c r="B1302" s="278"/>
      <c r="C1302" s="278"/>
      <c r="D1302" s="278"/>
      <c r="E1302" s="278"/>
      <c r="F1302" s="278"/>
      <c r="G1302" s="278"/>
      <c r="H1302" s="278"/>
      <c r="I1302" s="278"/>
      <c r="J1302" s="278"/>
      <c r="K1302" s="278"/>
      <c r="L1302" s="278"/>
      <c r="M1302" s="278"/>
      <c r="N1302" s="279"/>
      <c r="O1302" s="166"/>
    </row>
    <row r="1303" spans="1:15" ht="12.75" customHeight="1" x14ac:dyDescent="0.2">
      <c r="A1303" s="75"/>
      <c r="B1303" s="75"/>
      <c r="C1303" s="75"/>
      <c r="D1303" s="75"/>
      <c r="E1303" s="75"/>
      <c r="F1303" s="75"/>
      <c r="G1303" s="75"/>
      <c r="H1303" s="75"/>
      <c r="I1303" s="75"/>
      <c r="J1303" s="75"/>
      <c r="K1303" s="75"/>
      <c r="L1303" s="75"/>
      <c r="M1303" s="75"/>
      <c r="N1303" s="75"/>
    </row>
    <row r="1304" spans="1:15" ht="12.75" customHeight="1" x14ac:dyDescent="0.3">
      <c r="A1304" s="79" t="s">
        <v>643</v>
      </c>
      <c r="B1304" s="80" t="str">
        <f>A1301</f>
        <v>SUMINISTRO E INSTALACIÓN DE ENCHAPE DE 25 X 40CM PARA PAREDES Y MUROS (INCLUYE PEGA ENCHAPE, BOQUILLA Y MANO DE OBRA)</v>
      </c>
      <c r="C1304" s="81" t="s">
        <v>916</v>
      </c>
      <c r="D1304" s="82" t="s">
        <v>934</v>
      </c>
      <c r="E1304" s="83" t="s">
        <v>445</v>
      </c>
      <c r="F1304" s="234">
        <f>(H1304+J1304+L1304+N1304)*1.3</f>
        <v>98195.323972352955</v>
      </c>
      <c r="G1304" s="83" t="s">
        <v>607</v>
      </c>
      <c r="H1304" s="86">
        <f>M1323</f>
        <v>1032.6895294117646</v>
      </c>
      <c r="I1304" s="83" t="s">
        <v>918</v>
      </c>
      <c r="J1304" s="86">
        <f>M1314</f>
        <v>51235</v>
      </c>
      <c r="K1304" s="83" t="s">
        <v>609</v>
      </c>
      <c r="L1304" s="86">
        <f>M1332</f>
        <v>2613.3844764705882</v>
      </c>
      <c r="M1304" s="83" t="s">
        <v>610</v>
      </c>
      <c r="N1304" s="86">
        <f>M1341</f>
        <v>20653.790588235293</v>
      </c>
    </row>
    <row r="1305" spans="1:15" ht="12.75" customHeight="1" x14ac:dyDescent="0.25">
      <c r="A1305" s="87"/>
      <c r="B1305" s="87"/>
      <c r="C1305" s="87"/>
      <c r="D1305" s="87"/>
      <c r="E1305" s="87"/>
      <c r="F1305" s="87"/>
      <c r="G1305" s="87"/>
      <c r="J1305" s="87"/>
      <c r="K1305" s="215" t="s">
        <v>3217</v>
      </c>
      <c r="L1305" s="215">
        <f>+F1304*presup!$O$5</f>
        <v>127653.92116405885</v>
      </c>
      <c r="M1305" s="87"/>
      <c r="N1305" s="87"/>
    </row>
    <row r="1306" spans="1:15" ht="12.75" customHeight="1" x14ac:dyDescent="0.2">
      <c r="A1306" s="398" t="s">
        <v>919</v>
      </c>
      <c r="B1306" s="271"/>
      <c r="C1306" s="271"/>
      <c r="D1306" s="271"/>
      <c r="E1306" s="271"/>
      <c r="F1306" s="271"/>
      <c r="G1306" s="271"/>
      <c r="H1306" s="271"/>
      <c r="I1306" s="271"/>
      <c r="J1306" s="271"/>
      <c r="K1306" s="271"/>
      <c r="L1306" s="271"/>
      <c r="M1306" s="271"/>
      <c r="N1306" s="273"/>
    </row>
    <row r="1307" spans="1:15" ht="12.75" customHeight="1" x14ac:dyDescent="0.2">
      <c r="A1307" s="396" t="s">
        <v>76</v>
      </c>
      <c r="B1307" s="271"/>
      <c r="C1307" s="271"/>
      <c r="D1307" s="271"/>
      <c r="E1307" s="271"/>
      <c r="F1307" s="271"/>
      <c r="G1307" s="273"/>
      <c r="H1307" s="88" t="s">
        <v>77</v>
      </c>
      <c r="I1307" s="399" t="s">
        <v>920</v>
      </c>
      <c r="J1307" s="273"/>
      <c r="K1307" s="399" t="s">
        <v>453</v>
      </c>
      <c r="L1307" s="273"/>
      <c r="M1307" s="399" t="s">
        <v>921</v>
      </c>
      <c r="N1307" s="273"/>
    </row>
    <row r="1308" spans="1:15" ht="12.75" customHeight="1" x14ac:dyDescent="0.2">
      <c r="A1308" s="403" t="s">
        <v>1042</v>
      </c>
      <c r="B1308" s="271"/>
      <c r="C1308" s="271"/>
      <c r="D1308" s="271"/>
      <c r="E1308" s="271"/>
      <c r="F1308" s="271"/>
      <c r="G1308" s="273"/>
      <c r="H1308" s="29" t="str">
        <f t="shared" ref="H1308:H1313" si="165">IF(A1308="","",VLOOKUP(A1308,AA_Materiales,7,FALSE))</f>
        <v>m2</v>
      </c>
      <c r="I1308" s="394">
        <f t="shared" ref="I1308:I1313" si="166">IF(A1308="","",VLOOKUP(A1308,AA_Materiales,8,FALSE))</f>
        <v>39900</v>
      </c>
      <c r="J1308" s="273"/>
      <c r="K1308" s="395">
        <v>1.05</v>
      </c>
      <c r="L1308" s="273"/>
      <c r="M1308" s="394">
        <f t="shared" ref="M1308:M1313" si="167">IF(A1308="","",I1308*K1308)</f>
        <v>41895</v>
      </c>
      <c r="N1308" s="273"/>
    </row>
    <row r="1309" spans="1:15" ht="12.75" customHeight="1" x14ac:dyDescent="0.2">
      <c r="A1309" s="400" t="s">
        <v>1039</v>
      </c>
      <c r="B1309" s="271"/>
      <c r="C1309" s="271"/>
      <c r="D1309" s="271"/>
      <c r="E1309" s="271"/>
      <c r="F1309" s="271"/>
      <c r="G1309" s="273"/>
      <c r="H1309" s="29" t="str">
        <f t="shared" si="165"/>
        <v>Kg</v>
      </c>
      <c r="I1309" s="394">
        <f t="shared" si="166"/>
        <v>1596</v>
      </c>
      <c r="J1309" s="273"/>
      <c r="K1309" s="395">
        <v>5</v>
      </c>
      <c r="L1309" s="273"/>
      <c r="M1309" s="394">
        <f t="shared" si="167"/>
        <v>7980</v>
      </c>
      <c r="N1309" s="273"/>
    </row>
    <row r="1310" spans="1:15" ht="12.75" customHeight="1" x14ac:dyDescent="0.2">
      <c r="A1310" s="400" t="s">
        <v>1040</v>
      </c>
      <c r="B1310" s="271"/>
      <c r="C1310" s="271"/>
      <c r="D1310" s="271"/>
      <c r="E1310" s="271"/>
      <c r="F1310" s="271"/>
      <c r="G1310" s="273"/>
      <c r="H1310" s="29" t="str">
        <f t="shared" si="165"/>
        <v>Kg</v>
      </c>
      <c r="I1310" s="394">
        <f t="shared" si="166"/>
        <v>6800</v>
      </c>
      <c r="J1310" s="273"/>
      <c r="K1310" s="395">
        <v>0.2</v>
      </c>
      <c r="L1310" s="273"/>
      <c r="M1310" s="394">
        <f t="shared" si="167"/>
        <v>1360</v>
      </c>
      <c r="N1310" s="273"/>
    </row>
    <row r="1311" spans="1:15" ht="12.75" customHeight="1" x14ac:dyDescent="0.2">
      <c r="A1311" s="400"/>
      <c r="B1311" s="271"/>
      <c r="C1311" s="271"/>
      <c r="D1311" s="271"/>
      <c r="E1311" s="271"/>
      <c r="F1311" s="271"/>
      <c r="G1311" s="273"/>
      <c r="H1311" s="29" t="str">
        <f t="shared" si="165"/>
        <v/>
      </c>
      <c r="I1311" s="394" t="str">
        <f t="shared" si="166"/>
        <v/>
      </c>
      <c r="J1311" s="273"/>
      <c r="K1311" s="395"/>
      <c r="L1311" s="273"/>
      <c r="M1311" s="394" t="str">
        <f t="shared" si="167"/>
        <v/>
      </c>
      <c r="N1311" s="273"/>
    </row>
    <row r="1312" spans="1:15" ht="12.75" customHeight="1" x14ac:dyDescent="0.2">
      <c r="A1312" s="400"/>
      <c r="B1312" s="271"/>
      <c r="C1312" s="271"/>
      <c r="D1312" s="271"/>
      <c r="E1312" s="271"/>
      <c r="F1312" s="271"/>
      <c r="G1312" s="273"/>
      <c r="H1312" s="29" t="str">
        <f t="shared" si="165"/>
        <v/>
      </c>
      <c r="I1312" s="394" t="str">
        <f t="shared" si="166"/>
        <v/>
      </c>
      <c r="J1312" s="273"/>
      <c r="K1312" s="395"/>
      <c r="L1312" s="273"/>
      <c r="M1312" s="394" t="str">
        <f t="shared" si="167"/>
        <v/>
      </c>
      <c r="N1312" s="273"/>
    </row>
    <row r="1313" spans="1:14" ht="12.75" customHeight="1" x14ac:dyDescent="0.2">
      <c r="A1313" s="400"/>
      <c r="B1313" s="271"/>
      <c r="C1313" s="271"/>
      <c r="D1313" s="271"/>
      <c r="E1313" s="271"/>
      <c r="F1313" s="271"/>
      <c r="G1313" s="273"/>
      <c r="H1313" s="29" t="str">
        <f t="shared" si="165"/>
        <v/>
      </c>
      <c r="I1313" s="394" t="str">
        <f t="shared" si="166"/>
        <v/>
      </c>
      <c r="J1313" s="273"/>
      <c r="K1313" s="395"/>
      <c r="L1313" s="273"/>
      <c r="M1313" s="394" t="str">
        <f t="shared" si="167"/>
        <v/>
      </c>
      <c r="N1313" s="273"/>
    </row>
    <row r="1314" spans="1:14" ht="12.75" customHeight="1" x14ac:dyDescent="0.25">
      <c r="A1314" s="4"/>
      <c r="B1314" s="4"/>
      <c r="C1314" s="4"/>
      <c r="D1314" s="4"/>
      <c r="E1314" s="4"/>
      <c r="F1314" s="4"/>
      <c r="G1314" s="4"/>
      <c r="H1314" s="4"/>
      <c r="I1314" s="4"/>
      <c r="J1314" s="4"/>
      <c r="K1314" s="396" t="s">
        <v>444</v>
      </c>
      <c r="L1314" s="273"/>
      <c r="M1314" s="394">
        <f>SUM(M1308:N1313)</f>
        <v>51235</v>
      </c>
      <c r="N1314" s="273"/>
    </row>
    <row r="1315" spans="1:14" ht="12.75" customHeight="1" x14ac:dyDescent="0.25">
      <c r="A1315" s="4"/>
      <c r="B1315" s="4"/>
      <c r="C1315" s="4"/>
      <c r="D1315" s="4"/>
      <c r="E1315" s="4"/>
      <c r="F1315" s="4"/>
      <c r="G1315" s="4"/>
      <c r="H1315" s="4"/>
      <c r="I1315" s="4"/>
      <c r="J1315" s="4"/>
      <c r="K1315" s="4"/>
      <c r="L1315" s="4"/>
      <c r="M1315" s="4"/>
      <c r="N1315" s="4"/>
    </row>
    <row r="1316" spans="1:14" ht="12.75" customHeight="1" x14ac:dyDescent="0.2">
      <c r="A1316" s="398" t="s">
        <v>926</v>
      </c>
      <c r="B1316" s="271"/>
      <c r="C1316" s="271"/>
      <c r="D1316" s="271"/>
      <c r="E1316" s="271"/>
      <c r="F1316" s="271"/>
      <c r="G1316" s="271"/>
      <c r="H1316" s="271"/>
      <c r="I1316" s="271"/>
      <c r="J1316" s="271"/>
      <c r="K1316" s="271"/>
      <c r="L1316" s="271"/>
      <c r="M1316" s="271"/>
      <c r="N1316" s="273"/>
    </row>
    <row r="1317" spans="1:14" ht="12.75" customHeight="1" x14ac:dyDescent="0.2">
      <c r="A1317" s="396" t="s">
        <v>76</v>
      </c>
      <c r="B1317" s="271"/>
      <c r="C1317" s="271"/>
      <c r="D1317" s="271"/>
      <c r="E1317" s="271"/>
      <c r="F1317" s="271"/>
      <c r="G1317" s="273"/>
      <c r="H1317" s="88" t="s">
        <v>77</v>
      </c>
      <c r="I1317" s="399" t="s">
        <v>920</v>
      </c>
      <c r="J1317" s="273"/>
      <c r="K1317" s="399" t="s">
        <v>453</v>
      </c>
      <c r="L1317" s="273"/>
      <c r="M1317" s="399" t="s">
        <v>921</v>
      </c>
      <c r="N1317" s="273"/>
    </row>
    <row r="1318" spans="1:14" ht="12.75" customHeight="1" x14ac:dyDescent="0.2">
      <c r="A1318" s="400" t="s">
        <v>927</v>
      </c>
      <c r="B1318" s="271"/>
      <c r="C1318" s="271"/>
      <c r="D1318" s="271"/>
      <c r="E1318" s="271"/>
      <c r="F1318" s="271"/>
      <c r="G1318" s="273"/>
      <c r="H1318" s="29" t="str">
        <f>IF(A1318="","",VLOOKUP(A1318,AA_Equipos,7,FALSE))</f>
        <v>% M.O.</v>
      </c>
      <c r="I1318" s="394">
        <f>+M1341</f>
        <v>20653.790588235293</v>
      </c>
      <c r="J1318" s="273"/>
      <c r="K1318" s="404">
        <v>0.05</v>
      </c>
      <c r="L1318" s="273"/>
      <c r="M1318" s="394">
        <f t="shared" ref="M1318:M1322" si="168">IF(A1318="","",I1318*K1318)</f>
        <v>1032.6895294117646</v>
      </c>
      <c r="N1318" s="273"/>
    </row>
    <row r="1319" spans="1:14" ht="12.75" customHeight="1" x14ac:dyDescent="0.2">
      <c r="A1319" s="403"/>
      <c r="B1319" s="271"/>
      <c r="C1319" s="271"/>
      <c r="D1319" s="271"/>
      <c r="E1319" s="271"/>
      <c r="F1319" s="271"/>
      <c r="G1319" s="273"/>
      <c r="H1319" s="29" t="str">
        <f>IF(A1319="","",VLOOKUP(A1319,AA_Equipos,7,FALSE))</f>
        <v/>
      </c>
      <c r="I1319" s="394" t="str">
        <f>IF(A1319="","",VLOOKUP(A1319,AA_Equipos,8,FALSE))</f>
        <v/>
      </c>
      <c r="J1319" s="273"/>
      <c r="K1319" s="402"/>
      <c r="L1319" s="273"/>
      <c r="M1319" s="394" t="str">
        <f t="shared" si="168"/>
        <v/>
      </c>
      <c r="N1319" s="273"/>
    </row>
    <row r="1320" spans="1:14" ht="12.75" customHeight="1" x14ac:dyDescent="0.2">
      <c r="A1320" s="400"/>
      <c r="B1320" s="271"/>
      <c r="C1320" s="271"/>
      <c r="D1320" s="271"/>
      <c r="E1320" s="271"/>
      <c r="F1320" s="271"/>
      <c r="G1320" s="273"/>
      <c r="H1320" s="29" t="str">
        <f>IF(A1320="","",VLOOKUP(A1320,AA_Equipos,7,FALSE))</f>
        <v/>
      </c>
      <c r="I1320" s="394" t="str">
        <f>IF(A1320="","",VLOOKUP(A1320,AA_Equipos,8,FALSE))</f>
        <v/>
      </c>
      <c r="J1320" s="273"/>
      <c r="K1320" s="401"/>
      <c r="L1320" s="273"/>
      <c r="M1320" s="394" t="str">
        <f t="shared" si="168"/>
        <v/>
      </c>
      <c r="N1320" s="273"/>
    </row>
    <row r="1321" spans="1:14" ht="12.75" customHeight="1" x14ac:dyDescent="0.2">
      <c r="A1321" s="400"/>
      <c r="B1321" s="271"/>
      <c r="C1321" s="271"/>
      <c r="D1321" s="271"/>
      <c r="E1321" s="271"/>
      <c r="F1321" s="271"/>
      <c r="G1321" s="273"/>
      <c r="H1321" s="29" t="str">
        <f>IF(A1321="","",VLOOKUP(A1321,AA_Equipos,7,FALSE))</f>
        <v/>
      </c>
      <c r="I1321" s="394" t="str">
        <f>IF(A1321="","",VLOOKUP(A1321,AA_Equipos,8,FALSE))</f>
        <v/>
      </c>
      <c r="J1321" s="273"/>
      <c r="K1321" s="395"/>
      <c r="L1321" s="273"/>
      <c r="M1321" s="394" t="str">
        <f t="shared" si="168"/>
        <v/>
      </c>
      <c r="N1321" s="273"/>
    </row>
    <row r="1322" spans="1:14" ht="12.75" customHeight="1" x14ac:dyDescent="0.2">
      <c r="A1322" s="400"/>
      <c r="B1322" s="271"/>
      <c r="C1322" s="271"/>
      <c r="D1322" s="271"/>
      <c r="E1322" s="271"/>
      <c r="F1322" s="271"/>
      <c r="G1322" s="273"/>
      <c r="H1322" s="29" t="str">
        <f>IF(A1322="","",VLOOKUP(A1322,AA_Equipos,7,FALSE))</f>
        <v/>
      </c>
      <c r="I1322" s="394" t="str">
        <f>IF(A1322="","",VLOOKUP(A1322,AA_Equipos,8,FALSE))</f>
        <v/>
      </c>
      <c r="J1322" s="273"/>
      <c r="K1322" s="395"/>
      <c r="L1322" s="273"/>
      <c r="M1322" s="394" t="str">
        <f t="shared" si="168"/>
        <v/>
      </c>
      <c r="N1322" s="273"/>
    </row>
    <row r="1323" spans="1:14" ht="12.75" customHeight="1" x14ac:dyDescent="0.25">
      <c r="A1323" s="4"/>
      <c r="B1323" s="4"/>
      <c r="C1323" s="4"/>
      <c r="D1323" s="4"/>
      <c r="E1323" s="4"/>
      <c r="F1323" s="4"/>
      <c r="G1323" s="4"/>
      <c r="H1323" s="4"/>
      <c r="I1323" s="4"/>
      <c r="J1323" s="4"/>
      <c r="K1323" s="396" t="s">
        <v>444</v>
      </c>
      <c r="L1323" s="273"/>
      <c r="M1323" s="394">
        <f>SUM(M1318:N1322)</f>
        <v>1032.6895294117646</v>
      </c>
      <c r="N1323" s="273"/>
    </row>
    <row r="1324" spans="1:14" ht="12.75" customHeight="1" x14ac:dyDescent="0.25">
      <c r="A1324" s="4"/>
      <c r="B1324" s="4"/>
      <c r="C1324" s="4"/>
      <c r="D1324" s="4"/>
      <c r="E1324" s="4"/>
      <c r="F1324" s="4"/>
      <c r="G1324" s="4"/>
      <c r="H1324" s="4"/>
      <c r="I1324" s="4"/>
      <c r="J1324" s="4"/>
      <c r="K1324" s="4"/>
      <c r="L1324" s="4"/>
      <c r="M1324" s="4"/>
      <c r="N1324" s="4"/>
    </row>
    <row r="1325" spans="1:14" ht="12.75" customHeight="1" x14ac:dyDescent="0.2">
      <c r="A1325" s="398" t="s">
        <v>929</v>
      </c>
      <c r="B1325" s="271"/>
      <c r="C1325" s="271"/>
      <c r="D1325" s="271"/>
      <c r="E1325" s="271"/>
      <c r="F1325" s="271"/>
      <c r="G1325" s="271"/>
      <c r="H1325" s="271"/>
      <c r="I1325" s="271"/>
      <c r="J1325" s="271"/>
      <c r="K1325" s="271"/>
      <c r="L1325" s="271"/>
      <c r="M1325" s="271"/>
      <c r="N1325" s="273"/>
    </row>
    <row r="1326" spans="1:14" ht="12.75" customHeight="1" x14ac:dyDescent="0.2">
      <c r="A1326" s="396" t="s">
        <v>76</v>
      </c>
      <c r="B1326" s="271"/>
      <c r="C1326" s="271"/>
      <c r="D1326" s="271"/>
      <c r="E1326" s="271"/>
      <c r="F1326" s="271"/>
      <c r="G1326" s="273"/>
      <c r="H1326" s="88" t="s">
        <v>77</v>
      </c>
      <c r="I1326" s="399" t="s">
        <v>920</v>
      </c>
      <c r="J1326" s="273"/>
      <c r="K1326" s="399" t="s">
        <v>453</v>
      </c>
      <c r="L1326" s="273"/>
      <c r="M1326" s="399" t="s">
        <v>921</v>
      </c>
      <c r="N1326" s="273"/>
    </row>
    <row r="1327" spans="1:14" ht="12.75" customHeight="1" x14ac:dyDescent="0.2">
      <c r="A1327" s="400" t="s">
        <v>960</v>
      </c>
      <c r="B1327" s="271"/>
      <c r="C1327" s="271"/>
      <c r="D1327" s="271"/>
      <c r="E1327" s="271"/>
      <c r="F1327" s="271"/>
      <c r="G1327" s="273"/>
      <c r="H1327" s="29" t="s">
        <v>950</v>
      </c>
      <c r="I1327" s="394">
        <f>+M1314</f>
        <v>51235</v>
      </c>
      <c r="J1327" s="273"/>
      <c r="K1327" s="404">
        <v>0.05</v>
      </c>
      <c r="L1327" s="273"/>
      <c r="M1327" s="394">
        <f t="shared" ref="M1327:M1331" si="169">IF(A1327="","",I1327*K1327)</f>
        <v>2561.75</v>
      </c>
      <c r="N1327" s="273"/>
    </row>
    <row r="1328" spans="1:14" ht="12.75" customHeight="1" x14ac:dyDescent="0.2">
      <c r="A1328" s="403" t="s">
        <v>3174</v>
      </c>
      <c r="B1328" s="271"/>
      <c r="C1328" s="271"/>
      <c r="D1328" s="271"/>
      <c r="E1328" s="271"/>
      <c r="F1328" s="271"/>
      <c r="G1328" s="273"/>
      <c r="H1328" s="29" t="s">
        <v>24</v>
      </c>
      <c r="I1328" s="394">
        <f>+M1323</f>
        <v>1032.6895294117646</v>
      </c>
      <c r="J1328" s="273"/>
      <c r="K1328" s="404">
        <v>0.05</v>
      </c>
      <c r="L1328" s="273"/>
      <c r="M1328" s="394">
        <f t="shared" si="169"/>
        <v>51.634476470588233</v>
      </c>
      <c r="N1328" s="273"/>
    </row>
    <row r="1329" spans="1:15" ht="12.75" customHeight="1" x14ac:dyDescent="0.2">
      <c r="A1329" s="400"/>
      <c r="B1329" s="271"/>
      <c r="C1329" s="271"/>
      <c r="D1329" s="271"/>
      <c r="E1329" s="271"/>
      <c r="F1329" s="271"/>
      <c r="G1329" s="273"/>
      <c r="H1329" s="29"/>
      <c r="I1329" s="394"/>
      <c r="J1329" s="273"/>
      <c r="K1329" s="395"/>
      <c r="L1329" s="273"/>
      <c r="M1329" s="394" t="str">
        <f t="shared" si="169"/>
        <v/>
      </c>
      <c r="N1329" s="273"/>
    </row>
    <row r="1330" spans="1:15" ht="12.75" customHeight="1" x14ac:dyDescent="0.2">
      <c r="A1330" s="400"/>
      <c r="B1330" s="271"/>
      <c r="C1330" s="271"/>
      <c r="D1330" s="271"/>
      <c r="E1330" s="271"/>
      <c r="F1330" s="271"/>
      <c r="G1330" s="273"/>
      <c r="H1330" s="29"/>
      <c r="I1330" s="394"/>
      <c r="J1330" s="273"/>
      <c r="K1330" s="395"/>
      <c r="L1330" s="273"/>
      <c r="M1330" s="394" t="str">
        <f t="shared" si="169"/>
        <v/>
      </c>
      <c r="N1330" s="273"/>
    </row>
    <row r="1331" spans="1:15" ht="12.75" customHeight="1" x14ac:dyDescent="0.2">
      <c r="A1331" s="400"/>
      <c r="B1331" s="271"/>
      <c r="C1331" s="271"/>
      <c r="D1331" s="271"/>
      <c r="E1331" s="271"/>
      <c r="F1331" s="271"/>
      <c r="G1331" s="273"/>
      <c r="H1331" s="29"/>
      <c r="I1331" s="394"/>
      <c r="J1331" s="273"/>
      <c r="K1331" s="395"/>
      <c r="L1331" s="273"/>
      <c r="M1331" s="394" t="str">
        <f t="shared" si="169"/>
        <v/>
      </c>
      <c r="N1331" s="273"/>
    </row>
    <row r="1332" spans="1:15" ht="12.75" customHeight="1" x14ac:dyDescent="0.25">
      <c r="A1332" s="4"/>
      <c r="B1332" s="4"/>
      <c r="C1332" s="4"/>
      <c r="D1332" s="4"/>
      <c r="E1332" s="4"/>
      <c r="F1332" s="4"/>
      <c r="G1332" s="4"/>
      <c r="H1332" s="4"/>
      <c r="I1332" s="4"/>
      <c r="J1332" s="4"/>
      <c r="K1332" s="396" t="s">
        <v>444</v>
      </c>
      <c r="L1332" s="273"/>
      <c r="M1332" s="394">
        <f>SUM(M1327:N1331)</f>
        <v>2613.3844764705882</v>
      </c>
      <c r="N1332" s="273"/>
    </row>
    <row r="1333" spans="1:15" ht="12.75" customHeight="1" x14ac:dyDescent="0.25">
      <c r="A1333" s="4"/>
      <c r="B1333" s="4"/>
      <c r="C1333" s="4"/>
      <c r="D1333" s="4"/>
      <c r="E1333" s="4"/>
      <c r="F1333" s="4"/>
      <c r="G1333" s="4"/>
      <c r="H1333" s="4"/>
      <c r="I1333" s="4"/>
      <c r="J1333" s="4"/>
      <c r="K1333" s="4"/>
      <c r="L1333" s="4"/>
      <c r="M1333" s="4"/>
      <c r="N1333" s="4"/>
    </row>
    <row r="1334" spans="1:15" ht="12.75" customHeight="1" x14ac:dyDescent="0.2">
      <c r="A1334" s="398" t="s">
        <v>931</v>
      </c>
      <c r="B1334" s="271"/>
      <c r="C1334" s="271"/>
      <c r="D1334" s="271"/>
      <c r="E1334" s="271"/>
      <c r="F1334" s="271"/>
      <c r="G1334" s="271"/>
      <c r="H1334" s="271"/>
      <c r="I1334" s="271"/>
      <c r="J1334" s="271"/>
      <c r="K1334" s="271"/>
      <c r="L1334" s="271"/>
      <c r="M1334" s="271"/>
      <c r="N1334" s="273"/>
    </row>
    <row r="1335" spans="1:15" ht="12.75" customHeight="1" x14ac:dyDescent="0.2">
      <c r="A1335" s="396" t="s">
        <v>76</v>
      </c>
      <c r="B1335" s="271"/>
      <c r="C1335" s="271"/>
      <c r="D1335" s="271"/>
      <c r="E1335" s="271"/>
      <c r="F1335" s="271"/>
      <c r="G1335" s="273"/>
      <c r="H1335" s="88" t="s">
        <v>77</v>
      </c>
      <c r="I1335" s="399" t="s">
        <v>920</v>
      </c>
      <c r="J1335" s="273"/>
      <c r="K1335" s="90" t="s">
        <v>514</v>
      </c>
      <c r="L1335" s="91" t="s">
        <v>932</v>
      </c>
      <c r="M1335" s="399" t="s">
        <v>921</v>
      </c>
      <c r="N1335" s="273"/>
    </row>
    <row r="1336" spans="1:15" ht="12.75" customHeight="1" x14ac:dyDescent="0.25">
      <c r="A1336" s="393" t="s">
        <v>1041</v>
      </c>
      <c r="B1336" s="271"/>
      <c r="C1336" s="271"/>
      <c r="D1336" s="271"/>
      <c r="E1336" s="271"/>
      <c r="F1336" s="271"/>
      <c r="G1336" s="273"/>
      <c r="H1336" s="29" t="str">
        <f>IF(A1336="","",VLOOKUP(A1336,AA_Cuadrillas,4,FALSE))</f>
        <v>Cuadrilla</v>
      </c>
      <c r="I1336" s="394">
        <f>IF(A1336="","",VLOOKUP(A1336,AA_Cuadrillas,5,FALSE))</f>
        <v>186763</v>
      </c>
      <c r="J1336" s="273"/>
      <c r="K1336" s="9">
        <f>IF(A1336="","",F.P!$I$2)</f>
        <v>1.88</v>
      </c>
      <c r="L1336" s="93">
        <f>1/17</f>
        <v>5.8823529411764705E-2</v>
      </c>
      <c r="M1336" s="394">
        <f t="shared" ref="M1336:M1340" si="170">IF(A1336="","",I1336*K1336*L1336)</f>
        <v>20653.790588235293</v>
      </c>
      <c r="N1336" s="273"/>
    </row>
    <row r="1337" spans="1:15" ht="12.75" customHeight="1" x14ac:dyDescent="0.25">
      <c r="A1337" s="393"/>
      <c r="B1337" s="271"/>
      <c r="C1337" s="271"/>
      <c r="D1337" s="271"/>
      <c r="E1337" s="271"/>
      <c r="F1337" s="271"/>
      <c r="G1337" s="273"/>
      <c r="H1337" s="29" t="str">
        <f>IF(A1337="","",VLOOKUP(A1337,AA_Cuadrillas,4,FALSE))</f>
        <v/>
      </c>
      <c r="I1337" s="394" t="str">
        <f>IF(A1337="","",VLOOKUP(A1337,AA_Cuadrillas,5,FALSE))</f>
        <v/>
      </c>
      <c r="J1337" s="273"/>
      <c r="K1337" s="9" t="str">
        <f>IF(A1337="","",F.P!$I$2)</f>
        <v/>
      </c>
      <c r="L1337" s="9"/>
      <c r="M1337" s="394" t="str">
        <f t="shared" si="170"/>
        <v/>
      </c>
      <c r="N1337" s="273"/>
    </row>
    <row r="1338" spans="1:15" ht="12.75" customHeight="1" x14ac:dyDescent="0.25">
      <c r="A1338" s="393"/>
      <c r="B1338" s="271"/>
      <c r="C1338" s="271"/>
      <c r="D1338" s="271"/>
      <c r="E1338" s="271"/>
      <c r="F1338" s="271"/>
      <c r="G1338" s="273"/>
      <c r="H1338" s="29" t="str">
        <f>IF(A1338="","",VLOOKUP(A1338,AA_Cuadrillas,4,FALSE))</f>
        <v/>
      </c>
      <c r="I1338" s="394" t="str">
        <f>IF(A1338="","",VLOOKUP(A1338,AA_Cuadrillas,5,FALSE))</f>
        <v/>
      </c>
      <c r="J1338" s="273"/>
      <c r="K1338" s="9" t="str">
        <f>IF(A1338="","",F.P!$I$2)</f>
        <v/>
      </c>
      <c r="L1338" s="37"/>
      <c r="M1338" s="394" t="str">
        <f t="shared" si="170"/>
        <v/>
      </c>
      <c r="N1338" s="273"/>
    </row>
    <row r="1339" spans="1:15" ht="12.75" customHeight="1" x14ac:dyDescent="0.25">
      <c r="A1339" s="393"/>
      <c r="B1339" s="271"/>
      <c r="C1339" s="271"/>
      <c r="D1339" s="271"/>
      <c r="E1339" s="271"/>
      <c r="F1339" s="271"/>
      <c r="G1339" s="273"/>
      <c r="H1339" s="29" t="str">
        <f>IF(A1339="","",VLOOKUP(A1339,AA_Cuadrillas,4,FALSE))</f>
        <v/>
      </c>
      <c r="I1339" s="394" t="str">
        <f>IF(A1339="","",VLOOKUP(A1339,AA_Cuadrillas,5,FALSE))</f>
        <v/>
      </c>
      <c r="J1339" s="273"/>
      <c r="K1339" s="9" t="str">
        <f>IF(A1339="","",F.P!$I$2)</f>
        <v/>
      </c>
      <c r="L1339" s="37"/>
      <c r="M1339" s="394" t="str">
        <f t="shared" si="170"/>
        <v/>
      </c>
      <c r="N1339" s="273"/>
    </row>
    <row r="1340" spans="1:15" ht="12.75" customHeight="1" x14ac:dyDescent="0.25">
      <c r="A1340" s="393"/>
      <c r="B1340" s="271"/>
      <c r="C1340" s="271"/>
      <c r="D1340" s="271"/>
      <c r="E1340" s="271"/>
      <c r="F1340" s="271"/>
      <c r="G1340" s="273"/>
      <c r="H1340" s="29" t="str">
        <f>IF(A1340="","",VLOOKUP(A1340,AA_Cuadrillas,4,FALSE))</f>
        <v/>
      </c>
      <c r="I1340" s="394" t="str">
        <f>IF(A1340="","",VLOOKUP(A1340,AA_Cuadrillas,5,FALSE))</f>
        <v/>
      </c>
      <c r="J1340" s="273"/>
      <c r="K1340" s="9" t="str">
        <f>IF(A1340="","",F.P!$I$2)</f>
        <v/>
      </c>
      <c r="L1340" s="37"/>
      <c r="M1340" s="394" t="str">
        <f t="shared" si="170"/>
        <v/>
      </c>
      <c r="N1340" s="273"/>
    </row>
    <row r="1341" spans="1:15" ht="12.75" customHeight="1" x14ac:dyDescent="0.25">
      <c r="A1341" s="4"/>
      <c r="B1341" s="4"/>
      <c r="C1341" s="4"/>
      <c r="D1341" s="4"/>
      <c r="E1341" s="4"/>
      <c r="F1341" s="4"/>
      <c r="G1341" s="4"/>
      <c r="H1341" s="4"/>
      <c r="I1341" s="4"/>
      <c r="J1341" s="4"/>
      <c r="K1341" s="396" t="s">
        <v>444</v>
      </c>
      <c r="L1341" s="273"/>
      <c r="M1341" s="394">
        <f>SUM(M1336:N1340)</f>
        <v>20653.790588235293</v>
      </c>
      <c r="N1341" s="273"/>
    </row>
    <row r="1342" spans="1:15" ht="12.75" customHeight="1" x14ac:dyDescent="0.2"/>
    <row r="1343" spans="1:15" ht="12.75" customHeight="1" x14ac:dyDescent="0.2">
      <c r="A1343" s="407" t="s">
        <v>123</v>
      </c>
      <c r="B1343" s="275"/>
      <c r="C1343" s="275"/>
      <c r="D1343" s="275"/>
      <c r="E1343" s="275"/>
      <c r="F1343" s="275"/>
      <c r="G1343" s="275"/>
      <c r="H1343" s="275"/>
      <c r="I1343" s="275"/>
      <c r="J1343" s="275"/>
      <c r="K1343" s="275"/>
      <c r="L1343" s="275"/>
      <c r="M1343" s="275"/>
      <c r="N1343" s="276"/>
      <c r="O1343" s="166"/>
    </row>
    <row r="1344" spans="1:15" ht="12.75" customHeight="1" x14ac:dyDescent="0.2">
      <c r="A1344" s="277"/>
      <c r="B1344" s="278"/>
      <c r="C1344" s="278"/>
      <c r="D1344" s="278"/>
      <c r="E1344" s="278"/>
      <c r="F1344" s="278"/>
      <c r="G1344" s="278"/>
      <c r="H1344" s="278"/>
      <c r="I1344" s="278"/>
      <c r="J1344" s="278"/>
      <c r="K1344" s="278"/>
      <c r="L1344" s="278"/>
      <c r="M1344" s="278"/>
      <c r="N1344" s="279"/>
      <c r="O1344" s="166"/>
    </row>
    <row r="1345" spans="1:14" ht="12.75" customHeight="1" x14ac:dyDescent="0.2">
      <c r="A1345" s="75"/>
      <c r="B1345" s="75"/>
      <c r="C1345" s="75"/>
      <c r="D1345" s="75"/>
      <c r="E1345" s="75"/>
      <c r="F1345" s="75"/>
      <c r="G1345" s="75"/>
      <c r="H1345" s="75"/>
      <c r="I1345" s="75"/>
      <c r="J1345" s="75"/>
      <c r="K1345" s="75"/>
      <c r="L1345" s="75"/>
      <c r="M1345" s="75"/>
      <c r="N1345" s="75"/>
    </row>
    <row r="1346" spans="1:14" ht="12.75" customHeight="1" x14ac:dyDescent="0.3">
      <c r="A1346" s="79" t="s">
        <v>644</v>
      </c>
      <c r="B1346" s="80" t="str">
        <f>A1343</f>
        <v>SUMINISTRO Y APLICACIÓN DE PINTURA TIPO 1 PARA MUROS INTERIORES Y EXTERIORES (INCLUYE MATERIALES Y MANO DE OBRA)</v>
      </c>
      <c r="C1346" s="81" t="s">
        <v>916</v>
      </c>
      <c r="D1346" s="82" t="s">
        <v>934</v>
      </c>
      <c r="E1346" s="83" t="s">
        <v>445</v>
      </c>
      <c r="F1346" s="234">
        <f>(H1346+J1346+L1346+N1346)*1.3</f>
        <v>22142.3649759</v>
      </c>
      <c r="G1346" s="83" t="s">
        <v>607</v>
      </c>
      <c r="H1346" s="86">
        <f>M1365</f>
        <v>526.67165999999997</v>
      </c>
      <c r="I1346" s="83" t="s">
        <v>918</v>
      </c>
      <c r="J1346" s="86">
        <f>M1356</f>
        <v>5663.0000000000009</v>
      </c>
      <c r="K1346" s="83" t="s">
        <v>609</v>
      </c>
      <c r="L1346" s="86">
        <f>M1374</f>
        <v>309.48358300000001</v>
      </c>
      <c r="M1346" s="83" t="s">
        <v>610</v>
      </c>
      <c r="N1346" s="86">
        <f>M1383</f>
        <v>10533.433199999999</v>
      </c>
    </row>
    <row r="1347" spans="1:14" ht="12.75" customHeight="1" x14ac:dyDescent="0.25">
      <c r="A1347" s="87"/>
      <c r="B1347" s="87"/>
      <c r="C1347" s="87"/>
      <c r="D1347" s="87"/>
      <c r="E1347" s="87"/>
      <c r="F1347" s="87"/>
      <c r="G1347" s="87"/>
      <c r="J1347" s="87"/>
      <c r="K1347" s="215" t="s">
        <v>3217</v>
      </c>
      <c r="L1347" s="215">
        <f>+F1346*presup!$O$5</f>
        <v>28785.074468670002</v>
      </c>
      <c r="M1347" s="87"/>
      <c r="N1347" s="87"/>
    </row>
    <row r="1348" spans="1:14" ht="12.75" customHeight="1" x14ac:dyDescent="0.2">
      <c r="A1348" s="398" t="s">
        <v>919</v>
      </c>
      <c r="B1348" s="271"/>
      <c r="C1348" s="271"/>
      <c r="D1348" s="271"/>
      <c r="E1348" s="271"/>
      <c r="F1348" s="271"/>
      <c r="G1348" s="271"/>
      <c r="H1348" s="271"/>
      <c r="I1348" s="271"/>
      <c r="J1348" s="271"/>
      <c r="K1348" s="271"/>
      <c r="L1348" s="271"/>
      <c r="M1348" s="271"/>
      <c r="N1348" s="273"/>
    </row>
    <row r="1349" spans="1:14" ht="12.75" customHeight="1" x14ac:dyDescent="0.2">
      <c r="A1349" s="396" t="s">
        <v>76</v>
      </c>
      <c r="B1349" s="271"/>
      <c r="C1349" s="271"/>
      <c r="D1349" s="271"/>
      <c r="E1349" s="271"/>
      <c r="F1349" s="271"/>
      <c r="G1349" s="273"/>
      <c r="H1349" s="88" t="s">
        <v>77</v>
      </c>
      <c r="I1349" s="399" t="s">
        <v>920</v>
      </c>
      <c r="J1349" s="273"/>
      <c r="K1349" s="399" t="s">
        <v>453</v>
      </c>
      <c r="L1349" s="273"/>
      <c r="M1349" s="399" t="s">
        <v>921</v>
      </c>
      <c r="N1349" s="273"/>
    </row>
    <row r="1350" spans="1:14" ht="12.75" customHeight="1" x14ac:dyDescent="0.2">
      <c r="A1350" s="403" t="s">
        <v>1043</v>
      </c>
      <c r="B1350" s="271"/>
      <c r="C1350" s="271"/>
      <c r="D1350" s="271"/>
      <c r="E1350" s="271"/>
      <c r="F1350" s="271"/>
      <c r="G1350" s="273"/>
      <c r="H1350" s="29" t="str">
        <f t="shared" ref="H1350:H1355" si="171">IF(A1350="","",VLOOKUP(A1350,AA_Materiales,7,FALSE))</f>
        <v>Galón</v>
      </c>
      <c r="I1350" s="394">
        <f t="shared" ref="I1350:I1355" si="172">IF(A1350="","",VLOOKUP(A1350,AA_Materiales,8,FALSE))</f>
        <v>80900</v>
      </c>
      <c r="J1350" s="273"/>
      <c r="K1350" s="395">
        <v>7.0000000000000007E-2</v>
      </c>
      <c r="L1350" s="273"/>
      <c r="M1350" s="394">
        <f t="shared" ref="M1350:M1355" si="173">IF(A1350="","",I1350*K1350)</f>
        <v>5663.0000000000009</v>
      </c>
      <c r="N1350" s="273"/>
    </row>
    <row r="1351" spans="1:14" ht="12.75" customHeight="1" x14ac:dyDescent="0.2">
      <c r="A1351" s="400"/>
      <c r="B1351" s="271"/>
      <c r="C1351" s="271"/>
      <c r="D1351" s="271"/>
      <c r="E1351" s="271"/>
      <c r="F1351" s="271"/>
      <c r="G1351" s="273"/>
      <c r="H1351" s="29" t="str">
        <f t="shared" si="171"/>
        <v/>
      </c>
      <c r="I1351" s="394" t="str">
        <f t="shared" si="172"/>
        <v/>
      </c>
      <c r="J1351" s="273"/>
      <c r="K1351" s="395"/>
      <c r="L1351" s="273"/>
      <c r="M1351" s="394" t="str">
        <f t="shared" si="173"/>
        <v/>
      </c>
      <c r="N1351" s="273"/>
    </row>
    <row r="1352" spans="1:14" ht="12.75" customHeight="1" x14ac:dyDescent="0.2">
      <c r="A1352" s="400"/>
      <c r="B1352" s="271"/>
      <c r="C1352" s="271"/>
      <c r="D1352" s="271"/>
      <c r="E1352" s="271"/>
      <c r="F1352" s="271"/>
      <c r="G1352" s="273"/>
      <c r="H1352" s="29" t="str">
        <f t="shared" si="171"/>
        <v/>
      </c>
      <c r="I1352" s="394" t="str">
        <f t="shared" si="172"/>
        <v/>
      </c>
      <c r="J1352" s="273"/>
      <c r="K1352" s="395"/>
      <c r="L1352" s="273"/>
      <c r="M1352" s="394" t="str">
        <f t="shared" si="173"/>
        <v/>
      </c>
      <c r="N1352" s="273"/>
    </row>
    <row r="1353" spans="1:14" ht="12.75" customHeight="1" x14ac:dyDescent="0.2">
      <c r="A1353" s="400"/>
      <c r="B1353" s="271"/>
      <c r="C1353" s="271"/>
      <c r="D1353" s="271"/>
      <c r="E1353" s="271"/>
      <c r="F1353" s="271"/>
      <c r="G1353" s="273"/>
      <c r="H1353" s="29" t="str">
        <f t="shared" si="171"/>
        <v/>
      </c>
      <c r="I1353" s="394" t="str">
        <f t="shared" si="172"/>
        <v/>
      </c>
      <c r="J1353" s="273"/>
      <c r="K1353" s="395"/>
      <c r="L1353" s="273"/>
      <c r="M1353" s="394" t="str">
        <f t="shared" si="173"/>
        <v/>
      </c>
      <c r="N1353" s="273"/>
    </row>
    <row r="1354" spans="1:14" ht="12.75" customHeight="1" x14ac:dyDescent="0.2">
      <c r="A1354" s="400"/>
      <c r="B1354" s="271"/>
      <c r="C1354" s="271"/>
      <c r="D1354" s="271"/>
      <c r="E1354" s="271"/>
      <c r="F1354" s="271"/>
      <c r="G1354" s="273"/>
      <c r="H1354" s="29" t="str">
        <f t="shared" si="171"/>
        <v/>
      </c>
      <c r="I1354" s="394" t="str">
        <f t="shared" si="172"/>
        <v/>
      </c>
      <c r="J1354" s="273"/>
      <c r="K1354" s="395"/>
      <c r="L1354" s="273"/>
      <c r="M1354" s="394" t="str">
        <f t="shared" si="173"/>
        <v/>
      </c>
      <c r="N1354" s="273"/>
    </row>
    <row r="1355" spans="1:14" ht="12.75" customHeight="1" x14ac:dyDescent="0.2">
      <c r="A1355" s="400"/>
      <c r="B1355" s="271"/>
      <c r="C1355" s="271"/>
      <c r="D1355" s="271"/>
      <c r="E1355" s="271"/>
      <c r="F1355" s="271"/>
      <c r="G1355" s="273"/>
      <c r="H1355" s="29" t="str">
        <f t="shared" si="171"/>
        <v/>
      </c>
      <c r="I1355" s="394" t="str">
        <f t="shared" si="172"/>
        <v/>
      </c>
      <c r="J1355" s="273"/>
      <c r="K1355" s="395"/>
      <c r="L1355" s="273"/>
      <c r="M1355" s="394" t="str">
        <f t="shared" si="173"/>
        <v/>
      </c>
      <c r="N1355" s="273"/>
    </row>
    <row r="1356" spans="1:14" ht="12.75" customHeight="1" x14ac:dyDescent="0.25">
      <c r="A1356" s="4"/>
      <c r="B1356" s="4"/>
      <c r="C1356" s="4"/>
      <c r="D1356" s="4"/>
      <c r="E1356" s="4"/>
      <c r="F1356" s="4"/>
      <c r="G1356" s="4"/>
      <c r="H1356" s="4"/>
      <c r="I1356" s="4"/>
      <c r="J1356" s="4"/>
      <c r="K1356" s="396" t="s">
        <v>444</v>
      </c>
      <c r="L1356" s="273"/>
      <c r="M1356" s="394">
        <f>SUM(M1350:N1355)</f>
        <v>5663.0000000000009</v>
      </c>
      <c r="N1356" s="273"/>
    </row>
    <row r="1357" spans="1:14" ht="12.75" customHeight="1" x14ac:dyDescent="0.25">
      <c r="A1357" s="4"/>
      <c r="B1357" s="4"/>
      <c r="C1357" s="4"/>
      <c r="D1357" s="4"/>
      <c r="E1357" s="4"/>
      <c r="F1357" s="4"/>
      <c r="G1357" s="4"/>
      <c r="H1357" s="4"/>
      <c r="I1357" s="4"/>
      <c r="J1357" s="4"/>
      <c r="K1357" s="4"/>
      <c r="L1357" s="4"/>
      <c r="M1357" s="4"/>
      <c r="N1357" s="4"/>
    </row>
    <row r="1358" spans="1:14" ht="12.75" customHeight="1" x14ac:dyDescent="0.2">
      <c r="A1358" s="398" t="s">
        <v>926</v>
      </c>
      <c r="B1358" s="271"/>
      <c r="C1358" s="271"/>
      <c r="D1358" s="271"/>
      <c r="E1358" s="271"/>
      <c r="F1358" s="271"/>
      <c r="G1358" s="271"/>
      <c r="H1358" s="271"/>
      <c r="I1358" s="271"/>
      <c r="J1358" s="271"/>
      <c r="K1358" s="271"/>
      <c r="L1358" s="271"/>
      <c r="M1358" s="271"/>
      <c r="N1358" s="273"/>
    </row>
    <row r="1359" spans="1:14" ht="12.75" customHeight="1" x14ac:dyDescent="0.2">
      <c r="A1359" s="396" t="s">
        <v>76</v>
      </c>
      <c r="B1359" s="271"/>
      <c r="C1359" s="271"/>
      <c r="D1359" s="271"/>
      <c r="E1359" s="271"/>
      <c r="F1359" s="271"/>
      <c r="G1359" s="273"/>
      <c r="H1359" s="88" t="s">
        <v>77</v>
      </c>
      <c r="I1359" s="399" t="s">
        <v>920</v>
      </c>
      <c r="J1359" s="273"/>
      <c r="K1359" s="399" t="s">
        <v>453</v>
      </c>
      <c r="L1359" s="273"/>
      <c r="M1359" s="399" t="s">
        <v>921</v>
      </c>
      <c r="N1359" s="273"/>
    </row>
    <row r="1360" spans="1:14" ht="12.75" customHeight="1" x14ac:dyDescent="0.2">
      <c r="A1360" s="400" t="s">
        <v>927</v>
      </c>
      <c r="B1360" s="271"/>
      <c r="C1360" s="271"/>
      <c r="D1360" s="271"/>
      <c r="E1360" s="271"/>
      <c r="F1360" s="271"/>
      <c r="G1360" s="273"/>
      <c r="H1360" s="29" t="str">
        <f>IF(A1360="","",VLOOKUP(A1360,AA_Equipos,7,FALSE))</f>
        <v>% M.O.</v>
      </c>
      <c r="I1360" s="394">
        <f>+M1383</f>
        <v>10533.433199999999</v>
      </c>
      <c r="J1360" s="273"/>
      <c r="K1360" s="404">
        <v>0.05</v>
      </c>
      <c r="L1360" s="273"/>
      <c r="M1360" s="394">
        <f t="shared" ref="M1360:M1364" si="174">IF(A1360="","",I1360*K1360)</f>
        <v>526.67165999999997</v>
      </c>
      <c r="N1360" s="273"/>
    </row>
    <row r="1361" spans="1:14" ht="12.75" customHeight="1" x14ac:dyDescent="0.2">
      <c r="A1361" s="403"/>
      <c r="B1361" s="271"/>
      <c r="C1361" s="271"/>
      <c r="D1361" s="271"/>
      <c r="E1361" s="271"/>
      <c r="F1361" s="271"/>
      <c r="G1361" s="273"/>
      <c r="H1361" s="29" t="str">
        <f>IF(A1361="","",VLOOKUP(A1361,AA_Equipos,7,FALSE))</f>
        <v/>
      </c>
      <c r="I1361" s="394" t="str">
        <f>IF(A1361="","",VLOOKUP(A1361,AA_Equipos,8,FALSE))</f>
        <v/>
      </c>
      <c r="J1361" s="273"/>
      <c r="K1361" s="402"/>
      <c r="L1361" s="273"/>
      <c r="M1361" s="394" t="str">
        <f t="shared" si="174"/>
        <v/>
      </c>
      <c r="N1361" s="273"/>
    </row>
    <row r="1362" spans="1:14" ht="12.75" customHeight="1" x14ac:dyDescent="0.2">
      <c r="A1362" s="400"/>
      <c r="B1362" s="271"/>
      <c r="C1362" s="271"/>
      <c r="D1362" s="271"/>
      <c r="E1362" s="271"/>
      <c r="F1362" s="271"/>
      <c r="G1362" s="273"/>
      <c r="H1362" s="29" t="str">
        <f>IF(A1362="","",VLOOKUP(A1362,AA_Equipos,7,FALSE))</f>
        <v/>
      </c>
      <c r="I1362" s="394" t="str">
        <f>IF(A1362="","",VLOOKUP(A1362,AA_Equipos,8,FALSE))</f>
        <v/>
      </c>
      <c r="J1362" s="273"/>
      <c r="K1362" s="401"/>
      <c r="L1362" s="273"/>
      <c r="M1362" s="394" t="str">
        <f t="shared" si="174"/>
        <v/>
      </c>
      <c r="N1362" s="273"/>
    </row>
    <row r="1363" spans="1:14" ht="12.75" customHeight="1" x14ac:dyDescent="0.2">
      <c r="A1363" s="400"/>
      <c r="B1363" s="271"/>
      <c r="C1363" s="271"/>
      <c r="D1363" s="271"/>
      <c r="E1363" s="271"/>
      <c r="F1363" s="271"/>
      <c r="G1363" s="273"/>
      <c r="H1363" s="29" t="str">
        <f>IF(A1363="","",VLOOKUP(A1363,AA_Equipos,7,FALSE))</f>
        <v/>
      </c>
      <c r="I1363" s="394" t="str">
        <f>IF(A1363="","",VLOOKUP(A1363,AA_Equipos,8,FALSE))</f>
        <v/>
      </c>
      <c r="J1363" s="273"/>
      <c r="K1363" s="395"/>
      <c r="L1363" s="273"/>
      <c r="M1363" s="394" t="str">
        <f t="shared" si="174"/>
        <v/>
      </c>
      <c r="N1363" s="273"/>
    </row>
    <row r="1364" spans="1:14" ht="12.75" customHeight="1" x14ac:dyDescent="0.2">
      <c r="A1364" s="400"/>
      <c r="B1364" s="271"/>
      <c r="C1364" s="271"/>
      <c r="D1364" s="271"/>
      <c r="E1364" s="271"/>
      <c r="F1364" s="271"/>
      <c r="G1364" s="273"/>
      <c r="H1364" s="29" t="str">
        <f>IF(A1364="","",VLOOKUP(A1364,AA_Equipos,7,FALSE))</f>
        <v/>
      </c>
      <c r="I1364" s="394" t="str">
        <f>IF(A1364="","",VLOOKUP(A1364,AA_Equipos,8,FALSE))</f>
        <v/>
      </c>
      <c r="J1364" s="273"/>
      <c r="K1364" s="395"/>
      <c r="L1364" s="273"/>
      <c r="M1364" s="394" t="str">
        <f t="shared" si="174"/>
        <v/>
      </c>
      <c r="N1364" s="273"/>
    </row>
    <row r="1365" spans="1:14" ht="12.75" customHeight="1" x14ac:dyDescent="0.25">
      <c r="A1365" s="4"/>
      <c r="B1365" s="4"/>
      <c r="C1365" s="4"/>
      <c r="D1365" s="4"/>
      <c r="E1365" s="4"/>
      <c r="F1365" s="4"/>
      <c r="G1365" s="4"/>
      <c r="H1365" s="4"/>
      <c r="I1365" s="4"/>
      <c r="J1365" s="4"/>
      <c r="K1365" s="396" t="s">
        <v>444</v>
      </c>
      <c r="L1365" s="273"/>
      <c r="M1365" s="394">
        <f>SUM(M1360:N1364)</f>
        <v>526.67165999999997</v>
      </c>
      <c r="N1365" s="273"/>
    </row>
    <row r="1366" spans="1:14" ht="12.75" customHeight="1" x14ac:dyDescent="0.25">
      <c r="A1366" s="4"/>
      <c r="B1366" s="4"/>
      <c r="C1366" s="4"/>
      <c r="D1366" s="4"/>
      <c r="E1366" s="4"/>
      <c r="F1366" s="4"/>
      <c r="G1366" s="4"/>
      <c r="H1366" s="4"/>
      <c r="I1366" s="4"/>
      <c r="J1366" s="4"/>
      <c r="K1366" s="4"/>
      <c r="L1366" s="4"/>
      <c r="M1366" s="4"/>
      <c r="N1366" s="4"/>
    </row>
    <row r="1367" spans="1:14" ht="12.75" customHeight="1" x14ac:dyDescent="0.2">
      <c r="A1367" s="398" t="s">
        <v>929</v>
      </c>
      <c r="B1367" s="271"/>
      <c r="C1367" s="271"/>
      <c r="D1367" s="271"/>
      <c r="E1367" s="271"/>
      <c r="F1367" s="271"/>
      <c r="G1367" s="271"/>
      <c r="H1367" s="271"/>
      <c r="I1367" s="271"/>
      <c r="J1367" s="271"/>
      <c r="K1367" s="271"/>
      <c r="L1367" s="271"/>
      <c r="M1367" s="271"/>
      <c r="N1367" s="273"/>
    </row>
    <row r="1368" spans="1:14" ht="12.75" customHeight="1" x14ac:dyDescent="0.2">
      <c r="A1368" s="396" t="s">
        <v>76</v>
      </c>
      <c r="B1368" s="271"/>
      <c r="C1368" s="271"/>
      <c r="D1368" s="271"/>
      <c r="E1368" s="271"/>
      <c r="F1368" s="271"/>
      <c r="G1368" s="273"/>
      <c r="H1368" s="88" t="s">
        <v>77</v>
      </c>
      <c r="I1368" s="399" t="s">
        <v>920</v>
      </c>
      <c r="J1368" s="273"/>
      <c r="K1368" s="399" t="s">
        <v>453</v>
      </c>
      <c r="L1368" s="273"/>
      <c r="M1368" s="399" t="s">
        <v>921</v>
      </c>
      <c r="N1368" s="273"/>
    </row>
    <row r="1369" spans="1:14" ht="12.75" customHeight="1" x14ac:dyDescent="0.2">
      <c r="A1369" s="400" t="s">
        <v>960</v>
      </c>
      <c r="B1369" s="271"/>
      <c r="C1369" s="271"/>
      <c r="D1369" s="271"/>
      <c r="E1369" s="271"/>
      <c r="F1369" s="271"/>
      <c r="G1369" s="273"/>
      <c r="H1369" s="29" t="s">
        <v>950</v>
      </c>
      <c r="I1369" s="394">
        <f>+M1356</f>
        <v>5663.0000000000009</v>
      </c>
      <c r="J1369" s="273"/>
      <c r="K1369" s="404">
        <v>0.05</v>
      </c>
      <c r="L1369" s="273"/>
      <c r="M1369" s="394">
        <f t="shared" ref="M1369:M1373" si="175">IF(A1369="","",I1369*K1369)</f>
        <v>283.15000000000003</v>
      </c>
      <c r="N1369" s="273"/>
    </row>
    <row r="1370" spans="1:14" ht="12.75" customHeight="1" x14ac:dyDescent="0.2">
      <c r="A1370" s="403" t="s">
        <v>3174</v>
      </c>
      <c r="B1370" s="271"/>
      <c r="C1370" s="271"/>
      <c r="D1370" s="271"/>
      <c r="E1370" s="271"/>
      <c r="F1370" s="271"/>
      <c r="G1370" s="273"/>
      <c r="H1370" s="29" t="s">
        <v>24</v>
      </c>
      <c r="I1370" s="394">
        <f>+M1365</f>
        <v>526.67165999999997</v>
      </c>
      <c r="J1370" s="273"/>
      <c r="K1370" s="404">
        <v>0.05</v>
      </c>
      <c r="L1370" s="273"/>
      <c r="M1370" s="394">
        <f t="shared" si="175"/>
        <v>26.333583000000001</v>
      </c>
      <c r="N1370" s="273"/>
    </row>
    <row r="1371" spans="1:14" ht="12.75" customHeight="1" x14ac:dyDescent="0.2">
      <c r="A1371" s="400"/>
      <c r="B1371" s="271"/>
      <c r="C1371" s="271"/>
      <c r="D1371" s="271"/>
      <c r="E1371" s="271"/>
      <c r="F1371" s="271"/>
      <c r="G1371" s="273"/>
      <c r="H1371" s="29"/>
      <c r="I1371" s="394"/>
      <c r="J1371" s="273"/>
      <c r="K1371" s="395"/>
      <c r="L1371" s="273"/>
      <c r="M1371" s="394" t="str">
        <f t="shared" si="175"/>
        <v/>
      </c>
      <c r="N1371" s="273"/>
    </row>
    <row r="1372" spans="1:14" ht="12.75" customHeight="1" x14ac:dyDescent="0.2">
      <c r="A1372" s="400"/>
      <c r="B1372" s="271"/>
      <c r="C1372" s="271"/>
      <c r="D1372" s="271"/>
      <c r="E1372" s="271"/>
      <c r="F1372" s="271"/>
      <c r="G1372" s="273"/>
      <c r="H1372" s="29"/>
      <c r="I1372" s="394"/>
      <c r="J1372" s="273"/>
      <c r="K1372" s="395"/>
      <c r="L1372" s="273"/>
      <c r="M1372" s="394" t="str">
        <f t="shared" si="175"/>
        <v/>
      </c>
      <c r="N1372" s="273"/>
    </row>
    <row r="1373" spans="1:14" ht="12.75" customHeight="1" x14ac:dyDescent="0.2">
      <c r="A1373" s="400"/>
      <c r="B1373" s="271"/>
      <c r="C1373" s="271"/>
      <c r="D1373" s="271"/>
      <c r="E1373" s="271"/>
      <c r="F1373" s="271"/>
      <c r="G1373" s="273"/>
      <c r="H1373" s="29"/>
      <c r="I1373" s="394"/>
      <c r="J1373" s="273"/>
      <c r="K1373" s="395"/>
      <c r="L1373" s="273"/>
      <c r="M1373" s="394" t="str">
        <f t="shared" si="175"/>
        <v/>
      </c>
      <c r="N1373" s="273"/>
    </row>
    <row r="1374" spans="1:14" ht="12.75" customHeight="1" x14ac:dyDescent="0.25">
      <c r="A1374" s="4"/>
      <c r="B1374" s="4"/>
      <c r="C1374" s="4"/>
      <c r="D1374" s="4"/>
      <c r="E1374" s="4"/>
      <c r="F1374" s="4"/>
      <c r="G1374" s="4"/>
      <c r="H1374" s="4"/>
      <c r="I1374" s="4"/>
      <c r="J1374" s="4"/>
      <c r="K1374" s="396" t="s">
        <v>444</v>
      </c>
      <c r="L1374" s="273"/>
      <c r="M1374" s="394">
        <f>SUM(M1369:N1373)</f>
        <v>309.48358300000001</v>
      </c>
      <c r="N1374" s="273"/>
    </row>
    <row r="1375" spans="1:14" ht="12.75" customHeight="1" x14ac:dyDescent="0.25">
      <c r="A1375" s="4"/>
      <c r="B1375" s="4"/>
      <c r="C1375" s="4"/>
      <c r="D1375" s="4"/>
      <c r="E1375" s="4"/>
      <c r="F1375" s="4"/>
      <c r="G1375" s="4"/>
      <c r="H1375" s="4"/>
      <c r="I1375" s="4"/>
      <c r="J1375" s="4"/>
      <c r="K1375" s="4"/>
      <c r="L1375" s="4"/>
      <c r="M1375" s="4"/>
      <c r="N1375" s="4"/>
    </row>
    <row r="1376" spans="1:14" ht="12.75" customHeight="1" x14ac:dyDescent="0.2">
      <c r="A1376" s="398" t="s">
        <v>931</v>
      </c>
      <c r="B1376" s="271"/>
      <c r="C1376" s="271"/>
      <c r="D1376" s="271"/>
      <c r="E1376" s="271"/>
      <c r="F1376" s="271"/>
      <c r="G1376" s="271"/>
      <c r="H1376" s="271"/>
      <c r="I1376" s="271"/>
      <c r="J1376" s="271"/>
      <c r="K1376" s="271"/>
      <c r="L1376" s="271"/>
      <c r="M1376" s="271"/>
      <c r="N1376" s="273"/>
    </row>
    <row r="1377" spans="1:15" ht="12.75" customHeight="1" x14ac:dyDescent="0.2">
      <c r="A1377" s="396" t="s">
        <v>76</v>
      </c>
      <c r="B1377" s="271"/>
      <c r="C1377" s="271"/>
      <c r="D1377" s="271"/>
      <c r="E1377" s="271"/>
      <c r="F1377" s="271"/>
      <c r="G1377" s="273"/>
      <c r="H1377" s="88" t="s">
        <v>77</v>
      </c>
      <c r="I1377" s="399" t="s">
        <v>920</v>
      </c>
      <c r="J1377" s="273"/>
      <c r="K1377" s="90" t="s">
        <v>514</v>
      </c>
      <c r="L1377" s="91" t="s">
        <v>932</v>
      </c>
      <c r="M1377" s="399" t="s">
        <v>921</v>
      </c>
      <c r="N1377" s="273"/>
    </row>
    <row r="1378" spans="1:15" ht="12.75" customHeight="1" x14ac:dyDescent="0.25">
      <c r="A1378" s="393" t="s">
        <v>1041</v>
      </c>
      <c r="B1378" s="271"/>
      <c r="C1378" s="271"/>
      <c r="D1378" s="271"/>
      <c r="E1378" s="271"/>
      <c r="F1378" s="271"/>
      <c r="G1378" s="273"/>
      <c r="H1378" s="29" t="str">
        <f>IF(A1378="","",VLOOKUP(A1378,AA_Cuadrillas,4,FALSE))</f>
        <v>Cuadrilla</v>
      </c>
      <c r="I1378" s="394">
        <f>IF(A1378="","",VLOOKUP(A1378,AA_Cuadrillas,5,FALSE))</f>
        <v>186763</v>
      </c>
      <c r="J1378" s="273"/>
      <c r="K1378" s="9">
        <f>IF(A1378="","",F.P!$I$2)</f>
        <v>1.88</v>
      </c>
      <c r="L1378" s="93">
        <v>0.03</v>
      </c>
      <c r="M1378" s="394">
        <f t="shared" ref="M1378:M1382" si="176">IF(A1378="","",I1378*K1378*L1378)</f>
        <v>10533.433199999999</v>
      </c>
      <c r="N1378" s="273"/>
    </row>
    <row r="1379" spans="1:15" ht="12.75" customHeight="1" x14ac:dyDescent="0.25">
      <c r="A1379" s="393"/>
      <c r="B1379" s="271"/>
      <c r="C1379" s="271"/>
      <c r="D1379" s="271"/>
      <c r="E1379" s="271"/>
      <c r="F1379" s="271"/>
      <c r="G1379" s="273"/>
      <c r="H1379" s="29" t="str">
        <f>IF(A1379="","",VLOOKUP(A1379,AA_Cuadrillas,4,FALSE))</f>
        <v/>
      </c>
      <c r="I1379" s="394" t="str">
        <f>IF(A1379="","",VLOOKUP(A1379,AA_Cuadrillas,5,FALSE))</f>
        <v/>
      </c>
      <c r="J1379" s="273"/>
      <c r="K1379" s="9" t="str">
        <f>IF(A1379="","",F.P!$I$2)</f>
        <v/>
      </c>
      <c r="L1379" s="9"/>
      <c r="M1379" s="394" t="str">
        <f t="shared" si="176"/>
        <v/>
      </c>
      <c r="N1379" s="273"/>
    </row>
    <row r="1380" spans="1:15" ht="12.75" customHeight="1" x14ac:dyDescent="0.25">
      <c r="A1380" s="393"/>
      <c r="B1380" s="271"/>
      <c r="C1380" s="271"/>
      <c r="D1380" s="271"/>
      <c r="E1380" s="271"/>
      <c r="F1380" s="271"/>
      <c r="G1380" s="273"/>
      <c r="H1380" s="29" t="str">
        <f>IF(A1380="","",VLOOKUP(A1380,AA_Cuadrillas,4,FALSE))</f>
        <v/>
      </c>
      <c r="I1380" s="394" t="str">
        <f>IF(A1380="","",VLOOKUP(A1380,AA_Cuadrillas,5,FALSE))</f>
        <v/>
      </c>
      <c r="J1380" s="273"/>
      <c r="K1380" s="9" t="str">
        <f>IF(A1380="","",F.P!$I$2)</f>
        <v/>
      </c>
      <c r="L1380" s="37"/>
      <c r="M1380" s="394" t="str">
        <f t="shared" si="176"/>
        <v/>
      </c>
      <c r="N1380" s="273"/>
    </row>
    <row r="1381" spans="1:15" ht="12.75" customHeight="1" x14ac:dyDescent="0.25">
      <c r="A1381" s="393"/>
      <c r="B1381" s="271"/>
      <c r="C1381" s="271"/>
      <c r="D1381" s="271"/>
      <c r="E1381" s="271"/>
      <c r="F1381" s="271"/>
      <c r="G1381" s="273"/>
      <c r="H1381" s="29" t="str">
        <f>IF(A1381="","",VLOOKUP(A1381,AA_Cuadrillas,4,FALSE))</f>
        <v/>
      </c>
      <c r="I1381" s="394" t="str">
        <f>IF(A1381="","",VLOOKUP(A1381,AA_Cuadrillas,5,FALSE))</f>
        <v/>
      </c>
      <c r="J1381" s="273"/>
      <c r="K1381" s="9" t="str">
        <f>IF(A1381="","",F.P!$I$2)</f>
        <v/>
      </c>
      <c r="L1381" s="37"/>
      <c r="M1381" s="394" t="str">
        <f t="shared" si="176"/>
        <v/>
      </c>
      <c r="N1381" s="273"/>
    </row>
    <row r="1382" spans="1:15" ht="12.75" customHeight="1" x14ac:dyDescent="0.25">
      <c r="A1382" s="393"/>
      <c r="B1382" s="271"/>
      <c r="C1382" s="271"/>
      <c r="D1382" s="271"/>
      <c r="E1382" s="271"/>
      <c r="F1382" s="271"/>
      <c r="G1382" s="273"/>
      <c r="H1382" s="29" t="str">
        <f>IF(A1382="","",VLOOKUP(A1382,AA_Cuadrillas,4,FALSE))</f>
        <v/>
      </c>
      <c r="I1382" s="394" t="str">
        <f>IF(A1382="","",VLOOKUP(A1382,AA_Cuadrillas,5,FALSE))</f>
        <v/>
      </c>
      <c r="J1382" s="273"/>
      <c r="K1382" s="9" t="str">
        <f>IF(A1382="","",F.P!$I$2)</f>
        <v/>
      </c>
      <c r="L1382" s="37"/>
      <c r="M1382" s="394" t="str">
        <f t="shared" si="176"/>
        <v/>
      </c>
      <c r="N1382" s="273"/>
    </row>
    <row r="1383" spans="1:15" ht="12.75" customHeight="1" x14ac:dyDescent="0.25">
      <c r="A1383" s="4"/>
      <c r="B1383" s="4"/>
      <c r="C1383" s="4"/>
      <c r="D1383" s="4"/>
      <c r="E1383" s="4"/>
      <c r="F1383" s="4"/>
      <c r="G1383" s="4"/>
      <c r="H1383" s="4"/>
      <c r="I1383" s="4"/>
      <c r="J1383" s="4"/>
      <c r="K1383" s="396" t="s">
        <v>444</v>
      </c>
      <c r="L1383" s="273"/>
      <c r="M1383" s="394">
        <f>SUM(M1378:N1382)</f>
        <v>10533.433199999999</v>
      </c>
      <c r="N1383" s="273"/>
    </row>
    <row r="1384" spans="1:15" ht="12.75" customHeight="1" x14ac:dyDescent="0.2"/>
    <row r="1385" spans="1:15" ht="12.75" customHeight="1" x14ac:dyDescent="0.2">
      <c r="A1385" s="407" t="s">
        <v>125</v>
      </c>
      <c r="B1385" s="275"/>
      <c r="C1385" s="275"/>
      <c r="D1385" s="275"/>
      <c r="E1385" s="275"/>
      <c r="F1385" s="275"/>
      <c r="G1385" s="275"/>
      <c r="H1385" s="275"/>
      <c r="I1385" s="275"/>
      <c r="J1385" s="275"/>
      <c r="K1385" s="275"/>
      <c r="L1385" s="275"/>
      <c r="M1385" s="275"/>
      <c r="N1385" s="276"/>
      <c r="O1385" s="166"/>
    </row>
    <row r="1386" spans="1:15" ht="12.75" customHeight="1" x14ac:dyDescent="0.2">
      <c r="A1386" s="277"/>
      <c r="B1386" s="278"/>
      <c r="C1386" s="278"/>
      <c r="D1386" s="278"/>
      <c r="E1386" s="278"/>
      <c r="F1386" s="278"/>
      <c r="G1386" s="278"/>
      <c r="H1386" s="278"/>
      <c r="I1386" s="278"/>
      <c r="J1386" s="278"/>
      <c r="K1386" s="278"/>
      <c r="L1386" s="278"/>
      <c r="M1386" s="278"/>
      <c r="N1386" s="279"/>
      <c r="O1386" s="166"/>
    </row>
    <row r="1387" spans="1:15" ht="12.75" customHeight="1" x14ac:dyDescent="0.2">
      <c r="A1387" s="75"/>
      <c r="B1387" s="75"/>
      <c r="C1387" s="75"/>
      <c r="D1387" s="75"/>
      <c r="E1387" s="75"/>
      <c r="F1387" s="75"/>
      <c r="G1387" s="75"/>
      <c r="H1387" s="75"/>
      <c r="I1387" s="75"/>
      <c r="J1387" s="75"/>
      <c r="K1387" s="75"/>
      <c r="L1387" s="75"/>
      <c r="M1387" s="75"/>
      <c r="N1387" s="75"/>
    </row>
    <row r="1388" spans="1:15" ht="12.75" customHeight="1" x14ac:dyDescent="0.3">
      <c r="A1388" s="79" t="s">
        <v>645</v>
      </c>
      <c r="B1388" s="80" t="str">
        <f>A1385</f>
        <v>SUMINISTRO Y APLICACIÓN DE PINTURA ANTICORROSIVA PARA PUERTAS Y VENTANAS (INCLUYE MATERIALES Y MANO DE OBRA)</v>
      </c>
      <c r="C1388" s="81" t="s">
        <v>916</v>
      </c>
      <c r="D1388" s="82" t="s">
        <v>934</v>
      </c>
      <c r="E1388" s="83" t="s">
        <v>445</v>
      </c>
      <c r="F1388" s="234">
        <f>(H1388+J1388+L1388+N1388)*1.3</f>
        <v>36323.880783125001</v>
      </c>
      <c r="G1388" s="83" t="s">
        <v>607</v>
      </c>
      <c r="H1388" s="86">
        <f>M1407</f>
        <v>1097.2326250000001</v>
      </c>
      <c r="I1388" s="83" t="s">
        <v>918</v>
      </c>
      <c r="J1388" s="86">
        <f>M1398</f>
        <v>4614</v>
      </c>
      <c r="K1388" s="83" t="s">
        <v>609</v>
      </c>
      <c r="L1388" s="86">
        <f>M1416</f>
        <v>285.56163125</v>
      </c>
      <c r="M1388" s="83" t="s">
        <v>610</v>
      </c>
      <c r="N1388" s="86">
        <f>M1425</f>
        <v>21944.6525</v>
      </c>
    </row>
    <row r="1389" spans="1:15" ht="12.75" customHeight="1" x14ac:dyDescent="0.25">
      <c r="A1389" s="87"/>
      <c r="B1389" s="87"/>
      <c r="C1389" s="87"/>
      <c r="D1389" s="87"/>
      <c r="E1389" s="87"/>
      <c r="F1389" s="87"/>
      <c r="G1389" s="87"/>
      <c r="J1389" s="87"/>
      <c r="K1389" s="215" t="s">
        <v>3217</v>
      </c>
      <c r="L1389" s="215">
        <f>+F1388*presup!$O$5</f>
        <v>47221.045018062505</v>
      </c>
      <c r="M1389" s="87"/>
      <c r="N1389" s="87"/>
    </row>
    <row r="1390" spans="1:15" ht="12.75" customHeight="1" x14ac:dyDescent="0.2">
      <c r="A1390" s="398" t="s">
        <v>919</v>
      </c>
      <c r="B1390" s="271"/>
      <c r="C1390" s="271"/>
      <c r="D1390" s="271"/>
      <c r="E1390" s="271"/>
      <c r="F1390" s="271"/>
      <c r="G1390" s="271"/>
      <c r="H1390" s="271"/>
      <c r="I1390" s="271"/>
      <c r="J1390" s="271"/>
      <c r="K1390" s="271"/>
      <c r="L1390" s="271"/>
      <c r="M1390" s="271"/>
      <c r="N1390" s="273"/>
    </row>
    <row r="1391" spans="1:15" ht="12.75" customHeight="1" x14ac:dyDescent="0.2">
      <c r="A1391" s="396" t="s">
        <v>76</v>
      </c>
      <c r="B1391" s="271"/>
      <c r="C1391" s="271"/>
      <c r="D1391" s="271"/>
      <c r="E1391" s="271"/>
      <c r="F1391" s="271"/>
      <c r="G1391" s="273"/>
      <c r="H1391" s="88" t="s">
        <v>77</v>
      </c>
      <c r="I1391" s="399" t="s">
        <v>920</v>
      </c>
      <c r="J1391" s="273"/>
      <c r="K1391" s="399" t="s">
        <v>453</v>
      </c>
      <c r="L1391" s="273"/>
      <c r="M1391" s="399" t="s">
        <v>921</v>
      </c>
      <c r="N1391" s="273"/>
    </row>
    <row r="1392" spans="1:15" ht="12.75" customHeight="1" x14ac:dyDescent="0.2">
      <c r="A1392" s="403" t="s">
        <v>1044</v>
      </c>
      <c r="B1392" s="271"/>
      <c r="C1392" s="271"/>
      <c r="D1392" s="271"/>
      <c r="E1392" s="271"/>
      <c r="F1392" s="271"/>
      <c r="G1392" s="273"/>
      <c r="H1392" s="29" t="str">
        <f t="shared" ref="H1392:H1397" si="177">IF(A1392="","",VLOOKUP(A1392,AA_Materiales,7,FALSE))</f>
        <v>Galón</v>
      </c>
      <c r="I1392" s="394">
        <f t="shared" ref="I1392:I1397" si="178">IF(A1392="","",VLOOKUP(A1392,AA_Materiales,8,FALSE))</f>
        <v>76900</v>
      </c>
      <c r="J1392" s="273"/>
      <c r="K1392" s="395">
        <v>0.06</v>
      </c>
      <c r="L1392" s="273"/>
      <c r="M1392" s="394">
        <f t="shared" ref="M1392:M1397" si="179">IF(A1392="","",I1392*K1392)</f>
        <v>4614</v>
      </c>
      <c r="N1392" s="273"/>
    </row>
    <row r="1393" spans="1:14" ht="12.75" customHeight="1" x14ac:dyDescent="0.2">
      <c r="A1393" s="400"/>
      <c r="B1393" s="271"/>
      <c r="C1393" s="271"/>
      <c r="D1393" s="271"/>
      <c r="E1393" s="271"/>
      <c r="F1393" s="271"/>
      <c r="G1393" s="273"/>
      <c r="H1393" s="29" t="str">
        <f t="shared" si="177"/>
        <v/>
      </c>
      <c r="I1393" s="394" t="str">
        <f t="shared" si="178"/>
        <v/>
      </c>
      <c r="J1393" s="273"/>
      <c r="K1393" s="395"/>
      <c r="L1393" s="273"/>
      <c r="M1393" s="394" t="str">
        <f t="shared" si="179"/>
        <v/>
      </c>
      <c r="N1393" s="273"/>
    </row>
    <row r="1394" spans="1:14" ht="12.75" customHeight="1" x14ac:dyDescent="0.2">
      <c r="A1394" s="400"/>
      <c r="B1394" s="271"/>
      <c r="C1394" s="271"/>
      <c r="D1394" s="271"/>
      <c r="E1394" s="271"/>
      <c r="F1394" s="271"/>
      <c r="G1394" s="273"/>
      <c r="H1394" s="29" t="str">
        <f t="shared" si="177"/>
        <v/>
      </c>
      <c r="I1394" s="394" t="str">
        <f t="shared" si="178"/>
        <v/>
      </c>
      <c r="J1394" s="273"/>
      <c r="K1394" s="395"/>
      <c r="L1394" s="273"/>
      <c r="M1394" s="394" t="str">
        <f t="shared" si="179"/>
        <v/>
      </c>
      <c r="N1394" s="273"/>
    </row>
    <row r="1395" spans="1:14" ht="12.75" customHeight="1" x14ac:dyDescent="0.2">
      <c r="A1395" s="400"/>
      <c r="B1395" s="271"/>
      <c r="C1395" s="271"/>
      <c r="D1395" s="271"/>
      <c r="E1395" s="271"/>
      <c r="F1395" s="271"/>
      <c r="G1395" s="273"/>
      <c r="H1395" s="29" t="str">
        <f t="shared" si="177"/>
        <v/>
      </c>
      <c r="I1395" s="394" t="str">
        <f t="shared" si="178"/>
        <v/>
      </c>
      <c r="J1395" s="273"/>
      <c r="K1395" s="395"/>
      <c r="L1395" s="273"/>
      <c r="M1395" s="394" t="str">
        <f t="shared" si="179"/>
        <v/>
      </c>
      <c r="N1395" s="273"/>
    </row>
    <row r="1396" spans="1:14" ht="12.75" customHeight="1" x14ac:dyDescent="0.2">
      <c r="A1396" s="400"/>
      <c r="B1396" s="271"/>
      <c r="C1396" s="271"/>
      <c r="D1396" s="271"/>
      <c r="E1396" s="271"/>
      <c r="F1396" s="271"/>
      <c r="G1396" s="273"/>
      <c r="H1396" s="29" t="str">
        <f t="shared" si="177"/>
        <v/>
      </c>
      <c r="I1396" s="394" t="str">
        <f t="shared" si="178"/>
        <v/>
      </c>
      <c r="J1396" s="273"/>
      <c r="K1396" s="395"/>
      <c r="L1396" s="273"/>
      <c r="M1396" s="394" t="str">
        <f t="shared" si="179"/>
        <v/>
      </c>
      <c r="N1396" s="273"/>
    </row>
    <row r="1397" spans="1:14" ht="12.75" customHeight="1" x14ac:dyDescent="0.2">
      <c r="A1397" s="400"/>
      <c r="B1397" s="271"/>
      <c r="C1397" s="271"/>
      <c r="D1397" s="271"/>
      <c r="E1397" s="271"/>
      <c r="F1397" s="271"/>
      <c r="G1397" s="273"/>
      <c r="H1397" s="29" t="str">
        <f t="shared" si="177"/>
        <v/>
      </c>
      <c r="I1397" s="394" t="str">
        <f t="shared" si="178"/>
        <v/>
      </c>
      <c r="J1397" s="273"/>
      <c r="K1397" s="395"/>
      <c r="L1397" s="273"/>
      <c r="M1397" s="394" t="str">
        <f t="shared" si="179"/>
        <v/>
      </c>
      <c r="N1397" s="273"/>
    </row>
    <row r="1398" spans="1:14" ht="12.75" customHeight="1" x14ac:dyDescent="0.25">
      <c r="A1398" s="4"/>
      <c r="B1398" s="4"/>
      <c r="C1398" s="4"/>
      <c r="D1398" s="4"/>
      <c r="E1398" s="4"/>
      <c r="F1398" s="4"/>
      <c r="G1398" s="4"/>
      <c r="H1398" s="4"/>
      <c r="I1398" s="4"/>
      <c r="J1398" s="4"/>
      <c r="K1398" s="396" t="s">
        <v>444</v>
      </c>
      <c r="L1398" s="273"/>
      <c r="M1398" s="394">
        <f>SUM(M1392:N1397)</f>
        <v>4614</v>
      </c>
      <c r="N1398" s="273"/>
    </row>
    <row r="1399" spans="1:14" ht="12.75" customHeight="1" x14ac:dyDescent="0.25">
      <c r="A1399" s="4"/>
      <c r="B1399" s="4"/>
      <c r="C1399" s="4"/>
      <c r="D1399" s="4"/>
      <c r="E1399" s="4"/>
      <c r="F1399" s="4"/>
      <c r="G1399" s="4"/>
      <c r="H1399" s="4"/>
      <c r="I1399" s="4"/>
      <c r="J1399" s="4"/>
      <c r="K1399" s="4"/>
      <c r="L1399" s="4"/>
      <c r="M1399" s="4"/>
      <c r="N1399" s="4"/>
    </row>
    <row r="1400" spans="1:14" ht="12.75" customHeight="1" x14ac:dyDescent="0.2">
      <c r="A1400" s="398" t="s">
        <v>926</v>
      </c>
      <c r="B1400" s="271"/>
      <c r="C1400" s="271"/>
      <c r="D1400" s="271"/>
      <c r="E1400" s="271"/>
      <c r="F1400" s="271"/>
      <c r="G1400" s="271"/>
      <c r="H1400" s="271"/>
      <c r="I1400" s="271"/>
      <c r="J1400" s="271"/>
      <c r="K1400" s="271"/>
      <c r="L1400" s="271"/>
      <c r="M1400" s="271"/>
      <c r="N1400" s="273"/>
    </row>
    <row r="1401" spans="1:14" ht="12.75" customHeight="1" x14ac:dyDescent="0.2">
      <c r="A1401" s="396" t="s">
        <v>76</v>
      </c>
      <c r="B1401" s="271"/>
      <c r="C1401" s="271"/>
      <c r="D1401" s="271"/>
      <c r="E1401" s="271"/>
      <c r="F1401" s="271"/>
      <c r="G1401" s="273"/>
      <c r="H1401" s="88" t="s">
        <v>77</v>
      </c>
      <c r="I1401" s="399" t="s">
        <v>920</v>
      </c>
      <c r="J1401" s="273"/>
      <c r="K1401" s="399" t="s">
        <v>453</v>
      </c>
      <c r="L1401" s="273"/>
      <c r="M1401" s="399" t="s">
        <v>921</v>
      </c>
      <c r="N1401" s="273"/>
    </row>
    <row r="1402" spans="1:14" ht="12.75" customHeight="1" x14ac:dyDescent="0.2">
      <c r="A1402" s="400" t="s">
        <v>927</v>
      </c>
      <c r="B1402" s="271"/>
      <c r="C1402" s="271"/>
      <c r="D1402" s="271"/>
      <c r="E1402" s="271"/>
      <c r="F1402" s="271"/>
      <c r="G1402" s="273"/>
      <c r="H1402" s="29" t="str">
        <f>IF(A1402="","",VLOOKUP(A1402,AA_Equipos,7,FALSE))</f>
        <v>% M.O.</v>
      </c>
      <c r="I1402" s="394">
        <f>+M1425</f>
        <v>21944.6525</v>
      </c>
      <c r="J1402" s="273"/>
      <c r="K1402" s="404">
        <v>0.05</v>
      </c>
      <c r="L1402" s="273"/>
      <c r="M1402" s="394">
        <f t="shared" ref="M1402:M1406" si="180">IF(A1402="","",I1402*K1402)</f>
        <v>1097.2326250000001</v>
      </c>
      <c r="N1402" s="273"/>
    </row>
    <row r="1403" spans="1:14" ht="12.75" customHeight="1" x14ac:dyDescent="0.2">
      <c r="A1403" s="403"/>
      <c r="B1403" s="271"/>
      <c r="C1403" s="271"/>
      <c r="D1403" s="271"/>
      <c r="E1403" s="271"/>
      <c r="F1403" s="271"/>
      <c r="G1403" s="273"/>
      <c r="H1403" s="29" t="str">
        <f>IF(A1403="","",VLOOKUP(A1403,AA_Equipos,7,FALSE))</f>
        <v/>
      </c>
      <c r="I1403" s="394" t="str">
        <f>IF(A1403="","",VLOOKUP(A1403,AA_Equipos,8,FALSE))</f>
        <v/>
      </c>
      <c r="J1403" s="273"/>
      <c r="K1403" s="402"/>
      <c r="L1403" s="273"/>
      <c r="M1403" s="394" t="str">
        <f t="shared" si="180"/>
        <v/>
      </c>
      <c r="N1403" s="273"/>
    </row>
    <row r="1404" spans="1:14" ht="12.75" customHeight="1" x14ac:dyDescent="0.2">
      <c r="A1404" s="400"/>
      <c r="B1404" s="271"/>
      <c r="C1404" s="271"/>
      <c r="D1404" s="271"/>
      <c r="E1404" s="271"/>
      <c r="F1404" s="271"/>
      <c r="G1404" s="273"/>
      <c r="H1404" s="29" t="str">
        <f>IF(A1404="","",VLOOKUP(A1404,AA_Equipos,7,FALSE))</f>
        <v/>
      </c>
      <c r="I1404" s="394" t="str">
        <f>IF(A1404="","",VLOOKUP(A1404,AA_Equipos,8,FALSE))</f>
        <v/>
      </c>
      <c r="J1404" s="273"/>
      <c r="K1404" s="401"/>
      <c r="L1404" s="273"/>
      <c r="M1404" s="394" t="str">
        <f t="shared" si="180"/>
        <v/>
      </c>
      <c r="N1404" s="273"/>
    </row>
    <row r="1405" spans="1:14" ht="12.75" customHeight="1" x14ac:dyDescent="0.2">
      <c r="A1405" s="400"/>
      <c r="B1405" s="271"/>
      <c r="C1405" s="271"/>
      <c r="D1405" s="271"/>
      <c r="E1405" s="271"/>
      <c r="F1405" s="271"/>
      <c r="G1405" s="273"/>
      <c r="H1405" s="29" t="str">
        <f>IF(A1405="","",VLOOKUP(A1405,AA_Equipos,7,FALSE))</f>
        <v/>
      </c>
      <c r="I1405" s="394" t="str">
        <f>IF(A1405="","",VLOOKUP(A1405,AA_Equipos,8,FALSE))</f>
        <v/>
      </c>
      <c r="J1405" s="273"/>
      <c r="K1405" s="395"/>
      <c r="L1405" s="273"/>
      <c r="M1405" s="394" t="str">
        <f t="shared" si="180"/>
        <v/>
      </c>
      <c r="N1405" s="273"/>
    </row>
    <row r="1406" spans="1:14" ht="12.75" customHeight="1" x14ac:dyDescent="0.2">
      <c r="A1406" s="400"/>
      <c r="B1406" s="271"/>
      <c r="C1406" s="271"/>
      <c r="D1406" s="271"/>
      <c r="E1406" s="271"/>
      <c r="F1406" s="271"/>
      <c r="G1406" s="273"/>
      <c r="H1406" s="29" t="str">
        <f>IF(A1406="","",VLOOKUP(A1406,AA_Equipos,7,FALSE))</f>
        <v/>
      </c>
      <c r="I1406" s="394" t="str">
        <f>IF(A1406="","",VLOOKUP(A1406,AA_Equipos,8,FALSE))</f>
        <v/>
      </c>
      <c r="J1406" s="273"/>
      <c r="K1406" s="395"/>
      <c r="L1406" s="273"/>
      <c r="M1406" s="394" t="str">
        <f t="shared" si="180"/>
        <v/>
      </c>
      <c r="N1406" s="273"/>
    </row>
    <row r="1407" spans="1:14" ht="12.75" customHeight="1" x14ac:dyDescent="0.25">
      <c r="A1407" s="4"/>
      <c r="B1407" s="4"/>
      <c r="C1407" s="4"/>
      <c r="D1407" s="4"/>
      <c r="E1407" s="4"/>
      <c r="F1407" s="4"/>
      <c r="G1407" s="4"/>
      <c r="H1407" s="4"/>
      <c r="I1407" s="4"/>
      <c r="J1407" s="4"/>
      <c r="K1407" s="396" t="s">
        <v>444</v>
      </c>
      <c r="L1407" s="273"/>
      <c r="M1407" s="394">
        <f>SUM(M1402:N1406)</f>
        <v>1097.2326250000001</v>
      </c>
      <c r="N1407" s="273"/>
    </row>
    <row r="1408" spans="1:14" ht="12.75" customHeight="1" x14ac:dyDescent="0.25">
      <c r="A1408" s="4"/>
      <c r="B1408" s="4"/>
      <c r="C1408" s="4"/>
      <c r="D1408" s="4"/>
      <c r="E1408" s="4"/>
      <c r="F1408" s="4"/>
      <c r="G1408" s="4"/>
      <c r="H1408" s="4"/>
      <c r="I1408" s="4"/>
      <c r="J1408" s="4"/>
      <c r="K1408" s="4"/>
      <c r="L1408" s="4"/>
      <c r="M1408" s="4"/>
      <c r="N1408" s="4"/>
    </row>
    <row r="1409" spans="1:14" ht="12.75" customHeight="1" x14ac:dyDescent="0.2">
      <c r="A1409" s="398" t="s">
        <v>929</v>
      </c>
      <c r="B1409" s="271"/>
      <c r="C1409" s="271"/>
      <c r="D1409" s="271"/>
      <c r="E1409" s="271"/>
      <c r="F1409" s="271"/>
      <c r="G1409" s="271"/>
      <c r="H1409" s="271"/>
      <c r="I1409" s="271"/>
      <c r="J1409" s="271"/>
      <c r="K1409" s="271"/>
      <c r="L1409" s="271"/>
      <c r="M1409" s="271"/>
      <c r="N1409" s="273"/>
    </row>
    <row r="1410" spans="1:14" ht="12.75" customHeight="1" x14ac:dyDescent="0.2">
      <c r="A1410" s="396" t="s">
        <v>76</v>
      </c>
      <c r="B1410" s="271"/>
      <c r="C1410" s="271"/>
      <c r="D1410" s="271"/>
      <c r="E1410" s="271"/>
      <c r="F1410" s="271"/>
      <c r="G1410" s="273"/>
      <c r="H1410" s="88" t="s">
        <v>77</v>
      </c>
      <c r="I1410" s="399" t="s">
        <v>920</v>
      </c>
      <c r="J1410" s="273"/>
      <c r="K1410" s="399" t="s">
        <v>453</v>
      </c>
      <c r="L1410" s="273"/>
      <c r="M1410" s="399" t="s">
        <v>921</v>
      </c>
      <c r="N1410" s="273"/>
    </row>
    <row r="1411" spans="1:14" ht="12.75" customHeight="1" x14ac:dyDescent="0.2">
      <c r="A1411" s="400" t="s">
        <v>960</v>
      </c>
      <c r="B1411" s="271"/>
      <c r="C1411" s="271"/>
      <c r="D1411" s="271"/>
      <c r="E1411" s="271"/>
      <c r="F1411" s="271"/>
      <c r="G1411" s="273"/>
      <c r="H1411" s="29" t="s">
        <v>950</v>
      </c>
      <c r="I1411" s="394">
        <f>+M1398</f>
        <v>4614</v>
      </c>
      <c r="J1411" s="273"/>
      <c r="K1411" s="404">
        <v>0.05</v>
      </c>
      <c r="L1411" s="273"/>
      <c r="M1411" s="394">
        <f t="shared" ref="M1411:M1415" si="181">IF(A1411="","",I1411*K1411)</f>
        <v>230.70000000000002</v>
      </c>
      <c r="N1411" s="273"/>
    </row>
    <row r="1412" spans="1:14" ht="12.75" customHeight="1" x14ac:dyDescent="0.2">
      <c r="A1412" s="403" t="s">
        <v>3174</v>
      </c>
      <c r="B1412" s="271"/>
      <c r="C1412" s="271"/>
      <c r="D1412" s="271"/>
      <c r="E1412" s="271"/>
      <c r="F1412" s="271"/>
      <c r="G1412" s="273"/>
      <c r="H1412" s="29" t="s">
        <v>24</v>
      </c>
      <c r="I1412" s="394">
        <f>+M1407</f>
        <v>1097.2326250000001</v>
      </c>
      <c r="J1412" s="273"/>
      <c r="K1412" s="404">
        <v>0.05</v>
      </c>
      <c r="L1412" s="273"/>
      <c r="M1412" s="394">
        <f t="shared" si="181"/>
        <v>54.861631250000009</v>
      </c>
      <c r="N1412" s="273"/>
    </row>
    <row r="1413" spans="1:14" ht="12.75" customHeight="1" x14ac:dyDescent="0.2">
      <c r="A1413" s="400"/>
      <c r="B1413" s="271"/>
      <c r="C1413" s="271"/>
      <c r="D1413" s="271"/>
      <c r="E1413" s="271"/>
      <c r="F1413" s="271"/>
      <c r="G1413" s="273"/>
      <c r="H1413" s="29"/>
      <c r="I1413" s="394"/>
      <c r="J1413" s="273"/>
      <c r="K1413" s="395"/>
      <c r="L1413" s="273"/>
      <c r="M1413" s="394" t="str">
        <f t="shared" si="181"/>
        <v/>
      </c>
      <c r="N1413" s="273"/>
    </row>
    <row r="1414" spans="1:14" ht="12.75" customHeight="1" x14ac:dyDescent="0.2">
      <c r="A1414" s="400"/>
      <c r="B1414" s="271"/>
      <c r="C1414" s="271"/>
      <c r="D1414" s="271"/>
      <c r="E1414" s="271"/>
      <c r="F1414" s="271"/>
      <c r="G1414" s="273"/>
      <c r="H1414" s="29"/>
      <c r="I1414" s="394"/>
      <c r="J1414" s="273"/>
      <c r="K1414" s="395"/>
      <c r="L1414" s="273"/>
      <c r="M1414" s="394" t="str">
        <f t="shared" si="181"/>
        <v/>
      </c>
      <c r="N1414" s="273"/>
    </row>
    <row r="1415" spans="1:14" ht="12.75" customHeight="1" x14ac:dyDescent="0.2">
      <c r="A1415" s="400"/>
      <c r="B1415" s="271"/>
      <c r="C1415" s="271"/>
      <c r="D1415" s="271"/>
      <c r="E1415" s="271"/>
      <c r="F1415" s="271"/>
      <c r="G1415" s="273"/>
      <c r="H1415" s="29"/>
      <c r="I1415" s="394"/>
      <c r="J1415" s="273"/>
      <c r="K1415" s="395"/>
      <c r="L1415" s="273"/>
      <c r="M1415" s="394" t="str">
        <f t="shared" si="181"/>
        <v/>
      </c>
      <c r="N1415" s="273"/>
    </row>
    <row r="1416" spans="1:14" ht="12.75" customHeight="1" x14ac:dyDescent="0.25">
      <c r="A1416" s="4"/>
      <c r="B1416" s="4"/>
      <c r="C1416" s="4"/>
      <c r="D1416" s="4"/>
      <c r="E1416" s="4"/>
      <c r="F1416" s="4"/>
      <c r="G1416" s="4"/>
      <c r="H1416" s="4"/>
      <c r="I1416" s="4"/>
      <c r="J1416" s="4"/>
      <c r="K1416" s="396" t="s">
        <v>444</v>
      </c>
      <c r="L1416" s="273"/>
      <c r="M1416" s="394">
        <f>SUM(M1411:N1415)</f>
        <v>285.56163125</v>
      </c>
      <c r="N1416" s="273"/>
    </row>
    <row r="1417" spans="1:14" ht="12.75" customHeight="1" x14ac:dyDescent="0.25">
      <c r="A1417" s="4"/>
      <c r="B1417" s="4"/>
      <c r="C1417" s="4"/>
      <c r="D1417" s="4"/>
      <c r="E1417" s="4"/>
      <c r="F1417" s="4"/>
      <c r="G1417" s="4"/>
      <c r="H1417" s="4"/>
      <c r="I1417" s="4"/>
      <c r="J1417" s="4"/>
      <c r="K1417" s="4"/>
      <c r="L1417" s="4"/>
      <c r="M1417" s="4"/>
      <c r="N1417" s="4"/>
    </row>
    <row r="1418" spans="1:14" ht="12.75" customHeight="1" x14ac:dyDescent="0.2">
      <c r="A1418" s="398" t="s">
        <v>931</v>
      </c>
      <c r="B1418" s="271"/>
      <c r="C1418" s="271"/>
      <c r="D1418" s="271"/>
      <c r="E1418" s="271"/>
      <c r="F1418" s="271"/>
      <c r="G1418" s="271"/>
      <c r="H1418" s="271"/>
      <c r="I1418" s="271"/>
      <c r="J1418" s="271"/>
      <c r="K1418" s="271"/>
      <c r="L1418" s="271"/>
      <c r="M1418" s="271"/>
      <c r="N1418" s="273"/>
    </row>
    <row r="1419" spans="1:14" ht="12.75" customHeight="1" x14ac:dyDescent="0.2">
      <c r="A1419" s="396" t="s">
        <v>76</v>
      </c>
      <c r="B1419" s="271"/>
      <c r="C1419" s="271"/>
      <c r="D1419" s="271"/>
      <c r="E1419" s="271"/>
      <c r="F1419" s="271"/>
      <c r="G1419" s="273"/>
      <c r="H1419" s="88" t="s">
        <v>77</v>
      </c>
      <c r="I1419" s="399" t="s">
        <v>920</v>
      </c>
      <c r="J1419" s="273"/>
      <c r="K1419" s="90" t="s">
        <v>514</v>
      </c>
      <c r="L1419" s="91" t="s">
        <v>932</v>
      </c>
      <c r="M1419" s="399" t="s">
        <v>921</v>
      </c>
      <c r="N1419" s="273"/>
    </row>
    <row r="1420" spans="1:14" ht="12.75" customHeight="1" x14ac:dyDescent="0.25">
      <c r="A1420" s="393" t="s">
        <v>1041</v>
      </c>
      <c r="B1420" s="271"/>
      <c r="C1420" s="271"/>
      <c r="D1420" s="271"/>
      <c r="E1420" s="271"/>
      <c r="F1420" s="271"/>
      <c r="G1420" s="273"/>
      <c r="H1420" s="29" t="str">
        <f>IF(A1420="","",VLOOKUP(A1420,AA_Cuadrillas,4,FALSE))</f>
        <v>Cuadrilla</v>
      </c>
      <c r="I1420" s="394">
        <f>IF(A1420="","",VLOOKUP(A1420,AA_Cuadrillas,5,FALSE))</f>
        <v>186763</v>
      </c>
      <c r="J1420" s="273"/>
      <c r="K1420" s="9">
        <f>IF(A1420="","",F.P!$I$2)</f>
        <v>1.88</v>
      </c>
      <c r="L1420" s="9">
        <v>6.25E-2</v>
      </c>
      <c r="M1420" s="394">
        <f t="shared" ref="M1420:M1424" si="182">IF(A1420="","",I1420*K1420*L1420)</f>
        <v>21944.6525</v>
      </c>
      <c r="N1420" s="273"/>
    </row>
    <row r="1421" spans="1:14" ht="12.75" customHeight="1" x14ac:dyDescent="0.25">
      <c r="A1421" s="393"/>
      <c r="B1421" s="271"/>
      <c r="C1421" s="271"/>
      <c r="D1421" s="271"/>
      <c r="E1421" s="271"/>
      <c r="F1421" s="271"/>
      <c r="G1421" s="273"/>
      <c r="H1421" s="29" t="str">
        <f>IF(A1421="","",VLOOKUP(A1421,AA_Cuadrillas,4,FALSE))</f>
        <v/>
      </c>
      <c r="I1421" s="394" t="str">
        <f>IF(A1421="","",VLOOKUP(A1421,AA_Cuadrillas,5,FALSE))</f>
        <v/>
      </c>
      <c r="J1421" s="273"/>
      <c r="K1421" s="9" t="str">
        <f>IF(A1421="","",F.P!$I$2)</f>
        <v/>
      </c>
      <c r="L1421" s="9"/>
      <c r="M1421" s="394" t="str">
        <f t="shared" si="182"/>
        <v/>
      </c>
      <c r="N1421" s="273"/>
    </row>
    <row r="1422" spans="1:14" ht="12.75" customHeight="1" x14ac:dyDescent="0.25">
      <c r="A1422" s="393"/>
      <c r="B1422" s="271"/>
      <c r="C1422" s="271"/>
      <c r="D1422" s="271"/>
      <c r="E1422" s="271"/>
      <c r="F1422" s="271"/>
      <c r="G1422" s="273"/>
      <c r="H1422" s="29" t="str">
        <f>IF(A1422="","",VLOOKUP(A1422,AA_Cuadrillas,4,FALSE))</f>
        <v/>
      </c>
      <c r="I1422" s="394" t="str">
        <f>IF(A1422="","",VLOOKUP(A1422,AA_Cuadrillas,5,FALSE))</f>
        <v/>
      </c>
      <c r="J1422" s="273"/>
      <c r="K1422" s="9" t="str">
        <f>IF(A1422="","",F.P!$I$2)</f>
        <v/>
      </c>
      <c r="L1422" s="37"/>
      <c r="M1422" s="394" t="str">
        <f t="shared" si="182"/>
        <v/>
      </c>
      <c r="N1422" s="273"/>
    </row>
    <row r="1423" spans="1:14" ht="12.75" customHeight="1" x14ac:dyDescent="0.25">
      <c r="A1423" s="393"/>
      <c r="B1423" s="271"/>
      <c r="C1423" s="271"/>
      <c r="D1423" s="271"/>
      <c r="E1423" s="271"/>
      <c r="F1423" s="271"/>
      <c r="G1423" s="273"/>
      <c r="H1423" s="29" t="str">
        <f>IF(A1423="","",VLOOKUP(A1423,AA_Cuadrillas,4,FALSE))</f>
        <v/>
      </c>
      <c r="I1423" s="394" t="str">
        <f>IF(A1423="","",VLOOKUP(A1423,AA_Cuadrillas,5,FALSE))</f>
        <v/>
      </c>
      <c r="J1423" s="273"/>
      <c r="K1423" s="9" t="str">
        <f>IF(A1423="","",F.P!$I$2)</f>
        <v/>
      </c>
      <c r="L1423" s="37"/>
      <c r="M1423" s="394" t="str">
        <f t="shared" si="182"/>
        <v/>
      </c>
      <c r="N1423" s="273"/>
    </row>
    <row r="1424" spans="1:14" ht="12.75" customHeight="1" x14ac:dyDescent="0.25">
      <c r="A1424" s="393"/>
      <c r="B1424" s="271"/>
      <c r="C1424" s="271"/>
      <c r="D1424" s="271"/>
      <c r="E1424" s="271"/>
      <c r="F1424" s="271"/>
      <c r="G1424" s="273"/>
      <c r="H1424" s="29" t="str">
        <f>IF(A1424="","",VLOOKUP(A1424,AA_Cuadrillas,4,FALSE))</f>
        <v/>
      </c>
      <c r="I1424" s="394" t="str">
        <f>IF(A1424="","",VLOOKUP(A1424,AA_Cuadrillas,5,FALSE))</f>
        <v/>
      </c>
      <c r="J1424" s="273"/>
      <c r="K1424" s="9" t="str">
        <f>IF(A1424="","",F.P!$I$2)</f>
        <v/>
      </c>
      <c r="L1424" s="37"/>
      <c r="M1424" s="394" t="str">
        <f t="shared" si="182"/>
        <v/>
      </c>
      <c r="N1424" s="273"/>
    </row>
    <row r="1425" spans="1:15" ht="12.75" customHeight="1" x14ac:dyDescent="0.25">
      <c r="A1425" s="4"/>
      <c r="B1425" s="4"/>
      <c r="C1425" s="4"/>
      <c r="D1425" s="4"/>
      <c r="E1425" s="4"/>
      <c r="F1425" s="4"/>
      <c r="G1425" s="4"/>
      <c r="H1425" s="4"/>
      <c r="I1425" s="4"/>
      <c r="J1425" s="4"/>
      <c r="K1425" s="396" t="s">
        <v>444</v>
      </c>
      <c r="L1425" s="273"/>
      <c r="M1425" s="394">
        <f>SUM(M1420:N1424)</f>
        <v>21944.6525</v>
      </c>
      <c r="N1425" s="273"/>
    </row>
    <row r="1426" spans="1:15" ht="12.75" customHeight="1" x14ac:dyDescent="0.2"/>
    <row r="1427" spans="1:15" ht="12.75" customHeight="1" x14ac:dyDescent="0.2">
      <c r="A1427" s="407" t="s">
        <v>127</v>
      </c>
      <c r="B1427" s="275"/>
      <c r="C1427" s="275"/>
      <c r="D1427" s="275"/>
      <c r="E1427" s="275"/>
      <c r="F1427" s="275"/>
      <c r="G1427" s="275"/>
      <c r="H1427" s="275"/>
      <c r="I1427" s="275"/>
      <c r="J1427" s="275"/>
      <c r="K1427" s="275"/>
      <c r="L1427" s="275"/>
      <c r="M1427" s="275"/>
      <c r="N1427" s="276"/>
      <c r="O1427" s="166"/>
    </row>
    <row r="1428" spans="1:15" ht="12.75" customHeight="1" x14ac:dyDescent="0.2">
      <c r="A1428" s="277"/>
      <c r="B1428" s="278"/>
      <c r="C1428" s="278"/>
      <c r="D1428" s="278"/>
      <c r="E1428" s="278"/>
      <c r="F1428" s="278"/>
      <c r="G1428" s="278"/>
      <c r="H1428" s="278"/>
      <c r="I1428" s="278"/>
      <c r="J1428" s="278"/>
      <c r="K1428" s="278"/>
      <c r="L1428" s="278"/>
      <c r="M1428" s="278"/>
      <c r="N1428" s="279"/>
      <c r="O1428" s="166"/>
    </row>
    <row r="1429" spans="1:15" ht="12.75" customHeight="1" x14ac:dyDescent="0.2">
      <c r="A1429" s="75"/>
      <c r="B1429" s="75"/>
      <c r="C1429" s="75"/>
      <c r="D1429" s="75"/>
      <c r="E1429" s="75"/>
      <c r="F1429" s="75"/>
      <c r="G1429" s="75"/>
      <c r="H1429" s="75"/>
      <c r="I1429" s="75"/>
      <c r="J1429" s="75"/>
      <c r="K1429" s="75"/>
      <c r="L1429" s="75"/>
      <c r="M1429" s="75"/>
      <c r="N1429" s="75"/>
    </row>
    <row r="1430" spans="1:15" ht="12.75" customHeight="1" x14ac:dyDescent="0.3">
      <c r="A1430" s="79" t="s">
        <v>646</v>
      </c>
      <c r="B1430" s="80" t="str">
        <f>A1427</f>
        <v>SUMINISTRO E INSTALACIÓN DE SEÑALIZACIÓN DE SEGURIDAD FOTOLUMINESCENTE (INCLUYE SEÑALIZACIÓN PARA PREVENCIÓN DE ACCIDENTES Y MANO DE OBRA)</v>
      </c>
      <c r="C1430" s="81" t="s">
        <v>916</v>
      </c>
      <c r="D1430" s="82" t="s">
        <v>999</v>
      </c>
      <c r="E1430" s="83" t="s">
        <v>445</v>
      </c>
      <c r="F1430" s="234">
        <f>(H1430+J1430+L1430+N1430)*1.3</f>
        <v>320355.86368499999</v>
      </c>
      <c r="G1430" s="83" t="s">
        <v>607</v>
      </c>
      <c r="H1430" s="86">
        <f>M1449</f>
        <v>2468.7690000000002</v>
      </c>
      <c r="I1430" s="83" t="s">
        <v>918</v>
      </c>
      <c r="J1430" s="86">
        <f>M1440</f>
        <v>185200</v>
      </c>
      <c r="K1430" s="83" t="s">
        <v>609</v>
      </c>
      <c r="L1430" s="86">
        <f>M1458</f>
        <v>9383.4384499999996</v>
      </c>
      <c r="M1430" s="83" t="s">
        <v>610</v>
      </c>
      <c r="N1430" s="86">
        <f>M1467</f>
        <v>49375.38</v>
      </c>
      <c r="O1430" t="s">
        <v>3226</v>
      </c>
    </row>
    <row r="1431" spans="1:15" ht="12.75" customHeight="1" x14ac:dyDescent="0.25">
      <c r="A1431" s="87"/>
      <c r="B1431" s="87"/>
      <c r="C1431" s="87"/>
      <c r="D1431" s="87"/>
      <c r="E1431" s="87"/>
      <c r="F1431" s="87"/>
      <c r="G1431" s="87"/>
      <c r="J1431" s="87"/>
      <c r="K1431" s="215" t="s">
        <v>3217</v>
      </c>
      <c r="L1431" s="215">
        <f>+F1430*presup!$O$5</f>
        <v>416462.6227905</v>
      </c>
      <c r="M1431" s="87"/>
      <c r="N1431" s="87"/>
    </row>
    <row r="1432" spans="1:15" ht="12.75" customHeight="1" x14ac:dyDescent="0.2">
      <c r="A1432" s="398" t="s">
        <v>919</v>
      </c>
      <c r="B1432" s="271"/>
      <c r="C1432" s="271"/>
      <c r="D1432" s="271"/>
      <c r="E1432" s="271"/>
      <c r="F1432" s="271"/>
      <c r="G1432" s="271"/>
      <c r="H1432" s="271"/>
      <c r="I1432" s="271"/>
      <c r="J1432" s="271"/>
      <c r="K1432" s="271"/>
      <c r="L1432" s="271"/>
      <c r="M1432" s="271"/>
      <c r="N1432" s="273"/>
    </row>
    <row r="1433" spans="1:15" ht="12.75" customHeight="1" x14ac:dyDescent="0.2">
      <c r="A1433" s="396" t="s">
        <v>76</v>
      </c>
      <c r="B1433" s="271"/>
      <c r="C1433" s="271"/>
      <c r="D1433" s="271"/>
      <c r="E1433" s="271"/>
      <c r="F1433" s="271"/>
      <c r="G1433" s="273"/>
      <c r="H1433" s="88" t="s">
        <v>77</v>
      </c>
      <c r="I1433" s="399" t="s">
        <v>920</v>
      </c>
      <c r="J1433" s="273"/>
      <c r="K1433" s="399" t="s">
        <v>453</v>
      </c>
      <c r="L1433" s="273"/>
      <c r="M1433" s="399" t="s">
        <v>921</v>
      </c>
      <c r="N1433" s="273"/>
    </row>
    <row r="1434" spans="1:15" ht="12.75" customHeight="1" x14ac:dyDescent="0.2">
      <c r="A1434" s="403" t="s">
        <v>1045</v>
      </c>
      <c r="B1434" s="271"/>
      <c r="C1434" s="271"/>
      <c r="D1434" s="271"/>
      <c r="E1434" s="271"/>
      <c r="F1434" s="271"/>
      <c r="G1434" s="273"/>
      <c r="H1434" s="29" t="str">
        <f t="shared" ref="H1434:H1439" si="183">IF(A1434="","",VLOOKUP(A1434,AA_Materiales,7,FALSE))</f>
        <v>Unidad</v>
      </c>
      <c r="I1434" s="394">
        <f t="shared" ref="I1434:I1439" si="184">IF(A1434="","",VLOOKUP(A1434,AA_Materiales,8,FALSE))</f>
        <v>185200</v>
      </c>
      <c r="J1434" s="273"/>
      <c r="K1434" s="395">
        <v>1</v>
      </c>
      <c r="L1434" s="273"/>
      <c r="M1434" s="394">
        <f t="shared" ref="M1434:M1439" si="185">IF(A1434="","",I1434*K1434)</f>
        <v>185200</v>
      </c>
      <c r="N1434" s="273"/>
    </row>
    <row r="1435" spans="1:15" ht="12.75" customHeight="1" x14ac:dyDescent="0.2">
      <c r="A1435" s="400"/>
      <c r="B1435" s="271"/>
      <c r="C1435" s="271"/>
      <c r="D1435" s="271"/>
      <c r="E1435" s="271"/>
      <c r="F1435" s="271"/>
      <c r="G1435" s="273"/>
      <c r="H1435" s="29" t="str">
        <f t="shared" si="183"/>
        <v/>
      </c>
      <c r="I1435" s="394" t="str">
        <f t="shared" si="184"/>
        <v/>
      </c>
      <c r="J1435" s="273"/>
      <c r="K1435" s="395"/>
      <c r="L1435" s="273"/>
      <c r="M1435" s="394" t="str">
        <f t="shared" si="185"/>
        <v/>
      </c>
      <c r="N1435" s="273"/>
    </row>
    <row r="1436" spans="1:15" ht="12.75" customHeight="1" x14ac:dyDescent="0.2">
      <c r="A1436" s="400"/>
      <c r="B1436" s="271"/>
      <c r="C1436" s="271"/>
      <c r="D1436" s="271"/>
      <c r="E1436" s="271"/>
      <c r="F1436" s="271"/>
      <c r="G1436" s="273"/>
      <c r="H1436" s="29" t="str">
        <f t="shared" si="183"/>
        <v/>
      </c>
      <c r="I1436" s="394" t="str">
        <f t="shared" si="184"/>
        <v/>
      </c>
      <c r="J1436" s="273"/>
      <c r="K1436" s="395"/>
      <c r="L1436" s="273"/>
      <c r="M1436" s="394" t="str">
        <f t="shared" si="185"/>
        <v/>
      </c>
      <c r="N1436" s="273"/>
    </row>
    <row r="1437" spans="1:15" ht="12.75" customHeight="1" x14ac:dyDescent="0.2">
      <c r="A1437" s="400"/>
      <c r="B1437" s="271"/>
      <c r="C1437" s="271"/>
      <c r="D1437" s="271"/>
      <c r="E1437" s="271"/>
      <c r="F1437" s="271"/>
      <c r="G1437" s="273"/>
      <c r="H1437" s="29" t="str">
        <f t="shared" si="183"/>
        <v/>
      </c>
      <c r="I1437" s="394" t="str">
        <f t="shared" si="184"/>
        <v/>
      </c>
      <c r="J1437" s="273"/>
      <c r="K1437" s="395"/>
      <c r="L1437" s="273"/>
      <c r="M1437" s="394" t="str">
        <f t="shared" si="185"/>
        <v/>
      </c>
      <c r="N1437" s="273"/>
    </row>
    <row r="1438" spans="1:15" ht="12.75" customHeight="1" x14ac:dyDescent="0.2">
      <c r="A1438" s="400"/>
      <c r="B1438" s="271"/>
      <c r="C1438" s="271"/>
      <c r="D1438" s="271"/>
      <c r="E1438" s="271"/>
      <c r="F1438" s="271"/>
      <c r="G1438" s="273"/>
      <c r="H1438" s="29" t="str">
        <f t="shared" si="183"/>
        <v/>
      </c>
      <c r="I1438" s="394" t="str">
        <f t="shared" si="184"/>
        <v/>
      </c>
      <c r="J1438" s="273"/>
      <c r="K1438" s="395"/>
      <c r="L1438" s="273"/>
      <c r="M1438" s="394" t="str">
        <f t="shared" si="185"/>
        <v/>
      </c>
      <c r="N1438" s="273"/>
    </row>
    <row r="1439" spans="1:15" ht="12.75" customHeight="1" x14ac:dyDescent="0.2">
      <c r="A1439" s="400"/>
      <c r="B1439" s="271"/>
      <c r="C1439" s="271"/>
      <c r="D1439" s="271"/>
      <c r="E1439" s="271"/>
      <c r="F1439" s="271"/>
      <c r="G1439" s="273"/>
      <c r="H1439" s="29" t="str">
        <f t="shared" si="183"/>
        <v/>
      </c>
      <c r="I1439" s="394" t="str">
        <f t="shared" si="184"/>
        <v/>
      </c>
      <c r="J1439" s="273"/>
      <c r="K1439" s="395"/>
      <c r="L1439" s="273"/>
      <c r="M1439" s="394" t="str">
        <f t="shared" si="185"/>
        <v/>
      </c>
      <c r="N1439" s="273"/>
    </row>
    <row r="1440" spans="1:15" ht="12.75" customHeight="1" x14ac:dyDescent="0.25">
      <c r="A1440" s="4"/>
      <c r="B1440" s="4"/>
      <c r="C1440" s="4"/>
      <c r="D1440" s="4"/>
      <c r="E1440" s="4"/>
      <c r="F1440" s="4"/>
      <c r="G1440" s="4"/>
      <c r="H1440" s="4"/>
      <c r="I1440" s="4"/>
      <c r="J1440" s="4"/>
      <c r="K1440" s="396" t="s">
        <v>444</v>
      </c>
      <c r="L1440" s="273"/>
      <c r="M1440" s="394">
        <f>SUM(M1434:N1439)</f>
        <v>185200</v>
      </c>
      <c r="N1440" s="273"/>
    </row>
    <row r="1441" spans="1:14" ht="12.75" customHeight="1" x14ac:dyDescent="0.25">
      <c r="A1441" s="4"/>
      <c r="B1441" s="4"/>
      <c r="C1441" s="4"/>
      <c r="D1441" s="4"/>
      <c r="E1441" s="4"/>
      <c r="F1441" s="4"/>
      <c r="G1441" s="4"/>
      <c r="H1441" s="4"/>
      <c r="I1441" s="4"/>
      <c r="J1441" s="4"/>
      <c r="K1441" s="4"/>
      <c r="L1441" s="4"/>
      <c r="M1441" s="4"/>
      <c r="N1441" s="4"/>
    </row>
    <row r="1442" spans="1:14" ht="12.75" customHeight="1" x14ac:dyDescent="0.2">
      <c r="A1442" s="398" t="s">
        <v>926</v>
      </c>
      <c r="B1442" s="271"/>
      <c r="C1442" s="271"/>
      <c r="D1442" s="271"/>
      <c r="E1442" s="271"/>
      <c r="F1442" s="271"/>
      <c r="G1442" s="271"/>
      <c r="H1442" s="271"/>
      <c r="I1442" s="271"/>
      <c r="J1442" s="271"/>
      <c r="K1442" s="271"/>
      <c r="L1442" s="271"/>
      <c r="M1442" s="271"/>
      <c r="N1442" s="273"/>
    </row>
    <row r="1443" spans="1:14" ht="12.75" customHeight="1" x14ac:dyDescent="0.2">
      <c r="A1443" s="396" t="s">
        <v>76</v>
      </c>
      <c r="B1443" s="271"/>
      <c r="C1443" s="271"/>
      <c r="D1443" s="271"/>
      <c r="E1443" s="271"/>
      <c r="F1443" s="271"/>
      <c r="G1443" s="273"/>
      <c r="H1443" s="88" t="s">
        <v>77</v>
      </c>
      <c r="I1443" s="399" t="s">
        <v>920</v>
      </c>
      <c r="J1443" s="273"/>
      <c r="K1443" s="399" t="s">
        <v>453</v>
      </c>
      <c r="L1443" s="273"/>
      <c r="M1443" s="399" t="s">
        <v>921</v>
      </c>
      <c r="N1443" s="273"/>
    </row>
    <row r="1444" spans="1:14" ht="12.75" customHeight="1" x14ac:dyDescent="0.2">
      <c r="A1444" s="400" t="s">
        <v>927</v>
      </c>
      <c r="B1444" s="271"/>
      <c r="C1444" s="271"/>
      <c r="D1444" s="271"/>
      <c r="E1444" s="271"/>
      <c r="F1444" s="271"/>
      <c r="G1444" s="273"/>
      <c r="H1444" s="29" t="str">
        <f>IF(A1444="","",VLOOKUP(A1444,AA_Equipos,7,FALSE))</f>
        <v>% M.O.</v>
      </c>
      <c r="I1444" s="394">
        <f>+M1467</f>
        <v>49375.38</v>
      </c>
      <c r="J1444" s="273"/>
      <c r="K1444" s="404">
        <v>0.05</v>
      </c>
      <c r="L1444" s="273"/>
      <c r="M1444" s="394">
        <f t="shared" ref="M1444:M1448" si="186">IF(A1444="","",I1444*K1444)</f>
        <v>2468.7690000000002</v>
      </c>
      <c r="N1444" s="273"/>
    </row>
    <row r="1445" spans="1:14" ht="12.75" customHeight="1" x14ac:dyDescent="0.2">
      <c r="A1445" s="403"/>
      <c r="B1445" s="271"/>
      <c r="C1445" s="271"/>
      <c r="D1445" s="271"/>
      <c r="E1445" s="271"/>
      <c r="F1445" s="271"/>
      <c r="G1445" s="273"/>
      <c r="H1445" s="29" t="str">
        <f>IF(A1445="","",VLOOKUP(A1445,AA_Equipos,7,FALSE))</f>
        <v/>
      </c>
      <c r="I1445" s="394" t="str">
        <f>IF(A1445="","",VLOOKUP(A1445,AA_Equipos,8,FALSE))</f>
        <v/>
      </c>
      <c r="J1445" s="273"/>
      <c r="K1445" s="402"/>
      <c r="L1445" s="273"/>
      <c r="M1445" s="394" t="str">
        <f t="shared" si="186"/>
        <v/>
      </c>
      <c r="N1445" s="273"/>
    </row>
    <row r="1446" spans="1:14" ht="12.75" customHeight="1" x14ac:dyDescent="0.2">
      <c r="A1446" s="400"/>
      <c r="B1446" s="271"/>
      <c r="C1446" s="271"/>
      <c r="D1446" s="271"/>
      <c r="E1446" s="271"/>
      <c r="F1446" s="271"/>
      <c r="G1446" s="273"/>
      <c r="H1446" s="29" t="str">
        <f>IF(A1446="","",VLOOKUP(A1446,AA_Equipos,7,FALSE))</f>
        <v/>
      </c>
      <c r="I1446" s="394" t="str">
        <f>IF(A1446="","",VLOOKUP(A1446,AA_Equipos,8,FALSE))</f>
        <v/>
      </c>
      <c r="J1446" s="273"/>
      <c r="K1446" s="401"/>
      <c r="L1446" s="273"/>
      <c r="M1446" s="394" t="str">
        <f t="shared" si="186"/>
        <v/>
      </c>
      <c r="N1446" s="273"/>
    </row>
    <row r="1447" spans="1:14" ht="12.75" customHeight="1" x14ac:dyDescent="0.2">
      <c r="A1447" s="400"/>
      <c r="B1447" s="271"/>
      <c r="C1447" s="271"/>
      <c r="D1447" s="271"/>
      <c r="E1447" s="271"/>
      <c r="F1447" s="271"/>
      <c r="G1447" s="273"/>
      <c r="H1447" s="29" t="str">
        <f>IF(A1447="","",VLOOKUP(A1447,AA_Equipos,7,FALSE))</f>
        <v/>
      </c>
      <c r="I1447" s="394" t="str">
        <f>IF(A1447="","",VLOOKUP(A1447,AA_Equipos,8,FALSE))</f>
        <v/>
      </c>
      <c r="J1447" s="273"/>
      <c r="K1447" s="395"/>
      <c r="L1447" s="273"/>
      <c r="M1447" s="394" t="str">
        <f t="shared" si="186"/>
        <v/>
      </c>
      <c r="N1447" s="273"/>
    </row>
    <row r="1448" spans="1:14" ht="12.75" customHeight="1" x14ac:dyDescent="0.2">
      <c r="A1448" s="400"/>
      <c r="B1448" s="271"/>
      <c r="C1448" s="271"/>
      <c r="D1448" s="271"/>
      <c r="E1448" s="271"/>
      <c r="F1448" s="271"/>
      <c r="G1448" s="273"/>
      <c r="H1448" s="29" t="str">
        <f>IF(A1448="","",VLOOKUP(A1448,AA_Equipos,7,FALSE))</f>
        <v/>
      </c>
      <c r="I1448" s="394" t="str">
        <f>IF(A1448="","",VLOOKUP(A1448,AA_Equipos,8,FALSE))</f>
        <v/>
      </c>
      <c r="J1448" s="273"/>
      <c r="K1448" s="395"/>
      <c r="L1448" s="273"/>
      <c r="M1448" s="394" t="str">
        <f t="shared" si="186"/>
        <v/>
      </c>
      <c r="N1448" s="273"/>
    </row>
    <row r="1449" spans="1:14" ht="12.75" customHeight="1" x14ac:dyDescent="0.25">
      <c r="A1449" s="4"/>
      <c r="B1449" s="4"/>
      <c r="C1449" s="4"/>
      <c r="D1449" s="4"/>
      <c r="E1449" s="4"/>
      <c r="F1449" s="4"/>
      <c r="G1449" s="4"/>
      <c r="H1449" s="4"/>
      <c r="I1449" s="4"/>
      <c r="J1449" s="4"/>
      <c r="K1449" s="396" t="s">
        <v>444</v>
      </c>
      <c r="L1449" s="273"/>
      <c r="M1449" s="394">
        <f>SUM(M1444:N1448)</f>
        <v>2468.7690000000002</v>
      </c>
      <c r="N1449" s="273"/>
    </row>
    <row r="1450" spans="1:14" ht="12.75" customHeight="1" x14ac:dyDescent="0.25">
      <c r="A1450" s="4"/>
      <c r="B1450" s="4"/>
      <c r="C1450" s="4"/>
      <c r="D1450" s="4"/>
      <c r="E1450" s="4"/>
      <c r="F1450" s="4"/>
      <c r="G1450" s="4"/>
      <c r="H1450" s="4"/>
      <c r="I1450" s="4"/>
      <c r="J1450" s="4"/>
      <c r="K1450" s="4"/>
      <c r="L1450" s="4"/>
      <c r="M1450" s="4"/>
      <c r="N1450" s="4"/>
    </row>
    <row r="1451" spans="1:14" ht="12.75" customHeight="1" x14ac:dyDescent="0.2">
      <c r="A1451" s="398" t="s">
        <v>929</v>
      </c>
      <c r="B1451" s="271"/>
      <c r="C1451" s="271"/>
      <c r="D1451" s="271"/>
      <c r="E1451" s="271"/>
      <c r="F1451" s="271"/>
      <c r="G1451" s="271"/>
      <c r="H1451" s="271"/>
      <c r="I1451" s="271"/>
      <c r="J1451" s="271"/>
      <c r="K1451" s="271"/>
      <c r="L1451" s="271"/>
      <c r="M1451" s="271"/>
      <c r="N1451" s="273"/>
    </row>
    <row r="1452" spans="1:14" ht="12.75" customHeight="1" x14ac:dyDescent="0.2">
      <c r="A1452" s="396" t="s">
        <v>76</v>
      </c>
      <c r="B1452" s="271"/>
      <c r="C1452" s="271"/>
      <c r="D1452" s="271"/>
      <c r="E1452" s="271"/>
      <c r="F1452" s="271"/>
      <c r="G1452" s="273"/>
      <c r="H1452" s="88" t="s">
        <v>77</v>
      </c>
      <c r="I1452" s="399" t="s">
        <v>920</v>
      </c>
      <c r="J1452" s="273"/>
      <c r="K1452" s="399" t="s">
        <v>453</v>
      </c>
      <c r="L1452" s="273"/>
      <c r="M1452" s="399" t="s">
        <v>921</v>
      </c>
      <c r="N1452" s="273"/>
    </row>
    <row r="1453" spans="1:14" ht="12.75" customHeight="1" x14ac:dyDescent="0.2">
      <c r="A1453" s="400" t="s">
        <v>960</v>
      </c>
      <c r="B1453" s="271"/>
      <c r="C1453" s="271"/>
      <c r="D1453" s="271"/>
      <c r="E1453" s="271"/>
      <c r="F1453" s="271"/>
      <c r="G1453" s="273"/>
      <c r="H1453" s="29" t="s">
        <v>950</v>
      </c>
      <c r="I1453" s="394">
        <f>+M1440</f>
        <v>185200</v>
      </c>
      <c r="J1453" s="273"/>
      <c r="K1453" s="404">
        <v>0.05</v>
      </c>
      <c r="L1453" s="273"/>
      <c r="M1453" s="394">
        <f t="shared" ref="M1453:M1457" si="187">IF(A1453="","",I1453*K1453)</f>
        <v>9260</v>
      </c>
      <c r="N1453" s="273"/>
    </row>
    <row r="1454" spans="1:14" ht="12.75" customHeight="1" x14ac:dyDescent="0.2">
      <c r="A1454" s="403" t="s">
        <v>3174</v>
      </c>
      <c r="B1454" s="271"/>
      <c r="C1454" s="271"/>
      <c r="D1454" s="271"/>
      <c r="E1454" s="271"/>
      <c r="F1454" s="271"/>
      <c r="G1454" s="273"/>
      <c r="H1454" s="29" t="s">
        <v>24</v>
      </c>
      <c r="I1454" s="394">
        <f>+M1449</f>
        <v>2468.7690000000002</v>
      </c>
      <c r="J1454" s="273"/>
      <c r="K1454" s="404">
        <v>0.05</v>
      </c>
      <c r="L1454" s="273"/>
      <c r="M1454" s="394">
        <f t="shared" si="187"/>
        <v>123.43845000000002</v>
      </c>
      <c r="N1454" s="273"/>
    </row>
    <row r="1455" spans="1:14" ht="12.75" customHeight="1" x14ac:dyDescent="0.2">
      <c r="A1455" s="400"/>
      <c r="B1455" s="271"/>
      <c r="C1455" s="271"/>
      <c r="D1455" s="271"/>
      <c r="E1455" s="271"/>
      <c r="F1455" s="271"/>
      <c r="G1455" s="273"/>
      <c r="H1455" s="29"/>
      <c r="I1455" s="394"/>
      <c r="J1455" s="273"/>
      <c r="K1455" s="395"/>
      <c r="L1455" s="273"/>
      <c r="M1455" s="394" t="str">
        <f t="shared" si="187"/>
        <v/>
      </c>
      <c r="N1455" s="273"/>
    </row>
    <row r="1456" spans="1:14" ht="12.75" customHeight="1" x14ac:dyDescent="0.2">
      <c r="A1456" s="400"/>
      <c r="B1456" s="271"/>
      <c r="C1456" s="271"/>
      <c r="D1456" s="271"/>
      <c r="E1456" s="271"/>
      <c r="F1456" s="271"/>
      <c r="G1456" s="273"/>
      <c r="H1456" s="29"/>
      <c r="I1456" s="394"/>
      <c r="J1456" s="273"/>
      <c r="K1456" s="395"/>
      <c r="L1456" s="273"/>
      <c r="M1456" s="394" t="str">
        <f t="shared" si="187"/>
        <v/>
      </c>
      <c r="N1456" s="273"/>
    </row>
    <row r="1457" spans="1:15" ht="12.75" customHeight="1" x14ac:dyDescent="0.2">
      <c r="A1457" s="400"/>
      <c r="B1457" s="271"/>
      <c r="C1457" s="271"/>
      <c r="D1457" s="271"/>
      <c r="E1457" s="271"/>
      <c r="F1457" s="271"/>
      <c r="G1457" s="273"/>
      <c r="H1457" s="29"/>
      <c r="I1457" s="394"/>
      <c r="J1457" s="273"/>
      <c r="K1457" s="395"/>
      <c r="L1457" s="273"/>
      <c r="M1457" s="394" t="str">
        <f t="shared" si="187"/>
        <v/>
      </c>
      <c r="N1457" s="273"/>
    </row>
    <row r="1458" spans="1:15" ht="12.75" customHeight="1" x14ac:dyDescent="0.25">
      <c r="A1458" s="4"/>
      <c r="B1458" s="4"/>
      <c r="C1458" s="4"/>
      <c r="D1458" s="4"/>
      <c r="E1458" s="4"/>
      <c r="F1458" s="4"/>
      <c r="G1458" s="4"/>
      <c r="H1458" s="4"/>
      <c r="I1458" s="4"/>
      <c r="J1458" s="4"/>
      <c r="K1458" s="396" t="s">
        <v>444</v>
      </c>
      <c r="L1458" s="273"/>
      <c r="M1458" s="394">
        <f>SUM(M1453:N1457)</f>
        <v>9383.4384499999996</v>
      </c>
      <c r="N1458" s="273"/>
    </row>
    <row r="1459" spans="1:15" ht="12.75" customHeight="1" x14ac:dyDescent="0.25">
      <c r="A1459" s="4"/>
      <c r="B1459" s="4"/>
      <c r="C1459" s="4"/>
      <c r="D1459" s="4"/>
      <c r="E1459" s="4"/>
      <c r="F1459" s="4"/>
      <c r="G1459" s="4"/>
      <c r="H1459" s="4"/>
      <c r="I1459" s="4"/>
      <c r="J1459" s="4"/>
      <c r="K1459" s="4"/>
      <c r="L1459" s="4"/>
      <c r="M1459" s="4"/>
      <c r="N1459" s="4"/>
    </row>
    <row r="1460" spans="1:15" ht="12.75" customHeight="1" x14ac:dyDescent="0.2">
      <c r="A1460" s="398" t="s">
        <v>931</v>
      </c>
      <c r="B1460" s="271"/>
      <c r="C1460" s="271"/>
      <c r="D1460" s="271"/>
      <c r="E1460" s="271"/>
      <c r="F1460" s="271"/>
      <c r="G1460" s="271"/>
      <c r="H1460" s="271"/>
      <c r="I1460" s="271"/>
      <c r="J1460" s="271"/>
      <c r="K1460" s="271"/>
      <c r="L1460" s="271"/>
      <c r="M1460" s="271"/>
      <c r="N1460" s="273"/>
    </row>
    <row r="1461" spans="1:15" ht="12.75" customHeight="1" x14ac:dyDescent="0.2">
      <c r="A1461" s="396" t="s">
        <v>76</v>
      </c>
      <c r="B1461" s="271"/>
      <c r="C1461" s="271"/>
      <c r="D1461" s="271"/>
      <c r="E1461" s="271"/>
      <c r="F1461" s="271"/>
      <c r="G1461" s="273"/>
      <c r="H1461" s="88" t="s">
        <v>77</v>
      </c>
      <c r="I1461" s="399" t="s">
        <v>920</v>
      </c>
      <c r="J1461" s="273"/>
      <c r="K1461" s="90" t="s">
        <v>514</v>
      </c>
      <c r="L1461" s="91" t="s">
        <v>932</v>
      </c>
      <c r="M1461" s="399" t="s">
        <v>921</v>
      </c>
      <c r="N1461" s="273"/>
    </row>
    <row r="1462" spans="1:15" ht="12.75" customHeight="1" x14ac:dyDescent="0.25">
      <c r="A1462" s="393" t="s">
        <v>936</v>
      </c>
      <c r="B1462" s="271"/>
      <c r="C1462" s="271"/>
      <c r="D1462" s="271"/>
      <c r="E1462" s="271"/>
      <c r="F1462" s="271"/>
      <c r="G1462" s="273"/>
      <c r="H1462" s="29" t="str">
        <f>IF(A1462="","",VLOOKUP(A1462,AA_Cuadrillas,4,FALSE))</f>
        <v>Cuadrilla</v>
      </c>
      <c r="I1462" s="394">
        <f>IF(A1462="","",VLOOKUP(A1462,AA_Cuadrillas,5,FALSE))</f>
        <v>70036</v>
      </c>
      <c r="J1462" s="273"/>
      <c r="K1462" s="9">
        <f>IF(A1462="","",F.P!$I$2)</f>
        <v>1.88</v>
      </c>
      <c r="L1462" s="9">
        <v>0.375</v>
      </c>
      <c r="M1462" s="394">
        <f t="shared" ref="M1462:M1466" si="188">IF(A1462="","",I1462*K1462*L1462)</f>
        <v>49375.38</v>
      </c>
      <c r="N1462" s="273"/>
    </row>
    <row r="1463" spans="1:15" ht="12.75" customHeight="1" x14ac:dyDescent="0.25">
      <c r="A1463" s="393"/>
      <c r="B1463" s="271"/>
      <c r="C1463" s="271"/>
      <c r="D1463" s="271"/>
      <c r="E1463" s="271"/>
      <c r="F1463" s="271"/>
      <c r="G1463" s="273"/>
      <c r="H1463" s="29" t="str">
        <f>IF(A1463="","",VLOOKUP(A1463,AA_Cuadrillas,4,FALSE))</f>
        <v/>
      </c>
      <c r="I1463" s="394" t="str">
        <f>IF(A1463="","",VLOOKUP(A1463,AA_Cuadrillas,5,FALSE))</f>
        <v/>
      </c>
      <c r="J1463" s="273"/>
      <c r="K1463" s="9" t="str">
        <f>IF(A1463="","",F.P!$I$2)</f>
        <v/>
      </c>
      <c r="L1463" s="9"/>
      <c r="M1463" s="394" t="str">
        <f t="shared" si="188"/>
        <v/>
      </c>
      <c r="N1463" s="273"/>
    </row>
    <row r="1464" spans="1:15" ht="12.75" customHeight="1" x14ac:dyDescent="0.25">
      <c r="A1464" s="393"/>
      <c r="B1464" s="271"/>
      <c r="C1464" s="271"/>
      <c r="D1464" s="271"/>
      <c r="E1464" s="271"/>
      <c r="F1464" s="271"/>
      <c r="G1464" s="273"/>
      <c r="H1464" s="29" t="str">
        <f>IF(A1464="","",VLOOKUP(A1464,AA_Cuadrillas,4,FALSE))</f>
        <v/>
      </c>
      <c r="I1464" s="394" t="str">
        <f>IF(A1464="","",VLOOKUP(A1464,AA_Cuadrillas,5,FALSE))</f>
        <v/>
      </c>
      <c r="J1464" s="273"/>
      <c r="K1464" s="9" t="str">
        <f>IF(A1464="","",F.P!$I$2)</f>
        <v/>
      </c>
      <c r="L1464" s="37"/>
      <c r="M1464" s="394" t="str">
        <f t="shared" si="188"/>
        <v/>
      </c>
      <c r="N1464" s="273"/>
    </row>
    <row r="1465" spans="1:15" ht="12.75" customHeight="1" x14ac:dyDescent="0.25">
      <c r="A1465" s="393"/>
      <c r="B1465" s="271"/>
      <c r="C1465" s="271"/>
      <c r="D1465" s="271"/>
      <c r="E1465" s="271"/>
      <c r="F1465" s="271"/>
      <c r="G1465" s="273"/>
      <c r="H1465" s="29" t="str">
        <f>IF(A1465="","",VLOOKUP(A1465,AA_Cuadrillas,4,FALSE))</f>
        <v/>
      </c>
      <c r="I1465" s="394" t="str">
        <f>IF(A1465="","",VLOOKUP(A1465,AA_Cuadrillas,5,FALSE))</f>
        <v/>
      </c>
      <c r="J1465" s="273"/>
      <c r="K1465" s="9" t="str">
        <f>IF(A1465="","",F.P!$I$2)</f>
        <v/>
      </c>
      <c r="L1465" s="37"/>
      <c r="M1465" s="394" t="str">
        <f t="shared" si="188"/>
        <v/>
      </c>
      <c r="N1465" s="273"/>
    </row>
    <row r="1466" spans="1:15" ht="12.75" customHeight="1" x14ac:dyDescent="0.25">
      <c r="A1466" s="393"/>
      <c r="B1466" s="271"/>
      <c r="C1466" s="271"/>
      <c r="D1466" s="271"/>
      <c r="E1466" s="271"/>
      <c r="F1466" s="271"/>
      <c r="G1466" s="273"/>
      <c r="H1466" s="29" t="str">
        <f>IF(A1466="","",VLOOKUP(A1466,AA_Cuadrillas,4,FALSE))</f>
        <v/>
      </c>
      <c r="I1466" s="394" t="str">
        <f>IF(A1466="","",VLOOKUP(A1466,AA_Cuadrillas,5,FALSE))</f>
        <v/>
      </c>
      <c r="J1466" s="273"/>
      <c r="K1466" s="9" t="str">
        <f>IF(A1466="","",F.P!$I$2)</f>
        <v/>
      </c>
      <c r="L1466" s="37"/>
      <c r="M1466" s="394" t="str">
        <f t="shared" si="188"/>
        <v/>
      </c>
      <c r="N1466" s="273"/>
    </row>
    <row r="1467" spans="1:15" ht="12.75" customHeight="1" x14ac:dyDescent="0.25">
      <c r="A1467" s="4"/>
      <c r="B1467" s="4"/>
      <c r="C1467" s="4"/>
      <c r="D1467" s="4"/>
      <c r="E1467" s="4"/>
      <c r="F1467" s="4"/>
      <c r="G1467" s="4"/>
      <c r="H1467" s="4"/>
      <c r="I1467" s="4"/>
      <c r="J1467" s="4"/>
      <c r="K1467" s="396" t="s">
        <v>444</v>
      </c>
      <c r="L1467" s="273"/>
      <c r="M1467" s="394">
        <f>SUM(M1462:N1466)</f>
        <v>49375.38</v>
      </c>
      <c r="N1467" s="273"/>
    </row>
    <row r="1468" spans="1:15" ht="12.75" customHeight="1" x14ac:dyDescent="0.2"/>
    <row r="1469" spans="1:15" ht="12.75" customHeight="1" x14ac:dyDescent="0.2">
      <c r="A1469" s="407" t="s">
        <v>129</v>
      </c>
      <c r="B1469" s="275"/>
      <c r="C1469" s="275"/>
      <c r="D1469" s="275"/>
      <c r="E1469" s="275"/>
      <c r="F1469" s="275"/>
      <c r="G1469" s="275"/>
      <c r="H1469" s="275"/>
      <c r="I1469" s="275"/>
      <c r="J1469" s="275"/>
      <c r="K1469" s="275"/>
      <c r="L1469" s="275"/>
      <c r="M1469" s="275"/>
      <c r="N1469" s="276"/>
      <c r="O1469" s="166"/>
    </row>
    <row r="1470" spans="1:15" ht="12.75" customHeight="1" x14ac:dyDescent="0.2">
      <c r="A1470" s="277"/>
      <c r="B1470" s="278"/>
      <c r="C1470" s="278"/>
      <c r="D1470" s="278"/>
      <c r="E1470" s="278"/>
      <c r="F1470" s="278"/>
      <c r="G1470" s="278"/>
      <c r="H1470" s="278"/>
      <c r="I1470" s="278"/>
      <c r="J1470" s="278"/>
      <c r="K1470" s="278"/>
      <c r="L1470" s="278"/>
      <c r="M1470" s="278"/>
      <c r="N1470" s="279"/>
      <c r="O1470" s="166"/>
    </row>
    <row r="1471" spans="1:15" ht="12.75" customHeight="1" x14ac:dyDescent="0.2">
      <c r="A1471" s="75"/>
      <c r="B1471" s="75"/>
      <c r="C1471" s="75"/>
      <c r="D1471" s="75"/>
      <c r="E1471" s="75"/>
      <c r="F1471" s="75"/>
      <c r="G1471" s="75"/>
      <c r="H1471" s="75"/>
      <c r="I1471" s="75"/>
      <c r="J1471" s="75"/>
      <c r="K1471" s="75"/>
      <c r="L1471" s="75"/>
      <c r="M1471" s="75"/>
      <c r="N1471" s="75"/>
    </row>
    <row r="1472" spans="1:15" ht="12.75" customHeight="1" x14ac:dyDescent="0.3">
      <c r="A1472" s="79" t="s">
        <v>647</v>
      </c>
      <c r="B1472" s="80" t="str">
        <f>A1469</f>
        <v>SUMINISTRO Y APLICACIÓN DE PINTURA EPÓXICA PARA RECUBRIMIENTO DE TUBERÍAS Y ESCALERAS TIPO GATO (INCLUYE MATERIALES Y MANO DE OBRA)</v>
      </c>
      <c r="C1472" s="81" t="s">
        <v>916</v>
      </c>
      <c r="D1472" s="82" t="s">
        <v>934</v>
      </c>
      <c r="E1472" s="83" t="s">
        <v>445</v>
      </c>
      <c r="F1472" s="234">
        <f>(H1472+J1472+L1472+N1472)*1.3</f>
        <v>40775.582126500005</v>
      </c>
      <c r="G1472" s="83" t="s">
        <v>607</v>
      </c>
      <c r="H1472" s="86">
        <f>M1491</f>
        <v>877.78610000000015</v>
      </c>
      <c r="I1472" s="83" t="s">
        <v>918</v>
      </c>
      <c r="J1472" s="86">
        <f>M1482</f>
        <v>12274.699999999999</v>
      </c>
      <c r="K1472" s="83" t="s">
        <v>609</v>
      </c>
      <c r="L1472" s="86">
        <f>M1500</f>
        <v>657.62430500000005</v>
      </c>
      <c r="M1472" s="83" t="s">
        <v>610</v>
      </c>
      <c r="N1472" s="86">
        <f>M1509</f>
        <v>17555.722000000002</v>
      </c>
    </row>
    <row r="1473" spans="1:14" ht="12.75" customHeight="1" x14ac:dyDescent="0.25">
      <c r="A1473" s="87"/>
      <c r="B1473" s="87"/>
      <c r="C1473" s="87"/>
      <c r="D1473" s="87"/>
      <c r="E1473" s="87"/>
      <c r="F1473" s="87"/>
      <c r="G1473" s="87"/>
      <c r="J1473" s="87"/>
      <c r="K1473" s="215" t="s">
        <v>3217</v>
      </c>
      <c r="L1473" s="215">
        <f>+F1472*presup!$O$5</f>
        <v>53008.256764450009</v>
      </c>
      <c r="M1473" s="87"/>
      <c r="N1473" s="87"/>
    </row>
    <row r="1474" spans="1:14" ht="12.75" customHeight="1" x14ac:dyDescent="0.2">
      <c r="A1474" s="398" t="s">
        <v>919</v>
      </c>
      <c r="B1474" s="271"/>
      <c r="C1474" s="271"/>
      <c r="D1474" s="271"/>
      <c r="E1474" s="271"/>
      <c r="F1474" s="271"/>
      <c r="G1474" s="271"/>
      <c r="H1474" s="271"/>
      <c r="I1474" s="271"/>
      <c r="J1474" s="271"/>
      <c r="K1474" s="271"/>
      <c r="L1474" s="271"/>
      <c r="M1474" s="271"/>
      <c r="N1474" s="273"/>
    </row>
    <row r="1475" spans="1:14" ht="12.75" customHeight="1" x14ac:dyDescent="0.2">
      <c r="A1475" s="396" t="s">
        <v>76</v>
      </c>
      <c r="B1475" s="271"/>
      <c r="C1475" s="271"/>
      <c r="D1475" s="271"/>
      <c r="E1475" s="271"/>
      <c r="F1475" s="271"/>
      <c r="G1475" s="273"/>
      <c r="H1475" s="88" t="s">
        <v>77</v>
      </c>
      <c r="I1475" s="399" t="s">
        <v>920</v>
      </c>
      <c r="J1475" s="273"/>
      <c r="K1475" s="399" t="s">
        <v>453</v>
      </c>
      <c r="L1475" s="273"/>
      <c r="M1475" s="399" t="s">
        <v>921</v>
      </c>
      <c r="N1475" s="273"/>
    </row>
    <row r="1476" spans="1:14" ht="12.75" customHeight="1" x14ac:dyDescent="0.2">
      <c r="A1476" s="403" t="s">
        <v>1046</v>
      </c>
      <c r="B1476" s="271"/>
      <c r="C1476" s="271"/>
      <c r="D1476" s="271"/>
      <c r="E1476" s="271"/>
      <c r="F1476" s="271"/>
      <c r="G1476" s="273"/>
      <c r="H1476" s="29" t="str">
        <f t="shared" ref="H1476:H1481" si="189">IF(A1476="","",VLOOKUP(A1476,AA_Materiales,7,FALSE))</f>
        <v>Galón</v>
      </c>
      <c r="I1476" s="394">
        <f t="shared" ref="I1476:I1481" si="190">IF(A1476="","",VLOOKUP(A1476,AA_Materiales,8,FALSE))</f>
        <v>199900</v>
      </c>
      <c r="J1476" s="273"/>
      <c r="K1476" s="395">
        <v>5.2999999999999999E-2</v>
      </c>
      <c r="L1476" s="273"/>
      <c r="M1476" s="394">
        <f t="shared" ref="M1476:M1481" si="191">IF(A1476="","",I1476*K1476)</f>
        <v>10594.699999999999</v>
      </c>
      <c r="N1476" s="273"/>
    </row>
    <row r="1477" spans="1:14" ht="12.75" customHeight="1" x14ac:dyDescent="0.2">
      <c r="A1477" s="400" t="s">
        <v>1047</v>
      </c>
      <c r="B1477" s="271"/>
      <c r="C1477" s="271"/>
      <c r="D1477" s="271"/>
      <c r="E1477" s="271"/>
      <c r="F1477" s="271"/>
      <c r="G1477" s="273"/>
      <c r="H1477" s="29" t="str">
        <f t="shared" si="189"/>
        <v>Galón</v>
      </c>
      <c r="I1477" s="394">
        <f t="shared" si="190"/>
        <v>42000</v>
      </c>
      <c r="J1477" s="273"/>
      <c r="K1477" s="395">
        <v>0.04</v>
      </c>
      <c r="L1477" s="273"/>
      <c r="M1477" s="394">
        <f t="shared" si="191"/>
        <v>1680</v>
      </c>
      <c r="N1477" s="273"/>
    </row>
    <row r="1478" spans="1:14" ht="12.75" customHeight="1" x14ac:dyDescent="0.2">
      <c r="A1478" s="400"/>
      <c r="B1478" s="271"/>
      <c r="C1478" s="271"/>
      <c r="D1478" s="271"/>
      <c r="E1478" s="271"/>
      <c r="F1478" s="271"/>
      <c r="G1478" s="273"/>
      <c r="H1478" s="29" t="str">
        <f t="shared" si="189"/>
        <v/>
      </c>
      <c r="I1478" s="394" t="str">
        <f t="shared" si="190"/>
        <v/>
      </c>
      <c r="J1478" s="273"/>
      <c r="K1478" s="395"/>
      <c r="L1478" s="273"/>
      <c r="M1478" s="394" t="str">
        <f t="shared" si="191"/>
        <v/>
      </c>
      <c r="N1478" s="273"/>
    </row>
    <row r="1479" spans="1:14" ht="12.75" customHeight="1" x14ac:dyDescent="0.2">
      <c r="A1479" s="400"/>
      <c r="B1479" s="271"/>
      <c r="C1479" s="271"/>
      <c r="D1479" s="271"/>
      <c r="E1479" s="271"/>
      <c r="F1479" s="271"/>
      <c r="G1479" s="273"/>
      <c r="H1479" s="29" t="str">
        <f t="shared" si="189"/>
        <v/>
      </c>
      <c r="I1479" s="394" t="str">
        <f t="shared" si="190"/>
        <v/>
      </c>
      <c r="J1479" s="273"/>
      <c r="K1479" s="395"/>
      <c r="L1479" s="273"/>
      <c r="M1479" s="394" t="str">
        <f t="shared" si="191"/>
        <v/>
      </c>
      <c r="N1479" s="273"/>
    </row>
    <row r="1480" spans="1:14" ht="12.75" customHeight="1" x14ac:dyDescent="0.2">
      <c r="A1480" s="400"/>
      <c r="B1480" s="271"/>
      <c r="C1480" s="271"/>
      <c r="D1480" s="271"/>
      <c r="E1480" s="271"/>
      <c r="F1480" s="271"/>
      <c r="G1480" s="273"/>
      <c r="H1480" s="29" t="str">
        <f t="shared" si="189"/>
        <v/>
      </c>
      <c r="I1480" s="394" t="str">
        <f t="shared" si="190"/>
        <v/>
      </c>
      <c r="J1480" s="273"/>
      <c r="K1480" s="395"/>
      <c r="L1480" s="273"/>
      <c r="M1480" s="394" t="str">
        <f t="shared" si="191"/>
        <v/>
      </c>
      <c r="N1480" s="273"/>
    </row>
    <row r="1481" spans="1:14" ht="12.75" customHeight="1" x14ac:dyDescent="0.2">
      <c r="A1481" s="400"/>
      <c r="B1481" s="271"/>
      <c r="C1481" s="271"/>
      <c r="D1481" s="271"/>
      <c r="E1481" s="271"/>
      <c r="F1481" s="271"/>
      <c r="G1481" s="273"/>
      <c r="H1481" s="29" t="str">
        <f t="shared" si="189"/>
        <v/>
      </c>
      <c r="I1481" s="394" t="str">
        <f t="shared" si="190"/>
        <v/>
      </c>
      <c r="J1481" s="273"/>
      <c r="K1481" s="395"/>
      <c r="L1481" s="273"/>
      <c r="M1481" s="394" t="str">
        <f t="shared" si="191"/>
        <v/>
      </c>
      <c r="N1481" s="273"/>
    </row>
    <row r="1482" spans="1:14" ht="12.75" customHeight="1" x14ac:dyDescent="0.25">
      <c r="A1482" s="4"/>
      <c r="B1482" s="4"/>
      <c r="C1482" s="4"/>
      <c r="D1482" s="4"/>
      <c r="E1482" s="4"/>
      <c r="F1482" s="4"/>
      <c r="G1482" s="4"/>
      <c r="H1482" s="4"/>
      <c r="I1482" s="4"/>
      <c r="J1482" s="4"/>
      <c r="K1482" s="396" t="s">
        <v>444</v>
      </c>
      <c r="L1482" s="273"/>
      <c r="M1482" s="394">
        <f>SUM(M1476:N1481)</f>
        <v>12274.699999999999</v>
      </c>
      <c r="N1482" s="273"/>
    </row>
    <row r="1483" spans="1:14" ht="12.75" customHeight="1" x14ac:dyDescent="0.25">
      <c r="A1483" s="4"/>
      <c r="B1483" s="4"/>
      <c r="C1483" s="4"/>
      <c r="D1483" s="4"/>
      <c r="E1483" s="4"/>
      <c r="F1483" s="4"/>
      <c r="G1483" s="4"/>
      <c r="H1483" s="4"/>
      <c r="I1483" s="4"/>
      <c r="J1483" s="4"/>
      <c r="K1483" s="4"/>
      <c r="L1483" s="4"/>
      <c r="M1483" s="4"/>
      <c r="N1483" s="4"/>
    </row>
    <row r="1484" spans="1:14" ht="12.75" customHeight="1" x14ac:dyDescent="0.2">
      <c r="A1484" s="398" t="s">
        <v>926</v>
      </c>
      <c r="B1484" s="271"/>
      <c r="C1484" s="271"/>
      <c r="D1484" s="271"/>
      <c r="E1484" s="271"/>
      <c r="F1484" s="271"/>
      <c r="G1484" s="271"/>
      <c r="H1484" s="271"/>
      <c r="I1484" s="271"/>
      <c r="J1484" s="271"/>
      <c r="K1484" s="271"/>
      <c r="L1484" s="271"/>
      <c r="M1484" s="271"/>
      <c r="N1484" s="273"/>
    </row>
    <row r="1485" spans="1:14" ht="12.75" customHeight="1" x14ac:dyDescent="0.2">
      <c r="A1485" s="396" t="s">
        <v>76</v>
      </c>
      <c r="B1485" s="271"/>
      <c r="C1485" s="271"/>
      <c r="D1485" s="271"/>
      <c r="E1485" s="271"/>
      <c r="F1485" s="271"/>
      <c r="G1485" s="273"/>
      <c r="H1485" s="88" t="s">
        <v>77</v>
      </c>
      <c r="I1485" s="399" t="s">
        <v>920</v>
      </c>
      <c r="J1485" s="273"/>
      <c r="K1485" s="399" t="s">
        <v>453</v>
      </c>
      <c r="L1485" s="273"/>
      <c r="M1485" s="399" t="s">
        <v>921</v>
      </c>
      <c r="N1485" s="273"/>
    </row>
    <row r="1486" spans="1:14" ht="12.75" customHeight="1" x14ac:dyDescent="0.2">
      <c r="A1486" s="400" t="s">
        <v>927</v>
      </c>
      <c r="B1486" s="271"/>
      <c r="C1486" s="271"/>
      <c r="D1486" s="271"/>
      <c r="E1486" s="271"/>
      <c r="F1486" s="271"/>
      <c r="G1486" s="273"/>
      <c r="H1486" s="29" t="str">
        <f>IF(A1486="","",VLOOKUP(A1486,AA_Equipos,7,FALSE))</f>
        <v>% M.O.</v>
      </c>
      <c r="I1486" s="394">
        <f>+M1509</f>
        <v>17555.722000000002</v>
      </c>
      <c r="J1486" s="273"/>
      <c r="K1486" s="404">
        <v>0.05</v>
      </c>
      <c r="L1486" s="273"/>
      <c r="M1486" s="394">
        <f t="shared" ref="M1486:M1490" si="192">IF(A1486="","",I1486*K1486)</f>
        <v>877.78610000000015</v>
      </c>
      <c r="N1486" s="273"/>
    </row>
    <row r="1487" spans="1:14" ht="12.75" customHeight="1" x14ac:dyDescent="0.2">
      <c r="A1487" s="403"/>
      <c r="B1487" s="271"/>
      <c r="C1487" s="271"/>
      <c r="D1487" s="271"/>
      <c r="E1487" s="271"/>
      <c r="F1487" s="271"/>
      <c r="G1487" s="273"/>
      <c r="H1487" s="29" t="str">
        <f>IF(A1487="","",VLOOKUP(A1487,AA_Equipos,7,FALSE))</f>
        <v/>
      </c>
      <c r="I1487" s="394" t="str">
        <f>IF(A1487="","",VLOOKUP(A1487,AA_Equipos,8,FALSE))</f>
        <v/>
      </c>
      <c r="J1487" s="273"/>
      <c r="K1487" s="402"/>
      <c r="L1487" s="273"/>
      <c r="M1487" s="394" t="str">
        <f t="shared" si="192"/>
        <v/>
      </c>
      <c r="N1487" s="273"/>
    </row>
    <row r="1488" spans="1:14" ht="12.75" customHeight="1" x14ac:dyDescent="0.2">
      <c r="A1488" s="400"/>
      <c r="B1488" s="271"/>
      <c r="C1488" s="271"/>
      <c r="D1488" s="271"/>
      <c r="E1488" s="271"/>
      <c r="F1488" s="271"/>
      <c r="G1488" s="273"/>
      <c r="H1488" s="29" t="str">
        <f>IF(A1488="","",VLOOKUP(A1488,AA_Equipos,7,FALSE))</f>
        <v/>
      </c>
      <c r="I1488" s="394" t="str">
        <f>IF(A1488="","",VLOOKUP(A1488,AA_Equipos,8,FALSE))</f>
        <v/>
      </c>
      <c r="J1488" s="273"/>
      <c r="K1488" s="401"/>
      <c r="L1488" s="273"/>
      <c r="M1488" s="394" t="str">
        <f t="shared" si="192"/>
        <v/>
      </c>
      <c r="N1488" s="273"/>
    </row>
    <row r="1489" spans="1:14" ht="12.75" customHeight="1" x14ac:dyDescent="0.2">
      <c r="A1489" s="400"/>
      <c r="B1489" s="271"/>
      <c r="C1489" s="271"/>
      <c r="D1489" s="271"/>
      <c r="E1489" s="271"/>
      <c r="F1489" s="271"/>
      <c r="G1489" s="273"/>
      <c r="H1489" s="29" t="str">
        <f>IF(A1489="","",VLOOKUP(A1489,AA_Equipos,7,FALSE))</f>
        <v/>
      </c>
      <c r="I1489" s="394" t="str">
        <f>IF(A1489="","",VLOOKUP(A1489,AA_Equipos,8,FALSE))</f>
        <v/>
      </c>
      <c r="J1489" s="273"/>
      <c r="K1489" s="395"/>
      <c r="L1489" s="273"/>
      <c r="M1489" s="394" t="str">
        <f t="shared" si="192"/>
        <v/>
      </c>
      <c r="N1489" s="273"/>
    </row>
    <row r="1490" spans="1:14" ht="12.75" customHeight="1" x14ac:dyDescent="0.2">
      <c r="A1490" s="400"/>
      <c r="B1490" s="271"/>
      <c r="C1490" s="271"/>
      <c r="D1490" s="271"/>
      <c r="E1490" s="271"/>
      <c r="F1490" s="271"/>
      <c r="G1490" s="273"/>
      <c r="H1490" s="29" t="str">
        <f>IF(A1490="","",VLOOKUP(A1490,AA_Equipos,7,FALSE))</f>
        <v/>
      </c>
      <c r="I1490" s="394" t="str">
        <f>IF(A1490="","",VLOOKUP(A1490,AA_Equipos,8,FALSE))</f>
        <v/>
      </c>
      <c r="J1490" s="273"/>
      <c r="K1490" s="395"/>
      <c r="L1490" s="273"/>
      <c r="M1490" s="394" t="str">
        <f t="shared" si="192"/>
        <v/>
      </c>
      <c r="N1490" s="273"/>
    </row>
    <row r="1491" spans="1:14" ht="12.75" customHeight="1" x14ac:dyDescent="0.25">
      <c r="A1491" s="4"/>
      <c r="B1491" s="4"/>
      <c r="C1491" s="4"/>
      <c r="D1491" s="4"/>
      <c r="E1491" s="4"/>
      <c r="F1491" s="4"/>
      <c r="G1491" s="4"/>
      <c r="H1491" s="4"/>
      <c r="I1491" s="4"/>
      <c r="J1491" s="4"/>
      <c r="K1491" s="396" t="s">
        <v>444</v>
      </c>
      <c r="L1491" s="273"/>
      <c r="M1491" s="394">
        <f>SUM(M1486:N1490)</f>
        <v>877.78610000000015</v>
      </c>
      <c r="N1491" s="273"/>
    </row>
    <row r="1492" spans="1:14" ht="12.75" customHeight="1" x14ac:dyDescent="0.25">
      <c r="A1492" s="4"/>
      <c r="B1492" s="4"/>
      <c r="C1492" s="4"/>
      <c r="D1492" s="4"/>
      <c r="E1492" s="4"/>
      <c r="F1492" s="4"/>
      <c r="G1492" s="4"/>
      <c r="H1492" s="4"/>
      <c r="I1492" s="4"/>
      <c r="J1492" s="4"/>
      <c r="K1492" s="4"/>
      <c r="L1492" s="4"/>
      <c r="M1492" s="4"/>
      <c r="N1492" s="4"/>
    </row>
    <row r="1493" spans="1:14" ht="12.75" customHeight="1" x14ac:dyDescent="0.2">
      <c r="A1493" s="398" t="s">
        <v>929</v>
      </c>
      <c r="B1493" s="271"/>
      <c r="C1493" s="271"/>
      <c r="D1493" s="271"/>
      <c r="E1493" s="271"/>
      <c r="F1493" s="271"/>
      <c r="G1493" s="271"/>
      <c r="H1493" s="271"/>
      <c r="I1493" s="271"/>
      <c r="J1493" s="271"/>
      <c r="K1493" s="271"/>
      <c r="L1493" s="271"/>
      <c r="M1493" s="271"/>
      <c r="N1493" s="273"/>
    </row>
    <row r="1494" spans="1:14" ht="12.75" customHeight="1" x14ac:dyDescent="0.2">
      <c r="A1494" s="396" t="s">
        <v>76</v>
      </c>
      <c r="B1494" s="271"/>
      <c r="C1494" s="271"/>
      <c r="D1494" s="271"/>
      <c r="E1494" s="271"/>
      <c r="F1494" s="271"/>
      <c r="G1494" s="273"/>
      <c r="H1494" s="88" t="s">
        <v>77</v>
      </c>
      <c r="I1494" s="399" t="s">
        <v>920</v>
      </c>
      <c r="J1494" s="273"/>
      <c r="K1494" s="399" t="s">
        <v>453</v>
      </c>
      <c r="L1494" s="273"/>
      <c r="M1494" s="399" t="s">
        <v>921</v>
      </c>
      <c r="N1494" s="273"/>
    </row>
    <row r="1495" spans="1:14" ht="12.75" customHeight="1" x14ac:dyDescent="0.2">
      <c r="A1495" s="400" t="s">
        <v>960</v>
      </c>
      <c r="B1495" s="271"/>
      <c r="C1495" s="271"/>
      <c r="D1495" s="271"/>
      <c r="E1495" s="271"/>
      <c r="F1495" s="271"/>
      <c r="G1495" s="273"/>
      <c r="H1495" s="29" t="s">
        <v>950</v>
      </c>
      <c r="I1495" s="394">
        <f>+M1482</f>
        <v>12274.699999999999</v>
      </c>
      <c r="J1495" s="273"/>
      <c r="K1495" s="404">
        <v>0.05</v>
      </c>
      <c r="L1495" s="273"/>
      <c r="M1495" s="394">
        <f t="shared" ref="M1495:M1499" si="193">IF(A1495="","",I1495*K1495)</f>
        <v>613.73500000000001</v>
      </c>
      <c r="N1495" s="273"/>
    </row>
    <row r="1496" spans="1:14" ht="12.75" customHeight="1" x14ac:dyDescent="0.2">
      <c r="A1496" s="403" t="s">
        <v>3174</v>
      </c>
      <c r="B1496" s="271"/>
      <c r="C1496" s="271"/>
      <c r="D1496" s="271"/>
      <c r="E1496" s="271"/>
      <c r="F1496" s="271"/>
      <c r="G1496" s="273"/>
      <c r="H1496" s="29" t="s">
        <v>24</v>
      </c>
      <c r="I1496" s="394">
        <f>+M1491</f>
        <v>877.78610000000015</v>
      </c>
      <c r="J1496" s="273"/>
      <c r="K1496" s="404">
        <v>0.05</v>
      </c>
      <c r="L1496" s="273"/>
      <c r="M1496" s="394">
        <f t="shared" si="193"/>
        <v>43.889305000000007</v>
      </c>
      <c r="N1496" s="273"/>
    </row>
    <row r="1497" spans="1:14" ht="12.75" customHeight="1" x14ac:dyDescent="0.2">
      <c r="A1497" s="400"/>
      <c r="B1497" s="271"/>
      <c r="C1497" s="271"/>
      <c r="D1497" s="271"/>
      <c r="E1497" s="271"/>
      <c r="F1497" s="271"/>
      <c r="G1497" s="273"/>
      <c r="H1497" s="29"/>
      <c r="I1497" s="394"/>
      <c r="J1497" s="273"/>
      <c r="K1497" s="395"/>
      <c r="L1497" s="273"/>
      <c r="M1497" s="394" t="str">
        <f t="shared" si="193"/>
        <v/>
      </c>
      <c r="N1497" s="273"/>
    </row>
    <row r="1498" spans="1:14" ht="12.75" customHeight="1" x14ac:dyDescent="0.2">
      <c r="A1498" s="400"/>
      <c r="B1498" s="271"/>
      <c r="C1498" s="271"/>
      <c r="D1498" s="271"/>
      <c r="E1498" s="271"/>
      <c r="F1498" s="271"/>
      <c r="G1498" s="273"/>
      <c r="H1498" s="29"/>
      <c r="I1498" s="394"/>
      <c r="J1498" s="273"/>
      <c r="K1498" s="395"/>
      <c r="L1498" s="273"/>
      <c r="M1498" s="394" t="str">
        <f t="shared" si="193"/>
        <v/>
      </c>
      <c r="N1498" s="273"/>
    </row>
    <row r="1499" spans="1:14" ht="12.75" customHeight="1" x14ac:dyDescent="0.2">
      <c r="A1499" s="400"/>
      <c r="B1499" s="271"/>
      <c r="C1499" s="271"/>
      <c r="D1499" s="271"/>
      <c r="E1499" s="271"/>
      <c r="F1499" s="271"/>
      <c r="G1499" s="273"/>
      <c r="H1499" s="29"/>
      <c r="I1499" s="394"/>
      <c r="J1499" s="273"/>
      <c r="K1499" s="395"/>
      <c r="L1499" s="273"/>
      <c r="M1499" s="394" t="str">
        <f t="shared" si="193"/>
        <v/>
      </c>
      <c r="N1499" s="273"/>
    </row>
    <row r="1500" spans="1:14" ht="12.75" customHeight="1" x14ac:dyDescent="0.25">
      <c r="A1500" s="4"/>
      <c r="B1500" s="4"/>
      <c r="C1500" s="4"/>
      <c r="D1500" s="4"/>
      <c r="E1500" s="4"/>
      <c r="F1500" s="4"/>
      <c r="G1500" s="4"/>
      <c r="H1500" s="4"/>
      <c r="I1500" s="4"/>
      <c r="J1500" s="4"/>
      <c r="K1500" s="396" t="s">
        <v>444</v>
      </c>
      <c r="L1500" s="273"/>
      <c r="M1500" s="394">
        <f>SUM(M1495:N1499)</f>
        <v>657.62430500000005</v>
      </c>
      <c r="N1500" s="273"/>
    </row>
    <row r="1501" spans="1:14" ht="12.75" customHeight="1" x14ac:dyDescent="0.25">
      <c r="A1501" s="4"/>
      <c r="B1501" s="4"/>
      <c r="C1501" s="4"/>
      <c r="D1501" s="4"/>
      <c r="E1501" s="4"/>
      <c r="F1501" s="4"/>
      <c r="G1501" s="4"/>
      <c r="H1501" s="4"/>
      <c r="I1501" s="4"/>
      <c r="J1501" s="4"/>
      <c r="K1501" s="4"/>
      <c r="L1501" s="4"/>
      <c r="M1501" s="4"/>
      <c r="N1501" s="4"/>
    </row>
    <row r="1502" spans="1:14" ht="12.75" customHeight="1" x14ac:dyDescent="0.2">
      <c r="A1502" s="398" t="s">
        <v>931</v>
      </c>
      <c r="B1502" s="271"/>
      <c r="C1502" s="271"/>
      <c r="D1502" s="271"/>
      <c r="E1502" s="271"/>
      <c r="F1502" s="271"/>
      <c r="G1502" s="271"/>
      <c r="H1502" s="271"/>
      <c r="I1502" s="271"/>
      <c r="J1502" s="271"/>
      <c r="K1502" s="271"/>
      <c r="L1502" s="271"/>
      <c r="M1502" s="271"/>
      <c r="N1502" s="273"/>
    </row>
    <row r="1503" spans="1:14" ht="12.75" customHeight="1" x14ac:dyDescent="0.2">
      <c r="A1503" s="396" t="s">
        <v>76</v>
      </c>
      <c r="B1503" s="271"/>
      <c r="C1503" s="271"/>
      <c r="D1503" s="271"/>
      <c r="E1503" s="271"/>
      <c r="F1503" s="271"/>
      <c r="G1503" s="273"/>
      <c r="H1503" s="88" t="s">
        <v>77</v>
      </c>
      <c r="I1503" s="399" t="s">
        <v>920</v>
      </c>
      <c r="J1503" s="273"/>
      <c r="K1503" s="90" t="s">
        <v>514</v>
      </c>
      <c r="L1503" s="91" t="s">
        <v>932</v>
      </c>
      <c r="M1503" s="399" t="s">
        <v>921</v>
      </c>
      <c r="N1503" s="273"/>
    </row>
    <row r="1504" spans="1:14" ht="12.75" customHeight="1" x14ac:dyDescent="0.25">
      <c r="A1504" s="393" t="s">
        <v>1041</v>
      </c>
      <c r="B1504" s="271"/>
      <c r="C1504" s="271"/>
      <c r="D1504" s="271"/>
      <c r="E1504" s="271"/>
      <c r="F1504" s="271"/>
      <c r="G1504" s="273"/>
      <c r="H1504" s="29" t="str">
        <f>IF(A1504="","",VLOOKUP(A1504,AA_Cuadrillas,4,FALSE))</f>
        <v>Cuadrilla</v>
      </c>
      <c r="I1504" s="394">
        <f>IF(A1504="","",VLOOKUP(A1504,AA_Cuadrillas,5,FALSE))</f>
        <v>186763</v>
      </c>
      <c r="J1504" s="273"/>
      <c r="K1504" s="9">
        <f>IF(A1504="","",F.P!$I$2)</f>
        <v>1.88</v>
      </c>
      <c r="L1504" s="97">
        <v>0.05</v>
      </c>
      <c r="M1504" s="394">
        <f t="shared" ref="M1504:M1508" si="194">IF(A1504="","",I1504*K1504*L1504)</f>
        <v>17555.722000000002</v>
      </c>
      <c r="N1504" s="273"/>
    </row>
    <row r="1505" spans="1:15" ht="12.75" customHeight="1" x14ac:dyDescent="0.25">
      <c r="A1505" s="393"/>
      <c r="B1505" s="271"/>
      <c r="C1505" s="271"/>
      <c r="D1505" s="271"/>
      <c r="E1505" s="271"/>
      <c r="F1505" s="271"/>
      <c r="G1505" s="273"/>
      <c r="H1505" s="29" t="str">
        <f>IF(A1505="","",VLOOKUP(A1505,AA_Cuadrillas,4,FALSE))</f>
        <v/>
      </c>
      <c r="I1505" s="394" t="str">
        <f>IF(A1505="","",VLOOKUP(A1505,AA_Cuadrillas,5,FALSE))</f>
        <v/>
      </c>
      <c r="J1505" s="273"/>
      <c r="K1505" s="9" t="str">
        <f>IF(A1505="","",F.P!$I$2)</f>
        <v/>
      </c>
      <c r="L1505" s="9"/>
      <c r="M1505" s="394" t="str">
        <f t="shared" si="194"/>
        <v/>
      </c>
      <c r="N1505" s="273"/>
    </row>
    <row r="1506" spans="1:15" ht="12.75" customHeight="1" x14ac:dyDescent="0.25">
      <c r="A1506" s="393"/>
      <c r="B1506" s="271"/>
      <c r="C1506" s="271"/>
      <c r="D1506" s="271"/>
      <c r="E1506" s="271"/>
      <c r="F1506" s="271"/>
      <c r="G1506" s="273"/>
      <c r="H1506" s="29" t="str">
        <f>IF(A1506="","",VLOOKUP(A1506,AA_Cuadrillas,4,FALSE))</f>
        <v/>
      </c>
      <c r="I1506" s="394" t="str">
        <f>IF(A1506="","",VLOOKUP(A1506,AA_Cuadrillas,5,FALSE))</f>
        <v/>
      </c>
      <c r="J1506" s="273"/>
      <c r="K1506" s="9" t="str">
        <f>IF(A1506="","",F.P!$I$2)</f>
        <v/>
      </c>
      <c r="L1506" s="37"/>
      <c r="M1506" s="394" t="str">
        <f t="shared" si="194"/>
        <v/>
      </c>
      <c r="N1506" s="273"/>
    </row>
    <row r="1507" spans="1:15" ht="12.75" customHeight="1" x14ac:dyDescent="0.25">
      <c r="A1507" s="393"/>
      <c r="B1507" s="271"/>
      <c r="C1507" s="271"/>
      <c r="D1507" s="271"/>
      <c r="E1507" s="271"/>
      <c r="F1507" s="271"/>
      <c r="G1507" s="273"/>
      <c r="H1507" s="29" t="str">
        <f>IF(A1507="","",VLOOKUP(A1507,AA_Cuadrillas,4,FALSE))</f>
        <v/>
      </c>
      <c r="I1507" s="394" t="str">
        <f>IF(A1507="","",VLOOKUP(A1507,AA_Cuadrillas,5,FALSE))</f>
        <v/>
      </c>
      <c r="J1507" s="273"/>
      <c r="K1507" s="9" t="str">
        <f>IF(A1507="","",F.P!$I$2)</f>
        <v/>
      </c>
      <c r="L1507" s="37"/>
      <c r="M1507" s="394" t="str">
        <f t="shared" si="194"/>
        <v/>
      </c>
      <c r="N1507" s="273"/>
    </row>
    <row r="1508" spans="1:15" ht="12.75" customHeight="1" x14ac:dyDescent="0.25">
      <c r="A1508" s="393"/>
      <c r="B1508" s="271"/>
      <c r="C1508" s="271"/>
      <c r="D1508" s="271"/>
      <c r="E1508" s="271"/>
      <c r="F1508" s="271"/>
      <c r="G1508" s="273"/>
      <c r="H1508" s="29" t="str">
        <f>IF(A1508="","",VLOOKUP(A1508,AA_Cuadrillas,4,FALSE))</f>
        <v/>
      </c>
      <c r="I1508" s="394" t="str">
        <f>IF(A1508="","",VLOOKUP(A1508,AA_Cuadrillas,5,FALSE))</f>
        <v/>
      </c>
      <c r="J1508" s="273"/>
      <c r="K1508" s="9" t="str">
        <f>IF(A1508="","",F.P!$I$2)</f>
        <v/>
      </c>
      <c r="L1508" s="37"/>
      <c r="M1508" s="394" t="str">
        <f t="shared" si="194"/>
        <v/>
      </c>
      <c r="N1508" s="273"/>
    </row>
    <row r="1509" spans="1:15" ht="12.75" customHeight="1" x14ac:dyDescent="0.25">
      <c r="A1509" s="4"/>
      <c r="B1509" s="4"/>
      <c r="C1509" s="4"/>
      <c r="D1509" s="4"/>
      <c r="E1509" s="4"/>
      <c r="F1509" s="4"/>
      <c r="G1509" s="4"/>
      <c r="H1509" s="4"/>
      <c r="I1509" s="4"/>
      <c r="J1509" s="4"/>
      <c r="K1509" s="396" t="s">
        <v>444</v>
      </c>
      <c r="L1509" s="273"/>
      <c r="M1509" s="394">
        <f>SUM(M1504:N1508)</f>
        <v>17555.722000000002</v>
      </c>
      <c r="N1509" s="273"/>
    </row>
    <row r="1510" spans="1:15" ht="12.75" customHeight="1" x14ac:dyDescent="0.2"/>
    <row r="1511" spans="1:15" ht="12.75" customHeight="1" x14ac:dyDescent="0.2">
      <c r="A1511" s="407" t="s">
        <v>138</v>
      </c>
      <c r="B1511" s="275"/>
      <c r="C1511" s="275"/>
      <c r="D1511" s="275"/>
      <c r="E1511" s="275"/>
      <c r="F1511" s="275"/>
      <c r="G1511" s="275"/>
      <c r="H1511" s="275"/>
      <c r="I1511" s="275"/>
      <c r="J1511" s="275"/>
      <c r="K1511" s="275"/>
      <c r="L1511" s="275"/>
      <c r="M1511" s="275"/>
      <c r="N1511" s="276"/>
      <c r="O1511" s="166"/>
    </row>
    <row r="1512" spans="1:15" ht="12.75" customHeight="1" x14ac:dyDescent="0.2">
      <c r="A1512" s="277"/>
      <c r="B1512" s="278"/>
      <c r="C1512" s="278"/>
      <c r="D1512" s="278"/>
      <c r="E1512" s="278"/>
      <c r="F1512" s="278"/>
      <c r="G1512" s="278"/>
      <c r="H1512" s="278"/>
      <c r="I1512" s="278"/>
      <c r="J1512" s="278"/>
      <c r="K1512" s="278"/>
      <c r="L1512" s="278"/>
      <c r="M1512" s="278"/>
      <c r="N1512" s="279"/>
      <c r="O1512" s="166"/>
    </row>
    <row r="1513" spans="1:15" ht="12.75" customHeight="1" x14ac:dyDescent="0.2">
      <c r="A1513" s="75"/>
      <c r="B1513" s="75"/>
      <c r="C1513" s="75"/>
      <c r="D1513" s="75"/>
      <c r="E1513" s="75"/>
      <c r="F1513" s="75"/>
      <c r="G1513" s="75"/>
      <c r="H1513" s="75"/>
      <c r="I1513" s="75"/>
      <c r="J1513" s="75"/>
      <c r="K1513" s="75"/>
      <c r="L1513" s="75"/>
      <c r="M1513" s="75"/>
      <c r="N1513" s="75"/>
    </row>
    <row r="1514" spans="1:15" ht="12.75" customHeight="1" x14ac:dyDescent="0.3">
      <c r="A1514" s="79" t="s">
        <v>648</v>
      </c>
      <c r="B1514" s="80" t="str">
        <f>A1511</f>
        <v>SUMINISTRO DE BOMBA 2 HP - SUMERGIBLE DE LIMPIEZA (INCLUYE MANGUERA DE DESCARGA, KIT DE ACOPLE Y MANO DE OBRA)</v>
      </c>
      <c r="C1514" s="81" t="s">
        <v>916</v>
      </c>
      <c r="D1514" s="82" t="s">
        <v>999</v>
      </c>
      <c r="E1514" s="83" t="s">
        <v>445</v>
      </c>
      <c r="F1514" s="234">
        <f>(H1514+J1514+L1514+N1514)*1.3</f>
        <v>4069392.6</v>
      </c>
      <c r="G1514" s="83" t="s">
        <v>607</v>
      </c>
      <c r="H1514" s="86">
        <f>M1534</f>
        <v>0</v>
      </c>
      <c r="I1514" s="83" t="s">
        <v>918</v>
      </c>
      <c r="J1514" s="86">
        <f>M1525</f>
        <v>2981240</v>
      </c>
      <c r="K1514" s="83" t="s">
        <v>609</v>
      </c>
      <c r="L1514" s="86">
        <f>M1543</f>
        <v>149062</v>
      </c>
      <c r="M1514" s="83" t="s">
        <v>610</v>
      </c>
      <c r="N1514" s="86">
        <f>M1552</f>
        <v>0</v>
      </c>
    </row>
    <row r="1515" spans="1:15" ht="12.75" customHeight="1" x14ac:dyDescent="0.25">
      <c r="A1515" s="87"/>
      <c r="B1515" s="87"/>
      <c r="C1515" s="87"/>
      <c r="D1515" s="87"/>
      <c r="E1515" s="87"/>
      <c r="F1515" s="87"/>
      <c r="G1515" s="87"/>
      <c r="J1515" s="87"/>
      <c r="K1515" s="215" t="s">
        <v>3217</v>
      </c>
      <c r="L1515" s="215">
        <f>+F1514*presup!$O$5</f>
        <v>5290210.38</v>
      </c>
      <c r="M1515" s="87"/>
      <c r="N1515" s="87"/>
    </row>
    <row r="1516" spans="1:15" ht="12.75" customHeight="1" x14ac:dyDescent="0.2">
      <c r="A1516" s="398" t="s">
        <v>919</v>
      </c>
      <c r="B1516" s="271"/>
      <c r="C1516" s="271"/>
      <c r="D1516" s="271"/>
      <c r="E1516" s="271"/>
      <c r="F1516" s="271"/>
      <c r="G1516" s="271"/>
      <c r="H1516" s="271"/>
      <c r="I1516" s="271"/>
      <c r="J1516" s="271"/>
      <c r="K1516" s="271"/>
      <c r="L1516" s="271"/>
      <c r="M1516" s="271"/>
      <c r="N1516" s="273"/>
    </row>
    <row r="1517" spans="1:15" ht="12.75" customHeight="1" x14ac:dyDescent="0.2">
      <c r="A1517" s="396" t="s">
        <v>76</v>
      </c>
      <c r="B1517" s="271"/>
      <c r="C1517" s="271"/>
      <c r="D1517" s="271"/>
      <c r="E1517" s="271"/>
      <c r="F1517" s="271"/>
      <c r="G1517" s="273"/>
      <c r="H1517" s="88" t="s">
        <v>77</v>
      </c>
      <c r="I1517" s="399" t="s">
        <v>920</v>
      </c>
      <c r="J1517" s="273"/>
      <c r="K1517" s="399" t="s">
        <v>453</v>
      </c>
      <c r="L1517" s="273"/>
      <c r="M1517" s="399" t="s">
        <v>921</v>
      </c>
      <c r="N1517" s="273"/>
    </row>
    <row r="1518" spans="1:15" ht="12.75" customHeight="1" x14ac:dyDescent="0.2">
      <c r="A1518" s="403" t="s">
        <v>1048</v>
      </c>
      <c r="B1518" s="271"/>
      <c r="C1518" s="271"/>
      <c r="D1518" s="271"/>
      <c r="E1518" s="271"/>
      <c r="F1518" s="271"/>
      <c r="G1518" s="273"/>
      <c r="H1518" s="29" t="str">
        <f t="shared" ref="H1518:H1524" si="195">IF(A1518="","",VLOOKUP(A1518,AA_Materiales,7,FALSE))</f>
        <v>Unidad</v>
      </c>
      <c r="I1518" s="394">
        <f t="shared" ref="I1518:I1524" si="196">IF(A1518="","",VLOOKUP(A1518,AA_Materiales,8,FALSE))</f>
        <v>2898840</v>
      </c>
      <c r="J1518" s="273"/>
      <c r="K1518" s="395">
        <v>1</v>
      </c>
      <c r="L1518" s="273"/>
      <c r="M1518" s="394">
        <f t="shared" ref="M1518:M1524" si="197">IF(A1518="","",I1518*K1518)</f>
        <v>2898840</v>
      </c>
      <c r="N1518" s="273"/>
    </row>
    <row r="1519" spans="1:15" ht="12.75" customHeight="1" x14ac:dyDescent="0.2">
      <c r="A1519" s="403" t="s">
        <v>1049</v>
      </c>
      <c r="B1519" s="271"/>
      <c r="C1519" s="271"/>
      <c r="D1519" s="271"/>
      <c r="E1519" s="271"/>
      <c r="F1519" s="271"/>
      <c r="G1519" s="273"/>
      <c r="H1519" s="29" t="str">
        <f t="shared" si="195"/>
        <v>ml</v>
      </c>
      <c r="I1519" s="394">
        <f t="shared" si="196"/>
        <v>5900</v>
      </c>
      <c r="J1519" s="273"/>
      <c r="K1519" s="395">
        <v>5</v>
      </c>
      <c r="L1519" s="273"/>
      <c r="M1519" s="394">
        <f t="shared" si="197"/>
        <v>29500</v>
      </c>
      <c r="N1519" s="273"/>
    </row>
    <row r="1520" spans="1:15" ht="12.75" customHeight="1" x14ac:dyDescent="0.2">
      <c r="A1520" s="403" t="s">
        <v>1050</v>
      </c>
      <c r="B1520" s="271"/>
      <c r="C1520" s="271"/>
      <c r="D1520" s="271"/>
      <c r="E1520" s="271"/>
      <c r="F1520" s="271"/>
      <c r="G1520" s="273"/>
      <c r="H1520" s="29" t="str">
        <f t="shared" si="195"/>
        <v>Unidad</v>
      </c>
      <c r="I1520" s="394">
        <f t="shared" si="196"/>
        <v>52900</v>
      </c>
      <c r="J1520" s="273"/>
      <c r="K1520" s="395">
        <v>1</v>
      </c>
      <c r="L1520" s="273"/>
      <c r="M1520" s="394">
        <f t="shared" si="197"/>
        <v>52900</v>
      </c>
      <c r="N1520" s="273"/>
    </row>
    <row r="1521" spans="1:14" ht="12.75" customHeight="1" x14ac:dyDescent="0.2">
      <c r="A1521" s="403"/>
      <c r="B1521" s="271"/>
      <c r="C1521" s="271"/>
      <c r="D1521" s="271"/>
      <c r="E1521" s="271"/>
      <c r="F1521" s="271"/>
      <c r="G1521" s="273"/>
      <c r="H1521" s="29" t="str">
        <f t="shared" si="195"/>
        <v/>
      </c>
      <c r="I1521" s="394" t="str">
        <f t="shared" si="196"/>
        <v/>
      </c>
      <c r="J1521" s="273"/>
      <c r="K1521" s="395"/>
      <c r="L1521" s="273"/>
      <c r="M1521" s="394" t="str">
        <f t="shared" si="197"/>
        <v/>
      </c>
      <c r="N1521" s="273"/>
    </row>
    <row r="1522" spans="1:14" ht="12.75" customHeight="1" x14ac:dyDescent="0.2">
      <c r="A1522" s="403"/>
      <c r="B1522" s="271"/>
      <c r="C1522" s="271"/>
      <c r="D1522" s="271"/>
      <c r="E1522" s="271"/>
      <c r="F1522" s="271"/>
      <c r="G1522" s="273"/>
      <c r="H1522" s="29" t="str">
        <f t="shared" si="195"/>
        <v/>
      </c>
      <c r="I1522" s="394" t="str">
        <f t="shared" si="196"/>
        <v/>
      </c>
      <c r="J1522" s="273"/>
      <c r="K1522" s="395"/>
      <c r="L1522" s="273"/>
      <c r="M1522" s="394" t="str">
        <f t="shared" si="197"/>
        <v/>
      </c>
      <c r="N1522" s="273"/>
    </row>
    <row r="1523" spans="1:14" ht="12.75" customHeight="1" x14ac:dyDescent="0.2">
      <c r="A1523" s="403"/>
      <c r="B1523" s="271"/>
      <c r="C1523" s="271"/>
      <c r="D1523" s="271"/>
      <c r="E1523" s="271"/>
      <c r="F1523" s="271"/>
      <c r="G1523" s="273"/>
      <c r="H1523" s="29" t="str">
        <f t="shared" si="195"/>
        <v/>
      </c>
      <c r="I1523" s="394" t="str">
        <f t="shared" si="196"/>
        <v/>
      </c>
      <c r="J1523" s="273"/>
      <c r="K1523" s="395"/>
      <c r="L1523" s="273"/>
      <c r="M1523" s="394" t="str">
        <f t="shared" si="197"/>
        <v/>
      </c>
      <c r="N1523" s="273"/>
    </row>
    <row r="1524" spans="1:14" ht="12.75" customHeight="1" x14ac:dyDescent="0.2">
      <c r="A1524" s="400"/>
      <c r="B1524" s="271"/>
      <c r="C1524" s="271"/>
      <c r="D1524" s="271"/>
      <c r="E1524" s="271"/>
      <c r="F1524" s="271"/>
      <c r="G1524" s="273"/>
      <c r="H1524" s="29" t="str">
        <f t="shared" si="195"/>
        <v/>
      </c>
      <c r="I1524" s="394" t="str">
        <f t="shared" si="196"/>
        <v/>
      </c>
      <c r="J1524" s="273"/>
      <c r="K1524" s="395"/>
      <c r="L1524" s="273"/>
      <c r="M1524" s="394" t="str">
        <f t="shared" si="197"/>
        <v/>
      </c>
      <c r="N1524" s="273"/>
    </row>
    <row r="1525" spans="1:14" ht="12.75" customHeight="1" x14ac:dyDescent="0.25">
      <c r="A1525" s="4"/>
      <c r="B1525" s="4"/>
      <c r="C1525" s="4"/>
      <c r="D1525" s="4"/>
      <c r="E1525" s="4"/>
      <c r="F1525" s="4"/>
      <c r="G1525" s="4"/>
      <c r="H1525" s="4"/>
      <c r="I1525" s="4"/>
      <c r="J1525" s="4"/>
      <c r="K1525" s="396" t="s">
        <v>444</v>
      </c>
      <c r="L1525" s="273"/>
      <c r="M1525" s="394">
        <f>SUM(M1518:N1524)</f>
        <v>2981240</v>
      </c>
      <c r="N1525" s="273"/>
    </row>
    <row r="1526" spans="1:14" ht="12.75" customHeight="1" x14ac:dyDescent="0.25">
      <c r="A1526" s="4"/>
      <c r="B1526" s="4"/>
      <c r="C1526" s="4"/>
      <c r="D1526" s="4"/>
      <c r="E1526" s="4"/>
      <c r="F1526" s="4"/>
      <c r="G1526" s="4"/>
      <c r="H1526" s="4"/>
      <c r="I1526" s="4"/>
      <c r="J1526" s="4"/>
      <c r="K1526" s="4"/>
      <c r="L1526" s="4"/>
      <c r="M1526" s="4"/>
      <c r="N1526" s="4"/>
    </row>
    <row r="1527" spans="1:14" ht="12.75" customHeight="1" x14ac:dyDescent="0.2">
      <c r="A1527" s="398" t="s">
        <v>926</v>
      </c>
      <c r="B1527" s="271"/>
      <c r="C1527" s="271"/>
      <c r="D1527" s="271"/>
      <c r="E1527" s="271"/>
      <c r="F1527" s="271"/>
      <c r="G1527" s="271"/>
      <c r="H1527" s="271"/>
      <c r="I1527" s="271"/>
      <c r="J1527" s="271"/>
      <c r="K1527" s="271"/>
      <c r="L1527" s="271"/>
      <c r="M1527" s="271"/>
      <c r="N1527" s="273"/>
    </row>
    <row r="1528" spans="1:14" ht="12.75" customHeight="1" x14ac:dyDescent="0.2">
      <c r="A1528" s="396" t="s">
        <v>76</v>
      </c>
      <c r="B1528" s="271"/>
      <c r="C1528" s="271"/>
      <c r="D1528" s="271"/>
      <c r="E1528" s="271"/>
      <c r="F1528" s="271"/>
      <c r="G1528" s="273"/>
      <c r="H1528" s="88" t="s">
        <v>77</v>
      </c>
      <c r="I1528" s="399" t="s">
        <v>920</v>
      </c>
      <c r="J1528" s="273"/>
      <c r="K1528" s="399" t="s">
        <v>453</v>
      </c>
      <c r="L1528" s="273"/>
      <c r="M1528" s="399" t="s">
        <v>921</v>
      </c>
      <c r="N1528" s="273"/>
    </row>
    <row r="1529" spans="1:14" ht="12.75" customHeight="1" x14ac:dyDescent="0.2">
      <c r="A1529" s="400" t="s">
        <v>927</v>
      </c>
      <c r="B1529" s="271"/>
      <c r="C1529" s="271"/>
      <c r="D1529" s="271"/>
      <c r="E1529" s="271"/>
      <c r="F1529" s="271"/>
      <c r="G1529" s="273"/>
      <c r="H1529" s="29" t="str">
        <f>IF(A1529="","",VLOOKUP(A1529,AA_Equipos,7,FALSE))</f>
        <v>% M.O.</v>
      </c>
      <c r="I1529" s="394">
        <f>+M1552</f>
        <v>0</v>
      </c>
      <c r="J1529" s="273"/>
      <c r="K1529" s="404"/>
      <c r="L1529" s="273"/>
      <c r="M1529" s="394">
        <f t="shared" ref="M1529:M1533" si="198">IF(A1529="","",I1529*K1529)</f>
        <v>0</v>
      </c>
      <c r="N1529" s="273"/>
    </row>
    <row r="1530" spans="1:14" ht="12.75" customHeight="1" x14ac:dyDescent="0.2">
      <c r="A1530" s="403"/>
      <c r="B1530" s="271"/>
      <c r="C1530" s="271"/>
      <c r="D1530" s="271"/>
      <c r="E1530" s="271"/>
      <c r="F1530" s="271"/>
      <c r="G1530" s="273"/>
      <c r="H1530" s="29" t="str">
        <f>IF(A1530="","",VLOOKUP(A1530,AA_Equipos,7,FALSE))</f>
        <v/>
      </c>
      <c r="I1530" s="394" t="str">
        <f>IF(A1530="","",VLOOKUP(A1530,AA_Equipos,8,FALSE))</f>
        <v/>
      </c>
      <c r="J1530" s="273"/>
      <c r="K1530" s="402"/>
      <c r="L1530" s="273"/>
      <c r="M1530" s="394" t="str">
        <f t="shared" si="198"/>
        <v/>
      </c>
      <c r="N1530" s="273"/>
    </row>
    <row r="1531" spans="1:14" ht="12.75" customHeight="1" x14ac:dyDescent="0.2">
      <c r="A1531" s="400"/>
      <c r="B1531" s="271"/>
      <c r="C1531" s="271"/>
      <c r="D1531" s="271"/>
      <c r="E1531" s="271"/>
      <c r="F1531" s="271"/>
      <c r="G1531" s="273"/>
      <c r="H1531" s="29" t="str">
        <f>IF(A1531="","",VLOOKUP(A1531,AA_Equipos,7,FALSE))</f>
        <v/>
      </c>
      <c r="I1531" s="394" t="str">
        <f>IF(A1531="","",VLOOKUP(A1531,AA_Equipos,8,FALSE))</f>
        <v/>
      </c>
      <c r="J1531" s="273"/>
      <c r="K1531" s="401"/>
      <c r="L1531" s="273"/>
      <c r="M1531" s="394" t="str">
        <f t="shared" si="198"/>
        <v/>
      </c>
      <c r="N1531" s="273"/>
    </row>
    <row r="1532" spans="1:14" ht="12.75" customHeight="1" x14ac:dyDescent="0.2">
      <c r="A1532" s="400"/>
      <c r="B1532" s="271"/>
      <c r="C1532" s="271"/>
      <c r="D1532" s="271"/>
      <c r="E1532" s="271"/>
      <c r="F1532" s="271"/>
      <c r="G1532" s="273"/>
      <c r="H1532" s="29" t="str">
        <f>IF(A1532="","",VLOOKUP(A1532,AA_Equipos,7,FALSE))</f>
        <v/>
      </c>
      <c r="I1532" s="394" t="str">
        <f>IF(A1532="","",VLOOKUP(A1532,AA_Equipos,8,FALSE))</f>
        <v/>
      </c>
      <c r="J1532" s="273"/>
      <c r="K1532" s="395"/>
      <c r="L1532" s="273"/>
      <c r="M1532" s="394" t="str">
        <f t="shared" si="198"/>
        <v/>
      </c>
      <c r="N1532" s="273"/>
    </row>
    <row r="1533" spans="1:14" ht="12.75" customHeight="1" x14ac:dyDescent="0.2">
      <c r="A1533" s="400"/>
      <c r="B1533" s="271"/>
      <c r="C1533" s="271"/>
      <c r="D1533" s="271"/>
      <c r="E1533" s="271"/>
      <c r="F1533" s="271"/>
      <c r="G1533" s="273"/>
      <c r="H1533" s="29" t="str">
        <f>IF(A1533="","",VLOOKUP(A1533,AA_Equipos,7,FALSE))</f>
        <v/>
      </c>
      <c r="I1533" s="394" t="str">
        <f>IF(A1533="","",VLOOKUP(A1533,AA_Equipos,8,FALSE))</f>
        <v/>
      </c>
      <c r="J1533" s="273"/>
      <c r="K1533" s="395"/>
      <c r="L1533" s="273"/>
      <c r="M1533" s="394" t="str">
        <f t="shared" si="198"/>
        <v/>
      </c>
      <c r="N1533" s="273"/>
    </row>
    <row r="1534" spans="1:14" ht="12.75" customHeight="1" x14ac:dyDescent="0.25">
      <c r="A1534" s="4"/>
      <c r="B1534" s="4"/>
      <c r="C1534" s="4"/>
      <c r="D1534" s="4"/>
      <c r="E1534" s="4"/>
      <c r="F1534" s="4"/>
      <c r="G1534" s="4"/>
      <c r="H1534" s="4"/>
      <c r="I1534" s="4"/>
      <c r="J1534" s="4"/>
      <c r="K1534" s="396" t="s">
        <v>444</v>
      </c>
      <c r="L1534" s="273"/>
      <c r="M1534" s="394">
        <f>SUM(M1529:N1533)</f>
        <v>0</v>
      </c>
      <c r="N1534" s="273"/>
    </row>
    <row r="1535" spans="1:14" ht="12.75" customHeight="1" x14ac:dyDescent="0.25">
      <c r="A1535" s="4"/>
      <c r="B1535" s="4"/>
      <c r="C1535" s="4"/>
      <c r="D1535" s="4"/>
      <c r="E1535" s="4"/>
      <c r="F1535" s="4"/>
      <c r="G1535" s="4"/>
      <c r="H1535" s="4"/>
      <c r="I1535" s="4"/>
      <c r="J1535" s="4"/>
      <c r="K1535" s="4"/>
      <c r="L1535" s="4"/>
      <c r="M1535" s="4"/>
      <c r="N1535" s="4"/>
    </row>
    <row r="1536" spans="1:14" ht="12.75" customHeight="1" x14ac:dyDescent="0.2">
      <c r="A1536" s="398" t="s">
        <v>929</v>
      </c>
      <c r="B1536" s="271"/>
      <c r="C1536" s="271"/>
      <c r="D1536" s="271"/>
      <c r="E1536" s="271"/>
      <c r="F1536" s="271"/>
      <c r="G1536" s="271"/>
      <c r="H1536" s="271"/>
      <c r="I1536" s="271"/>
      <c r="J1536" s="271"/>
      <c r="K1536" s="271"/>
      <c r="L1536" s="271"/>
      <c r="M1536" s="271"/>
      <c r="N1536" s="273"/>
    </row>
    <row r="1537" spans="1:14" ht="12.75" customHeight="1" x14ac:dyDescent="0.2">
      <c r="A1537" s="396" t="s">
        <v>76</v>
      </c>
      <c r="B1537" s="271"/>
      <c r="C1537" s="271"/>
      <c r="D1537" s="271"/>
      <c r="E1537" s="271"/>
      <c r="F1537" s="271"/>
      <c r="G1537" s="273"/>
      <c r="H1537" s="88" t="s">
        <v>77</v>
      </c>
      <c r="I1537" s="399" t="s">
        <v>920</v>
      </c>
      <c r="J1537" s="273"/>
      <c r="K1537" s="399" t="s">
        <v>453</v>
      </c>
      <c r="L1537" s="273"/>
      <c r="M1537" s="399" t="s">
        <v>921</v>
      </c>
      <c r="N1537" s="273"/>
    </row>
    <row r="1538" spans="1:14" ht="12.75" customHeight="1" x14ac:dyDescent="0.2">
      <c r="A1538" s="400" t="s">
        <v>966</v>
      </c>
      <c r="B1538" s="271"/>
      <c r="C1538" s="271"/>
      <c r="D1538" s="271"/>
      <c r="E1538" s="271"/>
      <c r="F1538" s="271"/>
      <c r="G1538" s="273"/>
      <c r="H1538" s="29" t="s">
        <v>24</v>
      </c>
      <c r="I1538" s="394">
        <f>+M1525</f>
        <v>2981240</v>
      </c>
      <c r="J1538" s="273"/>
      <c r="K1538" s="404">
        <v>0.05</v>
      </c>
      <c r="L1538" s="273"/>
      <c r="M1538" s="394">
        <f t="shared" ref="M1538:M1542" si="199">IF(A1538="","",I1538*K1538)</f>
        <v>149062</v>
      </c>
      <c r="N1538" s="273"/>
    </row>
    <row r="1539" spans="1:14" ht="12.75" customHeight="1" x14ac:dyDescent="0.2">
      <c r="A1539" s="403"/>
      <c r="B1539" s="271"/>
      <c r="C1539" s="271"/>
      <c r="D1539" s="271"/>
      <c r="E1539" s="271"/>
      <c r="F1539" s="271"/>
      <c r="G1539" s="273"/>
      <c r="H1539" s="29"/>
      <c r="I1539" s="394"/>
      <c r="J1539" s="273"/>
      <c r="K1539" s="404"/>
      <c r="L1539" s="273"/>
      <c r="M1539" s="394" t="str">
        <f t="shared" si="199"/>
        <v/>
      </c>
      <c r="N1539" s="273"/>
    </row>
    <row r="1540" spans="1:14" ht="12.75" customHeight="1" x14ac:dyDescent="0.2">
      <c r="A1540" s="400"/>
      <c r="B1540" s="271"/>
      <c r="C1540" s="271"/>
      <c r="D1540" s="271"/>
      <c r="E1540" s="271"/>
      <c r="F1540" s="271"/>
      <c r="G1540" s="273"/>
      <c r="H1540" s="29"/>
      <c r="I1540" s="394"/>
      <c r="J1540" s="273"/>
      <c r="K1540" s="395"/>
      <c r="L1540" s="273"/>
      <c r="M1540" s="394" t="str">
        <f t="shared" si="199"/>
        <v/>
      </c>
      <c r="N1540" s="273"/>
    </row>
    <row r="1541" spans="1:14" ht="12.75" customHeight="1" x14ac:dyDescent="0.2">
      <c r="A1541" s="400"/>
      <c r="B1541" s="271"/>
      <c r="C1541" s="271"/>
      <c r="D1541" s="271"/>
      <c r="E1541" s="271"/>
      <c r="F1541" s="271"/>
      <c r="G1541" s="273"/>
      <c r="H1541" s="29"/>
      <c r="I1541" s="394"/>
      <c r="J1541" s="273"/>
      <c r="K1541" s="395"/>
      <c r="L1541" s="273"/>
      <c r="M1541" s="394" t="str">
        <f t="shared" si="199"/>
        <v/>
      </c>
      <c r="N1541" s="273"/>
    </row>
    <row r="1542" spans="1:14" ht="12.75" customHeight="1" x14ac:dyDescent="0.2">
      <c r="A1542" s="400"/>
      <c r="B1542" s="271"/>
      <c r="C1542" s="271"/>
      <c r="D1542" s="271"/>
      <c r="E1542" s="271"/>
      <c r="F1542" s="271"/>
      <c r="G1542" s="273"/>
      <c r="H1542" s="29"/>
      <c r="I1542" s="394"/>
      <c r="J1542" s="273"/>
      <c r="K1542" s="395"/>
      <c r="L1542" s="273"/>
      <c r="M1542" s="394" t="str">
        <f t="shared" si="199"/>
        <v/>
      </c>
      <c r="N1542" s="273"/>
    </row>
    <row r="1543" spans="1:14" ht="12.75" customHeight="1" x14ac:dyDescent="0.25">
      <c r="A1543" s="4"/>
      <c r="B1543" s="4"/>
      <c r="C1543" s="4"/>
      <c r="D1543" s="4"/>
      <c r="E1543" s="4"/>
      <c r="F1543" s="4"/>
      <c r="G1543" s="4"/>
      <c r="H1543" s="4"/>
      <c r="I1543" s="4"/>
      <c r="J1543" s="4"/>
      <c r="K1543" s="396" t="s">
        <v>444</v>
      </c>
      <c r="L1543" s="273"/>
      <c r="M1543" s="394">
        <f>SUM(M1538:N1542)</f>
        <v>149062</v>
      </c>
      <c r="N1543" s="273"/>
    </row>
    <row r="1544" spans="1:14" ht="12.75" customHeight="1" x14ac:dyDescent="0.25">
      <c r="A1544" s="4"/>
      <c r="B1544" s="4"/>
      <c r="C1544" s="4"/>
      <c r="D1544" s="4"/>
      <c r="E1544" s="4"/>
      <c r="F1544" s="4"/>
      <c r="G1544" s="4"/>
      <c r="H1544" s="4"/>
      <c r="I1544" s="4"/>
      <c r="J1544" s="4"/>
      <c r="K1544" s="4"/>
      <c r="L1544" s="4"/>
      <c r="M1544" s="4"/>
      <c r="N1544" s="4"/>
    </row>
    <row r="1545" spans="1:14" ht="12.75" customHeight="1" x14ac:dyDescent="0.2">
      <c r="A1545" s="398" t="s">
        <v>931</v>
      </c>
      <c r="B1545" s="271"/>
      <c r="C1545" s="271"/>
      <c r="D1545" s="271"/>
      <c r="E1545" s="271"/>
      <c r="F1545" s="271"/>
      <c r="G1545" s="271"/>
      <c r="H1545" s="271"/>
      <c r="I1545" s="271"/>
      <c r="J1545" s="271"/>
      <c r="K1545" s="271"/>
      <c r="L1545" s="271"/>
      <c r="M1545" s="271"/>
      <c r="N1545" s="273"/>
    </row>
    <row r="1546" spans="1:14" ht="12.75" customHeight="1" x14ac:dyDescent="0.2">
      <c r="A1546" s="396" t="s">
        <v>76</v>
      </c>
      <c r="B1546" s="271"/>
      <c r="C1546" s="271"/>
      <c r="D1546" s="271"/>
      <c r="E1546" s="271"/>
      <c r="F1546" s="271"/>
      <c r="G1546" s="273"/>
      <c r="H1546" s="88" t="s">
        <v>77</v>
      </c>
      <c r="I1546" s="399" t="s">
        <v>920</v>
      </c>
      <c r="J1546" s="273"/>
      <c r="K1546" s="90" t="s">
        <v>514</v>
      </c>
      <c r="L1546" s="91" t="s">
        <v>932</v>
      </c>
      <c r="M1546" s="399" t="s">
        <v>921</v>
      </c>
      <c r="N1546" s="273"/>
    </row>
    <row r="1547" spans="1:14" ht="12.75" customHeight="1" x14ac:dyDescent="0.25">
      <c r="A1547" s="393"/>
      <c r="B1547" s="271"/>
      <c r="C1547" s="271"/>
      <c r="D1547" s="271"/>
      <c r="E1547" s="271"/>
      <c r="F1547" s="271"/>
      <c r="G1547" s="273"/>
      <c r="H1547" s="29" t="str">
        <f>IF(A1547="","",VLOOKUP(A1547,AA_Cuadrillas,4,FALSE))</f>
        <v/>
      </c>
      <c r="I1547" s="394" t="str">
        <f>IF(A1547="","",VLOOKUP(A1547,AA_Cuadrillas,5,FALSE))</f>
        <v/>
      </c>
      <c r="J1547" s="273"/>
      <c r="K1547" s="9" t="str">
        <f>IF(A1547="","",F.P!$I$2)</f>
        <v/>
      </c>
      <c r="L1547" s="97"/>
      <c r="M1547" s="394" t="str">
        <f t="shared" ref="M1547:M1551" si="200">IF(A1547="","",I1547*K1547*L1547)</f>
        <v/>
      </c>
      <c r="N1547" s="273"/>
    </row>
    <row r="1548" spans="1:14" ht="12.75" customHeight="1" x14ac:dyDescent="0.25">
      <c r="A1548" s="393"/>
      <c r="B1548" s="271"/>
      <c r="C1548" s="271"/>
      <c r="D1548" s="271"/>
      <c r="E1548" s="271"/>
      <c r="F1548" s="271"/>
      <c r="G1548" s="273"/>
      <c r="H1548" s="29" t="str">
        <f>IF(A1548="","",VLOOKUP(A1548,AA_Cuadrillas,4,FALSE))</f>
        <v/>
      </c>
      <c r="I1548" s="394" t="str">
        <f>IF(A1548="","",VLOOKUP(A1548,AA_Cuadrillas,5,FALSE))</f>
        <v/>
      </c>
      <c r="J1548" s="273"/>
      <c r="K1548" s="9" t="str">
        <f>IF(A1548="","",F.P!$I$2)</f>
        <v/>
      </c>
      <c r="L1548" s="9"/>
      <c r="M1548" s="394" t="str">
        <f t="shared" si="200"/>
        <v/>
      </c>
      <c r="N1548" s="273"/>
    </row>
    <row r="1549" spans="1:14" ht="12.75" customHeight="1" x14ac:dyDescent="0.25">
      <c r="A1549" s="393"/>
      <c r="B1549" s="271"/>
      <c r="C1549" s="271"/>
      <c r="D1549" s="271"/>
      <c r="E1549" s="271"/>
      <c r="F1549" s="271"/>
      <c r="G1549" s="273"/>
      <c r="H1549" s="29" t="str">
        <f>IF(A1549="","",VLOOKUP(A1549,AA_Cuadrillas,4,FALSE))</f>
        <v/>
      </c>
      <c r="I1549" s="394" t="str">
        <f>IF(A1549="","",VLOOKUP(A1549,AA_Cuadrillas,5,FALSE))</f>
        <v/>
      </c>
      <c r="J1549" s="273"/>
      <c r="K1549" s="9" t="str">
        <f>IF(A1549="","",F.P!$I$2)</f>
        <v/>
      </c>
      <c r="L1549" s="37"/>
      <c r="M1549" s="394" t="str">
        <f t="shared" si="200"/>
        <v/>
      </c>
      <c r="N1549" s="273"/>
    </row>
    <row r="1550" spans="1:14" ht="12.75" customHeight="1" x14ac:dyDescent="0.25">
      <c r="A1550" s="393"/>
      <c r="B1550" s="271"/>
      <c r="C1550" s="271"/>
      <c r="D1550" s="271"/>
      <c r="E1550" s="271"/>
      <c r="F1550" s="271"/>
      <c r="G1550" s="273"/>
      <c r="H1550" s="29" t="str">
        <f>IF(A1550="","",VLOOKUP(A1550,AA_Cuadrillas,4,FALSE))</f>
        <v/>
      </c>
      <c r="I1550" s="394" t="str">
        <f>IF(A1550="","",VLOOKUP(A1550,AA_Cuadrillas,5,FALSE))</f>
        <v/>
      </c>
      <c r="J1550" s="273"/>
      <c r="K1550" s="9" t="str">
        <f>IF(A1550="","",F.P!$I$2)</f>
        <v/>
      </c>
      <c r="L1550" s="37"/>
      <c r="M1550" s="394" t="str">
        <f t="shared" si="200"/>
        <v/>
      </c>
      <c r="N1550" s="273"/>
    </row>
    <row r="1551" spans="1:14" ht="12.75" customHeight="1" x14ac:dyDescent="0.25">
      <c r="A1551" s="393"/>
      <c r="B1551" s="271"/>
      <c r="C1551" s="271"/>
      <c r="D1551" s="271"/>
      <c r="E1551" s="271"/>
      <c r="F1551" s="271"/>
      <c r="G1551" s="273"/>
      <c r="H1551" s="29" t="str">
        <f>IF(A1551="","",VLOOKUP(A1551,AA_Cuadrillas,4,FALSE))</f>
        <v/>
      </c>
      <c r="I1551" s="394" t="str">
        <f>IF(A1551="","",VLOOKUP(A1551,AA_Cuadrillas,5,FALSE))</f>
        <v/>
      </c>
      <c r="J1551" s="273"/>
      <c r="K1551" s="9" t="str">
        <f>IF(A1551="","",F.P!$I$2)</f>
        <v/>
      </c>
      <c r="L1551" s="37"/>
      <c r="M1551" s="394" t="str">
        <f t="shared" si="200"/>
        <v/>
      </c>
      <c r="N1551" s="273"/>
    </row>
    <row r="1552" spans="1:14" ht="12.75" customHeight="1" x14ac:dyDescent="0.25">
      <c r="A1552" s="4"/>
      <c r="B1552" s="4"/>
      <c r="C1552" s="4"/>
      <c r="D1552" s="4"/>
      <c r="E1552" s="4"/>
      <c r="F1552" s="4"/>
      <c r="G1552" s="4"/>
      <c r="H1552" s="4"/>
      <c r="I1552" s="4"/>
      <c r="J1552" s="4"/>
      <c r="K1552" s="396" t="s">
        <v>444</v>
      </c>
      <c r="L1552" s="273"/>
      <c r="M1552" s="394">
        <f>SUM(M1547:N1551)</f>
        <v>0</v>
      </c>
      <c r="N1552" s="273"/>
    </row>
    <row r="1553" spans="1:15" ht="12.75" customHeight="1" x14ac:dyDescent="0.2"/>
    <row r="1554" spans="1:15" ht="12.75" customHeight="1" x14ac:dyDescent="0.2">
      <c r="A1554" s="407" t="s">
        <v>139</v>
      </c>
      <c r="B1554" s="275"/>
      <c r="C1554" s="275"/>
      <c r="D1554" s="275"/>
      <c r="E1554" s="275"/>
      <c r="F1554" s="275"/>
      <c r="G1554" s="275"/>
      <c r="H1554" s="275"/>
      <c r="I1554" s="275"/>
      <c r="J1554" s="275"/>
      <c r="K1554" s="275"/>
      <c r="L1554" s="275"/>
      <c r="M1554" s="275"/>
      <c r="N1554" s="276"/>
    </row>
    <row r="1555" spans="1:15" ht="12.75" customHeight="1" x14ac:dyDescent="0.2">
      <c r="A1555" s="277"/>
      <c r="B1555" s="278"/>
      <c r="C1555" s="278"/>
      <c r="D1555" s="278"/>
      <c r="E1555" s="278"/>
      <c r="F1555" s="278"/>
      <c r="G1555" s="278"/>
      <c r="H1555" s="278"/>
      <c r="I1555" s="278"/>
      <c r="J1555" s="278"/>
      <c r="K1555" s="278"/>
      <c r="L1555" s="278"/>
      <c r="M1555" s="278"/>
      <c r="N1555" s="279"/>
    </row>
    <row r="1556" spans="1:15" ht="12.75" customHeight="1" x14ac:dyDescent="0.2">
      <c r="A1556" s="75"/>
      <c r="B1556" s="75"/>
      <c r="C1556" s="75"/>
      <c r="D1556" s="75"/>
      <c r="E1556" s="75"/>
      <c r="F1556" s="75"/>
      <c r="G1556" s="75"/>
      <c r="H1556" s="75"/>
      <c r="I1556" s="75"/>
      <c r="J1556" s="75"/>
      <c r="K1556" s="75"/>
      <c r="L1556" s="75"/>
      <c r="M1556" s="75"/>
      <c r="N1556" s="75"/>
    </row>
    <row r="1557" spans="1:15" ht="12.75" customHeight="1" x14ac:dyDescent="0.3">
      <c r="A1557" s="79" t="s">
        <v>649</v>
      </c>
      <c r="B1557" s="80" t="str">
        <f>A1554</f>
        <v>SUMINISTRO DE BOMBA 7 HP - LAPICERO</v>
      </c>
      <c r="C1557" s="81" t="s">
        <v>916</v>
      </c>
      <c r="D1557" s="82" t="s">
        <v>999</v>
      </c>
      <c r="E1557" s="83" t="s">
        <v>445</v>
      </c>
      <c r="F1557" s="240">
        <f>H1557+J1557+L1557+N1557</f>
        <v>8590900</v>
      </c>
      <c r="G1557" s="83" t="s">
        <v>607</v>
      </c>
      <c r="H1557" s="86">
        <f>M1576</f>
        <v>0</v>
      </c>
      <c r="I1557" s="83" t="s">
        <v>918</v>
      </c>
      <c r="J1557" s="86">
        <f>M1567</f>
        <v>8590900</v>
      </c>
      <c r="K1557" s="83" t="s">
        <v>609</v>
      </c>
      <c r="L1557" s="86">
        <f>M1585</f>
        <v>0</v>
      </c>
      <c r="M1557" s="83" t="s">
        <v>610</v>
      </c>
      <c r="N1557" s="86">
        <f>M1594</f>
        <v>0</v>
      </c>
      <c r="O1557" t="s">
        <v>3227</v>
      </c>
    </row>
    <row r="1558" spans="1:15" ht="12.75" customHeight="1" x14ac:dyDescent="0.25">
      <c r="A1558" s="87"/>
      <c r="B1558" s="87"/>
      <c r="C1558" s="87"/>
      <c r="D1558" s="87"/>
      <c r="E1558" s="87"/>
      <c r="F1558" s="87"/>
      <c r="G1558" s="87"/>
      <c r="J1558" s="87"/>
      <c r="K1558" s="215" t="s">
        <v>3217</v>
      </c>
      <c r="L1558" s="215">
        <f>+F1557*presup!$O$5</f>
        <v>11168170</v>
      </c>
      <c r="M1558" s="87"/>
      <c r="N1558" s="87"/>
    </row>
    <row r="1559" spans="1:15" ht="12.75" customHeight="1" x14ac:dyDescent="0.2">
      <c r="A1559" s="398" t="s">
        <v>919</v>
      </c>
      <c r="B1559" s="271"/>
      <c r="C1559" s="271"/>
      <c r="D1559" s="271"/>
      <c r="E1559" s="271"/>
      <c r="F1559" s="271"/>
      <c r="G1559" s="271"/>
      <c r="H1559" s="271"/>
      <c r="I1559" s="271"/>
      <c r="J1559" s="271"/>
      <c r="K1559" s="271"/>
      <c r="L1559" s="271"/>
      <c r="M1559" s="271"/>
      <c r="N1559" s="273"/>
    </row>
    <row r="1560" spans="1:15" ht="12.75" customHeight="1" x14ac:dyDescent="0.2">
      <c r="A1560" s="396" t="s">
        <v>76</v>
      </c>
      <c r="B1560" s="271"/>
      <c r="C1560" s="271"/>
      <c r="D1560" s="271"/>
      <c r="E1560" s="271"/>
      <c r="F1560" s="271"/>
      <c r="G1560" s="273"/>
      <c r="H1560" s="88" t="s">
        <v>77</v>
      </c>
      <c r="I1560" s="399" t="s">
        <v>920</v>
      </c>
      <c r="J1560" s="273"/>
      <c r="K1560" s="399" t="s">
        <v>453</v>
      </c>
      <c r="L1560" s="273"/>
      <c r="M1560" s="399" t="s">
        <v>921</v>
      </c>
      <c r="N1560" s="273"/>
    </row>
    <row r="1561" spans="1:15" ht="12.75" customHeight="1" x14ac:dyDescent="0.2">
      <c r="A1561" s="403" t="s">
        <v>1051</v>
      </c>
      <c r="B1561" s="271"/>
      <c r="C1561" s="271"/>
      <c r="D1561" s="271"/>
      <c r="E1561" s="271"/>
      <c r="F1561" s="271"/>
      <c r="G1561" s="273"/>
      <c r="H1561" s="29" t="str">
        <f t="shared" ref="H1561:H1566" si="201">IF(A1561="","",VLOOKUP(A1561,AA_Materiales,7,FALSE))</f>
        <v>Unidad</v>
      </c>
      <c r="I1561" s="394">
        <f t="shared" ref="I1561:I1566" si="202">IF(A1561="","",VLOOKUP(A1561,AA_Materiales,8,FALSE))</f>
        <v>8590900</v>
      </c>
      <c r="J1561" s="273"/>
      <c r="K1561" s="395">
        <v>1</v>
      </c>
      <c r="L1561" s="273"/>
      <c r="M1561" s="394">
        <f t="shared" ref="M1561:M1566" si="203">IF(A1561="","",I1561*K1561)</f>
        <v>8590900</v>
      </c>
      <c r="N1561" s="273"/>
    </row>
    <row r="1562" spans="1:15" ht="12.75" customHeight="1" x14ac:dyDescent="0.2">
      <c r="A1562" s="403"/>
      <c r="B1562" s="271"/>
      <c r="C1562" s="271"/>
      <c r="D1562" s="271"/>
      <c r="E1562" s="271"/>
      <c r="F1562" s="271"/>
      <c r="G1562" s="273"/>
      <c r="H1562" s="29" t="str">
        <f t="shared" si="201"/>
        <v/>
      </c>
      <c r="I1562" s="394" t="str">
        <f t="shared" si="202"/>
        <v/>
      </c>
      <c r="J1562" s="273"/>
      <c r="K1562" s="395"/>
      <c r="L1562" s="273"/>
      <c r="M1562" s="394" t="str">
        <f t="shared" si="203"/>
        <v/>
      </c>
      <c r="N1562" s="273"/>
    </row>
    <row r="1563" spans="1:15" ht="12.75" customHeight="1" x14ac:dyDescent="0.2">
      <c r="A1563" s="403"/>
      <c r="B1563" s="271"/>
      <c r="C1563" s="271"/>
      <c r="D1563" s="271"/>
      <c r="E1563" s="271"/>
      <c r="F1563" s="271"/>
      <c r="G1563" s="273"/>
      <c r="H1563" s="29" t="str">
        <f t="shared" si="201"/>
        <v/>
      </c>
      <c r="I1563" s="394" t="str">
        <f t="shared" si="202"/>
        <v/>
      </c>
      <c r="J1563" s="273"/>
      <c r="K1563" s="395"/>
      <c r="L1563" s="273"/>
      <c r="M1563" s="394" t="str">
        <f t="shared" si="203"/>
        <v/>
      </c>
      <c r="N1563" s="273"/>
    </row>
    <row r="1564" spans="1:15" ht="12.75" customHeight="1" x14ac:dyDescent="0.2">
      <c r="A1564" s="403"/>
      <c r="B1564" s="271"/>
      <c r="C1564" s="271"/>
      <c r="D1564" s="271"/>
      <c r="E1564" s="271"/>
      <c r="F1564" s="271"/>
      <c r="G1564" s="273"/>
      <c r="H1564" s="29" t="str">
        <f t="shared" si="201"/>
        <v/>
      </c>
      <c r="I1564" s="394" t="str">
        <f t="shared" si="202"/>
        <v/>
      </c>
      <c r="J1564" s="273"/>
      <c r="K1564" s="395"/>
      <c r="L1564" s="273"/>
      <c r="M1564" s="394" t="str">
        <f t="shared" si="203"/>
        <v/>
      </c>
      <c r="N1564" s="273"/>
    </row>
    <row r="1565" spans="1:15" ht="12.75" customHeight="1" x14ac:dyDescent="0.2">
      <c r="A1565" s="403"/>
      <c r="B1565" s="271"/>
      <c r="C1565" s="271"/>
      <c r="D1565" s="271"/>
      <c r="E1565" s="271"/>
      <c r="F1565" s="271"/>
      <c r="G1565" s="273"/>
      <c r="H1565" s="29" t="str">
        <f t="shared" si="201"/>
        <v/>
      </c>
      <c r="I1565" s="394" t="str">
        <f t="shared" si="202"/>
        <v/>
      </c>
      <c r="J1565" s="273"/>
      <c r="K1565" s="395"/>
      <c r="L1565" s="273"/>
      <c r="M1565" s="394" t="str">
        <f t="shared" si="203"/>
        <v/>
      </c>
      <c r="N1565" s="273"/>
    </row>
    <row r="1566" spans="1:15" ht="12.75" customHeight="1" x14ac:dyDescent="0.2">
      <c r="A1566" s="403"/>
      <c r="B1566" s="271"/>
      <c r="C1566" s="271"/>
      <c r="D1566" s="271"/>
      <c r="E1566" s="271"/>
      <c r="F1566" s="271"/>
      <c r="G1566" s="273"/>
      <c r="H1566" s="29" t="str">
        <f t="shared" si="201"/>
        <v/>
      </c>
      <c r="I1566" s="394" t="str">
        <f t="shared" si="202"/>
        <v/>
      </c>
      <c r="J1566" s="273"/>
      <c r="K1566" s="395"/>
      <c r="L1566" s="273"/>
      <c r="M1566" s="394" t="str">
        <f t="shared" si="203"/>
        <v/>
      </c>
      <c r="N1566" s="273"/>
    </row>
    <row r="1567" spans="1:15" ht="12.75" customHeight="1" x14ac:dyDescent="0.25">
      <c r="A1567" s="4"/>
      <c r="B1567" s="4"/>
      <c r="C1567" s="4"/>
      <c r="D1567" s="4"/>
      <c r="E1567" s="4"/>
      <c r="F1567" s="4"/>
      <c r="G1567" s="4"/>
      <c r="H1567" s="4"/>
      <c r="I1567" s="4"/>
      <c r="J1567" s="4"/>
      <c r="K1567" s="396" t="s">
        <v>444</v>
      </c>
      <c r="L1567" s="273"/>
      <c r="M1567" s="394">
        <f>SUM(M1561:N1566)</f>
        <v>8590900</v>
      </c>
      <c r="N1567" s="273"/>
    </row>
    <row r="1568" spans="1:15" ht="12.75" customHeight="1" x14ac:dyDescent="0.25">
      <c r="A1568" s="4"/>
      <c r="B1568" s="4"/>
      <c r="C1568" s="4"/>
      <c r="D1568" s="4"/>
      <c r="E1568" s="4"/>
      <c r="F1568" s="4"/>
      <c r="G1568" s="4"/>
      <c r="H1568" s="4"/>
      <c r="I1568" s="4"/>
      <c r="J1568" s="4"/>
      <c r="K1568" s="4"/>
      <c r="L1568" s="4"/>
      <c r="M1568" s="4"/>
      <c r="N1568" s="4"/>
    </row>
    <row r="1569" spans="1:14" ht="12.75" customHeight="1" x14ac:dyDescent="0.2">
      <c r="A1569" s="398" t="s">
        <v>926</v>
      </c>
      <c r="B1569" s="271"/>
      <c r="C1569" s="271"/>
      <c r="D1569" s="271"/>
      <c r="E1569" s="271"/>
      <c r="F1569" s="271"/>
      <c r="G1569" s="271"/>
      <c r="H1569" s="271"/>
      <c r="I1569" s="271"/>
      <c r="J1569" s="271"/>
      <c r="K1569" s="271"/>
      <c r="L1569" s="271"/>
      <c r="M1569" s="271"/>
      <c r="N1569" s="273"/>
    </row>
    <row r="1570" spans="1:14" ht="12.75" customHeight="1" x14ac:dyDescent="0.2">
      <c r="A1570" s="396" t="s">
        <v>76</v>
      </c>
      <c r="B1570" s="271"/>
      <c r="C1570" s="271"/>
      <c r="D1570" s="271"/>
      <c r="E1570" s="271"/>
      <c r="F1570" s="271"/>
      <c r="G1570" s="273"/>
      <c r="H1570" s="88" t="s">
        <v>77</v>
      </c>
      <c r="I1570" s="399" t="s">
        <v>920</v>
      </c>
      <c r="J1570" s="273"/>
      <c r="K1570" s="399" t="s">
        <v>453</v>
      </c>
      <c r="L1570" s="273"/>
      <c r="M1570" s="399" t="s">
        <v>921</v>
      </c>
      <c r="N1570" s="273"/>
    </row>
    <row r="1571" spans="1:14" ht="12.75" customHeight="1" x14ac:dyDescent="0.2">
      <c r="A1571" s="400" t="s">
        <v>927</v>
      </c>
      <c r="B1571" s="271"/>
      <c r="C1571" s="271"/>
      <c r="D1571" s="271"/>
      <c r="E1571" s="271"/>
      <c r="F1571" s="271"/>
      <c r="G1571" s="273"/>
      <c r="H1571" s="29" t="str">
        <f>IF(A1571="","",VLOOKUP(A1571,AA_Equipos,7,FALSE))</f>
        <v>% M.O.</v>
      </c>
      <c r="I1571" s="394">
        <f>+M1594</f>
        <v>0</v>
      </c>
      <c r="J1571" s="273"/>
      <c r="K1571" s="404"/>
      <c r="L1571" s="273"/>
      <c r="M1571" s="394">
        <f t="shared" ref="M1571:M1575" si="204">IF(A1571="","",I1571*K1571)</f>
        <v>0</v>
      </c>
      <c r="N1571" s="273"/>
    </row>
    <row r="1572" spans="1:14" ht="12.75" customHeight="1" x14ac:dyDescent="0.2">
      <c r="A1572" s="403"/>
      <c r="B1572" s="271"/>
      <c r="C1572" s="271"/>
      <c r="D1572" s="271"/>
      <c r="E1572" s="271"/>
      <c r="F1572" s="271"/>
      <c r="G1572" s="273"/>
      <c r="H1572" s="29" t="str">
        <f>IF(A1572="","",VLOOKUP(A1572,AA_Equipos,7,FALSE))</f>
        <v/>
      </c>
      <c r="I1572" s="394" t="str">
        <f>IF(A1572="","",VLOOKUP(A1572,AA_Equipos,8,FALSE))</f>
        <v/>
      </c>
      <c r="J1572" s="273"/>
      <c r="K1572" s="402"/>
      <c r="L1572" s="273"/>
      <c r="M1572" s="394" t="str">
        <f t="shared" si="204"/>
        <v/>
      </c>
      <c r="N1572" s="273"/>
    </row>
    <row r="1573" spans="1:14" ht="12.75" customHeight="1" x14ac:dyDescent="0.2">
      <c r="A1573" s="400"/>
      <c r="B1573" s="271"/>
      <c r="C1573" s="271"/>
      <c r="D1573" s="271"/>
      <c r="E1573" s="271"/>
      <c r="F1573" s="271"/>
      <c r="G1573" s="273"/>
      <c r="H1573" s="29" t="str">
        <f>IF(A1573="","",VLOOKUP(A1573,AA_Equipos,7,FALSE))</f>
        <v/>
      </c>
      <c r="I1573" s="394" t="str">
        <f>IF(A1573="","",VLOOKUP(A1573,AA_Equipos,8,FALSE))</f>
        <v/>
      </c>
      <c r="J1573" s="273"/>
      <c r="K1573" s="401"/>
      <c r="L1573" s="273"/>
      <c r="M1573" s="394" t="str">
        <f t="shared" si="204"/>
        <v/>
      </c>
      <c r="N1573" s="273"/>
    </row>
    <row r="1574" spans="1:14" ht="12.75" customHeight="1" x14ac:dyDescent="0.2">
      <c r="A1574" s="400"/>
      <c r="B1574" s="271"/>
      <c r="C1574" s="271"/>
      <c r="D1574" s="271"/>
      <c r="E1574" s="271"/>
      <c r="F1574" s="271"/>
      <c r="G1574" s="273"/>
      <c r="H1574" s="29" t="str">
        <f>IF(A1574="","",VLOOKUP(A1574,AA_Equipos,7,FALSE))</f>
        <v/>
      </c>
      <c r="I1574" s="394" t="str">
        <f>IF(A1574="","",VLOOKUP(A1574,AA_Equipos,8,FALSE))</f>
        <v/>
      </c>
      <c r="J1574" s="273"/>
      <c r="K1574" s="395"/>
      <c r="L1574" s="273"/>
      <c r="M1574" s="394" t="str">
        <f t="shared" si="204"/>
        <v/>
      </c>
      <c r="N1574" s="273"/>
    </row>
    <row r="1575" spans="1:14" ht="12.75" customHeight="1" x14ac:dyDescent="0.2">
      <c r="A1575" s="400"/>
      <c r="B1575" s="271"/>
      <c r="C1575" s="271"/>
      <c r="D1575" s="271"/>
      <c r="E1575" s="271"/>
      <c r="F1575" s="271"/>
      <c r="G1575" s="273"/>
      <c r="H1575" s="29" t="str">
        <f>IF(A1575="","",VLOOKUP(A1575,AA_Equipos,7,FALSE))</f>
        <v/>
      </c>
      <c r="I1575" s="394" t="str">
        <f>IF(A1575="","",VLOOKUP(A1575,AA_Equipos,8,FALSE))</f>
        <v/>
      </c>
      <c r="J1575" s="273"/>
      <c r="K1575" s="395"/>
      <c r="L1575" s="273"/>
      <c r="M1575" s="394" t="str">
        <f t="shared" si="204"/>
        <v/>
      </c>
      <c r="N1575" s="273"/>
    </row>
    <row r="1576" spans="1:14" ht="12.75" customHeight="1" x14ac:dyDescent="0.25">
      <c r="A1576" s="4"/>
      <c r="B1576" s="4"/>
      <c r="C1576" s="4"/>
      <c r="D1576" s="4"/>
      <c r="E1576" s="4"/>
      <c r="F1576" s="4"/>
      <c r="G1576" s="4"/>
      <c r="H1576" s="4"/>
      <c r="I1576" s="4"/>
      <c r="J1576" s="4"/>
      <c r="K1576" s="396" t="s">
        <v>444</v>
      </c>
      <c r="L1576" s="273"/>
      <c r="M1576" s="394">
        <f>SUM(M1571:N1575)</f>
        <v>0</v>
      </c>
      <c r="N1576" s="273"/>
    </row>
    <row r="1577" spans="1:14" ht="12.75" customHeight="1" x14ac:dyDescent="0.25">
      <c r="A1577" s="4"/>
      <c r="B1577" s="4"/>
      <c r="C1577" s="4"/>
      <c r="D1577" s="4"/>
      <c r="E1577" s="4"/>
      <c r="F1577" s="4"/>
      <c r="G1577" s="4"/>
      <c r="H1577" s="4"/>
      <c r="I1577" s="4"/>
      <c r="J1577" s="4"/>
      <c r="K1577" s="4"/>
      <c r="L1577" s="4"/>
      <c r="M1577" s="4"/>
      <c r="N1577" s="4"/>
    </row>
    <row r="1578" spans="1:14" ht="12.75" customHeight="1" x14ac:dyDescent="0.2">
      <c r="A1578" s="398" t="s">
        <v>929</v>
      </c>
      <c r="B1578" s="271"/>
      <c r="C1578" s="271"/>
      <c r="D1578" s="271"/>
      <c r="E1578" s="271"/>
      <c r="F1578" s="271"/>
      <c r="G1578" s="271"/>
      <c r="H1578" s="271"/>
      <c r="I1578" s="271"/>
      <c r="J1578" s="271"/>
      <c r="K1578" s="271"/>
      <c r="L1578" s="271"/>
      <c r="M1578" s="271"/>
      <c r="N1578" s="273"/>
    </row>
    <row r="1579" spans="1:14" ht="12.75" customHeight="1" x14ac:dyDescent="0.2">
      <c r="A1579" s="396" t="s">
        <v>76</v>
      </c>
      <c r="B1579" s="271"/>
      <c r="C1579" s="271"/>
      <c r="D1579" s="271"/>
      <c r="E1579" s="271"/>
      <c r="F1579" s="271"/>
      <c r="G1579" s="273"/>
      <c r="H1579" s="88" t="s">
        <v>77</v>
      </c>
      <c r="I1579" s="399" t="s">
        <v>920</v>
      </c>
      <c r="J1579" s="273"/>
      <c r="K1579" s="399" t="s">
        <v>453</v>
      </c>
      <c r="L1579" s="273"/>
      <c r="M1579" s="399" t="s">
        <v>921</v>
      </c>
      <c r="N1579" s="273"/>
    </row>
    <row r="1580" spans="1:14" ht="12.75" customHeight="1" x14ac:dyDescent="0.2">
      <c r="A1580" s="400"/>
      <c r="B1580" s="271"/>
      <c r="C1580" s="271"/>
      <c r="D1580" s="271"/>
      <c r="E1580" s="271"/>
      <c r="F1580" s="271"/>
      <c r="G1580" s="273"/>
      <c r="H1580" s="29"/>
      <c r="I1580" s="394"/>
      <c r="J1580" s="273"/>
      <c r="K1580" s="404"/>
      <c r="L1580" s="273"/>
      <c r="M1580" s="394" t="str">
        <f t="shared" ref="M1580:M1584" si="205">IF(A1580="","",I1580*K1580)</f>
        <v/>
      </c>
      <c r="N1580" s="273"/>
    </row>
    <row r="1581" spans="1:14" ht="12.75" customHeight="1" x14ac:dyDescent="0.2">
      <c r="A1581" s="403"/>
      <c r="B1581" s="271"/>
      <c r="C1581" s="271"/>
      <c r="D1581" s="271"/>
      <c r="E1581" s="271"/>
      <c r="F1581" s="271"/>
      <c r="G1581" s="273"/>
      <c r="H1581" s="29"/>
      <c r="I1581" s="394"/>
      <c r="J1581" s="273"/>
      <c r="K1581" s="404"/>
      <c r="L1581" s="273"/>
      <c r="M1581" s="394" t="str">
        <f t="shared" si="205"/>
        <v/>
      </c>
      <c r="N1581" s="273"/>
    </row>
    <row r="1582" spans="1:14" ht="12.75" customHeight="1" x14ac:dyDescent="0.2">
      <c r="A1582" s="400"/>
      <c r="B1582" s="271"/>
      <c r="C1582" s="271"/>
      <c r="D1582" s="271"/>
      <c r="E1582" s="271"/>
      <c r="F1582" s="271"/>
      <c r="G1582" s="273"/>
      <c r="H1582" s="29"/>
      <c r="I1582" s="394"/>
      <c r="J1582" s="273"/>
      <c r="K1582" s="395"/>
      <c r="L1582" s="273"/>
      <c r="M1582" s="394" t="str">
        <f t="shared" si="205"/>
        <v/>
      </c>
      <c r="N1582" s="273"/>
    </row>
    <row r="1583" spans="1:14" ht="12.75" customHeight="1" x14ac:dyDescent="0.2">
      <c r="A1583" s="400"/>
      <c r="B1583" s="271"/>
      <c r="C1583" s="271"/>
      <c r="D1583" s="271"/>
      <c r="E1583" s="271"/>
      <c r="F1583" s="271"/>
      <c r="G1583" s="273"/>
      <c r="H1583" s="29"/>
      <c r="I1583" s="394"/>
      <c r="J1583" s="273"/>
      <c r="K1583" s="395"/>
      <c r="L1583" s="273"/>
      <c r="M1583" s="394" t="str">
        <f t="shared" si="205"/>
        <v/>
      </c>
      <c r="N1583" s="273"/>
    </row>
    <row r="1584" spans="1:14" ht="12.75" customHeight="1" x14ac:dyDescent="0.2">
      <c r="A1584" s="400"/>
      <c r="B1584" s="271"/>
      <c r="C1584" s="271"/>
      <c r="D1584" s="271"/>
      <c r="E1584" s="271"/>
      <c r="F1584" s="271"/>
      <c r="G1584" s="273"/>
      <c r="H1584" s="29"/>
      <c r="I1584" s="394"/>
      <c r="J1584" s="273"/>
      <c r="K1584" s="395"/>
      <c r="L1584" s="273"/>
      <c r="M1584" s="394" t="str">
        <f t="shared" si="205"/>
        <v/>
      </c>
      <c r="N1584" s="273"/>
    </row>
    <row r="1585" spans="1:15" ht="12.75" customHeight="1" x14ac:dyDescent="0.25">
      <c r="A1585" s="4"/>
      <c r="B1585" s="4"/>
      <c r="C1585" s="4"/>
      <c r="D1585" s="4"/>
      <c r="E1585" s="4"/>
      <c r="F1585" s="4"/>
      <c r="G1585" s="4"/>
      <c r="H1585" s="4"/>
      <c r="I1585" s="4"/>
      <c r="J1585" s="4"/>
      <c r="K1585" s="396" t="s">
        <v>444</v>
      </c>
      <c r="L1585" s="273"/>
      <c r="M1585" s="394">
        <f>SUM(M1580:N1584)</f>
        <v>0</v>
      </c>
      <c r="N1585" s="273"/>
    </row>
    <row r="1586" spans="1:15" ht="12.75" customHeight="1" x14ac:dyDescent="0.25">
      <c r="A1586" s="4"/>
      <c r="B1586" s="4"/>
      <c r="C1586" s="4"/>
      <c r="D1586" s="4"/>
      <c r="E1586" s="4"/>
      <c r="F1586" s="4"/>
      <c r="G1586" s="4"/>
      <c r="H1586" s="4"/>
      <c r="I1586" s="4"/>
      <c r="J1586" s="4"/>
      <c r="K1586" s="4"/>
      <c r="L1586" s="4"/>
      <c r="M1586" s="4"/>
      <c r="N1586" s="4"/>
    </row>
    <row r="1587" spans="1:15" ht="12.75" customHeight="1" x14ac:dyDescent="0.2">
      <c r="A1587" s="398" t="s">
        <v>931</v>
      </c>
      <c r="B1587" s="271"/>
      <c r="C1587" s="271"/>
      <c r="D1587" s="271"/>
      <c r="E1587" s="271"/>
      <c r="F1587" s="271"/>
      <c r="G1587" s="271"/>
      <c r="H1587" s="271"/>
      <c r="I1587" s="271"/>
      <c r="J1587" s="271"/>
      <c r="K1587" s="271"/>
      <c r="L1587" s="271"/>
      <c r="M1587" s="271"/>
      <c r="N1587" s="273"/>
    </row>
    <row r="1588" spans="1:15" ht="12.75" customHeight="1" x14ac:dyDescent="0.2">
      <c r="A1588" s="396" t="s">
        <v>76</v>
      </c>
      <c r="B1588" s="271"/>
      <c r="C1588" s="271"/>
      <c r="D1588" s="271"/>
      <c r="E1588" s="271"/>
      <c r="F1588" s="271"/>
      <c r="G1588" s="273"/>
      <c r="H1588" s="88" t="s">
        <v>77</v>
      </c>
      <c r="I1588" s="399" t="s">
        <v>920</v>
      </c>
      <c r="J1588" s="273"/>
      <c r="K1588" s="90" t="s">
        <v>514</v>
      </c>
      <c r="L1588" s="91" t="s">
        <v>932</v>
      </c>
      <c r="M1588" s="399" t="s">
        <v>921</v>
      </c>
      <c r="N1588" s="273"/>
    </row>
    <row r="1589" spans="1:15" ht="12.75" customHeight="1" x14ac:dyDescent="0.25">
      <c r="A1589" s="393"/>
      <c r="B1589" s="271"/>
      <c r="C1589" s="271"/>
      <c r="D1589" s="271"/>
      <c r="E1589" s="271"/>
      <c r="F1589" s="271"/>
      <c r="G1589" s="273"/>
      <c r="H1589" s="29" t="str">
        <f>IF(A1589="","",VLOOKUP(A1589,AA_Cuadrillas,4,FALSE))</f>
        <v/>
      </c>
      <c r="I1589" s="394" t="str">
        <f>IF(A1589="","",VLOOKUP(A1589,AA_Cuadrillas,5,FALSE))</f>
        <v/>
      </c>
      <c r="J1589" s="273"/>
      <c r="K1589" s="9" t="str">
        <f>IF(A1589="","",F.P!$I$2)</f>
        <v/>
      </c>
      <c r="L1589" s="97"/>
      <c r="M1589" s="394" t="str">
        <f t="shared" ref="M1589:M1593" si="206">IF(A1589="","",I1589*K1589*L1589)</f>
        <v/>
      </c>
      <c r="N1589" s="273"/>
    </row>
    <row r="1590" spans="1:15" ht="12.75" customHeight="1" x14ac:dyDescent="0.25">
      <c r="A1590" s="393"/>
      <c r="B1590" s="271"/>
      <c r="C1590" s="271"/>
      <c r="D1590" s="271"/>
      <c r="E1590" s="271"/>
      <c r="F1590" s="271"/>
      <c r="G1590" s="273"/>
      <c r="H1590" s="29" t="str">
        <f>IF(A1590="","",VLOOKUP(A1590,AA_Cuadrillas,4,FALSE))</f>
        <v/>
      </c>
      <c r="I1590" s="394" t="str">
        <f>IF(A1590="","",VLOOKUP(A1590,AA_Cuadrillas,5,FALSE))</f>
        <v/>
      </c>
      <c r="J1590" s="273"/>
      <c r="K1590" s="9" t="str">
        <f>IF(A1590="","",F.P!$I$2)</f>
        <v/>
      </c>
      <c r="L1590" s="9"/>
      <c r="M1590" s="394" t="str">
        <f t="shared" si="206"/>
        <v/>
      </c>
      <c r="N1590" s="273"/>
    </row>
    <row r="1591" spans="1:15" ht="12.75" customHeight="1" x14ac:dyDescent="0.25">
      <c r="A1591" s="393"/>
      <c r="B1591" s="271"/>
      <c r="C1591" s="271"/>
      <c r="D1591" s="271"/>
      <c r="E1591" s="271"/>
      <c r="F1591" s="271"/>
      <c r="G1591" s="273"/>
      <c r="H1591" s="29" t="str">
        <f>IF(A1591="","",VLOOKUP(A1591,AA_Cuadrillas,4,FALSE))</f>
        <v/>
      </c>
      <c r="I1591" s="394" t="str">
        <f>IF(A1591="","",VLOOKUP(A1591,AA_Cuadrillas,5,FALSE))</f>
        <v/>
      </c>
      <c r="J1591" s="273"/>
      <c r="K1591" s="9" t="str">
        <f>IF(A1591="","",F.P!$I$2)</f>
        <v/>
      </c>
      <c r="L1591" s="37"/>
      <c r="M1591" s="394" t="str">
        <f t="shared" si="206"/>
        <v/>
      </c>
      <c r="N1591" s="273"/>
    </row>
    <row r="1592" spans="1:15" ht="12.75" customHeight="1" x14ac:dyDescent="0.25">
      <c r="A1592" s="393"/>
      <c r="B1592" s="271"/>
      <c r="C1592" s="271"/>
      <c r="D1592" s="271"/>
      <c r="E1592" s="271"/>
      <c r="F1592" s="271"/>
      <c r="G1592" s="273"/>
      <c r="H1592" s="29" t="str">
        <f>IF(A1592="","",VLOOKUP(A1592,AA_Cuadrillas,4,FALSE))</f>
        <v/>
      </c>
      <c r="I1592" s="394" t="str">
        <f>IF(A1592="","",VLOOKUP(A1592,AA_Cuadrillas,5,FALSE))</f>
        <v/>
      </c>
      <c r="J1592" s="273"/>
      <c r="K1592" s="9" t="str">
        <f>IF(A1592="","",F.P!$I$2)</f>
        <v/>
      </c>
      <c r="L1592" s="37"/>
      <c r="M1592" s="394" t="str">
        <f t="shared" si="206"/>
        <v/>
      </c>
      <c r="N1592" s="273"/>
    </row>
    <row r="1593" spans="1:15" ht="12.75" customHeight="1" x14ac:dyDescent="0.25">
      <c r="A1593" s="393"/>
      <c r="B1593" s="271"/>
      <c r="C1593" s="271"/>
      <c r="D1593" s="271"/>
      <c r="E1593" s="271"/>
      <c r="F1593" s="271"/>
      <c r="G1593" s="273"/>
      <c r="H1593" s="29" t="str">
        <f>IF(A1593="","",VLOOKUP(A1593,AA_Cuadrillas,4,FALSE))</f>
        <v/>
      </c>
      <c r="I1593" s="394" t="str">
        <f>IF(A1593="","",VLOOKUP(A1593,AA_Cuadrillas,5,FALSE))</f>
        <v/>
      </c>
      <c r="J1593" s="273"/>
      <c r="K1593" s="9" t="str">
        <f>IF(A1593="","",F.P!$I$2)</f>
        <v/>
      </c>
      <c r="L1593" s="37"/>
      <c r="M1593" s="394" t="str">
        <f t="shared" si="206"/>
        <v/>
      </c>
      <c r="N1593" s="273"/>
    </row>
    <row r="1594" spans="1:15" ht="12.75" customHeight="1" x14ac:dyDescent="0.25">
      <c r="A1594" s="4"/>
      <c r="B1594" s="4"/>
      <c r="C1594" s="4"/>
      <c r="D1594" s="4"/>
      <c r="E1594" s="4"/>
      <c r="F1594" s="4"/>
      <c r="G1594" s="4"/>
      <c r="H1594" s="4"/>
      <c r="I1594" s="4"/>
      <c r="J1594" s="4"/>
      <c r="K1594" s="396" t="s">
        <v>444</v>
      </c>
      <c r="L1594" s="273"/>
      <c r="M1594" s="394">
        <f>SUM(M1589:N1593)</f>
        <v>0</v>
      </c>
      <c r="N1594" s="273"/>
    </row>
    <row r="1595" spans="1:15" ht="12.75" customHeight="1" x14ac:dyDescent="0.2"/>
    <row r="1596" spans="1:15" ht="12.75" customHeight="1" x14ac:dyDescent="0.2">
      <c r="A1596" s="407" t="s">
        <v>140</v>
      </c>
      <c r="B1596" s="275"/>
      <c r="C1596" s="275"/>
      <c r="D1596" s="275"/>
      <c r="E1596" s="275"/>
      <c r="F1596" s="275"/>
      <c r="G1596" s="275"/>
      <c r="H1596" s="275"/>
      <c r="I1596" s="275"/>
      <c r="J1596" s="275"/>
      <c r="K1596" s="275"/>
      <c r="L1596" s="275"/>
      <c r="M1596" s="275"/>
      <c r="N1596" s="276"/>
    </row>
    <row r="1597" spans="1:15" ht="12.75" customHeight="1" x14ac:dyDescent="0.2">
      <c r="A1597" s="277"/>
      <c r="B1597" s="278"/>
      <c r="C1597" s="278"/>
      <c r="D1597" s="278"/>
      <c r="E1597" s="278"/>
      <c r="F1597" s="278"/>
      <c r="G1597" s="278"/>
      <c r="H1597" s="278"/>
      <c r="I1597" s="278"/>
      <c r="J1597" s="278"/>
      <c r="K1597" s="278"/>
      <c r="L1597" s="278"/>
      <c r="M1597" s="278"/>
      <c r="N1597" s="279"/>
    </row>
    <row r="1598" spans="1:15" ht="12.75" customHeight="1" x14ac:dyDescent="0.2">
      <c r="A1598" s="75"/>
      <c r="B1598" s="75"/>
      <c r="C1598" s="75"/>
      <c r="D1598" s="75"/>
      <c r="E1598" s="75"/>
      <c r="F1598" s="75"/>
      <c r="G1598" s="75"/>
      <c r="H1598" s="75"/>
      <c r="I1598" s="75"/>
      <c r="J1598" s="75"/>
      <c r="K1598" s="75"/>
      <c r="L1598" s="75"/>
      <c r="M1598" s="75"/>
      <c r="N1598" s="75"/>
    </row>
    <row r="1599" spans="1:15" ht="12.75" customHeight="1" x14ac:dyDescent="0.3">
      <c r="A1599" s="79" t="s">
        <v>650</v>
      </c>
      <c r="B1599" s="80" t="str">
        <f>A1596</f>
        <v>SUMINISTRO DE BOMBA 7.5 HP - CENTRIFUGA</v>
      </c>
      <c r="C1599" s="81" t="s">
        <v>916</v>
      </c>
      <c r="D1599" s="82" t="s">
        <v>999</v>
      </c>
      <c r="E1599" s="83" t="s">
        <v>445</v>
      </c>
      <c r="F1599" s="240">
        <f>H1599+J1599+L1599+N1599</f>
        <v>4044000</v>
      </c>
      <c r="G1599" s="83" t="s">
        <v>607</v>
      </c>
      <c r="H1599" s="86">
        <f>M1618</f>
        <v>0</v>
      </c>
      <c r="I1599" s="83" t="s">
        <v>918</v>
      </c>
      <c r="J1599" s="86">
        <f>M1609</f>
        <v>4044000</v>
      </c>
      <c r="K1599" s="83" t="s">
        <v>609</v>
      </c>
      <c r="L1599" s="86">
        <f>M1627</f>
        <v>0</v>
      </c>
      <c r="M1599" s="83" t="s">
        <v>610</v>
      </c>
      <c r="N1599" s="86">
        <f>M1636</f>
        <v>0</v>
      </c>
      <c r="O1599" t="s">
        <v>3228</v>
      </c>
    </row>
    <row r="1600" spans="1:15" ht="12.75" customHeight="1" x14ac:dyDescent="0.25">
      <c r="A1600" s="87"/>
      <c r="B1600" s="87"/>
      <c r="C1600" s="87"/>
      <c r="D1600" s="87"/>
      <c r="E1600" s="87"/>
      <c r="F1600" s="87"/>
      <c r="G1600" s="87"/>
      <c r="J1600" s="87"/>
      <c r="K1600" s="215" t="s">
        <v>3217</v>
      </c>
      <c r="L1600" s="215">
        <f>+F1599*presup!$O$5</f>
        <v>5257200</v>
      </c>
      <c r="M1600" s="87"/>
      <c r="N1600" s="87"/>
    </row>
    <row r="1601" spans="1:14" ht="12.75" customHeight="1" x14ac:dyDescent="0.2">
      <c r="A1601" s="398" t="s">
        <v>919</v>
      </c>
      <c r="B1601" s="271"/>
      <c r="C1601" s="271"/>
      <c r="D1601" s="271"/>
      <c r="E1601" s="271"/>
      <c r="F1601" s="271"/>
      <c r="G1601" s="271"/>
      <c r="H1601" s="271"/>
      <c r="I1601" s="271"/>
      <c r="J1601" s="271"/>
      <c r="K1601" s="271"/>
      <c r="L1601" s="271"/>
      <c r="M1601" s="271"/>
      <c r="N1601" s="273"/>
    </row>
    <row r="1602" spans="1:14" ht="12.75" customHeight="1" x14ac:dyDescent="0.2">
      <c r="A1602" s="396" t="s">
        <v>76</v>
      </c>
      <c r="B1602" s="271"/>
      <c r="C1602" s="271"/>
      <c r="D1602" s="271"/>
      <c r="E1602" s="271"/>
      <c r="F1602" s="271"/>
      <c r="G1602" s="273"/>
      <c r="H1602" s="88" t="s">
        <v>77</v>
      </c>
      <c r="I1602" s="399" t="s">
        <v>920</v>
      </c>
      <c r="J1602" s="273"/>
      <c r="K1602" s="399" t="s">
        <v>453</v>
      </c>
      <c r="L1602" s="273"/>
      <c r="M1602" s="399" t="s">
        <v>921</v>
      </c>
      <c r="N1602" s="273"/>
    </row>
    <row r="1603" spans="1:14" ht="12.75" customHeight="1" x14ac:dyDescent="0.2">
      <c r="A1603" s="403" t="s">
        <v>1052</v>
      </c>
      <c r="B1603" s="271"/>
      <c r="C1603" s="271"/>
      <c r="D1603" s="271"/>
      <c r="E1603" s="271"/>
      <c r="F1603" s="271"/>
      <c r="G1603" s="273"/>
      <c r="H1603" s="29" t="str">
        <f t="shared" ref="H1603:H1608" si="207">IF(A1603="","",VLOOKUP(A1603,AA_Materiales,7,FALSE))</f>
        <v>Unidad</v>
      </c>
      <c r="I1603" s="394">
        <f t="shared" ref="I1603:I1608" si="208">IF(A1603="","",VLOOKUP(A1603,AA_Materiales,8,FALSE))</f>
        <v>4044000</v>
      </c>
      <c r="J1603" s="273"/>
      <c r="K1603" s="395">
        <v>1</v>
      </c>
      <c r="L1603" s="273"/>
      <c r="M1603" s="394">
        <f t="shared" ref="M1603:M1608" si="209">IF(A1603="","",I1603*K1603)</f>
        <v>4044000</v>
      </c>
      <c r="N1603" s="273"/>
    </row>
    <row r="1604" spans="1:14" ht="12.75" customHeight="1" x14ac:dyDescent="0.2">
      <c r="A1604" s="403"/>
      <c r="B1604" s="271"/>
      <c r="C1604" s="271"/>
      <c r="D1604" s="271"/>
      <c r="E1604" s="271"/>
      <c r="F1604" s="271"/>
      <c r="G1604" s="273"/>
      <c r="H1604" s="29" t="str">
        <f t="shared" si="207"/>
        <v/>
      </c>
      <c r="I1604" s="394" t="str">
        <f t="shared" si="208"/>
        <v/>
      </c>
      <c r="J1604" s="273"/>
      <c r="K1604" s="395"/>
      <c r="L1604" s="273"/>
      <c r="M1604" s="394" t="str">
        <f t="shared" si="209"/>
        <v/>
      </c>
      <c r="N1604" s="273"/>
    </row>
    <row r="1605" spans="1:14" ht="12.75" customHeight="1" x14ac:dyDescent="0.2">
      <c r="A1605" s="403"/>
      <c r="B1605" s="271"/>
      <c r="C1605" s="271"/>
      <c r="D1605" s="271"/>
      <c r="E1605" s="271"/>
      <c r="F1605" s="271"/>
      <c r="G1605" s="273"/>
      <c r="H1605" s="29" t="str">
        <f t="shared" si="207"/>
        <v/>
      </c>
      <c r="I1605" s="394" t="str">
        <f t="shared" si="208"/>
        <v/>
      </c>
      <c r="J1605" s="273"/>
      <c r="K1605" s="395"/>
      <c r="L1605" s="273"/>
      <c r="M1605" s="394" t="str">
        <f t="shared" si="209"/>
        <v/>
      </c>
      <c r="N1605" s="273"/>
    </row>
    <row r="1606" spans="1:14" ht="12.75" customHeight="1" x14ac:dyDescent="0.2">
      <c r="A1606" s="403"/>
      <c r="B1606" s="271"/>
      <c r="C1606" s="271"/>
      <c r="D1606" s="271"/>
      <c r="E1606" s="271"/>
      <c r="F1606" s="271"/>
      <c r="G1606" s="273"/>
      <c r="H1606" s="29" t="str">
        <f t="shared" si="207"/>
        <v/>
      </c>
      <c r="I1606" s="394" t="str">
        <f t="shared" si="208"/>
        <v/>
      </c>
      <c r="J1606" s="273"/>
      <c r="K1606" s="395"/>
      <c r="L1606" s="273"/>
      <c r="M1606" s="394" t="str">
        <f t="shared" si="209"/>
        <v/>
      </c>
      <c r="N1606" s="273"/>
    </row>
    <row r="1607" spans="1:14" ht="12.75" customHeight="1" x14ac:dyDescent="0.2">
      <c r="A1607" s="403"/>
      <c r="B1607" s="271"/>
      <c r="C1607" s="271"/>
      <c r="D1607" s="271"/>
      <c r="E1607" s="271"/>
      <c r="F1607" s="271"/>
      <c r="G1607" s="273"/>
      <c r="H1607" s="29" t="str">
        <f t="shared" si="207"/>
        <v/>
      </c>
      <c r="I1607" s="394" t="str">
        <f t="shared" si="208"/>
        <v/>
      </c>
      <c r="J1607" s="273"/>
      <c r="K1607" s="395"/>
      <c r="L1607" s="273"/>
      <c r="M1607" s="394" t="str">
        <f t="shared" si="209"/>
        <v/>
      </c>
      <c r="N1607" s="273"/>
    </row>
    <row r="1608" spans="1:14" ht="12.75" customHeight="1" x14ac:dyDescent="0.2">
      <c r="A1608" s="403"/>
      <c r="B1608" s="271"/>
      <c r="C1608" s="271"/>
      <c r="D1608" s="271"/>
      <c r="E1608" s="271"/>
      <c r="F1608" s="271"/>
      <c r="G1608" s="273"/>
      <c r="H1608" s="29" t="str">
        <f t="shared" si="207"/>
        <v/>
      </c>
      <c r="I1608" s="394" t="str">
        <f t="shared" si="208"/>
        <v/>
      </c>
      <c r="J1608" s="273"/>
      <c r="K1608" s="395"/>
      <c r="L1608" s="273"/>
      <c r="M1608" s="394" t="str">
        <f t="shared" si="209"/>
        <v/>
      </c>
      <c r="N1608" s="273"/>
    </row>
    <row r="1609" spans="1:14" ht="12.75" customHeight="1" x14ac:dyDescent="0.25">
      <c r="A1609" s="4"/>
      <c r="B1609" s="4"/>
      <c r="C1609" s="4"/>
      <c r="D1609" s="4"/>
      <c r="E1609" s="4"/>
      <c r="F1609" s="4"/>
      <c r="G1609" s="4"/>
      <c r="H1609" s="4"/>
      <c r="I1609" s="4"/>
      <c r="J1609" s="4"/>
      <c r="K1609" s="396" t="s">
        <v>444</v>
      </c>
      <c r="L1609" s="273"/>
      <c r="M1609" s="394">
        <f>SUM(M1603:N1608)</f>
        <v>4044000</v>
      </c>
      <c r="N1609" s="273"/>
    </row>
    <row r="1610" spans="1:14" ht="12.75" customHeight="1" x14ac:dyDescent="0.25">
      <c r="A1610" s="4"/>
      <c r="B1610" s="4"/>
      <c r="C1610" s="4"/>
      <c r="D1610" s="4"/>
      <c r="E1610" s="4"/>
      <c r="F1610" s="4"/>
      <c r="G1610" s="4"/>
      <c r="H1610" s="4"/>
      <c r="I1610" s="4"/>
      <c r="J1610" s="4"/>
      <c r="K1610" s="4"/>
      <c r="L1610" s="4"/>
      <c r="M1610" s="4"/>
      <c r="N1610" s="4"/>
    </row>
    <row r="1611" spans="1:14" ht="12.75" customHeight="1" x14ac:dyDescent="0.2">
      <c r="A1611" s="398" t="s">
        <v>926</v>
      </c>
      <c r="B1611" s="271"/>
      <c r="C1611" s="271"/>
      <c r="D1611" s="271"/>
      <c r="E1611" s="271"/>
      <c r="F1611" s="271"/>
      <c r="G1611" s="271"/>
      <c r="H1611" s="271"/>
      <c r="I1611" s="271"/>
      <c r="J1611" s="271"/>
      <c r="K1611" s="271"/>
      <c r="L1611" s="271"/>
      <c r="M1611" s="271"/>
      <c r="N1611" s="273"/>
    </row>
    <row r="1612" spans="1:14" ht="12.75" customHeight="1" x14ac:dyDescent="0.2">
      <c r="A1612" s="396" t="s">
        <v>76</v>
      </c>
      <c r="B1612" s="271"/>
      <c r="C1612" s="271"/>
      <c r="D1612" s="271"/>
      <c r="E1612" s="271"/>
      <c r="F1612" s="271"/>
      <c r="G1612" s="273"/>
      <c r="H1612" s="88" t="s">
        <v>77</v>
      </c>
      <c r="I1612" s="399" t="s">
        <v>920</v>
      </c>
      <c r="J1612" s="273"/>
      <c r="K1612" s="399" t="s">
        <v>453</v>
      </c>
      <c r="L1612" s="273"/>
      <c r="M1612" s="399" t="s">
        <v>921</v>
      </c>
      <c r="N1612" s="273"/>
    </row>
    <row r="1613" spans="1:14" ht="12.75" customHeight="1" x14ac:dyDescent="0.2">
      <c r="A1613" s="400" t="s">
        <v>927</v>
      </c>
      <c r="B1613" s="271"/>
      <c r="C1613" s="271"/>
      <c r="D1613" s="271"/>
      <c r="E1613" s="271"/>
      <c r="F1613" s="271"/>
      <c r="G1613" s="273"/>
      <c r="H1613" s="29" t="str">
        <f>IF(A1613="","",VLOOKUP(A1613,AA_Equipos,7,FALSE))</f>
        <v>% M.O.</v>
      </c>
      <c r="I1613" s="394">
        <f>+M1636</f>
        <v>0</v>
      </c>
      <c r="J1613" s="273"/>
      <c r="K1613" s="404"/>
      <c r="L1613" s="273"/>
      <c r="M1613" s="394">
        <f t="shared" ref="M1613:M1617" si="210">IF(A1613="","",I1613*K1613)</f>
        <v>0</v>
      </c>
      <c r="N1613" s="273"/>
    </row>
    <row r="1614" spans="1:14" ht="12.75" customHeight="1" x14ac:dyDescent="0.2">
      <c r="A1614" s="403"/>
      <c r="B1614" s="271"/>
      <c r="C1614" s="271"/>
      <c r="D1614" s="271"/>
      <c r="E1614" s="271"/>
      <c r="F1614" s="271"/>
      <c r="G1614" s="273"/>
      <c r="H1614" s="29" t="str">
        <f>IF(A1614="","",VLOOKUP(A1614,AA_Equipos,7,FALSE))</f>
        <v/>
      </c>
      <c r="I1614" s="394" t="str">
        <f>IF(A1614="","",VLOOKUP(A1614,AA_Equipos,8,FALSE))</f>
        <v/>
      </c>
      <c r="J1614" s="273"/>
      <c r="K1614" s="402"/>
      <c r="L1614" s="273"/>
      <c r="M1614" s="394" t="str">
        <f t="shared" si="210"/>
        <v/>
      </c>
      <c r="N1614" s="273"/>
    </row>
    <row r="1615" spans="1:14" ht="12.75" customHeight="1" x14ac:dyDescent="0.2">
      <c r="A1615" s="400"/>
      <c r="B1615" s="271"/>
      <c r="C1615" s="271"/>
      <c r="D1615" s="271"/>
      <c r="E1615" s="271"/>
      <c r="F1615" s="271"/>
      <c r="G1615" s="273"/>
      <c r="H1615" s="29" t="str">
        <f>IF(A1615="","",VLOOKUP(A1615,AA_Equipos,7,FALSE))</f>
        <v/>
      </c>
      <c r="I1615" s="394" t="str">
        <f>IF(A1615="","",VLOOKUP(A1615,AA_Equipos,8,FALSE))</f>
        <v/>
      </c>
      <c r="J1615" s="273"/>
      <c r="K1615" s="401"/>
      <c r="L1615" s="273"/>
      <c r="M1615" s="394" t="str">
        <f t="shared" si="210"/>
        <v/>
      </c>
      <c r="N1615" s="273"/>
    </row>
    <row r="1616" spans="1:14" ht="12.75" customHeight="1" x14ac:dyDescent="0.2">
      <c r="A1616" s="400"/>
      <c r="B1616" s="271"/>
      <c r="C1616" s="271"/>
      <c r="D1616" s="271"/>
      <c r="E1616" s="271"/>
      <c r="F1616" s="271"/>
      <c r="G1616" s="273"/>
      <c r="H1616" s="29" t="str">
        <f>IF(A1616="","",VLOOKUP(A1616,AA_Equipos,7,FALSE))</f>
        <v/>
      </c>
      <c r="I1616" s="394" t="str">
        <f>IF(A1616="","",VLOOKUP(A1616,AA_Equipos,8,FALSE))</f>
        <v/>
      </c>
      <c r="J1616" s="273"/>
      <c r="K1616" s="395"/>
      <c r="L1616" s="273"/>
      <c r="M1616" s="394" t="str">
        <f t="shared" si="210"/>
        <v/>
      </c>
      <c r="N1616" s="273"/>
    </row>
    <row r="1617" spans="1:14" ht="12.75" customHeight="1" x14ac:dyDescent="0.2">
      <c r="A1617" s="400"/>
      <c r="B1617" s="271"/>
      <c r="C1617" s="271"/>
      <c r="D1617" s="271"/>
      <c r="E1617" s="271"/>
      <c r="F1617" s="271"/>
      <c r="G1617" s="273"/>
      <c r="H1617" s="29" t="str">
        <f>IF(A1617="","",VLOOKUP(A1617,AA_Equipos,7,FALSE))</f>
        <v/>
      </c>
      <c r="I1617" s="394" t="str">
        <f>IF(A1617="","",VLOOKUP(A1617,AA_Equipos,8,FALSE))</f>
        <v/>
      </c>
      <c r="J1617" s="273"/>
      <c r="K1617" s="395"/>
      <c r="L1617" s="273"/>
      <c r="M1617" s="394" t="str">
        <f t="shared" si="210"/>
        <v/>
      </c>
      <c r="N1617" s="273"/>
    </row>
    <row r="1618" spans="1:14" ht="12.75" customHeight="1" x14ac:dyDescent="0.25">
      <c r="A1618" s="4"/>
      <c r="B1618" s="4"/>
      <c r="C1618" s="4"/>
      <c r="D1618" s="4"/>
      <c r="E1618" s="4"/>
      <c r="F1618" s="4"/>
      <c r="G1618" s="4"/>
      <c r="H1618" s="4"/>
      <c r="I1618" s="4"/>
      <c r="J1618" s="4"/>
      <c r="K1618" s="396" t="s">
        <v>444</v>
      </c>
      <c r="L1618" s="273"/>
      <c r="M1618" s="394">
        <f>SUM(M1613:N1617)</f>
        <v>0</v>
      </c>
      <c r="N1618" s="273"/>
    </row>
    <row r="1619" spans="1:14" ht="12.75" customHeight="1" x14ac:dyDescent="0.25">
      <c r="A1619" s="4"/>
      <c r="B1619" s="4"/>
      <c r="C1619" s="4"/>
      <c r="D1619" s="4"/>
      <c r="E1619" s="4"/>
      <c r="F1619" s="4"/>
      <c r="G1619" s="4"/>
      <c r="H1619" s="4"/>
      <c r="I1619" s="4"/>
      <c r="J1619" s="4"/>
      <c r="K1619" s="4"/>
      <c r="L1619" s="4"/>
      <c r="M1619" s="4"/>
      <c r="N1619" s="4"/>
    </row>
    <row r="1620" spans="1:14" ht="12.75" customHeight="1" x14ac:dyDescent="0.2">
      <c r="A1620" s="398" t="s">
        <v>929</v>
      </c>
      <c r="B1620" s="271"/>
      <c r="C1620" s="271"/>
      <c r="D1620" s="271"/>
      <c r="E1620" s="271"/>
      <c r="F1620" s="271"/>
      <c r="G1620" s="271"/>
      <c r="H1620" s="271"/>
      <c r="I1620" s="271"/>
      <c r="J1620" s="271"/>
      <c r="K1620" s="271"/>
      <c r="L1620" s="271"/>
      <c r="M1620" s="271"/>
      <c r="N1620" s="273"/>
    </row>
    <row r="1621" spans="1:14" ht="12.75" customHeight="1" x14ac:dyDescent="0.2">
      <c r="A1621" s="396" t="s">
        <v>76</v>
      </c>
      <c r="B1621" s="271"/>
      <c r="C1621" s="271"/>
      <c r="D1621" s="271"/>
      <c r="E1621" s="271"/>
      <c r="F1621" s="271"/>
      <c r="G1621" s="273"/>
      <c r="H1621" s="88" t="s">
        <v>77</v>
      </c>
      <c r="I1621" s="399" t="s">
        <v>920</v>
      </c>
      <c r="J1621" s="273"/>
      <c r="K1621" s="399" t="s">
        <v>453</v>
      </c>
      <c r="L1621" s="273"/>
      <c r="M1621" s="399" t="s">
        <v>921</v>
      </c>
      <c r="N1621" s="273"/>
    </row>
    <row r="1622" spans="1:14" ht="12.75" customHeight="1" x14ac:dyDescent="0.2">
      <c r="A1622" s="400"/>
      <c r="B1622" s="271"/>
      <c r="C1622" s="271"/>
      <c r="D1622" s="271"/>
      <c r="E1622" s="271"/>
      <c r="F1622" s="271"/>
      <c r="G1622" s="273"/>
      <c r="H1622" s="29"/>
      <c r="I1622" s="394"/>
      <c r="J1622" s="273"/>
      <c r="K1622" s="404"/>
      <c r="L1622" s="273"/>
      <c r="M1622" s="394" t="str">
        <f t="shared" ref="M1622:M1626" si="211">IF(A1622="","",I1622*K1622)</f>
        <v/>
      </c>
      <c r="N1622" s="273"/>
    </row>
    <row r="1623" spans="1:14" ht="12.75" customHeight="1" x14ac:dyDescent="0.2">
      <c r="A1623" s="403"/>
      <c r="B1623" s="271"/>
      <c r="C1623" s="271"/>
      <c r="D1623" s="271"/>
      <c r="E1623" s="271"/>
      <c r="F1623" s="271"/>
      <c r="G1623" s="273"/>
      <c r="H1623" s="29"/>
      <c r="I1623" s="394"/>
      <c r="J1623" s="273"/>
      <c r="K1623" s="404"/>
      <c r="L1623" s="273"/>
      <c r="M1623" s="394" t="str">
        <f t="shared" si="211"/>
        <v/>
      </c>
      <c r="N1623" s="273"/>
    </row>
    <row r="1624" spans="1:14" ht="12.75" customHeight="1" x14ac:dyDescent="0.2">
      <c r="A1624" s="400"/>
      <c r="B1624" s="271"/>
      <c r="C1624" s="271"/>
      <c r="D1624" s="271"/>
      <c r="E1624" s="271"/>
      <c r="F1624" s="271"/>
      <c r="G1624" s="273"/>
      <c r="H1624" s="29"/>
      <c r="I1624" s="394"/>
      <c r="J1624" s="273"/>
      <c r="K1624" s="395"/>
      <c r="L1624" s="273"/>
      <c r="M1624" s="394" t="str">
        <f t="shared" si="211"/>
        <v/>
      </c>
      <c r="N1624" s="273"/>
    </row>
    <row r="1625" spans="1:14" ht="12.75" customHeight="1" x14ac:dyDescent="0.2">
      <c r="A1625" s="400"/>
      <c r="B1625" s="271"/>
      <c r="C1625" s="271"/>
      <c r="D1625" s="271"/>
      <c r="E1625" s="271"/>
      <c r="F1625" s="271"/>
      <c r="G1625" s="273"/>
      <c r="H1625" s="29"/>
      <c r="I1625" s="394"/>
      <c r="J1625" s="273"/>
      <c r="K1625" s="395"/>
      <c r="L1625" s="273"/>
      <c r="M1625" s="394" t="str">
        <f t="shared" si="211"/>
        <v/>
      </c>
      <c r="N1625" s="273"/>
    </row>
    <row r="1626" spans="1:14" ht="12.75" customHeight="1" x14ac:dyDescent="0.2">
      <c r="A1626" s="400"/>
      <c r="B1626" s="271"/>
      <c r="C1626" s="271"/>
      <c r="D1626" s="271"/>
      <c r="E1626" s="271"/>
      <c r="F1626" s="271"/>
      <c r="G1626" s="273"/>
      <c r="H1626" s="29"/>
      <c r="I1626" s="394"/>
      <c r="J1626" s="273"/>
      <c r="K1626" s="395"/>
      <c r="L1626" s="273"/>
      <c r="M1626" s="394" t="str">
        <f t="shared" si="211"/>
        <v/>
      </c>
      <c r="N1626" s="273"/>
    </row>
    <row r="1627" spans="1:14" ht="12.75" customHeight="1" x14ac:dyDescent="0.25">
      <c r="A1627" s="4"/>
      <c r="B1627" s="4"/>
      <c r="C1627" s="4"/>
      <c r="D1627" s="4"/>
      <c r="E1627" s="4"/>
      <c r="F1627" s="4"/>
      <c r="G1627" s="4"/>
      <c r="H1627" s="4"/>
      <c r="I1627" s="4"/>
      <c r="J1627" s="4"/>
      <c r="K1627" s="396" t="s">
        <v>444</v>
      </c>
      <c r="L1627" s="273"/>
      <c r="M1627" s="394">
        <f>SUM(M1622:N1626)</f>
        <v>0</v>
      </c>
      <c r="N1627" s="273"/>
    </row>
    <row r="1628" spans="1:14" ht="12.75" customHeight="1" x14ac:dyDescent="0.25">
      <c r="A1628" s="4"/>
      <c r="B1628" s="4"/>
      <c r="C1628" s="4"/>
      <c r="D1628" s="4"/>
      <c r="E1628" s="4"/>
      <c r="F1628" s="4"/>
      <c r="G1628" s="4"/>
      <c r="H1628" s="4"/>
      <c r="I1628" s="4"/>
      <c r="J1628" s="4"/>
      <c r="K1628" s="4"/>
      <c r="L1628" s="4"/>
      <c r="M1628" s="4"/>
      <c r="N1628" s="4"/>
    </row>
    <row r="1629" spans="1:14" ht="12.75" customHeight="1" x14ac:dyDescent="0.2">
      <c r="A1629" s="398" t="s">
        <v>931</v>
      </c>
      <c r="B1629" s="271"/>
      <c r="C1629" s="271"/>
      <c r="D1629" s="271"/>
      <c r="E1629" s="271"/>
      <c r="F1629" s="271"/>
      <c r="G1629" s="271"/>
      <c r="H1629" s="271"/>
      <c r="I1629" s="271"/>
      <c r="J1629" s="271"/>
      <c r="K1629" s="271"/>
      <c r="L1629" s="271"/>
      <c r="M1629" s="271"/>
      <c r="N1629" s="273"/>
    </row>
    <row r="1630" spans="1:14" ht="12.75" customHeight="1" x14ac:dyDescent="0.2">
      <c r="A1630" s="396" t="s">
        <v>76</v>
      </c>
      <c r="B1630" s="271"/>
      <c r="C1630" s="271"/>
      <c r="D1630" s="271"/>
      <c r="E1630" s="271"/>
      <c r="F1630" s="271"/>
      <c r="G1630" s="273"/>
      <c r="H1630" s="88" t="s">
        <v>77</v>
      </c>
      <c r="I1630" s="399" t="s">
        <v>920</v>
      </c>
      <c r="J1630" s="273"/>
      <c r="K1630" s="90" t="s">
        <v>514</v>
      </c>
      <c r="L1630" s="91" t="s">
        <v>932</v>
      </c>
      <c r="M1630" s="399" t="s">
        <v>921</v>
      </c>
      <c r="N1630" s="273"/>
    </row>
    <row r="1631" spans="1:14" ht="12.75" customHeight="1" x14ac:dyDescent="0.25">
      <c r="A1631" s="393"/>
      <c r="B1631" s="271"/>
      <c r="C1631" s="271"/>
      <c r="D1631" s="271"/>
      <c r="E1631" s="271"/>
      <c r="F1631" s="271"/>
      <c r="G1631" s="273"/>
      <c r="H1631" s="29" t="str">
        <f>IF(A1631="","",VLOOKUP(A1631,AA_Cuadrillas,4,FALSE))</f>
        <v/>
      </c>
      <c r="I1631" s="394" t="str">
        <f>IF(A1631="","",VLOOKUP(A1631,AA_Cuadrillas,5,FALSE))</f>
        <v/>
      </c>
      <c r="J1631" s="273"/>
      <c r="K1631" s="9" t="str">
        <f>IF(A1631="","",F.P!$I$2)</f>
        <v/>
      </c>
      <c r="L1631" s="97"/>
      <c r="M1631" s="394" t="str">
        <f t="shared" ref="M1631:M1635" si="212">IF(A1631="","",I1631*K1631*L1631)</f>
        <v/>
      </c>
      <c r="N1631" s="273"/>
    </row>
    <row r="1632" spans="1:14" ht="12.75" customHeight="1" x14ac:dyDescent="0.25">
      <c r="A1632" s="393"/>
      <c r="B1632" s="271"/>
      <c r="C1632" s="271"/>
      <c r="D1632" s="271"/>
      <c r="E1632" s="271"/>
      <c r="F1632" s="271"/>
      <c r="G1632" s="273"/>
      <c r="H1632" s="29" t="str">
        <f>IF(A1632="","",VLOOKUP(A1632,AA_Cuadrillas,4,FALSE))</f>
        <v/>
      </c>
      <c r="I1632" s="394" t="str">
        <f>IF(A1632="","",VLOOKUP(A1632,AA_Cuadrillas,5,FALSE))</f>
        <v/>
      </c>
      <c r="J1632" s="273"/>
      <c r="K1632" s="9" t="str">
        <f>IF(A1632="","",F.P!$I$2)</f>
        <v/>
      </c>
      <c r="L1632" s="9"/>
      <c r="M1632" s="394" t="str">
        <f t="shared" si="212"/>
        <v/>
      </c>
      <c r="N1632" s="273"/>
    </row>
    <row r="1633" spans="1:15" ht="12.75" customHeight="1" x14ac:dyDescent="0.25">
      <c r="A1633" s="393"/>
      <c r="B1633" s="271"/>
      <c r="C1633" s="271"/>
      <c r="D1633" s="271"/>
      <c r="E1633" s="271"/>
      <c r="F1633" s="271"/>
      <c r="G1633" s="273"/>
      <c r="H1633" s="29" t="str">
        <f>IF(A1633="","",VLOOKUP(A1633,AA_Cuadrillas,4,FALSE))</f>
        <v/>
      </c>
      <c r="I1633" s="394" t="str">
        <f>IF(A1633="","",VLOOKUP(A1633,AA_Cuadrillas,5,FALSE))</f>
        <v/>
      </c>
      <c r="J1633" s="273"/>
      <c r="K1633" s="9" t="str">
        <f>IF(A1633="","",F.P!$I$2)</f>
        <v/>
      </c>
      <c r="L1633" s="37"/>
      <c r="M1633" s="394" t="str">
        <f t="shared" si="212"/>
        <v/>
      </c>
      <c r="N1633" s="273"/>
    </row>
    <row r="1634" spans="1:15" ht="12.75" customHeight="1" x14ac:dyDescent="0.25">
      <c r="A1634" s="393"/>
      <c r="B1634" s="271"/>
      <c r="C1634" s="271"/>
      <c r="D1634" s="271"/>
      <c r="E1634" s="271"/>
      <c r="F1634" s="271"/>
      <c r="G1634" s="273"/>
      <c r="H1634" s="29" t="str">
        <f>IF(A1634="","",VLOOKUP(A1634,AA_Cuadrillas,4,FALSE))</f>
        <v/>
      </c>
      <c r="I1634" s="394" t="str">
        <f>IF(A1634="","",VLOOKUP(A1634,AA_Cuadrillas,5,FALSE))</f>
        <v/>
      </c>
      <c r="J1634" s="273"/>
      <c r="K1634" s="9" t="str">
        <f>IF(A1634="","",F.P!$I$2)</f>
        <v/>
      </c>
      <c r="L1634" s="37"/>
      <c r="M1634" s="394" t="str">
        <f t="shared" si="212"/>
        <v/>
      </c>
      <c r="N1634" s="273"/>
    </row>
    <row r="1635" spans="1:15" ht="12.75" customHeight="1" x14ac:dyDescent="0.25">
      <c r="A1635" s="393"/>
      <c r="B1635" s="271"/>
      <c r="C1635" s="271"/>
      <c r="D1635" s="271"/>
      <c r="E1635" s="271"/>
      <c r="F1635" s="271"/>
      <c r="G1635" s="273"/>
      <c r="H1635" s="29" t="str">
        <f>IF(A1635="","",VLOOKUP(A1635,AA_Cuadrillas,4,FALSE))</f>
        <v/>
      </c>
      <c r="I1635" s="394" t="str">
        <f>IF(A1635="","",VLOOKUP(A1635,AA_Cuadrillas,5,FALSE))</f>
        <v/>
      </c>
      <c r="J1635" s="273"/>
      <c r="K1635" s="9" t="str">
        <f>IF(A1635="","",F.P!$I$2)</f>
        <v/>
      </c>
      <c r="L1635" s="37"/>
      <c r="M1635" s="394" t="str">
        <f t="shared" si="212"/>
        <v/>
      </c>
      <c r="N1635" s="273"/>
    </row>
    <row r="1636" spans="1:15" ht="12.75" customHeight="1" x14ac:dyDescent="0.25">
      <c r="A1636" s="4"/>
      <c r="B1636" s="4"/>
      <c r="C1636" s="4"/>
      <c r="D1636" s="4"/>
      <c r="E1636" s="4"/>
      <c r="F1636" s="4"/>
      <c r="G1636" s="4"/>
      <c r="H1636" s="4"/>
      <c r="I1636" s="4"/>
      <c r="J1636" s="4"/>
      <c r="K1636" s="396" t="s">
        <v>444</v>
      </c>
      <c r="L1636" s="273"/>
      <c r="M1636" s="394">
        <f>SUM(M1631:N1635)</f>
        <v>0</v>
      </c>
      <c r="N1636" s="273"/>
    </row>
    <row r="1637" spans="1:15" ht="12.75" customHeight="1" x14ac:dyDescent="0.2"/>
    <row r="1638" spans="1:15" ht="12.75" customHeight="1" x14ac:dyDescent="0.2">
      <c r="A1638" s="407" t="s">
        <v>141</v>
      </c>
      <c r="B1638" s="275"/>
      <c r="C1638" s="275"/>
      <c r="D1638" s="275"/>
      <c r="E1638" s="275"/>
      <c r="F1638" s="275"/>
      <c r="G1638" s="275"/>
      <c r="H1638" s="275"/>
      <c r="I1638" s="275"/>
      <c r="J1638" s="275"/>
      <c r="K1638" s="275"/>
      <c r="L1638" s="275"/>
      <c r="M1638" s="275"/>
      <c r="N1638" s="276"/>
      <c r="O1638" s="166"/>
    </row>
    <row r="1639" spans="1:15" ht="12.75" customHeight="1" x14ac:dyDescent="0.2">
      <c r="A1639" s="277"/>
      <c r="B1639" s="278"/>
      <c r="C1639" s="278"/>
      <c r="D1639" s="278"/>
      <c r="E1639" s="278"/>
      <c r="F1639" s="278"/>
      <c r="G1639" s="278"/>
      <c r="H1639" s="278"/>
      <c r="I1639" s="278"/>
      <c r="J1639" s="278"/>
      <c r="K1639" s="278"/>
      <c r="L1639" s="278"/>
      <c r="M1639" s="278"/>
      <c r="N1639" s="279"/>
      <c r="O1639" s="166"/>
    </row>
    <row r="1640" spans="1:15" ht="12.75" customHeight="1" x14ac:dyDescent="0.2">
      <c r="A1640" s="75"/>
      <c r="B1640" s="75"/>
      <c r="C1640" s="75"/>
      <c r="D1640" s="75"/>
      <c r="E1640" s="75"/>
      <c r="F1640" s="75"/>
      <c r="G1640" s="75"/>
      <c r="H1640" s="75"/>
      <c r="I1640" s="75"/>
      <c r="J1640" s="75"/>
      <c r="K1640" s="75"/>
      <c r="L1640" s="75"/>
      <c r="M1640" s="75"/>
      <c r="N1640" s="75"/>
    </row>
    <row r="1641" spans="1:15" ht="12.75" customHeight="1" x14ac:dyDescent="0.3">
      <c r="A1641" s="79" t="s">
        <v>651</v>
      </c>
      <c r="B1641" s="80" t="str">
        <f>A1638</f>
        <v>SUMINISTRO DE BOMBA 20 HP - CENTRIFUGA</v>
      </c>
      <c r="C1641" s="81" t="s">
        <v>916</v>
      </c>
      <c r="D1641" s="82" t="s">
        <v>999</v>
      </c>
      <c r="E1641" s="83" t="s">
        <v>445</v>
      </c>
      <c r="F1641" s="234">
        <f>(H1641+J1641+L1641+N1641)*1.3</f>
        <v>14217372</v>
      </c>
      <c r="G1641" s="83" t="s">
        <v>607</v>
      </c>
      <c r="H1641" s="86">
        <f>M1660</f>
        <v>0</v>
      </c>
      <c r="I1641" s="83" t="s">
        <v>918</v>
      </c>
      <c r="J1641" s="86">
        <f>M1651</f>
        <v>10722000</v>
      </c>
      <c r="K1641" s="83" t="s">
        <v>609</v>
      </c>
      <c r="L1641" s="86">
        <f>M1669</f>
        <v>214440</v>
      </c>
      <c r="M1641" s="83" t="s">
        <v>610</v>
      </c>
      <c r="N1641" s="86">
        <f>M1678</f>
        <v>0</v>
      </c>
      <c r="O1641" t="s">
        <v>3229</v>
      </c>
    </row>
    <row r="1642" spans="1:15" ht="12.75" customHeight="1" x14ac:dyDescent="0.25">
      <c r="A1642" s="87"/>
      <c r="B1642" s="87"/>
      <c r="C1642" s="87"/>
      <c r="D1642" s="87"/>
      <c r="E1642" s="87"/>
      <c r="F1642" s="87"/>
      <c r="G1642" s="87"/>
      <c r="J1642" s="87"/>
      <c r="K1642" s="215" t="s">
        <v>3217</v>
      </c>
      <c r="L1642" s="215">
        <f>+F1641*presup!$O$5</f>
        <v>18482583.600000001</v>
      </c>
      <c r="M1642" s="87"/>
      <c r="N1642" s="87"/>
    </row>
    <row r="1643" spans="1:15" ht="12.75" customHeight="1" x14ac:dyDescent="0.2">
      <c r="A1643" s="398" t="s">
        <v>919</v>
      </c>
      <c r="B1643" s="271"/>
      <c r="C1643" s="271"/>
      <c r="D1643" s="271"/>
      <c r="E1643" s="271"/>
      <c r="F1643" s="271"/>
      <c r="G1643" s="271"/>
      <c r="H1643" s="271"/>
      <c r="I1643" s="271"/>
      <c r="J1643" s="271"/>
      <c r="K1643" s="271"/>
      <c r="L1643" s="271"/>
      <c r="M1643" s="271"/>
      <c r="N1643" s="273"/>
    </row>
    <row r="1644" spans="1:15" ht="12.75" customHeight="1" x14ac:dyDescent="0.2">
      <c r="A1644" s="396" t="s">
        <v>76</v>
      </c>
      <c r="B1644" s="271"/>
      <c r="C1644" s="271"/>
      <c r="D1644" s="271"/>
      <c r="E1644" s="271"/>
      <c r="F1644" s="271"/>
      <c r="G1644" s="273"/>
      <c r="H1644" s="88" t="s">
        <v>77</v>
      </c>
      <c r="I1644" s="399" t="s">
        <v>920</v>
      </c>
      <c r="J1644" s="273"/>
      <c r="K1644" s="399" t="s">
        <v>453</v>
      </c>
      <c r="L1644" s="273"/>
      <c r="M1644" s="399" t="s">
        <v>921</v>
      </c>
      <c r="N1644" s="273"/>
    </row>
    <row r="1645" spans="1:15" ht="12.75" customHeight="1" x14ac:dyDescent="0.2">
      <c r="A1645" s="403" t="s">
        <v>1053</v>
      </c>
      <c r="B1645" s="271"/>
      <c r="C1645" s="271"/>
      <c r="D1645" s="271"/>
      <c r="E1645" s="271"/>
      <c r="F1645" s="271"/>
      <c r="G1645" s="273"/>
      <c r="H1645" s="29" t="str">
        <f t="shared" ref="H1645:H1650" si="213">IF(A1645="","",VLOOKUP(A1645,AA_Materiales,7,FALSE))</f>
        <v>Unidad</v>
      </c>
      <c r="I1645" s="394">
        <f t="shared" ref="I1645:I1650" si="214">IF(A1645="","",VLOOKUP(A1645,AA_Materiales,8,FALSE))</f>
        <v>10722000</v>
      </c>
      <c r="J1645" s="273"/>
      <c r="K1645" s="395">
        <v>1</v>
      </c>
      <c r="L1645" s="273"/>
      <c r="M1645" s="394">
        <f t="shared" ref="M1645:M1650" si="215">IF(A1645="","",I1645*K1645)</f>
        <v>10722000</v>
      </c>
      <c r="N1645" s="273"/>
    </row>
    <row r="1646" spans="1:15" ht="12.75" customHeight="1" x14ac:dyDescent="0.2">
      <c r="A1646" s="403"/>
      <c r="B1646" s="271"/>
      <c r="C1646" s="271"/>
      <c r="D1646" s="271"/>
      <c r="E1646" s="271"/>
      <c r="F1646" s="271"/>
      <c r="G1646" s="273"/>
      <c r="H1646" s="29" t="str">
        <f t="shared" si="213"/>
        <v/>
      </c>
      <c r="I1646" s="394" t="str">
        <f t="shared" si="214"/>
        <v/>
      </c>
      <c r="J1646" s="273"/>
      <c r="K1646" s="395"/>
      <c r="L1646" s="273"/>
      <c r="M1646" s="394" t="str">
        <f t="shared" si="215"/>
        <v/>
      </c>
      <c r="N1646" s="273"/>
    </row>
    <row r="1647" spans="1:15" ht="12.75" customHeight="1" x14ac:dyDescent="0.2">
      <c r="A1647" s="403"/>
      <c r="B1647" s="271"/>
      <c r="C1647" s="271"/>
      <c r="D1647" s="271"/>
      <c r="E1647" s="271"/>
      <c r="F1647" s="271"/>
      <c r="G1647" s="273"/>
      <c r="H1647" s="29" t="str">
        <f t="shared" si="213"/>
        <v/>
      </c>
      <c r="I1647" s="394" t="str">
        <f t="shared" si="214"/>
        <v/>
      </c>
      <c r="J1647" s="273"/>
      <c r="K1647" s="395"/>
      <c r="L1647" s="273"/>
      <c r="M1647" s="394" t="str">
        <f t="shared" si="215"/>
        <v/>
      </c>
      <c r="N1647" s="273"/>
    </row>
    <row r="1648" spans="1:15" ht="12.75" customHeight="1" x14ac:dyDescent="0.2">
      <c r="A1648" s="403"/>
      <c r="B1648" s="271"/>
      <c r="C1648" s="271"/>
      <c r="D1648" s="271"/>
      <c r="E1648" s="271"/>
      <c r="F1648" s="271"/>
      <c r="G1648" s="273"/>
      <c r="H1648" s="29" t="str">
        <f t="shared" si="213"/>
        <v/>
      </c>
      <c r="I1648" s="394" t="str">
        <f t="shared" si="214"/>
        <v/>
      </c>
      <c r="J1648" s="273"/>
      <c r="K1648" s="395"/>
      <c r="L1648" s="273"/>
      <c r="M1648" s="394" t="str">
        <f t="shared" si="215"/>
        <v/>
      </c>
      <c r="N1648" s="273"/>
    </row>
    <row r="1649" spans="1:14" ht="12.75" customHeight="1" x14ac:dyDescent="0.2">
      <c r="A1649" s="403"/>
      <c r="B1649" s="271"/>
      <c r="C1649" s="271"/>
      <c r="D1649" s="271"/>
      <c r="E1649" s="271"/>
      <c r="F1649" s="271"/>
      <c r="G1649" s="273"/>
      <c r="H1649" s="29" t="str">
        <f t="shared" si="213"/>
        <v/>
      </c>
      <c r="I1649" s="394" t="str">
        <f t="shared" si="214"/>
        <v/>
      </c>
      <c r="J1649" s="273"/>
      <c r="K1649" s="395"/>
      <c r="L1649" s="273"/>
      <c r="M1649" s="394" t="str">
        <f t="shared" si="215"/>
        <v/>
      </c>
      <c r="N1649" s="273"/>
    </row>
    <row r="1650" spans="1:14" ht="12.75" customHeight="1" x14ac:dyDescent="0.2">
      <c r="A1650" s="403"/>
      <c r="B1650" s="271"/>
      <c r="C1650" s="271"/>
      <c r="D1650" s="271"/>
      <c r="E1650" s="271"/>
      <c r="F1650" s="271"/>
      <c r="G1650" s="273"/>
      <c r="H1650" s="29" t="str">
        <f t="shared" si="213"/>
        <v/>
      </c>
      <c r="I1650" s="394" t="str">
        <f t="shared" si="214"/>
        <v/>
      </c>
      <c r="J1650" s="273"/>
      <c r="K1650" s="395"/>
      <c r="L1650" s="273"/>
      <c r="M1650" s="394" t="str">
        <f t="shared" si="215"/>
        <v/>
      </c>
      <c r="N1650" s="273"/>
    </row>
    <row r="1651" spans="1:14" ht="12.75" customHeight="1" x14ac:dyDescent="0.25">
      <c r="A1651" s="4"/>
      <c r="B1651" s="4"/>
      <c r="C1651" s="4"/>
      <c r="D1651" s="4"/>
      <c r="E1651" s="4"/>
      <c r="F1651" s="4"/>
      <c r="G1651" s="4"/>
      <c r="H1651" s="4"/>
      <c r="I1651" s="4"/>
      <c r="J1651" s="4"/>
      <c r="K1651" s="396" t="s">
        <v>444</v>
      </c>
      <c r="L1651" s="273"/>
      <c r="M1651" s="394">
        <f>SUM(M1645:N1650)</f>
        <v>10722000</v>
      </c>
      <c r="N1651" s="273"/>
    </row>
    <row r="1652" spans="1:14" ht="12.75" customHeight="1" x14ac:dyDescent="0.25">
      <c r="A1652" s="4"/>
      <c r="B1652" s="4"/>
      <c r="C1652" s="4"/>
      <c r="D1652" s="4"/>
      <c r="E1652" s="4"/>
      <c r="F1652" s="4"/>
      <c r="G1652" s="4"/>
      <c r="H1652" s="4"/>
      <c r="I1652" s="4"/>
      <c r="J1652" s="4"/>
      <c r="K1652" s="4"/>
      <c r="L1652" s="4"/>
      <c r="M1652" s="4"/>
      <c r="N1652" s="4"/>
    </row>
    <row r="1653" spans="1:14" ht="12.75" customHeight="1" x14ac:dyDescent="0.2">
      <c r="A1653" s="398" t="s">
        <v>926</v>
      </c>
      <c r="B1653" s="271"/>
      <c r="C1653" s="271"/>
      <c r="D1653" s="271"/>
      <c r="E1653" s="271"/>
      <c r="F1653" s="271"/>
      <c r="G1653" s="271"/>
      <c r="H1653" s="271"/>
      <c r="I1653" s="271"/>
      <c r="J1653" s="271"/>
      <c r="K1653" s="271"/>
      <c r="L1653" s="271"/>
      <c r="M1653" s="271"/>
      <c r="N1653" s="273"/>
    </row>
    <row r="1654" spans="1:14" ht="12.75" customHeight="1" x14ac:dyDescent="0.2">
      <c r="A1654" s="396" t="s">
        <v>76</v>
      </c>
      <c r="B1654" s="271"/>
      <c r="C1654" s="271"/>
      <c r="D1654" s="271"/>
      <c r="E1654" s="271"/>
      <c r="F1654" s="271"/>
      <c r="G1654" s="273"/>
      <c r="H1654" s="88" t="s">
        <v>77</v>
      </c>
      <c r="I1654" s="399" t="s">
        <v>920</v>
      </c>
      <c r="J1654" s="273"/>
      <c r="K1654" s="399" t="s">
        <v>453</v>
      </c>
      <c r="L1654" s="273"/>
      <c r="M1654" s="399" t="s">
        <v>921</v>
      </c>
      <c r="N1654" s="273"/>
    </row>
    <row r="1655" spans="1:14" ht="12.75" customHeight="1" x14ac:dyDescent="0.2">
      <c r="A1655" s="400" t="s">
        <v>927</v>
      </c>
      <c r="B1655" s="271"/>
      <c r="C1655" s="271"/>
      <c r="D1655" s="271"/>
      <c r="E1655" s="271"/>
      <c r="F1655" s="271"/>
      <c r="G1655" s="273"/>
      <c r="H1655" s="29" t="str">
        <f>IF(A1655="","",VLOOKUP(A1655,AA_Equipos,7,FALSE))</f>
        <v>% M.O.</v>
      </c>
      <c r="I1655" s="394">
        <f>+M1678</f>
        <v>0</v>
      </c>
      <c r="J1655" s="273"/>
      <c r="K1655" s="404"/>
      <c r="L1655" s="273"/>
      <c r="M1655" s="394">
        <f t="shared" ref="M1655:M1659" si="216">IF(A1655="","",I1655*K1655)</f>
        <v>0</v>
      </c>
      <c r="N1655" s="273"/>
    </row>
    <row r="1656" spans="1:14" ht="12.75" customHeight="1" x14ac:dyDescent="0.2">
      <c r="A1656" s="403"/>
      <c r="B1656" s="271"/>
      <c r="C1656" s="271"/>
      <c r="D1656" s="271"/>
      <c r="E1656" s="271"/>
      <c r="F1656" s="271"/>
      <c r="G1656" s="273"/>
      <c r="H1656" s="29" t="str">
        <f>IF(A1656="","",VLOOKUP(A1656,AA_Equipos,7,FALSE))</f>
        <v/>
      </c>
      <c r="I1656" s="394" t="str">
        <f>IF(A1656="","",VLOOKUP(A1656,AA_Equipos,8,FALSE))</f>
        <v/>
      </c>
      <c r="J1656" s="273"/>
      <c r="K1656" s="402"/>
      <c r="L1656" s="273"/>
      <c r="M1656" s="394" t="str">
        <f t="shared" si="216"/>
        <v/>
      </c>
      <c r="N1656" s="273"/>
    </row>
    <row r="1657" spans="1:14" ht="12.75" customHeight="1" x14ac:dyDescent="0.2">
      <c r="A1657" s="400"/>
      <c r="B1657" s="271"/>
      <c r="C1657" s="271"/>
      <c r="D1657" s="271"/>
      <c r="E1657" s="271"/>
      <c r="F1657" s="271"/>
      <c r="G1657" s="273"/>
      <c r="H1657" s="29" t="str">
        <f>IF(A1657="","",VLOOKUP(A1657,AA_Equipos,7,FALSE))</f>
        <v/>
      </c>
      <c r="I1657" s="394" t="str">
        <f>IF(A1657="","",VLOOKUP(A1657,AA_Equipos,8,FALSE))</f>
        <v/>
      </c>
      <c r="J1657" s="273"/>
      <c r="K1657" s="401"/>
      <c r="L1657" s="273"/>
      <c r="M1657" s="394" t="str">
        <f t="shared" si="216"/>
        <v/>
      </c>
      <c r="N1657" s="273"/>
    </row>
    <row r="1658" spans="1:14" ht="12.75" customHeight="1" x14ac:dyDescent="0.2">
      <c r="A1658" s="400"/>
      <c r="B1658" s="271"/>
      <c r="C1658" s="271"/>
      <c r="D1658" s="271"/>
      <c r="E1658" s="271"/>
      <c r="F1658" s="271"/>
      <c r="G1658" s="273"/>
      <c r="H1658" s="29" t="str">
        <f>IF(A1658="","",VLOOKUP(A1658,AA_Equipos,7,FALSE))</f>
        <v/>
      </c>
      <c r="I1658" s="394" t="str">
        <f>IF(A1658="","",VLOOKUP(A1658,AA_Equipos,8,FALSE))</f>
        <v/>
      </c>
      <c r="J1658" s="273"/>
      <c r="K1658" s="395"/>
      <c r="L1658" s="273"/>
      <c r="M1658" s="394" t="str">
        <f t="shared" si="216"/>
        <v/>
      </c>
      <c r="N1658" s="273"/>
    </row>
    <row r="1659" spans="1:14" ht="12.75" customHeight="1" x14ac:dyDescent="0.2">
      <c r="A1659" s="400"/>
      <c r="B1659" s="271"/>
      <c r="C1659" s="271"/>
      <c r="D1659" s="271"/>
      <c r="E1659" s="271"/>
      <c r="F1659" s="271"/>
      <c r="G1659" s="273"/>
      <c r="H1659" s="29" t="str">
        <f>IF(A1659="","",VLOOKUP(A1659,AA_Equipos,7,FALSE))</f>
        <v/>
      </c>
      <c r="I1659" s="394" t="str">
        <f>IF(A1659="","",VLOOKUP(A1659,AA_Equipos,8,FALSE))</f>
        <v/>
      </c>
      <c r="J1659" s="273"/>
      <c r="K1659" s="395"/>
      <c r="L1659" s="273"/>
      <c r="M1659" s="394" t="str">
        <f t="shared" si="216"/>
        <v/>
      </c>
      <c r="N1659" s="273"/>
    </row>
    <row r="1660" spans="1:14" ht="12.75" customHeight="1" x14ac:dyDescent="0.25">
      <c r="A1660" s="4"/>
      <c r="B1660" s="4"/>
      <c r="C1660" s="4"/>
      <c r="D1660" s="4"/>
      <c r="E1660" s="4"/>
      <c r="F1660" s="4"/>
      <c r="G1660" s="4"/>
      <c r="H1660" s="4"/>
      <c r="I1660" s="4"/>
      <c r="J1660" s="4"/>
      <c r="K1660" s="396" t="s">
        <v>444</v>
      </c>
      <c r="L1660" s="273"/>
      <c r="M1660" s="394">
        <f>SUM(M1655:N1659)</f>
        <v>0</v>
      </c>
      <c r="N1660" s="273"/>
    </row>
    <row r="1661" spans="1:14" ht="12.75" customHeight="1" x14ac:dyDescent="0.25">
      <c r="A1661" s="4"/>
      <c r="B1661" s="4"/>
      <c r="C1661" s="4"/>
      <c r="D1661" s="4"/>
      <c r="E1661" s="4"/>
      <c r="F1661" s="4"/>
      <c r="G1661" s="4"/>
      <c r="H1661" s="4"/>
      <c r="I1661" s="4"/>
      <c r="J1661" s="4"/>
      <c r="K1661" s="4"/>
      <c r="L1661" s="4"/>
      <c r="M1661" s="4"/>
      <c r="N1661" s="4"/>
    </row>
    <row r="1662" spans="1:14" ht="12.75" customHeight="1" x14ac:dyDescent="0.2">
      <c r="A1662" s="398" t="s">
        <v>929</v>
      </c>
      <c r="B1662" s="271"/>
      <c r="C1662" s="271"/>
      <c r="D1662" s="271"/>
      <c r="E1662" s="271"/>
      <c r="F1662" s="271"/>
      <c r="G1662" s="271"/>
      <c r="H1662" s="271"/>
      <c r="I1662" s="271"/>
      <c r="J1662" s="271"/>
      <c r="K1662" s="271"/>
      <c r="L1662" s="271"/>
      <c r="M1662" s="271"/>
      <c r="N1662" s="273"/>
    </row>
    <row r="1663" spans="1:14" ht="12.75" customHeight="1" x14ac:dyDescent="0.2">
      <c r="A1663" s="396" t="s">
        <v>76</v>
      </c>
      <c r="B1663" s="271"/>
      <c r="C1663" s="271"/>
      <c r="D1663" s="271"/>
      <c r="E1663" s="271"/>
      <c r="F1663" s="271"/>
      <c r="G1663" s="273"/>
      <c r="H1663" s="88" t="s">
        <v>77</v>
      </c>
      <c r="I1663" s="399" t="s">
        <v>920</v>
      </c>
      <c r="J1663" s="273"/>
      <c r="K1663" s="399" t="s">
        <v>453</v>
      </c>
      <c r="L1663" s="273"/>
      <c r="M1663" s="399" t="s">
        <v>921</v>
      </c>
      <c r="N1663" s="273"/>
    </row>
    <row r="1664" spans="1:14" ht="12.75" customHeight="1" x14ac:dyDescent="0.2">
      <c r="A1664" s="400" t="s">
        <v>966</v>
      </c>
      <c r="B1664" s="271"/>
      <c r="C1664" s="271"/>
      <c r="D1664" s="271"/>
      <c r="E1664" s="271"/>
      <c r="F1664" s="271"/>
      <c r="G1664" s="273"/>
      <c r="H1664" s="29" t="s">
        <v>24</v>
      </c>
      <c r="I1664" s="394">
        <f>+M1651</f>
        <v>10722000</v>
      </c>
      <c r="J1664" s="273"/>
      <c r="K1664" s="404">
        <v>0.02</v>
      </c>
      <c r="L1664" s="273"/>
      <c r="M1664" s="394">
        <f t="shared" ref="M1664:M1668" si="217">IF(A1664="","",I1664*K1664)</f>
        <v>214440</v>
      </c>
      <c r="N1664" s="273"/>
    </row>
    <row r="1665" spans="1:14" ht="12.75" customHeight="1" x14ac:dyDescent="0.2">
      <c r="A1665" s="403"/>
      <c r="B1665" s="271"/>
      <c r="C1665" s="271"/>
      <c r="D1665" s="271"/>
      <c r="E1665" s="271"/>
      <c r="F1665" s="271"/>
      <c r="G1665" s="273"/>
      <c r="H1665" s="29"/>
      <c r="I1665" s="394"/>
      <c r="J1665" s="273"/>
      <c r="K1665" s="404"/>
      <c r="L1665" s="273"/>
      <c r="M1665" s="394" t="str">
        <f t="shared" si="217"/>
        <v/>
      </c>
      <c r="N1665" s="273"/>
    </row>
    <row r="1666" spans="1:14" ht="12.75" customHeight="1" x14ac:dyDescent="0.2">
      <c r="A1666" s="400"/>
      <c r="B1666" s="271"/>
      <c r="C1666" s="271"/>
      <c r="D1666" s="271"/>
      <c r="E1666" s="271"/>
      <c r="F1666" s="271"/>
      <c r="G1666" s="273"/>
      <c r="H1666" s="29"/>
      <c r="I1666" s="394"/>
      <c r="J1666" s="273"/>
      <c r="K1666" s="395"/>
      <c r="L1666" s="273"/>
      <c r="M1666" s="394" t="str">
        <f t="shared" si="217"/>
        <v/>
      </c>
      <c r="N1666" s="273"/>
    </row>
    <row r="1667" spans="1:14" ht="12.75" customHeight="1" x14ac:dyDescent="0.2">
      <c r="A1667" s="400"/>
      <c r="B1667" s="271"/>
      <c r="C1667" s="271"/>
      <c r="D1667" s="271"/>
      <c r="E1667" s="271"/>
      <c r="F1667" s="271"/>
      <c r="G1667" s="273"/>
      <c r="H1667" s="29"/>
      <c r="I1667" s="394"/>
      <c r="J1667" s="273"/>
      <c r="K1667" s="395"/>
      <c r="L1667" s="273"/>
      <c r="M1667" s="394" t="str">
        <f t="shared" si="217"/>
        <v/>
      </c>
      <c r="N1667" s="273"/>
    </row>
    <row r="1668" spans="1:14" ht="12.75" customHeight="1" x14ac:dyDescent="0.2">
      <c r="A1668" s="400"/>
      <c r="B1668" s="271"/>
      <c r="C1668" s="271"/>
      <c r="D1668" s="271"/>
      <c r="E1668" s="271"/>
      <c r="F1668" s="271"/>
      <c r="G1668" s="273"/>
      <c r="H1668" s="29"/>
      <c r="I1668" s="394"/>
      <c r="J1668" s="273"/>
      <c r="K1668" s="395"/>
      <c r="L1668" s="273"/>
      <c r="M1668" s="394" t="str">
        <f t="shared" si="217"/>
        <v/>
      </c>
      <c r="N1668" s="273"/>
    </row>
    <row r="1669" spans="1:14" ht="12.75" customHeight="1" x14ac:dyDescent="0.25">
      <c r="A1669" s="4"/>
      <c r="B1669" s="4"/>
      <c r="C1669" s="4"/>
      <c r="D1669" s="4"/>
      <c r="E1669" s="4"/>
      <c r="F1669" s="4"/>
      <c r="G1669" s="4"/>
      <c r="H1669" s="4"/>
      <c r="I1669" s="4"/>
      <c r="J1669" s="4"/>
      <c r="K1669" s="396" t="s">
        <v>444</v>
      </c>
      <c r="L1669" s="273"/>
      <c r="M1669" s="394">
        <f>SUM(M1664:N1668)</f>
        <v>214440</v>
      </c>
      <c r="N1669" s="273"/>
    </row>
    <row r="1670" spans="1:14" ht="12.75" customHeight="1" x14ac:dyDescent="0.25">
      <c r="A1670" s="4"/>
      <c r="B1670" s="4"/>
      <c r="C1670" s="4"/>
      <c r="D1670" s="4"/>
      <c r="E1670" s="4"/>
      <c r="F1670" s="4"/>
      <c r="G1670" s="4"/>
      <c r="H1670" s="4"/>
      <c r="I1670" s="4"/>
      <c r="J1670" s="4"/>
      <c r="K1670" s="4"/>
      <c r="L1670" s="4"/>
      <c r="M1670" s="4"/>
      <c r="N1670" s="4"/>
    </row>
    <row r="1671" spans="1:14" ht="12.75" customHeight="1" x14ac:dyDescent="0.2">
      <c r="A1671" s="398" t="s">
        <v>931</v>
      </c>
      <c r="B1671" s="271"/>
      <c r="C1671" s="271"/>
      <c r="D1671" s="271"/>
      <c r="E1671" s="271"/>
      <c r="F1671" s="271"/>
      <c r="G1671" s="271"/>
      <c r="H1671" s="271"/>
      <c r="I1671" s="271"/>
      <c r="J1671" s="271"/>
      <c r="K1671" s="271"/>
      <c r="L1671" s="271"/>
      <c r="M1671" s="271"/>
      <c r="N1671" s="273"/>
    </row>
    <row r="1672" spans="1:14" ht="12.75" customHeight="1" x14ac:dyDescent="0.2">
      <c r="A1672" s="396" t="s">
        <v>76</v>
      </c>
      <c r="B1672" s="271"/>
      <c r="C1672" s="271"/>
      <c r="D1672" s="271"/>
      <c r="E1672" s="271"/>
      <c r="F1672" s="271"/>
      <c r="G1672" s="273"/>
      <c r="H1672" s="88" t="s">
        <v>77</v>
      </c>
      <c r="I1672" s="399" t="s">
        <v>920</v>
      </c>
      <c r="J1672" s="273"/>
      <c r="K1672" s="90" t="s">
        <v>514</v>
      </c>
      <c r="L1672" s="91" t="s">
        <v>932</v>
      </c>
      <c r="M1672" s="399" t="s">
        <v>921</v>
      </c>
      <c r="N1672" s="273"/>
    </row>
    <row r="1673" spans="1:14" ht="12.75" customHeight="1" x14ac:dyDescent="0.25">
      <c r="A1673" s="393"/>
      <c r="B1673" s="271"/>
      <c r="C1673" s="271"/>
      <c r="D1673" s="271"/>
      <c r="E1673" s="271"/>
      <c r="F1673" s="271"/>
      <c r="G1673" s="273"/>
      <c r="H1673" s="29" t="str">
        <f>IF(A1673="","",VLOOKUP(A1673,AA_Cuadrillas,4,FALSE))</f>
        <v/>
      </c>
      <c r="I1673" s="394" t="str">
        <f>IF(A1673="","",VLOOKUP(A1673,AA_Cuadrillas,5,FALSE))</f>
        <v/>
      </c>
      <c r="J1673" s="273"/>
      <c r="K1673" s="9" t="str">
        <f>IF(A1673="","",F.P!$I$2)</f>
        <v/>
      </c>
      <c r="L1673" s="97"/>
      <c r="M1673" s="394" t="str">
        <f t="shared" ref="M1673:M1677" si="218">IF(A1673="","",I1673*K1673*L1673)</f>
        <v/>
      </c>
      <c r="N1673" s="273"/>
    </row>
    <row r="1674" spans="1:14" ht="12.75" customHeight="1" x14ac:dyDescent="0.25">
      <c r="A1674" s="393"/>
      <c r="B1674" s="271"/>
      <c r="C1674" s="271"/>
      <c r="D1674" s="271"/>
      <c r="E1674" s="271"/>
      <c r="F1674" s="271"/>
      <c r="G1674" s="273"/>
      <c r="H1674" s="29" t="str">
        <f>IF(A1674="","",VLOOKUP(A1674,AA_Cuadrillas,4,FALSE))</f>
        <v/>
      </c>
      <c r="I1674" s="394" t="str">
        <f>IF(A1674="","",VLOOKUP(A1674,AA_Cuadrillas,5,FALSE))</f>
        <v/>
      </c>
      <c r="J1674" s="273"/>
      <c r="K1674" s="9" t="str">
        <f>IF(A1674="","",F.P!$I$2)</f>
        <v/>
      </c>
      <c r="L1674" s="9"/>
      <c r="M1674" s="394" t="str">
        <f t="shared" si="218"/>
        <v/>
      </c>
      <c r="N1674" s="273"/>
    </row>
    <row r="1675" spans="1:14" ht="12.75" customHeight="1" x14ac:dyDescent="0.25">
      <c r="A1675" s="393"/>
      <c r="B1675" s="271"/>
      <c r="C1675" s="271"/>
      <c r="D1675" s="271"/>
      <c r="E1675" s="271"/>
      <c r="F1675" s="271"/>
      <c r="G1675" s="273"/>
      <c r="H1675" s="29" t="str">
        <f>IF(A1675="","",VLOOKUP(A1675,AA_Cuadrillas,4,FALSE))</f>
        <v/>
      </c>
      <c r="I1675" s="394" t="str">
        <f>IF(A1675="","",VLOOKUP(A1675,AA_Cuadrillas,5,FALSE))</f>
        <v/>
      </c>
      <c r="J1675" s="273"/>
      <c r="K1675" s="9" t="str">
        <f>IF(A1675="","",F.P!$I$2)</f>
        <v/>
      </c>
      <c r="L1675" s="37"/>
      <c r="M1675" s="394" t="str">
        <f t="shared" si="218"/>
        <v/>
      </c>
      <c r="N1675" s="273"/>
    </row>
    <row r="1676" spans="1:14" ht="12.75" customHeight="1" x14ac:dyDescent="0.25">
      <c r="A1676" s="393"/>
      <c r="B1676" s="271"/>
      <c r="C1676" s="271"/>
      <c r="D1676" s="271"/>
      <c r="E1676" s="271"/>
      <c r="F1676" s="271"/>
      <c r="G1676" s="273"/>
      <c r="H1676" s="29" t="str">
        <f>IF(A1676="","",VLOOKUP(A1676,AA_Cuadrillas,4,FALSE))</f>
        <v/>
      </c>
      <c r="I1676" s="394" t="str">
        <f>IF(A1676="","",VLOOKUP(A1676,AA_Cuadrillas,5,FALSE))</f>
        <v/>
      </c>
      <c r="J1676" s="273"/>
      <c r="K1676" s="9" t="str">
        <f>IF(A1676="","",F.P!$I$2)</f>
        <v/>
      </c>
      <c r="L1676" s="37"/>
      <c r="M1676" s="394" t="str">
        <f t="shared" si="218"/>
        <v/>
      </c>
      <c r="N1676" s="273"/>
    </row>
    <row r="1677" spans="1:14" ht="12.75" customHeight="1" x14ac:dyDescent="0.25">
      <c r="A1677" s="393"/>
      <c r="B1677" s="271"/>
      <c r="C1677" s="271"/>
      <c r="D1677" s="271"/>
      <c r="E1677" s="271"/>
      <c r="F1677" s="271"/>
      <c r="G1677" s="273"/>
      <c r="H1677" s="29" t="str">
        <f>IF(A1677="","",VLOOKUP(A1677,AA_Cuadrillas,4,FALSE))</f>
        <v/>
      </c>
      <c r="I1677" s="394" t="str">
        <f>IF(A1677="","",VLOOKUP(A1677,AA_Cuadrillas,5,FALSE))</f>
        <v/>
      </c>
      <c r="J1677" s="273"/>
      <c r="K1677" s="9" t="str">
        <f>IF(A1677="","",F.P!$I$2)</f>
        <v/>
      </c>
      <c r="L1677" s="37"/>
      <c r="M1677" s="394" t="str">
        <f t="shared" si="218"/>
        <v/>
      </c>
      <c r="N1677" s="273"/>
    </row>
    <row r="1678" spans="1:14" ht="12.75" customHeight="1" x14ac:dyDescent="0.25">
      <c r="A1678" s="4"/>
      <c r="B1678" s="4"/>
      <c r="C1678" s="4"/>
      <c r="D1678" s="4"/>
      <c r="E1678" s="4"/>
      <c r="F1678" s="4"/>
      <c r="G1678" s="4"/>
      <c r="H1678" s="4"/>
      <c r="I1678" s="4"/>
      <c r="J1678" s="4"/>
      <c r="K1678" s="396" t="s">
        <v>444</v>
      </c>
      <c r="L1678" s="273"/>
      <c r="M1678" s="394">
        <f>SUM(M1673:N1677)</f>
        <v>0</v>
      </c>
      <c r="N1678" s="273"/>
    </row>
    <row r="1679" spans="1:14" ht="12.75" customHeight="1" x14ac:dyDescent="0.2"/>
    <row r="1680" spans="1:14" ht="12.75" customHeight="1" x14ac:dyDescent="0.2">
      <c r="A1680" s="407" t="s">
        <v>142</v>
      </c>
      <c r="B1680" s="275"/>
      <c r="C1680" s="275"/>
      <c r="D1680" s="275"/>
      <c r="E1680" s="275"/>
      <c r="F1680" s="275"/>
      <c r="G1680" s="275"/>
      <c r="H1680" s="275"/>
      <c r="I1680" s="275"/>
      <c r="J1680" s="275"/>
      <c r="K1680" s="275"/>
      <c r="L1680" s="275"/>
      <c r="M1680" s="275"/>
      <c r="N1680" s="276"/>
    </row>
    <row r="1681" spans="1:15" ht="12.75" customHeight="1" x14ac:dyDescent="0.2">
      <c r="A1681" s="277"/>
      <c r="B1681" s="278"/>
      <c r="C1681" s="278"/>
      <c r="D1681" s="278"/>
      <c r="E1681" s="278"/>
      <c r="F1681" s="278"/>
      <c r="G1681" s="278"/>
      <c r="H1681" s="278"/>
      <c r="I1681" s="278"/>
      <c r="J1681" s="278"/>
      <c r="K1681" s="278"/>
      <c r="L1681" s="278"/>
      <c r="M1681" s="278"/>
      <c r="N1681" s="279"/>
    </row>
    <row r="1682" spans="1:15" ht="12.75" customHeight="1" x14ac:dyDescent="0.2">
      <c r="A1682" s="75"/>
      <c r="B1682" s="75"/>
      <c r="C1682" s="75"/>
      <c r="D1682" s="75"/>
      <c r="E1682" s="75"/>
      <c r="F1682" s="75"/>
      <c r="G1682" s="75"/>
      <c r="H1682" s="75"/>
      <c r="I1682" s="75"/>
      <c r="J1682" s="75"/>
      <c r="K1682" s="75"/>
      <c r="L1682" s="75"/>
      <c r="M1682" s="75"/>
      <c r="N1682" s="75"/>
    </row>
    <row r="1683" spans="1:15" ht="12.75" customHeight="1" x14ac:dyDescent="0.3">
      <c r="A1683" s="79" t="s">
        <v>652</v>
      </c>
      <c r="B1683" s="80" t="str">
        <f>A1680</f>
        <v>SUMINISTRO DE BOMBA 25 HP - CENTRIFUGA</v>
      </c>
      <c r="C1683" s="81" t="s">
        <v>916</v>
      </c>
      <c r="D1683" s="82" t="s">
        <v>999</v>
      </c>
      <c r="E1683" s="83" t="s">
        <v>445</v>
      </c>
      <c r="F1683" s="240">
        <f>H1683+J1683+L1683+N1683</f>
        <v>17051000</v>
      </c>
      <c r="G1683" s="83" t="s">
        <v>607</v>
      </c>
      <c r="H1683" s="86">
        <f>M1702</f>
        <v>0</v>
      </c>
      <c r="I1683" s="83" t="s">
        <v>918</v>
      </c>
      <c r="J1683" s="86">
        <f>M1693</f>
        <v>17051000</v>
      </c>
      <c r="K1683" s="83" t="s">
        <v>609</v>
      </c>
      <c r="L1683" s="86">
        <f>M1711</f>
        <v>0</v>
      </c>
      <c r="M1683" s="83" t="s">
        <v>610</v>
      </c>
      <c r="N1683" s="86">
        <f>M1720</f>
        <v>0</v>
      </c>
      <c r="O1683" t="s">
        <v>3230</v>
      </c>
    </row>
    <row r="1684" spans="1:15" ht="12.75" customHeight="1" x14ac:dyDescent="0.25">
      <c r="A1684" s="87"/>
      <c r="B1684" s="87"/>
      <c r="C1684" s="87"/>
      <c r="D1684" s="87"/>
      <c r="E1684" s="87"/>
      <c r="F1684" s="87"/>
      <c r="G1684" s="87"/>
      <c r="J1684" s="87"/>
      <c r="K1684" s="215" t="s">
        <v>3217</v>
      </c>
      <c r="L1684" s="215">
        <f>+F1683*presup!$O$5</f>
        <v>22166300</v>
      </c>
      <c r="M1684" s="87"/>
      <c r="N1684" s="87"/>
    </row>
    <row r="1685" spans="1:15" ht="12.75" customHeight="1" x14ac:dyDescent="0.2">
      <c r="A1685" s="398" t="s">
        <v>919</v>
      </c>
      <c r="B1685" s="271"/>
      <c r="C1685" s="271"/>
      <c r="D1685" s="271"/>
      <c r="E1685" s="271"/>
      <c r="F1685" s="271"/>
      <c r="G1685" s="271"/>
      <c r="H1685" s="271"/>
      <c r="I1685" s="271"/>
      <c r="J1685" s="271"/>
      <c r="K1685" s="271"/>
      <c r="L1685" s="271"/>
      <c r="M1685" s="271"/>
      <c r="N1685" s="273"/>
    </row>
    <row r="1686" spans="1:15" ht="12.75" customHeight="1" x14ac:dyDescent="0.2">
      <c r="A1686" s="396" t="s">
        <v>76</v>
      </c>
      <c r="B1686" s="271"/>
      <c r="C1686" s="271"/>
      <c r="D1686" s="271"/>
      <c r="E1686" s="271"/>
      <c r="F1686" s="271"/>
      <c r="G1686" s="273"/>
      <c r="H1686" s="88" t="s">
        <v>77</v>
      </c>
      <c r="I1686" s="399" t="s">
        <v>920</v>
      </c>
      <c r="J1686" s="273"/>
      <c r="K1686" s="399" t="s">
        <v>453</v>
      </c>
      <c r="L1686" s="273"/>
      <c r="M1686" s="399" t="s">
        <v>921</v>
      </c>
      <c r="N1686" s="273"/>
    </row>
    <row r="1687" spans="1:15" ht="12.75" customHeight="1" x14ac:dyDescent="0.2">
      <c r="A1687" s="403" t="s">
        <v>1054</v>
      </c>
      <c r="B1687" s="271"/>
      <c r="C1687" s="271"/>
      <c r="D1687" s="271"/>
      <c r="E1687" s="271"/>
      <c r="F1687" s="271"/>
      <c r="G1687" s="273"/>
      <c r="H1687" s="29" t="str">
        <f t="shared" ref="H1687:H1692" si="219">IF(A1687="","",VLOOKUP(A1687,AA_Materiales,7,FALSE))</f>
        <v>Unidad</v>
      </c>
      <c r="I1687" s="394">
        <f t="shared" ref="I1687:I1692" si="220">IF(A1687="","",VLOOKUP(A1687,AA_Materiales,8,FALSE))</f>
        <v>17051000</v>
      </c>
      <c r="J1687" s="273"/>
      <c r="K1687" s="395">
        <v>1</v>
      </c>
      <c r="L1687" s="273"/>
      <c r="M1687" s="394">
        <f t="shared" ref="M1687:M1692" si="221">IF(A1687="","",I1687*K1687)</f>
        <v>17051000</v>
      </c>
      <c r="N1687" s="273"/>
    </row>
    <row r="1688" spans="1:15" ht="12.75" customHeight="1" x14ac:dyDescent="0.2">
      <c r="A1688" s="403"/>
      <c r="B1688" s="271"/>
      <c r="C1688" s="271"/>
      <c r="D1688" s="271"/>
      <c r="E1688" s="271"/>
      <c r="F1688" s="271"/>
      <c r="G1688" s="273"/>
      <c r="H1688" s="29" t="str">
        <f t="shared" si="219"/>
        <v/>
      </c>
      <c r="I1688" s="394" t="str">
        <f t="shared" si="220"/>
        <v/>
      </c>
      <c r="J1688" s="273"/>
      <c r="K1688" s="395"/>
      <c r="L1688" s="273"/>
      <c r="M1688" s="394" t="str">
        <f t="shared" si="221"/>
        <v/>
      </c>
      <c r="N1688" s="273"/>
    </row>
    <row r="1689" spans="1:15" ht="12.75" customHeight="1" x14ac:dyDescent="0.2">
      <c r="A1689" s="403"/>
      <c r="B1689" s="271"/>
      <c r="C1689" s="271"/>
      <c r="D1689" s="271"/>
      <c r="E1689" s="271"/>
      <c r="F1689" s="271"/>
      <c r="G1689" s="273"/>
      <c r="H1689" s="29" t="str">
        <f t="shared" si="219"/>
        <v/>
      </c>
      <c r="I1689" s="394" t="str">
        <f t="shared" si="220"/>
        <v/>
      </c>
      <c r="J1689" s="273"/>
      <c r="K1689" s="395"/>
      <c r="L1689" s="273"/>
      <c r="M1689" s="394" t="str">
        <f t="shared" si="221"/>
        <v/>
      </c>
      <c r="N1689" s="273"/>
    </row>
    <row r="1690" spans="1:15" ht="12.75" customHeight="1" x14ac:dyDescent="0.2">
      <c r="A1690" s="403"/>
      <c r="B1690" s="271"/>
      <c r="C1690" s="271"/>
      <c r="D1690" s="271"/>
      <c r="E1690" s="271"/>
      <c r="F1690" s="271"/>
      <c r="G1690" s="273"/>
      <c r="H1690" s="29" t="str">
        <f t="shared" si="219"/>
        <v/>
      </c>
      <c r="I1690" s="394" t="str">
        <f t="shared" si="220"/>
        <v/>
      </c>
      <c r="J1690" s="273"/>
      <c r="K1690" s="395"/>
      <c r="L1690" s="273"/>
      <c r="M1690" s="394" t="str">
        <f t="shared" si="221"/>
        <v/>
      </c>
      <c r="N1690" s="273"/>
    </row>
    <row r="1691" spans="1:15" ht="12.75" customHeight="1" x14ac:dyDescent="0.2">
      <c r="A1691" s="403"/>
      <c r="B1691" s="271"/>
      <c r="C1691" s="271"/>
      <c r="D1691" s="271"/>
      <c r="E1691" s="271"/>
      <c r="F1691" s="271"/>
      <c r="G1691" s="273"/>
      <c r="H1691" s="29" t="str">
        <f t="shared" si="219"/>
        <v/>
      </c>
      <c r="I1691" s="394" t="str">
        <f t="shared" si="220"/>
        <v/>
      </c>
      <c r="J1691" s="273"/>
      <c r="K1691" s="395"/>
      <c r="L1691" s="273"/>
      <c r="M1691" s="394" t="str">
        <f t="shared" si="221"/>
        <v/>
      </c>
      <c r="N1691" s="273"/>
    </row>
    <row r="1692" spans="1:15" ht="12.75" customHeight="1" x14ac:dyDescent="0.2">
      <c r="A1692" s="403"/>
      <c r="B1692" s="271"/>
      <c r="C1692" s="271"/>
      <c r="D1692" s="271"/>
      <c r="E1692" s="271"/>
      <c r="F1692" s="271"/>
      <c r="G1692" s="273"/>
      <c r="H1692" s="29" t="str">
        <f t="shared" si="219"/>
        <v/>
      </c>
      <c r="I1692" s="394" t="str">
        <f t="shared" si="220"/>
        <v/>
      </c>
      <c r="J1692" s="273"/>
      <c r="K1692" s="395"/>
      <c r="L1692" s="273"/>
      <c r="M1692" s="394" t="str">
        <f t="shared" si="221"/>
        <v/>
      </c>
      <c r="N1692" s="273"/>
    </row>
    <row r="1693" spans="1:15" ht="12.75" customHeight="1" x14ac:dyDescent="0.25">
      <c r="A1693" s="4"/>
      <c r="B1693" s="4"/>
      <c r="C1693" s="4"/>
      <c r="D1693" s="4"/>
      <c r="E1693" s="4"/>
      <c r="F1693" s="4"/>
      <c r="G1693" s="4"/>
      <c r="H1693" s="4"/>
      <c r="I1693" s="4"/>
      <c r="J1693" s="4"/>
      <c r="K1693" s="396" t="s">
        <v>444</v>
      </c>
      <c r="L1693" s="273"/>
      <c r="M1693" s="394">
        <f>SUM(M1687:N1692)</f>
        <v>17051000</v>
      </c>
      <c r="N1693" s="273"/>
    </row>
    <row r="1694" spans="1:15" ht="12.75" customHeight="1" x14ac:dyDescent="0.25">
      <c r="A1694" s="4"/>
      <c r="B1694" s="4"/>
      <c r="C1694" s="4"/>
      <c r="D1694" s="4"/>
      <c r="E1694" s="4"/>
      <c r="F1694" s="4"/>
      <c r="G1694" s="4"/>
      <c r="H1694" s="4"/>
      <c r="I1694" s="4"/>
      <c r="J1694" s="4"/>
      <c r="K1694" s="4"/>
      <c r="L1694" s="4"/>
      <c r="M1694" s="4"/>
      <c r="N1694" s="4"/>
    </row>
    <row r="1695" spans="1:15" ht="12.75" customHeight="1" x14ac:dyDescent="0.2">
      <c r="A1695" s="398" t="s">
        <v>926</v>
      </c>
      <c r="B1695" s="271"/>
      <c r="C1695" s="271"/>
      <c r="D1695" s="271"/>
      <c r="E1695" s="271"/>
      <c r="F1695" s="271"/>
      <c r="G1695" s="271"/>
      <c r="H1695" s="271"/>
      <c r="I1695" s="271"/>
      <c r="J1695" s="271"/>
      <c r="K1695" s="271"/>
      <c r="L1695" s="271"/>
      <c r="M1695" s="271"/>
      <c r="N1695" s="273"/>
    </row>
    <row r="1696" spans="1:15" ht="12.75" customHeight="1" x14ac:dyDescent="0.2">
      <c r="A1696" s="396" t="s">
        <v>76</v>
      </c>
      <c r="B1696" s="271"/>
      <c r="C1696" s="271"/>
      <c r="D1696" s="271"/>
      <c r="E1696" s="271"/>
      <c r="F1696" s="271"/>
      <c r="G1696" s="273"/>
      <c r="H1696" s="88" t="s">
        <v>77</v>
      </c>
      <c r="I1696" s="399" t="s">
        <v>920</v>
      </c>
      <c r="J1696" s="273"/>
      <c r="K1696" s="399" t="s">
        <v>453</v>
      </c>
      <c r="L1696" s="273"/>
      <c r="M1696" s="399" t="s">
        <v>921</v>
      </c>
      <c r="N1696" s="273"/>
    </row>
    <row r="1697" spans="1:14" ht="12.75" customHeight="1" x14ac:dyDescent="0.2">
      <c r="A1697" s="400" t="s">
        <v>927</v>
      </c>
      <c r="B1697" s="271"/>
      <c r="C1697" s="271"/>
      <c r="D1697" s="271"/>
      <c r="E1697" s="271"/>
      <c r="F1697" s="271"/>
      <c r="G1697" s="273"/>
      <c r="H1697" s="29" t="str">
        <f>IF(A1697="","",VLOOKUP(A1697,AA_Equipos,7,FALSE))</f>
        <v>% M.O.</v>
      </c>
      <c r="I1697" s="394">
        <f>+M1720</f>
        <v>0</v>
      </c>
      <c r="J1697" s="273"/>
      <c r="K1697" s="404">
        <v>0.05</v>
      </c>
      <c r="L1697" s="273"/>
      <c r="M1697" s="394">
        <f t="shared" ref="M1697:M1701" si="222">IF(A1697="","",I1697*K1697)</f>
        <v>0</v>
      </c>
      <c r="N1697" s="273"/>
    </row>
    <row r="1698" spans="1:14" ht="12.75" customHeight="1" x14ac:dyDescent="0.2">
      <c r="A1698" s="403"/>
      <c r="B1698" s="271"/>
      <c r="C1698" s="271"/>
      <c r="D1698" s="271"/>
      <c r="E1698" s="271"/>
      <c r="F1698" s="271"/>
      <c r="G1698" s="273"/>
      <c r="H1698" s="29" t="str">
        <f>IF(A1698="","",VLOOKUP(A1698,AA_Equipos,7,FALSE))</f>
        <v/>
      </c>
      <c r="I1698" s="394" t="str">
        <f>IF(A1698="","",VLOOKUP(A1698,AA_Equipos,8,FALSE))</f>
        <v/>
      </c>
      <c r="J1698" s="273"/>
      <c r="K1698" s="402"/>
      <c r="L1698" s="273"/>
      <c r="M1698" s="394" t="str">
        <f t="shared" si="222"/>
        <v/>
      </c>
      <c r="N1698" s="273"/>
    </row>
    <row r="1699" spans="1:14" ht="12.75" customHeight="1" x14ac:dyDescent="0.2">
      <c r="A1699" s="400"/>
      <c r="B1699" s="271"/>
      <c r="C1699" s="271"/>
      <c r="D1699" s="271"/>
      <c r="E1699" s="271"/>
      <c r="F1699" s="271"/>
      <c r="G1699" s="273"/>
      <c r="H1699" s="29" t="str">
        <f>IF(A1699="","",VLOOKUP(A1699,AA_Equipos,7,FALSE))</f>
        <v/>
      </c>
      <c r="I1699" s="394" t="str">
        <f>IF(A1699="","",VLOOKUP(A1699,AA_Equipos,8,FALSE))</f>
        <v/>
      </c>
      <c r="J1699" s="273"/>
      <c r="K1699" s="401"/>
      <c r="L1699" s="273"/>
      <c r="M1699" s="394" t="str">
        <f t="shared" si="222"/>
        <v/>
      </c>
      <c r="N1699" s="273"/>
    </row>
    <row r="1700" spans="1:14" ht="12.75" customHeight="1" x14ac:dyDescent="0.2">
      <c r="A1700" s="400"/>
      <c r="B1700" s="271"/>
      <c r="C1700" s="271"/>
      <c r="D1700" s="271"/>
      <c r="E1700" s="271"/>
      <c r="F1700" s="271"/>
      <c r="G1700" s="273"/>
      <c r="H1700" s="29" t="str">
        <f>IF(A1700="","",VLOOKUP(A1700,AA_Equipos,7,FALSE))</f>
        <v/>
      </c>
      <c r="I1700" s="394" t="str">
        <f>IF(A1700="","",VLOOKUP(A1700,AA_Equipos,8,FALSE))</f>
        <v/>
      </c>
      <c r="J1700" s="273"/>
      <c r="K1700" s="395"/>
      <c r="L1700" s="273"/>
      <c r="M1700" s="394" t="str">
        <f t="shared" si="222"/>
        <v/>
      </c>
      <c r="N1700" s="273"/>
    </row>
    <row r="1701" spans="1:14" ht="12.75" customHeight="1" x14ac:dyDescent="0.2">
      <c r="A1701" s="400"/>
      <c r="B1701" s="271"/>
      <c r="C1701" s="271"/>
      <c r="D1701" s="271"/>
      <c r="E1701" s="271"/>
      <c r="F1701" s="271"/>
      <c r="G1701" s="273"/>
      <c r="H1701" s="29" t="str">
        <f>IF(A1701="","",VLOOKUP(A1701,AA_Equipos,7,FALSE))</f>
        <v/>
      </c>
      <c r="I1701" s="394" t="str">
        <f>IF(A1701="","",VLOOKUP(A1701,AA_Equipos,8,FALSE))</f>
        <v/>
      </c>
      <c r="J1701" s="273"/>
      <c r="K1701" s="395"/>
      <c r="L1701" s="273"/>
      <c r="M1701" s="394" t="str">
        <f t="shared" si="222"/>
        <v/>
      </c>
      <c r="N1701" s="273"/>
    </row>
    <row r="1702" spans="1:14" ht="12.75" customHeight="1" x14ac:dyDescent="0.25">
      <c r="A1702" s="4"/>
      <c r="B1702" s="4"/>
      <c r="C1702" s="4"/>
      <c r="D1702" s="4"/>
      <c r="E1702" s="4"/>
      <c r="F1702" s="4"/>
      <c r="G1702" s="4"/>
      <c r="H1702" s="4"/>
      <c r="I1702" s="4"/>
      <c r="J1702" s="4"/>
      <c r="K1702" s="396" t="s">
        <v>444</v>
      </c>
      <c r="L1702" s="273"/>
      <c r="M1702" s="394">
        <f>SUM(M1697:N1701)</f>
        <v>0</v>
      </c>
      <c r="N1702" s="273"/>
    </row>
    <row r="1703" spans="1:14" ht="12.75" customHeight="1" x14ac:dyDescent="0.25">
      <c r="A1703" s="4"/>
      <c r="B1703" s="4"/>
      <c r="C1703" s="4"/>
      <c r="D1703" s="4"/>
      <c r="E1703" s="4"/>
      <c r="F1703" s="4"/>
      <c r="G1703" s="4"/>
      <c r="H1703" s="4"/>
      <c r="I1703" s="4"/>
      <c r="J1703" s="4"/>
      <c r="K1703" s="4"/>
      <c r="L1703" s="4"/>
      <c r="M1703" s="4"/>
      <c r="N1703" s="4"/>
    </row>
    <row r="1704" spans="1:14" ht="12.75" customHeight="1" x14ac:dyDescent="0.2">
      <c r="A1704" s="398" t="s">
        <v>929</v>
      </c>
      <c r="B1704" s="271"/>
      <c r="C1704" s="271"/>
      <c r="D1704" s="271"/>
      <c r="E1704" s="271"/>
      <c r="F1704" s="271"/>
      <c r="G1704" s="271"/>
      <c r="H1704" s="271"/>
      <c r="I1704" s="271"/>
      <c r="J1704" s="271"/>
      <c r="K1704" s="271"/>
      <c r="L1704" s="271"/>
      <c r="M1704" s="271"/>
      <c r="N1704" s="273"/>
    </row>
    <row r="1705" spans="1:14" ht="12.75" customHeight="1" x14ac:dyDescent="0.2">
      <c r="A1705" s="396" t="s">
        <v>76</v>
      </c>
      <c r="B1705" s="271"/>
      <c r="C1705" s="271"/>
      <c r="D1705" s="271"/>
      <c r="E1705" s="271"/>
      <c r="F1705" s="271"/>
      <c r="G1705" s="273"/>
      <c r="H1705" s="88" t="s">
        <v>77</v>
      </c>
      <c r="I1705" s="399" t="s">
        <v>920</v>
      </c>
      <c r="J1705" s="273"/>
      <c r="K1705" s="399" t="s">
        <v>453</v>
      </c>
      <c r="L1705" s="273"/>
      <c r="M1705" s="399" t="s">
        <v>921</v>
      </c>
      <c r="N1705" s="273"/>
    </row>
    <row r="1706" spans="1:14" ht="12.75" customHeight="1" x14ac:dyDescent="0.2">
      <c r="A1706" s="400"/>
      <c r="B1706" s="271"/>
      <c r="C1706" s="271"/>
      <c r="D1706" s="271"/>
      <c r="E1706" s="271"/>
      <c r="F1706" s="271"/>
      <c r="G1706" s="273"/>
      <c r="H1706" s="29"/>
      <c r="I1706" s="394"/>
      <c r="J1706" s="273"/>
      <c r="K1706" s="404"/>
      <c r="L1706" s="273"/>
      <c r="M1706" s="394" t="str">
        <f t="shared" ref="M1706:M1710" si="223">IF(A1706="","",I1706*K1706)</f>
        <v/>
      </c>
      <c r="N1706" s="273"/>
    </row>
    <row r="1707" spans="1:14" ht="12.75" customHeight="1" x14ac:dyDescent="0.2">
      <c r="A1707" s="403"/>
      <c r="B1707" s="271"/>
      <c r="C1707" s="271"/>
      <c r="D1707" s="271"/>
      <c r="E1707" s="271"/>
      <c r="F1707" s="271"/>
      <c r="G1707" s="273"/>
      <c r="H1707" s="29"/>
      <c r="I1707" s="394"/>
      <c r="J1707" s="273"/>
      <c r="K1707" s="404"/>
      <c r="L1707" s="273"/>
      <c r="M1707" s="394" t="str">
        <f t="shared" si="223"/>
        <v/>
      </c>
      <c r="N1707" s="273"/>
    </row>
    <row r="1708" spans="1:14" ht="12.75" customHeight="1" x14ac:dyDescent="0.2">
      <c r="A1708" s="400"/>
      <c r="B1708" s="271"/>
      <c r="C1708" s="271"/>
      <c r="D1708" s="271"/>
      <c r="E1708" s="271"/>
      <c r="F1708" s="271"/>
      <c r="G1708" s="273"/>
      <c r="H1708" s="29"/>
      <c r="I1708" s="394"/>
      <c r="J1708" s="273"/>
      <c r="K1708" s="395"/>
      <c r="L1708" s="273"/>
      <c r="M1708" s="394" t="str">
        <f t="shared" si="223"/>
        <v/>
      </c>
      <c r="N1708" s="273"/>
    </row>
    <row r="1709" spans="1:14" ht="12.75" customHeight="1" x14ac:dyDescent="0.2">
      <c r="A1709" s="400"/>
      <c r="B1709" s="271"/>
      <c r="C1709" s="271"/>
      <c r="D1709" s="271"/>
      <c r="E1709" s="271"/>
      <c r="F1709" s="271"/>
      <c r="G1709" s="273"/>
      <c r="H1709" s="29"/>
      <c r="I1709" s="394"/>
      <c r="J1709" s="273"/>
      <c r="K1709" s="395"/>
      <c r="L1709" s="273"/>
      <c r="M1709" s="394" t="str">
        <f t="shared" si="223"/>
        <v/>
      </c>
      <c r="N1709" s="273"/>
    </row>
    <row r="1710" spans="1:14" ht="12.75" customHeight="1" x14ac:dyDescent="0.2">
      <c r="A1710" s="400"/>
      <c r="B1710" s="271"/>
      <c r="C1710" s="271"/>
      <c r="D1710" s="271"/>
      <c r="E1710" s="271"/>
      <c r="F1710" s="271"/>
      <c r="G1710" s="273"/>
      <c r="H1710" s="29"/>
      <c r="I1710" s="394"/>
      <c r="J1710" s="273"/>
      <c r="K1710" s="395"/>
      <c r="L1710" s="273"/>
      <c r="M1710" s="394" t="str">
        <f t="shared" si="223"/>
        <v/>
      </c>
      <c r="N1710" s="273"/>
    </row>
    <row r="1711" spans="1:14" ht="12.75" customHeight="1" x14ac:dyDescent="0.25">
      <c r="A1711" s="4"/>
      <c r="B1711" s="4"/>
      <c r="C1711" s="4"/>
      <c r="D1711" s="4"/>
      <c r="E1711" s="4"/>
      <c r="F1711" s="4"/>
      <c r="G1711" s="4"/>
      <c r="H1711" s="4"/>
      <c r="I1711" s="4"/>
      <c r="J1711" s="4"/>
      <c r="K1711" s="396" t="s">
        <v>444</v>
      </c>
      <c r="L1711" s="273"/>
      <c r="M1711" s="394">
        <f>SUM(M1706:N1710)</f>
        <v>0</v>
      </c>
      <c r="N1711" s="273"/>
    </row>
    <row r="1712" spans="1:14" ht="12.75" customHeight="1" x14ac:dyDescent="0.25">
      <c r="A1712" s="4"/>
      <c r="B1712" s="4"/>
      <c r="C1712" s="4"/>
      <c r="D1712" s="4"/>
      <c r="E1712" s="4"/>
      <c r="F1712" s="4"/>
      <c r="G1712" s="4"/>
      <c r="H1712" s="4"/>
      <c r="I1712" s="4"/>
      <c r="J1712" s="4"/>
      <c r="K1712" s="4"/>
      <c r="L1712" s="4"/>
      <c r="M1712" s="4"/>
      <c r="N1712" s="4"/>
    </row>
    <row r="1713" spans="1:15" ht="12.75" customHeight="1" x14ac:dyDescent="0.2">
      <c r="A1713" s="398" t="s">
        <v>931</v>
      </c>
      <c r="B1713" s="271"/>
      <c r="C1713" s="271"/>
      <c r="D1713" s="271"/>
      <c r="E1713" s="271"/>
      <c r="F1713" s="271"/>
      <c r="G1713" s="271"/>
      <c r="H1713" s="271"/>
      <c r="I1713" s="271"/>
      <c r="J1713" s="271"/>
      <c r="K1713" s="271"/>
      <c r="L1713" s="271"/>
      <c r="M1713" s="271"/>
      <c r="N1713" s="273"/>
    </row>
    <row r="1714" spans="1:15" ht="12.75" customHeight="1" x14ac:dyDescent="0.2">
      <c r="A1714" s="396" t="s">
        <v>76</v>
      </c>
      <c r="B1714" s="271"/>
      <c r="C1714" s="271"/>
      <c r="D1714" s="271"/>
      <c r="E1714" s="271"/>
      <c r="F1714" s="271"/>
      <c r="G1714" s="273"/>
      <c r="H1714" s="88" t="s">
        <v>77</v>
      </c>
      <c r="I1714" s="399" t="s">
        <v>920</v>
      </c>
      <c r="J1714" s="273"/>
      <c r="K1714" s="90" t="s">
        <v>514</v>
      </c>
      <c r="L1714" s="91" t="s">
        <v>932</v>
      </c>
      <c r="M1714" s="399" t="s">
        <v>921</v>
      </c>
      <c r="N1714" s="273"/>
    </row>
    <row r="1715" spans="1:15" ht="12.75" customHeight="1" x14ac:dyDescent="0.25">
      <c r="A1715" s="393"/>
      <c r="B1715" s="271"/>
      <c r="C1715" s="271"/>
      <c r="D1715" s="271"/>
      <c r="E1715" s="271"/>
      <c r="F1715" s="271"/>
      <c r="G1715" s="273"/>
      <c r="H1715" s="29" t="str">
        <f>IF(A1715="","",VLOOKUP(A1715,AA_Cuadrillas,4,FALSE))</f>
        <v/>
      </c>
      <c r="I1715" s="394" t="str">
        <f>IF(A1715="","",VLOOKUP(A1715,AA_Cuadrillas,5,FALSE))</f>
        <v/>
      </c>
      <c r="J1715" s="273"/>
      <c r="K1715" s="9" t="str">
        <f>IF(A1715="","",F.P!$I$2)</f>
        <v/>
      </c>
      <c r="L1715" s="97"/>
      <c r="M1715" s="394" t="str">
        <f t="shared" ref="M1715:M1719" si="224">IF(A1715="","",I1715*K1715*L1715)</f>
        <v/>
      </c>
      <c r="N1715" s="273"/>
    </row>
    <row r="1716" spans="1:15" ht="12.75" customHeight="1" x14ac:dyDescent="0.25">
      <c r="A1716" s="393"/>
      <c r="B1716" s="271"/>
      <c r="C1716" s="271"/>
      <c r="D1716" s="271"/>
      <c r="E1716" s="271"/>
      <c r="F1716" s="271"/>
      <c r="G1716" s="273"/>
      <c r="H1716" s="29" t="str">
        <f>IF(A1716="","",VLOOKUP(A1716,AA_Cuadrillas,4,FALSE))</f>
        <v/>
      </c>
      <c r="I1716" s="394" t="str">
        <f>IF(A1716="","",VLOOKUP(A1716,AA_Cuadrillas,5,FALSE))</f>
        <v/>
      </c>
      <c r="J1716" s="273"/>
      <c r="K1716" s="9" t="str">
        <f>IF(A1716="","",F.P!$I$2)</f>
        <v/>
      </c>
      <c r="L1716" s="9"/>
      <c r="M1716" s="394" t="str">
        <f t="shared" si="224"/>
        <v/>
      </c>
      <c r="N1716" s="273"/>
    </row>
    <row r="1717" spans="1:15" ht="12.75" customHeight="1" x14ac:dyDescent="0.25">
      <c r="A1717" s="393"/>
      <c r="B1717" s="271"/>
      <c r="C1717" s="271"/>
      <c r="D1717" s="271"/>
      <c r="E1717" s="271"/>
      <c r="F1717" s="271"/>
      <c r="G1717" s="273"/>
      <c r="H1717" s="29" t="str">
        <f>IF(A1717="","",VLOOKUP(A1717,AA_Cuadrillas,4,FALSE))</f>
        <v/>
      </c>
      <c r="I1717" s="394" t="str">
        <f>IF(A1717="","",VLOOKUP(A1717,AA_Cuadrillas,5,FALSE))</f>
        <v/>
      </c>
      <c r="J1717" s="273"/>
      <c r="K1717" s="9" t="str">
        <f>IF(A1717="","",F.P!$I$2)</f>
        <v/>
      </c>
      <c r="L1717" s="37"/>
      <c r="M1717" s="394" t="str">
        <f t="shared" si="224"/>
        <v/>
      </c>
      <c r="N1717" s="273"/>
    </row>
    <row r="1718" spans="1:15" ht="12.75" customHeight="1" x14ac:dyDescent="0.25">
      <c r="A1718" s="393"/>
      <c r="B1718" s="271"/>
      <c r="C1718" s="271"/>
      <c r="D1718" s="271"/>
      <c r="E1718" s="271"/>
      <c r="F1718" s="271"/>
      <c r="G1718" s="273"/>
      <c r="H1718" s="29" t="str">
        <f>IF(A1718="","",VLOOKUP(A1718,AA_Cuadrillas,4,FALSE))</f>
        <v/>
      </c>
      <c r="I1718" s="394" t="str">
        <f>IF(A1718="","",VLOOKUP(A1718,AA_Cuadrillas,5,FALSE))</f>
        <v/>
      </c>
      <c r="J1718" s="273"/>
      <c r="K1718" s="9" t="str">
        <f>IF(A1718="","",F.P!$I$2)</f>
        <v/>
      </c>
      <c r="L1718" s="37"/>
      <c r="M1718" s="394" t="str">
        <f t="shared" si="224"/>
        <v/>
      </c>
      <c r="N1718" s="273"/>
    </row>
    <row r="1719" spans="1:15" ht="12.75" customHeight="1" x14ac:dyDescent="0.25">
      <c r="A1719" s="393"/>
      <c r="B1719" s="271"/>
      <c r="C1719" s="271"/>
      <c r="D1719" s="271"/>
      <c r="E1719" s="271"/>
      <c r="F1719" s="271"/>
      <c r="G1719" s="273"/>
      <c r="H1719" s="29" t="str">
        <f>IF(A1719="","",VLOOKUP(A1719,AA_Cuadrillas,4,FALSE))</f>
        <v/>
      </c>
      <c r="I1719" s="394" t="str">
        <f>IF(A1719="","",VLOOKUP(A1719,AA_Cuadrillas,5,FALSE))</f>
        <v/>
      </c>
      <c r="J1719" s="273"/>
      <c r="K1719" s="9" t="str">
        <f>IF(A1719="","",F.P!$I$2)</f>
        <v/>
      </c>
      <c r="L1719" s="37"/>
      <c r="M1719" s="394" t="str">
        <f t="shared" si="224"/>
        <v/>
      </c>
      <c r="N1719" s="273"/>
    </row>
    <row r="1720" spans="1:15" ht="12.75" customHeight="1" x14ac:dyDescent="0.25">
      <c r="A1720" s="4"/>
      <c r="B1720" s="4"/>
      <c r="C1720" s="4"/>
      <c r="D1720" s="4"/>
      <c r="E1720" s="4"/>
      <c r="F1720" s="4"/>
      <c r="G1720" s="4"/>
      <c r="H1720" s="4"/>
      <c r="I1720" s="4"/>
      <c r="J1720" s="4"/>
      <c r="K1720" s="396" t="s">
        <v>444</v>
      </c>
      <c r="L1720" s="273"/>
      <c r="M1720" s="394">
        <f>SUM(M1715:N1719)</f>
        <v>0</v>
      </c>
      <c r="N1720" s="273"/>
    </row>
    <row r="1721" spans="1:15" ht="12.75" customHeight="1" x14ac:dyDescent="0.2"/>
    <row r="1722" spans="1:15" ht="12.75" customHeight="1" x14ac:dyDescent="0.2">
      <c r="A1722" s="397" t="s">
        <v>131</v>
      </c>
      <c r="B1722" s="275"/>
      <c r="C1722" s="275"/>
      <c r="D1722" s="275"/>
      <c r="E1722" s="275"/>
      <c r="F1722" s="275"/>
      <c r="G1722" s="275"/>
      <c r="H1722" s="275"/>
      <c r="I1722" s="275"/>
      <c r="J1722" s="275"/>
      <c r="K1722" s="275"/>
      <c r="L1722" s="275"/>
      <c r="M1722" s="275"/>
      <c r="N1722" s="276"/>
      <c r="O1722" s="166"/>
    </row>
    <row r="1723" spans="1:15" ht="12.75" customHeight="1" x14ac:dyDescent="0.2">
      <c r="A1723" s="277"/>
      <c r="B1723" s="278"/>
      <c r="C1723" s="278"/>
      <c r="D1723" s="278"/>
      <c r="E1723" s="278"/>
      <c r="F1723" s="278"/>
      <c r="G1723" s="278"/>
      <c r="H1723" s="278"/>
      <c r="I1723" s="278"/>
      <c r="J1723" s="278"/>
      <c r="K1723" s="278"/>
      <c r="L1723" s="278"/>
      <c r="M1723" s="278"/>
      <c r="N1723" s="279"/>
      <c r="O1723" s="166"/>
    </row>
    <row r="1724" spans="1:15" ht="12.75" customHeight="1" x14ac:dyDescent="0.2">
      <c r="A1724" s="75"/>
      <c r="B1724" s="75"/>
      <c r="C1724" s="75"/>
      <c r="D1724" s="75"/>
      <c r="E1724" s="75"/>
      <c r="F1724" s="75"/>
      <c r="G1724" s="75"/>
      <c r="H1724" s="75"/>
      <c r="I1724" s="75"/>
      <c r="J1724" s="75"/>
      <c r="K1724" s="75"/>
      <c r="L1724" s="75"/>
      <c r="M1724" s="75"/>
      <c r="N1724" s="75"/>
    </row>
    <row r="1725" spans="1:15" ht="12.75" customHeight="1" x14ac:dyDescent="0.3">
      <c r="A1725" s="79" t="s">
        <v>653</v>
      </c>
      <c r="B1725" s="80" t="str">
        <f>A1722</f>
        <v>SUMINISTRO DE PLUMA GRÚA HIDRÁULICA  CON BRAZO EXTENDIBLE DE 4 POSICIONES, CAPACIDAD DE CARGA DE 2000 KG, 4 PATAS PLEGABLES CON RUEDAS Y PASADORES DE SEGURIDAD Y PLUMA COMPLETAMENTE AJUSTABLES</v>
      </c>
      <c r="C1725" s="81" t="s">
        <v>916</v>
      </c>
      <c r="D1725" s="82" t="s">
        <v>999</v>
      </c>
      <c r="E1725" s="83" t="s">
        <v>445</v>
      </c>
      <c r="F1725" s="234">
        <f>(H1725+J1725+L1725+N1725)*1.3</f>
        <v>3376873.5</v>
      </c>
      <c r="G1725" s="83" t="s">
        <v>607</v>
      </c>
      <c r="H1725" s="86">
        <f>M1744</f>
        <v>0</v>
      </c>
      <c r="I1725" s="83" t="s">
        <v>918</v>
      </c>
      <c r="J1725" s="86">
        <f>M1735</f>
        <v>2473900</v>
      </c>
      <c r="K1725" s="83" t="s">
        <v>609</v>
      </c>
      <c r="L1725" s="86">
        <f>M1753</f>
        <v>123695</v>
      </c>
      <c r="M1725" s="83" t="s">
        <v>610</v>
      </c>
      <c r="N1725" s="86">
        <f>M1762</f>
        <v>0</v>
      </c>
    </row>
    <row r="1726" spans="1:15" ht="12.75" customHeight="1" x14ac:dyDescent="0.25">
      <c r="A1726" s="87"/>
      <c r="B1726" s="87"/>
      <c r="C1726" s="87"/>
      <c r="D1726" s="87"/>
      <c r="E1726" s="87"/>
      <c r="F1726" s="87"/>
      <c r="G1726" s="87"/>
      <c r="J1726" s="87"/>
      <c r="K1726" s="215" t="s">
        <v>3217</v>
      </c>
      <c r="L1726" s="215">
        <f>+F1725*presup!$O$5</f>
        <v>4389935.55</v>
      </c>
      <c r="M1726" s="87"/>
      <c r="N1726" s="87"/>
    </row>
    <row r="1727" spans="1:15" ht="12.75" customHeight="1" x14ac:dyDescent="0.2">
      <c r="A1727" s="398" t="s">
        <v>919</v>
      </c>
      <c r="B1727" s="271"/>
      <c r="C1727" s="271"/>
      <c r="D1727" s="271"/>
      <c r="E1727" s="271"/>
      <c r="F1727" s="271"/>
      <c r="G1727" s="271"/>
      <c r="H1727" s="271"/>
      <c r="I1727" s="271"/>
      <c r="J1727" s="271"/>
      <c r="K1727" s="271"/>
      <c r="L1727" s="271"/>
      <c r="M1727" s="271"/>
      <c r="N1727" s="273"/>
    </row>
    <row r="1728" spans="1:15" ht="12.75" customHeight="1" x14ac:dyDescent="0.2">
      <c r="A1728" s="396" t="s">
        <v>76</v>
      </c>
      <c r="B1728" s="271"/>
      <c r="C1728" s="271"/>
      <c r="D1728" s="271"/>
      <c r="E1728" s="271"/>
      <c r="F1728" s="271"/>
      <c r="G1728" s="273"/>
      <c r="H1728" s="88" t="s">
        <v>77</v>
      </c>
      <c r="I1728" s="399" t="s">
        <v>920</v>
      </c>
      <c r="J1728" s="273"/>
      <c r="K1728" s="399" t="s">
        <v>453</v>
      </c>
      <c r="L1728" s="273"/>
      <c r="M1728" s="399" t="s">
        <v>921</v>
      </c>
      <c r="N1728" s="273"/>
    </row>
    <row r="1729" spans="1:14" ht="12.75" customHeight="1" x14ac:dyDescent="0.2">
      <c r="A1729" s="403" t="s">
        <v>1055</v>
      </c>
      <c r="B1729" s="271"/>
      <c r="C1729" s="271"/>
      <c r="D1729" s="271"/>
      <c r="E1729" s="271"/>
      <c r="F1729" s="271"/>
      <c r="G1729" s="273"/>
      <c r="H1729" s="29" t="str">
        <f t="shared" ref="H1729:H1734" si="225">IF(A1729="","",VLOOKUP(A1729,AA_Materiales,7,FALSE))</f>
        <v>Unidad</v>
      </c>
      <c r="I1729" s="394">
        <f t="shared" ref="I1729:I1734" si="226">IF(A1729="","",VLOOKUP(A1729,AA_Materiales,8,FALSE))</f>
        <v>2473900</v>
      </c>
      <c r="J1729" s="273"/>
      <c r="K1729" s="395">
        <v>1</v>
      </c>
      <c r="L1729" s="273"/>
      <c r="M1729" s="394">
        <f t="shared" ref="M1729:M1734" si="227">IF(A1729="","",I1729*K1729)</f>
        <v>2473900</v>
      </c>
      <c r="N1729" s="273"/>
    </row>
    <row r="1730" spans="1:14" ht="12.75" customHeight="1" x14ac:dyDescent="0.2">
      <c r="A1730" s="403"/>
      <c r="B1730" s="271"/>
      <c r="C1730" s="271"/>
      <c r="D1730" s="271"/>
      <c r="E1730" s="271"/>
      <c r="F1730" s="271"/>
      <c r="G1730" s="273"/>
      <c r="H1730" s="29" t="str">
        <f t="shared" si="225"/>
        <v/>
      </c>
      <c r="I1730" s="394" t="str">
        <f t="shared" si="226"/>
        <v/>
      </c>
      <c r="J1730" s="273"/>
      <c r="K1730" s="395"/>
      <c r="L1730" s="273"/>
      <c r="M1730" s="394" t="str">
        <f t="shared" si="227"/>
        <v/>
      </c>
      <c r="N1730" s="273"/>
    </row>
    <row r="1731" spans="1:14" ht="12.75" customHeight="1" x14ac:dyDescent="0.2">
      <c r="A1731" s="403"/>
      <c r="B1731" s="271"/>
      <c r="C1731" s="271"/>
      <c r="D1731" s="271"/>
      <c r="E1731" s="271"/>
      <c r="F1731" s="271"/>
      <c r="G1731" s="273"/>
      <c r="H1731" s="29" t="str">
        <f t="shared" si="225"/>
        <v/>
      </c>
      <c r="I1731" s="394" t="str">
        <f t="shared" si="226"/>
        <v/>
      </c>
      <c r="J1731" s="273"/>
      <c r="K1731" s="395"/>
      <c r="L1731" s="273"/>
      <c r="M1731" s="394" t="str">
        <f t="shared" si="227"/>
        <v/>
      </c>
      <c r="N1731" s="273"/>
    </row>
    <row r="1732" spans="1:14" ht="12.75" customHeight="1" x14ac:dyDescent="0.2">
      <c r="A1732" s="403"/>
      <c r="B1732" s="271"/>
      <c r="C1732" s="271"/>
      <c r="D1732" s="271"/>
      <c r="E1732" s="271"/>
      <c r="F1732" s="271"/>
      <c r="G1732" s="273"/>
      <c r="H1732" s="29" t="str">
        <f t="shared" si="225"/>
        <v/>
      </c>
      <c r="I1732" s="394" t="str">
        <f t="shared" si="226"/>
        <v/>
      </c>
      <c r="J1732" s="273"/>
      <c r="K1732" s="395"/>
      <c r="L1732" s="273"/>
      <c r="M1732" s="394" t="str">
        <f t="shared" si="227"/>
        <v/>
      </c>
      <c r="N1732" s="273"/>
    </row>
    <row r="1733" spans="1:14" ht="12.75" customHeight="1" x14ac:dyDescent="0.2">
      <c r="A1733" s="403"/>
      <c r="B1733" s="271"/>
      <c r="C1733" s="271"/>
      <c r="D1733" s="271"/>
      <c r="E1733" s="271"/>
      <c r="F1733" s="271"/>
      <c r="G1733" s="273"/>
      <c r="H1733" s="29" t="str">
        <f t="shared" si="225"/>
        <v/>
      </c>
      <c r="I1733" s="394" t="str">
        <f t="shared" si="226"/>
        <v/>
      </c>
      <c r="J1733" s="273"/>
      <c r="K1733" s="395"/>
      <c r="L1733" s="273"/>
      <c r="M1733" s="394" t="str">
        <f t="shared" si="227"/>
        <v/>
      </c>
      <c r="N1733" s="273"/>
    </row>
    <row r="1734" spans="1:14" ht="12.75" customHeight="1" x14ac:dyDescent="0.2">
      <c r="A1734" s="403"/>
      <c r="B1734" s="271"/>
      <c r="C1734" s="271"/>
      <c r="D1734" s="271"/>
      <c r="E1734" s="271"/>
      <c r="F1734" s="271"/>
      <c r="G1734" s="273"/>
      <c r="H1734" s="29" t="str">
        <f t="shared" si="225"/>
        <v/>
      </c>
      <c r="I1734" s="394" t="str">
        <f t="shared" si="226"/>
        <v/>
      </c>
      <c r="J1734" s="273"/>
      <c r="K1734" s="395"/>
      <c r="L1734" s="273"/>
      <c r="M1734" s="394" t="str">
        <f t="shared" si="227"/>
        <v/>
      </c>
      <c r="N1734" s="273"/>
    </row>
    <row r="1735" spans="1:14" ht="12.75" customHeight="1" x14ac:dyDescent="0.25">
      <c r="A1735" s="4"/>
      <c r="B1735" s="4"/>
      <c r="C1735" s="4"/>
      <c r="D1735" s="4"/>
      <c r="E1735" s="4"/>
      <c r="F1735" s="4"/>
      <c r="G1735" s="4"/>
      <c r="H1735" s="4"/>
      <c r="I1735" s="4"/>
      <c r="J1735" s="4"/>
      <c r="K1735" s="396" t="s">
        <v>444</v>
      </c>
      <c r="L1735" s="273"/>
      <c r="M1735" s="394">
        <f>SUM(M1729:N1734)</f>
        <v>2473900</v>
      </c>
      <c r="N1735" s="273"/>
    </row>
    <row r="1736" spans="1:14" ht="12.75" customHeight="1" x14ac:dyDescent="0.25">
      <c r="A1736" s="4"/>
      <c r="B1736" s="4"/>
      <c r="C1736" s="4"/>
      <c r="D1736" s="4"/>
      <c r="E1736" s="4"/>
      <c r="F1736" s="4"/>
      <c r="G1736" s="4"/>
      <c r="H1736" s="4"/>
      <c r="I1736" s="4"/>
      <c r="J1736" s="4"/>
      <c r="K1736" s="4"/>
      <c r="L1736" s="4"/>
      <c r="M1736" s="4"/>
      <c r="N1736" s="4"/>
    </row>
    <row r="1737" spans="1:14" ht="12.75" customHeight="1" x14ac:dyDescent="0.2">
      <c r="A1737" s="398" t="s">
        <v>926</v>
      </c>
      <c r="B1737" s="271"/>
      <c r="C1737" s="271"/>
      <c r="D1737" s="271"/>
      <c r="E1737" s="271"/>
      <c r="F1737" s="271"/>
      <c r="G1737" s="271"/>
      <c r="H1737" s="271"/>
      <c r="I1737" s="271"/>
      <c r="J1737" s="271"/>
      <c r="K1737" s="271"/>
      <c r="L1737" s="271"/>
      <c r="M1737" s="271"/>
      <c r="N1737" s="273"/>
    </row>
    <row r="1738" spans="1:14" ht="12.75" customHeight="1" x14ac:dyDescent="0.2">
      <c r="A1738" s="396" t="s">
        <v>76</v>
      </c>
      <c r="B1738" s="271"/>
      <c r="C1738" s="271"/>
      <c r="D1738" s="271"/>
      <c r="E1738" s="271"/>
      <c r="F1738" s="271"/>
      <c r="G1738" s="273"/>
      <c r="H1738" s="88" t="s">
        <v>77</v>
      </c>
      <c r="I1738" s="399" t="s">
        <v>920</v>
      </c>
      <c r="J1738" s="273"/>
      <c r="K1738" s="399" t="s">
        <v>453</v>
      </c>
      <c r="L1738" s="273"/>
      <c r="M1738" s="399" t="s">
        <v>921</v>
      </c>
      <c r="N1738" s="273"/>
    </row>
    <row r="1739" spans="1:14" ht="12.75" customHeight="1" x14ac:dyDescent="0.2">
      <c r="A1739" s="400" t="s">
        <v>927</v>
      </c>
      <c r="B1739" s="271"/>
      <c r="C1739" s="271"/>
      <c r="D1739" s="271"/>
      <c r="E1739" s="271"/>
      <c r="F1739" s="271"/>
      <c r="G1739" s="273"/>
      <c r="H1739" s="29" t="str">
        <f>IF(A1739="","",VLOOKUP(A1739,AA_Equipos,7,FALSE))</f>
        <v>% M.O.</v>
      </c>
      <c r="I1739" s="394">
        <f>+M1762</f>
        <v>0</v>
      </c>
      <c r="J1739" s="273"/>
      <c r="K1739" s="404">
        <v>0.05</v>
      </c>
      <c r="L1739" s="273"/>
      <c r="M1739" s="394">
        <f t="shared" ref="M1739:M1743" si="228">IF(A1739="","",I1739*K1739)</f>
        <v>0</v>
      </c>
      <c r="N1739" s="273"/>
    </row>
    <row r="1740" spans="1:14" ht="12.75" customHeight="1" x14ac:dyDescent="0.2">
      <c r="A1740" s="403"/>
      <c r="B1740" s="271"/>
      <c r="C1740" s="271"/>
      <c r="D1740" s="271"/>
      <c r="E1740" s="271"/>
      <c r="F1740" s="271"/>
      <c r="G1740" s="273"/>
      <c r="H1740" s="29" t="str">
        <f>IF(A1740="","",VLOOKUP(A1740,AA_Equipos,7,FALSE))</f>
        <v/>
      </c>
      <c r="I1740" s="394" t="str">
        <f>IF(A1740="","",VLOOKUP(A1740,AA_Equipos,8,FALSE))</f>
        <v/>
      </c>
      <c r="J1740" s="273"/>
      <c r="K1740" s="402"/>
      <c r="L1740" s="273"/>
      <c r="M1740" s="394" t="str">
        <f t="shared" si="228"/>
        <v/>
      </c>
      <c r="N1740" s="273"/>
    </row>
    <row r="1741" spans="1:14" ht="12.75" customHeight="1" x14ac:dyDescent="0.2">
      <c r="A1741" s="400"/>
      <c r="B1741" s="271"/>
      <c r="C1741" s="271"/>
      <c r="D1741" s="271"/>
      <c r="E1741" s="271"/>
      <c r="F1741" s="271"/>
      <c r="G1741" s="273"/>
      <c r="H1741" s="29" t="str">
        <f>IF(A1741="","",VLOOKUP(A1741,AA_Equipos,7,FALSE))</f>
        <v/>
      </c>
      <c r="I1741" s="394" t="str">
        <f>IF(A1741="","",VLOOKUP(A1741,AA_Equipos,8,FALSE))</f>
        <v/>
      </c>
      <c r="J1741" s="273"/>
      <c r="K1741" s="401"/>
      <c r="L1741" s="273"/>
      <c r="M1741" s="394" t="str">
        <f t="shared" si="228"/>
        <v/>
      </c>
      <c r="N1741" s="273"/>
    </row>
    <row r="1742" spans="1:14" ht="12.75" customHeight="1" x14ac:dyDescent="0.2">
      <c r="A1742" s="400"/>
      <c r="B1742" s="271"/>
      <c r="C1742" s="271"/>
      <c r="D1742" s="271"/>
      <c r="E1742" s="271"/>
      <c r="F1742" s="271"/>
      <c r="G1742" s="273"/>
      <c r="H1742" s="29" t="str">
        <f>IF(A1742="","",VLOOKUP(A1742,AA_Equipos,7,FALSE))</f>
        <v/>
      </c>
      <c r="I1742" s="394" t="str">
        <f>IF(A1742="","",VLOOKUP(A1742,AA_Equipos,8,FALSE))</f>
        <v/>
      </c>
      <c r="J1742" s="273"/>
      <c r="K1742" s="395"/>
      <c r="L1742" s="273"/>
      <c r="M1742" s="394" t="str">
        <f t="shared" si="228"/>
        <v/>
      </c>
      <c r="N1742" s="273"/>
    </row>
    <row r="1743" spans="1:14" ht="12.75" customHeight="1" x14ac:dyDescent="0.2">
      <c r="A1743" s="400"/>
      <c r="B1743" s="271"/>
      <c r="C1743" s="271"/>
      <c r="D1743" s="271"/>
      <c r="E1743" s="271"/>
      <c r="F1743" s="271"/>
      <c r="G1743" s="273"/>
      <c r="H1743" s="29" t="str">
        <f>IF(A1743="","",VLOOKUP(A1743,AA_Equipos,7,FALSE))</f>
        <v/>
      </c>
      <c r="I1743" s="394" t="str">
        <f>IF(A1743="","",VLOOKUP(A1743,AA_Equipos,8,FALSE))</f>
        <v/>
      </c>
      <c r="J1743" s="273"/>
      <c r="K1743" s="395"/>
      <c r="L1743" s="273"/>
      <c r="M1743" s="394" t="str">
        <f t="shared" si="228"/>
        <v/>
      </c>
      <c r="N1743" s="273"/>
    </row>
    <row r="1744" spans="1:14" ht="12.75" customHeight="1" x14ac:dyDescent="0.25">
      <c r="A1744" s="4"/>
      <c r="B1744" s="4"/>
      <c r="C1744" s="4"/>
      <c r="D1744" s="4"/>
      <c r="E1744" s="4"/>
      <c r="F1744" s="4"/>
      <c r="G1744" s="4"/>
      <c r="H1744" s="4"/>
      <c r="I1744" s="4"/>
      <c r="J1744" s="4"/>
      <c r="K1744" s="396" t="s">
        <v>444</v>
      </c>
      <c r="L1744" s="273"/>
      <c r="M1744" s="394">
        <f>SUM(M1739:N1743)</f>
        <v>0</v>
      </c>
      <c r="N1744" s="273"/>
    </row>
    <row r="1745" spans="1:14" ht="12.75" customHeight="1" x14ac:dyDescent="0.25">
      <c r="A1745" s="4"/>
      <c r="B1745" s="4"/>
      <c r="C1745" s="4"/>
      <c r="D1745" s="4"/>
      <c r="E1745" s="4"/>
      <c r="F1745" s="4"/>
      <c r="G1745" s="4"/>
      <c r="H1745" s="4"/>
      <c r="I1745" s="4"/>
      <c r="J1745" s="4"/>
      <c r="K1745" s="4"/>
      <c r="L1745" s="4"/>
      <c r="M1745" s="4"/>
      <c r="N1745" s="4"/>
    </row>
    <row r="1746" spans="1:14" ht="12.75" customHeight="1" x14ac:dyDescent="0.2">
      <c r="A1746" s="398" t="s">
        <v>929</v>
      </c>
      <c r="B1746" s="271"/>
      <c r="C1746" s="271"/>
      <c r="D1746" s="271"/>
      <c r="E1746" s="271"/>
      <c r="F1746" s="271"/>
      <c r="G1746" s="271"/>
      <c r="H1746" s="271"/>
      <c r="I1746" s="271"/>
      <c r="J1746" s="271"/>
      <c r="K1746" s="271"/>
      <c r="L1746" s="271"/>
      <c r="M1746" s="271"/>
      <c r="N1746" s="273"/>
    </row>
    <row r="1747" spans="1:14" ht="12.75" customHeight="1" x14ac:dyDescent="0.2">
      <c r="A1747" s="396" t="s">
        <v>76</v>
      </c>
      <c r="B1747" s="271"/>
      <c r="C1747" s="271"/>
      <c r="D1747" s="271"/>
      <c r="E1747" s="271"/>
      <c r="F1747" s="271"/>
      <c r="G1747" s="273"/>
      <c r="H1747" s="88" t="s">
        <v>77</v>
      </c>
      <c r="I1747" s="399" t="s">
        <v>920</v>
      </c>
      <c r="J1747" s="273"/>
      <c r="K1747" s="399" t="s">
        <v>453</v>
      </c>
      <c r="L1747" s="273"/>
      <c r="M1747" s="399" t="s">
        <v>921</v>
      </c>
      <c r="N1747" s="273"/>
    </row>
    <row r="1748" spans="1:14" ht="12.75" customHeight="1" x14ac:dyDescent="0.2">
      <c r="A1748" s="400" t="s">
        <v>966</v>
      </c>
      <c r="B1748" s="271"/>
      <c r="C1748" s="271"/>
      <c r="D1748" s="271"/>
      <c r="E1748" s="271"/>
      <c r="F1748" s="271"/>
      <c r="G1748" s="273"/>
      <c r="H1748" s="29" t="s">
        <v>24</v>
      </c>
      <c r="I1748" s="394">
        <f>+M1735</f>
        <v>2473900</v>
      </c>
      <c r="J1748" s="273"/>
      <c r="K1748" s="404">
        <v>0.05</v>
      </c>
      <c r="L1748" s="273"/>
      <c r="M1748" s="394">
        <f t="shared" ref="M1748:M1752" si="229">IF(A1748="","",I1748*K1748)</f>
        <v>123695</v>
      </c>
      <c r="N1748" s="273"/>
    </row>
    <row r="1749" spans="1:14" ht="12.75" customHeight="1" x14ac:dyDescent="0.2">
      <c r="A1749" s="403"/>
      <c r="B1749" s="271"/>
      <c r="C1749" s="271"/>
      <c r="D1749" s="271"/>
      <c r="E1749" s="271"/>
      <c r="F1749" s="271"/>
      <c r="G1749" s="273"/>
      <c r="H1749" s="29"/>
      <c r="I1749" s="394"/>
      <c r="J1749" s="273"/>
      <c r="K1749" s="404"/>
      <c r="L1749" s="273"/>
      <c r="M1749" s="394" t="str">
        <f t="shared" si="229"/>
        <v/>
      </c>
      <c r="N1749" s="273"/>
    </row>
    <row r="1750" spans="1:14" ht="12.75" customHeight="1" x14ac:dyDescent="0.2">
      <c r="A1750" s="400"/>
      <c r="B1750" s="271"/>
      <c r="C1750" s="271"/>
      <c r="D1750" s="271"/>
      <c r="E1750" s="271"/>
      <c r="F1750" s="271"/>
      <c r="G1750" s="273"/>
      <c r="H1750" s="29"/>
      <c r="I1750" s="394"/>
      <c r="J1750" s="273"/>
      <c r="K1750" s="395"/>
      <c r="L1750" s="273"/>
      <c r="M1750" s="394" t="str">
        <f t="shared" si="229"/>
        <v/>
      </c>
      <c r="N1750" s="273"/>
    </row>
    <row r="1751" spans="1:14" ht="12.75" customHeight="1" x14ac:dyDescent="0.2">
      <c r="A1751" s="400"/>
      <c r="B1751" s="271"/>
      <c r="C1751" s="271"/>
      <c r="D1751" s="271"/>
      <c r="E1751" s="271"/>
      <c r="F1751" s="271"/>
      <c r="G1751" s="273"/>
      <c r="H1751" s="29"/>
      <c r="I1751" s="394"/>
      <c r="J1751" s="273"/>
      <c r="K1751" s="395"/>
      <c r="L1751" s="273"/>
      <c r="M1751" s="394" t="str">
        <f t="shared" si="229"/>
        <v/>
      </c>
      <c r="N1751" s="273"/>
    </row>
    <row r="1752" spans="1:14" ht="12.75" customHeight="1" x14ac:dyDescent="0.2">
      <c r="A1752" s="400"/>
      <c r="B1752" s="271"/>
      <c r="C1752" s="271"/>
      <c r="D1752" s="271"/>
      <c r="E1752" s="271"/>
      <c r="F1752" s="271"/>
      <c r="G1752" s="273"/>
      <c r="H1752" s="29"/>
      <c r="I1752" s="394"/>
      <c r="J1752" s="273"/>
      <c r="K1752" s="395"/>
      <c r="L1752" s="273"/>
      <c r="M1752" s="394" t="str">
        <f t="shared" si="229"/>
        <v/>
      </c>
      <c r="N1752" s="273"/>
    </row>
    <row r="1753" spans="1:14" ht="12.75" customHeight="1" x14ac:dyDescent="0.25">
      <c r="A1753" s="4"/>
      <c r="B1753" s="4"/>
      <c r="C1753" s="4"/>
      <c r="D1753" s="4"/>
      <c r="E1753" s="4"/>
      <c r="F1753" s="4"/>
      <c r="G1753" s="4"/>
      <c r="H1753" s="4"/>
      <c r="I1753" s="4"/>
      <c r="J1753" s="4"/>
      <c r="K1753" s="396" t="s">
        <v>444</v>
      </c>
      <c r="L1753" s="273"/>
      <c r="M1753" s="394">
        <f>SUM(M1748:N1752)</f>
        <v>123695</v>
      </c>
      <c r="N1753" s="273"/>
    </row>
    <row r="1754" spans="1:14" ht="12.75" customHeight="1" x14ac:dyDescent="0.25">
      <c r="A1754" s="4"/>
      <c r="B1754" s="4"/>
      <c r="C1754" s="4"/>
      <c r="D1754" s="4"/>
      <c r="E1754" s="4"/>
      <c r="F1754" s="4"/>
      <c r="G1754" s="4"/>
      <c r="H1754" s="4"/>
      <c r="I1754" s="4"/>
      <c r="J1754" s="4"/>
      <c r="K1754" s="4"/>
      <c r="L1754" s="4"/>
      <c r="M1754" s="4"/>
      <c r="N1754" s="4"/>
    </row>
    <row r="1755" spans="1:14" ht="12.75" customHeight="1" x14ac:dyDescent="0.2">
      <c r="A1755" s="398" t="s">
        <v>931</v>
      </c>
      <c r="B1755" s="271"/>
      <c r="C1755" s="271"/>
      <c r="D1755" s="271"/>
      <c r="E1755" s="271"/>
      <c r="F1755" s="271"/>
      <c r="G1755" s="271"/>
      <c r="H1755" s="271"/>
      <c r="I1755" s="271"/>
      <c r="J1755" s="271"/>
      <c r="K1755" s="271"/>
      <c r="L1755" s="271"/>
      <c r="M1755" s="271"/>
      <c r="N1755" s="273"/>
    </row>
    <row r="1756" spans="1:14" ht="12.75" customHeight="1" x14ac:dyDescent="0.2">
      <c r="A1756" s="396" t="s">
        <v>76</v>
      </c>
      <c r="B1756" s="271"/>
      <c r="C1756" s="271"/>
      <c r="D1756" s="271"/>
      <c r="E1756" s="271"/>
      <c r="F1756" s="271"/>
      <c r="G1756" s="273"/>
      <c r="H1756" s="88" t="s">
        <v>77</v>
      </c>
      <c r="I1756" s="399" t="s">
        <v>920</v>
      </c>
      <c r="J1756" s="273"/>
      <c r="K1756" s="90" t="s">
        <v>514</v>
      </c>
      <c r="L1756" s="91" t="s">
        <v>932</v>
      </c>
      <c r="M1756" s="399" t="s">
        <v>921</v>
      </c>
      <c r="N1756" s="273"/>
    </row>
    <row r="1757" spans="1:14" ht="12.75" customHeight="1" x14ac:dyDescent="0.25">
      <c r="A1757" s="393"/>
      <c r="B1757" s="271"/>
      <c r="C1757" s="271"/>
      <c r="D1757" s="271"/>
      <c r="E1757" s="271"/>
      <c r="F1757" s="271"/>
      <c r="G1757" s="273"/>
      <c r="H1757" s="29" t="str">
        <f>IF(A1757="","",VLOOKUP(A1757,AA_Cuadrillas,4,FALSE))</f>
        <v/>
      </c>
      <c r="I1757" s="394" t="str">
        <f>IF(A1757="","",VLOOKUP(A1757,AA_Cuadrillas,5,FALSE))</f>
        <v/>
      </c>
      <c r="J1757" s="273"/>
      <c r="K1757" s="9" t="str">
        <f>IF(A1757="","",F.P!$I$2)</f>
        <v/>
      </c>
      <c r="L1757" s="97"/>
      <c r="M1757" s="394" t="str">
        <f t="shared" ref="M1757:M1761" si="230">IF(A1757="","",I1757*K1757*L1757)</f>
        <v/>
      </c>
      <c r="N1757" s="273"/>
    </row>
    <row r="1758" spans="1:14" ht="12.75" customHeight="1" x14ac:dyDescent="0.25">
      <c r="A1758" s="393"/>
      <c r="B1758" s="271"/>
      <c r="C1758" s="271"/>
      <c r="D1758" s="271"/>
      <c r="E1758" s="271"/>
      <c r="F1758" s="271"/>
      <c r="G1758" s="273"/>
      <c r="H1758" s="29" t="str">
        <f>IF(A1758="","",VLOOKUP(A1758,AA_Cuadrillas,4,FALSE))</f>
        <v/>
      </c>
      <c r="I1758" s="394" t="str">
        <f>IF(A1758="","",VLOOKUP(A1758,AA_Cuadrillas,5,FALSE))</f>
        <v/>
      </c>
      <c r="J1758" s="273"/>
      <c r="K1758" s="9" t="str">
        <f>IF(A1758="","",F.P!$I$2)</f>
        <v/>
      </c>
      <c r="L1758" s="9"/>
      <c r="M1758" s="394" t="str">
        <f t="shared" si="230"/>
        <v/>
      </c>
      <c r="N1758" s="273"/>
    </row>
    <row r="1759" spans="1:14" ht="12.75" customHeight="1" x14ac:dyDescent="0.25">
      <c r="A1759" s="393"/>
      <c r="B1759" s="271"/>
      <c r="C1759" s="271"/>
      <c r="D1759" s="271"/>
      <c r="E1759" s="271"/>
      <c r="F1759" s="271"/>
      <c r="G1759" s="273"/>
      <c r="H1759" s="29" t="str">
        <f>IF(A1759="","",VLOOKUP(A1759,AA_Cuadrillas,4,FALSE))</f>
        <v/>
      </c>
      <c r="I1759" s="394" t="str">
        <f>IF(A1759="","",VLOOKUP(A1759,AA_Cuadrillas,5,FALSE))</f>
        <v/>
      </c>
      <c r="J1759" s="273"/>
      <c r="K1759" s="9" t="str">
        <f>IF(A1759="","",F.P!$I$2)</f>
        <v/>
      </c>
      <c r="L1759" s="37"/>
      <c r="M1759" s="394" t="str">
        <f t="shared" si="230"/>
        <v/>
      </c>
      <c r="N1759" s="273"/>
    </row>
    <row r="1760" spans="1:14" ht="12.75" customHeight="1" x14ac:dyDescent="0.25">
      <c r="A1760" s="393"/>
      <c r="B1760" s="271"/>
      <c r="C1760" s="271"/>
      <c r="D1760" s="271"/>
      <c r="E1760" s="271"/>
      <c r="F1760" s="271"/>
      <c r="G1760" s="273"/>
      <c r="H1760" s="29" t="str">
        <f>IF(A1760="","",VLOOKUP(A1760,AA_Cuadrillas,4,FALSE))</f>
        <v/>
      </c>
      <c r="I1760" s="394" t="str">
        <f>IF(A1760="","",VLOOKUP(A1760,AA_Cuadrillas,5,FALSE))</f>
        <v/>
      </c>
      <c r="J1760" s="273"/>
      <c r="K1760" s="9" t="str">
        <f>IF(A1760="","",F.P!$I$2)</f>
        <v/>
      </c>
      <c r="L1760" s="37"/>
      <c r="M1760" s="394" t="str">
        <f t="shared" si="230"/>
        <v/>
      </c>
      <c r="N1760" s="273"/>
    </row>
    <row r="1761" spans="1:15" ht="12.75" customHeight="1" x14ac:dyDescent="0.25">
      <c r="A1761" s="393"/>
      <c r="B1761" s="271"/>
      <c r="C1761" s="271"/>
      <c r="D1761" s="271"/>
      <c r="E1761" s="271"/>
      <c r="F1761" s="271"/>
      <c r="G1761" s="273"/>
      <c r="H1761" s="29" t="str">
        <f>IF(A1761="","",VLOOKUP(A1761,AA_Cuadrillas,4,FALSE))</f>
        <v/>
      </c>
      <c r="I1761" s="394" t="str">
        <f>IF(A1761="","",VLOOKUP(A1761,AA_Cuadrillas,5,FALSE))</f>
        <v/>
      </c>
      <c r="J1761" s="273"/>
      <c r="K1761" s="9" t="str">
        <f>IF(A1761="","",F.P!$I$2)</f>
        <v/>
      </c>
      <c r="L1761" s="37"/>
      <c r="M1761" s="394" t="str">
        <f t="shared" si="230"/>
        <v/>
      </c>
      <c r="N1761" s="273"/>
    </row>
    <row r="1762" spans="1:15" ht="12.75" customHeight="1" x14ac:dyDescent="0.25">
      <c r="A1762" s="4"/>
      <c r="B1762" s="4"/>
      <c r="C1762" s="4"/>
      <c r="D1762" s="4"/>
      <c r="E1762" s="4"/>
      <c r="F1762" s="4"/>
      <c r="G1762" s="4"/>
      <c r="H1762" s="4"/>
      <c r="I1762" s="4"/>
      <c r="J1762" s="4"/>
      <c r="K1762" s="396" t="s">
        <v>444</v>
      </c>
      <c r="L1762" s="273"/>
      <c r="M1762" s="394">
        <f>SUM(M1757:N1761)</f>
        <v>0</v>
      </c>
      <c r="N1762" s="273"/>
    </row>
    <row r="1763" spans="1:15" ht="12.75" customHeight="1" x14ac:dyDescent="0.2"/>
    <row r="1764" spans="1:15" ht="12.75" customHeight="1" x14ac:dyDescent="0.2">
      <c r="A1764" s="397" t="s">
        <v>155</v>
      </c>
      <c r="B1764" s="275"/>
      <c r="C1764" s="275"/>
      <c r="D1764" s="275"/>
      <c r="E1764" s="275"/>
      <c r="F1764" s="275"/>
      <c r="G1764" s="275"/>
      <c r="H1764" s="275"/>
      <c r="I1764" s="275"/>
      <c r="J1764" s="275"/>
      <c r="K1764" s="275"/>
      <c r="L1764" s="275"/>
      <c r="M1764" s="275"/>
      <c r="N1764" s="276"/>
      <c r="O1764" s="166"/>
    </row>
    <row r="1765" spans="1:15" ht="13.5" customHeight="1" x14ac:dyDescent="0.2">
      <c r="A1765" s="277"/>
      <c r="B1765" s="278"/>
      <c r="C1765" s="278"/>
      <c r="D1765" s="278"/>
      <c r="E1765" s="278"/>
      <c r="F1765" s="278"/>
      <c r="G1765" s="278"/>
      <c r="H1765" s="278"/>
      <c r="I1765" s="278"/>
      <c r="J1765" s="278"/>
      <c r="K1765" s="278"/>
      <c r="L1765" s="278"/>
      <c r="M1765" s="278"/>
      <c r="N1765" s="279"/>
      <c r="O1765" s="166"/>
    </row>
    <row r="1766" spans="1:15" ht="12.75" customHeight="1" x14ac:dyDescent="0.2">
      <c r="A1766" s="75"/>
      <c r="B1766" s="75"/>
      <c r="C1766" s="75"/>
      <c r="D1766" s="75"/>
      <c r="E1766" s="75"/>
      <c r="F1766" s="75"/>
      <c r="G1766" s="75"/>
      <c r="H1766" s="75"/>
      <c r="I1766" s="75"/>
      <c r="J1766" s="75"/>
      <c r="K1766" s="75"/>
      <c r="L1766" s="75"/>
      <c r="M1766" s="75"/>
      <c r="N1766" s="75"/>
    </row>
    <row r="1767" spans="1:15" ht="12.75" customHeight="1" x14ac:dyDescent="0.3">
      <c r="A1767" s="79" t="s">
        <v>654</v>
      </c>
      <c r="B1767" s="80" t="str">
        <f>A1764</f>
        <v>SUMINISTRO E INSTALACIÓN PASOS PARA ESCALERA DE GATO EN VARILLA PRD-60 DE 3/4" ANTIDESLIZANTE CON ANCLAJE DENTADO, REFUERZO, Y TRANCA PIE. L=0,30 M AN= 0,30 (INCLUYE MATERIALES, EQUIPOS Y  MANO DE OBRA)</v>
      </c>
      <c r="C1767" s="81" t="s">
        <v>916</v>
      </c>
      <c r="D1767" s="82" t="s">
        <v>999</v>
      </c>
      <c r="E1767" s="83" t="s">
        <v>445</v>
      </c>
      <c r="F1767" s="234">
        <f>(H1767+J1767+L1767+N1767)*1.3</f>
        <v>133822.58162650003</v>
      </c>
      <c r="G1767" s="83" t="s">
        <v>607</v>
      </c>
      <c r="H1767" s="86">
        <f>M1786</f>
        <v>3318.7861000000003</v>
      </c>
      <c r="I1767" s="83" t="s">
        <v>918</v>
      </c>
      <c r="J1767" s="86">
        <f>M1777</f>
        <v>78000</v>
      </c>
      <c r="K1767" s="83" t="s">
        <v>609</v>
      </c>
      <c r="L1767" s="86">
        <f>M1795</f>
        <v>4065.9393049999999</v>
      </c>
      <c r="M1767" s="83" t="s">
        <v>610</v>
      </c>
      <c r="N1767" s="86">
        <f>M1804</f>
        <v>17555.722000000002</v>
      </c>
    </row>
    <row r="1768" spans="1:15" ht="12.75" customHeight="1" x14ac:dyDescent="0.25">
      <c r="A1768" s="87"/>
      <c r="B1768" s="87"/>
      <c r="C1768" s="87"/>
      <c r="D1768" s="87"/>
      <c r="E1768" s="87"/>
      <c r="F1768" s="87"/>
      <c r="G1768" s="87"/>
      <c r="J1768" s="87"/>
      <c r="K1768" s="215" t="s">
        <v>3217</v>
      </c>
      <c r="L1768" s="215">
        <f>+F1767*presup!$O$5</f>
        <v>173969.35611445006</v>
      </c>
      <c r="M1768" s="87"/>
      <c r="N1768" s="87"/>
    </row>
    <row r="1769" spans="1:15" ht="12.75" customHeight="1" x14ac:dyDescent="0.2">
      <c r="A1769" s="398" t="s">
        <v>919</v>
      </c>
      <c r="B1769" s="271"/>
      <c r="C1769" s="271"/>
      <c r="D1769" s="271"/>
      <c r="E1769" s="271"/>
      <c r="F1769" s="271"/>
      <c r="G1769" s="271"/>
      <c r="H1769" s="271"/>
      <c r="I1769" s="271"/>
      <c r="J1769" s="271"/>
      <c r="K1769" s="271"/>
      <c r="L1769" s="271"/>
      <c r="M1769" s="271"/>
      <c r="N1769" s="273"/>
    </row>
    <row r="1770" spans="1:15" ht="12.75" customHeight="1" x14ac:dyDescent="0.2">
      <c r="A1770" s="396" t="s">
        <v>76</v>
      </c>
      <c r="B1770" s="271"/>
      <c r="C1770" s="271"/>
      <c r="D1770" s="271"/>
      <c r="E1770" s="271"/>
      <c r="F1770" s="271"/>
      <c r="G1770" s="273"/>
      <c r="H1770" s="88" t="s">
        <v>77</v>
      </c>
      <c r="I1770" s="399" t="s">
        <v>920</v>
      </c>
      <c r="J1770" s="273"/>
      <c r="K1770" s="399" t="s">
        <v>453</v>
      </c>
      <c r="L1770" s="273"/>
      <c r="M1770" s="399" t="s">
        <v>921</v>
      </c>
      <c r="N1770" s="273"/>
    </row>
    <row r="1771" spans="1:15" ht="12.75" customHeight="1" x14ac:dyDescent="0.2">
      <c r="A1771" s="403" t="s">
        <v>1056</v>
      </c>
      <c r="B1771" s="271"/>
      <c r="C1771" s="271"/>
      <c r="D1771" s="271"/>
      <c r="E1771" s="271"/>
      <c r="F1771" s="271"/>
      <c r="G1771" s="273"/>
      <c r="H1771" s="29" t="str">
        <f t="shared" ref="H1771:H1776" si="231">IF(A1771="","",VLOOKUP(A1771,AA_Materiales,7,FALSE))</f>
        <v>Unidad</v>
      </c>
      <c r="I1771" s="394">
        <f t="shared" ref="I1771:I1776" si="232">IF(A1771="","",VLOOKUP(A1771,AA_Materiales,8,FALSE))</f>
        <v>78000</v>
      </c>
      <c r="J1771" s="273"/>
      <c r="K1771" s="395">
        <v>1</v>
      </c>
      <c r="L1771" s="273"/>
      <c r="M1771" s="394">
        <f t="shared" ref="M1771:M1776" si="233">IF(A1771="","",I1771*K1771)</f>
        <v>78000</v>
      </c>
      <c r="N1771" s="273"/>
    </row>
    <row r="1772" spans="1:15" ht="12.75" customHeight="1" x14ac:dyDescent="0.2">
      <c r="A1772" s="403"/>
      <c r="B1772" s="271"/>
      <c r="C1772" s="271"/>
      <c r="D1772" s="271"/>
      <c r="E1772" s="271"/>
      <c r="F1772" s="271"/>
      <c r="G1772" s="273"/>
      <c r="H1772" s="29" t="str">
        <f t="shared" si="231"/>
        <v/>
      </c>
      <c r="I1772" s="394" t="str">
        <f t="shared" si="232"/>
        <v/>
      </c>
      <c r="J1772" s="273"/>
      <c r="K1772" s="395"/>
      <c r="L1772" s="273"/>
      <c r="M1772" s="394" t="str">
        <f t="shared" si="233"/>
        <v/>
      </c>
      <c r="N1772" s="273"/>
    </row>
    <row r="1773" spans="1:15" ht="12.75" customHeight="1" x14ac:dyDescent="0.2">
      <c r="A1773" s="403"/>
      <c r="B1773" s="271"/>
      <c r="C1773" s="271"/>
      <c r="D1773" s="271"/>
      <c r="E1773" s="271"/>
      <c r="F1773" s="271"/>
      <c r="G1773" s="273"/>
      <c r="H1773" s="29" t="str">
        <f t="shared" si="231"/>
        <v/>
      </c>
      <c r="I1773" s="394" t="str">
        <f t="shared" si="232"/>
        <v/>
      </c>
      <c r="J1773" s="273"/>
      <c r="K1773" s="395"/>
      <c r="L1773" s="273"/>
      <c r="M1773" s="394" t="str">
        <f t="shared" si="233"/>
        <v/>
      </c>
      <c r="N1773" s="273"/>
    </row>
    <row r="1774" spans="1:15" ht="12.75" customHeight="1" x14ac:dyDescent="0.2">
      <c r="A1774" s="403"/>
      <c r="B1774" s="271"/>
      <c r="C1774" s="271"/>
      <c r="D1774" s="271"/>
      <c r="E1774" s="271"/>
      <c r="F1774" s="271"/>
      <c r="G1774" s="273"/>
      <c r="H1774" s="29" t="str">
        <f t="shared" si="231"/>
        <v/>
      </c>
      <c r="I1774" s="394" t="str">
        <f t="shared" si="232"/>
        <v/>
      </c>
      <c r="J1774" s="273"/>
      <c r="K1774" s="395"/>
      <c r="L1774" s="273"/>
      <c r="M1774" s="394" t="str">
        <f t="shared" si="233"/>
        <v/>
      </c>
      <c r="N1774" s="273"/>
    </row>
    <row r="1775" spans="1:15" ht="12.75" customHeight="1" x14ac:dyDescent="0.2">
      <c r="A1775" s="403"/>
      <c r="B1775" s="271"/>
      <c r="C1775" s="271"/>
      <c r="D1775" s="271"/>
      <c r="E1775" s="271"/>
      <c r="F1775" s="271"/>
      <c r="G1775" s="273"/>
      <c r="H1775" s="29" t="str">
        <f t="shared" si="231"/>
        <v/>
      </c>
      <c r="I1775" s="394" t="str">
        <f t="shared" si="232"/>
        <v/>
      </c>
      <c r="J1775" s="273"/>
      <c r="K1775" s="395"/>
      <c r="L1775" s="273"/>
      <c r="M1775" s="394" t="str">
        <f t="shared" si="233"/>
        <v/>
      </c>
      <c r="N1775" s="273"/>
    </row>
    <row r="1776" spans="1:15" ht="12.75" customHeight="1" x14ac:dyDescent="0.2">
      <c r="A1776" s="403"/>
      <c r="B1776" s="271"/>
      <c r="C1776" s="271"/>
      <c r="D1776" s="271"/>
      <c r="E1776" s="271"/>
      <c r="F1776" s="271"/>
      <c r="G1776" s="273"/>
      <c r="H1776" s="29" t="str">
        <f t="shared" si="231"/>
        <v/>
      </c>
      <c r="I1776" s="394" t="str">
        <f t="shared" si="232"/>
        <v/>
      </c>
      <c r="J1776" s="273"/>
      <c r="K1776" s="395"/>
      <c r="L1776" s="273"/>
      <c r="M1776" s="394" t="str">
        <f t="shared" si="233"/>
        <v/>
      </c>
      <c r="N1776" s="273"/>
    </row>
    <row r="1777" spans="1:14" ht="12.75" customHeight="1" x14ac:dyDescent="0.25">
      <c r="A1777" s="4"/>
      <c r="B1777" s="4"/>
      <c r="C1777" s="4"/>
      <c r="D1777" s="4"/>
      <c r="E1777" s="4"/>
      <c r="F1777" s="4"/>
      <c r="G1777" s="4"/>
      <c r="H1777" s="4"/>
      <c r="I1777" s="4"/>
      <c r="J1777" s="4"/>
      <c r="K1777" s="396" t="s">
        <v>444</v>
      </c>
      <c r="L1777" s="273"/>
      <c r="M1777" s="394">
        <f>SUM(M1771:N1776)</f>
        <v>78000</v>
      </c>
      <c r="N1777" s="273"/>
    </row>
    <row r="1778" spans="1:14" ht="12.75" customHeight="1" x14ac:dyDescent="0.25">
      <c r="A1778" s="4"/>
      <c r="B1778" s="4"/>
      <c r="C1778" s="4"/>
      <c r="D1778" s="4"/>
      <c r="E1778" s="4"/>
      <c r="F1778" s="4"/>
      <c r="G1778" s="4"/>
      <c r="H1778" s="4"/>
      <c r="I1778" s="4"/>
      <c r="J1778" s="4"/>
      <c r="K1778" s="4"/>
      <c r="L1778" s="4"/>
      <c r="M1778" s="4"/>
      <c r="N1778" s="4"/>
    </row>
    <row r="1779" spans="1:14" ht="12.75" customHeight="1" x14ac:dyDescent="0.2">
      <c r="A1779" s="398" t="s">
        <v>926</v>
      </c>
      <c r="B1779" s="271"/>
      <c r="C1779" s="271"/>
      <c r="D1779" s="271"/>
      <c r="E1779" s="271"/>
      <c r="F1779" s="271"/>
      <c r="G1779" s="271"/>
      <c r="H1779" s="271"/>
      <c r="I1779" s="271"/>
      <c r="J1779" s="271"/>
      <c r="K1779" s="271"/>
      <c r="L1779" s="271"/>
      <c r="M1779" s="271"/>
      <c r="N1779" s="273"/>
    </row>
    <row r="1780" spans="1:14" ht="12.75" customHeight="1" x14ac:dyDescent="0.2">
      <c r="A1780" s="396" t="s">
        <v>76</v>
      </c>
      <c r="B1780" s="271"/>
      <c r="C1780" s="271"/>
      <c r="D1780" s="271"/>
      <c r="E1780" s="271"/>
      <c r="F1780" s="271"/>
      <c r="G1780" s="273"/>
      <c r="H1780" s="88" t="s">
        <v>77</v>
      </c>
      <c r="I1780" s="399" t="s">
        <v>920</v>
      </c>
      <c r="J1780" s="273"/>
      <c r="K1780" s="399" t="s">
        <v>453</v>
      </c>
      <c r="L1780" s="273"/>
      <c r="M1780" s="399" t="s">
        <v>921</v>
      </c>
      <c r="N1780" s="273"/>
    </row>
    <row r="1781" spans="1:14" ht="12.75" customHeight="1" x14ac:dyDescent="0.2">
      <c r="A1781" s="400" t="s">
        <v>927</v>
      </c>
      <c r="B1781" s="271"/>
      <c r="C1781" s="271"/>
      <c r="D1781" s="271"/>
      <c r="E1781" s="271"/>
      <c r="F1781" s="271"/>
      <c r="G1781" s="273"/>
      <c r="H1781" s="29" t="str">
        <f>IF(A1781="","",VLOOKUP(A1781,AA_Equipos,7,FALSE))</f>
        <v>% M.O.</v>
      </c>
      <c r="I1781" s="394">
        <f>+M1804</f>
        <v>17555.722000000002</v>
      </c>
      <c r="J1781" s="273"/>
      <c r="K1781" s="404">
        <v>0.05</v>
      </c>
      <c r="L1781" s="273"/>
      <c r="M1781" s="394">
        <f t="shared" ref="M1781:M1785" si="234">IF(A1781="","",I1781*K1781)</f>
        <v>877.78610000000015</v>
      </c>
      <c r="N1781" s="273"/>
    </row>
    <row r="1782" spans="1:14" ht="12.75" customHeight="1" x14ac:dyDescent="0.2">
      <c r="A1782" s="403" t="s">
        <v>1057</v>
      </c>
      <c r="B1782" s="271"/>
      <c r="C1782" s="271"/>
      <c r="D1782" s="271"/>
      <c r="E1782" s="271"/>
      <c r="F1782" s="271"/>
      <c r="G1782" s="273"/>
      <c r="H1782" s="29" t="str">
        <f>IF(A1782="","",VLOOKUP(A1782,AA_Equipos,7,FALSE))</f>
        <v>Día</v>
      </c>
      <c r="I1782" s="394">
        <f>IF(A1782="","",VLOOKUP(A1782,AA_Equipos,8,FALSE))</f>
        <v>49230</v>
      </c>
      <c r="J1782" s="273"/>
      <c r="K1782" s="402">
        <f>1/30</f>
        <v>3.3333333333333333E-2</v>
      </c>
      <c r="L1782" s="273"/>
      <c r="M1782" s="394">
        <f t="shared" si="234"/>
        <v>1641</v>
      </c>
      <c r="N1782" s="273"/>
    </row>
    <row r="1783" spans="1:14" ht="12.75" customHeight="1" x14ac:dyDescent="0.2">
      <c r="A1783" s="403" t="s">
        <v>1058</v>
      </c>
      <c r="B1783" s="271"/>
      <c r="C1783" s="271"/>
      <c r="D1783" s="271"/>
      <c r="E1783" s="271"/>
      <c r="F1783" s="271"/>
      <c r="G1783" s="273"/>
      <c r="H1783" s="29" t="str">
        <f>IF(A1783="","",VLOOKUP(A1783,AA_Equipos,7,FALSE))</f>
        <v>Hora</v>
      </c>
      <c r="I1783" s="394">
        <f>IF(A1783="","",VLOOKUP(A1783,AA_Equipos,8,FALSE))</f>
        <v>40000</v>
      </c>
      <c r="J1783" s="273"/>
      <c r="K1783" s="401">
        <f>1/50</f>
        <v>0.02</v>
      </c>
      <c r="L1783" s="273"/>
      <c r="M1783" s="394">
        <f t="shared" si="234"/>
        <v>800</v>
      </c>
      <c r="N1783" s="273"/>
    </row>
    <row r="1784" spans="1:14" ht="12.75" customHeight="1" x14ac:dyDescent="0.2">
      <c r="A1784" s="400"/>
      <c r="B1784" s="271"/>
      <c r="C1784" s="271"/>
      <c r="D1784" s="271"/>
      <c r="E1784" s="271"/>
      <c r="F1784" s="271"/>
      <c r="G1784" s="273"/>
      <c r="H1784" s="29" t="str">
        <f>IF(A1784="","",VLOOKUP(A1784,AA_Equipos,7,FALSE))</f>
        <v/>
      </c>
      <c r="I1784" s="394" t="str">
        <f>IF(A1784="","",VLOOKUP(A1784,AA_Equipos,8,FALSE))</f>
        <v/>
      </c>
      <c r="J1784" s="273"/>
      <c r="K1784" s="395"/>
      <c r="L1784" s="273"/>
      <c r="M1784" s="394" t="str">
        <f t="shared" si="234"/>
        <v/>
      </c>
      <c r="N1784" s="273"/>
    </row>
    <row r="1785" spans="1:14" ht="12.75" customHeight="1" x14ac:dyDescent="0.2">
      <c r="A1785" s="400"/>
      <c r="B1785" s="271"/>
      <c r="C1785" s="271"/>
      <c r="D1785" s="271"/>
      <c r="E1785" s="271"/>
      <c r="F1785" s="271"/>
      <c r="G1785" s="273"/>
      <c r="H1785" s="29" t="str">
        <f>IF(A1785="","",VLOOKUP(A1785,AA_Equipos,7,FALSE))</f>
        <v/>
      </c>
      <c r="I1785" s="394" t="str">
        <f>IF(A1785="","",VLOOKUP(A1785,AA_Equipos,8,FALSE))</f>
        <v/>
      </c>
      <c r="J1785" s="273"/>
      <c r="K1785" s="395"/>
      <c r="L1785" s="273"/>
      <c r="M1785" s="394" t="str">
        <f t="shared" si="234"/>
        <v/>
      </c>
      <c r="N1785" s="273"/>
    </row>
    <row r="1786" spans="1:14" ht="12.75" customHeight="1" x14ac:dyDescent="0.25">
      <c r="A1786" s="4"/>
      <c r="B1786" s="4"/>
      <c r="C1786" s="4"/>
      <c r="D1786" s="4"/>
      <c r="E1786" s="4"/>
      <c r="F1786" s="4"/>
      <c r="G1786" s="4"/>
      <c r="H1786" s="4"/>
      <c r="I1786" s="4"/>
      <c r="J1786" s="4"/>
      <c r="K1786" s="396" t="s">
        <v>444</v>
      </c>
      <c r="L1786" s="273"/>
      <c r="M1786" s="394">
        <f>SUM(M1781:N1785)</f>
        <v>3318.7861000000003</v>
      </c>
      <c r="N1786" s="273"/>
    </row>
    <row r="1787" spans="1:14" ht="12.75" customHeight="1" x14ac:dyDescent="0.25">
      <c r="A1787" s="4"/>
      <c r="B1787" s="4"/>
      <c r="C1787" s="4"/>
      <c r="D1787" s="4"/>
      <c r="E1787" s="4"/>
      <c r="F1787" s="4"/>
      <c r="G1787" s="4"/>
      <c r="H1787" s="4"/>
      <c r="I1787" s="4"/>
      <c r="J1787" s="4"/>
      <c r="K1787" s="4"/>
      <c r="L1787" s="4"/>
      <c r="M1787" s="4"/>
      <c r="N1787" s="4"/>
    </row>
    <row r="1788" spans="1:14" ht="12.75" customHeight="1" x14ac:dyDescent="0.2">
      <c r="A1788" s="398" t="s">
        <v>929</v>
      </c>
      <c r="B1788" s="271"/>
      <c r="C1788" s="271"/>
      <c r="D1788" s="271"/>
      <c r="E1788" s="271"/>
      <c r="F1788" s="271"/>
      <c r="G1788" s="271"/>
      <c r="H1788" s="271"/>
      <c r="I1788" s="271"/>
      <c r="J1788" s="271"/>
      <c r="K1788" s="271"/>
      <c r="L1788" s="271"/>
      <c r="M1788" s="271"/>
      <c r="N1788" s="273"/>
    </row>
    <row r="1789" spans="1:14" ht="12.75" customHeight="1" x14ac:dyDescent="0.2">
      <c r="A1789" s="396" t="s">
        <v>76</v>
      </c>
      <c r="B1789" s="271"/>
      <c r="C1789" s="271"/>
      <c r="D1789" s="271"/>
      <c r="E1789" s="271"/>
      <c r="F1789" s="271"/>
      <c r="G1789" s="273"/>
      <c r="H1789" s="88" t="s">
        <v>77</v>
      </c>
      <c r="I1789" s="399" t="s">
        <v>920</v>
      </c>
      <c r="J1789" s="273"/>
      <c r="K1789" s="399" t="s">
        <v>453</v>
      </c>
      <c r="L1789" s="273"/>
      <c r="M1789" s="399" t="s">
        <v>921</v>
      </c>
      <c r="N1789" s="273"/>
    </row>
    <row r="1790" spans="1:14" ht="12.75" customHeight="1" x14ac:dyDescent="0.2">
      <c r="A1790" s="400" t="s">
        <v>966</v>
      </c>
      <c r="B1790" s="271"/>
      <c r="C1790" s="271"/>
      <c r="D1790" s="271"/>
      <c r="E1790" s="271"/>
      <c r="F1790" s="271"/>
      <c r="G1790" s="273"/>
      <c r="H1790" s="29" t="s">
        <v>950</v>
      </c>
      <c r="I1790" s="394">
        <f>+M1777</f>
        <v>78000</v>
      </c>
      <c r="J1790" s="273"/>
      <c r="K1790" s="404">
        <v>0.05</v>
      </c>
      <c r="L1790" s="273"/>
      <c r="M1790" s="394">
        <f t="shared" ref="M1790:M1794" si="235">IF(A1790="","",I1790*K1790)</f>
        <v>3900</v>
      </c>
      <c r="N1790" s="273"/>
    </row>
    <row r="1791" spans="1:14" ht="12.75" customHeight="1" x14ac:dyDescent="0.2">
      <c r="A1791" s="403" t="s">
        <v>3174</v>
      </c>
      <c r="B1791" s="271"/>
      <c r="C1791" s="271"/>
      <c r="D1791" s="271"/>
      <c r="E1791" s="271"/>
      <c r="F1791" s="271"/>
      <c r="G1791" s="273"/>
      <c r="H1791" s="29" t="s">
        <v>24</v>
      </c>
      <c r="I1791" s="394">
        <f>+M1786</f>
        <v>3318.7861000000003</v>
      </c>
      <c r="J1791" s="273"/>
      <c r="K1791" s="404">
        <v>0.05</v>
      </c>
      <c r="L1791" s="273"/>
      <c r="M1791" s="394">
        <f t="shared" si="235"/>
        <v>165.93930500000002</v>
      </c>
      <c r="N1791" s="273"/>
    </row>
    <row r="1792" spans="1:14" ht="12.75" customHeight="1" x14ac:dyDescent="0.2">
      <c r="A1792" s="400"/>
      <c r="B1792" s="271"/>
      <c r="C1792" s="271"/>
      <c r="D1792" s="271"/>
      <c r="E1792" s="271"/>
      <c r="F1792" s="271"/>
      <c r="G1792" s="273"/>
      <c r="H1792" s="29"/>
      <c r="I1792" s="394"/>
      <c r="J1792" s="273"/>
      <c r="K1792" s="395"/>
      <c r="L1792" s="273"/>
      <c r="M1792" s="394" t="str">
        <f t="shared" si="235"/>
        <v/>
      </c>
      <c r="N1792" s="273"/>
    </row>
    <row r="1793" spans="1:14" ht="12.75" customHeight="1" x14ac:dyDescent="0.2">
      <c r="A1793" s="400"/>
      <c r="B1793" s="271"/>
      <c r="C1793" s="271"/>
      <c r="D1793" s="271"/>
      <c r="E1793" s="271"/>
      <c r="F1793" s="271"/>
      <c r="G1793" s="273"/>
      <c r="H1793" s="29"/>
      <c r="I1793" s="394"/>
      <c r="J1793" s="273"/>
      <c r="K1793" s="395"/>
      <c r="L1793" s="273"/>
      <c r="M1793" s="394" t="str">
        <f t="shared" si="235"/>
        <v/>
      </c>
      <c r="N1793" s="273"/>
    </row>
    <row r="1794" spans="1:14" ht="12.75" customHeight="1" x14ac:dyDescent="0.2">
      <c r="A1794" s="400"/>
      <c r="B1794" s="271"/>
      <c r="C1794" s="271"/>
      <c r="D1794" s="271"/>
      <c r="E1794" s="271"/>
      <c r="F1794" s="271"/>
      <c r="G1794" s="273"/>
      <c r="H1794" s="29"/>
      <c r="I1794" s="394"/>
      <c r="J1794" s="273"/>
      <c r="K1794" s="395"/>
      <c r="L1794" s="273"/>
      <c r="M1794" s="394" t="str">
        <f t="shared" si="235"/>
        <v/>
      </c>
      <c r="N1794" s="273"/>
    </row>
    <row r="1795" spans="1:14" ht="12.75" customHeight="1" x14ac:dyDescent="0.25">
      <c r="A1795" s="4"/>
      <c r="B1795" s="4"/>
      <c r="C1795" s="4"/>
      <c r="D1795" s="4"/>
      <c r="E1795" s="4"/>
      <c r="F1795" s="4"/>
      <c r="G1795" s="4"/>
      <c r="H1795" s="4"/>
      <c r="I1795" s="4"/>
      <c r="J1795" s="4"/>
      <c r="K1795" s="396" t="s">
        <v>444</v>
      </c>
      <c r="L1795" s="273"/>
      <c r="M1795" s="394">
        <f>SUM(M1790:N1794)</f>
        <v>4065.9393049999999</v>
      </c>
      <c r="N1795" s="273"/>
    </row>
    <row r="1796" spans="1:14" ht="12.75" customHeight="1" x14ac:dyDescent="0.25">
      <c r="A1796" s="4"/>
      <c r="B1796" s="4"/>
      <c r="C1796" s="4"/>
      <c r="D1796" s="4"/>
      <c r="E1796" s="4"/>
      <c r="F1796" s="4"/>
      <c r="G1796" s="4"/>
      <c r="H1796" s="4"/>
      <c r="I1796" s="4"/>
      <c r="J1796" s="4"/>
      <c r="K1796" s="4"/>
      <c r="L1796" s="4"/>
      <c r="M1796" s="4"/>
      <c r="N1796" s="4"/>
    </row>
    <row r="1797" spans="1:14" ht="12.75" customHeight="1" x14ac:dyDescent="0.2">
      <c r="A1797" s="398" t="s">
        <v>931</v>
      </c>
      <c r="B1797" s="271"/>
      <c r="C1797" s="271"/>
      <c r="D1797" s="271"/>
      <c r="E1797" s="271"/>
      <c r="F1797" s="271"/>
      <c r="G1797" s="271"/>
      <c r="H1797" s="271"/>
      <c r="I1797" s="271"/>
      <c r="J1797" s="271"/>
      <c r="K1797" s="271"/>
      <c r="L1797" s="271"/>
      <c r="M1797" s="271"/>
      <c r="N1797" s="273"/>
    </row>
    <row r="1798" spans="1:14" ht="12.75" customHeight="1" x14ac:dyDescent="0.2">
      <c r="A1798" s="396" t="s">
        <v>76</v>
      </c>
      <c r="B1798" s="271"/>
      <c r="C1798" s="271"/>
      <c r="D1798" s="271"/>
      <c r="E1798" s="271"/>
      <c r="F1798" s="271"/>
      <c r="G1798" s="273"/>
      <c r="H1798" s="88" t="s">
        <v>77</v>
      </c>
      <c r="I1798" s="399" t="s">
        <v>920</v>
      </c>
      <c r="J1798" s="273"/>
      <c r="K1798" s="90" t="s">
        <v>514</v>
      </c>
      <c r="L1798" s="91" t="s">
        <v>932</v>
      </c>
      <c r="M1798" s="399" t="s">
        <v>921</v>
      </c>
      <c r="N1798" s="273"/>
    </row>
    <row r="1799" spans="1:14" ht="12.75" customHeight="1" x14ac:dyDescent="0.25">
      <c r="A1799" s="393" t="s">
        <v>951</v>
      </c>
      <c r="B1799" s="271"/>
      <c r="C1799" s="271"/>
      <c r="D1799" s="271"/>
      <c r="E1799" s="271"/>
      <c r="F1799" s="271"/>
      <c r="G1799" s="273"/>
      <c r="H1799" s="29" t="str">
        <f>IF(A1799="","",VLOOKUP(A1799,AA_Cuadrillas,4,FALSE))</f>
        <v>Cuadrilla</v>
      </c>
      <c r="I1799" s="394">
        <f>IF(A1799="","",VLOOKUP(A1799,AA_Cuadrillas,5,FALSE))</f>
        <v>186763</v>
      </c>
      <c r="J1799" s="273"/>
      <c r="K1799" s="9">
        <f>IF(A1799="","",F.P!$I$2)</f>
        <v>1.88</v>
      </c>
      <c r="L1799" s="97">
        <f>1/20</f>
        <v>0.05</v>
      </c>
      <c r="M1799" s="394">
        <f t="shared" ref="M1799:M1803" si="236">IF(A1799="","",I1799*K1799*L1799)</f>
        <v>17555.722000000002</v>
      </c>
      <c r="N1799" s="273"/>
    </row>
    <row r="1800" spans="1:14" ht="12.75" customHeight="1" x14ac:dyDescent="0.25">
      <c r="A1800" s="393"/>
      <c r="B1800" s="271"/>
      <c r="C1800" s="271"/>
      <c r="D1800" s="271"/>
      <c r="E1800" s="271"/>
      <c r="F1800" s="271"/>
      <c r="G1800" s="273"/>
      <c r="H1800" s="29" t="str">
        <f>IF(A1800="","",VLOOKUP(A1800,AA_Cuadrillas,4,FALSE))</f>
        <v/>
      </c>
      <c r="I1800" s="394" t="str">
        <f>IF(A1800="","",VLOOKUP(A1800,AA_Cuadrillas,5,FALSE))</f>
        <v/>
      </c>
      <c r="J1800" s="273"/>
      <c r="K1800" s="9" t="str">
        <f>IF(A1800="","",F.P!$I$2)</f>
        <v/>
      </c>
      <c r="L1800" s="9"/>
      <c r="M1800" s="394" t="str">
        <f t="shared" si="236"/>
        <v/>
      </c>
      <c r="N1800" s="273"/>
    </row>
    <row r="1801" spans="1:14" ht="12.75" customHeight="1" x14ac:dyDescent="0.25">
      <c r="A1801" s="393"/>
      <c r="B1801" s="271"/>
      <c r="C1801" s="271"/>
      <c r="D1801" s="271"/>
      <c r="E1801" s="271"/>
      <c r="F1801" s="271"/>
      <c r="G1801" s="273"/>
      <c r="H1801" s="29" t="str">
        <f>IF(A1801="","",VLOOKUP(A1801,AA_Cuadrillas,4,FALSE))</f>
        <v/>
      </c>
      <c r="I1801" s="394" t="str">
        <f>IF(A1801="","",VLOOKUP(A1801,AA_Cuadrillas,5,FALSE))</f>
        <v/>
      </c>
      <c r="J1801" s="273"/>
      <c r="K1801" s="9" t="str">
        <f>IF(A1801="","",F.P!$I$2)</f>
        <v/>
      </c>
      <c r="L1801" s="37"/>
      <c r="M1801" s="394" t="str">
        <f t="shared" si="236"/>
        <v/>
      </c>
      <c r="N1801" s="273"/>
    </row>
    <row r="1802" spans="1:14" ht="12.75" customHeight="1" x14ac:dyDescent="0.25">
      <c r="A1802" s="393"/>
      <c r="B1802" s="271"/>
      <c r="C1802" s="271"/>
      <c r="D1802" s="271"/>
      <c r="E1802" s="271"/>
      <c r="F1802" s="271"/>
      <c r="G1802" s="273"/>
      <c r="H1802" s="29" t="str">
        <f>IF(A1802="","",VLOOKUP(A1802,AA_Cuadrillas,4,FALSE))</f>
        <v/>
      </c>
      <c r="I1802" s="394" t="str">
        <f>IF(A1802="","",VLOOKUP(A1802,AA_Cuadrillas,5,FALSE))</f>
        <v/>
      </c>
      <c r="J1802" s="273"/>
      <c r="K1802" s="9" t="str">
        <f>IF(A1802="","",F.P!$I$2)</f>
        <v/>
      </c>
      <c r="L1802" s="37"/>
      <c r="M1802" s="394" t="str">
        <f t="shared" si="236"/>
        <v/>
      </c>
      <c r="N1802" s="273"/>
    </row>
    <row r="1803" spans="1:14" ht="12.75" customHeight="1" x14ac:dyDescent="0.25">
      <c r="A1803" s="393"/>
      <c r="B1803" s="271"/>
      <c r="C1803" s="271"/>
      <c r="D1803" s="271"/>
      <c r="E1803" s="271"/>
      <c r="F1803" s="271"/>
      <c r="G1803" s="273"/>
      <c r="H1803" s="29" t="str">
        <f>IF(A1803="","",VLOOKUP(A1803,AA_Cuadrillas,4,FALSE))</f>
        <v/>
      </c>
      <c r="I1803" s="394" t="str">
        <f>IF(A1803="","",VLOOKUP(A1803,AA_Cuadrillas,5,FALSE))</f>
        <v/>
      </c>
      <c r="J1803" s="273"/>
      <c r="K1803" s="9" t="str">
        <f>IF(A1803="","",F.P!$I$2)</f>
        <v/>
      </c>
      <c r="L1803" s="37"/>
      <c r="M1803" s="394" t="str">
        <f t="shared" si="236"/>
        <v/>
      </c>
      <c r="N1803" s="273"/>
    </row>
    <row r="1804" spans="1:14" ht="12.75" customHeight="1" x14ac:dyDescent="0.25">
      <c r="A1804" s="4"/>
      <c r="B1804" s="4"/>
      <c r="C1804" s="4"/>
      <c r="D1804" s="4"/>
      <c r="E1804" s="4"/>
      <c r="F1804" s="4"/>
      <c r="G1804" s="4"/>
      <c r="H1804" s="4"/>
      <c r="I1804" s="4"/>
      <c r="J1804" s="4"/>
      <c r="K1804" s="396" t="s">
        <v>444</v>
      </c>
      <c r="L1804" s="273"/>
      <c r="M1804" s="394">
        <f>SUM(M1799:N1803)</f>
        <v>17555.722000000002</v>
      </c>
      <c r="N1804" s="273"/>
    </row>
    <row r="1805" spans="1:14" ht="12.75" customHeight="1" x14ac:dyDescent="0.2"/>
    <row r="1806" spans="1:14" ht="12.75" customHeight="1" x14ac:dyDescent="0.2">
      <c r="A1806" s="407" t="s">
        <v>1059</v>
      </c>
      <c r="B1806" s="275"/>
      <c r="C1806" s="275"/>
      <c r="D1806" s="275"/>
      <c r="E1806" s="275"/>
      <c r="F1806" s="275"/>
      <c r="G1806" s="275"/>
      <c r="H1806" s="275"/>
      <c r="I1806" s="275"/>
      <c r="J1806" s="275"/>
      <c r="K1806" s="275"/>
      <c r="L1806" s="275"/>
      <c r="M1806" s="275"/>
      <c r="N1806" s="276"/>
    </row>
    <row r="1807" spans="1:14" ht="12.75" customHeight="1" x14ac:dyDescent="0.2">
      <c r="A1807" s="277"/>
      <c r="B1807" s="278"/>
      <c r="C1807" s="278"/>
      <c r="D1807" s="278"/>
      <c r="E1807" s="278"/>
      <c r="F1807" s="278"/>
      <c r="G1807" s="278"/>
      <c r="H1807" s="278"/>
      <c r="I1807" s="278"/>
      <c r="J1807" s="278"/>
      <c r="K1807" s="278"/>
      <c r="L1807" s="278"/>
      <c r="M1807" s="278"/>
      <c r="N1807" s="279"/>
    </row>
    <row r="1808" spans="1:14" ht="12.75" customHeight="1" x14ac:dyDescent="0.2">
      <c r="A1808" s="75"/>
      <c r="B1808" s="75"/>
      <c r="C1808" s="75"/>
      <c r="D1808" s="75"/>
      <c r="E1808" s="75"/>
      <c r="F1808" s="75"/>
      <c r="G1808" s="75"/>
      <c r="H1808" s="75"/>
      <c r="I1808" s="75"/>
      <c r="J1808" s="75"/>
      <c r="K1808" s="75"/>
      <c r="L1808" s="75"/>
      <c r="M1808" s="75"/>
      <c r="N1808" s="75"/>
    </row>
    <row r="1809" spans="1:14" ht="12.75" customHeight="1" x14ac:dyDescent="0.3">
      <c r="A1809" s="79" t="s">
        <v>655</v>
      </c>
      <c r="B1809" s="80" t="str">
        <f>A1806</f>
        <v>SUMINISTRO E INSTALACIÓN DE UNION UNIVERSAL Ø4 EN HIERRO DUCTIL</v>
      </c>
      <c r="C1809" s="81" t="s">
        <v>916</v>
      </c>
      <c r="D1809" s="82" t="s">
        <v>999</v>
      </c>
      <c r="E1809" s="83" t="s">
        <v>445</v>
      </c>
      <c r="F1809" s="234">
        <f>(H1809+J1809+L1809+N1809)*1.3</f>
        <v>234622.40752860002</v>
      </c>
      <c r="G1809" s="83" t="s">
        <v>607</v>
      </c>
      <c r="H1809" s="86">
        <f>M1819</f>
        <v>161000</v>
      </c>
      <c r="I1809" s="83" t="s">
        <v>918</v>
      </c>
      <c r="J1809" s="86">
        <f>M1828</f>
        <v>544.22738200000003</v>
      </c>
      <c r="K1809" s="83" t="s">
        <v>609</v>
      </c>
      <c r="L1809" s="86">
        <f>M1837</f>
        <v>8050</v>
      </c>
      <c r="M1809" s="83" t="s">
        <v>610</v>
      </c>
      <c r="N1809" s="86">
        <f>M1846</f>
        <v>10884.547640000001</v>
      </c>
    </row>
    <row r="1810" spans="1:14" ht="12.75" customHeight="1" x14ac:dyDescent="0.25">
      <c r="A1810" s="87"/>
      <c r="B1810" s="87"/>
      <c r="C1810" s="87"/>
      <c r="D1810" s="87"/>
      <c r="E1810" s="87"/>
      <c r="F1810" s="87"/>
      <c r="G1810" s="87"/>
      <c r="J1810" s="87"/>
      <c r="K1810" s="215" t="s">
        <v>3217</v>
      </c>
      <c r="L1810" s="215">
        <f>+F1809*presup!$O$5</f>
        <v>305009.12978718005</v>
      </c>
      <c r="M1810" s="87"/>
      <c r="N1810" s="87"/>
    </row>
    <row r="1811" spans="1:14" ht="12.75" customHeight="1" x14ac:dyDescent="0.2">
      <c r="A1811" s="398" t="s">
        <v>919</v>
      </c>
      <c r="B1811" s="271"/>
      <c r="C1811" s="271"/>
      <c r="D1811" s="271"/>
      <c r="E1811" s="271"/>
      <c r="F1811" s="271"/>
      <c r="G1811" s="271"/>
      <c r="H1811" s="271"/>
      <c r="I1811" s="271"/>
      <c r="J1811" s="271"/>
      <c r="K1811" s="271"/>
      <c r="L1811" s="271"/>
      <c r="M1811" s="271"/>
      <c r="N1811" s="273"/>
    </row>
    <row r="1812" spans="1:14" ht="12.75" customHeight="1" x14ac:dyDescent="0.2">
      <c r="A1812" s="396" t="s">
        <v>76</v>
      </c>
      <c r="B1812" s="271"/>
      <c r="C1812" s="271"/>
      <c r="D1812" s="271"/>
      <c r="E1812" s="271"/>
      <c r="F1812" s="271"/>
      <c r="G1812" s="273"/>
      <c r="H1812" s="88" t="s">
        <v>77</v>
      </c>
      <c r="I1812" s="399" t="s">
        <v>920</v>
      </c>
      <c r="J1812" s="273"/>
      <c r="K1812" s="399" t="s">
        <v>453</v>
      </c>
      <c r="L1812" s="273"/>
      <c r="M1812" s="399" t="s">
        <v>921</v>
      </c>
      <c r="N1812" s="273"/>
    </row>
    <row r="1813" spans="1:14" ht="12.75" customHeight="1" x14ac:dyDescent="0.2">
      <c r="A1813" s="403" t="s">
        <v>1060</v>
      </c>
      <c r="B1813" s="271"/>
      <c r="C1813" s="271"/>
      <c r="D1813" s="271"/>
      <c r="E1813" s="271"/>
      <c r="F1813" s="271"/>
      <c r="G1813" s="273"/>
      <c r="H1813" s="29" t="str">
        <f t="shared" ref="H1813:H1818" si="237">IF(A1813="","",VLOOKUP(A1813,AA_Materiales,7,FALSE))</f>
        <v>Unidad</v>
      </c>
      <c r="I1813" s="394">
        <f t="shared" ref="I1813:I1818" si="238">IF(A1813="","",VLOOKUP(A1813,AA_Materiales,8,FALSE))</f>
        <v>161000</v>
      </c>
      <c r="J1813" s="273"/>
      <c r="K1813" s="395">
        <v>1</v>
      </c>
      <c r="L1813" s="273"/>
      <c r="M1813" s="394">
        <f t="shared" ref="M1813:M1818" si="239">IF(A1813="","",I1813*K1813)</f>
        <v>161000</v>
      </c>
      <c r="N1813" s="273"/>
    </row>
    <row r="1814" spans="1:14" ht="12.75" customHeight="1" x14ac:dyDescent="0.2">
      <c r="A1814" s="403"/>
      <c r="B1814" s="271"/>
      <c r="C1814" s="271"/>
      <c r="D1814" s="271"/>
      <c r="E1814" s="271"/>
      <c r="F1814" s="271"/>
      <c r="G1814" s="273"/>
      <c r="H1814" s="29" t="str">
        <f t="shared" si="237"/>
        <v/>
      </c>
      <c r="I1814" s="394" t="str">
        <f t="shared" si="238"/>
        <v/>
      </c>
      <c r="J1814" s="273"/>
      <c r="K1814" s="395"/>
      <c r="L1814" s="273"/>
      <c r="M1814" s="394" t="str">
        <f t="shared" si="239"/>
        <v/>
      </c>
      <c r="N1814" s="273"/>
    </row>
    <row r="1815" spans="1:14" ht="12.75" customHeight="1" x14ac:dyDescent="0.2">
      <c r="A1815" s="403"/>
      <c r="B1815" s="271"/>
      <c r="C1815" s="271"/>
      <c r="D1815" s="271"/>
      <c r="E1815" s="271"/>
      <c r="F1815" s="271"/>
      <c r="G1815" s="273"/>
      <c r="H1815" s="29" t="str">
        <f t="shared" si="237"/>
        <v/>
      </c>
      <c r="I1815" s="394" t="str">
        <f t="shared" si="238"/>
        <v/>
      </c>
      <c r="J1815" s="273"/>
      <c r="K1815" s="395"/>
      <c r="L1815" s="273"/>
      <c r="M1815" s="394" t="str">
        <f t="shared" si="239"/>
        <v/>
      </c>
      <c r="N1815" s="273"/>
    </row>
    <row r="1816" spans="1:14" ht="12.75" customHeight="1" x14ac:dyDescent="0.2">
      <c r="A1816" s="403"/>
      <c r="B1816" s="271"/>
      <c r="C1816" s="271"/>
      <c r="D1816" s="271"/>
      <c r="E1816" s="271"/>
      <c r="F1816" s="271"/>
      <c r="G1816" s="273"/>
      <c r="H1816" s="29" t="str">
        <f t="shared" si="237"/>
        <v/>
      </c>
      <c r="I1816" s="394" t="str">
        <f t="shared" si="238"/>
        <v/>
      </c>
      <c r="J1816" s="273"/>
      <c r="K1816" s="395"/>
      <c r="L1816" s="273"/>
      <c r="M1816" s="394" t="str">
        <f t="shared" si="239"/>
        <v/>
      </c>
      <c r="N1816" s="273"/>
    </row>
    <row r="1817" spans="1:14" ht="12.75" customHeight="1" x14ac:dyDescent="0.2">
      <c r="A1817" s="403"/>
      <c r="B1817" s="271"/>
      <c r="C1817" s="271"/>
      <c r="D1817" s="271"/>
      <c r="E1817" s="271"/>
      <c r="F1817" s="271"/>
      <c r="G1817" s="273"/>
      <c r="H1817" s="29" t="str">
        <f t="shared" si="237"/>
        <v/>
      </c>
      <c r="I1817" s="394" t="str">
        <f t="shared" si="238"/>
        <v/>
      </c>
      <c r="J1817" s="273"/>
      <c r="K1817" s="395"/>
      <c r="L1817" s="273"/>
      <c r="M1817" s="394" t="str">
        <f t="shared" si="239"/>
        <v/>
      </c>
      <c r="N1817" s="273"/>
    </row>
    <row r="1818" spans="1:14" ht="12.75" customHeight="1" x14ac:dyDescent="0.2">
      <c r="A1818" s="403"/>
      <c r="B1818" s="271"/>
      <c r="C1818" s="271"/>
      <c r="D1818" s="271"/>
      <c r="E1818" s="271"/>
      <c r="F1818" s="271"/>
      <c r="G1818" s="273"/>
      <c r="H1818" s="29" t="str">
        <f t="shared" si="237"/>
        <v/>
      </c>
      <c r="I1818" s="394" t="str">
        <f t="shared" si="238"/>
        <v/>
      </c>
      <c r="J1818" s="273"/>
      <c r="K1818" s="395"/>
      <c r="L1818" s="273"/>
      <c r="M1818" s="394" t="str">
        <f t="shared" si="239"/>
        <v/>
      </c>
      <c r="N1818" s="273"/>
    </row>
    <row r="1819" spans="1:14" ht="12.75" customHeight="1" x14ac:dyDescent="0.25">
      <c r="A1819" s="4"/>
      <c r="B1819" s="4"/>
      <c r="C1819" s="4"/>
      <c r="D1819" s="4"/>
      <c r="E1819" s="4"/>
      <c r="F1819" s="4"/>
      <c r="G1819" s="4"/>
      <c r="H1819" s="4"/>
      <c r="I1819" s="4"/>
      <c r="J1819" s="4"/>
      <c r="K1819" s="396" t="s">
        <v>444</v>
      </c>
      <c r="L1819" s="273"/>
      <c r="M1819" s="394">
        <f>SUM(M1813:N1818)</f>
        <v>161000</v>
      </c>
      <c r="N1819" s="273"/>
    </row>
    <row r="1820" spans="1:14" ht="12.75" customHeight="1" x14ac:dyDescent="0.25">
      <c r="A1820" s="4"/>
      <c r="B1820" s="4"/>
      <c r="C1820" s="4"/>
      <c r="D1820" s="4"/>
      <c r="E1820" s="4"/>
      <c r="F1820" s="4"/>
      <c r="G1820" s="4"/>
      <c r="H1820" s="4"/>
      <c r="I1820" s="4"/>
      <c r="J1820" s="4"/>
      <c r="K1820" s="4"/>
      <c r="L1820" s="4"/>
      <c r="M1820" s="4"/>
      <c r="N1820" s="4"/>
    </row>
    <row r="1821" spans="1:14" ht="12.75" customHeight="1" x14ac:dyDescent="0.2">
      <c r="A1821" s="398" t="s">
        <v>926</v>
      </c>
      <c r="B1821" s="271"/>
      <c r="C1821" s="271"/>
      <c r="D1821" s="271"/>
      <c r="E1821" s="271"/>
      <c r="F1821" s="271"/>
      <c r="G1821" s="271"/>
      <c r="H1821" s="271"/>
      <c r="I1821" s="271"/>
      <c r="J1821" s="271"/>
      <c r="K1821" s="271"/>
      <c r="L1821" s="271"/>
      <c r="M1821" s="271"/>
      <c r="N1821" s="273"/>
    </row>
    <row r="1822" spans="1:14" ht="12.75" customHeight="1" x14ac:dyDescent="0.2">
      <c r="A1822" s="396" t="s">
        <v>76</v>
      </c>
      <c r="B1822" s="271"/>
      <c r="C1822" s="271"/>
      <c r="D1822" s="271"/>
      <c r="E1822" s="271"/>
      <c r="F1822" s="271"/>
      <c r="G1822" s="273"/>
      <c r="H1822" s="88" t="s">
        <v>77</v>
      </c>
      <c r="I1822" s="399" t="s">
        <v>920</v>
      </c>
      <c r="J1822" s="273"/>
      <c r="K1822" s="399" t="s">
        <v>453</v>
      </c>
      <c r="L1822" s="273"/>
      <c r="M1822" s="399" t="s">
        <v>921</v>
      </c>
      <c r="N1822" s="273"/>
    </row>
    <row r="1823" spans="1:14" ht="12.75" customHeight="1" x14ac:dyDescent="0.2">
      <c r="A1823" s="400" t="s">
        <v>927</v>
      </c>
      <c r="B1823" s="271"/>
      <c r="C1823" s="271"/>
      <c r="D1823" s="271"/>
      <c r="E1823" s="271"/>
      <c r="F1823" s="271"/>
      <c r="G1823" s="273"/>
      <c r="H1823" s="29" t="str">
        <f>IF(A1823="","",VLOOKUP(A1823,AA_Equipos,7,FALSE))</f>
        <v>% M.O.</v>
      </c>
      <c r="I1823" s="394">
        <f>+M1846</f>
        <v>10884.547640000001</v>
      </c>
      <c r="J1823" s="273"/>
      <c r="K1823" s="404">
        <v>0.05</v>
      </c>
      <c r="L1823" s="273"/>
      <c r="M1823" s="394">
        <f t="shared" ref="M1823:M1827" si="240">IF(A1823="","",I1823*K1823)</f>
        <v>544.22738200000003</v>
      </c>
      <c r="N1823" s="273"/>
    </row>
    <row r="1824" spans="1:14" ht="12.75" customHeight="1" x14ac:dyDescent="0.2">
      <c r="A1824" s="403"/>
      <c r="B1824" s="271"/>
      <c r="C1824" s="271"/>
      <c r="D1824" s="271"/>
      <c r="E1824" s="271"/>
      <c r="F1824" s="271"/>
      <c r="G1824" s="273"/>
      <c r="H1824" s="29" t="str">
        <f>IF(A1824="","",VLOOKUP(A1824,AA_Equipos,7,FALSE))</f>
        <v/>
      </c>
      <c r="I1824" s="394" t="str">
        <f>IF(A1824="","",VLOOKUP(A1824,AA_Equipos,8,FALSE))</f>
        <v/>
      </c>
      <c r="J1824" s="273"/>
      <c r="K1824" s="402"/>
      <c r="L1824" s="273"/>
      <c r="M1824" s="394" t="str">
        <f t="shared" si="240"/>
        <v/>
      </c>
      <c r="N1824" s="273"/>
    </row>
    <row r="1825" spans="1:14" ht="12.75" customHeight="1" x14ac:dyDescent="0.2">
      <c r="A1825" s="400"/>
      <c r="B1825" s="271"/>
      <c r="C1825" s="271"/>
      <c r="D1825" s="271"/>
      <c r="E1825" s="271"/>
      <c r="F1825" s="271"/>
      <c r="G1825" s="273"/>
      <c r="H1825" s="29" t="str">
        <f>IF(A1825="","",VLOOKUP(A1825,AA_Equipos,7,FALSE))</f>
        <v/>
      </c>
      <c r="I1825" s="394" t="str">
        <f>IF(A1825="","",VLOOKUP(A1825,AA_Equipos,8,FALSE))</f>
        <v/>
      </c>
      <c r="J1825" s="273"/>
      <c r="K1825" s="401"/>
      <c r="L1825" s="273"/>
      <c r="M1825" s="394" t="str">
        <f t="shared" si="240"/>
        <v/>
      </c>
      <c r="N1825" s="273"/>
    </row>
    <row r="1826" spans="1:14" ht="12.75" customHeight="1" x14ac:dyDescent="0.2">
      <c r="A1826" s="400"/>
      <c r="B1826" s="271"/>
      <c r="C1826" s="271"/>
      <c r="D1826" s="271"/>
      <c r="E1826" s="271"/>
      <c r="F1826" s="271"/>
      <c r="G1826" s="273"/>
      <c r="H1826" s="29" t="str">
        <f>IF(A1826="","",VLOOKUP(A1826,AA_Equipos,7,FALSE))</f>
        <v/>
      </c>
      <c r="I1826" s="394" t="str">
        <f>IF(A1826="","",VLOOKUP(A1826,AA_Equipos,8,FALSE))</f>
        <v/>
      </c>
      <c r="J1826" s="273"/>
      <c r="K1826" s="395"/>
      <c r="L1826" s="273"/>
      <c r="M1826" s="394" t="str">
        <f t="shared" si="240"/>
        <v/>
      </c>
      <c r="N1826" s="273"/>
    </row>
    <row r="1827" spans="1:14" ht="12.75" customHeight="1" x14ac:dyDescent="0.2">
      <c r="A1827" s="400"/>
      <c r="B1827" s="271"/>
      <c r="C1827" s="271"/>
      <c r="D1827" s="271"/>
      <c r="E1827" s="271"/>
      <c r="F1827" s="271"/>
      <c r="G1827" s="273"/>
      <c r="H1827" s="29" t="str">
        <f>IF(A1827="","",VLOOKUP(A1827,AA_Equipos,7,FALSE))</f>
        <v/>
      </c>
      <c r="I1827" s="394" t="str">
        <f>IF(A1827="","",VLOOKUP(A1827,AA_Equipos,8,FALSE))</f>
        <v/>
      </c>
      <c r="J1827" s="273"/>
      <c r="K1827" s="395"/>
      <c r="L1827" s="273"/>
      <c r="M1827" s="394" t="str">
        <f t="shared" si="240"/>
        <v/>
      </c>
      <c r="N1827" s="273"/>
    </row>
    <row r="1828" spans="1:14" ht="12.75" customHeight="1" x14ac:dyDescent="0.25">
      <c r="A1828" s="4"/>
      <c r="B1828" s="4"/>
      <c r="C1828" s="4"/>
      <c r="D1828" s="4"/>
      <c r="E1828" s="4"/>
      <c r="F1828" s="4"/>
      <c r="G1828" s="4"/>
      <c r="H1828" s="4"/>
      <c r="I1828" s="4"/>
      <c r="J1828" s="4"/>
      <c r="K1828" s="396" t="s">
        <v>444</v>
      </c>
      <c r="L1828" s="273"/>
      <c r="M1828" s="394">
        <f>SUM(M1823:N1827)</f>
        <v>544.22738200000003</v>
      </c>
      <c r="N1828" s="273"/>
    </row>
    <row r="1829" spans="1:14" ht="12.75" customHeight="1" x14ac:dyDescent="0.25">
      <c r="A1829" s="4"/>
      <c r="B1829" s="4"/>
      <c r="C1829" s="4"/>
      <c r="D1829" s="4"/>
      <c r="E1829" s="4"/>
      <c r="F1829" s="4"/>
      <c r="G1829" s="4"/>
      <c r="H1829" s="4"/>
      <c r="I1829" s="4"/>
      <c r="J1829" s="4"/>
      <c r="K1829" s="4"/>
      <c r="L1829" s="4"/>
      <c r="M1829" s="4"/>
      <c r="N1829" s="4"/>
    </row>
    <row r="1830" spans="1:14" ht="12.75" customHeight="1" x14ac:dyDescent="0.2">
      <c r="A1830" s="398" t="s">
        <v>929</v>
      </c>
      <c r="B1830" s="271"/>
      <c r="C1830" s="271"/>
      <c r="D1830" s="271"/>
      <c r="E1830" s="271"/>
      <c r="F1830" s="271"/>
      <c r="G1830" s="271"/>
      <c r="H1830" s="271"/>
      <c r="I1830" s="271"/>
      <c r="J1830" s="271"/>
      <c r="K1830" s="271"/>
      <c r="L1830" s="271"/>
      <c r="M1830" s="271"/>
      <c r="N1830" s="273"/>
    </row>
    <row r="1831" spans="1:14" ht="12.75" customHeight="1" x14ac:dyDescent="0.2">
      <c r="A1831" s="396" t="s">
        <v>76</v>
      </c>
      <c r="B1831" s="271"/>
      <c r="C1831" s="271"/>
      <c r="D1831" s="271"/>
      <c r="E1831" s="271"/>
      <c r="F1831" s="271"/>
      <c r="G1831" s="273"/>
      <c r="H1831" s="88" t="s">
        <v>77</v>
      </c>
      <c r="I1831" s="399" t="s">
        <v>920</v>
      </c>
      <c r="J1831" s="273"/>
      <c r="K1831" s="399" t="s">
        <v>453</v>
      </c>
      <c r="L1831" s="273"/>
      <c r="M1831" s="399" t="s">
        <v>921</v>
      </c>
      <c r="N1831" s="273"/>
    </row>
    <row r="1832" spans="1:14" ht="12.75" customHeight="1" x14ac:dyDescent="0.2">
      <c r="A1832" s="400" t="s">
        <v>966</v>
      </c>
      <c r="B1832" s="271"/>
      <c r="C1832" s="271"/>
      <c r="D1832" s="271"/>
      <c r="E1832" s="271"/>
      <c r="F1832" s="271"/>
      <c r="G1832" s="273"/>
      <c r="H1832" s="29" t="s">
        <v>950</v>
      </c>
      <c r="I1832" s="394">
        <f>+M1819</f>
        <v>161000</v>
      </c>
      <c r="J1832" s="273"/>
      <c r="K1832" s="404">
        <v>0.05</v>
      </c>
      <c r="L1832" s="273"/>
      <c r="M1832" s="394">
        <f t="shared" ref="M1832:M1836" si="241">IF(A1832="","",I1832*K1832)</f>
        <v>8050</v>
      </c>
      <c r="N1832" s="273"/>
    </row>
    <row r="1833" spans="1:14" ht="12.75" customHeight="1" x14ac:dyDescent="0.2">
      <c r="A1833" s="403"/>
      <c r="B1833" s="271"/>
      <c r="C1833" s="271"/>
      <c r="D1833" s="271"/>
      <c r="E1833" s="271"/>
      <c r="F1833" s="271"/>
      <c r="G1833" s="273"/>
      <c r="H1833" s="29"/>
      <c r="I1833" s="394"/>
      <c r="J1833" s="273"/>
      <c r="K1833" s="404"/>
      <c r="L1833" s="273"/>
      <c r="M1833" s="394" t="str">
        <f t="shared" si="241"/>
        <v/>
      </c>
      <c r="N1833" s="273"/>
    </row>
    <row r="1834" spans="1:14" ht="12.75" customHeight="1" x14ac:dyDescent="0.2">
      <c r="A1834" s="400"/>
      <c r="B1834" s="271"/>
      <c r="C1834" s="271"/>
      <c r="D1834" s="271"/>
      <c r="E1834" s="271"/>
      <c r="F1834" s="271"/>
      <c r="G1834" s="273"/>
      <c r="H1834" s="29"/>
      <c r="I1834" s="394"/>
      <c r="J1834" s="273"/>
      <c r="K1834" s="395"/>
      <c r="L1834" s="273"/>
      <c r="M1834" s="394" t="str">
        <f t="shared" si="241"/>
        <v/>
      </c>
      <c r="N1834" s="273"/>
    </row>
    <row r="1835" spans="1:14" ht="12.75" customHeight="1" x14ac:dyDescent="0.2">
      <c r="A1835" s="400"/>
      <c r="B1835" s="271"/>
      <c r="C1835" s="271"/>
      <c r="D1835" s="271"/>
      <c r="E1835" s="271"/>
      <c r="F1835" s="271"/>
      <c r="G1835" s="273"/>
      <c r="H1835" s="29"/>
      <c r="I1835" s="394"/>
      <c r="J1835" s="273"/>
      <c r="K1835" s="395"/>
      <c r="L1835" s="273"/>
      <c r="M1835" s="394" t="str">
        <f t="shared" si="241"/>
        <v/>
      </c>
      <c r="N1835" s="273"/>
    </row>
    <row r="1836" spans="1:14" ht="12.75" customHeight="1" x14ac:dyDescent="0.2">
      <c r="A1836" s="400"/>
      <c r="B1836" s="271"/>
      <c r="C1836" s="271"/>
      <c r="D1836" s="271"/>
      <c r="E1836" s="271"/>
      <c r="F1836" s="271"/>
      <c r="G1836" s="273"/>
      <c r="H1836" s="29"/>
      <c r="I1836" s="394"/>
      <c r="J1836" s="273"/>
      <c r="K1836" s="395"/>
      <c r="L1836" s="273"/>
      <c r="M1836" s="394" t="str">
        <f t="shared" si="241"/>
        <v/>
      </c>
      <c r="N1836" s="273"/>
    </row>
    <row r="1837" spans="1:14" ht="12.75" customHeight="1" x14ac:dyDescent="0.25">
      <c r="A1837" s="4"/>
      <c r="B1837" s="4"/>
      <c r="C1837" s="4"/>
      <c r="D1837" s="4"/>
      <c r="E1837" s="4"/>
      <c r="F1837" s="4"/>
      <c r="G1837" s="4"/>
      <c r="H1837" s="4"/>
      <c r="I1837" s="4"/>
      <c r="J1837" s="4"/>
      <c r="K1837" s="396" t="s">
        <v>444</v>
      </c>
      <c r="L1837" s="273"/>
      <c r="M1837" s="394">
        <f>SUM(M1832:N1836)</f>
        <v>8050</v>
      </c>
      <c r="N1837" s="273"/>
    </row>
    <row r="1838" spans="1:14" ht="12.75" customHeight="1" x14ac:dyDescent="0.25">
      <c r="A1838" s="4"/>
      <c r="B1838" s="4"/>
      <c r="C1838" s="4"/>
      <c r="D1838" s="4"/>
      <c r="E1838" s="4"/>
      <c r="F1838" s="4"/>
      <c r="G1838" s="4"/>
      <c r="H1838" s="4"/>
      <c r="I1838" s="4"/>
      <c r="J1838" s="4"/>
      <c r="K1838" s="4"/>
      <c r="L1838" s="4"/>
      <c r="M1838" s="4"/>
      <c r="N1838" s="4"/>
    </row>
    <row r="1839" spans="1:14" ht="12.75" customHeight="1" x14ac:dyDescent="0.2">
      <c r="A1839" s="398" t="s">
        <v>931</v>
      </c>
      <c r="B1839" s="271"/>
      <c r="C1839" s="271"/>
      <c r="D1839" s="271"/>
      <c r="E1839" s="271"/>
      <c r="F1839" s="271"/>
      <c r="G1839" s="271"/>
      <c r="H1839" s="271"/>
      <c r="I1839" s="271"/>
      <c r="J1839" s="271"/>
      <c r="K1839" s="271"/>
      <c r="L1839" s="271"/>
      <c r="M1839" s="271"/>
      <c r="N1839" s="273"/>
    </row>
    <row r="1840" spans="1:14" ht="12.75" customHeight="1" x14ac:dyDescent="0.2">
      <c r="A1840" s="396" t="s">
        <v>76</v>
      </c>
      <c r="B1840" s="271"/>
      <c r="C1840" s="271"/>
      <c r="D1840" s="271"/>
      <c r="E1840" s="271"/>
      <c r="F1840" s="271"/>
      <c r="G1840" s="273"/>
      <c r="H1840" s="88" t="s">
        <v>77</v>
      </c>
      <c r="I1840" s="399" t="s">
        <v>920</v>
      </c>
      <c r="J1840" s="273"/>
      <c r="K1840" s="90" t="s">
        <v>514</v>
      </c>
      <c r="L1840" s="91" t="s">
        <v>932</v>
      </c>
      <c r="M1840" s="399" t="s">
        <v>921</v>
      </c>
      <c r="N1840" s="273"/>
    </row>
    <row r="1841" spans="1:14" ht="12.75" customHeight="1" x14ac:dyDescent="0.25">
      <c r="A1841" s="393" t="s">
        <v>986</v>
      </c>
      <c r="B1841" s="271"/>
      <c r="C1841" s="271"/>
      <c r="D1841" s="271"/>
      <c r="E1841" s="271"/>
      <c r="F1841" s="271"/>
      <c r="G1841" s="273"/>
      <c r="H1841" s="29" t="str">
        <f>IF(A1841="","",VLOOKUP(A1841,AA_Cuadrillas,4,FALSE))</f>
        <v>Cuadrilla</v>
      </c>
      <c r="I1841" s="394">
        <f>IF(A1841="","",VLOOKUP(A1841,AA_Cuadrillas,5,FALSE))</f>
        <v>186763</v>
      </c>
      <c r="J1841" s="273"/>
      <c r="K1841" s="9">
        <f>IF(A1841="","",F.P!$I$2)</f>
        <v>1.88</v>
      </c>
      <c r="L1841" s="97">
        <v>3.1E-2</v>
      </c>
      <c r="M1841" s="394">
        <f t="shared" ref="M1841:M1845" si="242">IF(A1841="","",I1841*K1841*L1841)</f>
        <v>10884.547640000001</v>
      </c>
      <c r="N1841" s="273"/>
    </row>
    <row r="1842" spans="1:14" ht="12.75" customHeight="1" x14ac:dyDescent="0.25">
      <c r="A1842" s="393"/>
      <c r="B1842" s="271"/>
      <c r="C1842" s="271"/>
      <c r="D1842" s="271"/>
      <c r="E1842" s="271"/>
      <c r="F1842" s="271"/>
      <c r="G1842" s="273"/>
      <c r="H1842" s="29" t="str">
        <f>IF(A1842="","",VLOOKUP(A1842,AA_Cuadrillas,4,FALSE))</f>
        <v/>
      </c>
      <c r="I1842" s="394" t="str">
        <f>IF(A1842="","",VLOOKUP(A1842,AA_Cuadrillas,5,FALSE))</f>
        <v/>
      </c>
      <c r="J1842" s="273"/>
      <c r="K1842" s="9" t="str">
        <f>IF(A1842="","",F.P!$I$2)</f>
        <v/>
      </c>
      <c r="L1842" s="9"/>
      <c r="M1842" s="394" t="str">
        <f t="shared" si="242"/>
        <v/>
      </c>
      <c r="N1842" s="273"/>
    </row>
    <row r="1843" spans="1:14" ht="12.75" customHeight="1" x14ac:dyDescent="0.25">
      <c r="A1843" s="393"/>
      <c r="B1843" s="271"/>
      <c r="C1843" s="271"/>
      <c r="D1843" s="271"/>
      <c r="E1843" s="271"/>
      <c r="F1843" s="271"/>
      <c r="G1843" s="273"/>
      <c r="H1843" s="29" t="str">
        <f>IF(A1843="","",VLOOKUP(A1843,AA_Cuadrillas,4,FALSE))</f>
        <v/>
      </c>
      <c r="I1843" s="394" t="str">
        <f>IF(A1843="","",VLOOKUP(A1843,AA_Cuadrillas,5,FALSE))</f>
        <v/>
      </c>
      <c r="J1843" s="273"/>
      <c r="K1843" s="9" t="str">
        <f>IF(A1843="","",F.P!$I$2)</f>
        <v/>
      </c>
      <c r="L1843" s="37"/>
      <c r="M1843" s="394" t="str">
        <f t="shared" si="242"/>
        <v/>
      </c>
      <c r="N1843" s="273"/>
    </row>
    <row r="1844" spans="1:14" ht="12.75" customHeight="1" x14ac:dyDescent="0.25">
      <c r="A1844" s="393"/>
      <c r="B1844" s="271"/>
      <c r="C1844" s="271"/>
      <c r="D1844" s="271"/>
      <c r="E1844" s="271"/>
      <c r="F1844" s="271"/>
      <c r="G1844" s="273"/>
      <c r="H1844" s="29" t="str">
        <f>IF(A1844="","",VLOOKUP(A1844,AA_Cuadrillas,4,FALSE))</f>
        <v/>
      </c>
      <c r="I1844" s="394" t="str">
        <f>IF(A1844="","",VLOOKUP(A1844,AA_Cuadrillas,5,FALSE))</f>
        <v/>
      </c>
      <c r="J1844" s="273"/>
      <c r="K1844" s="9" t="str">
        <f>IF(A1844="","",F.P!$I$2)</f>
        <v/>
      </c>
      <c r="L1844" s="37"/>
      <c r="M1844" s="394" t="str">
        <f t="shared" si="242"/>
        <v/>
      </c>
      <c r="N1844" s="273"/>
    </row>
    <row r="1845" spans="1:14" ht="12.75" customHeight="1" x14ac:dyDescent="0.25">
      <c r="A1845" s="393"/>
      <c r="B1845" s="271"/>
      <c r="C1845" s="271"/>
      <c r="D1845" s="271"/>
      <c r="E1845" s="271"/>
      <c r="F1845" s="271"/>
      <c r="G1845" s="273"/>
      <c r="H1845" s="29" t="str">
        <f>IF(A1845="","",VLOOKUP(A1845,AA_Cuadrillas,4,FALSE))</f>
        <v/>
      </c>
      <c r="I1845" s="394" t="str">
        <f>IF(A1845="","",VLOOKUP(A1845,AA_Cuadrillas,5,FALSE))</f>
        <v/>
      </c>
      <c r="J1845" s="273"/>
      <c r="K1845" s="9" t="str">
        <f>IF(A1845="","",F.P!$I$2)</f>
        <v/>
      </c>
      <c r="L1845" s="37"/>
      <c r="M1845" s="394" t="str">
        <f t="shared" si="242"/>
        <v/>
      </c>
      <c r="N1845" s="273"/>
    </row>
    <row r="1846" spans="1:14" ht="12.75" customHeight="1" x14ac:dyDescent="0.25">
      <c r="A1846" s="4"/>
      <c r="B1846" s="4"/>
      <c r="C1846" s="4"/>
      <c r="D1846" s="4"/>
      <c r="E1846" s="4"/>
      <c r="F1846" s="4"/>
      <c r="G1846" s="4"/>
      <c r="H1846" s="4"/>
      <c r="I1846" s="4"/>
      <c r="J1846" s="4"/>
      <c r="K1846" s="396" t="s">
        <v>444</v>
      </c>
      <c r="L1846" s="273"/>
      <c r="M1846" s="394">
        <f>SUM(M1841:N1845)</f>
        <v>10884.547640000001</v>
      </c>
      <c r="N1846" s="273"/>
    </row>
    <row r="1847" spans="1:14" ht="12.75" customHeight="1" x14ac:dyDescent="0.2"/>
    <row r="1848" spans="1:14" ht="12.75" customHeight="1" x14ac:dyDescent="0.2">
      <c r="A1848" s="407" t="s">
        <v>1061</v>
      </c>
      <c r="B1848" s="275"/>
      <c r="C1848" s="275"/>
      <c r="D1848" s="275"/>
      <c r="E1848" s="275"/>
      <c r="F1848" s="275"/>
      <c r="G1848" s="275"/>
      <c r="H1848" s="275"/>
      <c r="I1848" s="275"/>
      <c r="J1848" s="275"/>
      <c r="K1848" s="275"/>
      <c r="L1848" s="275"/>
      <c r="M1848" s="275"/>
      <c r="N1848" s="276"/>
    </row>
    <row r="1849" spans="1:14" ht="12.75" customHeight="1" x14ac:dyDescent="0.2">
      <c r="A1849" s="277"/>
      <c r="B1849" s="278"/>
      <c r="C1849" s="278"/>
      <c r="D1849" s="278"/>
      <c r="E1849" s="278"/>
      <c r="F1849" s="278"/>
      <c r="G1849" s="278"/>
      <c r="H1849" s="278"/>
      <c r="I1849" s="278"/>
      <c r="J1849" s="278"/>
      <c r="K1849" s="278"/>
      <c r="L1849" s="278"/>
      <c r="M1849" s="278"/>
      <c r="N1849" s="279"/>
    </row>
    <row r="1850" spans="1:14" ht="12.75" customHeight="1" x14ac:dyDescent="0.2">
      <c r="A1850" s="75"/>
      <c r="B1850" s="75"/>
      <c r="C1850" s="75"/>
      <c r="D1850" s="75"/>
      <c r="E1850" s="75"/>
      <c r="F1850" s="75"/>
      <c r="G1850" s="75"/>
      <c r="H1850" s="75"/>
      <c r="I1850" s="75"/>
      <c r="J1850" s="75"/>
      <c r="K1850" s="75"/>
      <c r="L1850" s="75"/>
      <c r="M1850" s="75"/>
      <c r="N1850" s="75"/>
    </row>
    <row r="1851" spans="1:14" ht="12.75" customHeight="1" x14ac:dyDescent="0.3">
      <c r="A1851" s="79" t="s">
        <v>656</v>
      </c>
      <c r="B1851" s="80" t="str">
        <f>A1848</f>
        <v>SUMINISTRO E INSTALACIÓN DE UNION UNIVERSAL Ø6 EN HIERRO DUCTIL</v>
      </c>
      <c r="C1851" s="81" t="s">
        <v>916</v>
      </c>
      <c r="D1851" s="82" t="s">
        <v>999</v>
      </c>
      <c r="E1851" s="83" t="s">
        <v>445</v>
      </c>
      <c r="F1851" s="234">
        <f>(H1851+J1851+L1851+N1851)*1.3</f>
        <v>360202.40752860002</v>
      </c>
      <c r="G1851" s="83" t="s">
        <v>607</v>
      </c>
      <c r="H1851" s="86">
        <f>M1861</f>
        <v>253000</v>
      </c>
      <c r="I1851" s="83" t="s">
        <v>918</v>
      </c>
      <c r="J1851" s="86">
        <f>M1870</f>
        <v>544.22738200000003</v>
      </c>
      <c r="K1851" s="83" t="s">
        <v>609</v>
      </c>
      <c r="L1851" s="86">
        <f>M1879</f>
        <v>12650</v>
      </c>
      <c r="M1851" s="83" t="s">
        <v>610</v>
      </c>
      <c r="N1851" s="86">
        <f>M1888</f>
        <v>10884.547640000001</v>
      </c>
    </row>
    <row r="1852" spans="1:14" ht="12.75" customHeight="1" x14ac:dyDescent="0.25">
      <c r="A1852" s="87"/>
      <c r="B1852" s="87"/>
      <c r="C1852" s="87"/>
      <c r="D1852" s="87"/>
      <c r="E1852" s="87"/>
      <c r="F1852" s="87"/>
      <c r="G1852" s="87"/>
      <c r="J1852" s="87"/>
      <c r="K1852" s="215" t="s">
        <v>3217</v>
      </c>
      <c r="L1852" s="215">
        <f>+F1851*presup!$O$5</f>
        <v>468263.12978718005</v>
      </c>
      <c r="M1852" s="87"/>
      <c r="N1852" s="87"/>
    </row>
    <row r="1853" spans="1:14" ht="12.75" customHeight="1" x14ac:dyDescent="0.2">
      <c r="A1853" s="398" t="s">
        <v>919</v>
      </c>
      <c r="B1853" s="271"/>
      <c r="C1853" s="271"/>
      <c r="D1853" s="271"/>
      <c r="E1853" s="271"/>
      <c r="F1853" s="271"/>
      <c r="G1853" s="271"/>
      <c r="H1853" s="271"/>
      <c r="I1853" s="271"/>
      <c r="J1853" s="271"/>
      <c r="K1853" s="271"/>
      <c r="L1853" s="271"/>
      <c r="M1853" s="271"/>
      <c r="N1853" s="273"/>
    </row>
    <row r="1854" spans="1:14" ht="12.75" customHeight="1" x14ac:dyDescent="0.2">
      <c r="A1854" s="396" t="s">
        <v>76</v>
      </c>
      <c r="B1854" s="271"/>
      <c r="C1854" s="271"/>
      <c r="D1854" s="271"/>
      <c r="E1854" s="271"/>
      <c r="F1854" s="271"/>
      <c r="G1854" s="273"/>
      <c r="H1854" s="88" t="s">
        <v>77</v>
      </c>
      <c r="I1854" s="399" t="s">
        <v>920</v>
      </c>
      <c r="J1854" s="273"/>
      <c r="K1854" s="399" t="s">
        <v>453</v>
      </c>
      <c r="L1854" s="273"/>
      <c r="M1854" s="399" t="s">
        <v>921</v>
      </c>
      <c r="N1854" s="273"/>
    </row>
    <row r="1855" spans="1:14" ht="12.75" customHeight="1" x14ac:dyDescent="0.2">
      <c r="A1855" s="403" t="s">
        <v>1062</v>
      </c>
      <c r="B1855" s="271"/>
      <c r="C1855" s="271"/>
      <c r="D1855" s="271"/>
      <c r="E1855" s="271"/>
      <c r="F1855" s="271"/>
      <c r="G1855" s="273"/>
      <c r="H1855" s="29" t="str">
        <f t="shared" ref="H1855:H1860" si="243">IF(A1855="","",VLOOKUP(A1855,AA_Materiales,7,FALSE))</f>
        <v>Unidad</v>
      </c>
      <c r="I1855" s="394">
        <f t="shared" ref="I1855:I1860" si="244">IF(A1855="","",VLOOKUP(A1855,AA_Materiales,8,FALSE))</f>
        <v>253000</v>
      </c>
      <c r="J1855" s="273"/>
      <c r="K1855" s="395">
        <v>1</v>
      </c>
      <c r="L1855" s="273"/>
      <c r="M1855" s="394">
        <f t="shared" ref="M1855:M1860" si="245">IF(A1855="","",I1855*K1855)</f>
        <v>253000</v>
      </c>
      <c r="N1855" s="273"/>
    </row>
    <row r="1856" spans="1:14" ht="12.75" customHeight="1" x14ac:dyDescent="0.2">
      <c r="A1856" s="403"/>
      <c r="B1856" s="271"/>
      <c r="C1856" s="271"/>
      <c r="D1856" s="271"/>
      <c r="E1856" s="271"/>
      <c r="F1856" s="271"/>
      <c r="G1856" s="273"/>
      <c r="H1856" s="29" t="str">
        <f t="shared" si="243"/>
        <v/>
      </c>
      <c r="I1856" s="394" t="str">
        <f t="shared" si="244"/>
        <v/>
      </c>
      <c r="J1856" s="273"/>
      <c r="K1856" s="395"/>
      <c r="L1856" s="273"/>
      <c r="M1856" s="394" t="str">
        <f t="shared" si="245"/>
        <v/>
      </c>
      <c r="N1856" s="273"/>
    </row>
    <row r="1857" spans="1:14" ht="12.75" customHeight="1" x14ac:dyDescent="0.2">
      <c r="A1857" s="403"/>
      <c r="B1857" s="271"/>
      <c r="C1857" s="271"/>
      <c r="D1857" s="271"/>
      <c r="E1857" s="271"/>
      <c r="F1857" s="271"/>
      <c r="G1857" s="273"/>
      <c r="H1857" s="29" t="str">
        <f t="shared" si="243"/>
        <v/>
      </c>
      <c r="I1857" s="394" t="str">
        <f t="shared" si="244"/>
        <v/>
      </c>
      <c r="J1857" s="273"/>
      <c r="K1857" s="395"/>
      <c r="L1857" s="273"/>
      <c r="M1857" s="394" t="str">
        <f t="shared" si="245"/>
        <v/>
      </c>
      <c r="N1857" s="273"/>
    </row>
    <row r="1858" spans="1:14" ht="12.75" customHeight="1" x14ac:dyDescent="0.2">
      <c r="A1858" s="403"/>
      <c r="B1858" s="271"/>
      <c r="C1858" s="271"/>
      <c r="D1858" s="271"/>
      <c r="E1858" s="271"/>
      <c r="F1858" s="271"/>
      <c r="G1858" s="273"/>
      <c r="H1858" s="29" t="str">
        <f t="shared" si="243"/>
        <v/>
      </c>
      <c r="I1858" s="394" t="str">
        <f t="shared" si="244"/>
        <v/>
      </c>
      <c r="J1858" s="273"/>
      <c r="K1858" s="395"/>
      <c r="L1858" s="273"/>
      <c r="M1858" s="394" t="str">
        <f t="shared" si="245"/>
        <v/>
      </c>
      <c r="N1858" s="273"/>
    </row>
    <row r="1859" spans="1:14" ht="12.75" customHeight="1" x14ac:dyDescent="0.2">
      <c r="A1859" s="403"/>
      <c r="B1859" s="271"/>
      <c r="C1859" s="271"/>
      <c r="D1859" s="271"/>
      <c r="E1859" s="271"/>
      <c r="F1859" s="271"/>
      <c r="G1859" s="273"/>
      <c r="H1859" s="29" t="str">
        <f t="shared" si="243"/>
        <v/>
      </c>
      <c r="I1859" s="394" t="str">
        <f t="shared" si="244"/>
        <v/>
      </c>
      <c r="J1859" s="273"/>
      <c r="K1859" s="395"/>
      <c r="L1859" s="273"/>
      <c r="M1859" s="394" t="str">
        <f t="shared" si="245"/>
        <v/>
      </c>
      <c r="N1859" s="273"/>
    </row>
    <row r="1860" spans="1:14" ht="12.75" customHeight="1" x14ac:dyDescent="0.2">
      <c r="A1860" s="403"/>
      <c r="B1860" s="271"/>
      <c r="C1860" s="271"/>
      <c r="D1860" s="271"/>
      <c r="E1860" s="271"/>
      <c r="F1860" s="271"/>
      <c r="G1860" s="273"/>
      <c r="H1860" s="29" t="str">
        <f t="shared" si="243"/>
        <v/>
      </c>
      <c r="I1860" s="394" t="str">
        <f t="shared" si="244"/>
        <v/>
      </c>
      <c r="J1860" s="273"/>
      <c r="K1860" s="395"/>
      <c r="L1860" s="273"/>
      <c r="M1860" s="394" t="str">
        <f t="shared" si="245"/>
        <v/>
      </c>
      <c r="N1860" s="273"/>
    </row>
    <row r="1861" spans="1:14" ht="12.75" customHeight="1" x14ac:dyDescent="0.25">
      <c r="A1861" s="4"/>
      <c r="B1861" s="4"/>
      <c r="C1861" s="4"/>
      <c r="D1861" s="4"/>
      <c r="E1861" s="4"/>
      <c r="F1861" s="4"/>
      <c r="G1861" s="4"/>
      <c r="H1861" s="4"/>
      <c r="I1861" s="4"/>
      <c r="J1861" s="4"/>
      <c r="K1861" s="396" t="s">
        <v>444</v>
      </c>
      <c r="L1861" s="273"/>
      <c r="M1861" s="394">
        <f>SUM(M1855:N1860)</f>
        <v>253000</v>
      </c>
      <c r="N1861" s="273"/>
    </row>
    <row r="1862" spans="1:14" ht="12.75" customHeight="1" x14ac:dyDescent="0.25">
      <c r="A1862" s="4"/>
      <c r="B1862" s="4"/>
      <c r="C1862" s="4"/>
      <c r="D1862" s="4"/>
      <c r="E1862" s="4"/>
      <c r="F1862" s="4"/>
      <c r="G1862" s="4"/>
      <c r="H1862" s="4"/>
      <c r="I1862" s="4"/>
      <c r="J1862" s="4"/>
      <c r="K1862" s="4"/>
      <c r="L1862" s="4"/>
      <c r="M1862" s="4"/>
      <c r="N1862" s="4"/>
    </row>
    <row r="1863" spans="1:14" ht="12.75" customHeight="1" x14ac:dyDescent="0.2">
      <c r="A1863" s="398" t="s">
        <v>926</v>
      </c>
      <c r="B1863" s="271"/>
      <c r="C1863" s="271"/>
      <c r="D1863" s="271"/>
      <c r="E1863" s="271"/>
      <c r="F1863" s="271"/>
      <c r="G1863" s="271"/>
      <c r="H1863" s="271"/>
      <c r="I1863" s="271"/>
      <c r="J1863" s="271"/>
      <c r="K1863" s="271"/>
      <c r="L1863" s="271"/>
      <c r="M1863" s="271"/>
      <c r="N1863" s="273"/>
    </row>
    <row r="1864" spans="1:14" ht="12.75" customHeight="1" x14ac:dyDescent="0.2">
      <c r="A1864" s="396" t="s">
        <v>76</v>
      </c>
      <c r="B1864" s="271"/>
      <c r="C1864" s="271"/>
      <c r="D1864" s="271"/>
      <c r="E1864" s="271"/>
      <c r="F1864" s="271"/>
      <c r="G1864" s="273"/>
      <c r="H1864" s="88" t="s">
        <v>77</v>
      </c>
      <c r="I1864" s="399" t="s">
        <v>920</v>
      </c>
      <c r="J1864" s="273"/>
      <c r="K1864" s="399" t="s">
        <v>453</v>
      </c>
      <c r="L1864" s="273"/>
      <c r="M1864" s="399" t="s">
        <v>921</v>
      </c>
      <c r="N1864" s="273"/>
    </row>
    <row r="1865" spans="1:14" ht="12.75" customHeight="1" x14ac:dyDescent="0.2">
      <c r="A1865" s="400" t="s">
        <v>927</v>
      </c>
      <c r="B1865" s="271"/>
      <c r="C1865" s="271"/>
      <c r="D1865" s="271"/>
      <c r="E1865" s="271"/>
      <c r="F1865" s="271"/>
      <c r="G1865" s="273"/>
      <c r="H1865" s="29" t="str">
        <f>IF(A1865="","",VLOOKUP(A1865,AA_Equipos,7,FALSE))</f>
        <v>% M.O.</v>
      </c>
      <c r="I1865" s="394">
        <f>+M1888</f>
        <v>10884.547640000001</v>
      </c>
      <c r="J1865" s="273"/>
      <c r="K1865" s="404">
        <v>0.05</v>
      </c>
      <c r="L1865" s="273"/>
      <c r="M1865" s="394">
        <f t="shared" ref="M1865:M1869" si="246">IF(A1865="","",I1865*K1865)</f>
        <v>544.22738200000003</v>
      </c>
      <c r="N1865" s="273"/>
    </row>
    <row r="1866" spans="1:14" ht="12.75" customHeight="1" x14ac:dyDescent="0.2">
      <c r="A1866" s="403"/>
      <c r="B1866" s="271"/>
      <c r="C1866" s="271"/>
      <c r="D1866" s="271"/>
      <c r="E1866" s="271"/>
      <c r="F1866" s="271"/>
      <c r="G1866" s="273"/>
      <c r="H1866" s="29" t="str">
        <f>IF(A1866="","",VLOOKUP(A1866,AA_Equipos,7,FALSE))</f>
        <v/>
      </c>
      <c r="I1866" s="394" t="str">
        <f>IF(A1866="","",VLOOKUP(A1866,AA_Equipos,8,FALSE))</f>
        <v/>
      </c>
      <c r="J1866" s="273"/>
      <c r="K1866" s="402"/>
      <c r="L1866" s="273"/>
      <c r="M1866" s="394" t="str">
        <f t="shared" si="246"/>
        <v/>
      </c>
      <c r="N1866" s="273"/>
    </row>
    <row r="1867" spans="1:14" ht="12.75" customHeight="1" x14ac:dyDescent="0.2">
      <c r="A1867" s="400"/>
      <c r="B1867" s="271"/>
      <c r="C1867" s="271"/>
      <c r="D1867" s="271"/>
      <c r="E1867" s="271"/>
      <c r="F1867" s="271"/>
      <c r="G1867" s="273"/>
      <c r="H1867" s="29" t="str">
        <f>IF(A1867="","",VLOOKUP(A1867,AA_Equipos,7,FALSE))</f>
        <v/>
      </c>
      <c r="I1867" s="394" t="str">
        <f>IF(A1867="","",VLOOKUP(A1867,AA_Equipos,8,FALSE))</f>
        <v/>
      </c>
      <c r="J1867" s="273"/>
      <c r="K1867" s="401"/>
      <c r="L1867" s="273"/>
      <c r="M1867" s="394" t="str">
        <f t="shared" si="246"/>
        <v/>
      </c>
      <c r="N1867" s="273"/>
    </row>
    <row r="1868" spans="1:14" ht="12.75" customHeight="1" x14ac:dyDescent="0.2">
      <c r="A1868" s="400"/>
      <c r="B1868" s="271"/>
      <c r="C1868" s="271"/>
      <c r="D1868" s="271"/>
      <c r="E1868" s="271"/>
      <c r="F1868" s="271"/>
      <c r="G1868" s="273"/>
      <c r="H1868" s="29" t="str">
        <f>IF(A1868="","",VLOOKUP(A1868,AA_Equipos,7,FALSE))</f>
        <v/>
      </c>
      <c r="I1868" s="394" t="str">
        <f>IF(A1868="","",VLOOKUP(A1868,AA_Equipos,8,FALSE))</f>
        <v/>
      </c>
      <c r="J1868" s="273"/>
      <c r="K1868" s="395"/>
      <c r="L1868" s="273"/>
      <c r="M1868" s="394" t="str">
        <f t="shared" si="246"/>
        <v/>
      </c>
      <c r="N1868" s="273"/>
    </row>
    <row r="1869" spans="1:14" ht="12.75" customHeight="1" x14ac:dyDescent="0.2">
      <c r="A1869" s="400"/>
      <c r="B1869" s="271"/>
      <c r="C1869" s="271"/>
      <c r="D1869" s="271"/>
      <c r="E1869" s="271"/>
      <c r="F1869" s="271"/>
      <c r="G1869" s="273"/>
      <c r="H1869" s="29" t="str">
        <f>IF(A1869="","",VLOOKUP(A1869,AA_Equipos,7,FALSE))</f>
        <v/>
      </c>
      <c r="I1869" s="394" t="str">
        <f>IF(A1869="","",VLOOKUP(A1869,AA_Equipos,8,FALSE))</f>
        <v/>
      </c>
      <c r="J1869" s="273"/>
      <c r="K1869" s="395"/>
      <c r="L1869" s="273"/>
      <c r="M1869" s="394" t="str">
        <f t="shared" si="246"/>
        <v/>
      </c>
      <c r="N1869" s="273"/>
    </row>
    <row r="1870" spans="1:14" ht="12.75" customHeight="1" x14ac:dyDescent="0.25">
      <c r="A1870" s="4"/>
      <c r="B1870" s="4"/>
      <c r="C1870" s="4"/>
      <c r="D1870" s="4"/>
      <c r="E1870" s="4"/>
      <c r="F1870" s="4"/>
      <c r="G1870" s="4"/>
      <c r="H1870" s="4"/>
      <c r="I1870" s="4"/>
      <c r="J1870" s="4"/>
      <c r="K1870" s="396" t="s">
        <v>444</v>
      </c>
      <c r="L1870" s="273"/>
      <c r="M1870" s="394">
        <f>SUM(M1865:N1869)</f>
        <v>544.22738200000003</v>
      </c>
      <c r="N1870" s="273"/>
    </row>
    <row r="1871" spans="1:14" ht="12.75" customHeight="1" x14ac:dyDescent="0.25">
      <c r="A1871" s="4"/>
      <c r="B1871" s="4"/>
      <c r="C1871" s="4"/>
      <c r="D1871" s="4"/>
      <c r="E1871" s="4"/>
      <c r="F1871" s="4"/>
      <c r="G1871" s="4"/>
      <c r="H1871" s="4"/>
      <c r="I1871" s="4"/>
      <c r="J1871" s="4"/>
      <c r="K1871" s="4"/>
      <c r="L1871" s="4"/>
      <c r="M1871" s="4"/>
      <c r="N1871" s="4"/>
    </row>
    <row r="1872" spans="1:14" ht="12.75" customHeight="1" x14ac:dyDescent="0.2">
      <c r="A1872" s="398" t="s">
        <v>929</v>
      </c>
      <c r="B1872" s="271"/>
      <c r="C1872" s="271"/>
      <c r="D1872" s="271"/>
      <c r="E1872" s="271"/>
      <c r="F1872" s="271"/>
      <c r="G1872" s="271"/>
      <c r="H1872" s="271"/>
      <c r="I1872" s="271"/>
      <c r="J1872" s="271"/>
      <c r="K1872" s="271"/>
      <c r="L1872" s="271"/>
      <c r="M1872" s="271"/>
      <c r="N1872" s="273"/>
    </row>
    <row r="1873" spans="1:14" ht="12.75" customHeight="1" x14ac:dyDescent="0.2">
      <c r="A1873" s="396" t="s">
        <v>76</v>
      </c>
      <c r="B1873" s="271"/>
      <c r="C1873" s="271"/>
      <c r="D1873" s="271"/>
      <c r="E1873" s="271"/>
      <c r="F1873" s="271"/>
      <c r="G1873" s="273"/>
      <c r="H1873" s="88" t="s">
        <v>77</v>
      </c>
      <c r="I1873" s="399" t="s">
        <v>920</v>
      </c>
      <c r="J1873" s="273"/>
      <c r="K1873" s="399" t="s">
        <v>453</v>
      </c>
      <c r="L1873" s="273"/>
      <c r="M1873" s="399" t="s">
        <v>921</v>
      </c>
      <c r="N1873" s="273"/>
    </row>
    <row r="1874" spans="1:14" ht="12.75" customHeight="1" x14ac:dyDescent="0.2">
      <c r="A1874" s="400" t="s">
        <v>966</v>
      </c>
      <c r="B1874" s="271"/>
      <c r="C1874" s="271"/>
      <c r="D1874" s="271"/>
      <c r="E1874" s="271"/>
      <c r="F1874" s="271"/>
      <c r="G1874" s="273"/>
      <c r="H1874" s="29" t="s">
        <v>950</v>
      </c>
      <c r="I1874" s="394">
        <f>+M1861</f>
        <v>253000</v>
      </c>
      <c r="J1874" s="273"/>
      <c r="K1874" s="404">
        <v>0.05</v>
      </c>
      <c r="L1874" s="273"/>
      <c r="M1874" s="394">
        <f t="shared" ref="M1874:M1878" si="247">IF(A1874="","",I1874*K1874)</f>
        <v>12650</v>
      </c>
      <c r="N1874" s="273"/>
    </row>
    <row r="1875" spans="1:14" ht="12.75" customHeight="1" x14ac:dyDescent="0.2">
      <c r="A1875" s="403"/>
      <c r="B1875" s="271"/>
      <c r="C1875" s="271"/>
      <c r="D1875" s="271"/>
      <c r="E1875" s="271"/>
      <c r="F1875" s="271"/>
      <c r="G1875" s="273"/>
      <c r="H1875" s="29"/>
      <c r="I1875" s="394"/>
      <c r="J1875" s="273"/>
      <c r="K1875" s="404"/>
      <c r="L1875" s="273"/>
      <c r="M1875" s="394" t="str">
        <f t="shared" si="247"/>
        <v/>
      </c>
      <c r="N1875" s="273"/>
    </row>
    <row r="1876" spans="1:14" ht="12.75" customHeight="1" x14ac:dyDescent="0.2">
      <c r="A1876" s="400"/>
      <c r="B1876" s="271"/>
      <c r="C1876" s="271"/>
      <c r="D1876" s="271"/>
      <c r="E1876" s="271"/>
      <c r="F1876" s="271"/>
      <c r="G1876" s="273"/>
      <c r="H1876" s="29"/>
      <c r="I1876" s="394"/>
      <c r="J1876" s="273"/>
      <c r="K1876" s="395"/>
      <c r="L1876" s="273"/>
      <c r="M1876" s="394" t="str">
        <f t="shared" si="247"/>
        <v/>
      </c>
      <c r="N1876" s="273"/>
    </row>
    <row r="1877" spans="1:14" ht="12.75" customHeight="1" x14ac:dyDescent="0.2">
      <c r="A1877" s="400"/>
      <c r="B1877" s="271"/>
      <c r="C1877" s="271"/>
      <c r="D1877" s="271"/>
      <c r="E1877" s="271"/>
      <c r="F1877" s="271"/>
      <c r="G1877" s="273"/>
      <c r="H1877" s="29"/>
      <c r="I1877" s="394"/>
      <c r="J1877" s="273"/>
      <c r="K1877" s="395"/>
      <c r="L1877" s="273"/>
      <c r="M1877" s="394" t="str">
        <f t="shared" si="247"/>
        <v/>
      </c>
      <c r="N1877" s="273"/>
    </row>
    <row r="1878" spans="1:14" ht="12.75" customHeight="1" x14ac:dyDescent="0.2">
      <c r="A1878" s="400"/>
      <c r="B1878" s="271"/>
      <c r="C1878" s="271"/>
      <c r="D1878" s="271"/>
      <c r="E1878" s="271"/>
      <c r="F1878" s="271"/>
      <c r="G1878" s="273"/>
      <c r="H1878" s="29"/>
      <c r="I1878" s="394"/>
      <c r="J1878" s="273"/>
      <c r="K1878" s="395"/>
      <c r="L1878" s="273"/>
      <c r="M1878" s="394" t="str">
        <f t="shared" si="247"/>
        <v/>
      </c>
      <c r="N1878" s="273"/>
    </row>
    <row r="1879" spans="1:14" ht="12.75" customHeight="1" x14ac:dyDescent="0.25">
      <c r="A1879" s="4"/>
      <c r="B1879" s="4"/>
      <c r="C1879" s="4"/>
      <c r="D1879" s="4"/>
      <c r="E1879" s="4"/>
      <c r="F1879" s="4"/>
      <c r="G1879" s="4"/>
      <c r="H1879" s="4"/>
      <c r="I1879" s="4"/>
      <c r="J1879" s="4"/>
      <c r="K1879" s="396" t="s">
        <v>444</v>
      </c>
      <c r="L1879" s="273"/>
      <c r="M1879" s="394">
        <f>SUM(M1874:N1878)</f>
        <v>12650</v>
      </c>
      <c r="N1879" s="273"/>
    </row>
    <row r="1880" spans="1:14" ht="12.75" customHeight="1" x14ac:dyDescent="0.25">
      <c r="A1880" s="4"/>
      <c r="B1880" s="4"/>
      <c r="C1880" s="4"/>
      <c r="D1880" s="4"/>
      <c r="E1880" s="4"/>
      <c r="F1880" s="4"/>
      <c r="G1880" s="4"/>
      <c r="H1880" s="4"/>
      <c r="I1880" s="4"/>
      <c r="J1880" s="4"/>
      <c r="K1880" s="4"/>
      <c r="L1880" s="4"/>
      <c r="M1880" s="4"/>
      <c r="N1880" s="4"/>
    </row>
    <row r="1881" spans="1:14" ht="12.75" customHeight="1" x14ac:dyDescent="0.2">
      <c r="A1881" s="398" t="s">
        <v>931</v>
      </c>
      <c r="B1881" s="271"/>
      <c r="C1881" s="271"/>
      <c r="D1881" s="271"/>
      <c r="E1881" s="271"/>
      <c r="F1881" s="271"/>
      <c r="G1881" s="271"/>
      <c r="H1881" s="271"/>
      <c r="I1881" s="271"/>
      <c r="J1881" s="271"/>
      <c r="K1881" s="271"/>
      <c r="L1881" s="271"/>
      <c r="M1881" s="271"/>
      <c r="N1881" s="273"/>
    </row>
    <row r="1882" spans="1:14" ht="12.75" customHeight="1" x14ac:dyDescent="0.2">
      <c r="A1882" s="396" t="s">
        <v>76</v>
      </c>
      <c r="B1882" s="271"/>
      <c r="C1882" s="271"/>
      <c r="D1882" s="271"/>
      <c r="E1882" s="271"/>
      <c r="F1882" s="271"/>
      <c r="G1882" s="273"/>
      <c r="H1882" s="88" t="s">
        <v>77</v>
      </c>
      <c r="I1882" s="399" t="s">
        <v>920</v>
      </c>
      <c r="J1882" s="273"/>
      <c r="K1882" s="90" t="s">
        <v>514</v>
      </c>
      <c r="L1882" s="91" t="s">
        <v>932</v>
      </c>
      <c r="M1882" s="399" t="s">
        <v>921</v>
      </c>
      <c r="N1882" s="273"/>
    </row>
    <row r="1883" spans="1:14" ht="12.75" customHeight="1" x14ac:dyDescent="0.25">
      <c r="A1883" s="393" t="s">
        <v>986</v>
      </c>
      <c r="B1883" s="271"/>
      <c r="C1883" s="271"/>
      <c r="D1883" s="271"/>
      <c r="E1883" s="271"/>
      <c r="F1883" s="271"/>
      <c r="G1883" s="273"/>
      <c r="H1883" s="29" t="str">
        <f>IF(A1883="","",VLOOKUP(A1883,AA_Cuadrillas,4,FALSE))</f>
        <v>Cuadrilla</v>
      </c>
      <c r="I1883" s="394">
        <f>IF(A1883="","",VLOOKUP(A1883,AA_Cuadrillas,5,FALSE))</f>
        <v>186763</v>
      </c>
      <c r="J1883" s="273"/>
      <c r="K1883" s="9">
        <f>IF(A1883="","",F.P!$I$2)</f>
        <v>1.88</v>
      </c>
      <c r="L1883" s="97">
        <v>3.1E-2</v>
      </c>
      <c r="M1883" s="394">
        <f t="shared" ref="M1883:M1887" si="248">IF(A1883="","",I1883*K1883*L1883)</f>
        <v>10884.547640000001</v>
      </c>
      <c r="N1883" s="273"/>
    </row>
    <row r="1884" spans="1:14" ht="12.75" customHeight="1" x14ac:dyDescent="0.25">
      <c r="A1884" s="393"/>
      <c r="B1884" s="271"/>
      <c r="C1884" s="271"/>
      <c r="D1884" s="271"/>
      <c r="E1884" s="271"/>
      <c r="F1884" s="271"/>
      <c r="G1884" s="273"/>
      <c r="H1884" s="29" t="str">
        <f>IF(A1884="","",VLOOKUP(A1884,AA_Cuadrillas,4,FALSE))</f>
        <v/>
      </c>
      <c r="I1884" s="394" t="str">
        <f>IF(A1884="","",VLOOKUP(A1884,AA_Cuadrillas,5,FALSE))</f>
        <v/>
      </c>
      <c r="J1884" s="273"/>
      <c r="K1884" s="9" t="str">
        <f>IF(A1884="","",F.P!$I$2)</f>
        <v/>
      </c>
      <c r="L1884" s="9"/>
      <c r="M1884" s="394" t="str">
        <f t="shared" si="248"/>
        <v/>
      </c>
      <c r="N1884" s="273"/>
    </row>
    <row r="1885" spans="1:14" ht="12.75" customHeight="1" x14ac:dyDescent="0.25">
      <c r="A1885" s="393"/>
      <c r="B1885" s="271"/>
      <c r="C1885" s="271"/>
      <c r="D1885" s="271"/>
      <c r="E1885" s="271"/>
      <c r="F1885" s="271"/>
      <c r="G1885" s="273"/>
      <c r="H1885" s="29" t="str">
        <f>IF(A1885="","",VLOOKUP(A1885,AA_Cuadrillas,4,FALSE))</f>
        <v/>
      </c>
      <c r="I1885" s="394" t="str">
        <f>IF(A1885="","",VLOOKUP(A1885,AA_Cuadrillas,5,FALSE))</f>
        <v/>
      </c>
      <c r="J1885" s="273"/>
      <c r="K1885" s="9" t="str">
        <f>IF(A1885="","",F.P!$I$2)</f>
        <v/>
      </c>
      <c r="L1885" s="37"/>
      <c r="M1885" s="394" t="str">
        <f t="shared" si="248"/>
        <v/>
      </c>
      <c r="N1885" s="273"/>
    </row>
    <row r="1886" spans="1:14" ht="12.75" customHeight="1" x14ac:dyDescent="0.25">
      <c r="A1886" s="393"/>
      <c r="B1886" s="271"/>
      <c r="C1886" s="271"/>
      <c r="D1886" s="271"/>
      <c r="E1886" s="271"/>
      <c r="F1886" s="271"/>
      <c r="G1886" s="273"/>
      <c r="H1886" s="29" t="str">
        <f>IF(A1886="","",VLOOKUP(A1886,AA_Cuadrillas,4,FALSE))</f>
        <v/>
      </c>
      <c r="I1886" s="394" t="str">
        <f>IF(A1886="","",VLOOKUP(A1886,AA_Cuadrillas,5,FALSE))</f>
        <v/>
      </c>
      <c r="J1886" s="273"/>
      <c r="K1886" s="9" t="str">
        <f>IF(A1886="","",F.P!$I$2)</f>
        <v/>
      </c>
      <c r="L1886" s="37"/>
      <c r="M1886" s="394" t="str">
        <f t="shared" si="248"/>
        <v/>
      </c>
      <c r="N1886" s="273"/>
    </row>
    <row r="1887" spans="1:14" ht="12.75" customHeight="1" x14ac:dyDescent="0.25">
      <c r="A1887" s="393"/>
      <c r="B1887" s="271"/>
      <c r="C1887" s="271"/>
      <c r="D1887" s="271"/>
      <c r="E1887" s="271"/>
      <c r="F1887" s="271"/>
      <c r="G1887" s="273"/>
      <c r="H1887" s="29" t="str">
        <f>IF(A1887="","",VLOOKUP(A1887,AA_Cuadrillas,4,FALSE))</f>
        <v/>
      </c>
      <c r="I1887" s="394" t="str">
        <f>IF(A1887="","",VLOOKUP(A1887,AA_Cuadrillas,5,FALSE))</f>
        <v/>
      </c>
      <c r="J1887" s="273"/>
      <c r="K1887" s="9" t="str">
        <f>IF(A1887="","",F.P!$I$2)</f>
        <v/>
      </c>
      <c r="L1887" s="37"/>
      <c r="M1887" s="394" t="str">
        <f t="shared" si="248"/>
        <v/>
      </c>
      <c r="N1887" s="273"/>
    </row>
    <row r="1888" spans="1:14" ht="12.75" customHeight="1" x14ac:dyDescent="0.25">
      <c r="A1888" s="4"/>
      <c r="B1888" s="4"/>
      <c r="C1888" s="4"/>
      <c r="D1888" s="4"/>
      <c r="E1888" s="4"/>
      <c r="F1888" s="4"/>
      <c r="G1888" s="4"/>
      <c r="H1888" s="4"/>
      <c r="I1888" s="4"/>
      <c r="J1888" s="4"/>
      <c r="K1888" s="396" t="s">
        <v>444</v>
      </c>
      <c r="L1888" s="273"/>
      <c r="M1888" s="394">
        <f>SUM(M1883:N1887)</f>
        <v>10884.547640000001</v>
      </c>
      <c r="N1888" s="273"/>
    </row>
    <row r="1889" spans="1:14" ht="12.75" customHeight="1" x14ac:dyDescent="0.2"/>
    <row r="1890" spans="1:14" ht="12.75" customHeight="1" x14ac:dyDescent="0.2">
      <c r="A1890" s="407" t="s">
        <v>1063</v>
      </c>
      <c r="B1890" s="275"/>
      <c r="C1890" s="275"/>
      <c r="D1890" s="275"/>
      <c r="E1890" s="275"/>
      <c r="F1890" s="275"/>
      <c r="G1890" s="275"/>
      <c r="H1890" s="275"/>
      <c r="I1890" s="275"/>
      <c r="J1890" s="275"/>
      <c r="K1890" s="275"/>
      <c r="L1890" s="275"/>
      <c r="M1890" s="275"/>
      <c r="N1890" s="276"/>
    </row>
    <row r="1891" spans="1:14" ht="12.75" customHeight="1" x14ac:dyDescent="0.2">
      <c r="A1891" s="277"/>
      <c r="B1891" s="278"/>
      <c r="C1891" s="278"/>
      <c r="D1891" s="278"/>
      <c r="E1891" s="278"/>
      <c r="F1891" s="278"/>
      <c r="G1891" s="278"/>
      <c r="H1891" s="278"/>
      <c r="I1891" s="278"/>
      <c r="J1891" s="278"/>
      <c r="K1891" s="278"/>
      <c r="L1891" s="278"/>
      <c r="M1891" s="278"/>
      <c r="N1891" s="279"/>
    </row>
    <row r="1892" spans="1:14" ht="12.75" customHeight="1" x14ac:dyDescent="0.2">
      <c r="A1892" s="75"/>
      <c r="B1892" s="75"/>
      <c r="C1892" s="75"/>
      <c r="D1892" s="75"/>
      <c r="E1892" s="75"/>
      <c r="F1892" s="75"/>
      <c r="G1892" s="75"/>
      <c r="H1892" s="75"/>
      <c r="I1892" s="75"/>
      <c r="J1892" s="75"/>
      <c r="K1892" s="75"/>
      <c r="L1892" s="75"/>
      <c r="M1892" s="75"/>
      <c r="N1892" s="75"/>
    </row>
    <row r="1893" spans="1:14" ht="12.75" customHeight="1" x14ac:dyDescent="0.3">
      <c r="A1893" s="79" t="s">
        <v>657</v>
      </c>
      <c r="B1893" s="80" t="str">
        <f>A1890</f>
        <v>SUMINISTRO E INSTALACIÓN DE TAPÓN HEMBRA Ø4 EN HIERRO DUCTIL</v>
      </c>
      <c r="C1893" s="81" t="s">
        <v>916</v>
      </c>
      <c r="D1893" s="82" t="s">
        <v>999</v>
      </c>
      <c r="E1893" s="83" t="s">
        <v>445</v>
      </c>
      <c r="F1893" s="234">
        <f>(H1893+J1893+L1893+N1893)*1.3</f>
        <v>177292.40752859999</v>
      </c>
      <c r="G1893" s="83" t="s">
        <v>607</v>
      </c>
      <c r="H1893" s="86">
        <f>M1903</f>
        <v>119000</v>
      </c>
      <c r="I1893" s="83" t="s">
        <v>918</v>
      </c>
      <c r="J1893" s="86">
        <f>M1912</f>
        <v>544.22738200000003</v>
      </c>
      <c r="K1893" s="83" t="s">
        <v>609</v>
      </c>
      <c r="L1893" s="86">
        <f>M1921</f>
        <v>5950</v>
      </c>
      <c r="M1893" s="83" t="s">
        <v>610</v>
      </c>
      <c r="N1893" s="86">
        <f>M1930</f>
        <v>10884.547640000001</v>
      </c>
    </row>
    <row r="1894" spans="1:14" ht="12.75" customHeight="1" x14ac:dyDescent="0.25">
      <c r="A1894" s="87"/>
      <c r="B1894" s="87"/>
      <c r="C1894" s="87"/>
      <c r="D1894" s="87"/>
      <c r="E1894" s="87"/>
      <c r="F1894" s="87"/>
      <c r="G1894" s="87"/>
      <c r="J1894" s="87"/>
      <c r="K1894" s="215" t="s">
        <v>3217</v>
      </c>
      <c r="L1894" s="215">
        <f>+F1893*presup!$O$5</f>
        <v>230480.12978717999</v>
      </c>
      <c r="M1894" s="87"/>
      <c r="N1894" s="87"/>
    </row>
    <row r="1895" spans="1:14" ht="12.75" customHeight="1" x14ac:dyDescent="0.2">
      <c r="A1895" s="398" t="s">
        <v>919</v>
      </c>
      <c r="B1895" s="271"/>
      <c r="C1895" s="271"/>
      <c r="D1895" s="271"/>
      <c r="E1895" s="271"/>
      <c r="F1895" s="271"/>
      <c r="G1895" s="271"/>
      <c r="H1895" s="271"/>
      <c r="I1895" s="271"/>
      <c r="J1895" s="271"/>
      <c r="K1895" s="271"/>
      <c r="L1895" s="271"/>
      <c r="M1895" s="271"/>
      <c r="N1895" s="273"/>
    </row>
    <row r="1896" spans="1:14" ht="12.75" customHeight="1" x14ac:dyDescent="0.2">
      <c r="A1896" s="396" t="s">
        <v>76</v>
      </c>
      <c r="B1896" s="271"/>
      <c r="C1896" s="271"/>
      <c r="D1896" s="271"/>
      <c r="E1896" s="271"/>
      <c r="F1896" s="271"/>
      <c r="G1896" s="273"/>
      <c r="H1896" s="88" t="s">
        <v>77</v>
      </c>
      <c r="I1896" s="399" t="s">
        <v>920</v>
      </c>
      <c r="J1896" s="273"/>
      <c r="K1896" s="399" t="s">
        <v>453</v>
      </c>
      <c r="L1896" s="273"/>
      <c r="M1896" s="399" t="s">
        <v>921</v>
      </c>
      <c r="N1896" s="273"/>
    </row>
    <row r="1897" spans="1:14" ht="12.75" customHeight="1" x14ac:dyDescent="0.2">
      <c r="A1897" s="403" t="s">
        <v>1064</v>
      </c>
      <c r="B1897" s="271"/>
      <c r="C1897" s="271"/>
      <c r="D1897" s="271"/>
      <c r="E1897" s="271"/>
      <c r="F1897" s="271"/>
      <c r="G1897" s="273"/>
      <c r="H1897" s="29" t="str">
        <f t="shared" ref="H1897:H1902" si="249">IF(A1897="","",VLOOKUP(A1897,AA_Materiales,7,FALSE))</f>
        <v>Unidad</v>
      </c>
      <c r="I1897" s="394">
        <f t="shared" ref="I1897:I1902" si="250">IF(A1897="","",VLOOKUP(A1897,AA_Materiales,8,FALSE))</f>
        <v>119000</v>
      </c>
      <c r="J1897" s="273"/>
      <c r="K1897" s="395">
        <v>1</v>
      </c>
      <c r="L1897" s="273"/>
      <c r="M1897" s="394">
        <f t="shared" ref="M1897:M1902" si="251">IF(A1897="","",I1897*K1897)</f>
        <v>119000</v>
      </c>
      <c r="N1897" s="273"/>
    </row>
    <row r="1898" spans="1:14" ht="12.75" customHeight="1" x14ac:dyDescent="0.2">
      <c r="A1898" s="403"/>
      <c r="B1898" s="271"/>
      <c r="C1898" s="271"/>
      <c r="D1898" s="271"/>
      <c r="E1898" s="271"/>
      <c r="F1898" s="271"/>
      <c r="G1898" s="273"/>
      <c r="H1898" s="29" t="str">
        <f t="shared" si="249"/>
        <v/>
      </c>
      <c r="I1898" s="394" t="str">
        <f t="shared" si="250"/>
        <v/>
      </c>
      <c r="J1898" s="273"/>
      <c r="K1898" s="395"/>
      <c r="L1898" s="273"/>
      <c r="M1898" s="394" t="str">
        <f t="shared" si="251"/>
        <v/>
      </c>
      <c r="N1898" s="273"/>
    </row>
    <row r="1899" spans="1:14" ht="12.75" customHeight="1" x14ac:dyDescent="0.2">
      <c r="A1899" s="403"/>
      <c r="B1899" s="271"/>
      <c r="C1899" s="271"/>
      <c r="D1899" s="271"/>
      <c r="E1899" s="271"/>
      <c r="F1899" s="271"/>
      <c r="G1899" s="273"/>
      <c r="H1899" s="29" t="str">
        <f t="shared" si="249"/>
        <v/>
      </c>
      <c r="I1899" s="394" t="str">
        <f t="shared" si="250"/>
        <v/>
      </c>
      <c r="J1899" s="273"/>
      <c r="K1899" s="395"/>
      <c r="L1899" s="273"/>
      <c r="M1899" s="394" t="str">
        <f t="shared" si="251"/>
        <v/>
      </c>
      <c r="N1899" s="273"/>
    </row>
    <row r="1900" spans="1:14" ht="12.75" customHeight="1" x14ac:dyDescent="0.2">
      <c r="A1900" s="403"/>
      <c r="B1900" s="271"/>
      <c r="C1900" s="271"/>
      <c r="D1900" s="271"/>
      <c r="E1900" s="271"/>
      <c r="F1900" s="271"/>
      <c r="G1900" s="273"/>
      <c r="H1900" s="29" t="str">
        <f t="shared" si="249"/>
        <v/>
      </c>
      <c r="I1900" s="394" t="str">
        <f t="shared" si="250"/>
        <v/>
      </c>
      <c r="J1900" s="273"/>
      <c r="K1900" s="395"/>
      <c r="L1900" s="273"/>
      <c r="M1900" s="394" t="str">
        <f t="shared" si="251"/>
        <v/>
      </c>
      <c r="N1900" s="273"/>
    </row>
    <row r="1901" spans="1:14" ht="12.75" customHeight="1" x14ac:dyDescent="0.2">
      <c r="A1901" s="403"/>
      <c r="B1901" s="271"/>
      <c r="C1901" s="271"/>
      <c r="D1901" s="271"/>
      <c r="E1901" s="271"/>
      <c r="F1901" s="271"/>
      <c r="G1901" s="273"/>
      <c r="H1901" s="29" t="str">
        <f t="shared" si="249"/>
        <v/>
      </c>
      <c r="I1901" s="394" t="str">
        <f t="shared" si="250"/>
        <v/>
      </c>
      <c r="J1901" s="273"/>
      <c r="K1901" s="395"/>
      <c r="L1901" s="273"/>
      <c r="M1901" s="394" t="str">
        <f t="shared" si="251"/>
        <v/>
      </c>
      <c r="N1901" s="273"/>
    </row>
    <row r="1902" spans="1:14" ht="12.75" customHeight="1" x14ac:dyDescent="0.2">
      <c r="A1902" s="403"/>
      <c r="B1902" s="271"/>
      <c r="C1902" s="271"/>
      <c r="D1902" s="271"/>
      <c r="E1902" s="271"/>
      <c r="F1902" s="271"/>
      <c r="G1902" s="273"/>
      <c r="H1902" s="29" t="str">
        <f t="shared" si="249"/>
        <v/>
      </c>
      <c r="I1902" s="394" t="str">
        <f t="shared" si="250"/>
        <v/>
      </c>
      <c r="J1902" s="273"/>
      <c r="K1902" s="395"/>
      <c r="L1902" s="273"/>
      <c r="M1902" s="394" t="str">
        <f t="shared" si="251"/>
        <v/>
      </c>
      <c r="N1902" s="273"/>
    </row>
    <row r="1903" spans="1:14" ht="12.75" customHeight="1" x14ac:dyDescent="0.25">
      <c r="A1903" s="4"/>
      <c r="B1903" s="4"/>
      <c r="C1903" s="4"/>
      <c r="D1903" s="4"/>
      <c r="E1903" s="4"/>
      <c r="F1903" s="4"/>
      <c r="G1903" s="4"/>
      <c r="H1903" s="4"/>
      <c r="I1903" s="4"/>
      <c r="J1903" s="4"/>
      <c r="K1903" s="396" t="s">
        <v>444</v>
      </c>
      <c r="L1903" s="273"/>
      <c r="M1903" s="394">
        <f>SUM(M1897:N1902)</f>
        <v>119000</v>
      </c>
      <c r="N1903" s="273"/>
    </row>
    <row r="1904" spans="1:14" ht="12.75" customHeight="1" x14ac:dyDescent="0.25">
      <c r="A1904" s="4"/>
      <c r="B1904" s="4"/>
      <c r="C1904" s="4"/>
      <c r="D1904" s="4"/>
      <c r="E1904" s="4"/>
      <c r="F1904" s="4"/>
      <c r="G1904" s="4"/>
      <c r="H1904" s="4"/>
      <c r="I1904" s="4"/>
      <c r="J1904" s="4"/>
      <c r="K1904" s="4"/>
      <c r="L1904" s="4"/>
      <c r="M1904" s="4"/>
      <c r="N1904" s="4"/>
    </row>
    <row r="1905" spans="1:14" ht="12.75" customHeight="1" x14ac:dyDescent="0.2">
      <c r="A1905" s="398" t="s">
        <v>926</v>
      </c>
      <c r="B1905" s="271"/>
      <c r="C1905" s="271"/>
      <c r="D1905" s="271"/>
      <c r="E1905" s="271"/>
      <c r="F1905" s="271"/>
      <c r="G1905" s="271"/>
      <c r="H1905" s="271"/>
      <c r="I1905" s="271"/>
      <c r="J1905" s="271"/>
      <c r="K1905" s="271"/>
      <c r="L1905" s="271"/>
      <c r="M1905" s="271"/>
      <c r="N1905" s="273"/>
    </row>
    <row r="1906" spans="1:14" ht="12.75" customHeight="1" x14ac:dyDescent="0.2">
      <c r="A1906" s="396" t="s">
        <v>76</v>
      </c>
      <c r="B1906" s="271"/>
      <c r="C1906" s="271"/>
      <c r="D1906" s="271"/>
      <c r="E1906" s="271"/>
      <c r="F1906" s="271"/>
      <c r="G1906" s="273"/>
      <c r="H1906" s="88" t="s">
        <v>77</v>
      </c>
      <c r="I1906" s="399" t="s">
        <v>920</v>
      </c>
      <c r="J1906" s="273"/>
      <c r="K1906" s="399" t="s">
        <v>453</v>
      </c>
      <c r="L1906" s="273"/>
      <c r="M1906" s="399" t="s">
        <v>921</v>
      </c>
      <c r="N1906" s="273"/>
    </row>
    <row r="1907" spans="1:14" ht="12.75" customHeight="1" x14ac:dyDescent="0.2">
      <c r="A1907" s="400" t="s">
        <v>927</v>
      </c>
      <c r="B1907" s="271"/>
      <c r="C1907" s="271"/>
      <c r="D1907" s="271"/>
      <c r="E1907" s="271"/>
      <c r="F1907" s="271"/>
      <c r="G1907" s="273"/>
      <c r="H1907" s="29" t="str">
        <f>IF(A1907="","",VLOOKUP(A1907,AA_Equipos,7,FALSE))</f>
        <v>% M.O.</v>
      </c>
      <c r="I1907" s="394">
        <f>+M1930</f>
        <v>10884.547640000001</v>
      </c>
      <c r="J1907" s="273"/>
      <c r="K1907" s="404">
        <v>0.05</v>
      </c>
      <c r="L1907" s="273"/>
      <c r="M1907" s="394">
        <f t="shared" ref="M1907:M1911" si="252">IF(A1907="","",I1907*K1907)</f>
        <v>544.22738200000003</v>
      </c>
      <c r="N1907" s="273"/>
    </row>
    <row r="1908" spans="1:14" ht="12.75" customHeight="1" x14ac:dyDescent="0.2">
      <c r="A1908" s="403"/>
      <c r="B1908" s="271"/>
      <c r="C1908" s="271"/>
      <c r="D1908" s="271"/>
      <c r="E1908" s="271"/>
      <c r="F1908" s="271"/>
      <c r="G1908" s="273"/>
      <c r="H1908" s="29" t="str">
        <f>IF(A1908="","",VLOOKUP(A1908,AA_Equipos,7,FALSE))</f>
        <v/>
      </c>
      <c r="I1908" s="394" t="str">
        <f>IF(A1908="","",VLOOKUP(A1908,AA_Equipos,8,FALSE))</f>
        <v/>
      </c>
      <c r="J1908" s="273"/>
      <c r="K1908" s="402"/>
      <c r="L1908" s="273"/>
      <c r="M1908" s="394" t="str">
        <f t="shared" si="252"/>
        <v/>
      </c>
      <c r="N1908" s="273"/>
    </row>
    <row r="1909" spans="1:14" ht="12.75" customHeight="1" x14ac:dyDescent="0.2">
      <c r="A1909" s="400"/>
      <c r="B1909" s="271"/>
      <c r="C1909" s="271"/>
      <c r="D1909" s="271"/>
      <c r="E1909" s="271"/>
      <c r="F1909" s="271"/>
      <c r="G1909" s="273"/>
      <c r="H1909" s="29" t="str">
        <f>IF(A1909="","",VLOOKUP(A1909,AA_Equipos,7,FALSE))</f>
        <v/>
      </c>
      <c r="I1909" s="394" t="str">
        <f>IF(A1909="","",VLOOKUP(A1909,AA_Equipos,8,FALSE))</f>
        <v/>
      </c>
      <c r="J1909" s="273"/>
      <c r="K1909" s="401"/>
      <c r="L1909" s="273"/>
      <c r="M1909" s="394" t="str">
        <f t="shared" si="252"/>
        <v/>
      </c>
      <c r="N1909" s="273"/>
    </row>
    <row r="1910" spans="1:14" ht="12.75" customHeight="1" x14ac:dyDescent="0.2">
      <c r="A1910" s="400"/>
      <c r="B1910" s="271"/>
      <c r="C1910" s="271"/>
      <c r="D1910" s="271"/>
      <c r="E1910" s="271"/>
      <c r="F1910" s="271"/>
      <c r="G1910" s="273"/>
      <c r="H1910" s="29" t="str">
        <f>IF(A1910="","",VLOOKUP(A1910,AA_Equipos,7,FALSE))</f>
        <v/>
      </c>
      <c r="I1910" s="394" t="str">
        <f>IF(A1910="","",VLOOKUP(A1910,AA_Equipos,8,FALSE))</f>
        <v/>
      </c>
      <c r="J1910" s="273"/>
      <c r="K1910" s="395"/>
      <c r="L1910" s="273"/>
      <c r="M1910" s="394" t="str">
        <f t="shared" si="252"/>
        <v/>
      </c>
      <c r="N1910" s="273"/>
    </row>
    <row r="1911" spans="1:14" ht="12.75" customHeight="1" x14ac:dyDescent="0.2">
      <c r="A1911" s="400"/>
      <c r="B1911" s="271"/>
      <c r="C1911" s="271"/>
      <c r="D1911" s="271"/>
      <c r="E1911" s="271"/>
      <c r="F1911" s="271"/>
      <c r="G1911" s="273"/>
      <c r="H1911" s="29" t="str">
        <f>IF(A1911="","",VLOOKUP(A1911,AA_Equipos,7,FALSE))</f>
        <v/>
      </c>
      <c r="I1911" s="394" t="str">
        <f>IF(A1911="","",VLOOKUP(A1911,AA_Equipos,8,FALSE))</f>
        <v/>
      </c>
      <c r="J1911" s="273"/>
      <c r="K1911" s="395"/>
      <c r="L1911" s="273"/>
      <c r="M1911" s="394" t="str">
        <f t="shared" si="252"/>
        <v/>
      </c>
      <c r="N1911" s="273"/>
    </row>
    <row r="1912" spans="1:14" ht="12.75" customHeight="1" x14ac:dyDescent="0.25">
      <c r="A1912" s="4"/>
      <c r="B1912" s="4"/>
      <c r="C1912" s="4"/>
      <c r="D1912" s="4"/>
      <c r="E1912" s="4"/>
      <c r="F1912" s="4"/>
      <c r="G1912" s="4"/>
      <c r="H1912" s="4"/>
      <c r="I1912" s="4"/>
      <c r="J1912" s="4"/>
      <c r="K1912" s="396" t="s">
        <v>444</v>
      </c>
      <c r="L1912" s="273"/>
      <c r="M1912" s="394">
        <f>SUM(M1907:N1911)</f>
        <v>544.22738200000003</v>
      </c>
      <c r="N1912" s="273"/>
    </row>
    <row r="1913" spans="1:14" ht="12.75" customHeight="1" x14ac:dyDescent="0.25">
      <c r="A1913" s="4"/>
      <c r="B1913" s="4"/>
      <c r="C1913" s="4"/>
      <c r="D1913" s="4"/>
      <c r="E1913" s="4"/>
      <c r="F1913" s="4"/>
      <c r="G1913" s="4"/>
      <c r="H1913" s="4"/>
      <c r="I1913" s="4"/>
      <c r="J1913" s="4"/>
      <c r="K1913" s="4"/>
      <c r="L1913" s="4"/>
      <c r="M1913" s="4"/>
      <c r="N1913" s="4"/>
    </row>
    <row r="1914" spans="1:14" ht="12.75" customHeight="1" x14ac:dyDescent="0.2">
      <c r="A1914" s="398" t="s">
        <v>929</v>
      </c>
      <c r="B1914" s="271"/>
      <c r="C1914" s="271"/>
      <c r="D1914" s="271"/>
      <c r="E1914" s="271"/>
      <c r="F1914" s="271"/>
      <c r="G1914" s="271"/>
      <c r="H1914" s="271"/>
      <c r="I1914" s="271"/>
      <c r="J1914" s="271"/>
      <c r="K1914" s="271"/>
      <c r="L1914" s="271"/>
      <c r="M1914" s="271"/>
      <c r="N1914" s="273"/>
    </row>
    <row r="1915" spans="1:14" ht="12.75" customHeight="1" x14ac:dyDescent="0.2">
      <c r="A1915" s="396" t="s">
        <v>76</v>
      </c>
      <c r="B1915" s="271"/>
      <c r="C1915" s="271"/>
      <c r="D1915" s="271"/>
      <c r="E1915" s="271"/>
      <c r="F1915" s="271"/>
      <c r="G1915" s="273"/>
      <c r="H1915" s="88" t="s">
        <v>77</v>
      </c>
      <c r="I1915" s="399" t="s">
        <v>920</v>
      </c>
      <c r="J1915" s="273"/>
      <c r="K1915" s="399" t="s">
        <v>453</v>
      </c>
      <c r="L1915" s="273"/>
      <c r="M1915" s="399" t="s">
        <v>921</v>
      </c>
      <c r="N1915" s="273"/>
    </row>
    <row r="1916" spans="1:14" ht="12.75" customHeight="1" x14ac:dyDescent="0.2">
      <c r="A1916" s="400" t="s">
        <v>966</v>
      </c>
      <c r="B1916" s="271"/>
      <c r="C1916" s="271"/>
      <c r="D1916" s="271"/>
      <c r="E1916" s="271"/>
      <c r="F1916" s="271"/>
      <c r="G1916" s="273"/>
      <c r="H1916" s="29" t="s">
        <v>950</v>
      </c>
      <c r="I1916" s="394">
        <f>+M1903</f>
        <v>119000</v>
      </c>
      <c r="J1916" s="273"/>
      <c r="K1916" s="404">
        <v>0.05</v>
      </c>
      <c r="L1916" s="273"/>
      <c r="M1916" s="394">
        <f t="shared" ref="M1916:M1920" si="253">IF(A1916="","",I1916*K1916)</f>
        <v>5950</v>
      </c>
      <c r="N1916" s="273"/>
    </row>
    <row r="1917" spans="1:14" ht="12.75" customHeight="1" x14ac:dyDescent="0.2">
      <c r="A1917" s="403"/>
      <c r="B1917" s="271"/>
      <c r="C1917" s="271"/>
      <c r="D1917" s="271"/>
      <c r="E1917" s="271"/>
      <c r="F1917" s="271"/>
      <c r="G1917" s="273"/>
      <c r="H1917" s="29"/>
      <c r="I1917" s="394"/>
      <c r="J1917" s="273"/>
      <c r="K1917" s="404"/>
      <c r="L1917" s="273"/>
      <c r="M1917" s="394" t="str">
        <f t="shared" si="253"/>
        <v/>
      </c>
      <c r="N1917" s="273"/>
    </row>
    <row r="1918" spans="1:14" ht="12.75" customHeight="1" x14ac:dyDescent="0.2">
      <c r="A1918" s="400"/>
      <c r="B1918" s="271"/>
      <c r="C1918" s="271"/>
      <c r="D1918" s="271"/>
      <c r="E1918" s="271"/>
      <c r="F1918" s="271"/>
      <c r="G1918" s="273"/>
      <c r="H1918" s="29"/>
      <c r="I1918" s="394"/>
      <c r="J1918" s="273"/>
      <c r="K1918" s="395"/>
      <c r="L1918" s="273"/>
      <c r="M1918" s="394" t="str">
        <f t="shared" si="253"/>
        <v/>
      </c>
      <c r="N1918" s="273"/>
    </row>
    <row r="1919" spans="1:14" ht="12.75" customHeight="1" x14ac:dyDescent="0.2">
      <c r="A1919" s="400"/>
      <c r="B1919" s="271"/>
      <c r="C1919" s="271"/>
      <c r="D1919" s="271"/>
      <c r="E1919" s="271"/>
      <c r="F1919" s="271"/>
      <c r="G1919" s="273"/>
      <c r="H1919" s="29"/>
      <c r="I1919" s="394"/>
      <c r="J1919" s="273"/>
      <c r="K1919" s="395"/>
      <c r="L1919" s="273"/>
      <c r="M1919" s="394" t="str">
        <f t="shared" si="253"/>
        <v/>
      </c>
      <c r="N1919" s="273"/>
    </row>
    <row r="1920" spans="1:14" ht="12.75" customHeight="1" x14ac:dyDescent="0.2">
      <c r="A1920" s="400"/>
      <c r="B1920" s="271"/>
      <c r="C1920" s="271"/>
      <c r="D1920" s="271"/>
      <c r="E1920" s="271"/>
      <c r="F1920" s="271"/>
      <c r="G1920" s="273"/>
      <c r="H1920" s="29"/>
      <c r="I1920" s="394"/>
      <c r="J1920" s="273"/>
      <c r="K1920" s="395"/>
      <c r="L1920" s="273"/>
      <c r="M1920" s="394" t="str">
        <f t="shared" si="253"/>
        <v/>
      </c>
      <c r="N1920" s="273"/>
    </row>
    <row r="1921" spans="1:14" ht="12.75" customHeight="1" x14ac:dyDescent="0.25">
      <c r="A1921" s="4"/>
      <c r="B1921" s="4"/>
      <c r="C1921" s="4"/>
      <c r="D1921" s="4"/>
      <c r="E1921" s="4"/>
      <c r="F1921" s="4"/>
      <c r="G1921" s="4"/>
      <c r="H1921" s="4"/>
      <c r="I1921" s="4"/>
      <c r="J1921" s="4"/>
      <c r="K1921" s="396" t="s">
        <v>444</v>
      </c>
      <c r="L1921" s="273"/>
      <c r="M1921" s="394">
        <f>SUM(M1916:N1920)</f>
        <v>5950</v>
      </c>
      <c r="N1921" s="273"/>
    </row>
    <row r="1922" spans="1:14" ht="12.75" customHeight="1" x14ac:dyDescent="0.25">
      <c r="A1922" s="4"/>
      <c r="B1922" s="4"/>
      <c r="C1922" s="4"/>
      <c r="D1922" s="4"/>
      <c r="E1922" s="4"/>
      <c r="F1922" s="4"/>
      <c r="G1922" s="4"/>
      <c r="H1922" s="4"/>
      <c r="I1922" s="4"/>
      <c r="J1922" s="4"/>
      <c r="K1922" s="4"/>
      <c r="L1922" s="4"/>
      <c r="M1922" s="4"/>
      <c r="N1922" s="4"/>
    </row>
    <row r="1923" spans="1:14" ht="12.75" customHeight="1" x14ac:dyDescent="0.2">
      <c r="A1923" s="398" t="s">
        <v>931</v>
      </c>
      <c r="B1923" s="271"/>
      <c r="C1923" s="271"/>
      <c r="D1923" s="271"/>
      <c r="E1923" s="271"/>
      <c r="F1923" s="271"/>
      <c r="G1923" s="271"/>
      <c r="H1923" s="271"/>
      <c r="I1923" s="271"/>
      <c r="J1923" s="271"/>
      <c r="K1923" s="271"/>
      <c r="L1923" s="271"/>
      <c r="M1923" s="271"/>
      <c r="N1923" s="273"/>
    </row>
    <row r="1924" spans="1:14" ht="12.75" customHeight="1" x14ac:dyDescent="0.2">
      <c r="A1924" s="396" t="s">
        <v>76</v>
      </c>
      <c r="B1924" s="271"/>
      <c r="C1924" s="271"/>
      <c r="D1924" s="271"/>
      <c r="E1924" s="271"/>
      <c r="F1924" s="271"/>
      <c r="G1924" s="273"/>
      <c r="H1924" s="88" t="s">
        <v>77</v>
      </c>
      <c r="I1924" s="399" t="s">
        <v>920</v>
      </c>
      <c r="J1924" s="273"/>
      <c r="K1924" s="90" t="s">
        <v>514</v>
      </c>
      <c r="L1924" s="91" t="s">
        <v>932</v>
      </c>
      <c r="M1924" s="399" t="s">
        <v>921</v>
      </c>
      <c r="N1924" s="273"/>
    </row>
    <row r="1925" spans="1:14" ht="12.75" customHeight="1" x14ac:dyDescent="0.25">
      <c r="A1925" s="393" t="s">
        <v>986</v>
      </c>
      <c r="B1925" s="271"/>
      <c r="C1925" s="271"/>
      <c r="D1925" s="271"/>
      <c r="E1925" s="271"/>
      <c r="F1925" s="271"/>
      <c r="G1925" s="273"/>
      <c r="H1925" s="29" t="str">
        <f>IF(A1925="","",VLOOKUP(A1925,AA_Cuadrillas,4,FALSE))</f>
        <v>Cuadrilla</v>
      </c>
      <c r="I1925" s="394">
        <f>IF(A1925="","",VLOOKUP(A1925,AA_Cuadrillas,5,FALSE))</f>
        <v>186763</v>
      </c>
      <c r="J1925" s="273"/>
      <c r="K1925" s="9">
        <f>IF(A1925="","",F.P!$I$2)</f>
        <v>1.88</v>
      </c>
      <c r="L1925" s="97">
        <v>3.1E-2</v>
      </c>
      <c r="M1925" s="394">
        <f t="shared" ref="M1925:M1929" si="254">IF(A1925="","",I1925*K1925*L1925)</f>
        <v>10884.547640000001</v>
      </c>
      <c r="N1925" s="273"/>
    </row>
    <row r="1926" spans="1:14" ht="12.75" customHeight="1" x14ac:dyDescent="0.25">
      <c r="A1926" s="393"/>
      <c r="B1926" s="271"/>
      <c r="C1926" s="271"/>
      <c r="D1926" s="271"/>
      <c r="E1926" s="271"/>
      <c r="F1926" s="271"/>
      <c r="G1926" s="273"/>
      <c r="H1926" s="29" t="str">
        <f>IF(A1926="","",VLOOKUP(A1926,AA_Cuadrillas,4,FALSE))</f>
        <v/>
      </c>
      <c r="I1926" s="394" t="str">
        <f>IF(A1926="","",VLOOKUP(A1926,AA_Cuadrillas,5,FALSE))</f>
        <v/>
      </c>
      <c r="J1926" s="273"/>
      <c r="K1926" s="9" t="str">
        <f>IF(A1926="","",F.P!$I$2)</f>
        <v/>
      </c>
      <c r="L1926" s="9"/>
      <c r="M1926" s="394" t="str">
        <f t="shared" si="254"/>
        <v/>
      </c>
      <c r="N1926" s="273"/>
    </row>
    <row r="1927" spans="1:14" ht="12.75" customHeight="1" x14ac:dyDescent="0.25">
      <c r="A1927" s="393"/>
      <c r="B1927" s="271"/>
      <c r="C1927" s="271"/>
      <c r="D1927" s="271"/>
      <c r="E1927" s="271"/>
      <c r="F1927" s="271"/>
      <c r="G1927" s="273"/>
      <c r="H1927" s="29" t="str">
        <f>IF(A1927="","",VLOOKUP(A1927,AA_Cuadrillas,4,FALSE))</f>
        <v/>
      </c>
      <c r="I1927" s="394" t="str">
        <f>IF(A1927="","",VLOOKUP(A1927,AA_Cuadrillas,5,FALSE))</f>
        <v/>
      </c>
      <c r="J1927" s="273"/>
      <c r="K1927" s="9" t="str">
        <f>IF(A1927="","",F.P!$I$2)</f>
        <v/>
      </c>
      <c r="L1927" s="37"/>
      <c r="M1927" s="394" t="str">
        <f t="shared" si="254"/>
        <v/>
      </c>
      <c r="N1927" s="273"/>
    </row>
    <row r="1928" spans="1:14" ht="12.75" customHeight="1" x14ac:dyDescent="0.25">
      <c r="A1928" s="393"/>
      <c r="B1928" s="271"/>
      <c r="C1928" s="271"/>
      <c r="D1928" s="271"/>
      <c r="E1928" s="271"/>
      <c r="F1928" s="271"/>
      <c r="G1928" s="273"/>
      <c r="H1928" s="29" t="str">
        <f>IF(A1928="","",VLOOKUP(A1928,AA_Cuadrillas,4,FALSE))</f>
        <v/>
      </c>
      <c r="I1928" s="394" t="str">
        <f>IF(A1928="","",VLOOKUP(A1928,AA_Cuadrillas,5,FALSE))</f>
        <v/>
      </c>
      <c r="J1928" s="273"/>
      <c r="K1928" s="9" t="str">
        <f>IF(A1928="","",F.P!$I$2)</f>
        <v/>
      </c>
      <c r="L1928" s="37"/>
      <c r="M1928" s="394" t="str">
        <f t="shared" si="254"/>
        <v/>
      </c>
      <c r="N1928" s="273"/>
    </row>
    <row r="1929" spans="1:14" ht="12.75" customHeight="1" x14ac:dyDescent="0.25">
      <c r="A1929" s="393"/>
      <c r="B1929" s="271"/>
      <c r="C1929" s="271"/>
      <c r="D1929" s="271"/>
      <c r="E1929" s="271"/>
      <c r="F1929" s="271"/>
      <c r="G1929" s="273"/>
      <c r="H1929" s="29" t="str">
        <f>IF(A1929="","",VLOOKUP(A1929,AA_Cuadrillas,4,FALSE))</f>
        <v/>
      </c>
      <c r="I1929" s="394" t="str">
        <f>IF(A1929="","",VLOOKUP(A1929,AA_Cuadrillas,5,FALSE))</f>
        <v/>
      </c>
      <c r="J1929" s="273"/>
      <c r="K1929" s="9" t="str">
        <f>IF(A1929="","",F.P!$I$2)</f>
        <v/>
      </c>
      <c r="L1929" s="37"/>
      <c r="M1929" s="394" t="str">
        <f t="shared" si="254"/>
        <v/>
      </c>
      <c r="N1929" s="273"/>
    </row>
    <row r="1930" spans="1:14" ht="12.75" customHeight="1" x14ac:dyDescent="0.25">
      <c r="A1930" s="4"/>
      <c r="B1930" s="4"/>
      <c r="C1930" s="4"/>
      <c r="D1930" s="4"/>
      <c r="E1930" s="4"/>
      <c r="F1930" s="4"/>
      <c r="G1930" s="4"/>
      <c r="H1930" s="4"/>
      <c r="I1930" s="4"/>
      <c r="J1930" s="4"/>
      <c r="K1930" s="396" t="s">
        <v>444</v>
      </c>
      <c r="L1930" s="273"/>
      <c r="M1930" s="394">
        <f>SUM(M1925:N1929)</f>
        <v>10884.547640000001</v>
      </c>
      <c r="N1930" s="273"/>
    </row>
    <row r="1931" spans="1:14" ht="12.75" customHeight="1" x14ac:dyDescent="0.2"/>
    <row r="1932" spans="1:14" ht="12.75" customHeight="1" x14ac:dyDescent="0.2">
      <c r="A1932" s="407" t="s">
        <v>1065</v>
      </c>
      <c r="B1932" s="275"/>
      <c r="C1932" s="275"/>
      <c r="D1932" s="275"/>
      <c r="E1932" s="275"/>
      <c r="F1932" s="275"/>
      <c r="G1932" s="275"/>
      <c r="H1932" s="275"/>
      <c r="I1932" s="275"/>
      <c r="J1932" s="275"/>
      <c r="K1932" s="275"/>
      <c r="L1932" s="275"/>
      <c r="M1932" s="275"/>
      <c r="N1932" s="276"/>
    </row>
    <row r="1933" spans="1:14" ht="12.75" customHeight="1" x14ac:dyDescent="0.2">
      <c r="A1933" s="277"/>
      <c r="B1933" s="278"/>
      <c r="C1933" s="278"/>
      <c r="D1933" s="278"/>
      <c r="E1933" s="278"/>
      <c r="F1933" s="278"/>
      <c r="G1933" s="278"/>
      <c r="H1933" s="278"/>
      <c r="I1933" s="278"/>
      <c r="J1933" s="278"/>
      <c r="K1933" s="278"/>
      <c r="L1933" s="278"/>
      <c r="M1933" s="278"/>
      <c r="N1933" s="279"/>
    </row>
    <row r="1934" spans="1:14" ht="12.75" customHeight="1" x14ac:dyDescent="0.2">
      <c r="A1934" s="75"/>
      <c r="B1934" s="75"/>
      <c r="C1934" s="75"/>
      <c r="D1934" s="75"/>
      <c r="E1934" s="75"/>
      <c r="F1934" s="75"/>
      <c r="G1934" s="75"/>
      <c r="H1934" s="75"/>
      <c r="I1934" s="75"/>
      <c r="J1934" s="75"/>
      <c r="K1934" s="75"/>
      <c r="L1934" s="75"/>
      <c r="M1934" s="75"/>
      <c r="N1934" s="75"/>
    </row>
    <row r="1935" spans="1:14" ht="12.75" customHeight="1" x14ac:dyDescent="0.3">
      <c r="A1935" s="79" t="s">
        <v>658</v>
      </c>
      <c r="B1935" s="80" t="str">
        <f>A1932</f>
        <v>SUMINISTRO E INSTALACIÓN DE TAPÓN HEMBRA Ø6 EN HIERRO DUCTIL</v>
      </c>
      <c r="C1935" s="81" t="s">
        <v>916</v>
      </c>
      <c r="D1935" s="82" t="s">
        <v>999</v>
      </c>
      <c r="E1935" s="83" t="s">
        <v>445</v>
      </c>
      <c r="F1935" s="234">
        <f>(H1935+J1935+L1935+N1935)*1.3</f>
        <v>345187.40752860002</v>
      </c>
      <c r="G1935" s="83" t="s">
        <v>607</v>
      </c>
      <c r="H1935" s="86">
        <f>M1945</f>
        <v>242000</v>
      </c>
      <c r="I1935" s="83" t="s">
        <v>918</v>
      </c>
      <c r="J1935" s="86">
        <f>M1954</f>
        <v>544.22738200000003</v>
      </c>
      <c r="K1935" s="83" t="s">
        <v>609</v>
      </c>
      <c r="L1935" s="86">
        <f>M1963</f>
        <v>12100</v>
      </c>
      <c r="M1935" s="83" t="s">
        <v>610</v>
      </c>
      <c r="N1935" s="86">
        <f>M1972</f>
        <v>10884.547640000001</v>
      </c>
    </row>
    <row r="1936" spans="1:14" ht="12.75" customHeight="1" x14ac:dyDescent="0.25">
      <c r="A1936" s="87"/>
      <c r="B1936" s="87"/>
      <c r="C1936" s="87"/>
      <c r="D1936" s="87"/>
      <c r="E1936" s="87"/>
      <c r="F1936" s="87"/>
      <c r="G1936" s="87"/>
      <c r="J1936" s="87"/>
      <c r="K1936" s="215" t="s">
        <v>3217</v>
      </c>
      <c r="L1936" s="215">
        <f>+F1935*presup!$O$5</f>
        <v>448743.62978718005</v>
      </c>
      <c r="M1936" s="87"/>
      <c r="N1936" s="87"/>
    </row>
    <row r="1937" spans="1:14" ht="12.75" customHeight="1" x14ac:dyDescent="0.2">
      <c r="A1937" s="398" t="s">
        <v>919</v>
      </c>
      <c r="B1937" s="271"/>
      <c r="C1937" s="271"/>
      <c r="D1937" s="271"/>
      <c r="E1937" s="271"/>
      <c r="F1937" s="271"/>
      <c r="G1937" s="271"/>
      <c r="H1937" s="271"/>
      <c r="I1937" s="271"/>
      <c r="J1937" s="271"/>
      <c r="K1937" s="271"/>
      <c r="L1937" s="271"/>
      <c r="M1937" s="271"/>
      <c r="N1937" s="273"/>
    </row>
    <row r="1938" spans="1:14" ht="12.75" customHeight="1" x14ac:dyDescent="0.2">
      <c r="A1938" s="396" t="s">
        <v>76</v>
      </c>
      <c r="B1938" s="271"/>
      <c r="C1938" s="271"/>
      <c r="D1938" s="271"/>
      <c r="E1938" s="271"/>
      <c r="F1938" s="271"/>
      <c r="G1938" s="273"/>
      <c r="H1938" s="88" t="s">
        <v>77</v>
      </c>
      <c r="I1938" s="399" t="s">
        <v>920</v>
      </c>
      <c r="J1938" s="273"/>
      <c r="K1938" s="399" t="s">
        <v>453</v>
      </c>
      <c r="L1938" s="273"/>
      <c r="M1938" s="399" t="s">
        <v>921</v>
      </c>
      <c r="N1938" s="273"/>
    </row>
    <row r="1939" spans="1:14" ht="12.75" customHeight="1" x14ac:dyDescent="0.2">
      <c r="A1939" s="403" t="s">
        <v>1066</v>
      </c>
      <c r="B1939" s="271"/>
      <c r="C1939" s="271"/>
      <c r="D1939" s="271"/>
      <c r="E1939" s="271"/>
      <c r="F1939" s="271"/>
      <c r="G1939" s="273"/>
      <c r="H1939" s="29" t="str">
        <f t="shared" ref="H1939:H1944" si="255">IF(A1939="","",VLOOKUP(A1939,AA_Materiales,7,FALSE))</f>
        <v>Unidad</v>
      </c>
      <c r="I1939" s="394">
        <f t="shared" ref="I1939:I1944" si="256">IF(A1939="","",VLOOKUP(A1939,AA_Materiales,8,FALSE))</f>
        <v>242000</v>
      </c>
      <c r="J1939" s="273"/>
      <c r="K1939" s="395">
        <v>1</v>
      </c>
      <c r="L1939" s="273"/>
      <c r="M1939" s="394">
        <f t="shared" ref="M1939:M1944" si="257">IF(A1939="","",I1939*K1939)</f>
        <v>242000</v>
      </c>
      <c r="N1939" s="273"/>
    </row>
    <row r="1940" spans="1:14" ht="12.75" customHeight="1" x14ac:dyDescent="0.2">
      <c r="A1940" s="403"/>
      <c r="B1940" s="271"/>
      <c r="C1940" s="271"/>
      <c r="D1940" s="271"/>
      <c r="E1940" s="271"/>
      <c r="F1940" s="271"/>
      <c r="G1940" s="273"/>
      <c r="H1940" s="29" t="str">
        <f t="shared" si="255"/>
        <v/>
      </c>
      <c r="I1940" s="394" t="str">
        <f t="shared" si="256"/>
        <v/>
      </c>
      <c r="J1940" s="273"/>
      <c r="K1940" s="395"/>
      <c r="L1940" s="273"/>
      <c r="M1940" s="394" t="str">
        <f t="shared" si="257"/>
        <v/>
      </c>
      <c r="N1940" s="273"/>
    </row>
    <row r="1941" spans="1:14" ht="12.75" customHeight="1" x14ac:dyDescent="0.2">
      <c r="A1941" s="403"/>
      <c r="B1941" s="271"/>
      <c r="C1941" s="271"/>
      <c r="D1941" s="271"/>
      <c r="E1941" s="271"/>
      <c r="F1941" s="271"/>
      <c r="G1941" s="273"/>
      <c r="H1941" s="29" t="str">
        <f t="shared" si="255"/>
        <v/>
      </c>
      <c r="I1941" s="394" t="str">
        <f t="shared" si="256"/>
        <v/>
      </c>
      <c r="J1941" s="273"/>
      <c r="K1941" s="395"/>
      <c r="L1941" s="273"/>
      <c r="M1941" s="394" t="str">
        <f t="shared" si="257"/>
        <v/>
      </c>
      <c r="N1941" s="273"/>
    </row>
    <row r="1942" spans="1:14" ht="12.75" customHeight="1" x14ac:dyDescent="0.2">
      <c r="A1942" s="403"/>
      <c r="B1942" s="271"/>
      <c r="C1942" s="271"/>
      <c r="D1942" s="271"/>
      <c r="E1942" s="271"/>
      <c r="F1942" s="271"/>
      <c r="G1942" s="273"/>
      <c r="H1942" s="29" t="str">
        <f t="shared" si="255"/>
        <v/>
      </c>
      <c r="I1942" s="394" t="str">
        <f t="shared" si="256"/>
        <v/>
      </c>
      <c r="J1942" s="273"/>
      <c r="K1942" s="395"/>
      <c r="L1942" s="273"/>
      <c r="M1942" s="394" t="str">
        <f t="shared" si="257"/>
        <v/>
      </c>
      <c r="N1942" s="273"/>
    </row>
    <row r="1943" spans="1:14" ht="12.75" customHeight="1" x14ac:dyDescent="0.2">
      <c r="A1943" s="403"/>
      <c r="B1943" s="271"/>
      <c r="C1943" s="271"/>
      <c r="D1943" s="271"/>
      <c r="E1943" s="271"/>
      <c r="F1943" s="271"/>
      <c r="G1943" s="273"/>
      <c r="H1943" s="29" t="str">
        <f t="shared" si="255"/>
        <v/>
      </c>
      <c r="I1943" s="394" t="str">
        <f t="shared" si="256"/>
        <v/>
      </c>
      <c r="J1943" s="273"/>
      <c r="K1943" s="395"/>
      <c r="L1943" s="273"/>
      <c r="M1943" s="394" t="str">
        <f t="shared" si="257"/>
        <v/>
      </c>
      <c r="N1943" s="273"/>
    </row>
    <row r="1944" spans="1:14" ht="12.75" customHeight="1" x14ac:dyDescent="0.2">
      <c r="A1944" s="403"/>
      <c r="B1944" s="271"/>
      <c r="C1944" s="271"/>
      <c r="D1944" s="271"/>
      <c r="E1944" s="271"/>
      <c r="F1944" s="271"/>
      <c r="G1944" s="273"/>
      <c r="H1944" s="29" t="str">
        <f t="shared" si="255"/>
        <v/>
      </c>
      <c r="I1944" s="394" t="str">
        <f t="shared" si="256"/>
        <v/>
      </c>
      <c r="J1944" s="273"/>
      <c r="K1944" s="395"/>
      <c r="L1944" s="273"/>
      <c r="M1944" s="394" t="str">
        <f t="shared" si="257"/>
        <v/>
      </c>
      <c r="N1944" s="273"/>
    </row>
    <row r="1945" spans="1:14" ht="12.75" customHeight="1" x14ac:dyDescent="0.25">
      <c r="A1945" s="4"/>
      <c r="B1945" s="4"/>
      <c r="C1945" s="4"/>
      <c r="D1945" s="4"/>
      <c r="E1945" s="4"/>
      <c r="F1945" s="4"/>
      <c r="G1945" s="4"/>
      <c r="H1945" s="4"/>
      <c r="I1945" s="4"/>
      <c r="J1945" s="4"/>
      <c r="K1945" s="396" t="s">
        <v>444</v>
      </c>
      <c r="L1945" s="273"/>
      <c r="M1945" s="394">
        <f>SUM(M1939:N1944)</f>
        <v>242000</v>
      </c>
      <c r="N1945" s="273"/>
    </row>
    <row r="1946" spans="1:14" ht="12.75" customHeight="1" x14ac:dyDescent="0.25">
      <c r="A1946" s="4"/>
      <c r="B1946" s="4"/>
      <c r="C1946" s="4"/>
      <c r="D1946" s="4"/>
      <c r="E1946" s="4"/>
      <c r="F1946" s="4"/>
      <c r="G1946" s="4"/>
      <c r="H1946" s="4"/>
      <c r="I1946" s="4"/>
      <c r="J1946" s="4"/>
      <c r="K1946" s="4"/>
      <c r="L1946" s="4"/>
      <c r="M1946" s="4"/>
      <c r="N1946" s="4"/>
    </row>
    <row r="1947" spans="1:14" ht="12.75" customHeight="1" x14ac:dyDescent="0.2">
      <c r="A1947" s="398" t="s">
        <v>926</v>
      </c>
      <c r="B1947" s="271"/>
      <c r="C1947" s="271"/>
      <c r="D1947" s="271"/>
      <c r="E1947" s="271"/>
      <c r="F1947" s="271"/>
      <c r="G1947" s="271"/>
      <c r="H1947" s="271"/>
      <c r="I1947" s="271"/>
      <c r="J1947" s="271"/>
      <c r="K1947" s="271"/>
      <c r="L1947" s="271"/>
      <c r="M1947" s="271"/>
      <c r="N1947" s="273"/>
    </row>
    <row r="1948" spans="1:14" ht="12.75" customHeight="1" x14ac:dyDescent="0.2">
      <c r="A1948" s="396" t="s">
        <v>76</v>
      </c>
      <c r="B1948" s="271"/>
      <c r="C1948" s="271"/>
      <c r="D1948" s="271"/>
      <c r="E1948" s="271"/>
      <c r="F1948" s="271"/>
      <c r="G1948" s="273"/>
      <c r="H1948" s="88" t="s">
        <v>77</v>
      </c>
      <c r="I1948" s="399" t="s">
        <v>920</v>
      </c>
      <c r="J1948" s="273"/>
      <c r="K1948" s="399" t="s">
        <v>453</v>
      </c>
      <c r="L1948" s="273"/>
      <c r="M1948" s="399" t="s">
        <v>921</v>
      </c>
      <c r="N1948" s="273"/>
    </row>
    <row r="1949" spans="1:14" ht="12.75" customHeight="1" x14ac:dyDescent="0.2">
      <c r="A1949" s="400" t="s">
        <v>927</v>
      </c>
      <c r="B1949" s="271"/>
      <c r="C1949" s="271"/>
      <c r="D1949" s="271"/>
      <c r="E1949" s="271"/>
      <c r="F1949" s="271"/>
      <c r="G1949" s="273"/>
      <c r="H1949" s="29" t="str">
        <f>IF(A1949="","",VLOOKUP(A1949,AA_Equipos,7,FALSE))</f>
        <v>% M.O.</v>
      </c>
      <c r="I1949" s="394">
        <f>+M1972</f>
        <v>10884.547640000001</v>
      </c>
      <c r="J1949" s="273"/>
      <c r="K1949" s="404">
        <v>0.05</v>
      </c>
      <c r="L1949" s="273"/>
      <c r="M1949" s="394">
        <f t="shared" ref="M1949:M1953" si="258">IF(A1949="","",I1949*K1949)</f>
        <v>544.22738200000003</v>
      </c>
      <c r="N1949" s="273"/>
    </row>
    <row r="1950" spans="1:14" ht="12.75" customHeight="1" x14ac:dyDescent="0.2">
      <c r="A1950" s="403"/>
      <c r="B1950" s="271"/>
      <c r="C1950" s="271"/>
      <c r="D1950" s="271"/>
      <c r="E1950" s="271"/>
      <c r="F1950" s="271"/>
      <c r="G1950" s="273"/>
      <c r="H1950" s="29" t="str">
        <f>IF(A1950="","",VLOOKUP(A1950,AA_Equipos,7,FALSE))</f>
        <v/>
      </c>
      <c r="I1950" s="394" t="str">
        <f>IF(A1950="","",VLOOKUP(A1950,AA_Equipos,8,FALSE))</f>
        <v/>
      </c>
      <c r="J1950" s="273"/>
      <c r="K1950" s="402"/>
      <c r="L1950" s="273"/>
      <c r="M1950" s="394" t="str">
        <f t="shared" si="258"/>
        <v/>
      </c>
      <c r="N1950" s="273"/>
    </row>
    <row r="1951" spans="1:14" ht="12.75" customHeight="1" x14ac:dyDescent="0.2">
      <c r="A1951" s="400"/>
      <c r="B1951" s="271"/>
      <c r="C1951" s="271"/>
      <c r="D1951" s="271"/>
      <c r="E1951" s="271"/>
      <c r="F1951" s="271"/>
      <c r="G1951" s="273"/>
      <c r="H1951" s="29" t="str">
        <f>IF(A1951="","",VLOOKUP(A1951,AA_Equipos,7,FALSE))</f>
        <v/>
      </c>
      <c r="I1951" s="394" t="str">
        <f>IF(A1951="","",VLOOKUP(A1951,AA_Equipos,8,FALSE))</f>
        <v/>
      </c>
      <c r="J1951" s="273"/>
      <c r="K1951" s="401"/>
      <c r="L1951" s="273"/>
      <c r="M1951" s="394" t="str">
        <f t="shared" si="258"/>
        <v/>
      </c>
      <c r="N1951" s="273"/>
    </row>
    <row r="1952" spans="1:14" ht="12.75" customHeight="1" x14ac:dyDescent="0.2">
      <c r="A1952" s="400"/>
      <c r="B1952" s="271"/>
      <c r="C1952" s="271"/>
      <c r="D1952" s="271"/>
      <c r="E1952" s="271"/>
      <c r="F1952" s="271"/>
      <c r="G1952" s="273"/>
      <c r="H1952" s="29" t="str">
        <f>IF(A1952="","",VLOOKUP(A1952,AA_Equipos,7,FALSE))</f>
        <v/>
      </c>
      <c r="I1952" s="394" t="str">
        <f>IF(A1952="","",VLOOKUP(A1952,AA_Equipos,8,FALSE))</f>
        <v/>
      </c>
      <c r="J1952" s="273"/>
      <c r="K1952" s="395"/>
      <c r="L1952" s="273"/>
      <c r="M1952" s="394" t="str">
        <f t="shared" si="258"/>
        <v/>
      </c>
      <c r="N1952" s="273"/>
    </row>
    <row r="1953" spans="1:14" ht="12.75" customHeight="1" x14ac:dyDescent="0.2">
      <c r="A1953" s="400"/>
      <c r="B1953" s="271"/>
      <c r="C1953" s="271"/>
      <c r="D1953" s="271"/>
      <c r="E1953" s="271"/>
      <c r="F1953" s="271"/>
      <c r="G1953" s="273"/>
      <c r="H1953" s="29" t="str">
        <f>IF(A1953="","",VLOOKUP(A1953,AA_Equipos,7,FALSE))</f>
        <v/>
      </c>
      <c r="I1953" s="394" t="str">
        <f>IF(A1953="","",VLOOKUP(A1953,AA_Equipos,8,FALSE))</f>
        <v/>
      </c>
      <c r="J1953" s="273"/>
      <c r="K1953" s="395"/>
      <c r="L1953" s="273"/>
      <c r="M1953" s="394" t="str">
        <f t="shared" si="258"/>
        <v/>
      </c>
      <c r="N1953" s="273"/>
    </row>
    <row r="1954" spans="1:14" ht="12.75" customHeight="1" x14ac:dyDescent="0.25">
      <c r="A1954" s="4"/>
      <c r="B1954" s="4"/>
      <c r="C1954" s="4"/>
      <c r="D1954" s="4"/>
      <c r="E1954" s="4"/>
      <c r="F1954" s="4"/>
      <c r="G1954" s="4"/>
      <c r="H1954" s="4"/>
      <c r="I1954" s="4"/>
      <c r="J1954" s="4"/>
      <c r="K1954" s="396" t="s">
        <v>444</v>
      </c>
      <c r="L1954" s="273"/>
      <c r="M1954" s="394">
        <f>SUM(M1949:N1953)</f>
        <v>544.22738200000003</v>
      </c>
      <c r="N1954" s="273"/>
    </row>
    <row r="1955" spans="1:14" ht="12.75" customHeight="1" x14ac:dyDescent="0.25">
      <c r="A1955" s="4"/>
      <c r="B1955" s="4"/>
      <c r="C1955" s="4"/>
      <c r="D1955" s="4"/>
      <c r="E1955" s="4"/>
      <c r="F1955" s="4"/>
      <c r="G1955" s="4"/>
      <c r="H1955" s="4"/>
      <c r="I1955" s="4"/>
      <c r="J1955" s="4"/>
      <c r="K1955" s="4"/>
      <c r="L1955" s="4"/>
      <c r="M1955" s="4"/>
      <c r="N1955" s="4"/>
    </row>
    <row r="1956" spans="1:14" ht="12.75" customHeight="1" x14ac:dyDescent="0.2">
      <c r="A1956" s="398" t="s">
        <v>929</v>
      </c>
      <c r="B1956" s="271"/>
      <c r="C1956" s="271"/>
      <c r="D1956" s="271"/>
      <c r="E1956" s="271"/>
      <c r="F1956" s="271"/>
      <c r="G1956" s="271"/>
      <c r="H1956" s="271"/>
      <c r="I1956" s="271"/>
      <c r="J1956" s="271"/>
      <c r="K1956" s="271"/>
      <c r="L1956" s="271"/>
      <c r="M1956" s="271"/>
      <c r="N1956" s="273"/>
    </row>
    <row r="1957" spans="1:14" ht="12.75" customHeight="1" x14ac:dyDescent="0.2">
      <c r="A1957" s="396" t="s">
        <v>76</v>
      </c>
      <c r="B1957" s="271"/>
      <c r="C1957" s="271"/>
      <c r="D1957" s="271"/>
      <c r="E1957" s="271"/>
      <c r="F1957" s="271"/>
      <c r="G1957" s="273"/>
      <c r="H1957" s="88" t="s">
        <v>77</v>
      </c>
      <c r="I1957" s="399" t="s">
        <v>920</v>
      </c>
      <c r="J1957" s="273"/>
      <c r="K1957" s="399" t="s">
        <v>453</v>
      </c>
      <c r="L1957" s="273"/>
      <c r="M1957" s="399" t="s">
        <v>921</v>
      </c>
      <c r="N1957" s="273"/>
    </row>
    <row r="1958" spans="1:14" ht="12.75" customHeight="1" x14ac:dyDescent="0.2">
      <c r="A1958" s="400" t="s">
        <v>966</v>
      </c>
      <c r="B1958" s="271"/>
      <c r="C1958" s="271"/>
      <c r="D1958" s="271"/>
      <c r="E1958" s="271"/>
      <c r="F1958" s="271"/>
      <c r="G1958" s="273"/>
      <c r="H1958" s="29" t="s">
        <v>950</v>
      </c>
      <c r="I1958" s="394">
        <f>+M1945</f>
        <v>242000</v>
      </c>
      <c r="J1958" s="273"/>
      <c r="K1958" s="404">
        <v>0.05</v>
      </c>
      <c r="L1958" s="273"/>
      <c r="M1958" s="394">
        <f t="shared" ref="M1958:M1962" si="259">IF(A1958="","",I1958*K1958)</f>
        <v>12100</v>
      </c>
      <c r="N1958" s="273"/>
    </row>
    <row r="1959" spans="1:14" ht="12.75" customHeight="1" x14ac:dyDescent="0.2">
      <c r="A1959" s="403"/>
      <c r="B1959" s="271"/>
      <c r="C1959" s="271"/>
      <c r="D1959" s="271"/>
      <c r="E1959" s="271"/>
      <c r="F1959" s="271"/>
      <c r="G1959" s="273"/>
      <c r="H1959" s="29"/>
      <c r="I1959" s="394"/>
      <c r="J1959" s="273"/>
      <c r="K1959" s="404"/>
      <c r="L1959" s="273"/>
      <c r="M1959" s="394" t="str">
        <f t="shared" si="259"/>
        <v/>
      </c>
      <c r="N1959" s="273"/>
    </row>
    <row r="1960" spans="1:14" ht="12.75" customHeight="1" x14ac:dyDescent="0.2">
      <c r="A1960" s="400"/>
      <c r="B1960" s="271"/>
      <c r="C1960" s="271"/>
      <c r="D1960" s="271"/>
      <c r="E1960" s="271"/>
      <c r="F1960" s="271"/>
      <c r="G1960" s="273"/>
      <c r="H1960" s="29"/>
      <c r="I1960" s="394"/>
      <c r="J1960" s="273"/>
      <c r="K1960" s="395"/>
      <c r="L1960" s="273"/>
      <c r="M1960" s="394" t="str">
        <f t="shared" si="259"/>
        <v/>
      </c>
      <c r="N1960" s="273"/>
    </row>
    <row r="1961" spans="1:14" ht="12.75" customHeight="1" x14ac:dyDescent="0.2">
      <c r="A1961" s="400"/>
      <c r="B1961" s="271"/>
      <c r="C1961" s="271"/>
      <c r="D1961" s="271"/>
      <c r="E1961" s="271"/>
      <c r="F1961" s="271"/>
      <c r="G1961" s="273"/>
      <c r="H1961" s="29"/>
      <c r="I1961" s="394"/>
      <c r="J1961" s="273"/>
      <c r="K1961" s="395"/>
      <c r="L1961" s="273"/>
      <c r="M1961" s="394" t="str">
        <f t="shared" si="259"/>
        <v/>
      </c>
      <c r="N1961" s="273"/>
    </row>
    <row r="1962" spans="1:14" ht="12.75" customHeight="1" x14ac:dyDescent="0.2">
      <c r="A1962" s="400"/>
      <c r="B1962" s="271"/>
      <c r="C1962" s="271"/>
      <c r="D1962" s="271"/>
      <c r="E1962" s="271"/>
      <c r="F1962" s="271"/>
      <c r="G1962" s="273"/>
      <c r="H1962" s="29"/>
      <c r="I1962" s="394"/>
      <c r="J1962" s="273"/>
      <c r="K1962" s="395"/>
      <c r="L1962" s="273"/>
      <c r="M1962" s="394" t="str">
        <f t="shared" si="259"/>
        <v/>
      </c>
      <c r="N1962" s="273"/>
    </row>
    <row r="1963" spans="1:14" ht="12.75" customHeight="1" x14ac:dyDescent="0.25">
      <c r="A1963" s="4"/>
      <c r="B1963" s="4"/>
      <c r="C1963" s="4"/>
      <c r="D1963" s="4"/>
      <c r="E1963" s="4"/>
      <c r="F1963" s="4"/>
      <c r="G1963" s="4"/>
      <c r="H1963" s="4"/>
      <c r="I1963" s="4"/>
      <c r="J1963" s="4"/>
      <c r="K1963" s="396" t="s">
        <v>444</v>
      </c>
      <c r="L1963" s="273"/>
      <c r="M1963" s="394">
        <f>SUM(M1958:N1962)</f>
        <v>12100</v>
      </c>
      <c r="N1963" s="273"/>
    </row>
    <row r="1964" spans="1:14" ht="12.75" customHeight="1" x14ac:dyDescent="0.25">
      <c r="A1964" s="4"/>
      <c r="B1964" s="4"/>
      <c r="C1964" s="4"/>
      <c r="D1964" s="4"/>
      <c r="E1964" s="4"/>
      <c r="F1964" s="4"/>
      <c r="G1964" s="4"/>
      <c r="H1964" s="4"/>
      <c r="I1964" s="4"/>
      <c r="J1964" s="4"/>
      <c r="K1964" s="4"/>
      <c r="L1964" s="4"/>
      <c r="M1964" s="4"/>
      <c r="N1964" s="4"/>
    </row>
    <row r="1965" spans="1:14" ht="12.75" customHeight="1" x14ac:dyDescent="0.2">
      <c r="A1965" s="398" t="s">
        <v>931</v>
      </c>
      <c r="B1965" s="271"/>
      <c r="C1965" s="271"/>
      <c r="D1965" s="271"/>
      <c r="E1965" s="271"/>
      <c r="F1965" s="271"/>
      <c r="G1965" s="271"/>
      <c r="H1965" s="271"/>
      <c r="I1965" s="271"/>
      <c r="J1965" s="271"/>
      <c r="K1965" s="271"/>
      <c r="L1965" s="271"/>
      <c r="M1965" s="271"/>
      <c r="N1965" s="273"/>
    </row>
    <row r="1966" spans="1:14" ht="12.75" customHeight="1" x14ac:dyDescent="0.2">
      <c r="A1966" s="396" t="s">
        <v>76</v>
      </c>
      <c r="B1966" s="271"/>
      <c r="C1966" s="271"/>
      <c r="D1966" s="271"/>
      <c r="E1966" s="271"/>
      <c r="F1966" s="271"/>
      <c r="G1966" s="273"/>
      <c r="H1966" s="88" t="s">
        <v>77</v>
      </c>
      <c r="I1966" s="399" t="s">
        <v>920</v>
      </c>
      <c r="J1966" s="273"/>
      <c r="K1966" s="90" t="s">
        <v>514</v>
      </c>
      <c r="L1966" s="91" t="s">
        <v>932</v>
      </c>
      <c r="M1966" s="399" t="s">
        <v>921</v>
      </c>
      <c r="N1966" s="273"/>
    </row>
    <row r="1967" spans="1:14" ht="12.75" customHeight="1" x14ac:dyDescent="0.25">
      <c r="A1967" s="393" t="s">
        <v>986</v>
      </c>
      <c r="B1967" s="271"/>
      <c r="C1967" s="271"/>
      <c r="D1967" s="271"/>
      <c r="E1967" s="271"/>
      <c r="F1967" s="271"/>
      <c r="G1967" s="273"/>
      <c r="H1967" s="29" t="str">
        <f>IF(A1967="","",VLOOKUP(A1967,AA_Cuadrillas,4,FALSE))</f>
        <v>Cuadrilla</v>
      </c>
      <c r="I1967" s="394">
        <f>IF(A1967="","",VLOOKUP(A1967,AA_Cuadrillas,5,FALSE))</f>
        <v>186763</v>
      </c>
      <c r="J1967" s="273"/>
      <c r="K1967" s="9">
        <f>IF(A1967="","",F.P!$I$2)</f>
        <v>1.88</v>
      </c>
      <c r="L1967" s="97">
        <v>3.1E-2</v>
      </c>
      <c r="M1967" s="394">
        <f t="shared" ref="M1967:M1971" si="260">IF(A1967="","",I1967*K1967*L1967)</f>
        <v>10884.547640000001</v>
      </c>
      <c r="N1967" s="273"/>
    </row>
    <row r="1968" spans="1:14" ht="12.75" customHeight="1" x14ac:dyDescent="0.25">
      <c r="A1968" s="393"/>
      <c r="B1968" s="271"/>
      <c r="C1968" s="271"/>
      <c r="D1968" s="271"/>
      <c r="E1968" s="271"/>
      <c r="F1968" s="271"/>
      <c r="G1968" s="273"/>
      <c r="H1968" s="29" t="str">
        <f>IF(A1968="","",VLOOKUP(A1968,AA_Cuadrillas,4,FALSE))</f>
        <v/>
      </c>
      <c r="I1968" s="394" t="str">
        <f>IF(A1968="","",VLOOKUP(A1968,AA_Cuadrillas,5,FALSE))</f>
        <v/>
      </c>
      <c r="J1968" s="273"/>
      <c r="K1968" s="9" t="str">
        <f>IF(A1968="","",F.P!$I$2)</f>
        <v/>
      </c>
      <c r="L1968" s="9"/>
      <c r="M1968" s="394" t="str">
        <f t="shared" si="260"/>
        <v/>
      </c>
      <c r="N1968" s="273"/>
    </row>
    <row r="1969" spans="1:14" ht="12.75" customHeight="1" x14ac:dyDescent="0.25">
      <c r="A1969" s="393"/>
      <c r="B1969" s="271"/>
      <c r="C1969" s="271"/>
      <c r="D1969" s="271"/>
      <c r="E1969" s="271"/>
      <c r="F1969" s="271"/>
      <c r="G1969" s="273"/>
      <c r="H1969" s="29" t="str">
        <f>IF(A1969="","",VLOOKUP(A1969,AA_Cuadrillas,4,FALSE))</f>
        <v/>
      </c>
      <c r="I1969" s="394" t="str">
        <f>IF(A1969="","",VLOOKUP(A1969,AA_Cuadrillas,5,FALSE))</f>
        <v/>
      </c>
      <c r="J1969" s="273"/>
      <c r="K1969" s="9" t="str">
        <f>IF(A1969="","",F.P!$I$2)</f>
        <v/>
      </c>
      <c r="L1969" s="37"/>
      <c r="M1969" s="394" t="str">
        <f t="shared" si="260"/>
        <v/>
      </c>
      <c r="N1969" s="273"/>
    </row>
    <row r="1970" spans="1:14" ht="12.75" customHeight="1" x14ac:dyDescent="0.25">
      <c r="A1970" s="393"/>
      <c r="B1970" s="271"/>
      <c r="C1970" s="271"/>
      <c r="D1970" s="271"/>
      <c r="E1970" s="271"/>
      <c r="F1970" s="271"/>
      <c r="G1970" s="273"/>
      <c r="H1970" s="29" t="str">
        <f>IF(A1970="","",VLOOKUP(A1970,AA_Cuadrillas,4,FALSE))</f>
        <v/>
      </c>
      <c r="I1970" s="394" t="str">
        <f>IF(A1970="","",VLOOKUP(A1970,AA_Cuadrillas,5,FALSE))</f>
        <v/>
      </c>
      <c r="J1970" s="273"/>
      <c r="K1970" s="9" t="str">
        <f>IF(A1970="","",F.P!$I$2)</f>
        <v/>
      </c>
      <c r="L1970" s="37"/>
      <c r="M1970" s="394" t="str">
        <f t="shared" si="260"/>
        <v/>
      </c>
      <c r="N1970" s="273"/>
    </row>
    <row r="1971" spans="1:14" ht="12.75" customHeight="1" x14ac:dyDescent="0.25">
      <c r="A1971" s="393"/>
      <c r="B1971" s="271"/>
      <c r="C1971" s="271"/>
      <c r="D1971" s="271"/>
      <c r="E1971" s="271"/>
      <c r="F1971" s="271"/>
      <c r="G1971" s="273"/>
      <c r="H1971" s="29" t="str">
        <f>IF(A1971="","",VLOOKUP(A1971,AA_Cuadrillas,4,FALSE))</f>
        <v/>
      </c>
      <c r="I1971" s="394" t="str">
        <f>IF(A1971="","",VLOOKUP(A1971,AA_Cuadrillas,5,FALSE))</f>
        <v/>
      </c>
      <c r="J1971" s="273"/>
      <c r="K1971" s="9" t="str">
        <f>IF(A1971="","",F.P!$I$2)</f>
        <v/>
      </c>
      <c r="L1971" s="37"/>
      <c r="M1971" s="394" t="str">
        <f t="shared" si="260"/>
        <v/>
      </c>
      <c r="N1971" s="273"/>
    </row>
    <row r="1972" spans="1:14" ht="12.75" customHeight="1" x14ac:dyDescent="0.25">
      <c r="A1972" s="4"/>
      <c r="B1972" s="4"/>
      <c r="C1972" s="4"/>
      <c r="D1972" s="4"/>
      <c r="E1972" s="4"/>
      <c r="F1972" s="4"/>
      <c r="G1972" s="4"/>
      <c r="H1972" s="4"/>
      <c r="I1972" s="4"/>
      <c r="J1972" s="4"/>
      <c r="K1972" s="396" t="s">
        <v>444</v>
      </c>
      <c r="L1972" s="273"/>
      <c r="M1972" s="394">
        <f>SUM(M1967:N1971)</f>
        <v>10884.547640000001</v>
      </c>
      <c r="N1972" s="273"/>
    </row>
    <row r="1973" spans="1:14" ht="12.75" customHeight="1" x14ac:dyDescent="0.2"/>
    <row r="1974" spans="1:14" ht="12.75" customHeight="1" x14ac:dyDescent="0.2">
      <c r="A1974" s="407" t="s">
        <v>1067</v>
      </c>
      <c r="B1974" s="275"/>
      <c r="C1974" s="275"/>
      <c r="D1974" s="275"/>
      <c r="E1974" s="275"/>
      <c r="F1974" s="275"/>
      <c r="G1974" s="275"/>
      <c r="H1974" s="275"/>
      <c r="I1974" s="275"/>
      <c r="J1974" s="275"/>
      <c r="K1974" s="275"/>
      <c r="L1974" s="275"/>
      <c r="M1974" s="275"/>
      <c r="N1974" s="276"/>
    </row>
    <row r="1975" spans="1:14" ht="12.75" customHeight="1" x14ac:dyDescent="0.2">
      <c r="A1975" s="277"/>
      <c r="B1975" s="278"/>
      <c r="C1975" s="278"/>
      <c r="D1975" s="278"/>
      <c r="E1975" s="278"/>
      <c r="F1975" s="278"/>
      <c r="G1975" s="278"/>
      <c r="H1975" s="278"/>
      <c r="I1975" s="278"/>
      <c r="J1975" s="278"/>
      <c r="K1975" s="278"/>
      <c r="L1975" s="278"/>
      <c r="M1975" s="278"/>
      <c r="N1975" s="279"/>
    </row>
    <row r="1976" spans="1:14" ht="12.75" customHeight="1" x14ac:dyDescent="0.2">
      <c r="A1976" s="75"/>
      <c r="B1976" s="75"/>
      <c r="C1976" s="75"/>
      <c r="D1976" s="75"/>
      <c r="E1976" s="75"/>
      <c r="F1976" s="75"/>
      <c r="G1976" s="75"/>
      <c r="H1976" s="75"/>
      <c r="I1976" s="75"/>
      <c r="J1976" s="75"/>
      <c r="K1976" s="75"/>
      <c r="L1976" s="75"/>
      <c r="M1976" s="75"/>
      <c r="N1976" s="75"/>
    </row>
    <row r="1977" spans="1:14" ht="12.75" customHeight="1" x14ac:dyDescent="0.3">
      <c r="A1977" s="79" t="s">
        <v>659</v>
      </c>
      <c r="B1977" s="80" t="str">
        <f>A1974</f>
        <v>SUMINISTRO E INSTALACIÓN DE TAPÓN MACHO Ø4 EN HIERRO DUCTIL</v>
      </c>
      <c r="C1977" s="81" t="s">
        <v>916</v>
      </c>
      <c r="D1977" s="82" t="s">
        <v>999</v>
      </c>
      <c r="E1977" s="83" t="s">
        <v>445</v>
      </c>
      <c r="F1977" s="234">
        <f>(H1977+J1977+L1977+N1977)*1.3</f>
        <v>163642.40752860002</v>
      </c>
      <c r="G1977" s="83" t="s">
        <v>607</v>
      </c>
      <c r="H1977" s="86">
        <f>M1987</f>
        <v>109000</v>
      </c>
      <c r="I1977" s="83" t="s">
        <v>918</v>
      </c>
      <c r="J1977" s="86">
        <f>M1996</f>
        <v>544.22738200000003</v>
      </c>
      <c r="K1977" s="83" t="s">
        <v>609</v>
      </c>
      <c r="L1977" s="86">
        <f>M2005</f>
        <v>5450</v>
      </c>
      <c r="M1977" s="83" t="s">
        <v>610</v>
      </c>
      <c r="N1977" s="86">
        <f>M2014</f>
        <v>10884.547640000001</v>
      </c>
    </row>
    <row r="1978" spans="1:14" ht="12.75" customHeight="1" x14ac:dyDescent="0.25">
      <c r="A1978" s="87"/>
      <c r="B1978" s="87"/>
      <c r="C1978" s="87"/>
      <c r="D1978" s="87"/>
      <c r="E1978" s="87"/>
      <c r="F1978" s="87"/>
      <c r="G1978" s="87"/>
      <c r="J1978" s="87"/>
      <c r="K1978" s="215" t="s">
        <v>3217</v>
      </c>
      <c r="L1978" s="215">
        <f>+F1977*presup!$O$5</f>
        <v>212735.12978718002</v>
      </c>
      <c r="M1978" s="87"/>
      <c r="N1978" s="87"/>
    </row>
    <row r="1979" spans="1:14" ht="12.75" customHeight="1" x14ac:dyDescent="0.2">
      <c r="A1979" s="398" t="s">
        <v>919</v>
      </c>
      <c r="B1979" s="271"/>
      <c r="C1979" s="271"/>
      <c r="D1979" s="271"/>
      <c r="E1979" s="271"/>
      <c r="F1979" s="271"/>
      <c r="G1979" s="271"/>
      <c r="H1979" s="271"/>
      <c r="I1979" s="271"/>
      <c r="J1979" s="271"/>
      <c r="K1979" s="271"/>
      <c r="L1979" s="271"/>
      <c r="M1979" s="271"/>
      <c r="N1979" s="273"/>
    </row>
    <row r="1980" spans="1:14" ht="12.75" customHeight="1" x14ac:dyDescent="0.2">
      <c r="A1980" s="396" t="s">
        <v>76</v>
      </c>
      <c r="B1980" s="271"/>
      <c r="C1980" s="271"/>
      <c r="D1980" s="271"/>
      <c r="E1980" s="271"/>
      <c r="F1980" s="271"/>
      <c r="G1980" s="273"/>
      <c r="H1980" s="88" t="s">
        <v>77</v>
      </c>
      <c r="I1980" s="399" t="s">
        <v>920</v>
      </c>
      <c r="J1980" s="273"/>
      <c r="K1980" s="399" t="s">
        <v>453</v>
      </c>
      <c r="L1980" s="273"/>
      <c r="M1980" s="399" t="s">
        <v>921</v>
      </c>
      <c r="N1980" s="273"/>
    </row>
    <row r="1981" spans="1:14" ht="12.75" customHeight="1" x14ac:dyDescent="0.2">
      <c r="A1981" s="403" t="s">
        <v>1068</v>
      </c>
      <c r="B1981" s="271"/>
      <c r="C1981" s="271"/>
      <c r="D1981" s="271"/>
      <c r="E1981" s="271"/>
      <c r="F1981" s="271"/>
      <c r="G1981" s="273"/>
      <c r="H1981" s="29" t="str">
        <f t="shared" ref="H1981:H1986" si="261">IF(A1981="","",VLOOKUP(A1981,AA_Materiales,7,FALSE))</f>
        <v>Unidad</v>
      </c>
      <c r="I1981" s="394">
        <f t="shared" ref="I1981:I1986" si="262">IF(A1981="","",VLOOKUP(A1981,AA_Materiales,8,FALSE))</f>
        <v>109000</v>
      </c>
      <c r="J1981" s="273"/>
      <c r="K1981" s="395">
        <v>1</v>
      </c>
      <c r="L1981" s="273"/>
      <c r="M1981" s="394">
        <f t="shared" ref="M1981:M1986" si="263">IF(A1981="","",I1981*K1981)</f>
        <v>109000</v>
      </c>
      <c r="N1981" s="273"/>
    </row>
    <row r="1982" spans="1:14" ht="12.75" customHeight="1" x14ac:dyDescent="0.2">
      <c r="A1982" s="403"/>
      <c r="B1982" s="271"/>
      <c r="C1982" s="271"/>
      <c r="D1982" s="271"/>
      <c r="E1982" s="271"/>
      <c r="F1982" s="271"/>
      <c r="G1982" s="273"/>
      <c r="H1982" s="29" t="str">
        <f t="shared" si="261"/>
        <v/>
      </c>
      <c r="I1982" s="394" t="str">
        <f t="shared" si="262"/>
        <v/>
      </c>
      <c r="J1982" s="273"/>
      <c r="K1982" s="395"/>
      <c r="L1982" s="273"/>
      <c r="M1982" s="394" t="str">
        <f t="shared" si="263"/>
        <v/>
      </c>
      <c r="N1982" s="273"/>
    </row>
    <row r="1983" spans="1:14" ht="12.75" customHeight="1" x14ac:dyDescent="0.2">
      <c r="A1983" s="403"/>
      <c r="B1983" s="271"/>
      <c r="C1983" s="271"/>
      <c r="D1983" s="271"/>
      <c r="E1983" s="271"/>
      <c r="F1983" s="271"/>
      <c r="G1983" s="273"/>
      <c r="H1983" s="29" t="str">
        <f t="shared" si="261"/>
        <v/>
      </c>
      <c r="I1983" s="394" t="str">
        <f t="shared" si="262"/>
        <v/>
      </c>
      <c r="J1983" s="273"/>
      <c r="K1983" s="395"/>
      <c r="L1983" s="273"/>
      <c r="M1983" s="394" t="str">
        <f t="shared" si="263"/>
        <v/>
      </c>
      <c r="N1983" s="273"/>
    </row>
    <row r="1984" spans="1:14" ht="12.75" customHeight="1" x14ac:dyDescent="0.2">
      <c r="A1984" s="403"/>
      <c r="B1984" s="271"/>
      <c r="C1984" s="271"/>
      <c r="D1984" s="271"/>
      <c r="E1984" s="271"/>
      <c r="F1984" s="271"/>
      <c r="G1984" s="273"/>
      <c r="H1984" s="29" t="str">
        <f t="shared" si="261"/>
        <v/>
      </c>
      <c r="I1984" s="394" t="str">
        <f t="shared" si="262"/>
        <v/>
      </c>
      <c r="J1984" s="273"/>
      <c r="K1984" s="395"/>
      <c r="L1984" s="273"/>
      <c r="M1984" s="394" t="str">
        <f t="shared" si="263"/>
        <v/>
      </c>
      <c r="N1984" s="273"/>
    </row>
    <row r="1985" spans="1:14" ht="12.75" customHeight="1" x14ac:dyDescent="0.2">
      <c r="A1985" s="403"/>
      <c r="B1985" s="271"/>
      <c r="C1985" s="271"/>
      <c r="D1985" s="271"/>
      <c r="E1985" s="271"/>
      <c r="F1985" s="271"/>
      <c r="G1985" s="273"/>
      <c r="H1985" s="29" t="str">
        <f t="shared" si="261"/>
        <v/>
      </c>
      <c r="I1985" s="394" t="str">
        <f t="shared" si="262"/>
        <v/>
      </c>
      <c r="J1985" s="273"/>
      <c r="K1985" s="395"/>
      <c r="L1985" s="273"/>
      <c r="M1985" s="394" t="str">
        <f t="shared" si="263"/>
        <v/>
      </c>
      <c r="N1985" s="273"/>
    </row>
    <row r="1986" spans="1:14" ht="12.75" customHeight="1" x14ac:dyDescent="0.2">
      <c r="A1986" s="403"/>
      <c r="B1986" s="271"/>
      <c r="C1986" s="271"/>
      <c r="D1986" s="271"/>
      <c r="E1986" s="271"/>
      <c r="F1986" s="271"/>
      <c r="G1986" s="273"/>
      <c r="H1986" s="29" t="str">
        <f t="shared" si="261"/>
        <v/>
      </c>
      <c r="I1986" s="394" t="str">
        <f t="shared" si="262"/>
        <v/>
      </c>
      <c r="J1986" s="273"/>
      <c r="K1986" s="395"/>
      <c r="L1986" s="273"/>
      <c r="M1986" s="394" t="str">
        <f t="shared" si="263"/>
        <v/>
      </c>
      <c r="N1986" s="273"/>
    </row>
    <row r="1987" spans="1:14" ht="12.75" customHeight="1" x14ac:dyDescent="0.25">
      <c r="A1987" s="4"/>
      <c r="B1987" s="4"/>
      <c r="C1987" s="4"/>
      <c r="D1987" s="4"/>
      <c r="E1987" s="4"/>
      <c r="F1987" s="4"/>
      <c r="G1987" s="4"/>
      <c r="H1987" s="4"/>
      <c r="I1987" s="4"/>
      <c r="J1987" s="4"/>
      <c r="K1987" s="396" t="s">
        <v>444</v>
      </c>
      <c r="L1987" s="273"/>
      <c r="M1987" s="394">
        <f>SUM(M1981:N1986)</f>
        <v>109000</v>
      </c>
      <c r="N1987" s="273"/>
    </row>
    <row r="1988" spans="1:14" ht="12.75" customHeight="1" x14ac:dyDescent="0.25">
      <c r="A1988" s="4"/>
      <c r="B1988" s="4"/>
      <c r="C1988" s="4"/>
      <c r="D1988" s="4"/>
      <c r="E1988" s="4"/>
      <c r="F1988" s="4"/>
      <c r="G1988" s="4"/>
      <c r="H1988" s="4"/>
      <c r="I1988" s="4"/>
      <c r="J1988" s="4"/>
      <c r="K1988" s="4"/>
      <c r="L1988" s="4"/>
      <c r="M1988" s="4"/>
      <c r="N1988" s="4"/>
    </row>
    <row r="1989" spans="1:14" ht="12.75" customHeight="1" x14ac:dyDescent="0.2">
      <c r="A1989" s="398" t="s">
        <v>926</v>
      </c>
      <c r="B1989" s="271"/>
      <c r="C1989" s="271"/>
      <c r="D1989" s="271"/>
      <c r="E1989" s="271"/>
      <c r="F1989" s="271"/>
      <c r="G1989" s="271"/>
      <c r="H1989" s="271"/>
      <c r="I1989" s="271"/>
      <c r="J1989" s="271"/>
      <c r="K1989" s="271"/>
      <c r="L1989" s="271"/>
      <c r="M1989" s="271"/>
      <c r="N1989" s="273"/>
    </row>
    <row r="1990" spans="1:14" ht="12.75" customHeight="1" x14ac:dyDescent="0.2">
      <c r="A1990" s="396" t="s">
        <v>76</v>
      </c>
      <c r="B1990" s="271"/>
      <c r="C1990" s="271"/>
      <c r="D1990" s="271"/>
      <c r="E1990" s="271"/>
      <c r="F1990" s="271"/>
      <c r="G1990" s="273"/>
      <c r="H1990" s="88" t="s">
        <v>77</v>
      </c>
      <c r="I1990" s="399" t="s">
        <v>920</v>
      </c>
      <c r="J1990" s="273"/>
      <c r="K1990" s="399" t="s">
        <v>453</v>
      </c>
      <c r="L1990" s="273"/>
      <c r="M1990" s="399" t="s">
        <v>921</v>
      </c>
      <c r="N1990" s="273"/>
    </row>
    <row r="1991" spans="1:14" ht="12.75" customHeight="1" x14ac:dyDescent="0.2">
      <c r="A1991" s="400" t="s">
        <v>927</v>
      </c>
      <c r="B1991" s="271"/>
      <c r="C1991" s="271"/>
      <c r="D1991" s="271"/>
      <c r="E1991" s="271"/>
      <c r="F1991" s="271"/>
      <c r="G1991" s="273"/>
      <c r="H1991" s="29" t="str">
        <f>IF(A1991="","",VLOOKUP(A1991,AA_Equipos,7,FALSE))</f>
        <v>% M.O.</v>
      </c>
      <c r="I1991" s="394">
        <f>+M2014</f>
        <v>10884.547640000001</v>
      </c>
      <c r="J1991" s="273"/>
      <c r="K1991" s="404">
        <v>0.05</v>
      </c>
      <c r="L1991" s="273"/>
      <c r="M1991" s="394">
        <f t="shared" ref="M1991:M1995" si="264">IF(A1991="","",I1991*K1991)</f>
        <v>544.22738200000003</v>
      </c>
      <c r="N1991" s="273"/>
    </row>
    <row r="1992" spans="1:14" ht="12.75" customHeight="1" x14ac:dyDescent="0.2">
      <c r="A1992" s="403"/>
      <c r="B1992" s="271"/>
      <c r="C1992" s="271"/>
      <c r="D1992" s="271"/>
      <c r="E1992" s="271"/>
      <c r="F1992" s="271"/>
      <c r="G1992" s="273"/>
      <c r="H1992" s="29" t="str">
        <f>IF(A1992="","",VLOOKUP(A1992,AA_Equipos,7,FALSE))</f>
        <v/>
      </c>
      <c r="I1992" s="394" t="str">
        <f>IF(A1992="","",VLOOKUP(A1992,AA_Equipos,8,FALSE))</f>
        <v/>
      </c>
      <c r="J1992" s="273"/>
      <c r="K1992" s="402"/>
      <c r="L1992" s="273"/>
      <c r="M1992" s="394" t="str">
        <f t="shared" si="264"/>
        <v/>
      </c>
      <c r="N1992" s="273"/>
    </row>
    <row r="1993" spans="1:14" ht="12.75" customHeight="1" x14ac:dyDescent="0.2">
      <c r="A1993" s="400"/>
      <c r="B1993" s="271"/>
      <c r="C1993" s="271"/>
      <c r="D1993" s="271"/>
      <c r="E1993" s="271"/>
      <c r="F1993" s="271"/>
      <c r="G1993" s="273"/>
      <c r="H1993" s="29" t="str">
        <f>IF(A1993="","",VLOOKUP(A1993,AA_Equipos,7,FALSE))</f>
        <v/>
      </c>
      <c r="I1993" s="394" t="str">
        <f>IF(A1993="","",VLOOKUP(A1993,AA_Equipos,8,FALSE))</f>
        <v/>
      </c>
      <c r="J1993" s="273"/>
      <c r="K1993" s="401"/>
      <c r="L1993" s="273"/>
      <c r="M1993" s="394" t="str">
        <f t="shared" si="264"/>
        <v/>
      </c>
      <c r="N1993" s="273"/>
    </row>
    <row r="1994" spans="1:14" ht="12.75" customHeight="1" x14ac:dyDescent="0.2">
      <c r="A1994" s="400"/>
      <c r="B1994" s="271"/>
      <c r="C1994" s="271"/>
      <c r="D1994" s="271"/>
      <c r="E1994" s="271"/>
      <c r="F1994" s="271"/>
      <c r="G1994" s="273"/>
      <c r="H1994" s="29" t="str">
        <f>IF(A1994="","",VLOOKUP(A1994,AA_Equipos,7,FALSE))</f>
        <v/>
      </c>
      <c r="I1994" s="394" t="str">
        <f>IF(A1994="","",VLOOKUP(A1994,AA_Equipos,8,FALSE))</f>
        <v/>
      </c>
      <c r="J1994" s="273"/>
      <c r="K1994" s="395"/>
      <c r="L1994" s="273"/>
      <c r="M1994" s="394" t="str">
        <f t="shared" si="264"/>
        <v/>
      </c>
      <c r="N1994" s="273"/>
    </row>
    <row r="1995" spans="1:14" ht="12.75" customHeight="1" x14ac:dyDescent="0.2">
      <c r="A1995" s="400"/>
      <c r="B1995" s="271"/>
      <c r="C1995" s="271"/>
      <c r="D1995" s="271"/>
      <c r="E1995" s="271"/>
      <c r="F1995" s="271"/>
      <c r="G1995" s="273"/>
      <c r="H1995" s="29" t="str">
        <f>IF(A1995="","",VLOOKUP(A1995,AA_Equipos,7,FALSE))</f>
        <v/>
      </c>
      <c r="I1995" s="394" t="str">
        <f>IF(A1995="","",VLOOKUP(A1995,AA_Equipos,8,FALSE))</f>
        <v/>
      </c>
      <c r="J1995" s="273"/>
      <c r="K1995" s="395"/>
      <c r="L1995" s="273"/>
      <c r="M1995" s="394" t="str">
        <f t="shared" si="264"/>
        <v/>
      </c>
      <c r="N1995" s="273"/>
    </row>
    <row r="1996" spans="1:14" ht="12.75" customHeight="1" x14ac:dyDescent="0.25">
      <c r="A1996" s="4"/>
      <c r="B1996" s="4"/>
      <c r="C1996" s="4"/>
      <c r="D1996" s="4"/>
      <c r="E1996" s="4"/>
      <c r="F1996" s="4"/>
      <c r="G1996" s="4"/>
      <c r="H1996" s="4"/>
      <c r="I1996" s="4"/>
      <c r="J1996" s="4"/>
      <c r="K1996" s="396" t="s">
        <v>444</v>
      </c>
      <c r="L1996" s="273"/>
      <c r="M1996" s="394">
        <f>SUM(M1991:N1995)</f>
        <v>544.22738200000003</v>
      </c>
      <c r="N1996" s="273"/>
    </row>
    <row r="1997" spans="1:14" ht="12.75" customHeight="1" x14ac:dyDescent="0.25">
      <c r="A1997" s="4"/>
      <c r="B1997" s="4"/>
      <c r="C1997" s="4"/>
      <c r="D1997" s="4"/>
      <c r="E1997" s="4"/>
      <c r="F1997" s="4"/>
      <c r="G1997" s="4"/>
      <c r="H1997" s="4"/>
      <c r="I1997" s="4"/>
      <c r="J1997" s="4"/>
      <c r="K1997" s="4"/>
      <c r="L1997" s="4"/>
      <c r="M1997" s="4"/>
      <c r="N1997" s="4"/>
    </row>
    <row r="1998" spans="1:14" ht="12.75" customHeight="1" x14ac:dyDescent="0.2">
      <c r="A1998" s="398" t="s">
        <v>929</v>
      </c>
      <c r="B1998" s="271"/>
      <c r="C1998" s="271"/>
      <c r="D1998" s="271"/>
      <c r="E1998" s="271"/>
      <c r="F1998" s="271"/>
      <c r="G1998" s="271"/>
      <c r="H1998" s="271"/>
      <c r="I1998" s="271"/>
      <c r="J1998" s="271"/>
      <c r="K1998" s="271"/>
      <c r="L1998" s="271"/>
      <c r="M1998" s="271"/>
      <c r="N1998" s="273"/>
    </row>
    <row r="1999" spans="1:14" ht="12.75" customHeight="1" x14ac:dyDescent="0.2">
      <c r="A1999" s="396" t="s">
        <v>76</v>
      </c>
      <c r="B1999" s="271"/>
      <c r="C1999" s="271"/>
      <c r="D1999" s="271"/>
      <c r="E1999" s="271"/>
      <c r="F1999" s="271"/>
      <c r="G1999" s="273"/>
      <c r="H1999" s="88" t="s">
        <v>77</v>
      </c>
      <c r="I1999" s="399" t="s">
        <v>920</v>
      </c>
      <c r="J1999" s="273"/>
      <c r="K1999" s="399" t="s">
        <v>453</v>
      </c>
      <c r="L1999" s="273"/>
      <c r="M1999" s="399" t="s">
        <v>921</v>
      </c>
      <c r="N1999" s="273"/>
    </row>
    <row r="2000" spans="1:14" ht="12.75" customHeight="1" x14ac:dyDescent="0.2">
      <c r="A2000" s="400" t="s">
        <v>966</v>
      </c>
      <c r="B2000" s="271"/>
      <c r="C2000" s="271"/>
      <c r="D2000" s="271"/>
      <c r="E2000" s="271"/>
      <c r="F2000" s="271"/>
      <c r="G2000" s="273"/>
      <c r="H2000" s="29" t="s">
        <v>950</v>
      </c>
      <c r="I2000" s="394">
        <f>+M1987</f>
        <v>109000</v>
      </c>
      <c r="J2000" s="273"/>
      <c r="K2000" s="404">
        <v>0.05</v>
      </c>
      <c r="L2000" s="273"/>
      <c r="M2000" s="394">
        <f t="shared" ref="M2000:M2004" si="265">IF(A2000="","",I2000*K2000)</f>
        <v>5450</v>
      </c>
      <c r="N2000" s="273"/>
    </row>
    <row r="2001" spans="1:14" ht="12.75" customHeight="1" x14ac:dyDescent="0.2">
      <c r="A2001" s="403"/>
      <c r="B2001" s="271"/>
      <c r="C2001" s="271"/>
      <c r="D2001" s="271"/>
      <c r="E2001" s="271"/>
      <c r="F2001" s="271"/>
      <c r="G2001" s="273"/>
      <c r="H2001" s="29"/>
      <c r="I2001" s="394"/>
      <c r="J2001" s="273"/>
      <c r="K2001" s="404"/>
      <c r="L2001" s="273"/>
      <c r="M2001" s="394" t="str">
        <f t="shared" si="265"/>
        <v/>
      </c>
      <c r="N2001" s="273"/>
    </row>
    <row r="2002" spans="1:14" ht="12.75" customHeight="1" x14ac:dyDescent="0.2">
      <c r="A2002" s="400"/>
      <c r="B2002" s="271"/>
      <c r="C2002" s="271"/>
      <c r="D2002" s="271"/>
      <c r="E2002" s="271"/>
      <c r="F2002" s="271"/>
      <c r="G2002" s="273"/>
      <c r="H2002" s="29"/>
      <c r="I2002" s="394"/>
      <c r="J2002" s="273"/>
      <c r="K2002" s="395"/>
      <c r="L2002" s="273"/>
      <c r="M2002" s="394" t="str">
        <f t="shared" si="265"/>
        <v/>
      </c>
      <c r="N2002" s="273"/>
    </row>
    <row r="2003" spans="1:14" ht="12.75" customHeight="1" x14ac:dyDescent="0.2">
      <c r="A2003" s="400"/>
      <c r="B2003" s="271"/>
      <c r="C2003" s="271"/>
      <c r="D2003" s="271"/>
      <c r="E2003" s="271"/>
      <c r="F2003" s="271"/>
      <c r="G2003" s="273"/>
      <c r="H2003" s="29"/>
      <c r="I2003" s="394"/>
      <c r="J2003" s="273"/>
      <c r="K2003" s="395"/>
      <c r="L2003" s="273"/>
      <c r="M2003" s="394" t="str">
        <f t="shared" si="265"/>
        <v/>
      </c>
      <c r="N2003" s="273"/>
    </row>
    <row r="2004" spans="1:14" ht="12.75" customHeight="1" x14ac:dyDescent="0.2">
      <c r="A2004" s="400"/>
      <c r="B2004" s="271"/>
      <c r="C2004" s="271"/>
      <c r="D2004" s="271"/>
      <c r="E2004" s="271"/>
      <c r="F2004" s="271"/>
      <c r="G2004" s="273"/>
      <c r="H2004" s="29"/>
      <c r="I2004" s="394"/>
      <c r="J2004" s="273"/>
      <c r="K2004" s="395"/>
      <c r="L2004" s="273"/>
      <c r="M2004" s="394" t="str">
        <f t="shared" si="265"/>
        <v/>
      </c>
      <c r="N2004" s="273"/>
    </row>
    <row r="2005" spans="1:14" ht="12.75" customHeight="1" x14ac:dyDescent="0.25">
      <c r="A2005" s="4"/>
      <c r="B2005" s="4"/>
      <c r="C2005" s="4"/>
      <c r="D2005" s="4"/>
      <c r="E2005" s="4"/>
      <c r="F2005" s="4"/>
      <c r="G2005" s="4"/>
      <c r="H2005" s="4"/>
      <c r="I2005" s="4"/>
      <c r="J2005" s="4"/>
      <c r="K2005" s="396" t="s">
        <v>444</v>
      </c>
      <c r="L2005" s="273"/>
      <c r="M2005" s="394">
        <f>SUM(M2000:N2004)</f>
        <v>5450</v>
      </c>
      <c r="N2005" s="273"/>
    </row>
    <row r="2006" spans="1:14" ht="12.75" customHeight="1" x14ac:dyDescent="0.25">
      <c r="A2006" s="4"/>
      <c r="B2006" s="4"/>
      <c r="C2006" s="4"/>
      <c r="D2006" s="4"/>
      <c r="E2006" s="4"/>
      <c r="F2006" s="4"/>
      <c r="G2006" s="4"/>
      <c r="H2006" s="4"/>
      <c r="I2006" s="4"/>
      <c r="J2006" s="4"/>
      <c r="K2006" s="4"/>
      <c r="L2006" s="4"/>
      <c r="M2006" s="4"/>
      <c r="N2006" s="4"/>
    </row>
    <row r="2007" spans="1:14" ht="12.75" customHeight="1" x14ac:dyDescent="0.2">
      <c r="A2007" s="398" t="s">
        <v>931</v>
      </c>
      <c r="B2007" s="271"/>
      <c r="C2007" s="271"/>
      <c r="D2007" s="271"/>
      <c r="E2007" s="271"/>
      <c r="F2007" s="271"/>
      <c r="G2007" s="271"/>
      <c r="H2007" s="271"/>
      <c r="I2007" s="271"/>
      <c r="J2007" s="271"/>
      <c r="K2007" s="271"/>
      <c r="L2007" s="271"/>
      <c r="M2007" s="271"/>
      <c r="N2007" s="273"/>
    </row>
    <row r="2008" spans="1:14" ht="12.75" customHeight="1" x14ac:dyDescent="0.2">
      <c r="A2008" s="396" t="s">
        <v>76</v>
      </c>
      <c r="B2008" s="271"/>
      <c r="C2008" s="271"/>
      <c r="D2008" s="271"/>
      <c r="E2008" s="271"/>
      <c r="F2008" s="271"/>
      <c r="G2008" s="273"/>
      <c r="H2008" s="88" t="s">
        <v>77</v>
      </c>
      <c r="I2008" s="399" t="s">
        <v>920</v>
      </c>
      <c r="J2008" s="273"/>
      <c r="K2008" s="90" t="s">
        <v>514</v>
      </c>
      <c r="L2008" s="91" t="s">
        <v>932</v>
      </c>
      <c r="M2008" s="399" t="s">
        <v>921</v>
      </c>
      <c r="N2008" s="273"/>
    </row>
    <row r="2009" spans="1:14" ht="12.75" customHeight="1" x14ac:dyDescent="0.25">
      <c r="A2009" s="393" t="s">
        <v>986</v>
      </c>
      <c r="B2009" s="271"/>
      <c r="C2009" s="271"/>
      <c r="D2009" s="271"/>
      <c r="E2009" s="271"/>
      <c r="F2009" s="271"/>
      <c r="G2009" s="273"/>
      <c r="H2009" s="29" t="str">
        <f>IF(A2009="","",VLOOKUP(A2009,AA_Cuadrillas,4,FALSE))</f>
        <v>Cuadrilla</v>
      </c>
      <c r="I2009" s="394">
        <f>IF(A2009="","",VLOOKUP(A2009,AA_Cuadrillas,5,FALSE))</f>
        <v>186763</v>
      </c>
      <c r="J2009" s="273"/>
      <c r="K2009" s="9">
        <f>IF(A2009="","",F.P!$I$2)</f>
        <v>1.88</v>
      </c>
      <c r="L2009" s="97">
        <v>3.1E-2</v>
      </c>
      <c r="M2009" s="394">
        <f t="shared" ref="M2009:M2013" si="266">IF(A2009="","",I2009*K2009*L2009)</f>
        <v>10884.547640000001</v>
      </c>
      <c r="N2009" s="273"/>
    </row>
    <row r="2010" spans="1:14" ht="12.75" customHeight="1" x14ac:dyDescent="0.25">
      <c r="A2010" s="393"/>
      <c r="B2010" s="271"/>
      <c r="C2010" s="271"/>
      <c r="D2010" s="271"/>
      <c r="E2010" s="271"/>
      <c r="F2010" s="271"/>
      <c r="G2010" s="273"/>
      <c r="H2010" s="29" t="str">
        <f>IF(A2010="","",VLOOKUP(A2010,AA_Cuadrillas,4,FALSE))</f>
        <v/>
      </c>
      <c r="I2010" s="394" t="str">
        <f>IF(A2010="","",VLOOKUP(A2010,AA_Cuadrillas,5,FALSE))</f>
        <v/>
      </c>
      <c r="J2010" s="273"/>
      <c r="K2010" s="9" t="str">
        <f>IF(A2010="","",F.P!$I$2)</f>
        <v/>
      </c>
      <c r="L2010" s="9"/>
      <c r="M2010" s="394" t="str">
        <f t="shared" si="266"/>
        <v/>
      </c>
      <c r="N2010" s="273"/>
    </row>
    <row r="2011" spans="1:14" ht="12.75" customHeight="1" x14ac:dyDescent="0.25">
      <c r="A2011" s="393"/>
      <c r="B2011" s="271"/>
      <c r="C2011" s="271"/>
      <c r="D2011" s="271"/>
      <c r="E2011" s="271"/>
      <c r="F2011" s="271"/>
      <c r="G2011" s="273"/>
      <c r="H2011" s="29" t="str">
        <f>IF(A2011="","",VLOOKUP(A2011,AA_Cuadrillas,4,FALSE))</f>
        <v/>
      </c>
      <c r="I2011" s="394" t="str">
        <f>IF(A2011="","",VLOOKUP(A2011,AA_Cuadrillas,5,FALSE))</f>
        <v/>
      </c>
      <c r="J2011" s="273"/>
      <c r="K2011" s="9" t="str">
        <f>IF(A2011="","",F.P!$I$2)</f>
        <v/>
      </c>
      <c r="L2011" s="37"/>
      <c r="M2011" s="394" t="str">
        <f t="shared" si="266"/>
        <v/>
      </c>
      <c r="N2011" s="273"/>
    </row>
    <row r="2012" spans="1:14" ht="12.75" customHeight="1" x14ac:dyDescent="0.25">
      <c r="A2012" s="393"/>
      <c r="B2012" s="271"/>
      <c r="C2012" s="271"/>
      <c r="D2012" s="271"/>
      <c r="E2012" s="271"/>
      <c r="F2012" s="271"/>
      <c r="G2012" s="273"/>
      <c r="H2012" s="29" t="str">
        <f>IF(A2012="","",VLOOKUP(A2012,AA_Cuadrillas,4,FALSE))</f>
        <v/>
      </c>
      <c r="I2012" s="394" t="str">
        <f>IF(A2012="","",VLOOKUP(A2012,AA_Cuadrillas,5,FALSE))</f>
        <v/>
      </c>
      <c r="J2012" s="273"/>
      <c r="K2012" s="9" t="str">
        <f>IF(A2012="","",F.P!$I$2)</f>
        <v/>
      </c>
      <c r="L2012" s="37"/>
      <c r="M2012" s="394" t="str">
        <f t="shared" si="266"/>
        <v/>
      </c>
      <c r="N2012" s="273"/>
    </row>
    <row r="2013" spans="1:14" ht="12.75" customHeight="1" x14ac:dyDescent="0.25">
      <c r="A2013" s="393"/>
      <c r="B2013" s="271"/>
      <c r="C2013" s="271"/>
      <c r="D2013" s="271"/>
      <c r="E2013" s="271"/>
      <c r="F2013" s="271"/>
      <c r="G2013" s="273"/>
      <c r="H2013" s="29" t="str">
        <f>IF(A2013="","",VLOOKUP(A2013,AA_Cuadrillas,4,FALSE))</f>
        <v/>
      </c>
      <c r="I2013" s="394" t="str">
        <f>IF(A2013="","",VLOOKUP(A2013,AA_Cuadrillas,5,FALSE))</f>
        <v/>
      </c>
      <c r="J2013" s="273"/>
      <c r="K2013" s="9" t="str">
        <f>IF(A2013="","",F.P!$I$2)</f>
        <v/>
      </c>
      <c r="L2013" s="37"/>
      <c r="M2013" s="394" t="str">
        <f t="shared" si="266"/>
        <v/>
      </c>
      <c r="N2013" s="273"/>
    </row>
    <row r="2014" spans="1:14" ht="12.75" customHeight="1" x14ac:dyDescent="0.25">
      <c r="A2014" s="4"/>
      <c r="B2014" s="4"/>
      <c r="C2014" s="4"/>
      <c r="D2014" s="4"/>
      <c r="E2014" s="4"/>
      <c r="F2014" s="4"/>
      <c r="G2014" s="4"/>
      <c r="H2014" s="4"/>
      <c r="I2014" s="4"/>
      <c r="J2014" s="4"/>
      <c r="K2014" s="396" t="s">
        <v>444</v>
      </c>
      <c r="L2014" s="273"/>
      <c r="M2014" s="394">
        <f>SUM(M2009:N2013)</f>
        <v>10884.547640000001</v>
      </c>
      <c r="N2014" s="273"/>
    </row>
    <row r="2015" spans="1:14" ht="12.75" customHeight="1" x14ac:dyDescent="0.2"/>
    <row r="2016" spans="1:14" ht="12.75" customHeight="1" x14ac:dyDescent="0.2">
      <c r="A2016" s="407" t="s">
        <v>1069</v>
      </c>
      <c r="B2016" s="275"/>
      <c r="C2016" s="275"/>
      <c r="D2016" s="275"/>
      <c r="E2016" s="275"/>
      <c r="F2016" s="275"/>
      <c r="G2016" s="275"/>
      <c r="H2016" s="275"/>
      <c r="I2016" s="275"/>
      <c r="J2016" s="275"/>
      <c r="K2016" s="275"/>
      <c r="L2016" s="275"/>
      <c r="M2016" s="275"/>
      <c r="N2016" s="276"/>
    </row>
    <row r="2017" spans="1:14" ht="12.75" customHeight="1" x14ac:dyDescent="0.2">
      <c r="A2017" s="277"/>
      <c r="B2017" s="278"/>
      <c r="C2017" s="278"/>
      <c r="D2017" s="278"/>
      <c r="E2017" s="278"/>
      <c r="F2017" s="278"/>
      <c r="G2017" s="278"/>
      <c r="H2017" s="278"/>
      <c r="I2017" s="278"/>
      <c r="J2017" s="278"/>
      <c r="K2017" s="278"/>
      <c r="L2017" s="278"/>
      <c r="M2017" s="278"/>
      <c r="N2017" s="279"/>
    </row>
    <row r="2018" spans="1:14" ht="12.75" customHeight="1" x14ac:dyDescent="0.2">
      <c r="A2018" s="75"/>
      <c r="B2018" s="75"/>
      <c r="C2018" s="75"/>
      <c r="D2018" s="75"/>
      <c r="E2018" s="75"/>
      <c r="F2018" s="75"/>
      <c r="G2018" s="75"/>
      <c r="H2018" s="75"/>
      <c r="I2018" s="75"/>
      <c r="J2018" s="75"/>
      <c r="K2018" s="75"/>
      <c r="L2018" s="75"/>
      <c r="M2018" s="75"/>
      <c r="N2018" s="75"/>
    </row>
    <row r="2019" spans="1:14" ht="12.75" customHeight="1" x14ac:dyDescent="0.3">
      <c r="A2019" s="79" t="s">
        <v>660</v>
      </c>
      <c r="B2019" s="80" t="str">
        <f>A2016</f>
        <v>SUMINISTRO E INSTALACIÓN DE TAPÓN MACHO Ø6 EN HIERRO DUCTIL</v>
      </c>
      <c r="C2019" s="81" t="s">
        <v>916</v>
      </c>
      <c r="D2019" s="82" t="s">
        <v>999</v>
      </c>
      <c r="E2019" s="83" t="s">
        <v>445</v>
      </c>
      <c r="F2019" s="234">
        <f>(H2019+J2019+L2019+N2019)*1.3</f>
        <v>388867.40752860002</v>
      </c>
      <c r="G2019" s="83" t="s">
        <v>607</v>
      </c>
      <c r="H2019" s="86">
        <f>M2029</f>
        <v>274000</v>
      </c>
      <c r="I2019" s="83" t="s">
        <v>918</v>
      </c>
      <c r="J2019" s="86">
        <f>M2038</f>
        <v>544.22738200000003</v>
      </c>
      <c r="K2019" s="83" t="s">
        <v>609</v>
      </c>
      <c r="L2019" s="86">
        <f>M2047</f>
        <v>13700</v>
      </c>
      <c r="M2019" s="83" t="s">
        <v>610</v>
      </c>
      <c r="N2019" s="86">
        <f>M2056</f>
        <v>10884.547640000001</v>
      </c>
    </row>
    <row r="2020" spans="1:14" ht="12.75" customHeight="1" x14ac:dyDescent="0.25">
      <c r="A2020" s="87"/>
      <c r="B2020" s="87"/>
      <c r="C2020" s="87"/>
      <c r="D2020" s="87"/>
      <c r="E2020" s="87"/>
      <c r="F2020" s="87"/>
      <c r="G2020" s="87"/>
      <c r="J2020" s="87"/>
      <c r="K2020" s="215" t="s">
        <v>3217</v>
      </c>
      <c r="L2020" s="215">
        <f>+F2019*presup!$O$5</f>
        <v>505527.62978718005</v>
      </c>
      <c r="M2020" s="87"/>
      <c r="N2020" s="87"/>
    </row>
    <row r="2021" spans="1:14" ht="12.75" customHeight="1" x14ac:dyDescent="0.2">
      <c r="A2021" s="398" t="s">
        <v>919</v>
      </c>
      <c r="B2021" s="271"/>
      <c r="C2021" s="271"/>
      <c r="D2021" s="271"/>
      <c r="E2021" s="271"/>
      <c r="F2021" s="271"/>
      <c r="G2021" s="271"/>
      <c r="H2021" s="271"/>
      <c r="I2021" s="271"/>
      <c r="J2021" s="271"/>
      <c r="K2021" s="271"/>
      <c r="L2021" s="271"/>
      <c r="M2021" s="271"/>
      <c r="N2021" s="273"/>
    </row>
    <row r="2022" spans="1:14" ht="12.75" customHeight="1" x14ac:dyDescent="0.2">
      <c r="A2022" s="396" t="s">
        <v>76</v>
      </c>
      <c r="B2022" s="271"/>
      <c r="C2022" s="271"/>
      <c r="D2022" s="271"/>
      <c r="E2022" s="271"/>
      <c r="F2022" s="271"/>
      <c r="G2022" s="273"/>
      <c r="H2022" s="88" t="s">
        <v>77</v>
      </c>
      <c r="I2022" s="399" t="s">
        <v>920</v>
      </c>
      <c r="J2022" s="273"/>
      <c r="K2022" s="399" t="s">
        <v>453</v>
      </c>
      <c r="L2022" s="273"/>
      <c r="M2022" s="399" t="s">
        <v>921</v>
      </c>
      <c r="N2022" s="273"/>
    </row>
    <row r="2023" spans="1:14" ht="12.75" customHeight="1" x14ac:dyDescent="0.2">
      <c r="A2023" s="403" t="s">
        <v>1070</v>
      </c>
      <c r="B2023" s="271"/>
      <c r="C2023" s="271"/>
      <c r="D2023" s="271"/>
      <c r="E2023" s="271"/>
      <c r="F2023" s="271"/>
      <c r="G2023" s="273"/>
      <c r="H2023" s="29" t="str">
        <f t="shared" ref="H2023:H2028" si="267">IF(A2023="","",VLOOKUP(A2023,AA_Materiales,7,FALSE))</f>
        <v>Unidad</v>
      </c>
      <c r="I2023" s="394">
        <f t="shared" ref="I2023:I2028" si="268">IF(A2023="","",VLOOKUP(A2023,AA_Materiales,8,FALSE))</f>
        <v>274000</v>
      </c>
      <c r="J2023" s="273"/>
      <c r="K2023" s="395">
        <v>1</v>
      </c>
      <c r="L2023" s="273"/>
      <c r="M2023" s="394">
        <f t="shared" ref="M2023:M2028" si="269">IF(A2023="","",I2023*K2023)</f>
        <v>274000</v>
      </c>
      <c r="N2023" s="273"/>
    </row>
    <row r="2024" spans="1:14" ht="12.75" customHeight="1" x14ac:dyDescent="0.2">
      <c r="A2024" s="403"/>
      <c r="B2024" s="271"/>
      <c r="C2024" s="271"/>
      <c r="D2024" s="271"/>
      <c r="E2024" s="271"/>
      <c r="F2024" s="271"/>
      <c r="G2024" s="273"/>
      <c r="H2024" s="29" t="str">
        <f t="shared" si="267"/>
        <v/>
      </c>
      <c r="I2024" s="394" t="str">
        <f t="shared" si="268"/>
        <v/>
      </c>
      <c r="J2024" s="273"/>
      <c r="K2024" s="395"/>
      <c r="L2024" s="273"/>
      <c r="M2024" s="394" t="str">
        <f t="shared" si="269"/>
        <v/>
      </c>
      <c r="N2024" s="273"/>
    </row>
    <row r="2025" spans="1:14" ht="12.75" customHeight="1" x14ac:dyDescent="0.2">
      <c r="A2025" s="403"/>
      <c r="B2025" s="271"/>
      <c r="C2025" s="271"/>
      <c r="D2025" s="271"/>
      <c r="E2025" s="271"/>
      <c r="F2025" s="271"/>
      <c r="G2025" s="273"/>
      <c r="H2025" s="29" t="str">
        <f t="shared" si="267"/>
        <v/>
      </c>
      <c r="I2025" s="394" t="str">
        <f t="shared" si="268"/>
        <v/>
      </c>
      <c r="J2025" s="273"/>
      <c r="K2025" s="395"/>
      <c r="L2025" s="273"/>
      <c r="M2025" s="394" t="str">
        <f t="shared" si="269"/>
        <v/>
      </c>
      <c r="N2025" s="273"/>
    </row>
    <row r="2026" spans="1:14" ht="12.75" customHeight="1" x14ac:dyDescent="0.2">
      <c r="A2026" s="403"/>
      <c r="B2026" s="271"/>
      <c r="C2026" s="271"/>
      <c r="D2026" s="271"/>
      <c r="E2026" s="271"/>
      <c r="F2026" s="271"/>
      <c r="G2026" s="273"/>
      <c r="H2026" s="29" t="str">
        <f t="shared" si="267"/>
        <v/>
      </c>
      <c r="I2026" s="394" t="str">
        <f t="shared" si="268"/>
        <v/>
      </c>
      <c r="J2026" s="273"/>
      <c r="K2026" s="395"/>
      <c r="L2026" s="273"/>
      <c r="M2026" s="394" t="str">
        <f t="shared" si="269"/>
        <v/>
      </c>
      <c r="N2026" s="273"/>
    </row>
    <row r="2027" spans="1:14" ht="12.75" customHeight="1" x14ac:dyDescent="0.2">
      <c r="A2027" s="403"/>
      <c r="B2027" s="271"/>
      <c r="C2027" s="271"/>
      <c r="D2027" s="271"/>
      <c r="E2027" s="271"/>
      <c r="F2027" s="271"/>
      <c r="G2027" s="273"/>
      <c r="H2027" s="29" t="str">
        <f t="shared" si="267"/>
        <v/>
      </c>
      <c r="I2027" s="394" t="str">
        <f t="shared" si="268"/>
        <v/>
      </c>
      <c r="J2027" s="273"/>
      <c r="K2027" s="395"/>
      <c r="L2027" s="273"/>
      <c r="M2027" s="394" t="str">
        <f t="shared" si="269"/>
        <v/>
      </c>
      <c r="N2027" s="273"/>
    </row>
    <row r="2028" spans="1:14" ht="12.75" customHeight="1" x14ac:dyDescent="0.2">
      <c r="A2028" s="403"/>
      <c r="B2028" s="271"/>
      <c r="C2028" s="271"/>
      <c r="D2028" s="271"/>
      <c r="E2028" s="271"/>
      <c r="F2028" s="271"/>
      <c r="G2028" s="273"/>
      <c r="H2028" s="29" t="str">
        <f t="shared" si="267"/>
        <v/>
      </c>
      <c r="I2028" s="394" t="str">
        <f t="shared" si="268"/>
        <v/>
      </c>
      <c r="J2028" s="273"/>
      <c r="K2028" s="395"/>
      <c r="L2028" s="273"/>
      <c r="M2028" s="394" t="str">
        <f t="shared" si="269"/>
        <v/>
      </c>
      <c r="N2028" s="273"/>
    </row>
    <row r="2029" spans="1:14" ht="12.75" customHeight="1" x14ac:dyDescent="0.25">
      <c r="A2029" s="4"/>
      <c r="B2029" s="4"/>
      <c r="C2029" s="4"/>
      <c r="D2029" s="4"/>
      <c r="E2029" s="4"/>
      <c r="F2029" s="4"/>
      <c r="G2029" s="4"/>
      <c r="H2029" s="4"/>
      <c r="I2029" s="4"/>
      <c r="J2029" s="4"/>
      <c r="K2029" s="396" t="s">
        <v>444</v>
      </c>
      <c r="L2029" s="273"/>
      <c r="M2029" s="394">
        <f>SUM(M2023:N2028)</f>
        <v>274000</v>
      </c>
      <c r="N2029" s="273"/>
    </row>
    <row r="2030" spans="1:14" ht="12.75" customHeight="1" x14ac:dyDescent="0.25">
      <c r="A2030" s="4"/>
      <c r="B2030" s="4"/>
      <c r="C2030" s="4"/>
      <c r="D2030" s="4"/>
      <c r="E2030" s="4"/>
      <c r="F2030" s="4"/>
      <c r="G2030" s="4"/>
      <c r="H2030" s="4"/>
      <c r="I2030" s="4"/>
      <c r="J2030" s="4"/>
      <c r="K2030" s="4"/>
      <c r="L2030" s="4"/>
      <c r="M2030" s="4"/>
      <c r="N2030" s="4"/>
    </row>
    <row r="2031" spans="1:14" ht="12.75" customHeight="1" x14ac:dyDescent="0.2">
      <c r="A2031" s="398" t="s">
        <v>926</v>
      </c>
      <c r="B2031" s="271"/>
      <c r="C2031" s="271"/>
      <c r="D2031" s="271"/>
      <c r="E2031" s="271"/>
      <c r="F2031" s="271"/>
      <c r="G2031" s="271"/>
      <c r="H2031" s="271"/>
      <c r="I2031" s="271"/>
      <c r="J2031" s="271"/>
      <c r="K2031" s="271"/>
      <c r="L2031" s="271"/>
      <c r="M2031" s="271"/>
      <c r="N2031" s="273"/>
    </row>
    <row r="2032" spans="1:14" ht="12.75" customHeight="1" x14ac:dyDescent="0.2">
      <c r="A2032" s="396" t="s">
        <v>76</v>
      </c>
      <c r="B2032" s="271"/>
      <c r="C2032" s="271"/>
      <c r="D2032" s="271"/>
      <c r="E2032" s="271"/>
      <c r="F2032" s="271"/>
      <c r="G2032" s="273"/>
      <c r="H2032" s="88" t="s">
        <v>77</v>
      </c>
      <c r="I2032" s="399" t="s">
        <v>920</v>
      </c>
      <c r="J2032" s="273"/>
      <c r="K2032" s="399" t="s">
        <v>453</v>
      </c>
      <c r="L2032" s="273"/>
      <c r="M2032" s="399" t="s">
        <v>921</v>
      </c>
      <c r="N2032" s="273"/>
    </row>
    <row r="2033" spans="1:14" ht="12.75" customHeight="1" x14ac:dyDescent="0.2">
      <c r="A2033" s="400" t="s">
        <v>927</v>
      </c>
      <c r="B2033" s="271"/>
      <c r="C2033" s="271"/>
      <c r="D2033" s="271"/>
      <c r="E2033" s="271"/>
      <c r="F2033" s="271"/>
      <c r="G2033" s="273"/>
      <c r="H2033" s="29" t="str">
        <f>IF(A2033="","",VLOOKUP(A2033,AA_Equipos,7,FALSE))</f>
        <v>% M.O.</v>
      </c>
      <c r="I2033" s="394">
        <f>+M2056</f>
        <v>10884.547640000001</v>
      </c>
      <c r="J2033" s="273"/>
      <c r="K2033" s="404">
        <v>0.05</v>
      </c>
      <c r="L2033" s="273"/>
      <c r="M2033" s="394">
        <f t="shared" ref="M2033:M2037" si="270">IF(A2033="","",I2033*K2033)</f>
        <v>544.22738200000003</v>
      </c>
      <c r="N2033" s="273"/>
    </row>
    <row r="2034" spans="1:14" ht="12.75" customHeight="1" x14ac:dyDescent="0.2">
      <c r="A2034" s="403"/>
      <c r="B2034" s="271"/>
      <c r="C2034" s="271"/>
      <c r="D2034" s="271"/>
      <c r="E2034" s="271"/>
      <c r="F2034" s="271"/>
      <c r="G2034" s="273"/>
      <c r="H2034" s="29" t="str">
        <f>IF(A2034="","",VLOOKUP(A2034,AA_Equipos,7,FALSE))</f>
        <v/>
      </c>
      <c r="I2034" s="394" t="str">
        <f>IF(A2034="","",VLOOKUP(A2034,AA_Equipos,8,FALSE))</f>
        <v/>
      </c>
      <c r="J2034" s="273"/>
      <c r="K2034" s="402"/>
      <c r="L2034" s="273"/>
      <c r="M2034" s="394" t="str">
        <f t="shared" si="270"/>
        <v/>
      </c>
      <c r="N2034" s="273"/>
    </row>
    <row r="2035" spans="1:14" ht="12.75" customHeight="1" x14ac:dyDescent="0.2">
      <c r="A2035" s="400"/>
      <c r="B2035" s="271"/>
      <c r="C2035" s="271"/>
      <c r="D2035" s="271"/>
      <c r="E2035" s="271"/>
      <c r="F2035" s="271"/>
      <c r="G2035" s="273"/>
      <c r="H2035" s="29" t="str">
        <f>IF(A2035="","",VLOOKUP(A2035,AA_Equipos,7,FALSE))</f>
        <v/>
      </c>
      <c r="I2035" s="394" t="str">
        <f>IF(A2035="","",VLOOKUP(A2035,AA_Equipos,8,FALSE))</f>
        <v/>
      </c>
      <c r="J2035" s="273"/>
      <c r="K2035" s="401"/>
      <c r="L2035" s="273"/>
      <c r="M2035" s="394" t="str">
        <f t="shared" si="270"/>
        <v/>
      </c>
      <c r="N2035" s="273"/>
    </row>
    <row r="2036" spans="1:14" ht="12.75" customHeight="1" x14ac:dyDescent="0.2">
      <c r="A2036" s="400"/>
      <c r="B2036" s="271"/>
      <c r="C2036" s="271"/>
      <c r="D2036" s="271"/>
      <c r="E2036" s="271"/>
      <c r="F2036" s="271"/>
      <c r="G2036" s="273"/>
      <c r="H2036" s="29" t="str">
        <f>IF(A2036="","",VLOOKUP(A2036,AA_Equipos,7,FALSE))</f>
        <v/>
      </c>
      <c r="I2036" s="394" t="str">
        <f>IF(A2036="","",VLOOKUP(A2036,AA_Equipos,8,FALSE))</f>
        <v/>
      </c>
      <c r="J2036" s="273"/>
      <c r="K2036" s="395"/>
      <c r="L2036" s="273"/>
      <c r="M2036" s="394" t="str">
        <f t="shared" si="270"/>
        <v/>
      </c>
      <c r="N2036" s="273"/>
    </row>
    <row r="2037" spans="1:14" ht="12.75" customHeight="1" x14ac:dyDescent="0.2">
      <c r="A2037" s="400"/>
      <c r="B2037" s="271"/>
      <c r="C2037" s="271"/>
      <c r="D2037" s="271"/>
      <c r="E2037" s="271"/>
      <c r="F2037" s="271"/>
      <c r="G2037" s="273"/>
      <c r="H2037" s="29" t="str">
        <f>IF(A2037="","",VLOOKUP(A2037,AA_Equipos,7,FALSE))</f>
        <v/>
      </c>
      <c r="I2037" s="394" t="str">
        <f>IF(A2037="","",VLOOKUP(A2037,AA_Equipos,8,FALSE))</f>
        <v/>
      </c>
      <c r="J2037" s="273"/>
      <c r="K2037" s="395"/>
      <c r="L2037" s="273"/>
      <c r="M2037" s="394" t="str">
        <f t="shared" si="270"/>
        <v/>
      </c>
      <c r="N2037" s="273"/>
    </row>
    <row r="2038" spans="1:14" ht="12.75" customHeight="1" x14ac:dyDescent="0.25">
      <c r="A2038" s="4"/>
      <c r="B2038" s="4"/>
      <c r="C2038" s="4"/>
      <c r="D2038" s="4"/>
      <c r="E2038" s="4"/>
      <c r="F2038" s="4"/>
      <c r="G2038" s="4"/>
      <c r="H2038" s="4"/>
      <c r="I2038" s="4"/>
      <c r="J2038" s="4"/>
      <c r="K2038" s="396" t="s">
        <v>444</v>
      </c>
      <c r="L2038" s="273"/>
      <c r="M2038" s="394">
        <f>SUM(M2033:N2037)</f>
        <v>544.22738200000003</v>
      </c>
      <c r="N2038" s="273"/>
    </row>
    <row r="2039" spans="1:14" ht="12.75" customHeight="1" x14ac:dyDescent="0.25">
      <c r="A2039" s="4"/>
      <c r="B2039" s="4"/>
      <c r="C2039" s="4"/>
      <c r="D2039" s="4"/>
      <c r="E2039" s="4"/>
      <c r="F2039" s="4"/>
      <c r="G2039" s="4"/>
      <c r="H2039" s="4"/>
      <c r="I2039" s="4"/>
      <c r="J2039" s="4"/>
      <c r="K2039" s="4"/>
      <c r="L2039" s="4"/>
      <c r="M2039" s="4"/>
      <c r="N2039" s="4"/>
    </row>
    <row r="2040" spans="1:14" ht="12.75" customHeight="1" x14ac:dyDescent="0.2">
      <c r="A2040" s="398" t="s">
        <v>929</v>
      </c>
      <c r="B2040" s="271"/>
      <c r="C2040" s="271"/>
      <c r="D2040" s="271"/>
      <c r="E2040" s="271"/>
      <c r="F2040" s="271"/>
      <c r="G2040" s="271"/>
      <c r="H2040" s="271"/>
      <c r="I2040" s="271"/>
      <c r="J2040" s="271"/>
      <c r="K2040" s="271"/>
      <c r="L2040" s="271"/>
      <c r="M2040" s="271"/>
      <c r="N2040" s="273"/>
    </row>
    <row r="2041" spans="1:14" ht="12.75" customHeight="1" x14ac:dyDescent="0.2">
      <c r="A2041" s="396" t="s">
        <v>76</v>
      </c>
      <c r="B2041" s="271"/>
      <c r="C2041" s="271"/>
      <c r="D2041" s="271"/>
      <c r="E2041" s="271"/>
      <c r="F2041" s="271"/>
      <c r="G2041" s="273"/>
      <c r="H2041" s="88" t="s">
        <v>77</v>
      </c>
      <c r="I2041" s="399" t="s">
        <v>920</v>
      </c>
      <c r="J2041" s="273"/>
      <c r="K2041" s="399" t="s">
        <v>453</v>
      </c>
      <c r="L2041" s="273"/>
      <c r="M2041" s="399" t="s">
        <v>921</v>
      </c>
      <c r="N2041" s="273"/>
    </row>
    <row r="2042" spans="1:14" ht="12.75" customHeight="1" x14ac:dyDescent="0.2">
      <c r="A2042" s="400" t="s">
        <v>966</v>
      </c>
      <c r="B2042" s="271"/>
      <c r="C2042" s="271"/>
      <c r="D2042" s="271"/>
      <c r="E2042" s="271"/>
      <c r="F2042" s="271"/>
      <c r="G2042" s="273"/>
      <c r="H2042" s="29" t="s">
        <v>950</v>
      </c>
      <c r="I2042" s="394">
        <f>+M2029</f>
        <v>274000</v>
      </c>
      <c r="J2042" s="273"/>
      <c r="K2042" s="404">
        <v>0.05</v>
      </c>
      <c r="L2042" s="273"/>
      <c r="M2042" s="394">
        <f t="shared" ref="M2042:M2046" si="271">IF(A2042="","",I2042*K2042)</f>
        <v>13700</v>
      </c>
      <c r="N2042" s="273"/>
    </row>
    <row r="2043" spans="1:14" ht="12.75" customHeight="1" x14ac:dyDescent="0.2">
      <c r="A2043" s="403"/>
      <c r="B2043" s="271"/>
      <c r="C2043" s="271"/>
      <c r="D2043" s="271"/>
      <c r="E2043" s="271"/>
      <c r="F2043" s="271"/>
      <c r="G2043" s="273"/>
      <c r="H2043" s="29"/>
      <c r="I2043" s="394"/>
      <c r="J2043" s="273"/>
      <c r="K2043" s="404"/>
      <c r="L2043" s="273"/>
      <c r="M2043" s="394" t="str">
        <f t="shared" si="271"/>
        <v/>
      </c>
      <c r="N2043" s="273"/>
    </row>
    <row r="2044" spans="1:14" ht="12.75" customHeight="1" x14ac:dyDescent="0.2">
      <c r="A2044" s="400"/>
      <c r="B2044" s="271"/>
      <c r="C2044" s="271"/>
      <c r="D2044" s="271"/>
      <c r="E2044" s="271"/>
      <c r="F2044" s="271"/>
      <c r="G2044" s="273"/>
      <c r="H2044" s="29"/>
      <c r="I2044" s="394"/>
      <c r="J2044" s="273"/>
      <c r="K2044" s="395"/>
      <c r="L2044" s="273"/>
      <c r="M2044" s="394" t="str">
        <f t="shared" si="271"/>
        <v/>
      </c>
      <c r="N2044" s="273"/>
    </row>
    <row r="2045" spans="1:14" ht="12.75" customHeight="1" x14ac:dyDescent="0.2">
      <c r="A2045" s="400"/>
      <c r="B2045" s="271"/>
      <c r="C2045" s="271"/>
      <c r="D2045" s="271"/>
      <c r="E2045" s="271"/>
      <c r="F2045" s="271"/>
      <c r="G2045" s="273"/>
      <c r="H2045" s="29"/>
      <c r="I2045" s="394"/>
      <c r="J2045" s="273"/>
      <c r="K2045" s="395"/>
      <c r="L2045" s="273"/>
      <c r="M2045" s="394" t="str">
        <f t="shared" si="271"/>
        <v/>
      </c>
      <c r="N2045" s="273"/>
    </row>
    <row r="2046" spans="1:14" ht="12.75" customHeight="1" x14ac:dyDescent="0.2">
      <c r="A2046" s="400"/>
      <c r="B2046" s="271"/>
      <c r="C2046" s="271"/>
      <c r="D2046" s="271"/>
      <c r="E2046" s="271"/>
      <c r="F2046" s="271"/>
      <c r="G2046" s="273"/>
      <c r="H2046" s="29"/>
      <c r="I2046" s="394"/>
      <c r="J2046" s="273"/>
      <c r="K2046" s="395"/>
      <c r="L2046" s="273"/>
      <c r="M2046" s="394" t="str">
        <f t="shared" si="271"/>
        <v/>
      </c>
      <c r="N2046" s="273"/>
    </row>
    <row r="2047" spans="1:14" ht="12.75" customHeight="1" x14ac:dyDescent="0.25">
      <c r="A2047" s="4"/>
      <c r="B2047" s="4"/>
      <c r="C2047" s="4"/>
      <c r="D2047" s="4"/>
      <c r="E2047" s="4"/>
      <c r="F2047" s="4"/>
      <c r="G2047" s="4"/>
      <c r="H2047" s="4"/>
      <c r="I2047" s="4"/>
      <c r="J2047" s="4"/>
      <c r="K2047" s="396" t="s">
        <v>444</v>
      </c>
      <c r="L2047" s="273"/>
      <c r="M2047" s="394">
        <f>SUM(M2042:N2046)</f>
        <v>13700</v>
      </c>
      <c r="N2047" s="273"/>
    </row>
    <row r="2048" spans="1:14" ht="12.75" customHeight="1" x14ac:dyDescent="0.25">
      <c r="A2048" s="4"/>
      <c r="B2048" s="4"/>
      <c r="C2048" s="4"/>
      <c r="D2048" s="4"/>
      <c r="E2048" s="4"/>
      <c r="F2048" s="4"/>
      <c r="G2048" s="4"/>
      <c r="H2048" s="4"/>
      <c r="I2048" s="4"/>
      <c r="J2048" s="4"/>
      <c r="K2048" s="4"/>
      <c r="L2048" s="4"/>
      <c r="M2048" s="4"/>
      <c r="N2048" s="4"/>
    </row>
    <row r="2049" spans="1:14" ht="12.75" customHeight="1" x14ac:dyDescent="0.2">
      <c r="A2049" s="398" t="s">
        <v>931</v>
      </c>
      <c r="B2049" s="271"/>
      <c r="C2049" s="271"/>
      <c r="D2049" s="271"/>
      <c r="E2049" s="271"/>
      <c r="F2049" s="271"/>
      <c r="G2049" s="271"/>
      <c r="H2049" s="271"/>
      <c r="I2049" s="271"/>
      <c r="J2049" s="271"/>
      <c r="K2049" s="271"/>
      <c r="L2049" s="271"/>
      <c r="M2049" s="271"/>
      <c r="N2049" s="273"/>
    </row>
    <row r="2050" spans="1:14" ht="12.75" customHeight="1" x14ac:dyDescent="0.2">
      <c r="A2050" s="396" t="s">
        <v>76</v>
      </c>
      <c r="B2050" s="271"/>
      <c r="C2050" s="271"/>
      <c r="D2050" s="271"/>
      <c r="E2050" s="271"/>
      <c r="F2050" s="271"/>
      <c r="G2050" s="273"/>
      <c r="H2050" s="88" t="s">
        <v>77</v>
      </c>
      <c r="I2050" s="399" t="s">
        <v>920</v>
      </c>
      <c r="J2050" s="273"/>
      <c r="K2050" s="90" t="s">
        <v>514</v>
      </c>
      <c r="L2050" s="91" t="s">
        <v>932</v>
      </c>
      <c r="M2050" s="399" t="s">
        <v>921</v>
      </c>
      <c r="N2050" s="273"/>
    </row>
    <row r="2051" spans="1:14" ht="12.75" customHeight="1" x14ac:dyDescent="0.25">
      <c r="A2051" s="393" t="s">
        <v>986</v>
      </c>
      <c r="B2051" s="271"/>
      <c r="C2051" s="271"/>
      <c r="D2051" s="271"/>
      <c r="E2051" s="271"/>
      <c r="F2051" s="271"/>
      <c r="G2051" s="273"/>
      <c r="H2051" s="29" t="str">
        <f>IF(A2051="","",VLOOKUP(A2051,AA_Cuadrillas,4,FALSE))</f>
        <v>Cuadrilla</v>
      </c>
      <c r="I2051" s="394">
        <f>IF(A2051="","",VLOOKUP(A2051,AA_Cuadrillas,5,FALSE))</f>
        <v>186763</v>
      </c>
      <c r="J2051" s="273"/>
      <c r="K2051" s="9">
        <f>IF(A2051="","",F.P!$I$2)</f>
        <v>1.88</v>
      </c>
      <c r="L2051" s="97">
        <v>3.1E-2</v>
      </c>
      <c r="M2051" s="394">
        <f t="shared" ref="M2051:M2055" si="272">IF(A2051="","",I2051*K2051*L2051)</f>
        <v>10884.547640000001</v>
      </c>
      <c r="N2051" s="273"/>
    </row>
    <row r="2052" spans="1:14" ht="12.75" customHeight="1" x14ac:dyDescent="0.25">
      <c r="A2052" s="393"/>
      <c r="B2052" s="271"/>
      <c r="C2052" s="271"/>
      <c r="D2052" s="271"/>
      <c r="E2052" s="271"/>
      <c r="F2052" s="271"/>
      <c r="G2052" s="273"/>
      <c r="H2052" s="29" t="str">
        <f>IF(A2052="","",VLOOKUP(A2052,AA_Cuadrillas,4,FALSE))</f>
        <v/>
      </c>
      <c r="I2052" s="394" t="str">
        <f>IF(A2052="","",VLOOKUP(A2052,AA_Cuadrillas,5,FALSE))</f>
        <v/>
      </c>
      <c r="J2052" s="273"/>
      <c r="K2052" s="9" t="str">
        <f>IF(A2052="","",F.P!$I$2)</f>
        <v/>
      </c>
      <c r="L2052" s="9"/>
      <c r="M2052" s="394" t="str">
        <f t="shared" si="272"/>
        <v/>
      </c>
      <c r="N2052" s="273"/>
    </row>
    <row r="2053" spans="1:14" ht="12.75" customHeight="1" x14ac:dyDescent="0.25">
      <c r="A2053" s="393"/>
      <c r="B2053" s="271"/>
      <c r="C2053" s="271"/>
      <c r="D2053" s="271"/>
      <c r="E2053" s="271"/>
      <c r="F2053" s="271"/>
      <c r="G2053" s="273"/>
      <c r="H2053" s="29" t="str">
        <f>IF(A2053="","",VLOOKUP(A2053,AA_Cuadrillas,4,FALSE))</f>
        <v/>
      </c>
      <c r="I2053" s="394" t="str">
        <f>IF(A2053="","",VLOOKUP(A2053,AA_Cuadrillas,5,FALSE))</f>
        <v/>
      </c>
      <c r="J2053" s="273"/>
      <c r="K2053" s="9" t="str">
        <f>IF(A2053="","",F.P!$I$2)</f>
        <v/>
      </c>
      <c r="L2053" s="37"/>
      <c r="M2053" s="394" t="str">
        <f t="shared" si="272"/>
        <v/>
      </c>
      <c r="N2053" s="273"/>
    </row>
    <row r="2054" spans="1:14" ht="12.75" customHeight="1" x14ac:dyDescent="0.25">
      <c r="A2054" s="393"/>
      <c r="B2054" s="271"/>
      <c r="C2054" s="271"/>
      <c r="D2054" s="271"/>
      <c r="E2054" s="271"/>
      <c r="F2054" s="271"/>
      <c r="G2054" s="273"/>
      <c r="H2054" s="29" t="str">
        <f>IF(A2054="","",VLOOKUP(A2054,AA_Cuadrillas,4,FALSE))</f>
        <v/>
      </c>
      <c r="I2054" s="394" t="str">
        <f>IF(A2054="","",VLOOKUP(A2054,AA_Cuadrillas,5,FALSE))</f>
        <v/>
      </c>
      <c r="J2054" s="273"/>
      <c r="K2054" s="9" t="str">
        <f>IF(A2054="","",F.P!$I$2)</f>
        <v/>
      </c>
      <c r="L2054" s="37"/>
      <c r="M2054" s="394" t="str">
        <f t="shared" si="272"/>
        <v/>
      </c>
      <c r="N2054" s="273"/>
    </row>
    <row r="2055" spans="1:14" ht="12.75" customHeight="1" x14ac:dyDescent="0.25">
      <c r="A2055" s="393"/>
      <c r="B2055" s="271"/>
      <c r="C2055" s="271"/>
      <c r="D2055" s="271"/>
      <c r="E2055" s="271"/>
      <c r="F2055" s="271"/>
      <c r="G2055" s="273"/>
      <c r="H2055" s="29" t="str">
        <f>IF(A2055="","",VLOOKUP(A2055,AA_Cuadrillas,4,FALSE))</f>
        <v/>
      </c>
      <c r="I2055" s="394" t="str">
        <f>IF(A2055="","",VLOOKUP(A2055,AA_Cuadrillas,5,FALSE))</f>
        <v/>
      </c>
      <c r="J2055" s="273"/>
      <c r="K2055" s="9" t="str">
        <f>IF(A2055="","",F.P!$I$2)</f>
        <v/>
      </c>
      <c r="L2055" s="37"/>
      <c r="M2055" s="394" t="str">
        <f t="shared" si="272"/>
        <v/>
      </c>
      <c r="N2055" s="273"/>
    </row>
    <row r="2056" spans="1:14" ht="12.75" customHeight="1" x14ac:dyDescent="0.25">
      <c r="A2056" s="4"/>
      <c r="B2056" s="4"/>
      <c r="C2056" s="4"/>
      <c r="D2056" s="4"/>
      <c r="E2056" s="4"/>
      <c r="F2056" s="4"/>
      <c r="G2056" s="4"/>
      <c r="H2056" s="4"/>
      <c r="I2056" s="4"/>
      <c r="J2056" s="4"/>
      <c r="K2056" s="396" t="s">
        <v>444</v>
      </c>
      <c r="L2056" s="273"/>
      <c r="M2056" s="394">
        <f>SUM(M2051:N2055)</f>
        <v>10884.547640000001</v>
      </c>
      <c r="N2056" s="273"/>
    </row>
    <row r="2057" spans="1:14" ht="12.75" customHeight="1" x14ac:dyDescent="0.2"/>
    <row r="2058" spans="1:14" ht="12.75" customHeight="1" x14ac:dyDescent="0.2">
      <c r="A2058" s="407" t="s">
        <v>1071</v>
      </c>
      <c r="B2058" s="275"/>
      <c r="C2058" s="275"/>
      <c r="D2058" s="275"/>
      <c r="E2058" s="275"/>
      <c r="F2058" s="275"/>
      <c r="G2058" s="275"/>
      <c r="H2058" s="275"/>
      <c r="I2058" s="275"/>
      <c r="J2058" s="275"/>
      <c r="K2058" s="275"/>
      <c r="L2058" s="275"/>
      <c r="M2058" s="275"/>
      <c r="N2058" s="276"/>
    </row>
    <row r="2059" spans="1:14" ht="12.75" customHeight="1" x14ac:dyDescent="0.2">
      <c r="A2059" s="277"/>
      <c r="B2059" s="278"/>
      <c r="C2059" s="278"/>
      <c r="D2059" s="278"/>
      <c r="E2059" s="278"/>
      <c r="F2059" s="278"/>
      <c r="G2059" s="278"/>
      <c r="H2059" s="278"/>
      <c r="I2059" s="278"/>
      <c r="J2059" s="278"/>
      <c r="K2059" s="278"/>
      <c r="L2059" s="278"/>
      <c r="M2059" s="278"/>
      <c r="N2059" s="279"/>
    </row>
    <row r="2060" spans="1:14" ht="12.75" customHeight="1" x14ac:dyDescent="0.2">
      <c r="A2060" s="75"/>
      <c r="B2060" s="75"/>
      <c r="C2060" s="75"/>
      <c r="D2060" s="75"/>
      <c r="E2060" s="75"/>
      <c r="F2060" s="75"/>
      <c r="G2060" s="75"/>
      <c r="H2060" s="75"/>
      <c r="I2060" s="75"/>
      <c r="J2060" s="75"/>
      <c r="K2060" s="75"/>
      <c r="L2060" s="75"/>
      <c r="M2060" s="75"/>
      <c r="N2060" s="75"/>
    </row>
    <row r="2061" spans="1:14" ht="12.75" customHeight="1" x14ac:dyDescent="0.3">
      <c r="A2061" s="79" t="s">
        <v>661</v>
      </c>
      <c r="B2061" s="80" t="str">
        <f>A2058</f>
        <v>SUMINISTRO E INSTALACIÓN DE CHEQUE Ø4 EN HIERRO DUCTIL</v>
      </c>
      <c r="C2061" s="81" t="s">
        <v>916</v>
      </c>
      <c r="D2061" s="82" t="s">
        <v>999</v>
      </c>
      <c r="E2061" s="83" t="s">
        <v>445</v>
      </c>
      <c r="F2061" s="234">
        <f>(H2061+J2061+L2061+N2061)*1.3</f>
        <v>1183902.1025286</v>
      </c>
      <c r="G2061" s="83" t="s">
        <v>607</v>
      </c>
      <c r="H2061" s="86">
        <f>M2071</f>
        <v>856443</v>
      </c>
      <c r="I2061" s="83" t="s">
        <v>918</v>
      </c>
      <c r="J2061" s="86">
        <f>M2080</f>
        <v>544.22738200000003</v>
      </c>
      <c r="K2061" s="83" t="s">
        <v>609</v>
      </c>
      <c r="L2061" s="86">
        <f>M2089</f>
        <v>42822.15</v>
      </c>
      <c r="M2061" s="83" t="s">
        <v>610</v>
      </c>
      <c r="N2061" s="86">
        <f>M2098</f>
        <v>10884.547640000001</v>
      </c>
    </row>
    <row r="2062" spans="1:14" ht="12.75" customHeight="1" x14ac:dyDescent="0.25">
      <c r="A2062" s="87"/>
      <c r="B2062" s="87"/>
      <c r="C2062" s="87"/>
      <c r="D2062" s="87"/>
      <c r="E2062" s="87"/>
      <c r="F2062" s="87"/>
      <c r="G2062" s="87"/>
      <c r="J2062" s="87"/>
      <c r="K2062" s="215" t="s">
        <v>3217</v>
      </c>
      <c r="L2062" s="215">
        <f>+F2061*presup!$O$5</f>
        <v>1539072.7332871801</v>
      </c>
      <c r="M2062" s="87"/>
      <c r="N2062" s="87"/>
    </row>
    <row r="2063" spans="1:14" ht="12.75" customHeight="1" x14ac:dyDescent="0.2">
      <c r="A2063" s="398" t="s">
        <v>919</v>
      </c>
      <c r="B2063" s="271"/>
      <c r="C2063" s="271"/>
      <c r="D2063" s="271"/>
      <c r="E2063" s="271"/>
      <c r="F2063" s="271"/>
      <c r="G2063" s="271"/>
      <c r="H2063" s="271"/>
      <c r="I2063" s="271"/>
      <c r="J2063" s="271"/>
      <c r="K2063" s="271"/>
      <c r="L2063" s="271"/>
      <c r="M2063" s="271"/>
      <c r="N2063" s="273"/>
    </row>
    <row r="2064" spans="1:14" ht="12.75" customHeight="1" x14ac:dyDescent="0.2">
      <c r="A2064" s="396" t="s">
        <v>76</v>
      </c>
      <c r="B2064" s="271"/>
      <c r="C2064" s="271"/>
      <c r="D2064" s="271"/>
      <c r="E2064" s="271"/>
      <c r="F2064" s="271"/>
      <c r="G2064" s="273"/>
      <c r="H2064" s="88" t="s">
        <v>77</v>
      </c>
      <c r="I2064" s="399" t="s">
        <v>920</v>
      </c>
      <c r="J2064" s="273"/>
      <c r="K2064" s="399" t="s">
        <v>453</v>
      </c>
      <c r="L2064" s="273"/>
      <c r="M2064" s="399" t="s">
        <v>921</v>
      </c>
      <c r="N2064" s="273"/>
    </row>
    <row r="2065" spans="1:14" ht="12.75" customHeight="1" x14ac:dyDescent="0.2">
      <c r="A2065" s="403" t="s">
        <v>1072</v>
      </c>
      <c r="B2065" s="271"/>
      <c r="C2065" s="271"/>
      <c r="D2065" s="271"/>
      <c r="E2065" s="271"/>
      <c r="F2065" s="271"/>
      <c r="G2065" s="273"/>
      <c r="H2065" s="29" t="str">
        <f t="shared" ref="H2065:H2070" si="273">IF(A2065="","",VLOOKUP(A2065,AA_Materiales,7,FALSE))</f>
        <v>Unidad</v>
      </c>
      <c r="I2065" s="394">
        <f t="shared" ref="I2065:I2070" si="274">IF(A2065="","",VLOOKUP(A2065,AA_Materiales,8,FALSE))</f>
        <v>856443</v>
      </c>
      <c r="J2065" s="273"/>
      <c r="K2065" s="395">
        <v>1</v>
      </c>
      <c r="L2065" s="273"/>
      <c r="M2065" s="394">
        <f t="shared" ref="M2065:M2070" si="275">IF(A2065="","",I2065*K2065)</f>
        <v>856443</v>
      </c>
      <c r="N2065" s="273"/>
    </row>
    <row r="2066" spans="1:14" ht="12.75" customHeight="1" x14ac:dyDescent="0.2">
      <c r="A2066" s="403"/>
      <c r="B2066" s="271"/>
      <c r="C2066" s="271"/>
      <c r="D2066" s="271"/>
      <c r="E2066" s="271"/>
      <c r="F2066" s="271"/>
      <c r="G2066" s="273"/>
      <c r="H2066" s="29" t="str">
        <f t="shared" si="273"/>
        <v/>
      </c>
      <c r="I2066" s="394" t="str">
        <f t="shared" si="274"/>
        <v/>
      </c>
      <c r="J2066" s="273"/>
      <c r="K2066" s="395"/>
      <c r="L2066" s="273"/>
      <c r="M2066" s="394" t="str">
        <f t="shared" si="275"/>
        <v/>
      </c>
      <c r="N2066" s="273"/>
    </row>
    <row r="2067" spans="1:14" ht="12.75" customHeight="1" x14ac:dyDescent="0.2">
      <c r="A2067" s="403"/>
      <c r="B2067" s="271"/>
      <c r="C2067" s="271"/>
      <c r="D2067" s="271"/>
      <c r="E2067" s="271"/>
      <c r="F2067" s="271"/>
      <c r="G2067" s="273"/>
      <c r="H2067" s="29" t="str">
        <f t="shared" si="273"/>
        <v/>
      </c>
      <c r="I2067" s="394" t="str">
        <f t="shared" si="274"/>
        <v/>
      </c>
      <c r="J2067" s="273"/>
      <c r="K2067" s="395"/>
      <c r="L2067" s="273"/>
      <c r="M2067" s="394" t="str">
        <f t="shared" si="275"/>
        <v/>
      </c>
      <c r="N2067" s="273"/>
    </row>
    <row r="2068" spans="1:14" ht="12.75" customHeight="1" x14ac:dyDescent="0.2">
      <c r="A2068" s="403"/>
      <c r="B2068" s="271"/>
      <c r="C2068" s="271"/>
      <c r="D2068" s="271"/>
      <c r="E2068" s="271"/>
      <c r="F2068" s="271"/>
      <c r="G2068" s="273"/>
      <c r="H2068" s="29" t="str">
        <f t="shared" si="273"/>
        <v/>
      </c>
      <c r="I2068" s="394" t="str">
        <f t="shared" si="274"/>
        <v/>
      </c>
      <c r="J2068" s="273"/>
      <c r="K2068" s="395"/>
      <c r="L2068" s="273"/>
      <c r="M2068" s="394" t="str">
        <f t="shared" si="275"/>
        <v/>
      </c>
      <c r="N2068" s="273"/>
    </row>
    <row r="2069" spans="1:14" ht="12.75" customHeight="1" x14ac:dyDescent="0.2">
      <c r="A2069" s="403"/>
      <c r="B2069" s="271"/>
      <c r="C2069" s="271"/>
      <c r="D2069" s="271"/>
      <c r="E2069" s="271"/>
      <c r="F2069" s="271"/>
      <c r="G2069" s="273"/>
      <c r="H2069" s="29" t="str">
        <f t="shared" si="273"/>
        <v/>
      </c>
      <c r="I2069" s="394" t="str">
        <f t="shared" si="274"/>
        <v/>
      </c>
      <c r="J2069" s="273"/>
      <c r="K2069" s="395"/>
      <c r="L2069" s="273"/>
      <c r="M2069" s="394" t="str">
        <f t="shared" si="275"/>
        <v/>
      </c>
      <c r="N2069" s="273"/>
    </row>
    <row r="2070" spans="1:14" ht="12.75" customHeight="1" x14ac:dyDescent="0.2">
      <c r="A2070" s="403"/>
      <c r="B2070" s="271"/>
      <c r="C2070" s="271"/>
      <c r="D2070" s="271"/>
      <c r="E2070" s="271"/>
      <c r="F2070" s="271"/>
      <c r="G2070" s="273"/>
      <c r="H2070" s="29" t="str">
        <f t="shared" si="273"/>
        <v/>
      </c>
      <c r="I2070" s="394" t="str">
        <f t="shared" si="274"/>
        <v/>
      </c>
      <c r="J2070" s="273"/>
      <c r="K2070" s="395"/>
      <c r="L2070" s="273"/>
      <c r="M2070" s="394" t="str">
        <f t="shared" si="275"/>
        <v/>
      </c>
      <c r="N2070" s="273"/>
    </row>
    <row r="2071" spans="1:14" ht="12.75" customHeight="1" x14ac:dyDescent="0.25">
      <c r="A2071" s="4"/>
      <c r="B2071" s="4"/>
      <c r="C2071" s="4"/>
      <c r="D2071" s="4"/>
      <c r="E2071" s="4"/>
      <c r="F2071" s="4"/>
      <c r="G2071" s="4"/>
      <c r="H2071" s="4"/>
      <c r="I2071" s="4"/>
      <c r="J2071" s="4"/>
      <c r="K2071" s="396" t="s">
        <v>444</v>
      </c>
      <c r="L2071" s="273"/>
      <c r="M2071" s="394">
        <f>SUM(M2065:N2070)</f>
        <v>856443</v>
      </c>
      <c r="N2071" s="273"/>
    </row>
    <row r="2072" spans="1:14" ht="12.75" customHeight="1" x14ac:dyDescent="0.25">
      <c r="A2072" s="4"/>
      <c r="B2072" s="4"/>
      <c r="C2072" s="4"/>
      <c r="D2072" s="4"/>
      <c r="E2072" s="4"/>
      <c r="F2072" s="4"/>
      <c r="G2072" s="4"/>
      <c r="H2072" s="4"/>
      <c r="I2072" s="4"/>
      <c r="J2072" s="4"/>
      <c r="K2072" s="4"/>
      <c r="L2072" s="4"/>
      <c r="M2072" s="4"/>
      <c r="N2072" s="4"/>
    </row>
    <row r="2073" spans="1:14" ht="12.75" customHeight="1" x14ac:dyDescent="0.2">
      <c r="A2073" s="398" t="s">
        <v>926</v>
      </c>
      <c r="B2073" s="271"/>
      <c r="C2073" s="271"/>
      <c r="D2073" s="271"/>
      <c r="E2073" s="271"/>
      <c r="F2073" s="271"/>
      <c r="G2073" s="271"/>
      <c r="H2073" s="271"/>
      <c r="I2073" s="271"/>
      <c r="J2073" s="271"/>
      <c r="K2073" s="271"/>
      <c r="L2073" s="271"/>
      <c r="M2073" s="271"/>
      <c r="N2073" s="273"/>
    </row>
    <row r="2074" spans="1:14" ht="12.75" customHeight="1" x14ac:dyDescent="0.2">
      <c r="A2074" s="396" t="s">
        <v>76</v>
      </c>
      <c r="B2074" s="271"/>
      <c r="C2074" s="271"/>
      <c r="D2074" s="271"/>
      <c r="E2074" s="271"/>
      <c r="F2074" s="271"/>
      <c r="G2074" s="273"/>
      <c r="H2074" s="88" t="s">
        <v>77</v>
      </c>
      <c r="I2074" s="399" t="s">
        <v>920</v>
      </c>
      <c r="J2074" s="273"/>
      <c r="K2074" s="399" t="s">
        <v>453</v>
      </c>
      <c r="L2074" s="273"/>
      <c r="M2074" s="399" t="s">
        <v>921</v>
      </c>
      <c r="N2074" s="273"/>
    </row>
    <row r="2075" spans="1:14" ht="12.75" customHeight="1" x14ac:dyDescent="0.2">
      <c r="A2075" s="400" t="s">
        <v>927</v>
      </c>
      <c r="B2075" s="271"/>
      <c r="C2075" s="271"/>
      <c r="D2075" s="271"/>
      <c r="E2075" s="271"/>
      <c r="F2075" s="271"/>
      <c r="G2075" s="273"/>
      <c r="H2075" s="29" t="str">
        <f>IF(A2075="","",VLOOKUP(A2075,AA_Equipos,7,FALSE))</f>
        <v>% M.O.</v>
      </c>
      <c r="I2075" s="394">
        <f>+M2098</f>
        <v>10884.547640000001</v>
      </c>
      <c r="J2075" s="273"/>
      <c r="K2075" s="404">
        <v>0.05</v>
      </c>
      <c r="L2075" s="273"/>
      <c r="M2075" s="394">
        <f t="shared" ref="M2075:M2079" si="276">IF(A2075="","",I2075*K2075)</f>
        <v>544.22738200000003</v>
      </c>
      <c r="N2075" s="273"/>
    </row>
    <row r="2076" spans="1:14" ht="12.75" customHeight="1" x14ac:dyDescent="0.2">
      <c r="A2076" s="403"/>
      <c r="B2076" s="271"/>
      <c r="C2076" s="271"/>
      <c r="D2076" s="271"/>
      <c r="E2076" s="271"/>
      <c r="F2076" s="271"/>
      <c r="G2076" s="273"/>
      <c r="H2076" s="29" t="str">
        <f>IF(A2076="","",VLOOKUP(A2076,AA_Equipos,7,FALSE))</f>
        <v/>
      </c>
      <c r="I2076" s="394" t="str">
        <f>IF(A2076="","",VLOOKUP(A2076,AA_Equipos,8,FALSE))</f>
        <v/>
      </c>
      <c r="J2076" s="273"/>
      <c r="K2076" s="402"/>
      <c r="L2076" s="273"/>
      <c r="M2076" s="394" t="str">
        <f t="shared" si="276"/>
        <v/>
      </c>
      <c r="N2076" s="273"/>
    </row>
    <row r="2077" spans="1:14" ht="12.75" customHeight="1" x14ac:dyDescent="0.2">
      <c r="A2077" s="400"/>
      <c r="B2077" s="271"/>
      <c r="C2077" s="271"/>
      <c r="D2077" s="271"/>
      <c r="E2077" s="271"/>
      <c r="F2077" s="271"/>
      <c r="G2077" s="273"/>
      <c r="H2077" s="29" t="str">
        <f>IF(A2077="","",VLOOKUP(A2077,AA_Equipos,7,FALSE))</f>
        <v/>
      </c>
      <c r="I2077" s="394" t="str">
        <f>IF(A2077="","",VLOOKUP(A2077,AA_Equipos,8,FALSE))</f>
        <v/>
      </c>
      <c r="J2077" s="273"/>
      <c r="K2077" s="401"/>
      <c r="L2077" s="273"/>
      <c r="M2077" s="394" t="str">
        <f t="shared" si="276"/>
        <v/>
      </c>
      <c r="N2077" s="273"/>
    </row>
    <row r="2078" spans="1:14" ht="12.75" customHeight="1" x14ac:dyDescent="0.2">
      <c r="A2078" s="400"/>
      <c r="B2078" s="271"/>
      <c r="C2078" s="271"/>
      <c r="D2078" s="271"/>
      <c r="E2078" s="271"/>
      <c r="F2078" s="271"/>
      <c r="G2078" s="273"/>
      <c r="H2078" s="29" t="str">
        <f>IF(A2078="","",VLOOKUP(A2078,AA_Equipos,7,FALSE))</f>
        <v/>
      </c>
      <c r="I2078" s="394" t="str">
        <f>IF(A2078="","",VLOOKUP(A2078,AA_Equipos,8,FALSE))</f>
        <v/>
      </c>
      <c r="J2078" s="273"/>
      <c r="K2078" s="395"/>
      <c r="L2078" s="273"/>
      <c r="M2078" s="394" t="str">
        <f t="shared" si="276"/>
        <v/>
      </c>
      <c r="N2078" s="273"/>
    </row>
    <row r="2079" spans="1:14" ht="12.75" customHeight="1" x14ac:dyDescent="0.2">
      <c r="A2079" s="400"/>
      <c r="B2079" s="271"/>
      <c r="C2079" s="271"/>
      <c r="D2079" s="271"/>
      <c r="E2079" s="271"/>
      <c r="F2079" s="271"/>
      <c r="G2079" s="273"/>
      <c r="H2079" s="29" t="str">
        <f>IF(A2079="","",VLOOKUP(A2079,AA_Equipos,7,FALSE))</f>
        <v/>
      </c>
      <c r="I2079" s="394" t="str">
        <f>IF(A2079="","",VLOOKUP(A2079,AA_Equipos,8,FALSE))</f>
        <v/>
      </c>
      <c r="J2079" s="273"/>
      <c r="K2079" s="395"/>
      <c r="L2079" s="273"/>
      <c r="M2079" s="394" t="str">
        <f t="shared" si="276"/>
        <v/>
      </c>
      <c r="N2079" s="273"/>
    </row>
    <row r="2080" spans="1:14" ht="12.75" customHeight="1" x14ac:dyDescent="0.25">
      <c r="A2080" s="4"/>
      <c r="B2080" s="4"/>
      <c r="C2080" s="4"/>
      <c r="D2080" s="4"/>
      <c r="E2080" s="4"/>
      <c r="F2080" s="4"/>
      <c r="G2080" s="4"/>
      <c r="H2080" s="4"/>
      <c r="I2080" s="4"/>
      <c r="J2080" s="4"/>
      <c r="K2080" s="396" t="s">
        <v>444</v>
      </c>
      <c r="L2080" s="273"/>
      <c r="M2080" s="394">
        <f>SUM(M2075:N2079)</f>
        <v>544.22738200000003</v>
      </c>
      <c r="N2080" s="273"/>
    </row>
    <row r="2081" spans="1:14" ht="12.75" customHeight="1" x14ac:dyDescent="0.25">
      <c r="A2081" s="4"/>
      <c r="B2081" s="4"/>
      <c r="C2081" s="4"/>
      <c r="D2081" s="4"/>
      <c r="E2081" s="4"/>
      <c r="F2081" s="4"/>
      <c r="G2081" s="4"/>
      <c r="H2081" s="4"/>
      <c r="I2081" s="4"/>
      <c r="J2081" s="4"/>
      <c r="K2081" s="4"/>
      <c r="L2081" s="4"/>
      <c r="M2081" s="4"/>
      <c r="N2081" s="4"/>
    </row>
    <row r="2082" spans="1:14" ht="12.75" customHeight="1" x14ac:dyDescent="0.2">
      <c r="A2082" s="398" t="s">
        <v>929</v>
      </c>
      <c r="B2082" s="271"/>
      <c r="C2082" s="271"/>
      <c r="D2082" s="271"/>
      <c r="E2082" s="271"/>
      <c r="F2082" s="271"/>
      <c r="G2082" s="271"/>
      <c r="H2082" s="271"/>
      <c r="I2082" s="271"/>
      <c r="J2082" s="271"/>
      <c r="K2082" s="271"/>
      <c r="L2082" s="271"/>
      <c r="M2082" s="271"/>
      <c r="N2082" s="273"/>
    </row>
    <row r="2083" spans="1:14" ht="12.75" customHeight="1" x14ac:dyDescent="0.2">
      <c r="A2083" s="396" t="s">
        <v>76</v>
      </c>
      <c r="B2083" s="271"/>
      <c r="C2083" s="271"/>
      <c r="D2083" s="271"/>
      <c r="E2083" s="271"/>
      <c r="F2083" s="271"/>
      <c r="G2083" s="273"/>
      <c r="H2083" s="88" t="s">
        <v>77</v>
      </c>
      <c r="I2083" s="399" t="s">
        <v>920</v>
      </c>
      <c r="J2083" s="273"/>
      <c r="K2083" s="399" t="s">
        <v>453</v>
      </c>
      <c r="L2083" s="273"/>
      <c r="M2083" s="399" t="s">
        <v>921</v>
      </c>
      <c r="N2083" s="273"/>
    </row>
    <row r="2084" spans="1:14" ht="12.75" customHeight="1" x14ac:dyDescent="0.2">
      <c r="A2084" s="400" t="s">
        <v>966</v>
      </c>
      <c r="B2084" s="271"/>
      <c r="C2084" s="271"/>
      <c r="D2084" s="271"/>
      <c r="E2084" s="271"/>
      <c r="F2084" s="271"/>
      <c r="G2084" s="273"/>
      <c r="H2084" s="29" t="s">
        <v>950</v>
      </c>
      <c r="I2084" s="394">
        <f>+M2071</f>
        <v>856443</v>
      </c>
      <c r="J2084" s="273"/>
      <c r="K2084" s="404">
        <v>0.05</v>
      </c>
      <c r="L2084" s="273"/>
      <c r="M2084" s="394">
        <f t="shared" ref="M2084:M2088" si="277">IF(A2084="","",I2084*K2084)</f>
        <v>42822.15</v>
      </c>
      <c r="N2084" s="273"/>
    </row>
    <row r="2085" spans="1:14" ht="12.75" customHeight="1" x14ac:dyDescent="0.2">
      <c r="A2085" s="403"/>
      <c r="B2085" s="271"/>
      <c r="C2085" s="271"/>
      <c r="D2085" s="271"/>
      <c r="E2085" s="271"/>
      <c r="F2085" s="271"/>
      <c r="G2085" s="273"/>
      <c r="H2085" s="29"/>
      <c r="I2085" s="394"/>
      <c r="J2085" s="273"/>
      <c r="K2085" s="404"/>
      <c r="L2085" s="273"/>
      <c r="M2085" s="394" t="str">
        <f t="shared" si="277"/>
        <v/>
      </c>
      <c r="N2085" s="273"/>
    </row>
    <row r="2086" spans="1:14" ht="12.75" customHeight="1" x14ac:dyDescent="0.2">
      <c r="A2086" s="400"/>
      <c r="B2086" s="271"/>
      <c r="C2086" s="271"/>
      <c r="D2086" s="271"/>
      <c r="E2086" s="271"/>
      <c r="F2086" s="271"/>
      <c r="G2086" s="273"/>
      <c r="H2086" s="29"/>
      <c r="I2086" s="394"/>
      <c r="J2086" s="273"/>
      <c r="K2086" s="395"/>
      <c r="L2086" s="273"/>
      <c r="M2086" s="394" t="str">
        <f t="shared" si="277"/>
        <v/>
      </c>
      <c r="N2086" s="273"/>
    </row>
    <row r="2087" spans="1:14" ht="12.75" customHeight="1" x14ac:dyDescent="0.2">
      <c r="A2087" s="400"/>
      <c r="B2087" s="271"/>
      <c r="C2087" s="271"/>
      <c r="D2087" s="271"/>
      <c r="E2087" s="271"/>
      <c r="F2087" s="271"/>
      <c r="G2087" s="273"/>
      <c r="H2087" s="29"/>
      <c r="I2087" s="394"/>
      <c r="J2087" s="273"/>
      <c r="K2087" s="395"/>
      <c r="L2087" s="273"/>
      <c r="M2087" s="394" t="str">
        <f t="shared" si="277"/>
        <v/>
      </c>
      <c r="N2087" s="273"/>
    </row>
    <row r="2088" spans="1:14" ht="12.75" customHeight="1" x14ac:dyDescent="0.2">
      <c r="A2088" s="400"/>
      <c r="B2088" s="271"/>
      <c r="C2088" s="271"/>
      <c r="D2088" s="271"/>
      <c r="E2088" s="271"/>
      <c r="F2088" s="271"/>
      <c r="G2088" s="273"/>
      <c r="H2088" s="29"/>
      <c r="I2088" s="394"/>
      <c r="J2088" s="273"/>
      <c r="K2088" s="395"/>
      <c r="L2088" s="273"/>
      <c r="M2088" s="394" t="str">
        <f t="shared" si="277"/>
        <v/>
      </c>
      <c r="N2088" s="273"/>
    </row>
    <row r="2089" spans="1:14" ht="12.75" customHeight="1" x14ac:dyDescent="0.25">
      <c r="A2089" s="4"/>
      <c r="B2089" s="4"/>
      <c r="C2089" s="4"/>
      <c r="D2089" s="4"/>
      <c r="E2089" s="4"/>
      <c r="F2089" s="4"/>
      <c r="G2089" s="4"/>
      <c r="H2089" s="4"/>
      <c r="I2089" s="4"/>
      <c r="J2089" s="4"/>
      <c r="K2089" s="396" t="s">
        <v>444</v>
      </c>
      <c r="L2089" s="273"/>
      <c r="M2089" s="394">
        <f>SUM(M2084:N2088)</f>
        <v>42822.15</v>
      </c>
      <c r="N2089" s="273"/>
    </row>
    <row r="2090" spans="1:14" ht="12.75" customHeight="1" x14ac:dyDescent="0.25">
      <c r="A2090" s="4"/>
      <c r="B2090" s="4"/>
      <c r="C2090" s="4"/>
      <c r="D2090" s="4"/>
      <c r="E2090" s="4"/>
      <c r="F2090" s="4"/>
      <c r="G2090" s="4"/>
      <c r="H2090" s="4"/>
      <c r="I2090" s="4"/>
      <c r="J2090" s="4"/>
      <c r="K2090" s="4"/>
      <c r="L2090" s="4"/>
      <c r="M2090" s="4"/>
      <c r="N2090" s="4"/>
    </row>
    <row r="2091" spans="1:14" ht="12.75" customHeight="1" x14ac:dyDescent="0.2">
      <c r="A2091" s="398" t="s">
        <v>931</v>
      </c>
      <c r="B2091" s="271"/>
      <c r="C2091" s="271"/>
      <c r="D2091" s="271"/>
      <c r="E2091" s="271"/>
      <c r="F2091" s="271"/>
      <c r="G2091" s="271"/>
      <c r="H2091" s="271"/>
      <c r="I2091" s="271"/>
      <c r="J2091" s="271"/>
      <c r="K2091" s="271"/>
      <c r="L2091" s="271"/>
      <c r="M2091" s="271"/>
      <c r="N2091" s="273"/>
    </row>
    <row r="2092" spans="1:14" ht="12.75" customHeight="1" x14ac:dyDescent="0.2">
      <c r="A2092" s="396" t="s">
        <v>76</v>
      </c>
      <c r="B2092" s="271"/>
      <c r="C2092" s="271"/>
      <c r="D2092" s="271"/>
      <c r="E2092" s="271"/>
      <c r="F2092" s="271"/>
      <c r="G2092" s="273"/>
      <c r="H2092" s="88" t="s">
        <v>77</v>
      </c>
      <c r="I2092" s="399" t="s">
        <v>920</v>
      </c>
      <c r="J2092" s="273"/>
      <c r="K2092" s="90" t="s">
        <v>514</v>
      </c>
      <c r="L2092" s="91" t="s">
        <v>932</v>
      </c>
      <c r="M2092" s="399" t="s">
        <v>921</v>
      </c>
      <c r="N2092" s="273"/>
    </row>
    <row r="2093" spans="1:14" ht="12.75" customHeight="1" x14ac:dyDescent="0.25">
      <c r="A2093" s="393" t="s">
        <v>986</v>
      </c>
      <c r="B2093" s="271"/>
      <c r="C2093" s="271"/>
      <c r="D2093" s="271"/>
      <c r="E2093" s="271"/>
      <c r="F2093" s="271"/>
      <c r="G2093" s="273"/>
      <c r="H2093" s="29" t="str">
        <f>IF(A2093="","",VLOOKUP(A2093,AA_Cuadrillas,4,FALSE))</f>
        <v>Cuadrilla</v>
      </c>
      <c r="I2093" s="394">
        <f>IF(A2093="","",VLOOKUP(A2093,AA_Cuadrillas,5,FALSE))</f>
        <v>186763</v>
      </c>
      <c r="J2093" s="273"/>
      <c r="K2093" s="9">
        <f>IF(A2093="","",F.P!$I$2)</f>
        <v>1.88</v>
      </c>
      <c r="L2093" s="97">
        <v>3.1E-2</v>
      </c>
      <c r="M2093" s="394">
        <f t="shared" ref="M2093:M2097" si="278">IF(A2093="","",I2093*K2093*L2093)</f>
        <v>10884.547640000001</v>
      </c>
      <c r="N2093" s="273"/>
    </row>
    <row r="2094" spans="1:14" ht="12.75" customHeight="1" x14ac:dyDescent="0.25">
      <c r="A2094" s="393"/>
      <c r="B2094" s="271"/>
      <c r="C2094" s="271"/>
      <c r="D2094" s="271"/>
      <c r="E2094" s="271"/>
      <c r="F2094" s="271"/>
      <c r="G2094" s="273"/>
      <c r="H2094" s="29" t="str">
        <f>IF(A2094="","",VLOOKUP(A2094,AA_Cuadrillas,4,FALSE))</f>
        <v/>
      </c>
      <c r="I2094" s="394" t="str">
        <f>IF(A2094="","",VLOOKUP(A2094,AA_Cuadrillas,5,FALSE))</f>
        <v/>
      </c>
      <c r="J2094" s="273"/>
      <c r="K2094" s="9" t="str">
        <f>IF(A2094="","",F.P!$I$2)</f>
        <v/>
      </c>
      <c r="L2094" s="9"/>
      <c r="M2094" s="394" t="str">
        <f t="shared" si="278"/>
        <v/>
      </c>
      <c r="N2094" s="273"/>
    </row>
    <row r="2095" spans="1:14" ht="12.75" customHeight="1" x14ac:dyDescent="0.25">
      <c r="A2095" s="393"/>
      <c r="B2095" s="271"/>
      <c r="C2095" s="271"/>
      <c r="D2095" s="271"/>
      <c r="E2095" s="271"/>
      <c r="F2095" s="271"/>
      <c r="G2095" s="273"/>
      <c r="H2095" s="29" t="str">
        <f>IF(A2095="","",VLOOKUP(A2095,AA_Cuadrillas,4,FALSE))</f>
        <v/>
      </c>
      <c r="I2095" s="394" t="str">
        <f>IF(A2095="","",VLOOKUP(A2095,AA_Cuadrillas,5,FALSE))</f>
        <v/>
      </c>
      <c r="J2095" s="273"/>
      <c r="K2095" s="9" t="str">
        <f>IF(A2095="","",F.P!$I$2)</f>
        <v/>
      </c>
      <c r="L2095" s="37"/>
      <c r="M2095" s="394" t="str">
        <f t="shared" si="278"/>
        <v/>
      </c>
      <c r="N2095" s="273"/>
    </row>
    <row r="2096" spans="1:14" ht="12.75" customHeight="1" x14ac:dyDescent="0.25">
      <c r="A2096" s="393"/>
      <c r="B2096" s="271"/>
      <c r="C2096" s="271"/>
      <c r="D2096" s="271"/>
      <c r="E2096" s="271"/>
      <c r="F2096" s="271"/>
      <c r="G2096" s="273"/>
      <c r="H2096" s="29" t="str">
        <f>IF(A2096="","",VLOOKUP(A2096,AA_Cuadrillas,4,FALSE))</f>
        <v/>
      </c>
      <c r="I2096" s="394" t="str">
        <f>IF(A2096="","",VLOOKUP(A2096,AA_Cuadrillas,5,FALSE))</f>
        <v/>
      </c>
      <c r="J2096" s="273"/>
      <c r="K2096" s="9" t="str">
        <f>IF(A2096="","",F.P!$I$2)</f>
        <v/>
      </c>
      <c r="L2096" s="37"/>
      <c r="M2096" s="394" t="str">
        <f t="shared" si="278"/>
        <v/>
      </c>
      <c r="N2096" s="273"/>
    </row>
    <row r="2097" spans="1:14" ht="12.75" customHeight="1" x14ac:dyDescent="0.25">
      <c r="A2097" s="393"/>
      <c r="B2097" s="271"/>
      <c r="C2097" s="271"/>
      <c r="D2097" s="271"/>
      <c r="E2097" s="271"/>
      <c r="F2097" s="271"/>
      <c r="G2097" s="273"/>
      <c r="H2097" s="29" t="str">
        <f>IF(A2097="","",VLOOKUP(A2097,AA_Cuadrillas,4,FALSE))</f>
        <v/>
      </c>
      <c r="I2097" s="394" t="str">
        <f>IF(A2097="","",VLOOKUP(A2097,AA_Cuadrillas,5,FALSE))</f>
        <v/>
      </c>
      <c r="J2097" s="273"/>
      <c r="K2097" s="9" t="str">
        <f>IF(A2097="","",F.P!$I$2)</f>
        <v/>
      </c>
      <c r="L2097" s="37"/>
      <c r="M2097" s="394" t="str">
        <f t="shared" si="278"/>
        <v/>
      </c>
      <c r="N2097" s="273"/>
    </row>
    <row r="2098" spans="1:14" ht="12.75" customHeight="1" x14ac:dyDescent="0.25">
      <c r="A2098" s="4"/>
      <c r="B2098" s="4"/>
      <c r="C2098" s="4"/>
      <c r="D2098" s="4"/>
      <c r="E2098" s="4"/>
      <c r="F2098" s="4"/>
      <c r="G2098" s="4"/>
      <c r="H2098" s="4"/>
      <c r="I2098" s="4"/>
      <c r="J2098" s="4"/>
      <c r="K2098" s="396" t="s">
        <v>444</v>
      </c>
      <c r="L2098" s="273"/>
      <c r="M2098" s="394">
        <f>SUM(M2093:N2097)</f>
        <v>10884.547640000001</v>
      </c>
      <c r="N2098" s="273"/>
    </row>
    <row r="2099" spans="1:14" ht="12.75" customHeight="1" x14ac:dyDescent="0.2"/>
    <row r="2100" spans="1:14" ht="12.75" customHeight="1" x14ac:dyDescent="0.2">
      <c r="A2100" s="407" t="s">
        <v>1073</v>
      </c>
      <c r="B2100" s="275"/>
      <c r="C2100" s="275"/>
      <c r="D2100" s="275"/>
      <c r="E2100" s="275"/>
      <c r="F2100" s="275"/>
      <c r="G2100" s="275"/>
      <c r="H2100" s="275"/>
      <c r="I2100" s="275"/>
      <c r="J2100" s="275"/>
      <c r="K2100" s="275"/>
      <c r="L2100" s="275"/>
      <c r="M2100" s="275"/>
      <c r="N2100" s="276"/>
    </row>
    <row r="2101" spans="1:14" ht="12.75" customHeight="1" x14ac:dyDescent="0.2">
      <c r="A2101" s="277"/>
      <c r="B2101" s="278"/>
      <c r="C2101" s="278"/>
      <c r="D2101" s="278"/>
      <c r="E2101" s="278"/>
      <c r="F2101" s="278"/>
      <c r="G2101" s="278"/>
      <c r="H2101" s="278"/>
      <c r="I2101" s="278"/>
      <c r="J2101" s="278"/>
      <c r="K2101" s="278"/>
      <c r="L2101" s="278"/>
      <c r="M2101" s="278"/>
      <c r="N2101" s="279"/>
    </row>
    <row r="2102" spans="1:14" ht="12.75" customHeight="1" x14ac:dyDescent="0.2">
      <c r="A2102" s="75"/>
      <c r="B2102" s="75"/>
      <c r="C2102" s="75"/>
      <c r="D2102" s="75"/>
      <c r="E2102" s="75"/>
      <c r="F2102" s="75"/>
      <c r="G2102" s="75"/>
      <c r="H2102" s="75"/>
      <c r="I2102" s="75"/>
      <c r="J2102" s="75"/>
      <c r="K2102" s="75"/>
      <c r="L2102" s="75"/>
      <c r="M2102" s="75"/>
      <c r="N2102" s="75"/>
    </row>
    <row r="2103" spans="1:14" ht="12.75" customHeight="1" x14ac:dyDescent="0.3">
      <c r="A2103" s="79" t="s">
        <v>662</v>
      </c>
      <c r="B2103" s="80" t="str">
        <f>A2100</f>
        <v>SUMINISTRO E INSTALACIÓN DE CHEQUE Ø6 EN HIERRO DUCTIL</v>
      </c>
      <c r="C2103" s="81" t="s">
        <v>916</v>
      </c>
      <c r="D2103" s="82" t="s">
        <v>999</v>
      </c>
      <c r="E2103" s="83" t="s">
        <v>445</v>
      </c>
      <c r="F2103" s="234">
        <f>(H2103+J2103+L2103+N2103)*1.3</f>
        <v>2064267.0425286002</v>
      </c>
      <c r="G2103" s="83" t="s">
        <v>607</v>
      </c>
      <c r="H2103" s="86">
        <f>M2113</f>
        <v>1501399</v>
      </c>
      <c r="I2103" s="83" t="s">
        <v>918</v>
      </c>
      <c r="J2103" s="86">
        <f>M2122</f>
        <v>544.22738200000003</v>
      </c>
      <c r="K2103" s="83" t="s">
        <v>609</v>
      </c>
      <c r="L2103" s="86">
        <f>M2131</f>
        <v>75069.95</v>
      </c>
      <c r="M2103" s="83" t="s">
        <v>610</v>
      </c>
      <c r="N2103" s="86">
        <f>M2140</f>
        <v>10884.547640000001</v>
      </c>
    </row>
    <row r="2104" spans="1:14" ht="12.75" customHeight="1" x14ac:dyDescent="0.25">
      <c r="A2104" s="87"/>
      <c r="B2104" s="87"/>
      <c r="C2104" s="87"/>
      <c r="D2104" s="87"/>
      <c r="E2104" s="87"/>
      <c r="F2104" s="87"/>
      <c r="G2104" s="87"/>
      <c r="J2104" s="87"/>
      <c r="K2104" s="215" t="s">
        <v>3217</v>
      </c>
      <c r="L2104" s="215">
        <f>+F2103*presup!$O$5</f>
        <v>2683547.1552871806</v>
      </c>
      <c r="M2104" s="87"/>
      <c r="N2104" s="87"/>
    </row>
    <row r="2105" spans="1:14" ht="12.75" customHeight="1" x14ac:dyDescent="0.2">
      <c r="A2105" s="398" t="s">
        <v>919</v>
      </c>
      <c r="B2105" s="271"/>
      <c r="C2105" s="271"/>
      <c r="D2105" s="271"/>
      <c r="E2105" s="271"/>
      <c r="F2105" s="271"/>
      <c r="G2105" s="271"/>
      <c r="H2105" s="271"/>
      <c r="I2105" s="271"/>
      <c r="J2105" s="271"/>
      <c r="K2105" s="271"/>
      <c r="L2105" s="271"/>
      <c r="M2105" s="271"/>
      <c r="N2105" s="273"/>
    </row>
    <row r="2106" spans="1:14" ht="12.75" customHeight="1" x14ac:dyDescent="0.2">
      <c r="A2106" s="396" t="s">
        <v>76</v>
      </c>
      <c r="B2106" s="271"/>
      <c r="C2106" s="271"/>
      <c r="D2106" s="271"/>
      <c r="E2106" s="271"/>
      <c r="F2106" s="271"/>
      <c r="G2106" s="273"/>
      <c r="H2106" s="88" t="s">
        <v>77</v>
      </c>
      <c r="I2106" s="399" t="s">
        <v>920</v>
      </c>
      <c r="J2106" s="273"/>
      <c r="K2106" s="399" t="s">
        <v>453</v>
      </c>
      <c r="L2106" s="273"/>
      <c r="M2106" s="399" t="s">
        <v>921</v>
      </c>
      <c r="N2106" s="273"/>
    </row>
    <row r="2107" spans="1:14" ht="12.75" customHeight="1" x14ac:dyDescent="0.2">
      <c r="A2107" s="403" t="s">
        <v>1074</v>
      </c>
      <c r="B2107" s="271"/>
      <c r="C2107" s="271"/>
      <c r="D2107" s="271"/>
      <c r="E2107" s="271"/>
      <c r="F2107" s="271"/>
      <c r="G2107" s="273"/>
      <c r="H2107" s="29" t="str">
        <f t="shared" ref="H2107:H2112" si="279">IF(A2107="","",VLOOKUP(A2107,AA_Materiales,7,FALSE))</f>
        <v>Unidad</v>
      </c>
      <c r="I2107" s="394">
        <f t="shared" ref="I2107:I2112" si="280">IF(A2107="","",VLOOKUP(A2107,AA_Materiales,8,FALSE))</f>
        <v>1501399</v>
      </c>
      <c r="J2107" s="273"/>
      <c r="K2107" s="395">
        <v>1</v>
      </c>
      <c r="L2107" s="273"/>
      <c r="M2107" s="394">
        <f t="shared" ref="M2107:M2112" si="281">IF(A2107="","",I2107*K2107)</f>
        <v>1501399</v>
      </c>
      <c r="N2107" s="273"/>
    </row>
    <row r="2108" spans="1:14" ht="12.75" customHeight="1" x14ac:dyDescent="0.2">
      <c r="A2108" s="403"/>
      <c r="B2108" s="271"/>
      <c r="C2108" s="271"/>
      <c r="D2108" s="271"/>
      <c r="E2108" s="271"/>
      <c r="F2108" s="271"/>
      <c r="G2108" s="273"/>
      <c r="H2108" s="29" t="str">
        <f t="shared" si="279"/>
        <v/>
      </c>
      <c r="I2108" s="394" t="str">
        <f t="shared" si="280"/>
        <v/>
      </c>
      <c r="J2108" s="273"/>
      <c r="K2108" s="395"/>
      <c r="L2108" s="273"/>
      <c r="M2108" s="394" t="str">
        <f t="shared" si="281"/>
        <v/>
      </c>
      <c r="N2108" s="273"/>
    </row>
    <row r="2109" spans="1:14" ht="12.75" customHeight="1" x14ac:dyDescent="0.2">
      <c r="A2109" s="403"/>
      <c r="B2109" s="271"/>
      <c r="C2109" s="271"/>
      <c r="D2109" s="271"/>
      <c r="E2109" s="271"/>
      <c r="F2109" s="271"/>
      <c r="G2109" s="273"/>
      <c r="H2109" s="29" t="str">
        <f t="shared" si="279"/>
        <v/>
      </c>
      <c r="I2109" s="394" t="str">
        <f t="shared" si="280"/>
        <v/>
      </c>
      <c r="J2109" s="273"/>
      <c r="K2109" s="395"/>
      <c r="L2109" s="273"/>
      <c r="M2109" s="394" t="str">
        <f t="shared" si="281"/>
        <v/>
      </c>
      <c r="N2109" s="273"/>
    </row>
    <row r="2110" spans="1:14" ht="12.75" customHeight="1" x14ac:dyDescent="0.2">
      <c r="A2110" s="403"/>
      <c r="B2110" s="271"/>
      <c r="C2110" s="271"/>
      <c r="D2110" s="271"/>
      <c r="E2110" s="271"/>
      <c r="F2110" s="271"/>
      <c r="G2110" s="273"/>
      <c r="H2110" s="29" t="str">
        <f t="shared" si="279"/>
        <v/>
      </c>
      <c r="I2110" s="394" t="str">
        <f t="shared" si="280"/>
        <v/>
      </c>
      <c r="J2110" s="273"/>
      <c r="K2110" s="395"/>
      <c r="L2110" s="273"/>
      <c r="M2110" s="394" t="str">
        <f t="shared" si="281"/>
        <v/>
      </c>
      <c r="N2110" s="273"/>
    </row>
    <row r="2111" spans="1:14" ht="12.75" customHeight="1" x14ac:dyDescent="0.2">
      <c r="A2111" s="403"/>
      <c r="B2111" s="271"/>
      <c r="C2111" s="271"/>
      <c r="D2111" s="271"/>
      <c r="E2111" s="271"/>
      <c r="F2111" s="271"/>
      <c r="G2111" s="273"/>
      <c r="H2111" s="29" t="str">
        <f t="shared" si="279"/>
        <v/>
      </c>
      <c r="I2111" s="394" t="str">
        <f t="shared" si="280"/>
        <v/>
      </c>
      <c r="J2111" s="273"/>
      <c r="K2111" s="395"/>
      <c r="L2111" s="273"/>
      <c r="M2111" s="394" t="str">
        <f t="shared" si="281"/>
        <v/>
      </c>
      <c r="N2111" s="273"/>
    </row>
    <row r="2112" spans="1:14" ht="12.75" customHeight="1" x14ac:dyDescent="0.2">
      <c r="A2112" s="403"/>
      <c r="B2112" s="271"/>
      <c r="C2112" s="271"/>
      <c r="D2112" s="271"/>
      <c r="E2112" s="271"/>
      <c r="F2112" s="271"/>
      <c r="G2112" s="273"/>
      <c r="H2112" s="29" t="str">
        <f t="shared" si="279"/>
        <v/>
      </c>
      <c r="I2112" s="394" t="str">
        <f t="shared" si="280"/>
        <v/>
      </c>
      <c r="J2112" s="273"/>
      <c r="K2112" s="395"/>
      <c r="L2112" s="273"/>
      <c r="M2112" s="394" t="str">
        <f t="shared" si="281"/>
        <v/>
      </c>
      <c r="N2112" s="273"/>
    </row>
    <row r="2113" spans="1:14" ht="12.75" customHeight="1" x14ac:dyDescent="0.25">
      <c r="A2113" s="4"/>
      <c r="B2113" s="4"/>
      <c r="C2113" s="4"/>
      <c r="D2113" s="4"/>
      <c r="E2113" s="4"/>
      <c r="F2113" s="4"/>
      <c r="G2113" s="4"/>
      <c r="H2113" s="4"/>
      <c r="I2113" s="4"/>
      <c r="J2113" s="4"/>
      <c r="K2113" s="396" t="s">
        <v>444</v>
      </c>
      <c r="L2113" s="273"/>
      <c r="M2113" s="394">
        <f>SUM(M2107:N2112)</f>
        <v>1501399</v>
      </c>
      <c r="N2113" s="273"/>
    </row>
    <row r="2114" spans="1:14" ht="12.75" customHeight="1" x14ac:dyDescent="0.25">
      <c r="A2114" s="4"/>
      <c r="B2114" s="4"/>
      <c r="C2114" s="4"/>
      <c r="D2114" s="4"/>
      <c r="E2114" s="4"/>
      <c r="F2114" s="4"/>
      <c r="G2114" s="4"/>
      <c r="H2114" s="4"/>
      <c r="I2114" s="4"/>
      <c r="J2114" s="4"/>
      <c r="K2114" s="4"/>
      <c r="L2114" s="4"/>
      <c r="M2114" s="4"/>
      <c r="N2114" s="4"/>
    </row>
    <row r="2115" spans="1:14" ht="12.75" customHeight="1" x14ac:dyDescent="0.2">
      <c r="A2115" s="398" t="s">
        <v>926</v>
      </c>
      <c r="B2115" s="271"/>
      <c r="C2115" s="271"/>
      <c r="D2115" s="271"/>
      <c r="E2115" s="271"/>
      <c r="F2115" s="271"/>
      <c r="G2115" s="271"/>
      <c r="H2115" s="271"/>
      <c r="I2115" s="271"/>
      <c r="J2115" s="271"/>
      <c r="K2115" s="271"/>
      <c r="L2115" s="271"/>
      <c r="M2115" s="271"/>
      <c r="N2115" s="273"/>
    </row>
    <row r="2116" spans="1:14" ht="12.75" customHeight="1" x14ac:dyDescent="0.2">
      <c r="A2116" s="396" t="s">
        <v>76</v>
      </c>
      <c r="B2116" s="271"/>
      <c r="C2116" s="271"/>
      <c r="D2116" s="271"/>
      <c r="E2116" s="271"/>
      <c r="F2116" s="271"/>
      <c r="G2116" s="273"/>
      <c r="H2116" s="88" t="s">
        <v>77</v>
      </c>
      <c r="I2116" s="399" t="s">
        <v>920</v>
      </c>
      <c r="J2116" s="273"/>
      <c r="K2116" s="399" t="s">
        <v>453</v>
      </c>
      <c r="L2116" s="273"/>
      <c r="M2116" s="399" t="s">
        <v>921</v>
      </c>
      <c r="N2116" s="273"/>
    </row>
    <row r="2117" spans="1:14" ht="12.75" customHeight="1" x14ac:dyDescent="0.2">
      <c r="A2117" s="400" t="s">
        <v>927</v>
      </c>
      <c r="B2117" s="271"/>
      <c r="C2117" s="271"/>
      <c r="D2117" s="271"/>
      <c r="E2117" s="271"/>
      <c r="F2117" s="271"/>
      <c r="G2117" s="273"/>
      <c r="H2117" s="29" t="str">
        <f>IF(A2117="","",VLOOKUP(A2117,AA_Equipos,7,FALSE))</f>
        <v>% M.O.</v>
      </c>
      <c r="I2117" s="394">
        <f>+M2140</f>
        <v>10884.547640000001</v>
      </c>
      <c r="J2117" s="273"/>
      <c r="K2117" s="404">
        <v>0.05</v>
      </c>
      <c r="L2117" s="273"/>
      <c r="M2117" s="394">
        <f t="shared" ref="M2117:M2121" si="282">IF(A2117="","",I2117*K2117)</f>
        <v>544.22738200000003</v>
      </c>
      <c r="N2117" s="273"/>
    </row>
    <row r="2118" spans="1:14" ht="12.75" customHeight="1" x14ac:dyDescent="0.2">
      <c r="A2118" s="403"/>
      <c r="B2118" s="271"/>
      <c r="C2118" s="271"/>
      <c r="D2118" s="271"/>
      <c r="E2118" s="271"/>
      <c r="F2118" s="271"/>
      <c r="G2118" s="273"/>
      <c r="H2118" s="29" t="str">
        <f>IF(A2118="","",VLOOKUP(A2118,AA_Equipos,7,FALSE))</f>
        <v/>
      </c>
      <c r="I2118" s="394" t="str">
        <f>IF(A2118="","",VLOOKUP(A2118,AA_Equipos,8,FALSE))</f>
        <v/>
      </c>
      <c r="J2118" s="273"/>
      <c r="K2118" s="402"/>
      <c r="L2118" s="273"/>
      <c r="M2118" s="394" t="str">
        <f t="shared" si="282"/>
        <v/>
      </c>
      <c r="N2118" s="273"/>
    </row>
    <row r="2119" spans="1:14" ht="12.75" customHeight="1" x14ac:dyDescent="0.2">
      <c r="A2119" s="400"/>
      <c r="B2119" s="271"/>
      <c r="C2119" s="271"/>
      <c r="D2119" s="271"/>
      <c r="E2119" s="271"/>
      <c r="F2119" s="271"/>
      <c r="G2119" s="273"/>
      <c r="H2119" s="29" t="str">
        <f>IF(A2119="","",VLOOKUP(A2119,AA_Equipos,7,FALSE))</f>
        <v/>
      </c>
      <c r="I2119" s="394" t="str">
        <f>IF(A2119="","",VLOOKUP(A2119,AA_Equipos,8,FALSE))</f>
        <v/>
      </c>
      <c r="J2119" s="273"/>
      <c r="K2119" s="401"/>
      <c r="L2119" s="273"/>
      <c r="M2119" s="394" t="str">
        <f t="shared" si="282"/>
        <v/>
      </c>
      <c r="N2119" s="273"/>
    </row>
    <row r="2120" spans="1:14" ht="12.75" customHeight="1" x14ac:dyDescent="0.2">
      <c r="A2120" s="400"/>
      <c r="B2120" s="271"/>
      <c r="C2120" s="271"/>
      <c r="D2120" s="271"/>
      <c r="E2120" s="271"/>
      <c r="F2120" s="271"/>
      <c r="G2120" s="273"/>
      <c r="H2120" s="29" t="str">
        <f>IF(A2120="","",VLOOKUP(A2120,AA_Equipos,7,FALSE))</f>
        <v/>
      </c>
      <c r="I2120" s="394" t="str">
        <f>IF(A2120="","",VLOOKUP(A2120,AA_Equipos,8,FALSE))</f>
        <v/>
      </c>
      <c r="J2120" s="273"/>
      <c r="K2120" s="395"/>
      <c r="L2120" s="273"/>
      <c r="M2120" s="394" t="str">
        <f t="shared" si="282"/>
        <v/>
      </c>
      <c r="N2120" s="273"/>
    </row>
    <row r="2121" spans="1:14" ht="12.75" customHeight="1" x14ac:dyDescent="0.2">
      <c r="A2121" s="400"/>
      <c r="B2121" s="271"/>
      <c r="C2121" s="271"/>
      <c r="D2121" s="271"/>
      <c r="E2121" s="271"/>
      <c r="F2121" s="271"/>
      <c r="G2121" s="273"/>
      <c r="H2121" s="29" t="str">
        <f>IF(A2121="","",VLOOKUP(A2121,AA_Equipos,7,FALSE))</f>
        <v/>
      </c>
      <c r="I2121" s="394" t="str">
        <f>IF(A2121="","",VLOOKUP(A2121,AA_Equipos,8,FALSE))</f>
        <v/>
      </c>
      <c r="J2121" s="273"/>
      <c r="K2121" s="395"/>
      <c r="L2121" s="273"/>
      <c r="M2121" s="394" t="str">
        <f t="shared" si="282"/>
        <v/>
      </c>
      <c r="N2121" s="273"/>
    </row>
    <row r="2122" spans="1:14" ht="12.75" customHeight="1" x14ac:dyDescent="0.25">
      <c r="A2122" s="4"/>
      <c r="B2122" s="4"/>
      <c r="C2122" s="4"/>
      <c r="D2122" s="4"/>
      <c r="E2122" s="4"/>
      <c r="F2122" s="4"/>
      <c r="G2122" s="4"/>
      <c r="H2122" s="4"/>
      <c r="I2122" s="4"/>
      <c r="J2122" s="4"/>
      <c r="K2122" s="396" t="s">
        <v>444</v>
      </c>
      <c r="L2122" s="273"/>
      <c r="M2122" s="394">
        <f>SUM(M2117:N2121)</f>
        <v>544.22738200000003</v>
      </c>
      <c r="N2122" s="273"/>
    </row>
    <row r="2123" spans="1:14" ht="12.75" customHeight="1" x14ac:dyDescent="0.25">
      <c r="A2123" s="4"/>
      <c r="B2123" s="4"/>
      <c r="C2123" s="4"/>
      <c r="D2123" s="4"/>
      <c r="E2123" s="4"/>
      <c r="F2123" s="4"/>
      <c r="G2123" s="4"/>
      <c r="H2123" s="4"/>
      <c r="I2123" s="4"/>
      <c r="J2123" s="4"/>
      <c r="K2123" s="4"/>
      <c r="L2123" s="4"/>
      <c r="M2123" s="4"/>
      <c r="N2123" s="4"/>
    </row>
    <row r="2124" spans="1:14" ht="12.75" customHeight="1" x14ac:dyDescent="0.2">
      <c r="A2124" s="398" t="s">
        <v>929</v>
      </c>
      <c r="B2124" s="271"/>
      <c r="C2124" s="271"/>
      <c r="D2124" s="271"/>
      <c r="E2124" s="271"/>
      <c r="F2124" s="271"/>
      <c r="G2124" s="271"/>
      <c r="H2124" s="271"/>
      <c r="I2124" s="271"/>
      <c r="J2124" s="271"/>
      <c r="K2124" s="271"/>
      <c r="L2124" s="271"/>
      <c r="M2124" s="271"/>
      <c r="N2124" s="273"/>
    </row>
    <row r="2125" spans="1:14" ht="12.75" customHeight="1" x14ac:dyDescent="0.2">
      <c r="A2125" s="396" t="s">
        <v>76</v>
      </c>
      <c r="B2125" s="271"/>
      <c r="C2125" s="271"/>
      <c r="D2125" s="271"/>
      <c r="E2125" s="271"/>
      <c r="F2125" s="271"/>
      <c r="G2125" s="273"/>
      <c r="H2125" s="88" t="s">
        <v>77</v>
      </c>
      <c r="I2125" s="399" t="s">
        <v>920</v>
      </c>
      <c r="J2125" s="273"/>
      <c r="K2125" s="399" t="s">
        <v>453</v>
      </c>
      <c r="L2125" s="273"/>
      <c r="M2125" s="399" t="s">
        <v>921</v>
      </c>
      <c r="N2125" s="273"/>
    </row>
    <row r="2126" spans="1:14" ht="12.75" customHeight="1" x14ac:dyDescent="0.2">
      <c r="A2126" s="400" t="s">
        <v>966</v>
      </c>
      <c r="B2126" s="271"/>
      <c r="C2126" s="271"/>
      <c r="D2126" s="271"/>
      <c r="E2126" s="271"/>
      <c r="F2126" s="271"/>
      <c r="G2126" s="273"/>
      <c r="H2126" s="29" t="s">
        <v>950</v>
      </c>
      <c r="I2126" s="394">
        <f>+M2113</f>
        <v>1501399</v>
      </c>
      <c r="J2126" s="273"/>
      <c r="K2126" s="404">
        <v>0.05</v>
      </c>
      <c r="L2126" s="273"/>
      <c r="M2126" s="394">
        <f t="shared" ref="M2126:M2130" si="283">IF(A2126="","",I2126*K2126)</f>
        <v>75069.95</v>
      </c>
      <c r="N2126" s="273"/>
    </row>
    <row r="2127" spans="1:14" ht="12.75" customHeight="1" x14ac:dyDescent="0.2">
      <c r="A2127" s="403"/>
      <c r="B2127" s="271"/>
      <c r="C2127" s="271"/>
      <c r="D2127" s="271"/>
      <c r="E2127" s="271"/>
      <c r="F2127" s="271"/>
      <c r="G2127" s="273"/>
      <c r="H2127" s="29"/>
      <c r="I2127" s="394"/>
      <c r="J2127" s="273"/>
      <c r="K2127" s="404"/>
      <c r="L2127" s="273"/>
      <c r="M2127" s="394" t="str">
        <f t="shared" si="283"/>
        <v/>
      </c>
      <c r="N2127" s="273"/>
    </row>
    <row r="2128" spans="1:14" ht="12.75" customHeight="1" x14ac:dyDescent="0.2">
      <c r="A2128" s="400"/>
      <c r="B2128" s="271"/>
      <c r="C2128" s="271"/>
      <c r="D2128" s="271"/>
      <c r="E2128" s="271"/>
      <c r="F2128" s="271"/>
      <c r="G2128" s="273"/>
      <c r="H2128" s="29"/>
      <c r="I2128" s="394"/>
      <c r="J2128" s="273"/>
      <c r="K2128" s="395"/>
      <c r="L2128" s="273"/>
      <c r="M2128" s="394" t="str">
        <f t="shared" si="283"/>
        <v/>
      </c>
      <c r="N2128" s="273"/>
    </row>
    <row r="2129" spans="1:14" ht="12.75" customHeight="1" x14ac:dyDescent="0.2">
      <c r="A2129" s="400"/>
      <c r="B2129" s="271"/>
      <c r="C2129" s="271"/>
      <c r="D2129" s="271"/>
      <c r="E2129" s="271"/>
      <c r="F2129" s="271"/>
      <c r="G2129" s="273"/>
      <c r="H2129" s="29"/>
      <c r="I2129" s="394"/>
      <c r="J2129" s="273"/>
      <c r="K2129" s="395"/>
      <c r="L2129" s="273"/>
      <c r="M2129" s="394" t="str">
        <f t="shared" si="283"/>
        <v/>
      </c>
      <c r="N2129" s="273"/>
    </row>
    <row r="2130" spans="1:14" ht="12.75" customHeight="1" x14ac:dyDescent="0.2">
      <c r="A2130" s="400"/>
      <c r="B2130" s="271"/>
      <c r="C2130" s="271"/>
      <c r="D2130" s="271"/>
      <c r="E2130" s="271"/>
      <c r="F2130" s="271"/>
      <c r="G2130" s="273"/>
      <c r="H2130" s="29"/>
      <c r="I2130" s="394"/>
      <c r="J2130" s="273"/>
      <c r="K2130" s="395"/>
      <c r="L2130" s="273"/>
      <c r="M2130" s="394" t="str">
        <f t="shared" si="283"/>
        <v/>
      </c>
      <c r="N2130" s="273"/>
    </row>
    <row r="2131" spans="1:14" ht="12.75" customHeight="1" x14ac:dyDescent="0.25">
      <c r="A2131" s="4"/>
      <c r="B2131" s="4"/>
      <c r="C2131" s="4"/>
      <c r="D2131" s="4"/>
      <c r="E2131" s="4"/>
      <c r="F2131" s="4"/>
      <c r="G2131" s="4"/>
      <c r="H2131" s="4"/>
      <c r="I2131" s="4"/>
      <c r="J2131" s="4"/>
      <c r="K2131" s="396" t="s">
        <v>444</v>
      </c>
      <c r="L2131" s="273"/>
      <c r="M2131" s="394">
        <f>SUM(M2126:N2130)</f>
        <v>75069.95</v>
      </c>
      <c r="N2131" s="273"/>
    </row>
    <row r="2132" spans="1:14" ht="12.75" customHeight="1" x14ac:dyDescent="0.25">
      <c r="A2132" s="4"/>
      <c r="B2132" s="4"/>
      <c r="C2132" s="4"/>
      <c r="D2132" s="4"/>
      <c r="E2132" s="4"/>
      <c r="F2132" s="4"/>
      <c r="G2132" s="4"/>
      <c r="H2132" s="4"/>
      <c r="I2132" s="4"/>
      <c r="J2132" s="4"/>
      <c r="K2132" s="4"/>
      <c r="L2132" s="4"/>
      <c r="M2132" s="4"/>
      <c r="N2132" s="4"/>
    </row>
    <row r="2133" spans="1:14" ht="12.75" customHeight="1" x14ac:dyDescent="0.2">
      <c r="A2133" s="398" t="s">
        <v>931</v>
      </c>
      <c r="B2133" s="271"/>
      <c r="C2133" s="271"/>
      <c r="D2133" s="271"/>
      <c r="E2133" s="271"/>
      <c r="F2133" s="271"/>
      <c r="G2133" s="271"/>
      <c r="H2133" s="271"/>
      <c r="I2133" s="271"/>
      <c r="J2133" s="271"/>
      <c r="K2133" s="271"/>
      <c r="L2133" s="271"/>
      <c r="M2133" s="271"/>
      <c r="N2133" s="273"/>
    </row>
    <row r="2134" spans="1:14" ht="12.75" customHeight="1" x14ac:dyDescent="0.2">
      <c r="A2134" s="396" t="s">
        <v>76</v>
      </c>
      <c r="B2134" s="271"/>
      <c r="C2134" s="271"/>
      <c r="D2134" s="271"/>
      <c r="E2134" s="271"/>
      <c r="F2134" s="271"/>
      <c r="G2134" s="273"/>
      <c r="H2134" s="88" t="s">
        <v>77</v>
      </c>
      <c r="I2134" s="399" t="s">
        <v>920</v>
      </c>
      <c r="J2134" s="273"/>
      <c r="K2134" s="90" t="s">
        <v>514</v>
      </c>
      <c r="L2134" s="91" t="s">
        <v>932</v>
      </c>
      <c r="M2134" s="399" t="s">
        <v>921</v>
      </c>
      <c r="N2134" s="273"/>
    </row>
    <row r="2135" spans="1:14" ht="12.75" customHeight="1" x14ac:dyDescent="0.25">
      <c r="A2135" s="393" t="s">
        <v>986</v>
      </c>
      <c r="B2135" s="271"/>
      <c r="C2135" s="271"/>
      <c r="D2135" s="271"/>
      <c r="E2135" s="271"/>
      <c r="F2135" s="271"/>
      <c r="G2135" s="273"/>
      <c r="H2135" s="29" t="str">
        <f>IF(A2135="","",VLOOKUP(A2135,AA_Cuadrillas,4,FALSE))</f>
        <v>Cuadrilla</v>
      </c>
      <c r="I2135" s="394">
        <f>IF(A2135="","",VLOOKUP(A2135,AA_Cuadrillas,5,FALSE))</f>
        <v>186763</v>
      </c>
      <c r="J2135" s="273"/>
      <c r="K2135" s="9">
        <f>IF(A2135="","",F.P!$I$2)</f>
        <v>1.88</v>
      </c>
      <c r="L2135" s="97">
        <v>3.1E-2</v>
      </c>
      <c r="M2135" s="394">
        <f t="shared" ref="M2135:M2139" si="284">IF(A2135="","",I2135*K2135*L2135)</f>
        <v>10884.547640000001</v>
      </c>
      <c r="N2135" s="273"/>
    </row>
    <row r="2136" spans="1:14" ht="12.75" customHeight="1" x14ac:dyDescent="0.25">
      <c r="A2136" s="393"/>
      <c r="B2136" s="271"/>
      <c r="C2136" s="271"/>
      <c r="D2136" s="271"/>
      <c r="E2136" s="271"/>
      <c r="F2136" s="271"/>
      <c r="G2136" s="273"/>
      <c r="H2136" s="29" t="str">
        <f>IF(A2136="","",VLOOKUP(A2136,AA_Cuadrillas,4,FALSE))</f>
        <v/>
      </c>
      <c r="I2136" s="394" t="str">
        <f>IF(A2136="","",VLOOKUP(A2136,AA_Cuadrillas,5,FALSE))</f>
        <v/>
      </c>
      <c r="J2136" s="273"/>
      <c r="K2136" s="9" t="str">
        <f>IF(A2136="","",F.P!$I$2)</f>
        <v/>
      </c>
      <c r="L2136" s="9"/>
      <c r="M2136" s="394" t="str">
        <f t="shared" si="284"/>
        <v/>
      </c>
      <c r="N2136" s="273"/>
    </row>
    <row r="2137" spans="1:14" ht="12.75" customHeight="1" x14ac:dyDescent="0.25">
      <c r="A2137" s="393"/>
      <c r="B2137" s="271"/>
      <c r="C2137" s="271"/>
      <c r="D2137" s="271"/>
      <c r="E2137" s="271"/>
      <c r="F2137" s="271"/>
      <c r="G2137" s="273"/>
      <c r="H2137" s="29" t="str">
        <f>IF(A2137="","",VLOOKUP(A2137,AA_Cuadrillas,4,FALSE))</f>
        <v/>
      </c>
      <c r="I2137" s="394" t="str">
        <f>IF(A2137="","",VLOOKUP(A2137,AA_Cuadrillas,5,FALSE))</f>
        <v/>
      </c>
      <c r="J2137" s="273"/>
      <c r="K2137" s="9" t="str">
        <f>IF(A2137="","",F.P!$I$2)</f>
        <v/>
      </c>
      <c r="L2137" s="37"/>
      <c r="M2137" s="394" t="str">
        <f t="shared" si="284"/>
        <v/>
      </c>
      <c r="N2137" s="273"/>
    </row>
    <row r="2138" spans="1:14" ht="12.75" customHeight="1" x14ac:dyDescent="0.25">
      <c r="A2138" s="393"/>
      <c r="B2138" s="271"/>
      <c r="C2138" s="271"/>
      <c r="D2138" s="271"/>
      <c r="E2138" s="271"/>
      <c r="F2138" s="271"/>
      <c r="G2138" s="273"/>
      <c r="H2138" s="29" t="str">
        <f>IF(A2138="","",VLOOKUP(A2138,AA_Cuadrillas,4,FALSE))</f>
        <v/>
      </c>
      <c r="I2138" s="394" t="str">
        <f>IF(A2138="","",VLOOKUP(A2138,AA_Cuadrillas,5,FALSE))</f>
        <v/>
      </c>
      <c r="J2138" s="273"/>
      <c r="K2138" s="9" t="str">
        <f>IF(A2138="","",F.P!$I$2)</f>
        <v/>
      </c>
      <c r="L2138" s="37"/>
      <c r="M2138" s="394" t="str">
        <f t="shared" si="284"/>
        <v/>
      </c>
      <c r="N2138" s="273"/>
    </row>
    <row r="2139" spans="1:14" ht="12.75" customHeight="1" x14ac:dyDescent="0.25">
      <c r="A2139" s="393"/>
      <c r="B2139" s="271"/>
      <c r="C2139" s="271"/>
      <c r="D2139" s="271"/>
      <c r="E2139" s="271"/>
      <c r="F2139" s="271"/>
      <c r="G2139" s="273"/>
      <c r="H2139" s="29" t="str">
        <f>IF(A2139="","",VLOOKUP(A2139,AA_Cuadrillas,4,FALSE))</f>
        <v/>
      </c>
      <c r="I2139" s="394" t="str">
        <f>IF(A2139="","",VLOOKUP(A2139,AA_Cuadrillas,5,FALSE))</f>
        <v/>
      </c>
      <c r="J2139" s="273"/>
      <c r="K2139" s="9" t="str">
        <f>IF(A2139="","",F.P!$I$2)</f>
        <v/>
      </c>
      <c r="L2139" s="37"/>
      <c r="M2139" s="394" t="str">
        <f t="shared" si="284"/>
        <v/>
      </c>
      <c r="N2139" s="273"/>
    </row>
    <row r="2140" spans="1:14" ht="12.75" customHeight="1" x14ac:dyDescent="0.25">
      <c r="A2140" s="4"/>
      <c r="B2140" s="4"/>
      <c r="C2140" s="4"/>
      <c r="D2140" s="4"/>
      <c r="E2140" s="4"/>
      <c r="F2140" s="4"/>
      <c r="G2140" s="4"/>
      <c r="H2140" s="4"/>
      <c r="I2140" s="4"/>
      <c r="J2140" s="4"/>
      <c r="K2140" s="396" t="s">
        <v>444</v>
      </c>
      <c r="L2140" s="273"/>
      <c r="M2140" s="394">
        <f>SUM(M2135:N2139)</f>
        <v>10884.547640000001</v>
      </c>
      <c r="N2140" s="273"/>
    </row>
    <row r="2141" spans="1:14" ht="12.75" customHeight="1" x14ac:dyDescent="0.2"/>
    <row r="2142" spans="1:14" ht="12.75" customHeight="1" x14ac:dyDescent="0.2">
      <c r="A2142" s="407" t="s">
        <v>1075</v>
      </c>
      <c r="B2142" s="275"/>
      <c r="C2142" s="275"/>
      <c r="D2142" s="275"/>
      <c r="E2142" s="275"/>
      <c r="F2142" s="275"/>
      <c r="G2142" s="275"/>
      <c r="H2142" s="275"/>
      <c r="I2142" s="275"/>
      <c r="J2142" s="275"/>
      <c r="K2142" s="275"/>
      <c r="L2142" s="275"/>
      <c r="M2142" s="275"/>
      <c r="N2142" s="276"/>
    </row>
    <row r="2143" spans="1:14" ht="12.75" customHeight="1" x14ac:dyDescent="0.2">
      <c r="A2143" s="277"/>
      <c r="B2143" s="278"/>
      <c r="C2143" s="278"/>
      <c r="D2143" s="278"/>
      <c r="E2143" s="278"/>
      <c r="F2143" s="278"/>
      <c r="G2143" s="278"/>
      <c r="H2143" s="278"/>
      <c r="I2143" s="278"/>
      <c r="J2143" s="278"/>
      <c r="K2143" s="278"/>
      <c r="L2143" s="278"/>
      <c r="M2143" s="278"/>
      <c r="N2143" s="279"/>
    </row>
    <row r="2144" spans="1:14" ht="12.75" customHeight="1" x14ac:dyDescent="0.2">
      <c r="A2144" s="75"/>
      <c r="B2144" s="75"/>
      <c r="C2144" s="75"/>
      <c r="D2144" s="75"/>
      <c r="E2144" s="75"/>
      <c r="F2144" s="75"/>
      <c r="G2144" s="75"/>
      <c r="H2144" s="75"/>
      <c r="I2144" s="75"/>
      <c r="J2144" s="75"/>
      <c r="K2144" s="75"/>
      <c r="L2144" s="75"/>
      <c r="M2144" s="75"/>
      <c r="N2144" s="75"/>
    </row>
    <row r="2145" spans="1:14" ht="12.75" customHeight="1" x14ac:dyDescent="0.3">
      <c r="A2145" s="79" t="s">
        <v>663</v>
      </c>
      <c r="B2145" s="80" t="str">
        <f>A2142</f>
        <v>SUMINISTRO E INSTALACIÓN DE YEE Ø4 EN HIERRO DUCTIL</v>
      </c>
      <c r="C2145" s="81" t="s">
        <v>916</v>
      </c>
      <c r="D2145" s="82" t="s">
        <v>999</v>
      </c>
      <c r="E2145" s="83" t="s">
        <v>445</v>
      </c>
      <c r="F2145" s="234">
        <f>(H2145+J2145+L2145+N2145)*1.3</f>
        <v>690532.40752859996</v>
      </c>
      <c r="G2145" s="83" t="s">
        <v>607</v>
      </c>
      <c r="H2145" s="86">
        <f>M2155</f>
        <v>495000</v>
      </c>
      <c r="I2145" s="83" t="s">
        <v>918</v>
      </c>
      <c r="J2145" s="86">
        <f>M2164</f>
        <v>544.22738200000003</v>
      </c>
      <c r="K2145" s="83" t="s">
        <v>609</v>
      </c>
      <c r="L2145" s="86">
        <f>M2173</f>
        <v>24750</v>
      </c>
      <c r="M2145" s="83" t="s">
        <v>610</v>
      </c>
      <c r="N2145" s="86">
        <f>M2182</f>
        <v>10884.547640000001</v>
      </c>
    </row>
    <row r="2146" spans="1:14" ht="12.75" customHeight="1" x14ac:dyDescent="0.25">
      <c r="A2146" s="87"/>
      <c r="B2146" s="87"/>
      <c r="C2146" s="87"/>
      <c r="D2146" s="87"/>
      <c r="E2146" s="87"/>
      <c r="F2146" s="87"/>
      <c r="G2146" s="87"/>
      <c r="J2146" s="87"/>
      <c r="K2146" s="215" t="s">
        <v>3217</v>
      </c>
      <c r="L2146" s="215">
        <f>+F2145*presup!$O$5</f>
        <v>897692.12978717999</v>
      </c>
      <c r="M2146" s="87"/>
      <c r="N2146" s="87"/>
    </row>
    <row r="2147" spans="1:14" ht="12.75" customHeight="1" x14ac:dyDescent="0.2">
      <c r="A2147" s="398" t="s">
        <v>919</v>
      </c>
      <c r="B2147" s="271"/>
      <c r="C2147" s="271"/>
      <c r="D2147" s="271"/>
      <c r="E2147" s="271"/>
      <c r="F2147" s="271"/>
      <c r="G2147" s="271"/>
      <c r="H2147" s="271"/>
      <c r="I2147" s="271"/>
      <c r="J2147" s="271"/>
      <c r="K2147" s="271"/>
      <c r="L2147" s="271"/>
      <c r="M2147" s="271"/>
      <c r="N2147" s="273"/>
    </row>
    <row r="2148" spans="1:14" ht="12.75" customHeight="1" x14ac:dyDescent="0.2">
      <c r="A2148" s="396" t="s">
        <v>76</v>
      </c>
      <c r="B2148" s="271"/>
      <c r="C2148" s="271"/>
      <c r="D2148" s="271"/>
      <c r="E2148" s="271"/>
      <c r="F2148" s="271"/>
      <c r="G2148" s="273"/>
      <c r="H2148" s="88" t="s">
        <v>77</v>
      </c>
      <c r="I2148" s="399" t="s">
        <v>920</v>
      </c>
      <c r="J2148" s="273"/>
      <c r="K2148" s="399" t="s">
        <v>453</v>
      </c>
      <c r="L2148" s="273"/>
      <c r="M2148" s="399" t="s">
        <v>921</v>
      </c>
      <c r="N2148" s="273"/>
    </row>
    <row r="2149" spans="1:14" ht="12.75" customHeight="1" x14ac:dyDescent="0.2">
      <c r="A2149" s="403" t="s">
        <v>1076</v>
      </c>
      <c r="B2149" s="271"/>
      <c r="C2149" s="271"/>
      <c r="D2149" s="271"/>
      <c r="E2149" s="271"/>
      <c r="F2149" s="271"/>
      <c r="G2149" s="273"/>
      <c r="H2149" s="29" t="str">
        <f t="shared" ref="H2149:H2154" si="285">IF(A2149="","",VLOOKUP(A2149,AA_Materiales,7,FALSE))</f>
        <v>Unidad</v>
      </c>
      <c r="I2149" s="394">
        <f t="shared" ref="I2149:I2154" si="286">IF(A2149="","",VLOOKUP(A2149,AA_Materiales,8,FALSE))</f>
        <v>495000</v>
      </c>
      <c r="J2149" s="273"/>
      <c r="K2149" s="395">
        <v>1</v>
      </c>
      <c r="L2149" s="273"/>
      <c r="M2149" s="394">
        <f t="shared" ref="M2149:M2154" si="287">IF(A2149="","",I2149*K2149)</f>
        <v>495000</v>
      </c>
      <c r="N2149" s="273"/>
    </row>
    <row r="2150" spans="1:14" ht="12.75" customHeight="1" x14ac:dyDescent="0.2">
      <c r="A2150" s="403"/>
      <c r="B2150" s="271"/>
      <c r="C2150" s="271"/>
      <c r="D2150" s="271"/>
      <c r="E2150" s="271"/>
      <c r="F2150" s="271"/>
      <c r="G2150" s="273"/>
      <c r="H2150" s="29" t="str">
        <f t="shared" si="285"/>
        <v/>
      </c>
      <c r="I2150" s="394" t="str">
        <f t="shared" si="286"/>
        <v/>
      </c>
      <c r="J2150" s="273"/>
      <c r="K2150" s="395"/>
      <c r="L2150" s="273"/>
      <c r="M2150" s="394" t="str">
        <f t="shared" si="287"/>
        <v/>
      </c>
      <c r="N2150" s="273"/>
    </row>
    <row r="2151" spans="1:14" ht="12.75" customHeight="1" x14ac:dyDescent="0.2">
      <c r="A2151" s="403"/>
      <c r="B2151" s="271"/>
      <c r="C2151" s="271"/>
      <c r="D2151" s="271"/>
      <c r="E2151" s="271"/>
      <c r="F2151" s="271"/>
      <c r="G2151" s="273"/>
      <c r="H2151" s="29" t="str">
        <f t="shared" si="285"/>
        <v/>
      </c>
      <c r="I2151" s="394" t="str">
        <f t="shared" si="286"/>
        <v/>
      </c>
      <c r="J2151" s="273"/>
      <c r="K2151" s="395"/>
      <c r="L2151" s="273"/>
      <c r="M2151" s="394" t="str">
        <f t="shared" si="287"/>
        <v/>
      </c>
      <c r="N2151" s="273"/>
    </row>
    <row r="2152" spans="1:14" ht="12.75" customHeight="1" x14ac:dyDescent="0.2">
      <c r="A2152" s="403"/>
      <c r="B2152" s="271"/>
      <c r="C2152" s="271"/>
      <c r="D2152" s="271"/>
      <c r="E2152" s="271"/>
      <c r="F2152" s="271"/>
      <c r="G2152" s="273"/>
      <c r="H2152" s="29" t="str">
        <f t="shared" si="285"/>
        <v/>
      </c>
      <c r="I2152" s="394" t="str">
        <f t="shared" si="286"/>
        <v/>
      </c>
      <c r="J2152" s="273"/>
      <c r="K2152" s="395"/>
      <c r="L2152" s="273"/>
      <c r="M2152" s="394" t="str">
        <f t="shared" si="287"/>
        <v/>
      </c>
      <c r="N2152" s="273"/>
    </row>
    <row r="2153" spans="1:14" ht="12.75" customHeight="1" x14ac:dyDescent="0.2">
      <c r="A2153" s="403"/>
      <c r="B2153" s="271"/>
      <c r="C2153" s="271"/>
      <c r="D2153" s="271"/>
      <c r="E2153" s="271"/>
      <c r="F2153" s="271"/>
      <c r="G2153" s="273"/>
      <c r="H2153" s="29" t="str">
        <f t="shared" si="285"/>
        <v/>
      </c>
      <c r="I2153" s="394" t="str">
        <f t="shared" si="286"/>
        <v/>
      </c>
      <c r="J2153" s="273"/>
      <c r="K2153" s="395"/>
      <c r="L2153" s="273"/>
      <c r="M2153" s="394" t="str">
        <f t="shared" si="287"/>
        <v/>
      </c>
      <c r="N2153" s="273"/>
    </row>
    <row r="2154" spans="1:14" ht="12.75" customHeight="1" x14ac:dyDescent="0.2">
      <c r="A2154" s="403"/>
      <c r="B2154" s="271"/>
      <c r="C2154" s="271"/>
      <c r="D2154" s="271"/>
      <c r="E2154" s="271"/>
      <c r="F2154" s="271"/>
      <c r="G2154" s="273"/>
      <c r="H2154" s="29" t="str">
        <f t="shared" si="285"/>
        <v/>
      </c>
      <c r="I2154" s="394" t="str">
        <f t="shared" si="286"/>
        <v/>
      </c>
      <c r="J2154" s="273"/>
      <c r="K2154" s="395"/>
      <c r="L2154" s="273"/>
      <c r="M2154" s="394" t="str">
        <f t="shared" si="287"/>
        <v/>
      </c>
      <c r="N2154" s="273"/>
    </row>
    <row r="2155" spans="1:14" ht="12.75" customHeight="1" x14ac:dyDescent="0.25">
      <c r="A2155" s="4"/>
      <c r="B2155" s="4"/>
      <c r="C2155" s="4"/>
      <c r="D2155" s="4"/>
      <c r="E2155" s="4"/>
      <c r="F2155" s="4"/>
      <c r="G2155" s="4"/>
      <c r="H2155" s="4"/>
      <c r="I2155" s="4"/>
      <c r="J2155" s="4"/>
      <c r="K2155" s="396" t="s">
        <v>444</v>
      </c>
      <c r="L2155" s="273"/>
      <c r="M2155" s="394">
        <f>SUM(M2149:N2154)</f>
        <v>495000</v>
      </c>
      <c r="N2155" s="273"/>
    </row>
    <row r="2156" spans="1:14" ht="12.75" customHeight="1" x14ac:dyDescent="0.25">
      <c r="A2156" s="4"/>
      <c r="B2156" s="4"/>
      <c r="C2156" s="4"/>
      <c r="D2156" s="4"/>
      <c r="E2156" s="4"/>
      <c r="F2156" s="4"/>
      <c r="G2156" s="4"/>
      <c r="H2156" s="4"/>
      <c r="I2156" s="4"/>
      <c r="J2156" s="4"/>
      <c r="K2156" s="4"/>
      <c r="L2156" s="4"/>
      <c r="M2156" s="4"/>
      <c r="N2156" s="4"/>
    </row>
    <row r="2157" spans="1:14" ht="12.75" customHeight="1" x14ac:dyDescent="0.2">
      <c r="A2157" s="398" t="s">
        <v>926</v>
      </c>
      <c r="B2157" s="271"/>
      <c r="C2157" s="271"/>
      <c r="D2157" s="271"/>
      <c r="E2157" s="271"/>
      <c r="F2157" s="271"/>
      <c r="G2157" s="271"/>
      <c r="H2157" s="271"/>
      <c r="I2157" s="271"/>
      <c r="J2157" s="271"/>
      <c r="K2157" s="271"/>
      <c r="L2157" s="271"/>
      <c r="M2157" s="271"/>
      <c r="N2157" s="273"/>
    </row>
    <row r="2158" spans="1:14" ht="12.75" customHeight="1" x14ac:dyDescent="0.2">
      <c r="A2158" s="396" t="s">
        <v>76</v>
      </c>
      <c r="B2158" s="271"/>
      <c r="C2158" s="271"/>
      <c r="D2158" s="271"/>
      <c r="E2158" s="271"/>
      <c r="F2158" s="271"/>
      <c r="G2158" s="273"/>
      <c r="H2158" s="88" t="s">
        <v>77</v>
      </c>
      <c r="I2158" s="399" t="s">
        <v>920</v>
      </c>
      <c r="J2158" s="273"/>
      <c r="K2158" s="399" t="s">
        <v>453</v>
      </c>
      <c r="L2158" s="273"/>
      <c r="M2158" s="399" t="s">
        <v>921</v>
      </c>
      <c r="N2158" s="273"/>
    </row>
    <row r="2159" spans="1:14" ht="12.75" customHeight="1" x14ac:dyDescent="0.2">
      <c r="A2159" s="400" t="s">
        <v>927</v>
      </c>
      <c r="B2159" s="271"/>
      <c r="C2159" s="271"/>
      <c r="D2159" s="271"/>
      <c r="E2159" s="271"/>
      <c r="F2159" s="271"/>
      <c r="G2159" s="273"/>
      <c r="H2159" s="29" t="str">
        <f>IF(A2159="","",VLOOKUP(A2159,AA_Equipos,7,FALSE))</f>
        <v>% M.O.</v>
      </c>
      <c r="I2159" s="394">
        <f>+M2182</f>
        <v>10884.547640000001</v>
      </c>
      <c r="J2159" s="273"/>
      <c r="K2159" s="404">
        <v>0.05</v>
      </c>
      <c r="L2159" s="273"/>
      <c r="M2159" s="394">
        <f t="shared" ref="M2159:M2163" si="288">IF(A2159="","",I2159*K2159)</f>
        <v>544.22738200000003</v>
      </c>
      <c r="N2159" s="273"/>
    </row>
    <row r="2160" spans="1:14" ht="12.75" customHeight="1" x14ac:dyDescent="0.2">
      <c r="A2160" s="403"/>
      <c r="B2160" s="271"/>
      <c r="C2160" s="271"/>
      <c r="D2160" s="271"/>
      <c r="E2160" s="271"/>
      <c r="F2160" s="271"/>
      <c r="G2160" s="273"/>
      <c r="H2160" s="29" t="str">
        <f>IF(A2160="","",VLOOKUP(A2160,AA_Equipos,7,FALSE))</f>
        <v/>
      </c>
      <c r="I2160" s="394" t="str">
        <f>IF(A2160="","",VLOOKUP(A2160,AA_Equipos,8,FALSE))</f>
        <v/>
      </c>
      <c r="J2160" s="273"/>
      <c r="K2160" s="402"/>
      <c r="L2160" s="273"/>
      <c r="M2160" s="394" t="str">
        <f t="shared" si="288"/>
        <v/>
      </c>
      <c r="N2160" s="273"/>
    </row>
    <row r="2161" spans="1:14" ht="12.75" customHeight="1" x14ac:dyDescent="0.2">
      <c r="A2161" s="400"/>
      <c r="B2161" s="271"/>
      <c r="C2161" s="271"/>
      <c r="D2161" s="271"/>
      <c r="E2161" s="271"/>
      <c r="F2161" s="271"/>
      <c r="G2161" s="273"/>
      <c r="H2161" s="29" t="str">
        <f>IF(A2161="","",VLOOKUP(A2161,AA_Equipos,7,FALSE))</f>
        <v/>
      </c>
      <c r="I2161" s="394" t="str">
        <f>IF(A2161="","",VLOOKUP(A2161,AA_Equipos,8,FALSE))</f>
        <v/>
      </c>
      <c r="J2161" s="273"/>
      <c r="K2161" s="401"/>
      <c r="L2161" s="273"/>
      <c r="M2161" s="394" t="str">
        <f t="shared" si="288"/>
        <v/>
      </c>
      <c r="N2161" s="273"/>
    </row>
    <row r="2162" spans="1:14" ht="12.75" customHeight="1" x14ac:dyDescent="0.2">
      <c r="A2162" s="400"/>
      <c r="B2162" s="271"/>
      <c r="C2162" s="271"/>
      <c r="D2162" s="271"/>
      <c r="E2162" s="271"/>
      <c r="F2162" s="271"/>
      <c r="G2162" s="273"/>
      <c r="H2162" s="29" t="str">
        <f>IF(A2162="","",VLOOKUP(A2162,AA_Equipos,7,FALSE))</f>
        <v/>
      </c>
      <c r="I2162" s="394" t="str">
        <f>IF(A2162="","",VLOOKUP(A2162,AA_Equipos,8,FALSE))</f>
        <v/>
      </c>
      <c r="J2162" s="273"/>
      <c r="K2162" s="395"/>
      <c r="L2162" s="273"/>
      <c r="M2162" s="394" t="str">
        <f t="shared" si="288"/>
        <v/>
      </c>
      <c r="N2162" s="273"/>
    </row>
    <row r="2163" spans="1:14" ht="12.75" customHeight="1" x14ac:dyDescent="0.2">
      <c r="A2163" s="400"/>
      <c r="B2163" s="271"/>
      <c r="C2163" s="271"/>
      <c r="D2163" s="271"/>
      <c r="E2163" s="271"/>
      <c r="F2163" s="271"/>
      <c r="G2163" s="273"/>
      <c r="H2163" s="29" t="str">
        <f>IF(A2163="","",VLOOKUP(A2163,AA_Equipos,7,FALSE))</f>
        <v/>
      </c>
      <c r="I2163" s="394" t="str">
        <f>IF(A2163="","",VLOOKUP(A2163,AA_Equipos,8,FALSE))</f>
        <v/>
      </c>
      <c r="J2163" s="273"/>
      <c r="K2163" s="395"/>
      <c r="L2163" s="273"/>
      <c r="M2163" s="394" t="str">
        <f t="shared" si="288"/>
        <v/>
      </c>
      <c r="N2163" s="273"/>
    </row>
    <row r="2164" spans="1:14" ht="12.75" customHeight="1" x14ac:dyDescent="0.25">
      <c r="A2164" s="4"/>
      <c r="B2164" s="4"/>
      <c r="C2164" s="4"/>
      <c r="D2164" s="4"/>
      <c r="E2164" s="4"/>
      <c r="F2164" s="4"/>
      <c r="G2164" s="4"/>
      <c r="H2164" s="4"/>
      <c r="I2164" s="4"/>
      <c r="J2164" s="4"/>
      <c r="K2164" s="396" t="s">
        <v>444</v>
      </c>
      <c r="L2164" s="273"/>
      <c r="M2164" s="394">
        <f>SUM(M2159:N2163)</f>
        <v>544.22738200000003</v>
      </c>
      <c r="N2164" s="273"/>
    </row>
    <row r="2165" spans="1:14" ht="12.75" customHeight="1" x14ac:dyDescent="0.25">
      <c r="A2165" s="4"/>
      <c r="B2165" s="4"/>
      <c r="C2165" s="4"/>
      <c r="D2165" s="4"/>
      <c r="E2165" s="4"/>
      <c r="F2165" s="4"/>
      <c r="G2165" s="4"/>
      <c r="H2165" s="4"/>
      <c r="I2165" s="4"/>
      <c r="J2165" s="4"/>
      <c r="K2165" s="4"/>
      <c r="L2165" s="4"/>
      <c r="M2165" s="4"/>
      <c r="N2165" s="4"/>
    </row>
    <row r="2166" spans="1:14" ht="12.75" customHeight="1" x14ac:dyDescent="0.2">
      <c r="A2166" s="398" t="s">
        <v>929</v>
      </c>
      <c r="B2166" s="271"/>
      <c r="C2166" s="271"/>
      <c r="D2166" s="271"/>
      <c r="E2166" s="271"/>
      <c r="F2166" s="271"/>
      <c r="G2166" s="271"/>
      <c r="H2166" s="271"/>
      <c r="I2166" s="271"/>
      <c r="J2166" s="271"/>
      <c r="K2166" s="271"/>
      <c r="L2166" s="271"/>
      <c r="M2166" s="271"/>
      <c r="N2166" s="273"/>
    </row>
    <row r="2167" spans="1:14" ht="12.75" customHeight="1" x14ac:dyDescent="0.2">
      <c r="A2167" s="396" t="s">
        <v>76</v>
      </c>
      <c r="B2167" s="271"/>
      <c r="C2167" s="271"/>
      <c r="D2167" s="271"/>
      <c r="E2167" s="271"/>
      <c r="F2167" s="271"/>
      <c r="G2167" s="273"/>
      <c r="H2167" s="88" t="s">
        <v>77</v>
      </c>
      <c r="I2167" s="399" t="s">
        <v>920</v>
      </c>
      <c r="J2167" s="273"/>
      <c r="K2167" s="399" t="s">
        <v>453</v>
      </c>
      <c r="L2167" s="273"/>
      <c r="M2167" s="399" t="s">
        <v>921</v>
      </c>
      <c r="N2167" s="273"/>
    </row>
    <row r="2168" spans="1:14" ht="12.75" customHeight="1" x14ac:dyDescent="0.2">
      <c r="A2168" s="400" t="s">
        <v>966</v>
      </c>
      <c r="B2168" s="271"/>
      <c r="C2168" s="271"/>
      <c r="D2168" s="271"/>
      <c r="E2168" s="271"/>
      <c r="F2168" s="271"/>
      <c r="G2168" s="273"/>
      <c r="H2168" s="29" t="s">
        <v>950</v>
      </c>
      <c r="I2168" s="394">
        <f>+M2155</f>
        <v>495000</v>
      </c>
      <c r="J2168" s="273"/>
      <c r="K2168" s="404">
        <v>0.05</v>
      </c>
      <c r="L2168" s="273"/>
      <c r="M2168" s="394">
        <f t="shared" ref="M2168:M2172" si="289">IF(A2168="","",I2168*K2168)</f>
        <v>24750</v>
      </c>
      <c r="N2168" s="273"/>
    </row>
    <row r="2169" spans="1:14" ht="12.75" customHeight="1" x14ac:dyDescent="0.2">
      <c r="A2169" s="403"/>
      <c r="B2169" s="271"/>
      <c r="C2169" s="271"/>
      <c r="D2169" s="271"/>
      <c r="E2169" s="271"/>
      <c r="F2169" s="271"/>
      <c r="G2169" s="273"/>
      <c r="H2169" s="29"/>
      <c r="I2169" s="394"/>
      <c r="J2169" s="273"/>
      <c r="K2169" s="404"/>
      <c r="L2169" s="273"/>
      <c r="M2169" s="394" t="str">
        <f t="shared" si="289"/>
        <v/>
      </c>
      <c r="N2169" s="273"/>
    </row>
    <row r="2170" spans="1:14" ht="12.75" customHeight="1" x14ac:dyDescent="0.2">
      <c r="A2170" s="400"/>
      <c r="B2170" s="271"/>
      <c r="C2170" s="271"/>
      <c r="D2170" s="271"/>
      <c r="E2170" s="271"/>
      <c r="F2170" s="271"/>
      <c r="G2170" s="273"/>
      <c r="H2170" s="29"/>
      <c r="I2170" s="394"/>
      <c r="J2170" s="273"/>
      <c r="K2170" s="395"/>
      <c r="L2170" s="273"/>
      <c r="M2170" s="394" t="str">
        <f t="shared" si="289"/>
        <v/>
      </c>
      <c r="N2170" s="273"/>
    </row>
    <row r="2171" spans="1:14" ht="12.75" customHeight="1" x14ac:dyDescent="0.2">
      <c r="A2171" s="400"/>
      <c r="B2171" s="271"/>
      <c r="C2171" s="271"/>
      <c r="D2171" s="271"/>
      <c r="E2171" s="271"/>
      <c r="F2171" s="271"/>
      <c r="G2171" s="273"/>
      <c r="H2171" s="29"/>
      <c r="I2171" s="394"/>
      <c r="J2171" s="273"/>
      <c r="K2171" s="395"/>
      <c r="L2171" s="273"/>
      <c r="M2171" s="394" t="str">
        <f t="shared" si="289"/>
        <v/>
      </c>
      <c r="N2171" s="273"/>
    </row>
    <row r="2172" spans="1:14" ht="12.75" customHeight="1" x14ac:dyDescent="0.2">
      <c r="A2172" s="400"/>
      <c r="B2172" s="271"/>
      <c r="C2172" s="271"/>
      <c r="D2172" s="271"/>
      <c r="E2172" s="271"/>
      <c r="F2172" s="271"/>
      <c r="G2172" s="273"/>
      <c r="H2172" s="29"/>
      <c r="I2172" s="394"/>
      <c r="J2172" s="273"/>
      <c r="K2172" s="395"/>
      <c r="L2172" s="273"/>
      <c r="M2172" s="394" t="str">
        <f t="shared" si="289"/>
        <v/>
      </c>
      <c r="N2172" s="273"/>
    </row>
    <row r="2173" spans="1:14" ht="12.75" customHeight="1" x14ac:dyDescent="0.25">
      <c r="A2173" s="4"/>
      <c r="B2173" s="4"/>
      <c r="C2173" s="4"/>
      <c r="D2173" s="4"/>
      <c r="E2173" s="4"/>
      <c r="F2173" s="4"/>
      <c r="G2173" s="4"/>
      <c r="H2173" s="4"/>
      <c r="I2173" s="4"/>
      <c r="J2173" s="4"/>
      <c r="K2173" s="396" t="s">
        <v>444</v>
      </c>
      <c r="L2173" s="273"/>
      <c r="M2173" s="394">
        <f>SUM(M2168:N2172)</f>
        <v>24750</v>
      </c>
      <c r="N2173" s="273"/>
    </row>
    <row r="2174" spans="1:14" ht="12.75" customHeight="1" x14ac:dyDescent="0.25">
      <c r="A2174" s="4"/>
      <c r="B2174" s="4"/>
      <c r="C2174" s="4"/>
      <c r="D2174" s="4"/>
      <c r="E2174" s="4"/>
      <c r="F2174" s="4"/>
      <c r="G2174" s="4"/>
      <c r="H2174" s="4"/>
      <c r="I2174" s="4"/>
      <c r="J2174" s="4"/>
      <c r="K2174" s="4"/>
      <c r="L2174" s="4"/>
      <c r="M2174" s="4"/>
      <c r="N2174" s="4"/>
    </row>
    <row r="2175" spans="1:14" ht="12.75" customHeight="1" x14ac:dyDescent="0.2">
      <c r="A2175" s="398" t="s">
        <v>931</v>
      </c>
      <c r="B2175" s="271"/>
      <c r="C2175" s="271"/>
      <c r="D2175" s="271"/>
      <c r="E2175" s="271"/>
      <c r="F2175" s="271"/>
      <c r="G2175" s="271"/>
      <c r="H2175" s="271"/>
      <c r="I2175" s="271"/>
      <c r="J2175" s="271"/>
      <c r="K2175" s="271"/>
      <c r="L2175" s="271"/>
      <c r="M2175" s="271"/>
      <c r="N2175" s="273"/>
    </row>
    <row r="2176" spans="1:14" ht="12.75" customHeight="1" x14ac:dyDescent="0.2">
      <c r="A2176" s="396" t="s">
        <v>76</v>
      </c>
      <c r="B2176" s="271"/>
      <c r="C2176" s="271"/>
      <c r="D2176" s="271"/>
      <c r="E2176" s="271"/>
      <c r="F2176" s="271"/>
      <c r="G2176" s="273"/>
      <c r="H2176" s="88" t="s">
        <v>77</v>
      </c>
      <c r="I2176" s="399" t="s">
        <v>920</v>
      </c>
      <c r="J2176" s="273"/>
      <c r="K2176" s="90" t="s">
        <v>514</v>
      </c>
      <c r="L2176" s="91" t="s">
        <v>932</v>
      </c>
      <c r="M2176" s="399" t="s">
        <v>921</v>
      </c>
      <c r="N2176" s="273"/>
    </row>
    <row r="2177" spans="1:14" ht="12.75" customHeight="1" x14ac:dyDescent="0.25">
      <c r="A2177" s="393" t="s">
        <v>986</v>
      </c>
      <c r="B2177" s="271"/>
      <c r="C2177" s="271"/>
      <c r="D2177" s="271"/>
      <c r="E2177" s="271"/>
      <c r="F2177" s="271"/>
      <c r="G2177" s="273"/>
      <c r="H2177" s="29" t="str">
        <f>IF(A2177="","",VLOOKUP(A2177,AA_Cuadrillas,4,FALSE))</f>
        <v>Cuadrilla</v>
      </c>
      <c r="I2177" s="394">
        <f>IF(A2177="","",VLOOKUP(A2177,AA_Cuadrillas,5,FALSE))</f>
        <v>186763</v>
      </c>
      <c r="J2177" s="273"/>
      <c r="K2177" s="9">
        <f>IF(A2177="","",F.P!$I$2)</f>
        <v>1.88</v>
      </c>
      <c r="L2177" s="97">
        <v>3.1E-2</v>
      </c>
      <c r="M2177" s="394">
        <f t="shared" ref="M2177:M2181" si="290">IF(A2177="","",I2177*K2177*L2177)</f>
        <v>10884.547640000001</v>
      </c>
      <c r="N2177" s="273"/>
    </row>
    <row r="2178" spans="1:14" ht="12.75" customHeight="1" x14ac:dyDescent="0.25">
      <c r="A2178" s="393"/>
      <c r="B2178" s="271"/>
      <c r="C2178" s="271"/>
      <c r="D2178" s="271"/>
      <c r="E2178" s="271"/>
      <c r="F2178" s="271"/>
      <c r="G2178" s="273"/>
      <c r="H2178" s="29" t="str">
        <f>IF(A2178="","",VLOOKUP(A2178,AA_Cuadrillas,4,FALSE))</f>
        <v/>
      </c>
      <c r="I2178" s="394" t="str">
        <f>IF(A2178="","",VLOOKUP(A2178,AA_Cuadrillas,5,FALSE))</f>
        <v/>
      </c>
      <c r="J2178" s="273"/>
      <c r="K2178" s="9" t="str">
        <f>IF(A2178="","",F.P!$I$2)</f>
        <v/>
      </c>
      <c r="L2178" s="9"/>
      <c r="M2178" s="394" t="str">
        <f t="shared" si="290"/>
        <v/>
      </c>
      <c r="N2178" s="273"/>
    </row>
    <row r="2179" spans="1:14" ht="12.75" customHeight="1" x14ac:dyDescent="0.25">
      <c r="A2179" s="393"/>
      <c r="B2179" s="271"/>
      <c r="C2179" s="271"/>
      <c r="D2179" s="271"/>
      <c r="E2179" s="271"/>
      <c r="F2179" s="271"/>
      <c r="G2179" s="273"/>
      <c r="H2179" s="29" t="str">
        <f>IF(A2179="","",VLOOKUP(A2179,AA_Cuadrillas,4,FALSE))</f>
        <v/>
      </c>
      <c r="I2179" s="394" t="str">
        <f>IF(A2179="","",VLOOKUP(A2179,AA_Cuadrillas,5,FALSE))</f>
        <v/>
      </c>
      <c r="J2179" s="273"/>
      <c r="K2179" s="9" t="str">
        <f>IF(A2179="","",F.P!$I$2)</f>
        <v/>
      </c>
      <c r="L2179" s="37"/>
      <c r="M2179" s="394" t="str">
        <f t="shared" si="290"/>
        <v/>
      </c>
      <c r="N2179" s="273"/>
    </row>
    <row r="2180" spans="1:14" ht="12.75" customHeight="1" x14ac:dyDescent="0.25">
      <c r="A2180" s="393"/>
      <c r="B2180" s="271"/>
      <c r="C2180" s="271"/>
      <c r="D2180" s="271"/>
      <c r="E2180" s="271"/>
      <c r="F2180" s="271"/>
      <c r="G2180" s="273"/>
      <c r="H2180" s="29" t="str">
        <f>IF(A2180="","",VLOOKUP(A2180,AA_Cuadrillas,4,FALSE))</f>
        <v/>
      </c>
      <c r="I2180" s="394" t="str">
        <f>IF(A2180="","",VLOOKUP(A2180,AA_Cuadrillas,5,FALSE))</f>
        <v/>
      </c>
      <c r="J2180" s="273"/>
      <c r="K2180" s="9" t="str">
        <f>IF(A2180="","",F.P!$I$2)</f>
        <v/>
      </c>
      <c r="L2180" s="37"/>
      <c r="M2180" s="394" t="str">
        <f t="shared" si="290"/>
        <v/>
      </c>
      <c r="N2180" s="273"/>
    </row>
    <row r="2181" spans="1:14" ht="12.75" customHeight="1" x14ac:dyDescent="0.25">
      <c r="A2181" s="393"/>
      <c r="B2181" s="271"/>
      <c r="C2181" s="271"/>
      <c r="D2181" s="271"/>
      <c r="E2181" s="271"/>
      <c r="F2181" s="271"/>
      <c r="G2181" s="273"/>
      <c r="H2181" s="29" t="str">
        <f>IF(A2181="","",VLOOKUP(A2181,AA_Cuadrillas,4,FALSE))</f>
        <v/>
      </c>
      <c r="I2181" s="394" t="str">
        <f>IF(A2181="","",VLOOKUP(A2181,AA_Cuadrillas,5,FALSE))</f>
        <v/>
      </c>
      <c r="J2181" s="273"/>
      <c r="K2181" s="9" t="str">
        <f>IF(A2181="","",F.P!$I$2)</f>
        <v/>
      </c>
      <c r="L2181" s="37"/>
      <c r="M2181" s="394" t="str">
        <f t="shared" si="290"/>
        <v/>
      </c>
      <c r="N2181" s="273"/>
    </row>
    <row r="2182" spans="1:14" ht="12.75" customHeight="1" x14ac:dyDescent="0.25">
      <c r="A2182" s="4"/>
      <c r="B2182" s="4"/>
      <c r="C2182" s="4"/>
      <c r="D2182" s="4"/>
      <c r="E2182" s="4"/>
      <c r="F2182" s="4"/>
      <c r="G2182" s="4"/>
      <c r="H2182" s="4"/>
      <c r="I2182" s="4"/>
      <c r="J2182" s="4"/>
      <c r="K2182" s="396" t="s">
        <v>444</v>
      </c>
      <c r="L2182" s="273"/>
      <c r="M2182" s="394">
        <f>SUM(M2177:N2181)</f>
        <v>10884.547640000001</v>
      </c>
      <c r="N2182" s="273"/>
    </row>
    <row r="2183" spans="1:14" ht="12.75" customHeight="1" x14ac:dyDescent="0.2"/>
    <row r="2184" spans="1:14" ht="12.75" customHeight="1" x14ac:dyDescent="0.2">
      <c r="A2184" s="407" t="s">
        <v>1077</v>
      </c>
      <c r="B2184" s="275"/>
      <c r="C2184" s="275"/>
      <c r="D2184" s="275"/>
      <c r="E2184" s="275"/>
      <c r="F2184" s="275"/>
      <c r="G2184" s="275"/>
      <c r="H2184" s="275"/>
      <c r="I2184" s="275"/>
      <c r="J2184" s="275"/>
      <c r="K2184" s="275"/>
      <c r="L2184" s="275"/>
      <c r="M2184" s="275"/>
      <c r="N2184" s="276"/>
    </row>
    <row r="2185" spans="1:14" ht="12.75" customHeight="1" x14ac:dyDescent="0.2">
      <c r="A2185" s="277"/>
      <c r="B2185" s="278"/>
      <c r="C2185" s="278"/>
      <c r="D2185" s="278"/>
      <c r="E2185" s="278"/>
      <c r="F2185" s="278"/>
      <c r="G2185" s="278"/>
      <c r="H2185" s="278"/>
      <c r="I2185" s="278"/>
      <c r="J2185" s="278"/>
      <c r="K2185" s="278"/>
      <c r="L2185" s="278"/>
      <c r="M2185" s="278"/>
      <c r="N2185" s="279"/>
    </row>
    <row r="2186" spans="1:14" ht="12.75" customHeight="1" x14ac:dyDescent="0.2">
      <c r="A2186" s="75"/>
      <c r="B2186" s="75"/>
      <c r="C2186" s="75"/>
      <c r="D2186" s="75"/>
      <c r="E2186" s="75"/>
      <c r="F2186" s="75"/>
      <c r="G2186" s="75"/>
      <c r="H2186" s="75"/>
      <c r="I2186" s="75"/>
      <c r="J2186" s="75"/>
      <c r="K2186" s="75"/>
      <c r="L2186" s="75"/>
      <c r="M2186" s="75"/>
      <c r="N2186" s="75"/>
    </row>
    <row r="2187" spans="1:14" ht="12.75" customHeight="1" x14ac:dyDescent="0.3">
      <c r="A2187" s="79" t="s">
        <v>664</v>
      </c>
      <c r="B2187" s="80" t="str">
        <f>A2184</f>
        <v>SUMINISTRO E INSTALACIÓN DE YEE Ø6 EN HIERRO DUCTIL</v>
      </c>
      <c r="C2187" s="81" t="s">
        <v>916</v>
      </c>
      <c r="D2187" s="82" t="s">
        <v>999</v>
      </c>
      <c r="E2187" s="83" t="s">
        <v>445</v>
      </c>
      <c r="F2187" s="234">
        <f>(H2187+J2187+L2187+N2187)*1.3</f>
        <v>1243357.4075286</v>
      </c>
      <c r="G2187" s="83" t="s">
        <v>607</v>
      </c>
      <c r="H2187" s="86">
        <f>M2197</f>
        <v>900000</v>
      </c>
      <c r="I2187" s="83" t="s">
        <v>918</v>
      </c>
      <c r="J2187" s="86">
        <f>M2206</f>
        <v>544.22738200000003</v>
      </c>
      <c r="K2187" s="83" t="s">
        <v>609</v>
      </c>
      <c r="L2187" s="86">
        <f>M2215</f>
        <v>45000</v>
      </c>
      <c r="M2187" s="83" t="s">
        <v>610</v>
      </c>
      <c r="N2187" s="86">
        <f>M2224</f>
        <v>10884.547640000001</v>
      </c>
    </row>
    <row r="2188" spans="1:14" ht="12.75" customHeight="1" x14ac:dyDescent="0.25">
      <c r="A2188" s="87"/>
      <c r="B2188" s="87"/>
      <c r="C2188" s="87"/>
      <c r="D2188" s="87"/>
      <c r="E2188" s="87"/>
      <c r="F2188" s="87"/>
      <c r="G2188" s="87"/>
      <c r="J2188" s="87"/>
      <c r="K2188" s="215" t="s">
        <v>3217</v>
      </c>
      <c r="L2188" s="215">
        <f>+F2187*presup!$O$5</f>
        <v>1616364.6297871801</v>
      </c>
      <c r="M2188" s="87"/>
      <c r="N2188" s="87"/>
    </row>
    <row r="2189" spans="1:14" ht="12.75" customHeight="1" x14ac:dyDescent="0.2">
      <c r="A2189" s="398" t="s">
        <v>919</v>
      </c>
      <c r="B2189" s="271"/>
      <c r="C2189" s="271"/>
      <c r="D2189" s="271"/>
      <c r="E2189" s="271"/>
      <c r="F2189" s="271"/>
      <c r="G2189" s="271"/>
      <c r="H2189" s="271"/>
      <c r="I2189" s="271"/>
      <c r="J2189" s="271"/>
      <c r="K2189" s="271"/>
      <c r="L2189" s="271"/>
      <c r="M2189" s="271"/>
      <c r="N2189" s="273"/>
    </row>
    <row r="2190" spans="1:14" ht="12.75" customHeight="1" x14ac:dyDescent="0.2">
      <c r="A2190" s="396" t="s">
        <v>76</v>
      </c>
      <c r="B2190" s="271"/>
      <c r="C2190" s="271"/>
      <c r="D2190" s="271"/>
      <c r="E2190" s="271"/>
      <c r="F2190" s="271"/>
      <c r="G2190" s="273"/>
      <c r="H2190" s="88" t="s">
        <v>77</v>
      </c>
      <c r="I2190" s="399" t="s">
        <v>920</v>
      </c>
      <c r="J2190" s="273"/>
      <c r="K2190" s="399" t="s">
        <v>453</v>
      </c>
      <c r="L2190" s="273"/>
      <c r="M2190" s="399" t="s">
        <v>921</v>
      </c>
      <c r="N2190" s="273"/>
    </row>
    <row r="2191" spans="1:14" ht="12.75" customHeight="1" x14ac:dyDescent="0.2">
      <c r="A2191" s="403" t="s">
        <v>1078</v>
      </c>
      <c r="B2191" s="271"/>
      <c r="C2191" s="271"/>
      <c r="D2191" s="271"/>
      <c r="E2191" s="271"/>
      <c r="F2191" s="271"/>
      <c r="G2191" s="273"/>
      <c r="H2191" s="29" t="str">
        <f t="shared" ref="H2191:H2196" si="291">IF(A2191="","",VLOOKUP(A2191,AA_Materiales,7,FALSE))</f>
        <v>Unidad</v>
      </c>
      <c r="I2191" s="394">
        <f t="shared" ref="I2191:I2196" si="292">IF(A2191="","",VLOOKUP(A2191,AA_Materiales,8,FALSE))</f>
        <v>900000</v>
      </c>
      <c r="J2191" s="273"/>
      <c r="K2191" s="395">
        <v>1</v>
      </c>
      <c r="L2191" s="273"/>
      <c r="M2191" s="394">
        <f t="shared" ref="M2191:M2196" si="293">IF(A2191="","",I2191*K2191)</f>
        <v>900000</v>
      </c>
      <c r="N2191" s="273"/>
    </row>
    <row r="2192" spans="1:14" ht="12.75" customHeight="1" x14ac:dyDescent="0.2">
      <c r="A2192" s="403"/>
      <c r="B2192" s="271"/>
      <c r="C2192" s="271"/>
      <c r="D2192" s="271"/>
      <c r="E2192" s="271"/>
      <c r="F2192" s="271"/>
      <c r="G2192" s="273"/>
      <c r="H2192" s="29" t="str">
        <f t="shared" si="291"/>
        <v/>
      </c>
      <c r="I2192" s="394" t="str">
        <f t="shared" si="292"/>
        <v/>
      </c>
      <c r="J2192" s="273"/>
      <c r="K2192" s="395"/>
      <c r="L2192" s="273"/>
      <c r="M2192" s="394" t="str">
        <f t="shared" si="293"/>
        <v/>
      </c>
      <c r="N2192" s="273"/>
    </row>
    <row r="2193" spans="1:14" ht="12.75" customHeight="1" x14ac:dyDescent="0.2">
      <c r="A2193" s="403"/>
      <c r="B2193" s="271"/>
      <c r="C2193" s="271"/>
      <c r="D2193" s="271"/>
      <c r="E2193" s="271"/>
      <c r="F2193" s="271"/>
      <c r="G2193" s="273"/>
      <c r="H2193" s="29" t="str">
        <f t="shared" si="291"/>
        <v/>
      </c>
      <c r="I2193" s="394" t="str">
        <f t="shared" si="292"/>
        <v/>
      </c>
      <c r="J2193" s="273"/>
      <c r="K2193" s="395"/>
      <c r="L2193" s="273"/>
      <c r="M2193" s="394" t="str">
        <f t="shared" si="293"/>
        <v/>
      </c>
      <c r="N2193" s="273"/>
    </row>
    <row r="2194" spans="1:14" ht="12.75" customHeight="1" x14ac:dyDescent="0.2">
      <c r="A2194" s="403"/>
      <c r="B2194" s="271"/>
      <c r="C2194" s="271"/>
      <c r="D2194" s="271"/>
      <c r="E2194" s="271"/>
      <c r="F2194" s="271"/>
      <c r="G2194" s="273"/>
      <c r="H2194" s="29" t="str">
        <f t="shared" si="291"/>
        <v/>
      </c>
      <c r="I2194" s="394" t="str">
        <f t="shared" si="292"/>
        <v/>
      </c>
      <c r="J2194" s="273"/>
      <c r="K2194" s="395"/>
      <c r="L2194" s="273"/>
      <c r="M2194" s="394" t="str">
        <f t="shared" si="293"/>
        <v/>
      </c>
      <c r="N2194" s="273"/>
    </row>
    <row r="2195" spans="1:14" ht="12.75" customHeight="1" x14ac:dyDescent="0.2">
      <c r="A2195" s="403"/>
      <c r="B2195" s="271"/>
      <c r="C2195" s="271"/>
      <c r="D2195" s="271"/>
      <c r="E2195" s="271"/>
      <c r="F2195" s="271"/>
      <c r="G2195" s="273"/>
      <c r="H2195" s="29" t="str">
        <f t="shared" si="291"/>
        <v/>
      </c>
      <c r="I2195" s="394" t="str">
        <f t="shared" si="292"/>
        <v/>
      </c>
      <c r="J2195" s="273"/>
      <c r="K2195" s="395"/>
      <c r="L2195" s="273"/>
      <c r="M2195" s="394" t="str">
        <f t="shared" si="293"/>
        <v/>
      </c>
      <c r="N2195" s="273"/>
    </row>
    <row r="2196" spans="1:14" ht="12.75" customHeight="1" x14ac:dyDescent="0.2">
      <c r="A2196" s="403"/>
      <c r="B2196" s="271"/>
      <c r="C2196" s="271"/>
      <c r="D2196" s="271"/>
      <c r="E2196" s="271"/>
      <c r="F2196" s="271"/>
      <c r="G2196" s="273"/>
      <c r="H2196" s="29" t="str">
        <f t="shared" si="291"/>
        <v/>
      </c>
      <c r="I2196" s="394" t="str">
        <f t="shared" si="292"/>
        <v/>
      </c>
      <c r="J2196" s="273"/>
      <c r="K2196" s="395"/>
      <c r="L2196" s="273"/>
      <c r="M2196" s="394" t="str">
        <f t="shared" si="293"/>
        <v/>
      </c>
      <c r="N2196" s="273"/>
    </row>
    <row r="2197" spans="1:14" ht="12.75" customHeight="1" x14ac:dyDescent="0.25">
      <c r="A2197" s="4"/>
      <c r="B2197" s="4"/>
      <c r="C2197" s="4"/>
      <c r="D2197" s="4"/>
      <c r="E2197" s="4"/>
      <c r="F2197" s="4"/>
      <c r="G2197" s="4"/>
      <c r="H2197" s="4"/>
      <c r="I2197" s="4"/>
      <c r="J2197" s="4"/>
      <c r="K2197" s="396" t="s">
        <v>444</v>
      </c>
      <c r="L2197" s="273"/>
      <c r="M2197" s="394">
        <f>SUM(M2191:N2196)</f>
        <v>900000</v>
      </c>
      <c r="N2197" s="273"/>
    </row>
    <row r="2198" spans="1:14" ht="12.75" customHeight="1" x14ac:dyDescent="0.25">
      <c r="A2198" s="4"/>
      <c r="B2198" s="4"/>
      <c r="C2198" s="4"/>
      <c r="D2198" s="4"/>
      <c r="E2198" s="4"/>
      <c r="F2198" s="4"/>
      <c r="G2198" s="4"/>
      <c r="H2198" s="4"/>
      <c r="I2198" s="4"/>
      <c r="J2198" s="4"/>
      <c r="K2198" s="4"/>
      <c r="L2198" s="4"/>
      <c r="M2198" s="4"/>
      <c r="N2198" s="4"/>
    </row>
    <row r="2199" spans="1:14" ht="12.75" customHeight="1" x14ac:dyDescent="0.2">
      <c r="A2199" s="398" t="s">
        <v>926</v>
      </c>
      <c r="B2199" s="271"/>
      <c r="C2199" s="271"/>
      <c r="D2199" s="271"/>
      <c r="E2199" s="271"/>
      <c r="F2199" s="271"/>
      <c r="G2199" s="271"/>
      <c r="H2199" s="271"/>
      <c r="I2199" s="271"/>
      <c r="J2199" s="271"/>
      <c r="K2199" s="271"/>
      <c r="L2199" s="271"/>
      <c r="M2199" s="271"/>
      <c r="N2199" s="273"/>
    </row>
    <row r="2200" spans="1:14" ht="12.75" customHeight="1" x14ac:dyDescent="0.2">
      <c r="A2200" s="396" t="s">
        <v>76</v>
      </c>
      <c r="B2200" s="271"/>
      <c r="C2200" s="271"/>
      <c r="D2200" s="271"/>
      <c r="E2200" s="271"/>
      <c r="F2200" s="271"/>
      <c r="G2200" s="273"/>
      <c r="H2200" s="88" t="s">
        <v>77</v>
      </c>
      <c r="I2200" s="399" t="s">
        <v>920</v>
      </c>
      <c r="J2200" s="273"/>
      <c r="K2200" s="399" t="s">
        <v>453</v>
      </c>
      <c r="L2200" s="273"/>
      <c r="M2200" s="399" t="s">
        <v>921</v>
      </c>
      <c r="N2200" s="273"/>
    </row>
    <row r="2201" spans="1:14" ht="12.75" customHeight="1" x14ac:dyDescent="0.2">
      <c r="A2201" s="400" t="s">
        <v>927</v>
      </c>
      <c r="B2201" s="271"/>
      <c r="C2201" s="271"/>
      <c r="D2201" s="271"/>
      <c r="E2201" s="271"/>
      <c r="F2201" s="271"/>
      <c r="G2201" s="273"/>
      <c r="H2201" s="29" t="str">
        <f>IF(A2201="","",VLOOKUP(A2201,AA_Equipos,7,FALSE))</f>
        <v>% M.O.</v>
      </c>
      <c r="I2201" s="394">
        <f>+M2224</f>
        <v>10884.547640000001</v>
      </c>
      <c r="J2201" s="273"/>
      <c r="K2201" s="404">
        <v>0.05</v>
      </c>
      <c r="L2201" s="273"/>
      <c r="M2201" s="394">
        <f t="shared" ref="M2201:M2205" si="294">IF(A2201="","",I2201*K2201)</f>
        <v>544.22738200000003</v>
      </c>
      <c r="N2201" s="273"/>
    </row>
    <row r="2202" spans="1:14" ht="12.75" customHeight="1" x14ac:dyDescent="0.2">
      <c r="A2202" s="403"/>
      <c r="B2202" s="271"/>
      <c r="C2202" s="271"/>
      <c r="D2202" s="271"/>
      <c r="E2202" s="271"/>
      <c r="F2202" s="271"/>
      <c r="G2202" s="273"/>
      <c r="H2202" s="29" t="str">
        <f>IF(A2202="","",VLOOKUP(A2202,AA_Equipos,7,FALSE))</f>
        <v/>
      </c>
      <c r="I2202" s="394" t="str">
        <f>IF(A2202="","",VLOOKUP(A2202,AA_Equipos,8,FALSE))</f>
        <v/>
      </c>
      <c r="J2202" s="273"/>
      <c r="K2202" s="402"/>
      <c r="L2202" s="273"/>
      <c r="M2202" s="394" t="str">
        <f t="shared" si="294"/>
        <v/>
      </c>
      <c r="N2202" s="273"/>
    </row>
    <row r="2203" spans="1:14" ht="12.75" customHeight="1" x14ac:dyDescent="0.2">
      <c r="A2203" s="400"/>
      <c r="B2203" s="271"/>
      <c r="C2203" s="271"/>
      <c r="D2203" s="271"/>
      <c r="E2203" s="271"/>
      <c r="F2203" s="271"/>
      <c r="G2203" s="273"/>
      <c r="H2203" s="29" t="str">
        <f>IF(A2203="","",VLOOKUP(A2203,AA_Equipos,7,FALSE))</f>
        <v/>
      </c>
      <c r="I2203" s="394" t="str">
        <f>IF(A2203="","",VLOOKUP(A2203,AA_Equipos,8,FALSE))</f>
        <v/>
      </c>
      <c r="J2203" s="273"/>
      <c r="K2203" s="401"/>
      <c r="L2203" s="273"/>
      <c r="M2203" s="394" t="str">
        <f t="shared" si="294"/>
        <v/>
      </c>
      <c r="N2203" s="273"/>
    </row>
    <row r="2204" spans="1:14" ht="12.75" customHeight="1" x14ac:dyDescent="0.2">
      <c r="A2204" s="400"/>
      <c r="B2204" s="271"/>
      <c r="C2204" s="271"/>
      <c r="D2204" s="271"/>
      <c r="E2204" s="271"/>
      <c r="F2204" s="271"/>
      <c r="G2204" s="273"/>
      <c r="H2204" s="29" t="str">
        <f>IF(A2204="","",VLOOKUP(A2204,AA_Equipos,7,FALSE))</f>
        <v/>
      </c>
      <c r="I2204" s="394" t="str">
        <f>IF(A2204="","",VLOOKUP(A2204,AA_Equipos,8,FALSE))</f>
        <v/>
      </c>
      <c r="J2204" s="273"/>
      <c r="K2204" s="395"/>
      <c r="L2204" s="273"/>
      <c r="M2204" s="394" t="str">
        <f t="shared" si="294"/>
        <v/>
      </c>
      <c r="N2204" s="273"/>
    </row>
    <row r="2205" spans="1:14" ht="12.75" customHeight="1" x14ac:dyDescent="0.2">
      <c r="A2205" s="400"/>
      <c r="B2205" s="271"/>
      <c r="C2205" s="271"/>
      <c r="D2205" s="271"/>
      <c r="E2205" s="271"/>
      <c r="F2205" s="271"/>
      <c r="G2205" s="273"/>
      <c r="H2205" s="29" t="str">
        <f>IF(A2205="","",VLOOKUP(A2205,AA_Equipos,7,FALSE))</f>
        <v/>
      </c>
      <c r="I2205" s="394" t="str">
        <f>IF(A2205="","",VLOOKUP(A2205,AA_Equipos,8,FALSE))</f>
        <v/>
      </c>
      <c r="J2205" s="273"/>
      <c r="K2205" s="395"/>
      <c r="L2205" s="273"/>
      <c r="M2205" s="394" t="str">
        <f t="shared" si="294"/>
        <v/>
      </c>
      <c r="N2205" s="273"/>
    </row>
    <row r="2206" spans="1:14" ht="12.75" customHeight="1" x14ac:dyDescent="0.25">
      <c r="A2206" s="4"/>
      <c r="B2206" s="4"/>
      <c r="C2206" s="4"/>
      <c r="D2206" s="4"/>
      <c r="E2206" s="4"/>
      <c r="F2206" s="4"/>
      <c r="G2206" s="4"/>
      <c r="H2206" s="4"/>
      <c r="I2206" s="4"/>
      <c r="J2206" s="4"/>
      <c r="K2206" s="396" t="s">
        <v>444</v>
      </c>
      <c r="L2206" s="273"/>
      <c r="M2206" s="394">
        <f>SUM(M2201:N2205)</f>
        <v>544.22738200000003</v>
      </c>
      <c r="N2206" s="273"/>
    </row>
    <row r="2207" spans="1:14" ht="12.75" customHeight="1" x14ac:dyDescent="0.25">
      <c r="A2207" s="4"/>
      <c r="B2207" s="4"/>
      <c r="C2207" s="4"/>
      <c r="D2207" s="4"/>
      <c r="E2207" s="4"/>
      <c r="F2207" s="4"/>
      <c r="G2207" s="4"/>
      <c r="H2207" s="4"/>
      <c r="I2207" s="4"/>
      <c r="J2207" s="4"/>
      <c r="K2207" s="4"/>
      <c r="L2207" s="4"/>
      <c r="M2207" s="4"/>
      <c r="N2207" s="4"/>
    </row>
    <row r="2208" spans="1:14" ht="12.75" customHeight="1" x14ac:dyDescent="0.2">
      <c r="A2208" s="398" t="s">
        <v>929</v>
      </c>
      <c r="B2208" s="271"/>
      <c r="C2208" s="271"/>
      <c r="D2208" s="271"/>
      <c r="E2208" s="271"/>
      <c r="F2208" s="271"/>
      <c r="G2208" s="271"/>
      <c r="H2208" s="271"/>
      <c r="I2208" s="271"/>
      <c r="J2208" s="271"/>
      <c r="K2208" s="271"/>
      <c r="L2208" s="271"/>
      <c r="M2208" s="271"/>
      <c r="N2208" s="273"/>
    </row>
    <row r="2209" spans="1:14" ht="12.75" customHeight="1" x14ac:dyDescent="0.2">
      <c r="A2209" s="396" t="s">
        <v>76</v>
      </c>
      <c r="B2209" s="271"/>
      <c r="C2209" s="271"/>
      <c r="D2209" s="271"/>
      <c r="E2209" s="271"/>
      <c r="F2209" s="271"/>
      <c r="G2209" s="273"/>
      <c r="H2209" s="88" t="s">
        <v>77</v>
      </c>
      <c r="I2209" s="399" t="s">
        <v>920</v>
      </c>
      <c r="J2209" s="273"/>
      <c r="K2209" s="399" t="s">
        <v>453</v>
      </c>
      <c r="L2209" s="273"/>
      <c r="M2209" s="399" t="s">
        <v>921</v>
      </c>
      <c r="N2209" s="273"/>
    </row>
    <row r="2210" spans="1:14" ht="12.75" customHeight="1" x14ac:dyDescent="0.2">
      <c r="A2210" s="400" t="s">
        <v>966</v>
      </c>
      <c r="B2210" s="271"/>
      <c r="C2210" s="271"/>
      <c r="D2210" s="271"/>
      <c r="E2210" s="271"/>
      <c r="F2210" s="271"/>
      <c r="G2210" s="273"/>
      <c r="H2210" s="29" t="s">
        <v>950</v>
      </c>
      <c r="I2210" s="394">
        <f>+M2197</f>
        <v>900000</v>
      </c>
      <c r="J2210" s="273"/>
      <c r="K2210" s="404">
        <v>0.05</v>
      </c>
      <c r="L2210" s="273"/>
      <c r="M2210" s="394">
        <f t="shared" ref="M2210:M2214" si="295">IF(A2210="","",I2210*K2210)</f>
        <v>45000</v>
      </c>
      <c r="N2210" s="273"/>
    </row>
    <row r="2211" spans="1:14" ht="12.75" customHeight="1" x14ac:dyDescent="0.2">
      <c r="A2211" s="403"/>
      <c r="B2211" s="271"/>
      <c r="C2211" s="271"/>
      <c r="D2211" s="271"/>
      <c r="E2211" s="271"/>
      <c r="F2211" s="271"/>
      <c r="G2211" s="273"/>
      <c r="H2211" s="29"/>
      <c r="I2211" s="394"/>
      <c r="J2211" s="273"/>
      <c r="K2211" s="404"/>
      <c r="L2211" s="273"/>
      <c r="M2211" s="394" t="str">
        <f t="shared" si="295"/>
        <v/>
      </c>
      <c r="N2211" s="273"/>
    </row>
    <row r="2212" spans="1:14" ht="12.75" customHeight="1" x14ac:dyDescent="0.2">
      <c r="A2212" s="400"/>
      <c r="B2212" s="271"/>
      <c r="C2212" s="271"/>
      <c r="D2212" s="271"/>
      <c r="E2212" s="271"/>
      <c r="F2212" s="271"/>
      <c r="G2212" s="273"/>
      <c r="H2212" s="29"/>
      <c r="I2212" s="394"/>
      <c r="J2212" s="273"/>
      <c r="K2212" s="395"/>
      <c r="L2212" s="273"/>
      <c r="M2212" s="394" t="str">
        <f t="shared" si="295"/>
        <v/>
      </c>
      <c r="N2212" s="273"/>
    </row>
    <row r="2213" spans="1:14" ht="12.75" customHeight="1" x14ac:dyDescent="0.2">
      <c r="A2213" s="400"/>
      <c r="B2213" s="271"/>
      <c r="C2213" s="271"/>
      <c r="D2213" s="271"/>
      <c r="E2213" s="271"/>
      <c r="F2213" s="271"/>
      <c r="G2213" s="273"/>
      <c r="H2213" s="29"/>
      <c r="I2213" s="394"/>
      <c r="J2213" s="273"/>
      <c r="K2213" s="395"/>
      <c r="L2213" s="273"/>
      <c r="M2213" s="394" t="str">
        <f t="shared" si="295"/>
        <v/>
      </c>
      <c r="N2213" s="273"/>
    </row>
    <row r="2214" spans="1:14" ht="12.75" customHeight="1" x14ac:dyDescent="0.2">
      <c r="A2214" s="400"/>
      <c r="B2214" s="271"/>
      <c r="C2214" s="271"/>
      <c r="D2214" s="271"/>
      <c r="E2214" s="271"/>
      <c r="F2214" s="271"/>
      <c r="G2214" s="273"/>
      <c r="H2214" s="29"/>
      <c r="I2214" s="394"/>
      <c r="J2214" s="273"/>
      <c r="K2214" s="395"/>
      <c r="L2214" s="273"/>
      <c r="M2214" s="394" t="str">
        <f t="shared" si="295"/>
        <v/>
      </c>
      <c r="N2214" s="273"/>
    </row>
    <row r="2215" spans="1:14" ht="12.75" customHeight="1" x14ac:dyDescent="0.25">
      <c r="A2215" s="4"/>
      <c r="B2215" s="4"/>
      <c r="C2215" s="4"/>
      <c r="D2215" s="4"/>
      <c r="E2215" s="4"/>
      <c r="F2215" s="4"/>
      <c r="G2215" s="4"/>
      <c r="H2215" s="4"/>
      <c r="I2215" s="4"/>
      <c r="J2215" s="4"/>
      <c r="K2215" s="396" t="s">
        <v>444</v>
      </c>
      <c r="L2215" s="273"/>
      <c r="M2215" s="394">
        <f>SUM(M2210:N2214)</f>
        <v>45000</v>
      </c>
      <c r="N2215" s="273"/>
    </row>
    <row r="2216" spans="1:14" ht="12.75" customHeight="1" x14ac:dyDescent="0.25">
      <c r="A2216" s="4"/>
      <c r="B2216" s="4"/>
      <c r="C2216" s="4"/>
      <c r="D2216" s="4"/>
      <c r="E2216" s="4"/>
      <c r="F2216" s="4"/>
      <c r="G2216" s="4"/>
      <c r="H2216" s="4"/>
      <c r="I2216" s="4"/>
      <c r="J2216" s="4"/>
      <c r="K2216" s="4"/>
      <c r="L2216" s="4"/>
      <c r="M2216" s="4"/>
      <c r="N2216" s="4"/>
    </row>
    <row r="2217" spans="1:14" ht="12.75" customHeight="1" x14ac:dyDescent="0.2">
      <c r="A2217" s="398" t="s">
        <v>931</v>
      </c>
      <c r="B2217" s="271"/>
      <c r="C2217" s="271"/>
      <c r="D2217" s="271"/>
      <c r="E2217" s="271"/>
      <c r="F2217" s="271"/>
      <c r="G2217" s="271"/>
      <c r="H2217" s="271"/>
      <c r="I2217" s="271"/>
      <c r="J2217" s="271"/>
      <c r="K2217" s="271"/>
      <c r="L2217" s="271"/>
      <c r="M2217" s="271"/>
      <c r="N2217" s="273"/>
    </row>
    <row r="2218" spans="1:14" ht="12.75" customHeight="1" x14ac:dyDescent="0.2">
      <c r="A2218" s="396" t="s">
        <v>76</v>
      </c>
      <c r="B2218" s="271"/>
      <c r="C2218" s="271"/>
      <c r="D2218" s="271"/>
      <c r="E2218" s="271"/>
      <c r="F2218" s="271"/>
      <c r="G2218" s="273"/>
      <c r="H2218" s="88" t="s">
        <v>77</v>
      </c>
      <c r="I2218" s="399" t="s">
        <v>920</v>
      </c>
      <c r="J2218" s="273"/>
      <c r="K2218" s="90" t="s">
        <v>514</v>
      </c>
      <c r="L2218" s="91" t="s">
        <v>932</v>
      </c>
      <c r="M2218" s="399" t="s">
        <v>921</v>
      </c>
      <c r="N2218" s="273"/>
    </row>
    <row r="2219" spans="1:14" ht="12.75" customHeight="1" x14ac:dyDescent="0.25">
      <c r="A2219" s="393" t="s">
        <v>986</v>
      </c>
      <c r="B2219" s="271"/>
      <c r="C2219" s="271"/>
      <c r="D2219" s="271"/>
      <c r="E2219" s="271"/>
      <c r="F2219" s="271"/>
      <c r="G2219" s="273"/>
      <c r="H2219" s="29" t="str">
        <f>IF(A2219="","",VLOOKUP(A2219,AA_Cuadrillas,4,FALSE))</f>
        <v>Cuadrilla</v>
      </c>
      <c r="I2219" s="394">
        <f>IF(A2219="","",VLOOKUP(A2219,AA_Cuadrillas,5,FALSE))</f>
        <v>186763</v>
      </c>
      <c r="J2219" s="273"/>
      <c r="K2219" s="9">
        <f>IF(A2219="","",F.P!$I$2)</f>
        <v>1.88</v>
      </c>
      <c r="L2219" s="97">
        <v>3.1E-2</v>
      </c>
      <c r="M2219" s="394">
        <f t="shared" ref="M2219:M2223" si="296">IF(A2219="","",I2219*K2219*L2219)</f>
        <v>10884.547640000001</v>
      </c>
      <c r="N2219" s="273"/>
    </row>
    <row r="2220" spans="1:14" ht="12.75" customHeight="1" x14ac:dyDescent="0.25">
      <c r="A2220" s="393"/>
      <c r="B2220" s="271"/>
      <c r="C2220" s="271"/>
      <c r="D2220" s="271"/>
      <c r="E2220" s="271"/>
      <c r="F2220" s="271"/>
      <c r="G2220" s="273"/>
      <c r="H2220" s="29" t="str">
        <f>IF(A2220="","",VLOOKUP(A2220,AA_Cuadrillas,4,FALSE))</f>
        <v/>
      </c>
      <c r="I2220" s="394" t="str">
        <f>IF(A2220="","",VLOOKUP(A2220,AA_Cuadrillas,5,FALSE))</f>
        <v/>
      </c>
      <c r="J2220" s="273"/>
      <c r="K2220" s="9" t="str">
        <f>IF(A2220="","",F.P!$I$2)</f>
        <v/>
      </c>
      <c r="L2220" s="9"/>
      <c r="M2220" s="394" t="str">
        <f t="shared" si="296"/>
        <v/>
      </c>
      <c r="N2220" s="273"/>
    </row>
    <row r="2221" spans="1:14" ht="12.75" customHeight="1" x14ac:dyDescent="0.25">
      <c r="A2221" s="393"/>
      <c r="B2221" s="271"/>
      <c r="C2221" s="271"/>
      <c r="D2221" s="271"/>
      <c r="E2221" s="271"/>
      <c r="F2221" s="271"/>
      <c r="G2221" s="273"/>
      <c r="H2221" s="29" t="str">
        <f>IF(A2221="","",VLOOKUP(A2221,AA_Cuadrillas,4,FALSE))</f>
        <v/>
      </c>
      <c r="I2221" s="394" t="str">
        <f>IF(A2221="","",VLOOKUP(A2221,AA_Cuadrillas,5,FALSE))</f>
        <v/>
      </c>
      <c r="J2221" s="273"/>
      <c r="K2221" s="9" t="str">
        <f>IF(A2221="","",F.P!$I$2)</f>
        <v/>
      </c>
      <c r="L2221" s="37"/>
      <c r="M2221" s="394" t="str">
        <f t="shared" si="296"/>
        <v/>
      </c>
      <c r="N2221" s="273"/>
    </row>
    <row r="2222" spans="1:14" ht="12.75" customHeight="1" x14ac:dyDescent="0.25">
      <c r="A2222" s="393"/>
      <c r="B2222" s="271"/>
      <c r="C2222" s="271"/>
      <c r="D2222" s="271"/>
      <c r="E2222" s="271"/>
      <c r="F2222" s="271"/>
      <c r="G2222" s="273"/>
      <c r="H2222" s="29" t="str">
        <f>IF(A2222="","",VLOOKUP(A2222,AA_Cuadrillas,4,FALSE))</f>
        <v/>
      </c>
      <c r="I2222" s="394" t="str">
        <f>IF(A2222="","",VLOOKUP(A2222,AA_Cuadrillas,5,FALSE))</f>
        <v/>
      </c>
      <c r="J2222" s="273"/>
      <c r="K2222" s="9" t="str">
        <f>IF(A2222="","",F.P!$I$2)</f>
        <v/>
      </c>
      <c r="L2222" s="37"/>
      <c r="M2222" s="394" t="str">
        <f t="shared" si="296"/>
        <v/>
      </c>
      <c r="N2222" s="273"/>
    </row>
    <row r="2223" spans="1:14" ht="12.75" customHeight="1" x14ac:dyDescent="0.25">
      <c r="A2223" s="393"/>
      <c r="B2223" s="271"/>
      <c r="C2223" s="271"/>
      <c r="D2223" s="271"/>
      <c r="E2223" s="271"/>
      <c r="F2223" s="271"/>
      <c r="G2223" s="273"/>
      <c r="H2223" s="29" t="str">
        <f>IF(A2223="","",VLOOKUP(A2223,AA_Cuadrillas,4,FALSE))</f>
        <v/>
      </c>
      <c r="I2223" s="394" t="str">
        <f>IF(A2223="","",VLOOKUP(A2223,AA_Cuadrillas,5,FALSE))</f>
        <v/>
      </c>
      <c r="J2223" s="273"/>
      <c r="K2223" s="9" t="str">
        <f>IF(A2223="","",F.P!$I$2)</f>
        <v/>
      </c>
      <c r="L2223" s="37"/>
      <c r="M2223" s="394" t="str">
        <f t="shared" si="296"/>
        <v/>
      </c>
      <c r="N2223" s="273"/>
    </row>
    <row r="2224" spans="1:14" ht="12.75" customHeight="1" x14ac:dyDescent="0.25">
      <c r="A2224" s="4"/>
      <c r="B2224" s="4"/>
      <c r="C2224" s="4"/>
      <c r="D2224" s="4"/>
      <c r="E2224" s="4"/>
      <c r="F2224" s="4"/>
      <c r="G2224" s="4"/>
      <c r="H2224" s="4"/>
      <c r="I2224" s="4"/>
      <c r="J2224" s="4"/>
      <c r="K2224" s="396" t="s">
        <v>444</v>
      </c>
      <c r="L2224" s="273"/>
      <c r="M2224" s="394">
        <f>SUM(M2219:N2223)</f>
        <v>10884.547640000001</v>
      </c>
      <c r="N2224" s="273"/>
    </row>
    <row r="2225" spans="1:15" ht="12.75" customHeight="1" x14ac:dyDescent="0.2"/>
    <row r="2226" spans="1:15" ht="12.75" customHeight="1" x14ac:dyDescent="0.2">
      <c r="A2226" s="407" t="s">
        <v>279</v>
      </c>
      <c r="B2226" s="275"/>
      <c r="C2226" s="275"/>
      <c r="D2226" s="275"/>
      <c r="E2226" s="275"/>
      <c r="F2226" s="275"/>
      <c r="G2226" s="275"/>
      <c r="H2226" s="275"/>
      <c r="I2226" s="275"/>
      <c r="J2226" s="275"/>
      <c r="K2226" s="275"/>
      <c r="L2226" s="275"/>
      <c r="M2226" s="275"/>
      <c r="N2226" s="276"/>
      <c r="O2226" s="166"/>
    </row>
    <row r="2227" spans="1:15" ht="12.75" customHeight="1" x14ac:dyDescent="0.2">
      <c r="A2227" s="277"/>
      <c r="B2227" s="278"/>
      <c r="C2227" s="278"/>
      <c r="D2227" s="278"/>
      <c r="E2227" s="278"/>
      <c r="F2227" s="278"/>
      <c r="G2227" s="278"/>
      <c r="H2227" s="278"/>
      <c r="I2227" s="278"/>
      <c r="J2227" s="278"/>
      <c r="K2227" s="278"/>
      <c r="L2227" s="278"/>
      <c r="M2227" s="278"/>
      <c r="N2227" s="279"/>
      <c r="O2227" s="166"/>
    </row>
    <row r="2228" spans="1:15" ht="12.75" customHeight="1" x14ac:dyDescent="0.2">
      <c r="A2228" s="75"/>
      <c r="B2228" s="75"/>
      <c r="C2228" s="75"/>
      <c r="D2228" s="75"/>
      <c r="E2228" s="75"/>
      <c r="F2228" s="75"/>
      <c r="G2228" s="75"/>
      <c r="H2228" s="75"/>
      <c r="I2228" s="75"/>
      <c r="J2228" s="75"/>
      <c r="K2228" s="75"/>
      <c r="L2228" s="75"/>
      <c r="M2228" s="75"/>
      <c r="N2228" s="75"/>
    </row>
    <row r="2229" spans="1:15" ht="12.75" customHeight="1" x14ac:dyDescent="0.3">
      <c r="A2229" s="79" t="s">
        <v>665</v>
      </c>
      <c r="B2229" s="80" t="str">
        <f>A2226</f>
        <v>SUMINISTRO E INSTALACIÓN DE TEE Ø4" EN HIERRO DUCTIL (INCLUYE MATERIALES, HERRAMIENTAS Y MANO DE OBRA)</v>
      </c>
      <c r="C2229" s="81" t="s">
        <v>916</v>
      </c>
      <c r="D2229" s="82" t="s">
        <v>999</v>
      </c>
      <c r="E2229" s="83" t="s">
        <v>445</v>
      </c>
      <c r="F2229" s="234">
        <f>(H2229+J2229+L2229+N2229)*1.3</f>
        <v>642792.78230843006</v>
      </c>
      <c r="G2229" s="83" t="s">
        <v>607</v>
      </c>
      <c r="H2229" s="86">
        <f>M2248</f>
        <v>544.22738200000003</v>
      </c>
      <c r="I2229" s="83" t="s">
        <v>918</v>
      </c>
      <c r="J2229" s="86">
        <f>M2239</f>
        <v>460000</v>
      </c>
      <c r="K2229" s="83" t="s">
        <v>609</v>
      </c>
      <c r="L2229" s="86">
        <f>M2257</f>
        <v>23027.211369100001</v>
      </c>
      <c r="M2229" s="83" t="s">
        <v>610</v>
      </c>
      <c r="N2229" s="86">
        <f>M2266</f>
        <v>10884.547640000001</v>
      </c>
      <c r="O2229" t="s">
        <v>3240</v>
      </c>
    </row>
    <row r="2230" spans="1:15" ht="12.75" customHeight="1" x14ac:dyDescent="0.25">
      <c r="A2230" s="87"/>
      <c r="B2230" s="87"/>
      <c r="C2230" s="87"/>
      <c r="D2230" s="87"/>
      <c r="E2230" s="256" t="s">
        <v>3232</v>
      </c>
      <c r="F2230" s="255">
        <f>F2229/1.3</f>
        <v>494455.98639110004</v>
      </c>
      <c r="G2230" s="87"/>
      <c r="J2230" s="87"/>
      <c r="K2230" s="215" t="s">
        <v>3217</v>
      </c>
      <c r="L2230" s="215">
        <f>+F2229*presup!$O$5</f>
        <v>835630.61700095912</v>
      </c>
      <c r="M2230" s="87"/>
      <c r="N2230" s="87"/>
    </row>
    <row r="2231" spans="1:15" ht="12.75" customHeight="1" x14ac:dyDescent="0.2">
      <c r="A2231" s="398" t="s">
        <v>919</v>
      </c>
      <c r="B2231" s="271"/>
      <c r="C2231" s="271"/>
      <c r="D2231" s="271"/>
      <c r="E2231" s="271"/>
      <c r="F2231" s="271"/>
      <c r="G2231" s="271"/>
      <c r="H2231" s="271"/>
      <c r="I2231" s="271"/>
      <c r="J2231" s="271"/>
      <c r="K2231" s="271"/>
      <c r="L2231" s="271"/>
      <c r="M2231" s="271"/>
      <c r="N2231" s="273"/>
    </row>
    <row r="2232" spans="1:15" ht="12.75" customHeight="1" x14ac:dyDescent="0.2">
      <c r="A2232" s="396" t="s">
        <v>76</v>
      </c>
      <c r="B2232" s="271"/>
      <c r="C2232" s="271"/>
      <c r="D2232" s="271"/>
      <c r="E2232" s="271"/>
      <c r="F2232" s="271"/>
      <c r="G2232" s="273"/>
      <c r="H2232" s="88" t="s">
        <v>77</v>
      </c>
      <c r="I2232" s="399" t="s">
        <v>920</v>
      </c>
      <c r="J2232" s="273"/>
      <c r="K2232" s="399" t="s">
        <v>453</v>
      </c>
      <c r="L2232" s="273"/>
      <c r="M2232" s="399" t="s">
        <v>921</v>
      </c>
      <c r="N2232" s="273"/>
    </row>
    <row r="2233" spans="1:15" ht="12.75" customHeight="1" x14ac:dyDescent="0.2">
      <c r="A2233" s="413" t="str">
        <f>'precios '!C94</f>
        <v xml:space="preserve">Tee Ø4 en hierro ductil  junta rapida </v>
      </c>
      <c r="B2233" s="414"/>
      <c r="C2233" s="414"/>
      <c r="D2233" s="414"/>
      <c r="E2233" s="414"/>
      <c r="F2233" s="414"/>
      <c r="G2233" s="415"/>
      <c r="H2233" s="29" t="str">
        <f t="shared" ref="H2233:H2238" si="297">IF(A2233="","",VLOOKUP(A2233,AA_Materiales,7,FALSE))</f>
        <v>Unidad</v>
      </c>
      <c r="I2233" s="394">
        <f t="shared" ref="I2233:I2238" si="298">IF(A2233="","",VLOOKUP(A2233,AA_Materiales,8,FALSE))</f>
        <v>460000</v>
      </c>
      <c r="J2233" s="273"/>
      <c r="K2233" s="395">
        <v>1</v>
      </c>
      <c r="L2233" s="273"/>
      <c r="M2233" s="394">
        <f t="shared" ref="M2233:M2238" si="299">IF(A2233="","",I2233*K2233)</f>
        <v>460000</v>
      </c>
      <c r="N2233" s="273"/>
    </row>
    <row r="2234" spans="1:15" ht="12.75" customHeight="1" x14ac:dyDescent="0.2">
      <c r="A2234" s="403"/>
      <c r="B2234" s="271"/>
      <c r="C2234" s="271"/>
      <c r="D2234" s="271"/>
      <c r="E2234" s="271"/>
      <c r="F2234" s="271"/>
      <c r="G2234" s="273"/>
      <c r="H2234" s="29" t="str">
        <f t="shared" si="297"/>
        <v/>
      </c>
      <c r="I2234" s="394" t="str">
        <f t="shared" si="298"/>
        <v/>
      </c>
      <c r="J2234" s="273"/>
      <c r="K2234" s="395"/>
      <c r="L2234" s="273"/>
      <c r="M2234" s="394" t="str">
        <f t="shared" si="299"/>
        <v/>
      </c>
      <c r="N2234" s="273"/>
    </row>
    <row r="2235" spans="1:15" ht="12.75" customHeight="1" x14ac:dyDescent="0.2">
      <c r="A2235" s="403"/>
      <c r="B2235" s="271"/>
      <c r="C2235" s="271"/>
      <c r="D2235" s="271"/>
      <c r="E2235" s="271"/>
      <c r="F2235" s="271"/>
      <c r="G2235" s="273"/>
      <c r="H2235" s="29" t="str">
        <f t="shared" si="297"/>
        <v/>
      </c>
      <c r="I2235" s="394" t="str">
        <f t="shared" si="298"/>
        <v/>
      </c>
      <c r="J2235" s="273"/>
      <c r="K2235" s="395"/>
      <c r="L2235" s="273"/>
      <c r="M2235" s="394" t="str">
        <f t="shared" si="299"/>
        <v/>
      </c>
      <c r="N2235" s="273"/>
    </row>
    <row r="2236" spans="1:15" ht="12.75" customHeight="1" x14ac:dyDescent="0.2">
      <c r="A2236" s="403"/>
      <c r="B2236" s="271"/>
      <c r="C2236" s="271"/>
      <c r="D2236" s="271"/>
      <c r="E2236" s="271"/>
      <c r="F2236" s="271"/>
      <c r="G2236" s="273"/>
      <c r="H2236" s="29" t="str">
        <f t="shared" si="297"/>
        <v/>
      </c>
      <c r="I2236" s="394" t="str">
        <f t="shared" si="298"/>
        <v/>
      </c>
      <c r="J2236" s="273"/>
      <c r="K2236" s="395"/>
      <c r="L2236" s="273"/>
      <c r="M2236" s="394" t="str">
        <f t="shared" si="299"/>
        <v/>
      </c>
      <c r="N2236" s="273"/>
    </row>
    <row r="2237" spans="1:15" ht="12.75" customHeight="1" x14ac:dyDescent="0.2">
      <c r="A2237" s="403"/>
      <c r="B2237" s="271"/>
      <c r="C2237" s="271"/>
      <c r="D2237" s="271"/>
      <c r="E2237" s="271"/>
      <c r="F2237" s="271"/>
      <c r="G2237" s="273"/>
      <c r="H2237" s="29" t="str">
        <f t="shared" si="297"/>
        <v/>
      </c>
      <c r="I2237" s="394" t="str">
        <f t="shared" si="298"/>
        <v/>
      </c>
      <c r="J2237" s="273"/>
      <c r="K2237" s="395"/>
      <c r="L2237" s="273"/>
      <c r="M2237" s="394" t="str">
        <f t="shared" si="299"/>
        <v/>
      </c>
      <c r="N2237" s="273"/>
    </row>
    <row r="2238" spans="1:15" ht="12.75" customHeight="1" x14ac:dyDescent="0.2">
      <c r="A2238" s="403"/>
      <c r="B2238" s="271"/>
      <c r="C2238" s="271"/>
      <c r="D2238" s="271"/>
      <c r="E2238" s="271"/>
      <c r="F2238" s="271"/>
      <c r="G2238" s="273"/>
      <c r="H2238" s="29" t="str">
        <f t="shared" si="297"/>
        <v/>
      </c>
      <c r="I2238" s="394" t="str">
        <f t="shared" si="298"/>
        <v/>
      </c>
      <c r="J2238" s="273"/>
      <c r="K2238" s="395"/>
      <c r="L2238" s="273"/>
      <c r="M2238" s="394" t="str">
        <f t="shared" si="299"/>
        <v/>
      </c>
      <c r="N2238" s="273"/>
    </row>
    <row r="2239" spans="1:15" ht="12.75" customHeight="1" x14ac:dyDescent="0.25">
      <c r="A2239" s="4"/>
      <c r="B2239" s="4"/>
      <c r="C2239" s="4"/>
      <c r="D2239" s="4"/>
      <c r="E2239" s="4"/>
      <c r="F2239" s="4"/>
      <c r="G2239" s="4"/>
      <c r="H2239" s="4"/>
      <c r="I2239" s="4"/>
      <c r="J2239" s="4"/>
      <c r="K2239" s="396" t="s">
        <v>444</v>
      </c>
      <c r="L2239" s="273"/>
      <c r="M2239" s="394">
        <f>SUM(M2233:N2238)</f>
        <v>460000</v>
      </c>
      <c r="N2239" s="273"/>
    </row>
    <row r="2240" spans="1:15" ht="12.75" customHeight="1" x14ac:dyDescent="0.25">
      <c r="A2240" s="4"/>
      <c r="B2240" s="4"/>
      <c r="C2240" s="4"/>
      <c r="D2240" s="4"/>
      <c r="E2240" s="4"/>
      <c r="F2240" s="4"/>
      <c r="G2240" s="4"/>
      <c r="H2240" s="4"/>
      <c r="I2240" s="4"/>
      <c r="J2240" s="4"/>
      <c r="K2240" s="4"/>
      <c r="L2240" s="4"/>
      <c r="M2240" s="4"/>
      <c r="N2240" s="4"/>
    </row>
    <row r="2241" spans="1:14" ht="12.75" customHeight="1" x14ac:dyDescent="0.2">
      <c r="A2241" s="398" t="s">
        <v>926</v>
      </c>
      <c r="B2241" s="271"/>
      <c r="C2241" s="271"/>
      <c r="D2241" s="271"/>
      <c r="E2241" s="271"/>
      <c r="F2241" s="271"/>
      <c r="G2241" s="271"/>
      <c r="H2241" s="271"/>
      <c r="I2241" s="271"/>
      <c r="J2241" s="271"/>
      <c r="K2241" s="271"/>
      <c r="L2241" s="271"/>
      <c r="M2241" s="271"/>
      <c r="N2241" s="273"/>
    </row>
    <row r="2242" spans="1:14" ht="12.75" customHeight="1" x14ac:dyDescent="0.2">
      <c r="A2242" s="396" t="s">
        <v>76</v>
      </c>
      <c r="B2242" s="271"/>
      <c r="C2242" s="271"/>
      <c r="D2242" s="271"/>
      <c r="E2242" s="271"/>
      <c r="F2242" s="271"/>
      <c r="G2242" s="273"/>
      <c r="H2242" s="88" t="s">
        <v>77</v>
      </c>
      <c r="I2242" s="399" t="s">
        <v>920</v>
      </c>
      <c r="J2242" s="273"/>
      <c r="K2242" s="399" t="s">
        <v>453</v>
      </c>
      <c r="L2242" s="273"/>
      <c r="M2242" s="399" t="s">
        <v>921</v>
      </c>
      <c r="N2242" s="273"/>
    </row>
    <row r="2243" spans="1:14" ht="12.75" customHeight="1" x14ac:dyDescent="0.2">
      <c r="A2243" s="400" t="s">
        <v>927</v>
      </c>
      <c r="B2243" s="271"/>
      <c r="C2243" s="271"/>
      <c r="D2243" s="271"/>
      <c r="E2243" s="271"/>
      <c r="F2243" s="271"/>
      <c r="G2243" s="273"/>
      <c r="H2243" s="29" t="str">
        <f>IF(A2243="","",VLOOKUP(A2243,AA_Equipos,7,FALSE))</f>
        <v>% M.O.</v>
      </c>
      <c r="I2243" s="394">
        <f>+M2266</f>
        <v>10884.547640000001</v>
      </c>
      <c r="J2243" s="273"/>
      <c r="K2243" s="404">
        <v>0.05</v>
      </c>
      <c r="L2243" s="273"/>
      <c r="M2243" s="394">
        <f t="shared" ref="M2243:M2247" si="300">IF(A2243="","",I2243*K2243)</f>
        <v>544.22738200000003</v>
      </c>
      <c r="N2243" s="273"/>
    </row>
    <row r="2244" spans="1:14" ht="12.75" customHeight="1" x14ac:dyDescent="0.2">
      <c r="A2244" s="403"/>
      <c r="B2244" s="271"/>
      <c r="C2244" s="271"/>
      <c r="D2244" s="271"/>
      <c r="E2244" s="271"/>
      <c r="F2244" s="271"/>
      <c r="G2244" s="273"/>
      <c r="H2244" s="29" t="str">
        <f>IF(A2244="","",VLOOKUP(A2244,AA_Equipos,7,FALSE))</f>
        <v/>
      </c>
      <c r="I2244" s="394" t="str">
        <f>IF(A2244="","",VLOOKUP(A2244,AA_Equipos,8,FALSE))</f>
        <v/>
      </c>
      <c r="J2244" s="273"/>
      <c r="K2244" s="402"/>
      <c r="L2244" s="273"/>
      <c r="M2244" s="394" t="str">
        <f t="shared" si="300"/>
        <v/>
      </c>
      <c r="N2244" s="273"/>
    </row>
    <row r="2245" spans="1:14" ht="12.75" customHeight="1" x14ac:dyDescent="0.2">
      <c r="A2245" s="400"/>
      <c r="B2245" s="271"/>
      <c r="C2245" s="271"/>
      <c r="D2245" s="271"/>
      <c r="E2245" s="271"/>
      <c r="F2245" s="271"/>
      <c r="G2245" s="273"/>
      <c r="H2245" s="29" t="str">
        <f>IF(A2245="","",VLOOKUP(A2245,AA_Equipos,7,FALSE))</f>
        <v/>
      </c>
      <c r="I2245" s="394" t="str">
        <f>IF(A2245="","",VLOOKUP(A2245,AA_Equipos,8,FALSE))</f>
        <v/>
      </c>
      <c r="J2245" s="273"/>
      <c r="K2245" s="401"/>
      <c r="L2245" s="273"/>
      <c r="M2245" s="394" t="str">
        <f t="shared" si="300"/>
        <v/>
      </c>
      <c r="N2245" s="273"/>
    </row>
    <row r="2246" spans="1:14" ht="12.75" customHeight="1" x14ac:dyDescent="0.2">
      <c r="A2246" s="400"/>
      <c r="B2246" s="271"/>
      <c r="C2246" s="271"/>
      <c r="D2246" s="271"/>
      <c r="E2246" s="271"/>
      <c r="F2246" s="271"/>
      <c r="G2246" s="273"/>
      <c r="H2246" s="29" t="str">
        <f>IF(A2246="","",VLOOKUP(A2246,AA_Equipos,7,FALSE))</f>
        <v/>
      </c>
      <c r="I2246" s="394" t="str">
        <f>IF(A2246="","",VLOOKUP(A2246,AA_Equipos,8,FALSE))</f>
        <v/>
      </c>
      <c r="J2246" s="273"/>
      <c r="K2246" s="395"/>
      <c r="L2246" s="273"/>
      <c r="M2246" s="394" t="str">
        <f t="shared" si="300"/>
        <v/>
      </c>
      <c r="N2246" s="273"/>
    </row>
    <row r="2247" spans="1:14" ht="12.75" customHeight="1" x14ac:dyDescent="0.2">
      <c r="A2247" s="400"/>
      <c r="B2247" s="271"/>
      <c r="C2247" s="271"/>
      <c r="D2247" s="271"/>
      <c r="E2247" s="271"/>
      <c r="F2247" s="271"/>
      <c r="G2247" s="273"/>
      <c r="H2247" s="29" t="str">
        <f>IF(A2247="","",VLOOKUP(A2247,AA_Equipos,7,FALSE))</f>
        <v/>
      </c>
      <c r="I2247" s="394" t="str">
        <f>IF(A2247="","",VLOOKUP(A2247,AA_Equipos,8,FALSE))</f>
        <v/>
      </c>
      <c r="J2247" s="273"/>
      <c r="K2247" s="395"/>
      <c r="L2247" s="273"/>
      <c r="M2247" s="394" t="str">
        <f t="shared" si="300"/>
        <v/>
      </c>
      <c r="N2247" s="273"/>
    </row>
    <row r="2248" spans="1:14" ht="12.75" customHeight="1" x14ac:dyDescent="0.25">
      <c r="A2248" s="4"/>
      <c r="B2248" s="4"/>
      <c r="C2248" s="4"/>
      <c r="D2248" s="4"/>
      <c r="E2248" s="4"/>
      <c r="F2248" s="4"/>
      <c r="G2248" s="4"/>
      <c r="H2248" s="4"/>
      <c r="I2248" s="4"/>
      <c r="J2248" s="4"/>
      <c r="K2248" s="396" t="s">
        <v>444</v>
      </c>
      <c r="L2248" s="273"/>
      <c r="M2248" s="394">
        <f>SUM(M2243:N2247)</f>
        <v>544.22738200000003</v>
      </c>
      <c r="N2248" s="273"/>
    </row>
    <row r="2249" spans="1:14" ht="12.75" customHeight="1" x14ac:dyDescent="0.25">
      <c r="A2249" s="4"/>
      <c r="B2249" s="4"/>
      <c r="C2249" s="4"/>
      <c r="D2249" s="4"/>
      <c r="E2249" s="4"/>
      <c r="F2249" s="4"/>
      <c r="G2249" s="4"/>
      <c r="H2249" s="4"/>
      <c r="I2249" s="4"/>
      <c r="J2249" s="4"/>
      <c r="K2249" s="4"/>
      <c r="L2249" s="4"/>
      <c r="M2249" s="4"/>
      <c r="N2249" s="4"/>
    </row>
    <row r="2250" spans="1:14" ht="12.75" customHeight="1" x14ac:dyDescent="0.2">
      <c r="A2250" s="398" t="s">
        <v>929</v>
      </c>
      <c r="B2250" s="271"/>
      <c r="C2250" s="271"/>
      <c r="D2250" s="271"/>
      <c r="E2250" s="271"/>
      <c r="F2250" s="271"/>
      <c r="G2250" s="271"/>
      <c r="H2250" s="271"/>
      <c r="I2250" s="271"/>
      <c r="J2250" s="271"/>
      <c r="K2250" s="271"/>
      <c r="L2250" s="271"/>
      <c r="M2250" s="271"/>
      <c r="N2250" s="273"/>
    </row>
    <row r="2251" spans="1:14" ht="12.75" customHeight="1" x14ac:dyDescent="0.2">
      <c r="A2251" s="396" t="s">
        <v>76</v>
      </c>
      <c r="B2251" s="271"/>
      <c r="C2251" s="271"/>
      <c r="D2251" s="271"/>
      <c r="E2251" s="271"/>
      <c r="F2251" s="271"/>
      <c r="G2251" s="273"/>
      <c r="H2251" s="88" t="s">
        <v>77</v>
      </c>
      <c r="I2251" s="399" t="s">
        <v>920</v>
      </c>
      <c r="J2251" s="273"/>
      <c r="K2251" s="399" t="s">
        <v>453</v>
      </c>
      <c r="L2251" s="273"/>
      <c r="M2251" s="399" t="s">
        <v>921</v>
      </c>
      <c r="N2251" s="273"/>
    </row>
    <row r="2252" spans="1:14" ht="12.75" customHeight="1" x14ac:dyDescent="0.2">
      <c r="A2252" s="400" t="s">
        <v>966</v>
      </c>
      <c r="B2252" s="271"/>
      <c r="C2252" s="271"/>
      <c r="D2252" s="271"/>
      <c r="E2252" s="271"/>
      <c r="F2252" s="271"/>
      <c r="G2252" s="273"/>
      <c r="H2252" s="29" t="s">
        <v>950</v>
      </c>
      <c r="I2252" s="394">
        <f>+M2239</f>
        <v>460000</v>
      </c>
      <c r="J2252" s="273"/>
      <c r="K2252" s="404">
        <v>0.05</v>
      </c>
      <c r="L2252" s="273"/>
      <c r="M2252" s="394">
        <f t="shared" ref="M2252:M2256" si="301">IF(A2252="","",I2252*K2252)</f>
        <v>23000</v>
      </c>
      <c r="N2252" s="273"/>
    </row>
    <row r="2253" spans="1:14" ht="12.75" customHeight="1" x14ac:dyDescent="0.2">
      <c r="A2253" s="403" t="s">
        <v>3174</v>
      </c>
      <c r="B2253" s="271"/>
      <c r="C2253" s="271"/>
      <c r="D2253" s="271"/>
      <c r="E2253" s="271"/>
      <c r="F2253" s="271"/>
      <c r="G2253" s="273"/>
      <c r="H2253" s="29" t="s">
        <v>24</v>
      </c>
      <c r="I2253" s="394">
        <f>+M2248</f>
        <v>544.22738200000003</v>
      </c>
      <c r="J2253" s="273"/>
      <c r="K2253" s="404">
        <v>0.05</v>
      </c>
      <c r="L2253" s="273"/>
      <c r="M2253" s="394">
        <f t="shared" si="301"/>
        <v>27.211369100000002</v>
      </c>
      <c r="N2253" s="273"/>
    </row>
    <row r="2254" spans="1:14" ht="12.75" customHeight="1" x14ac:dyDescent="0.2">
      <c r="A2254" s="400"/>
      <c r="B2254" s="271"/>
      <c r="C2254" s="271"/>
      <c r="D2254" s="271"/>
      <c r="E2254" s="271"/>
      <c r="F2254" s="271"/>
      <c r="G2254" s="273"/>
      <c r="H2254" s="29"/>
      <c r="I2254" s="394"/>
      <c r="J2254" s="273"/>
      <c r="K2254" s="395"/>
      <c r="L2254" s="273"/>
      <c r="M2254" s="394" t="str">
        <f t="shared" si="301"/>
        <v/>
      </c>
      <c r="N2254" s="273"/>
    </row>
    <row r="2255" spans="1:14" ht="12.75" customHeight="1" x14ac:dyDescent="0.2">
      <c r="A2255" s="400"/>
      <c r="B2255" s="271"/>
      <c r="C2255" s="271"/>
      <c r="D2255" s="271"/>
      <c r="E2255" s="271"/>
      <c r="F2255" s="271"/>
      <c r="G2255" s="273"/>
      <c r="H2255" s="29"/>
      <c r="I2255" s="394"/>
      <c r="J2255" s="273"/>
      <c r="K2255" s="395"/>
      <c r="L2255" s="273"/>
      <c r="M2255" s="394" t="str">
        <f t="shared" si="301"/>
        <v/>
      </c>
      <c r="N2255" s="273"/>
    </row>
    <row r="2256" spans="1:14" ht="12.75" customHeight="1" x14ac:dyDescent="0.2">
      <c r="A2256" s="400"/>
      <c r="B2256" s="271"/>
      <c r="C2256" s="271"/>
      <c r="D2256" s="271"/>
      <c r="E2256" s="271"/>
      <c r="F2256" s="271"/>
      <c r="G2256" s="273"/>
      <c r="H2256" s="29"/>
      <c r="I2256" s="394"/>
      <c r="J2256" s="273"/>
      <c r="K2256" s="395"/>
      <c r="L2256" s="273"/>
      <c r="M2256" s="394" t="str">
        <f t="shared" si="301"/>
        <v/>
      </c>
      <c r="N2256" s="273"/>
    </row>
    <row r="2257" spans="1:14" ht="12.75" customHeight="1" x14ac:dyDescent="0.25">
      <c r="A2257" s="4"/>
      <c r="B2257" s="4"/>
      <c r="C2257" s="4"/>
      <c r="D2257" s="4"/>
      <c r="E2257" s="4"/>
      <c r="F2257" s="4"/>
      <c r="G2257" s="4"/>
      <c r="H2257" s="4"/>
      <c r="I2257" s="4"/>
      <c r="J2257" s="4"/>
      <c r="K2257" s="396" t="s">
        <v>444</v>
      </c>
      <c r="L2257" s="273"/>
      <c r="M2257" s="394">
        <f>SUM(M2252:N2256)</f>
        <v>23027.211369100001</v>
      </c>
      <c r="N2257" s="273"/>
    </row>
    <row r="2258" spans="1:14" ht="12.75" customHeight="1" x14ac:dyDescent="0.25">
      <c r="A2258" s="4"/>
      <c r="B2258" s="4"/>
      <c r="C2258" s="4"/>
      <c r="D2258" s="4"/>
      <c r="E2258" s="4"/>
      <c r="F2258" s="4"/>
      <c r="G2258" s="4"/>
      <c r="H2258" s="4"/>
      <c r="I2258" s="4"/>
      <c r="J2258" s="4"/>
      <c r="K2258" s="4"/>
      <c r="L2258" s="4"/>
      <c r="M2258" s="4"/>
      <c r="N2258" s="4"/>
    </row>
    <row r="2259" spans="1:14" ht="12.75" customHeight="1" x14ac:dyDescent="0.2">
      <c r="A2259" s="398" t="s">
        <v>931</v>
      </c>
      <c r="B2259" s="271"/>
      <c r="C2259" s="271"/>
      <c r="D2259" s="271"/>
      <c r="E2259" s="271"/>
      <c r="F2259" s="271"/>
      <c r="G2259" s="271"/>
      <c r="H2259" s="271"/>
      <c r="I2259" s="271"/>
      <c r="J2259" s="271"/>
      <c r="K2259" s="271"/>
      <c r="L2259" s="271"/>
      <c r="M2259" s="271"/>
      <c r="N2259" s="273"/>
    </row>
    <row r="2260" spans="1:14" ht="12.75" customHeight="1" x14ac:dyDescent="0.2">
      <c r="A2260" s="396" t="s">
        <v>76</v>
      </c>
      <c r="B2260" s="271"/>
      <c r="C2260" s="271"/>
      <c r="D2260" s="271"/>
      <c r="E2260" s="271"/>
      <c r="F2260" s="271"/>
      <c r="G2260" s="273"/>
      <c r="H2260" s="88" t="s">
        <v>77</v>
      </c>
      <c r="I2260" s="399" t="s">
        <v>920</v>
      </c>
      <c r="J2260" s="273"/>
      <c r="K2260" s="90" t="s">
        <v>514</v>
      </c>
      <c r="L2260" s="91" t="s">
        <v>932</v>
      </c>
      <c r="M2260" s="399" t="s">
        <v>921</v>
      </c>
      <c r="N2260" s="273"/>
    </row>
    <row r="2261" spans="1:14" ht="12.75" customHeight="1" x14ac:dyDescent="0.25">
      <c r="A2261" s="393" t="s">
        <v>986</v>
      </c>
      <c r="B2261" s="271"/>
      <c r="C2261" s="271"/>
      <c r="D2261" s="271"/>
      <c r="E2261" s="271"/>
      <c r="F2261" s="271"/>
      <c r="G2261" s="273"/>
      <c r="H2261" s="29" t="str">
        <f>IF(A2261="","",VLOOKUP(A2261,AA_Cuadrillas,4,FALSE))</f>
        <v>Cuadrilla</v>
      </c>
      <c r="I2261" s="394">
        <f>IF(A2261="","",VLOOKUP(A2261,AA_Cuadrillas,5,FALSE))</f>
        <v>186763</v>
      </c>
      <c r="J2261" s="273"/>
      <c r="K2261" s="9">
        <f>IF(A2261="","",F.P!$I$2)</f>
        <v>1.88</v>
      </c>
      <c r="L2261" s="97">
        <v>3.1E-2</v>
      </c>
      <c r="M2261" s="394">
        <f t="shared" ref="M2261:M2265" si="302">IF(A2261="","",I2261*K2261*L2261)</f>
        <v>10884.547640000001</v>
      </c>
      <c r="N2261" s="273"/>
    </row>
    <row r="2262" spans="1:14" ht="12.75" customHeight="1" x14ac:dyDescent="0.25">
      <c r="A2262" s="393"/>
      <c r="B2262" s="271"/>
      <c r="C2262" s="271"/>
      <c r="D2262" s="271"/>
      <c r="E2262" s="271"/>
      <c r="F2262" s="271"/>
      <c r="G2262" s="273"/>
      <c r="H2262" s="29" t="str">
        <f>IF(A2262="","",VLOOKUP(A2262,AA_Cuadrillas,4,FALSE))</f>
        <v/>
      </c>
      <c r="I2262" s="394" t="str">
        <f>IF(A2262="","",VLOOKUP(A2262,AA_Cuadrillas,5,FALSE))</f>
        <v/>
      </c>
      <c r="J2262" s="273"/>
      <c r="K2262" s="9" t="str">
        <f>IF(A2262="","",F.P!$I$2)</f>
        <v/>
      </c>
      <c r="L2262" s="9"/>
      <c r="M2262" s="394" t="str">
        <f t="shared" si="302"/>
        <v/>
      </c>
      <c r="N2262" s="273"/>
    </row>
    <row r="2263" spans="1:14" ht="12.75" customHeight="1" x14ac:dyDescent="0.25">
      <c r="A2263" s="393"/>
      <c r="B2263" s="271"/>
      <c r="C2263" s="271"/>
      <c r="D2263" s="271"/>
      <c r="E2263" s="271"/>
      <c r="F2263" s="271"/>
      <c r="G2263" s="273"/>
      <c r="H2263" s="29" t="str">
        <f>IF(A2263="","",VLOOKUP(A2263,AA_Cuadrillas,4,FALSE))</f>
        <v/>
      </c>
      <c r="I2263" s="394" t="str">
        <f>IF(A2263="","",VLOOKUP(A2263,AA_Cuadrillas,5,FALSE))</f>
        <v/>
      </c>
      <c r="J2263" s="273"/>
      <c r="K2263" s="9" t="str">
        <f>IF(A2263="","",F.P!$I$2)</f>
        <v/>
      </c>
      <c r="L2263" s="37"/>
      <c r="M2263" s="394" t="str">
        <f t="shared" si="302"/>
        <v/>
      </c>
      <c r="N2263" s="273"/>
    </row>
    <row r="2264" spans="1:14" ht="12.75" customHeight="1" x14ac:dyDescent="0.25">
      <c r="A2264" s="393"/>
      <c r="B2264" s="271"/>
      <c r="C2264" s="271"/>
      <c r="D2264" s="271"/>
      <c r="E2264" s="271"/>
      <c r="F2264" s="271"/>
      <c r="G2264" s="273"/>
      <c r="H2264" s="29" t="str">
        <f>IF(A2264="","",VLOOKUP(A2264,AA_Cuadrillas,4,FALSE))</f>
        <v/>
      </c>
      <c r="I2264" s="394" t="str">
        <f>IF(A2264="","",VLOOKUP(A2264,AA_Cuadrillas,5,FALSE))</f>
        <v/>
      </c>
      <c r="J2264" s="273"/>
      <c r="K2264" s="9" t="str">
        <f>IF(A2264="","",F.P!$I$2)</f>
        <v/>
      </c>
      <c r="L2264" s="37"/>
      <c r="M2264" s="394" t="str">
        <f t="shared" si="302"/>
        <v/>
      </c>
      <c r="N2264" s="273"/>
    </row>
    <row r="2265" spans="1:14" ht="12.75" customHeight="1" x14ac:dyDescent="0.25">
      <c r="A2265" s="393"/>
      <c r="B2265" s="271"/>
      <c r="C2265" s="271"/>
      <c r="D2265" s="271"/>
      <c r="E2265" s="271"/>
      <c r="F2265" s="271"/>
      <c r="G2265" s="273"/>
      <c r="H2265" s="29" t="str">
        <f>IF(A2265="","",VLOOKUP(A2265,AA_Cuadrillas,4,FALSE))</f>
        <v/>
      </c>
      <c r="I2265" s="394" t="str">
        <f>IF(A2265="","",VLOOKUP(A2265,AA_Cuadrillas,5,FALSE))</f>
        <v/>
      </c>
      <c r="J2265" s="273"/>
      <c r="K2265" s="9" t="str">
        <f>IF(A2265="","",F.P!$I$2)</f>
        <v/>
      </c>
      <c r="L2265" s="37"/>
      <c r="M2265" s="394" t="str">
        <f t="shared" si="302"/>
        <v/>
      </c>
      <c r="N2265" s="273"/>
    </row>
    <row r="2266" spans="1:14" ht="12.75" customHeight="1" x14ac:dyDescent="0.25">
      <c r="A2266" s="4"/>
      <c r="B2266" s="4"/>
      <c r="C2266" s="4"/>
      <c r="D2266" s="4"/>
      <c r="E2266" s="4"/>
      <c r="F2266" s="4"/>
      <c r="G2266" s="4"/>
      <c r="H2266" s="4"/>
      <c r="I2266" s="4"/>
      <c r="J2266" s="4"/>
      <c r="K2266" s="396" t="s">
        <v>444</v>
      </c>
      <c r="L2266" s="273"/>
      <c r="M2266" s="394">
        <f>SUM(M2261:N2265)</f>
        <v>10884.547640000001</v>
      </c>
      <c r="N2266" s="273"/>
    </row>
    <row r="2267" spans="1:14" ht="12.75" customHeight="1" x14ac:dyDescent="0.2"/>
    <row r="2268" spans="1:14" ht="12.75" customHeight="1" x14ac:dyDescent="0.2">
      <c r="A2268" s="407" t="s">
        <v>1079</v>
      </c>
      <c r="B2268" s="275"/>
      <c r="C2268" s="275"/>
      <c r="D2268" s="275"/>
      <c r="E2268" s="275"/>
      <c r="F2268" s="275"/>
      <c r="G2268" s="275"/>
      <c r="H2268" s="275"/>
      <c r="I2268" s="275"/>
      <c r="J2268" s="275"/>
      <c r="K2268" s="275"/>
      <c r="L2268" s="275"/>
      <c r="M2268" s="275"/>
      <c r="N2268" s="276"/>
    </row>
    <row r="2269" spans="1:14" ht="12.75" customHeight="1" x14ac:dyDescent="0.2">
      <c r="A2269" s="277"/>
      <c r="B2269" s="278"/>
      <c r="C2269" s="278"/>
      <c r="D2269" s="278"/>
      <c r="E2269" s="278"/>
      <c r="F2269" s="278"/>
      <c r="G2269" s="278"/>
      <c r="H2269" s="278"/>
      <c r="I2269" s="278"/>
      <c r="J2269" s="278"/>
      <c r="K2269" s="278"/>
      <c r="L2269" s="278"/>
      <c r="M2269" s="278"/>
      <c r="N2269" s="279"/>
    </row>
    <row r="2270" spans="1:14" ht="12.75" customHeight="1" x14ac:dyDescent="0.2">
      <c r="A2270" s="75"/>
      <c r="B2270" s="75"/>
      <c r="C2270" s="75"/>
      <c r="D2270" s="75"/>
      <c r="E2270" s="75"/>
      <c r="F2270" s="75"/>
      <c r="G2270" s="75"/>
      <c r="H2270" s="75"/>
      <c r="I2270" s="75"/>
      <c r="J2270" s="75"/>
      <c r="K2270" s="75"/>
      <c r="L2270" s="75"/>
      <c r="M2270" s="75"/>
      <c r="N2270" s="75"/>
    </row>
    <row r="2271" spans="1:14" ht="12.75" customHeight="1" x14ac:dyDescent="0.3">
      <c r="A2271" s="79" t="s">
        <v>666</v>
      </c>
      <c r="B2271" s="80" t="str">
        <f>A2268</f>
        <v>SUMINISTRO E INSTALACIÓN DE TEE Ø6 EN HIERRO DUCTIL</v>
      </c>
      <c r="C2271" s="81" t="s">
        <v>916</v>
      </c>
      <c r="D2271" s="82" t="s">
        <v>999</v>
      </c>
      <c r="E2271" s="83" t="s">
        <v>445</v>
      </c>
      <c r="F2271" s="234">
        <f>(H2271+J2271+L2271+N2271)*1.3</f>
        <v>1419442.4075286002</v>
      </c>
      <c r="G2271" s="83" t="s">
        <v>607</v>
      </c>
      <c r="H2271" s="86">
        <f>M2281</f>
        <v>1029000</v>
      </c>
      <c r="I2271" s="83" t="s">
        <v>918</v>
      </c>
      <c r="J2271" s="86">
        <f>M2290</f>
        <v>544.22738200000003</v>
      </c>
      <c r="K2271" s="83" t="s">
        <v>609</v>
      </c>
      <c r="L2271" s="86">
        <f>M2299</f>
        <v>51450</v>
      </c>
      <c r="M2271" s="83" t="s">
        <v>610</v>
      </c>
      <c r="N2271" s="86">
        <f>M2308</f>
        <v>10884.547640000001</v>
      </c>
    </row>
    <row r="2272" spans="1:14" ht="12.75" customHeight="1" x14ac:dyDescent="0.25">
      <c r="A2272" s="87"/>
      <c r="B2272" s="87"/>
      <c r="C2272" s="87"/>
      <c r="D2272" s="87"/>
      <c r="E2272" s="87"/>
      <c r="F2272" s="87"/>
      <c r="G2272" s="87"/>
      <c r="J2272" s="87"/>
      <c r="K2272" s="215" t="s">
        <v>3217</v>
      </c>
      <c r="L2272" s="215">
        <f>+F2271*presup!$O$5</f>
        <v>1845275.1297871803</v>
      </c>
      <c r="M2272" s="87"/>
      <c r="N2272" s="87"/>
    </row>
    <row r="2273" spans="1:14" ht="12.75" customHeight="1" x14ac:dyDescent="0.2">
      <c r="A2273" s="398" t="s">
        <v>919</v>
      </c>
      <c r="B2273" s="271"/>
      <c r="C2273" s="271"/>
      <c r="D2273" s="271"/>
      <c r="E2273" s="271"/>
      <c r="F2273" s="271"/>
      <c r="G2273" s="271"/>
      <c r="H2273" s="271"/>
      <c r="I2273" s="271"/>
      <c r="J2273" s="271"/>
      <c r="K2273" s="271"/>
      <c r="L2273" s="271"/>
      <c r="M2273" s="271"/>
      <c r="N2273" s="273"/>
    </row>
    <row r="2274" spans="1:14" ht="12.75" customHeight="1" x14ac:dyDescent="0.2">
      <c r="A2274" s="396" t="s">
        <v>76</v>
      </c>
      <c r="B2274" s="271"/>
      <c r="C2274" s="271"/>
      <c r="D2274" s="271"/>
      <c r="E2274" s="271"/>
      <c r="F2274" s="271"/>
      <c r="G2274" s="273"/>
      <c r="H2274" s="88" t="s">
        <v>77</v>
      </c>
      <c r="I2274" s="399" t="s">
        <v>920</v>
      </c>
      <c r="J2274" s="273"/>
      <c r="K2274" s="399" t="s">
        <v>453</v>
      </c>
      <c r="L2274" s="273"/>
      <c r="M2274" s="399" t="s">
        <v>921</v>
      </c>
      <c r="N2274" s="273"/>
    </row>
    <row r="2275" spans="1:14" ht="12.75" customHeight="1" x14ac:dyDescent="0.2">
      <c r="A2275" s="403" t="s">
        <v>1080</v>
      </c>
      <c r="B2275" s="271"/>
      <c r="C2275" s="271"/>
      <c r="D2275" s="271"/>
      <c r="E2275" s="271"/>
      <c r="F2275" s="271"/>
      <c r="G2275" s="273"/>
      <c r="H2275" s="29" t="str">
        <f t="shared" ref="H2275:H2280" si="303">IF(A2275="","",VLOOKUP(A2275,AA_Materiales,7,FALSE))</f>
        <v>Unidad</v>
      </c>
      <c r="I2275" s="394">
        <f t="shared" ref="I2275:I2280" si="304">IF(A2275="","",VLOOKUP(A2275,AA_Materiales,8,FALSE))</f>
        <v>1029000</v>
      </c>
      <c r="J2275" s="273"/>
      <c r="K2275" s="395">
        <v>1</v>
      </c>
      <c r="L2275" s="273"/>
      <c r="M2275" s="394">
        <f t="shared" ref="M2275:M2280" si="305">IF(A2275="","",I2275*K2275)</f>
        <v>1029000</v>
      </c>
      <c r="N2275" s="273"/>
    </row>
    <row r="2276" spans="1:14" ht="12.75" customHeight="1" x14ac:dyDescent="0.2">
      <c r="A2276" s="403"/>
      <c r="B2276" s="271"/>
      <c r="C2276" s="271"/>
      <c r="D2276" s="271"/>
      <c r="E2276" s="271"/>
      <c r="F2276" s="271"/>
      <c r="G2276" s="273"/>
      <c r="H2276" s="29" t="str">
        <f t="shared" si="303"/>
        <v/>
      </c>
      <c r="I2276" s="394" t="str">
        <f t="shared" si="304"/>
        <v/>
      </c>
      <c r="J2276" s="273"/>
      <c r="K2276" s="395"/>
      <c r="L2276" s="273"/>
      <c r="M2276" s="394" t="str">
        <f t="shared" si="305"/>
        <v/>
      </c>
      <c r="N2276" s="273"/>
    </row>
    <row r="2277" spans="1:14" ht="12.75" customHeight="1" x14ac:dyDescent="0.2">
      <c r="A2277" s="403"/>
      <c r="B2277" s="271"/>
      <c r="C2277" s="271"/>
      <c r="D2277" s="271"/>
      <c r="E2277" s="271"/>
      <c r="F2277" s="271"/>
      <c r="G2277" s="273"/>
      <c r="H2277" s="29" t="str">
        <f t="shared" si="303"/>
        <v/>
      </c>
      <c r="I2277" s="394" t="str">
        <f t="shared" si="304"/>
        <v/>
      </c>
      <c r="J2277" s="273"/>
      <c r="K2277" s="395"/>
      <c r="L2277" s="273"/>
      <c r="M2277" s="394" t="str">
        <f t="shared" si="305"/>
        <v/>
      </c>
      <c r="N2277" s="273"/>
    </row>
    <row r="2278" spans="1:14" ht="12.75" customHeight="1" x14ac:dyDescent="0.2">
      <c r="A2278" s="403"/>
      <c r="B2278" s="271"/>
      <c r="C2278" s="271"/>
      <c r="D2278" s="271"/>
      <c r="E2278" s="271"/>
      <c r="F2278" s="271"/>
      <c r="G2278" s="273"/>
      <c r="H2278" s="29" t="str">
        <f t="shared" si="303"/>
        <v/>
      </c>
      <c r="I2278" s="394" t="str">
        <f t="shared" si="304"/>
        <v/>
      </c>
      <c r="J2278" s="273"/>
      <c r="K2278" s="395"/>
      <c r="L2278" s="273"/>
      <c r="M2278" s="394" t="str">
        <f t="shared" si="305"/>
        <v/>
      </c>
      <c r="N2278" s="273"/>
    </row>
    <row r="2279" spans="1:14" ht="12.75" customHeight="1" x14ac:dyDescent="0.2">
      <c r="A2279" s="403"/>
      <c r="B2279" s="271"/>
      <c r="C2279" s="271"/>
      <c r="D2279" s="271"/>
      <c r="E2279" s="271"/>
      <c r="F2279" s="271"/>
      <c r="G2279" s="273"/>
      <c r="H2279" s="29" t="str">
        <f t="shared" si="303"/>
        <v/>
      </c>
      <c r="I2279" s="394" t="str">
        <f t="shared" si="304"/>
        <v/>
      </c>
      <c r="J2279" s="273"/>
      <c r="K2279" s="395"/>
      <c r="L2279" s="273"/>
      <c r="M2279" s="394" t="str">
        <f t="shared" si="305"/>
        <v/>
      </c>
      <c r="N2279" s="273"/>
    </row>
    <row r="2280" spans="1:14" ht="12.75" customHeight="1" x14ac:dyDescent="0.2">
      <c r="A2280" s="403"/>
      <c r="B2280" s="271"/>
      <c r="C2280" s="271"/>
      <c r="D2280" s="271"/>
      <c r="E2280" s="271"/>
      <c r="F2280" s="271"/>
      <c r="G2280" s="273"/>
      <c r="H2280" s="29" t="str">
        <f t="shared" si="303"/>
        <v/>
      </c>
      <c r="I2280" s="394" t="str">
        <f t="shared" si="304"/>
        <v/>
      </c>
      <c r="J2280" s="273"/>
      <c r="K2280" s="395"/>
      <c r="L2280" s="273"/>
      <c r="M2280" s="394" t="str">
        <f t="shared" si="305"/>
        <v/>
      </c>
      <c r="N2280" s="273"/>
    </row>
    <row r="2281" spans="1:14" ht="12.75" customHeight="1" x14ac:dyDescent="0.25">
      <c r="A2281" s="4"/>
      <c r="B2281" s="4"/>
      <c r="C2281" s="4"/>
      <c r="D2281" s="4"/>
      <c r="E2281" s="4"/>
      <c r="F2281" s="4"/>
      <c r="G2281" s="4"/>
      <c r="H2281" s="4"/>
      <c r="I2281" s="4"/>
      <c r="J2281" s="4"/>
      <c r="K2281" s="396" t="s">
        <v>444</v>
      </c>
      <c r="L2281" s="273"/>
      <c r="M2281" s="394">
        <f>SUM(M2275:N2280)</f>
        <v>1029000</v>
      </c>
      <c r="N2281" s="273"/>
    </row>
    <row r="2282" spans="1:14" ht="12.75" customHeight="1" x14ac:dyDescent="0.25">
      <c r="A2282" s="4"/>
      <c r="B2282" s="4"/>
      <c r="C2282" s="4"/>
      <c r="D2282" s="4"/>
      <c r="E2282" s="4"/>
      <c r="F2282" s="4"/>
      <c r="G2282" s="4"/>
      <c r="H2282" s="4"/>
      <c r="I2282" s="4"/>
      <c r="J2282" s="4"/>
      <c r="K2282" s="4"/>
      <c r="L2282" s="4"/>
      <c r="M2282" s="4"/>
      <c r="N2282" s="4"/>
    </row>
    <row r="2283" spans="1:14" ht="12.75" customHeight="1" x14ac:dyDescent="0.2">
      <c r="A2283" s="398" t="s">
        <v>926</v>
      </c>
      <c r="B2283" s="271"/>
      <c r="C2283" s="271"/>
      <c r="D2283" s="271"/>
      <c r="E2283" s="271"/>
      <c r="F2283" s="271"/>
      <c r="G2283" s="271"/>
      <c r="H2283" s="271"/>
      <c r="I2283" s="271"/>
      <c r="J2283" s="271"/>
      <c r="K2283" s="271"/>
      <c r="L2283" s="271"/>
      <c r="M2283" s="271"/>
      <c r="N2283" s="273"/>
    </row>
    <row r="2284" spans="1:14" ht="12.75" customHeight="1" x14ac:dyDescent="0.2">
      <c r="A2284" s="396" t="s">
        <v>76</v>
      </c>
      <c r="B2284" s="271"/>
      <c r="C2284" s="271"/>
      <c r="D2284" s="271"/>
      <c r="E2284" s="271"/>
      <c r="F2284" s="271"/>
      <c r="G2284" s="273"/>
      <c r="H2284" s="88" t="s">
        <v>77</v>
      </c>
      <c r="I2284" s="399" t="s">
        <v>920</v>
      </c>
      <c r="J2284" s="273"/>
      <c r="K2284" s="399" t="s">
        <v>453</v>
      </c>
      <c r="L2284" s="273"/>
      <c r="M2284" s="399" t="s">
        <v>921</v>
      </c>
      <c r="N2284" s="273"/>
    </row>
    <row r="2285" spans="1:14" ht="12.75" customHeight="1" x14ac:dyDescent="0.2">
      <c r="A2285" s="400" t="s">
        <v>927</v>
      </c>
      <c r="B2285" s="271"/>
      <c r="C2285" s="271"/>
      <c r="D2285" s="271"/>
      <c r="E2285" s="271"/>
      <c r="F2285" s="271"/>
      <c r="G2285" s="273"/>
      <c r="H2285" s="29" t="str">
        <f>IF(A2285="","",VLOOKUP(A2285,AA_Equipos,7,FALSE))</f>
        <v>% M.O.</v>
      </c>
      <c r="I2285" s="394">
        <f>+M2308</f>
        <v>10884.547640000001</v>
      </c>
      <c r="J2285" s="273"/>
      <c r="K2285" s="404">
        <v>0.05</v>
      </c>
      <c r="L2285" s="273"/>
      <c r="M2285" s="394">
        <f t="shared" ref="M2285:M2289" si="306">IF(A2285="","",I2285*K2285)</f>
        <v>544.22738200000003</v>
      </c>
      <c r="N2285" s="273"/>
    </row>
    <row r="2286" spans="1:14" ht="12.75" customHeight="1" x14ac:dyDescent="0.2">
      <c r="A2286" s="403"/>
      <c r="B2286" s="271"/>
      <c r="C2286" s="271"/>
      <c r="D2286" s="271"/>
      <c r="E2286" s="271"/>
      <c r="F2286" s="271"/>
      <c r="G2286" s="273"/>
      <c r="H2286" s="29" t="str">
        <f>IF(A2286="","",VLOOKUP(A2286,AA_Equipos,7,FALSE))</f>
        <v/>
      </c>
      <c r="I2286" s="394" t="str">
        <f>IF(A2286="","",VLOOKUP(A2286,AA_Equipos,8,FALSE))</f>
        <v/>
      </c>
      <c r="J2286" s="273"/>
      <c r="K2286" s="402"/>
      <c r="L2286" s="273"/>
      <c r="M2286" s="394" t="str">
        <f t="shared" si="306"/>
        <v/>
      </c>
      <c r="N2286" s="273"/>
    </row>
    <row r="2287" spans="1:14" ht="12.75" customHeight="1" x14ac:dyDescent="0.2">
      <c r="A2287" s="400"/>
      <c r="B2287" s="271"/>
      <c r="C2287" s="271"/>
      <c r="D2287" s="271"/>
      <c r="E2287" s="271"/>
      <c r="F2287" s="271"/>
      <c r="G2287" s="273"/>
      <c r="H2287" s="29" t="str">
        <f>IF(A2287="","",VLOOKUP(A2287,AA_Equipos,7,FALSE))</f>
        <v/>
      </c>
      <c r="I2287" s="394" t="str">
        <f>IF(A2287="","",VLOOKUP(A2287,AA_Equipos,8,FALSE))</f>
        <v/>
      </c>
      <c r="J2287" s="273"/>
      <c r="K2287" s="401"/>
      <c r="L2287" s="273"/>
      <c r="M2287" s="394" t="str">
        <f t="shared" si="306"/>
        <v/>
      </c>
      <c r="N2287" s="273"/>
    </row>
    <row r="2288" spans="1:14" ht="12.75" customHeight="1" x14ac:dyDescent="0.2">
      <c r="A2288" s="400"/>
      <c r="B2288" s="271"/>
      <c r="C2288" s="271"/>
      <c r="D2288" s="271"/>
      <c r="E2288" s="271"/>
      <c r="F2288" s="271"/>
      <c r="G2288" s="273"/>
      <c r="H2288" s="29" t="str">
        <f>IF(A2288="","",VLOOKUP(A2288,AA_Equipos,7,FALSE))</f>
        <v/>
      </c>
      <c r="I2288" s="394" t="str">
        <f>IF(A2288="","",VLOOKUP(A2288,AA_Equipos,8,FALSE))</f>
        <v/>
      </c>
      <c r="J2288" s="273"/>
      <c r="K2288" s="395"/>
      <c r="L2288" s="273"/>
      <c r="M2288" s="394" t="str">
        <f t="shared" si="306"/>
        <v/>
      </c>
      <c r="N2288" s="273"/>
    </row>
    <row r="2289" spans="1:14" ht="12.75" customHeight="1" x14ac:dyDescent="0.2">
      <c r="A2289" s="400"/>
      <c r="B2289" s="271"/>
      <c r="C2289" s="271"/>
      <c r="D2289" s="271"/>
      <c r="E2289" s="271"/>
      <c r="F2289" s="271"/>
      <c r="G2289" s="273"/>
      <c r="H2289" s="29" t="str">
        <f>IF(A2289="","",VLOOKUP(A2289,AA_Equipos,7,FALSE))</f>
        <v/>
      </c>
      <c r="I2289" s="394" t="str">
        <f>IF(A2289="","",VLOOKUP(A2289,AA_Equipos,8,FALSE))</f>
        <v/>
      </c>
      <c r="J2289" s="273"/>
      <c r="K2289" s="395"/>
      <c r="L2289" s="273"/>
      <c r="M2289" s="394" t="str">
        <f t="shared" si="306"/>
        <v/>
      </c>
      <c r="N2289" s="273"/>
    </row>
    <row r="2290" spans="1:14" ht="12.75" customHeight="1" x14ac:dyDescent="0.25">
      <c r="A2290" s="4"/>
      <c r="B2290" s="4"/>
      <c r="C2290" s="4"/>
      <c r="D2290" s="4"/>
      <c r="E2290" s="4"/>
      <c r="F2290" s="4"/>
      <c r="G2290" s="4"/>
      <c r="H2290" s="4"/>
      <c r="I2290" s="4"/>
      <c r="J2290" s="4"/>
      <c r="K2290" s="396" t="s">
        <v>444</v>
      </c>
      <c r="L2290" s="273"/>
      <c r="M2290" s="394">
        <f>SUM(M2285:N2289)</f>
        <v>544.22738200000003</v>
      </c>
      <c r="N2290" s="273"/>
    </row>
    <row r="2291" spans="1:14" ht="12.75" customHeight="1" x14ac:dyDescent="0.25">
      <c r="A2291" s="4"/>
      <c r="B2291" s="4"/>
      <c r="C2291" s="4"/>
      <c r="D2291" s="4"/>
      <c r="E2291" s="4"/>
      <c r="F2291" s="4"/>
      <c r="G2291" s="4"/>
      <c r="H2291" s="4"/>
      <c r="I2291" s="4"/>
      <c r="J2291" s="4"/>
      <c r="K2291" s="4"/>
      <c r="L2291" s="4"/>
      <c r="M2291" s="4"/>
      <c r="N2291" s="4"/>
    </row>
    <row r="2292" spans="1:14" ht="12.75" customHeight="1" x14ac:dyDescent="0.2">
      <c r="A2292" s="398" t="s">
        <v>929</v>
      </c>
      <c r="B2292" s="271"/>
      <c r="C2292" s="271"/>
      <c r="D2292" s="271"/>
      <c r="E2292" s="271"/>
      <c r="F2292" s="271"/>
      <c r="G2292" s="271"/>
      <c r="H2292" s="271"/>
      <c r="I2292" s="271"/>
      <c r="J2292" s="271"/>
      <c r="K2292" s="271"/>
      <c r="L2292" s="271"/>
      <c r="M2292" s="271"/>
      <c r="N2292" s="273"/>
    </row>
    <row r="2293" spans="1:14" ht="12.75" customHeight="1" x14ac:dyDescent="0.2">
      <c r="A2293" s="396" t="s">
        <v>76</v>
      </c>
      <c r="B2293" s="271"/>
      <c r="C2293" s="271"/>
      <c r="D2293" s="271"/>
      <c r="E2293" s="271"/>
      <c r="F2293" s="271"/>
      <c r="G2293" s="273"/>
      <c r="H2293" s="88" t="s">
        <v>77</v>
      </c>
      <c r="I2293" s="399" t="s">
        <v>920</v>
      </c>
      <c r="J2293" s="273"/>
      <c r="K2293" s="399" t="s">
        <v>453</v>
      </c>
      <c r="L2293" s="273"/>
      <c r="M2293" s="399" t="s">
        <v>921</v>
      </c>
      <c r="N2293" s="273"/>
    </row>
    <row r="2294" spans="1:14" ht="12.75" customHeight="1" x14ac:dyDescent="0.2">
      <c r="A2294" s="400" t="s">
        <v>966</v>
      </c>
      <c r="B2294" s="271"/>
      <c r="C2294" s="271"/>
      <c r="D2294" s="271"/>
      <c r="E2294" s="271"/>
      <c r="F2294" s="271"/>
      <c r="G2294" s="273"/>
      <c r="H2294" s="29" t="s">
        <v>950</v>
      </c>
      <c r="I2294" s="394">
        <f>+M2281</f>
        <v>1029000</v>
      </c>
      <c r="J2294" s="273"/>
      <c r="K2294" s="404">
        <v>0.05</v>
      </c>
      <c r="L2294" s="273"/>
      <c r="M2294" s="394">
        <f t="shared" ref="M2294:M2298" si="307">IF(A2294="","",I2294*K2294)</f>
        <v>51450</v>
      </c>
      <c r="N2294" s="273"/>
    </row>
    <row r="2295" spans="1:14" ht="12.75" customHeight="1" x14ac:dyDescent="0.2">
      <c r="A2295" s="403"/>
      <c r="B2295" s="271"/>
      <c r="C2295" s="271"/>
      <c r="D2295" s="271"/>
      <c r="E2295" s="271"/>
      <c r="F2295" s="271"/>
      <c r="G2295" s="273"/>
      <c r="H2295" s="29"/>
      <c r="I2295" s="394"/>
      <c r="J2295" s="273"/>
      <c r="K2295" s="404"/>
      <c r="L2295" s="273"/>
      <c r="M2295" s="394" t="str">
        <f t="shared" si="307"/>
        <v/>
      </c>
      <c r="N2295" s="273"/>
    </row>
    <row r="2296" spans="1:14" ht="12.75" customHeight="1" x14ac:dyDescent="0.2">
      <c r="A2296" s="400"/>
      <c r="B2296" s="271"/>
      <c r="C2296" s="271"/>
      <c r="D2296" s="271"/>
      <c r="E2296" s="271"/>
      <c r="F2296" s="271"/>
      <c r="G2296" s="273"/>
      <c r="H2296" s="29"/>
      <c r="I2296" s="394"/>
      <c r="J2296" s="273"/>
      <c r="K2296" s="395"/>
      <c r="L2296" s="273"/>
      <c r="M2296" s="394" t="str">
        <f t="shared" si="307"/>
        <v/>
      </c>
      <c r="N2296" s="273"/>
    </row>
    <row r="2297" spans="1:14" ht="12.75" customHeight="1" x14ac:dyDescent="0.2">
      <c r="A2297" s="400"/>
      <c r="B2297" s="271"/>
      <c r="C2297" s="271"/>
      <c r="D2297" s="271"/>
      <c r="E2297" s="271"/>
      <c r="F2297" s="271"/>
      <c r="G2297" s="273"/>
      <c r="H2297" s="29"/>
      <c r="I2297" s="394"/>
      <c r="J2297" s="273"/>
      <c r="K2297" s="395"/>
      <c r="L2297" s="273"/>
      <c r="M2297" s="394" t="str">
        <f t="shared" si="307"/>
        <v/>
      </c>
      <c r="N2297" s="273"/>
    </row>
    <row r="2298" spans="1:14" ht="12.75" customHeight="1" x14ac:dyDescent="0.2">
      <c r="A2298" s="400"/>
      <c r="B2298" s="271"/>
      <c r="C2298" s="271"/>
      <c r="D2298" s="271"/>
      <c r="E2298" s="271"/>
      <c r="F2298" s="271"/>
      <c r="G2298" s="273"/>
      <c r="H2298" s="29"/>
      <c r="I2298" s="394"/>
      <c r="J2298" s="273"/>
      <c r="K2298" s="395"/>
      <c r="L2298" s="273"/>
      <c r="M2298" s="394" t="str">
        <f t="shared" si="307"/>
        <v/>
      </c>
      <c r="N2298" s="273"/>
    </row>
    <row r="2299" spans="1:14" ht="12.75" customHeight="1" x14ac:dyDescent="0.25">
      <c r="A2299" s="4"/>
      <c r="B2299" s="4"/>
      <c r="C2299" s="4"/>
      <c r="D2299" s="4"/>
      <c r="E2299" s="4"/>
      <c r="F2299" s="4"/>
      <c r="G2299" s="4"/>
      <c r="H2299" s="4"/>
      <c r="I2299" s="4"/>
      <c r="J2299" s="4"/>
      <c r="K2299" s="396" t="s">
        <v>444</v>
      </c>
      <c r="L2299" s="273"/>
      <c r="M2299" s="394">
        <f>SUM(M2294:N2298)</f>
        <v>51450</v>
      </c>
      <c r="N2299" s="273"/>
    </row>
    <row r="2300" spans="1:14" ht="12.75" customHeight="1" x14ac:dyDescent="0.25">
      <c r="A2300" s="4"/>
      <c r="B2300" s="4"/>
      <c r="C2300" s="4"/>
      <c r="D2300" s="4"/>
      <c r="E2300" s="4"/>
      <c r="F2300" s="4"/>
      <c r="G2300" s="4"/>
      <c r="H2300" s="4"/>
      <c r="I2300" s="4"/>
      <c r="J2300" s="4"/>
      <c r="K2300" s="4"/>
      <c r="L2300" s="4"/>
      <c r="M2300" s="4"/>
      <c r="N2300" s="4"/>
    </row>
    <row r="2301" spans="1:14" ht="12.75" customHeight="1" x14ac:dyDescent="0.2">
      <c r="A2301" s="398" t="s">
        <v>931</v>
      </c>
      <c r="B2301" s="271"/>
      <c r="C2301" s="271"/>
      <c r="D2301" s="271"/>
      <c r="E2301" s="271"/>
      <c r="F2301" s="271"/>
      <c r="G2301" s="271"/>
      <c r="H2301" s="271"/>
      <c r="I2301" s="271"/>
      <c r="J2301" s="271"/>
      <c r="K2301" s="271"/>
      <c r="L2301" s="271"/>
      <c r="M2301" s="271"/>
      <c r="N2301" s="273"/>
    </row>
    <row r="2302" spans="1:14" ht="12.75" customHeight="1" x14ac:dyDescent="0.2">
      <c r="A2302" s="396" t="s">
        <v>76</v>
      </c>
      <c r="B2302" s="271"/>
      <c r="C2302" s="271"/>
      <c r="D2302" s="271"/>
      <c r="E2302" s="271"/>
      <c r="F2302" s="271"/>
      <c r="G2302" s="273"/>
      <c r="H2302" s="88" t="s">
        <v>77</v>
      </c>
      <c r="I2302" s="399" t="s">
        <v>920</v>
      </c>
      <c r="J2302" s="273"/>
      <c r="K2302" s="90" t="s">
        <v>514</v>
      </c>
      <c r="L2302" s="91" t="s">
        <v>932</v>
      </c>
      <c r="M2302" s="399" t="s">
        <v>921</v>
      </c>
      <c r="N2302" s="273"/>
    </row>
    <row r="2303" spans="1:14" ht="12.75" customHeight="1" x14ac:dyDescent="0.25">
      <c r="A2303" s="393" t="s">
        <v>986</v>
      </c>
      <c r="B2303" s="271"/>
      <c r="C2303" s="271"/>
      <c r="D2303" s="271"/>
      <c r="E2303" s="271"/>
      <c r="F2303" s="271"/>
      <c r="G2303" s="273"/>
      <c r="H2303" s="29" t="str">
        <f>IF(A2303="","",VLOOKUP(A2303,AA_Cuadrillas,4,FALSE))</f>
        <v>Cuadrilla</v>
      </c>
      <c r="I2303" s="394">
        <f>IF(A2303="","",VLOOKUP(A2303,AA_Cuadrillas,5,FALSE))</f>
        <v>186763</v>
      </c>
      <c r="J2303" s="273"/>
      <c r="K2303" s="9">
        <f>IF(A2303="","",F.P!$I$2)</f>
        <v>1.88</v>
      </c>
      <c r="L2303" s="97">
        <v>3.1E-2</v>
      </c>
      <c r="M2303" s="394">
        <f t="shared" ref="M2303:M2307" si="308">IF(A2303="","",I2303*K2303*L2303)</f>
        <v>10884.547640000001</v>
      </c>
      <c r="N2303" s="273"/>
    </row>
    <row r="2304" spans="1:14" ht="12.75" customHeight="1" x14ac:dyDescent="0.25">
      <c r="A2304" s="393"/>
      <c r="B2304" s="271"/>
      <c r="C2304" s="271"/>
      <c r="D2304" s="271"/>
      <c r="E2304" s="271"/>
      <c r="F2304" s="271"/>
      <c r="G2304" s="273"/>
      <c r="H2304" s="29" t="str">
        <f>IF(A2304="","",VLOOKUP(A2304,AA_Cuadrillas,4,FALSE))</f>
        <v/>
      </c>
      <c r="I2304" s="394" t="str">
        <f>IF(A2304="","",VLOOKUP(A2304,AA_Cuadrillas,5,FALSE))</f>
        <v/>
      </c>
      <c r="J2304" s="273"/>
      <c r="K2304" s="9" t="str">
        <f>IF(A2304="","",F.P!$I$2)</f>
        <v/>
      </c>
      <c r="L2304" s="9"/>
      <c r="M2304" s="394" t="str">
        <f t="shared" si="308"/>
        <v/>
      </c>
      <c r="N2304" s="273"/>
    </row>
    <row r="2305" spans="1:15" ht="12.75" customHeight="1" x14ac:dyDescent="0.25">
      <c r="A2305" s="393"/>
      <c r="B2305" s="271"/>
      <c r="C2305" s="271"/>
      <c r="D2305" s="271"/>
      <c r="E2305" s="271"/>
      <c r="F2305" s="271"/>
      <c r="G2305" s="273"/>
      <c r="H2305" s="29" t="str">
        <f>IF(A2305="","",VLOOKUP(A2305,AA_Cuadrillas,4,FALSE))</f>
        <v/>
      </c>
      <c r="I2305" s="394" t="str">
        <f>IF(A2305="","",VLOOKUP(A2305,AA_Cuadrillas,5,FALSE))</f>
        <v/>
      </c>
      <c r="J2305" s="273"/>
      <c r="K2305" s="9" t="str">
        <f>IF(A2305="","",F.P!$I$2)</f>
        <v/>
      </c>
      <c r="L2305" s="37"/>
      <c r="M2305" s="394" t="str">
        <f t="shared" si="308"/>
        <v/>
      </c>
      <c r="N2305" s="273"/>
    </row>
    <row r="2306" spans="1:15" ht="12.75" customHeight="1" x14ac:dyDescent="0.25">
      <c r="A2306" s="393"/>
      <c r="B2306" s="271"/>
      <c r="C2306" s="271"/>
      <c r="D2306" s="271"/>
      <c r="E2306" s="271"/>
      <c r="F2306" s="271"/>
      <c r="G2306" s="273"/>
      <c r="H2306" s="29" t="str">
        <f>IF(A2306="","",VLOOKUP(A2306,AA_Cuadrillas,4,FALSE))</f>
        <v/>
      </c>
      <c r="I2306" s="394" t="str">
        <f>IF(A2306="","",VLOOKUP(A2306,AA_Cuadrillas,5,FALSE))</f>
        <v/>
      </c>
      <c r="J2306" s="273"/>
      <c r="K2306" s="9" t="str">
        <f>IF(A2306="","",F.P!$I$2)</f>
        <v/>
      </c>
      <c r="L2306" s="37"/>
      <c r="M2306" s="394" t="str">
        <f t="shared" si="308"/>
        <v/>
      </c>
      <c r="N2306" s="273"/>
    </row>
    <row r="2307" spans="1:15" ht="12.75" customHeight="1" x14ac:dyDescent="0.25">
      <c r="A2307" s="393"/>
      <c r="B2307" s="271"/>
      <c r="C2307" s="271"/>
      <c r="D2307" s="271"/>
      <c r="E2307" s="271"/>
      <c r="F2307" s="271"/>
      <c r="G2307" s="273"/>
      <c r="H2307" s="29" t="str">
        <f>IF(A2307="","",VLOOKUP(A2307,AA_Cuadrillas,4,FALSE))</f>
        <v/>
      </c>
      <c r="I2307" s="394" t="str">
        <f>IF(A2307="","",VLOOKUP(A2307,AA_Cuadrillas,5,FALSE))</f>
        <v/>
      </c>
      <c r="J2307" s="273"/>
      <c r="K2307" s="9" t="str">
        <f>IF(A2307="","",F.P!$I$2)</f>
        <v/>
      </c>
      <c r="L2307" s="37"/>
      <c r="M2307" s="394" t="str">
        <f t="shared" si="308"/>
        <v/>
      </c>
      <c r="N2307" s="273"/>
    </row>
    <row r="2308" spans="1:15" ht="12.75" customHeight="1" x14ac:dyDescent="0.25">
      <c r="A2308" s="4"/>
      <c r="B2308" s="4"/>
      <c r="C2308" s="4"/>
      <c r="D2308" s="4"/>
      <c r="E2308" s="4"/>
      <c r="F2308" s="4"/>
      <c r="G2308" s="4"/>
      <c r="H2308" s="4"/>
      <c r="I2308" s="4"/>
      <c r="J2308" s="4"/>
      <c r="K2308" s="396" t="s">
        <v>444</v>
      </c>
      <c r="L2308" s="273"/>
      <c r="M2308" s="394">
        <f>SUM(M2303:N2307)</f>
        <v>10884.547640000001</v>
      </c>
      <c r="N2308" s="273"/>
    </row>
    <row r="2309" spans="1:15" ht="12.75" customHeight="1" x14ac:dyDescent="0.2"/>
    <row r="2310" spans="1:15" ht="12.75" customHeight="1" x14ac:dyDescent="0.2">
      <c r="A2310" s="407" t="s">
        <v>153</v>
      </c>
      <c r="B2310" s="275"/>
      <c r="C2310" s="275"/>
      <c r="D2310" s="275"/>
      <c r="E2310" s="275"/>
      <c r="F2310" s="275"/>
      <c r="G2310" s="275"/>
      <c r="H2310" s="275"/>
      <c r="I2310" s="275"/>
      <c r="J2310" s="275"/>
      <c r="K2310" s="275"/>
      <c r="L2310" s="275"/>
      <c r="M2310" s="275"/>
      <c r="N2310" s="276"/>
      <c r="O2310" s="166"/>
    </row>
    <row r="2311" spans="1:15" ht="12.75" customHeight="1" x14ac:dyDescent="0.2">
      <c r="A2311" s="277"/>
      <c r="B2311" s="278"/>
      <c r="C2311" s="278"/>
      <c r="D2311" s="278"/>
      <c r="E2311" s="278"/>
      <c r="F2311" s="278"/>
      <c r="G2311" s="278"/>
      <c r="H2311" s="278"/>
      <c r="I2311" s="278"/>
      <c r="J2311" s="278"/>
      <c r="K2311" s="278"/>
      <c r="L2311" s="278"/>
      <c r="M2311" s="278"/>
      <c r="N2311" s="279"/>
      <c r="O2311" s="166"/>
    </row>
    <row r="2312" spans="1:15" ht="12.75" customHeight="1" x14ac:dyDescent="0.2">
      <c r="A2312" s="75"/>
      <c r="B2312" s="75"/>
      <c r="C2312" s="75"/>
      <c r="D2312" s="75"/>
      <c r="E2312" s="75"/>
      <c r="F2312" s="75"/>
      <c r="G2312" s="75"/>
      <c r="H2312" s="75"/>
      <c r="I2312" s="75"/>
      <c r="J2312" s="75"/>
      <c r="K2312" s="75"/>
      <c r="L2312" s="75"/>
      <c r="M2312" s="75"/>
      <c r="N2312" s="75"/>
    </row>
    <row r="2313" spans="1:15" ht="12.75" customHeight="1" x14ac:dyDescent="0.3">
      <c r="A2313" s="79" t="s">
        <v>667</v>
      </c>
      <c r="B2313" s="80" t="str">
        <f>A2310</f>
        <v>SUMINISTRO E INSTALACIÓN DE VÁLVULA COMPUERTA CON VOLANTE Ø4 EN HIERRO DUCTIL (INCLUYE MATERIALES, HERRAMIENTAS Y MANO DE OBRA)</v>
      </c>
      <c r="C2313" s="81" t="s">
        <v>916</v>
      </c>
      <c r="D2313" s="82" t="s">
        <v>999</v>
      </c>
      <c r="E2313" s="83" t="s">
        <v>445</v>
      </c>
      <c r="F2313" s="234">
        <f>(H2313+J2313+L2313+N2313)*1.3</f>
        <v>1740807.4441766667</v>
      </c>
      <c r="G2313" s="83" t="s">
        <v>607</v>
      </c>
      <c r="H2313" s="86">
        <f>M2332</f>
        <v>5851.9073333333336</v>
      </c>
      <c r="I2313" s="83" t="s">
        <v>918</v>
      </c>
      <c r="J2313" s="86">
        <f>M2323</f>
        <v>1158000</v>
      </c>
      <c r="K2313" s="83" t="s">
        <v>609</v>
      </c>
      <c r="L2313" s="86">
        <f>M2341</f>
        <v>58192.595366666668</v>
      </c>
      <c r="M2313" s="83" t="s">
        <v>610</v>
      </c>
      <c r="N2313" s="86">
        <f>M2350</f>
        <v>117038.14666666667</v>
      </c>
    </row>
    <row r="2314" spans="1:15" ht="12.75" customHeight="1" x14ac:dyDescent="0.25">
      <c r="A2314" s="87"/>
      <c r="B2314" s="87"/>
      <c r="C2314" s="87"/>
      <c r="D2314" s="87"/>
      <c r="E2314" s="256" t="s">
        <v>3232</v>
      </c>
      <c r="F2314" s="255">
        <f>F2313/1.3</f>
        <v>1339082.6493666666</v>
      </c>
      <c r="G2314" s="87"/>
      <c r="J2314" s="87"/>
      <c r="K2314" s="215" t="s">
        <v>3217</v>
      </c>
      <c r="L2314" s="215"/>
      <c r="M2314" s="87"/>
      <c r="N2314" s="87"/>
    </row>
    <row r="2315" spans="1:15" ht="12.75" customHeight="1" x14ac:dyDescent="0.2">
      <c r="A2315" s="398" t="s">
        <v>919</v>
      </c>
      <c r="B2315" s="271"/>
      <c r="C2315" s="271"/>
      <c r="D2315" s="271"/>
      <c r="E2315" s="271"/>
      <c r="F2315" s="271"/>
      <c r="G2315" s="271"/>
      <c r="H2315" s="271"/>
      <c r="I2315" s="271"/>
      <c r="J2315" s="271"/>
      <c r="K2315" s="271"/>
      <c r="L2315" s="271"/>
      <c r="M2315" s="271"/>
      <c r="N2315" s="273"/>
    </row>
    <row r="2316" spans="1:15" ht="12.75" customHeight="1" x14ac:dyDescent="0.2">
      <c r="A2316" s="396" t="s">
        <v>76</v>
      </c>
      <c r="B2316" s="271"/>
      <c r="C2316" s="271"/>
      <c r="D2316" s="271"/>
      <c r="E2316" s="271"/>
      <c r="F2316" s="271"/>
      <c r="G2316" s="273"/>
      <c r="H2316" s="88" t="s">
        <v>77</v>
      </c>
      <c r="I2316" s="399" t="s">
        <v>920</v>
      </c>
      <c r="J2316" s="273"/>
      <c r="K2316" s="399" t="s">
        <v>453</v>
      </c>
      <c r="L2316" s="273"/>
      <c r="M2316" s="399" t="s">
        <v>921</v>
      </c>
      <c r="N2316" s="273"/>
    </row>
    <row r="2317" spans="1:15" ht="12.75" customHeight="1" x14ac:dyDescent="0.2">
      <c r="A2317" s="403" t="s">
        <v>1081</v>
      </c>
      <c r="B2317" s="271"/>
      <c r="C2317" s="271"/>
      <c r="D2317" s="271"/>
      <c r="E2317" s="271"/>
      <c r="F2317" s="271"/>
      <c r="G2317" s="273"/>
      <c r="H2317" s="29" t="str">
        <f t="shared" ref="H2317:H2322" si="309">IF(A2317="","",VLOOKUP(A2317,AA_Materiales,7,FALSE))</f>
        <v>Unidad</v>
      </c>
      <c r="I2317" s="394">
        <f t="shared" ref="I2317:I2322" si="310">IF(A2317="","",VLOOKUP(A2317,AA_Materiales,8,FALSE))</f>
        <v>1158000</v>
      </c>
      <c r="J2317" s="273"/>
      <c r="K2317" s="395">
        <v>1</v>
      </c>
      <c r="L2317" s="273"/>
      <c r="M2317" s="394">
        <f t="shared" ref="M2317:M2322" si="311">IF(A2317="","",I2317*K2317)</f>
        <v>1158000</v>
      </c>
      <c r="N2317" s="273"/>
    </row>
    <row r="2318" spans="1:15" ht="12.75" customHeight="1" x14ac:dyDescent="0.2">
      <c r="A2318" s="403"/>
      <c r="B2318" s="271"/>
      <c r="C2318" s="271"/>
      <c r="D2318" s="271"/>
      <c r="E2318" s="271"/>
      <c r="F2318" s="271"/>
      <c r="G2318" s="273"/>
      <c r="H2318" s="29" t="str">
        <f t="shared" si="309"/>
        <v/>
      </c>
      <c r="I2318" s="394" t="str">
        <f t="shared" si="310"/>
        <v/>
      </c>
      <c r="J2318" s="273"/>
      <c r="K2318" s="395"/>
      <c r="L2318" s="273"/>
      <c r="M2318" s="394" t="str">
        <f t="shared" si="311"/>
        <v/>
      </c>
      <c r="N2318" s="273"/>
    </row>
    <row r="2319" spans="1:15" ht="12.75" customHeight="1" x14ac:dyDescent="0.2">
      <c r="A2319" s="403"/>
      <c r="B2319" s="271"/>
      <c r="C2319" s="271"/>
      <c r="D2319" s="271"/>
      <c r="E2319" s="271"/>
      <c r="F2319" s="271"/>
      <c r="G2319" s="273"/>
      <c r="H2319" s="29" t="str">
        <f t="shared" si="309"/>
        <v/>
      </c>
      <c r="I2319" s="394" t="str">
        <f t="shared" si="310"/>
        <v/>
      </c>
      <c r="J2319" s="273"/>
      <c r="K2319" s="395"/>
      <c r="L2319" s="273"/>
      <c r="M2319" s="394" t="str">
        <f t="shared" si="311"/>
        <v/>
      </c>
      <c r="N2319" s="273"/>
    </row>
    <row r="2320" spans="1:15" ht="12.75" customHeight="1" x14ac:dyDescent="0.2">
      <c r="A2320" s="403"/>
      <c r="B2320" s="271"/>
      <c r="C2320" s="271"/>
      <c r="D2320" s="271"/>
      <c r="E2320" s="271"/>
      <c r="F2320" s="271"/>
      <c r="G2320" s="273"/>
      <c r="H2320" s="29" t="str">
        <f t="shared" si="309"/>
        <v/>
      </c>
      <c r="I2320" s="394" t="str">
        <f t="shared" si="310"/>
        <v/>
      </c>
      <c r="J2320" s="273"/>
      <c r="K2320" s="395"/>
      <c r="L2320" s="273"/>
      <c r="M2320" s="394" t="str">
        <f t="shared" si="311"/>
        <v/>
      </c>
      <c r="N2320" s="273"/>
    </row>
    <row r="2321" spans="1:14" ht="12.75" customHeight="1" x14ac:dyDescent="0.2">
      <c r="A2321" s="403"/>
      <c r="B2321" s="271"/>
      <c r="C2321" s="271"/>
      <c r="D2321" s="271"/>
      <c r="E2321" s="271"/>
      <c r="F2321" s="271"/>
      <c r="G2321" s="273"/>
      <c r="H2321" s="29" t="str">
        <f t="shared" si="309"/>
        <v/>
      </c>
      <c r="I2321" s="394" t="str">
        <f t="shared" si="310"/>
        <v/>
      </c>
      <c r="J2321" s="273"/>
      <c r="K2321" s="395"/>
      <c r="L2321" s="273"/>
      <c r="M2321" s="394" t="str">
        <f t="shared" si="311"/>
        <v/>
      </c>
      <c r="N2321" s="273"/>
    </row>
    <row r="2322" spans="1:14" ht="12.75" customHeight="1" x14ac:dyDescent="0.2">
      <c r="A2322" s="403"/>
      <c r="B2322" s="271"/>
      <c r="C2322" s="271"/>
      <c r="D2322" s="271"/>
      <c r="E2322" s="271"/>
      <c r="F2322" s="271"/>
      <c r="G2322" s="273"/>
      <c r="H2322" s="29" t="str">
        <f t="shared" si="309"/>
        <v/>
      </c>
      <c r="I2322" s="394" t="str">
        <f t="shared" si="310"/>
        <v/>
      </c>
      <c r="J2322" s="273"/>
      <c r="K2322" s="395"/>
      <c r="L2322" s="273"/>
      <c r="M2322" s="394" t="str">
        <f t="shared" si="311"/>
        <v/>
      </c>
      <c r="N2322" s="273"/>
    </row>
    <row r="2323" spans="1:14" ht="12.75" customHeight="1" x14ac:dyDescent="0.25">
      <c r="A2323" s="4"/>
      <c r="B2323" s="4"/>
      <c r="C2323" s="4"/>
      <c r="D2323" s="4"/>
      <c r="E2323" s="4"/>
      <c r="F2323" s="4"/>
      <c r="G2323" s="4"/>
      <c r="H2323" s="4"/>
      <c r="I2323" s="4"/>
      <c r="J2323" s="4"/>
      <c r="K2323" s="396" t="s">
        <v>444</v>
      </c>
      <c r="L2323" s="273"/>
      <c r="M2323" s="394">
        <f>SUM(M2317:N2322)</f>
        <v>1158000</v>
      </c>
      <c r="N2323" s="273"/>
    </row>
    <row r="2324" spans="1:14" ht="12.75" customHeight="1" x14ac:dyDescent="0.25">
      <c r="A2324" s="4"/>
      <c r="B2324" s="4"/>
      <c r="C2324" s="4"/>
      <c r="D2324" s="4"/>
      <c r="E2324" s="4"/>
      <c r="F2324" s="4"/>
      <c r="G2324" s="4"/>
      <c r="H2324" s="4"/>
      <c r="I2324" s="4"/>
      <c r="J2324" s="4"/>
      <c r="K2324" s="4"/>
      <c r="L2324" s="4"/>
      <c r="M2324" s="4"/>
      <c r="N2324" s="4"/>
    </row>
    <row r="2325" spans="1:14" ht="12.75" customHeight="1" x14ac:dyDescent="0.2">
      <c r="A2325" s="398" t="s">
        <v>926</v>
      </c>
      <c r="B2325" s="271"/>
      <c r="C2325" s="271"/>
      <c r="D2325" s="271"/>
      <c r="E2325" s="271"/>
      <c r="F2325" s="271"/>
      <c r="G2325" s="271"/>
      <c r="H2325" s="271"/>
      <c r="I2325" s="271"/>
      <c r="J2325" s="271"/>
      <c r="K2325" s="271"/>
      <c r="L2325" s="271"/>
      <c r="M2325" s="271"/>
      <c r="N2325" s="273"/>
    </row>
    <row r="2326" spans="1:14" ht="12.75" customHeight="1" x14ac:dyDescent="0.2">
      <c r="A2326" s="396" t="s">
        <v>76</v>
      </c>
      <c r="B2326" s="271"/>
      <c r="C2326" s="271"/>
      <c r="D2326" s="271"/>
      <c r="E2326" s="271"/>
      <c r="F2326" s="271"/>
      <c r="G2326" s="273"/>
      <c r="H2326" s="88" t="s">
        <v>77</v>
      </c>
      <c r="I2326" s="399" t="s">
        <v>920</v>
      </c>
      <c r="J2326" s="273"/>
      <c r="K2326" s="399" t="s">
        <v>453</v>
      </c>
      <c r="L2326" s="273"/>
      <c r="M2326" s="399" t="s">
        <v>921</v>
      </c>
      <c r="N2326" s="273"/>
    </row>
    <row r="2327" spans="1:14" ht="12.75" customHeight="1" x14ac:dyDescent="0.2">
      <c r="A2327" s="400" t="s">
        <v>927</v>
      </c>
      <c r="B2327" s="271"/>
      <c r="C2327" s="271"/>
      <c r="D2327" s="271"/>
      <c r="E2327" s="271"/>
      <c r="F2327" s="271"/>
      <c r="G2327" s="273"/>
      <c r="H2327" s="29" t="str">
        <f>IF(A2327="","",VLOOKUP(A2327,AA_Equipos,7,FALSE))</f>
        <v>% M.O.</v>
      </c>
      <c r="I2327" s="394">
        <f>+M2350</f>
        <v>117038.14666666667</v>
      </c>
      <c r="J2327" s="273"/>
      <c r="K2327" s="404">
        <v>0.05</v>
      </c>
      <c r="L2327" s="273"/>
      <c r="M2327" s="394">
        <f t="shared" ref="M2327:M2331" si="312">IF(A2327="","",I2327*K2327)</f>
        <v>5851.9073333333336</v>
      </c>
      <c r="N2327" s="273"/>
    </row>
    <row r="2328" spans="1:14" ht="12.75" customHeight="1" x14ac:dyDescent="0.2">
      <c r="A2328" s="403"/>
      <c r="B2328" s="271"/>
      <c r="C2328" s="271"/>
      <c r="D2328" s="271"/>
      <c r="E2328" s="271"/>
      <c r="F2328" s="271"/>
      <c r="G2328" s="273"/>
      <c r="H2328" s="29" t="str">
        <f>IF(A2328="","",VLOOKUP(A2328,AA_Equipos,7,FALSE))</f>
        <v/>
      </c>
      <c r="I2328" s="394" t="str">
        <f>IF(A2328="","",VLOOKUP(A2328,AA_Equipos,8,FALSE))</f>
        <v/>
      </c>
      <c r="J2328" s="273"/>
      <c r="K2328" s="402"/>
      <c r="L2328" s="273"/>
      <c r="M2328" s="394" t="str">
        <f t="shared" si="312"/>
        <v/>
      </c>
      <c r="N2328" s="273"/>
    </row>
    <row r="2329" spans="1:14" ht="12.75" customHeight="1" x14ac:dyDescent="0.2">
      <c r="A2329" s="400"/>
      <c r="B2329" s="271"/>
      <c r="C2329" s="271"/>
      <c r="D2329" s="271"/>
      <c r="E2329" s="271"/>
      <c r="F2329" s="271"/>
      <c r="G2329" s="273"/>
      <c r="H2329" s="29" t="str">
        <f>IF(A2329="","",VLOOKUP(A2329,AA_Equipos,7,FALSE))</f>
        <v/>
      </c>
      <c r="I2329" s="394" t="str">
        <f>IF(A2329="","",VLOOKUP(A2329,AA_Equipos,8,FALSE))</f>
        <v/>
      </c>
      <c r="J2329" s="273"/>
      <c r="K2329" s="401"/>
      <c r="L2329" s="273"/>
      <c r="M2329" s="394" t="str">
        <f t="shared" si="312"/>
        <v/>
      </c>
      <c r="N2329" s="273"/>
    </row>
    <row r="2330" spans="1:14" ht="12.75" customHeight="1" x14ac:dyDescent="0.2">
      <c r="A2330" s="400"/>
      <c r="B2330" s="271"/>
      <c r="C2330" s="271"/>
      <c r="D2330" s="271"/>
      <c r="E2330" s="271"/>
      <c r="F2330" s="271"/>
      <c r="G2330" s="273"/>
      <c r="H2330" s="29" t="str">
        <f>IF(A2330="","",VLOOKUP(A2330,AA_Equipos,7,FALSE))</f>
        <v/>
      </c>
      <c r="I2330" s="394" t="str">
        <f>IF(A2330="","",VLOOKUP(A2330,AA_Equipos,8,FALSE))</f>
        <v/>
      </c>
      <c r="J2330" s="273"/>
      <c r="K2330" s="395"/>
      <c r="L2330" s="273"/>
      <c r="M2330" s="394" t="str">
        <f t="shared" si="312"/>
        <v/>
      </c>
      <c r="N2330" s="273"/>
    </row>
    <row r="2331" spans="1:14" ht="12.75" customHeight="1" x14ac:dyDescent="0.2">
      <c r="A2331" s="400"/>
      <c r="B2331" s="271"/>
      <c r="C2331" s="271"/>
      <c r="D2331" s="271"/>
      <c r="E2331" s="271"/>
      <c r="F2331" s="271"/>
      <c r="G2331" s="273"/>
      <c r="H2331" s="29" t="str">
        <f>IF(A2331="","",VLOOKUP(A2331,AA_Equipos,7,FALSE))</f>
        <v/>
      </c>
      <c r="I2331" s="394" t="str">
        <f>IF(A2331="","",VLOOKUP(A2331,AA_Equipos,8,FALSE))</f>
        <v/>
      </c>
      <c r="J2331" s="273"/>
      <c r="K2331" s="395"/>
      <c r="L2331" s="273"/>
      <c r="M2331" s="394" t="str">
        <f t="shared" si="312"/>
        <v/>
      </c>
      <c r="N2331" s="273"/>
    </row>
    <row r="2332" spans="1:14" ht="12.75" customHeight="1" x14ac:dyDescent="0.25">
      <c r="A2332" s="4"/>
      <c r="B2332" s="4"/>
      <c r="C2332" s="4"/>
      <c r="D2332" s="4"/>
      <c r="E2332" s="4"/>
      <c r="F2332" s="4"/>
      <c r="G2332" s="4"/>
      <c r="H2332" s="4"/>
      <c r="I2332" s="4"/>
      <c r="J2332" s="4"/>
      <c r="K2332" s="396" t="s">
        <v>444</v>
      </c>
      <c r="L2332" s="273"/>
      <c r="M2332" s="394">
        <f>SUM(M2327:N2331)</f>
        <v>5851.9073333333336</v>
      </c>
      <c r="N2332" s="273"/>
    </row>
    <row r="2333" spans="1:14" ht="12.75" customHeight="1" x14ac:dyDescent="0.25">
      <c r="A2333" s="4"/>
      <c r="B2333" s="4"/>
      <c r="C2333" s="4"/>
      <c r="D2333" s="4"/>
      <c r="E2333" s="4"/>
      <c r="F2333" s="4"/>
      <c r="G2333" s="4"/>
      <c r="H2333" s="4"/>
      <c r="I2333" s="4"/>
      <c r="J2333" s="4"/>
      <c r="K2333" s="4"/>
      <c r="L2333" s="4"/>
      <c r="M2333" s="4"/>
      <c r="N2333" s="4"/>
    </row>
    <row r="2334" spans="1:14" ht="12.75" customHeight="1" x14ac:dyDescent="0.2">
      <c r="A2334" s="398" t="s">
        <v>929</v>
      </c>
      <c r="B2334" s="271"/>
      <c r="C2334" s="271"/>
      <c r="D2334" s="271"/>
      <c r="E2334" s="271"/>
      <c r="F2334" s="271"/>
      <c r="G2334" s="271"/>
      <c r="H2334" s="271"/>
      <c r="I2334" s="271"/>
      <c r="J2334" s="271"/>
      <c r="K2334" s="271"/>
      <c r="L2334" s="271"/>
      <c r="M2334" s="271"/>
      <c r="N2334" s="273"/>
    </row>
    <row r="2335" spans="1:14" ht="12.75" customHeight="1" x14ac:dyDescent="0.2">
      <c r="A2335" s="396" t="s">
        <v>76</v>
      </c>
      <c r="B2335" s="271"/>
      <c r="C2335" s="271"/>
      <c r="D2335" s="271"/>
      <c r="E2335" s="271"/>
      <c r="F2335" s="271"/>
      <c r="G2335" s="273"/>
      <c r="H2335" s="88" t="s">
        <v>77</v>
      </c>
      <c r="I2335" s="399" t="s">
        <v>920</v>
      </c>
      <c r="J2335" s="273"/>
      <c r="K2335" s="399" t="s">
        <v>453</v>
      </c>
      <c r="L2335" s="273"/>
      <c r="M2335" s="399" t="s">
        <v>921</v>
      </c>
      <c r="N2335" s="273"/>
    </row>
    <row r="2336" spans="1:14" ht="12.75" customHeight="1" x14ac:dyDescent="0.2">
      <c r="A2336" s="400" t="s">
        <v>966</v>
      </c>
      <c r="B2336" s="271"/>
      <c r="C2336" s="271"/>
      <c r="D2336" s="271"/>
      <c r="E2336" s="271"/>
      <c r="F2336" s="271"/>
      <c r="G2336" s="273"/>
      <c r="H2336" s="29" t="s">
        <v>24</v>
      </c>
      <c r="I2336" s="394">
        <f>+M2323</f>
        <v>1158000</v>
      </c>
      <c r="J2336" s="273"/>
      <c r="K2336" s="404">
        <v>0.05</v>
      </c>
      <c r="L2336" s="273"/>
      <c r="M2336" s="394">
        <f t="shared" ref="M2336:M2340" si="313">IF(A2336="","",I2336*K2336)</f>
        <v>57900</v>
      </c>
      <c r="N2336" s="273"/>
    </row>
    <row r="2337" spans="1:14" ht="12.75" customHeight="1" x14ac:dyDescent="0.2">
      <c r="A2337" s="403" t="s">
        <v>3174</v>
      </c>
      <c r="B2337" s="271"/>
      <c r="C2337" s="271"/>
      <c r="D2337" s="271"/>
      <c r="E2337" s="271"/>
      <c r="F2337" s="271"/>
      <c r="G2337" s="273"/>
      <c r="H2337" s="29" t="s">
        <v>24</v>
      </c>
      <c r="I2337" s="394">
        <f>+M2332</f>
        <v>5851.9073333333336</v>
      </c>
      <c r="J2337" s="273"/>
      <c r="K2337" s="404">
        <v>0.05</v>
      </c>
      <c r="L2337" s="273"/>
      <c r="M2337" s="394">
        <f t="shared" si="313"/>
        <v>292.59536666666668</v>
      </c>
      <c r="N2337" s="273"/>
    </row>
    <row r="2338" spans="1:14" ht="12.75" customHeight="1" x14ac:dyDescent="0.2">
      <c r="A2338" s="400"/>
      <c r="B2338" s="271"/>
      <c r="C2338" s="271"/>
      <c r="D2338" s="271"/>
      <c r="E2338" s="271"/>
      <c r="F2338" s="271"/>
      <c r="G2338" s="273"/>
      <c r="H2338" s="29"/>
      <c r="I2338" s="394"/>
      <c r="J2338" s="273"/>
      <c r="K2338" s="395"/>
      <c r="L2338" s="273"/>
      <c r="M2338" s="394" t="str">
        <f t="shared" si="313"/>
        <v/>
      </c>
      <c r="N2338" s="273"/>
    </row>
    <row r="2339" spans="1:14" ht="12.75" customHeight="1" x14ac:dyDescent="0.2">
      <c r="A2339" s="400"/>
      <c r="B2339" s="271"/>
      <c r="C2339" s="271"/>
      <c r="D2339" s="271"/>
      <c r="E2339" s="271"/>
      <c r="F2339" s="271"/>
      <c r="G2339" s="273"/>
      <c r="H2339" s="29"/>
      <c r="I2339" s="394"/>
      <c r="J2339" s="273"/>
      <c r="K2339" s="395"/>
      <c r="L2339" s="273"/>
      <c r="M2339" s="394" t="str">
        <f t="shared" si="313"/>
        <v/>
      </c>
      <c r="N2339" s="273"/>
    </row>
    <row r="2340" spans="1:14" ht="12.75" customHeight="1" x14ac:dyDescent="0.2">
      <c r="A2340" s="400"/>
      <c r="B2340" s="271"/>
      <c r="C2340" s="271"/>
      <c r="D2340" s="271"/>
      <c r="E2340" s="271"/>
      <c r="F2340" s="271"/>
      <c r="G2340" s="273"/>
      <c r="H2340" s="29"/>
      <c r="I2340" s="394"/>
      <c r="J2340" s="273"/>
      <c r="K2340" s="395"/>
      <c r="L2340" s="273"/>
      <c r="M2340" s="394" t="str">
        <f t="shared" si="313"/>
        <v/>
      </c>
      <c r="N2340" s="273"/>
    </row>
    <row r="2341" spans="1:14" ht="12.75" customHeight="1" x14ac:dyDescent="0.25">
      <c r="A2341" s="4"/>
      <c r="B2341" s="4"/>
      <c r="C2341" s="4"/>
      <c r="D2341" s="4"/>
      <c r="E2341" s="4"/>
      <c r="F2341" s="4"/>
      <c r="G2341" s="4"/>
      <c r="H2341" s="4"/>
      <c r="I2341" s="4"/>
      <c r="J2341" s="4"/>
      <c r="K2341" s="396" t="s">
        <v>444</v>
      </c>
      <c r="L2341" s="273"/>
      <c r="M2341" s="394">
        <f>SUM(M2336:N2340)</f>
        <v>58192.595366666668</v>
      </c>
      <c r="N2341" s="273"/>
    </row>
    <row r="2342" spans="1:14" ht="12.75" customHeight="1" x14ac:dyDescent="0.25">
      <c r="A2342" s="4"/>
      <c r="B2342" s="4"/>
      <c r="C2342" s="4"/>
      <c r="D2342" s="4"/>
      <c r="E2342" s="4"/>
      <c r="F2342" s="4"/>
      <c r="G2342" s="4"/>
      <c r="H2342" s="4"/>
      <c r="I2342" s="4"/>
      <c r="J2342" s="4"/>
      <c r="K2342" s="4"/>
      <c r="L2342" s="4"/>
      <c r="M2342" s="4"/>
      <c r="N2342" s="4"/>
    </row>
    <row r="2343" spans="1:14" ht="12.75" customHeight="1" x14ac:dyDescent="0.2">
      <c r="A2343" s="398" t="s">
        <v>931</v>
      </c>
      <c r="B2343" s="271"/>
      <c r="C2343" s="271"/>
      <c r="D2343" s="271"/>
      <c r="E2343" s="271"/>
      <c r="F2343" s="271"/>
      <c r="G2343" s="271"/>
      <c r="H2343" s="271"/>
      <c r="I2343" s="271"/>
      <c r="J2343" s="271"/>
      <c r="K2343" s="271"/>
      <c r="L2343" s="271"/>
      <c r="M2343" s="271"/>
      <c r="N2343" s="273"/>
    </row>
    <row r="2344" spans="1:14" ht="12.75" customHeight="1" x14ac:dyDescent="0.2">
      <c r="A2344" s="396" t="s">
        <v>76</v>
      </c>
      <c r="B2344" s="271"/>
      <c r="C2344" s="271"/>
      <c r="D2344" s="271"/>
      <c r="E2344" s="271"/>
      <c r="F2344" s="271"/>
      <c r="G2344" s="273"/>
      <c r="H2344" s="88" t="s">
        <v>77</v>
      </c>
      <c r="I2344" s="399" t="s">
        <v>920</v>
      </c>
      <c r="J2344" s="273"/>
      <c r="K2344" s="90" t="s">
        <v>514</v>
      </c>
      <c r="L2344" s="91" t="s">
        <v>932</v>
      </c>
      <c r="M2344" s="399" t="s">
        <v>921</v>
      </c>
      <c r="N2344" s="273"/>
    </row>
    <row r="2345" spans="1:14" ht="12.75" customHeight="1" x14ac:dyDescent="0.25">
      <c r="A2345" s="393" t="s">
        <v>986</v>
      </c>
      <c r="B2345" s="271"/>
      <c r="C2345" s="271"/>
      <c r="D2345" s="271"/>
      <c r="E2345" s="271"/>
      <c r="F2345" s="271"/>
      <c r="G2345" s="273"/>
      <c r="H2345" s="29" t="str">
        <f>IF(A2345="","",VLOOKUP(A2345,AA_Cuadrillas,4,FALSE))</f>
        <v>Cuadrilla</v>
      </c>
      <c r="I2345" s="394">
        <f>IF(A2345="","",VLOOKUP(A2345,AA_Cuadrillas,5,FALSE))</f>
        <v>186763</v>
      </c>
      <c r="J2345" s="273"/>
      <c r="K2345" s="9">
        <f>IF(A2345="","",F.P!$I$2)</f>
        <v>1.88</v>
      </c>
      <c r="L2345" s="97">
        <v>0.33333333333333331</v>
      </c>
      <c r="M2345" s="394">
        <f t="shared" ref="M2345:M2349" si="314">IF(A2345="","",I2345*K2345*L2345)</f>
        <v>117038.14666666667</v>
      </c>
      <c r="N2345" s="273"/>
    </row>
    <row r="2346" spans="1:14" ht="12.75" customHeight="1" x14ac:dyDescent="0.25">
      <c r="A2346" s="393"/>
      <c r="B2346" s="271"/>
      <c r="C2346" s="271"/>
      <c r="D2346" s="271"/>
      <c r="E2346" s="271"/>
      <c r="F2346" s="271"/>
      <c r="G2346" s="273"/>
      <c r="H2346" s="29" t="str">
        <f>IF(A2346="","",VLOOKUP(A2346,AA_Cuadrillas,4,FALSE))</f>
        <v/>
      </c>
      <c r="I2346" s="394" t="str">
        <f>IF(A2346="","",VLOOKUP(A2346,AA_Cuadrillas,5,FALSE))</f>
        <v/>
      </c>
      <c r="J2346" s="273"/>
      <c r="K2346" s="9" t="str">
        <f>IF(A2346="","",F.P!$I$2)</f>
        <v/>
      </c>
      <c r="L2346" s="9"/>
      <c r="M2346" s="394" t="str">
        <f t="shared" si="314"/>
        <v/>
      </c>
      <c r="N2346" s="273"/>
    </row>
    <row r="2347" spans="1:14" ht="12.75" customHeight="1" x14ac:dyDescent="0.25">
      <c r="A2347" s="393"/>
      <c r="B2347" s="271"/>
      <c r="C2347" s="271"/>
      <c r="D2347" s="271"/>
      <c r="E2347" s="271"/>
      <c r="F2347" s="271"/>
      <c r="G2347" s="273"/>
      <c r="H2347" s="29" t="str">
        <f>IF(A2347="","",VLOOKUP(A2347,AA_Cuadrillas,4,FALSE))</f>
        <v/>
      </c>
      <c r="I2347" s="394" t="str">
        <f>IF(A2347="","",VLOOKUP(A2347,AA_Cuadrillas,5,FALSE))</f>
        <v/>
      </c>
      <c r="J2347" s="273"/>
      <c r="K2347" s="9" t="str">
        <f>IF(A2347="","",F.P!$I$2)</f>
        <v/>
      </c>
      <c r="L2347" s="37"/>
      <c r="M2347" s="394" t="str">
        <f t="shared" si="314"/>
        <v/>
      </c>
      <c r="N2347" s="273"/>
    </row>
    <row r="2348" spans="1:14" ht="12.75" customHeight="1" x14ac:dyDescent="0.25">
      <c r="A2348" s="393"/>
      <c r="B2348" s="271"/>
      <c r="C2348" s="271"/>
      <c r="D2348" s="271"/>
      <c r="E2348" s="271"/>
      <c r="F2348" s="271"/>
      <c r="G2348" s="273"/>
      <c r="H2348" s="29" t="str">
        <f>IF(A2348="","",VLOOKUP(A2348,AA_Cuadrillas,4,FALSE))</f>
        <v/>
      </c>
      <c r="I2348" s="394" t="str">
        <f>IF(A2348="","",VLOOKUP(A2348,AA_Cuadrillas,5,FALSE))</f>
        <v/>
      </c>
      <c r="J2348" s="273"/>
      <c r="K2348" s="9" t="str">
        <f>IF(A2348="","",F.P!$I$2)</f>
        <v/>
      </c>
      <c r="L2348" s="97"/>
      <c r="M2348" s="394" t="str">
        <f t="shared" si="314"/>
        <v/>
      </c>
      <c r="N2348" s="273"/>
    </row>
    <row r="2349" spans="1:14" ht="12.75" customHeight="1" x14ac:dyDescent="0.25">
      <c r="A2349" s="393"/>
      <c r="B2349" s="271"/>
      <c r="C2349" s="271"/>
      <c r="D2349" s="271"/>
      <c r="E2349" s="271"/>
      <c r="F2349" s="271"/>
      <c r="G2349" s="273"/>
      <c r="H2349" s="29" t="str">
        <f>IF(A2349="","",VLOOKUP(A2349,AA_Cuadrillas,4,FALSE))</f>
        <v/>
      </c>
      <c r="I2349" s="394" t="str">
        <f>IF(A2349="","",VLOOKUP(A2349,AA_Cuadrillas,5,FALSE))</f>
        <v/>
      </c>
      <c r="J2349" s="273"/>
      <c r="K2349" s="9" t="str">
        <f>IF(A2349="","",F.P!$I$2)</f>
        <v/>
      </c>
      <c r="L2349" s="37"/>
      <c r="M2349" s="394" t="str">
        <f t="shared" si="314"/>
        <v/>
      </c>
      <c r="N2349" s="273"/>
    </row>
    <row r="2350" spans="1:14" ht="12.75" customHeight="1" x14ac:dyDescent="0.25">
      <c r="A2350" s="4"/>
      <c r="B2350" s="4"/>
      <c r="C2350" s="4"/>
      <c r="D2350" s="4"/>
      <c r="E2350" s="4"/>
      <c r="F2350" s="4"/>
      <c r="G2350" s="4"/>
      <c r="H2350" s="4"/>
      <c r="I2350" s="4"/>
      <c r="J2350" s="4"/>
      <c r="K2350" s="396" t="s">
        <v>444</v>
      </c>
      <c r="L2350" s="273"/>
      <c r="M2350" s="394">
        <f>SUM(M2345:N2349)</f>
        <v>117038.14666666667</v>
      </c>
      <c r="N2350" s="273"/>
    </row>
    <row r="2351" spans="1:14" ht="12.75" customHeight="1" x14ac:dyDescent="0.2"/>
    <row r="2352" spans="1:14" ht="12.75" customHeight="1" x14ac:dyDescent="0.2">
      <c r="A2352" s="407" t="s">
        <v>227</v>
      </c>
      <c r="B2352" s="275"/>
      <c r="C2352" s="275"/>
      <c r="D2352" s="275"/>
      <c r="E2352" s="275"/>
      <c r="F2352" s="275"/>
      <c r="G2352" s="275"/>
      <c r="H2352" s="275"/>
      <c r="I2352" s="275"/>
      <c r="J2352" s="275"/>
      <c r="K2352" s="275"/>
      <c r="L2352" s="275"/>
      <c r="M2352" s="275"/>
      <c r="N2352" s="276"/>
    </row>
    <row r="2353" spans="1:14" ht="12.75" customHeight="1" x14ac:dyDescent="0.2">
      <c r="A2353" s="277"/>
      <c r="B2353" s="278"/>
      <c r="C2353" s="278"/>
      <c r="D2353" s="278"/>
      <c r="E2353" s="278"/>
      <c r="F2353" s="278"/>
      <c r="G2353" s="278"/>
      <c r="H2353" s="278"/>
      <c r="I2353" s="278"/>
      <c r="J2353" s="278"/>
      <c r="K2353" s="278"/>
      <c r="L2353" s="278"/>
      <c r="M2353" s="278"/>
      <c r="N2353" s="279"/>
    </row>
    <row r="2354" spans="1:14" ht="12.75" customHeight="1" x14ac:dyDescent="0.2">
      <c r="A2354" s="75"/>
      <c r="B2354" s="75"/>
      <c r="C2354" s="75"/>
      <c r="D2354" s="75"/>
      <c r="E2354" s="75"/>
      <c r="F2354" s="75"/>
      <c r="G2354" s="75"/>
      <c r="H2354" s="75"/>
      <c r="I2354" s="75"/>
      <c r="J2354" s="75"/>
      <c r="K2354" s="75"/>
      <c r="L2354" s="75"/>
      <c r="M2354" s="75"/>
      <c r="N2354" s="75"/>
    </row>
    <row r="2355" spans="1:14" ht="12.75" customHeight="1" x14ac:dyDescent="0.3">
      <c r="A2355" s="79" t="s">
        <v>668</v>
      </c>
      <c r="B2355" s="80" t="str">
        <f>A2352</f>
        <v>SUMINISTRO E INSTALACIÓN DE VÁLVULA COMPUERTA CON VOLANTE Ø6 EN HIERRO DUCTIL</v>
      </c>
      <c r="C2355" s="81" t="s">
        <v>916</v>
      </c>
      <c r="D2355" s="82" t="s">
        <v>999</v>
      </c>
      <c r="E2355" s="83" t="s">
        <v>445</v>
      </c>
      <c r="F2355" s="234">
        <f>(H2355+J2355+L2355+N2355)*1.3</f>
        <v>2702557.0702</v>
      </c>
      <c r="G2355" s="83" t="s">
        <v>607</v>
      </c>
      <c r="H2355" s="86">
        <f>M2374</f>
        <v>5851.9073333333336</v>
      </c>
      <c r="I2355" s="83" t="s">
        <v>918</v>
      </c>
      <c r="J2355" s="86">
        <f>M2365</f>
        <v>1956000</v>
      </c>
      <c r="K2355" s="83" t="s">
        <v>609</v>
      </c>
      <c r="L2355" s="86">
        <f>M2383</f>
        <v>0</v>
      </c>
      <c r="M2355" s="83" t="s">
        <v>610</v>
      </c>
      <c r="N2355" s="86">
        <f>M2392</f>
        <v>117038.14666666667</v>
      </c>
    </row>
    <row r="2356" spans="1:14" ht="12.75" customHeight="1" x14ac:dyDescent="0.25">
      <c r="A2356" s="87"/>
      <c r="B2356" s="87"/>
      <c r="C2356" s="87"/>
      <c r="D2356" s="87"/>
      <c r="E2356" s="87"/>
      <c r="F2356" s="87"/>
      <c r="G2356" s="87"/>
      <c r="J2356" s="87"/>
      <c r="K2356" s="215" t="s">
        <v>3217</v>
      </c>
      <c r="L2356" s="215">
        <f>+F2355*presup!$O$5</f>
        <v>3513324.1912600002</v>
      </c>
      <c r="M2356" s="87"/>
      <c r="N2356" s="87"/>
    </row>
    <row r="2357" spans="1:14" ht="12.75" customHeight="1" x14ac:dyDescent="0.2">
      <c r="A2357" s="398" t="s">
        <v>919</v>
      </c>
      <c r="B2357" s="271"/>
      <c r="C2357" s="271"/>
      <c r="D2357" s="271"/>
      <c r="E2357" s="271"/>
      <c r="F2357" s="271"/>
      <c r="G2357" s="271"/>
      <c r="H2357" s="271"/>
      <c r="I2357" s="271"/>
      <c r="J2357" s="271"/>
      <c r="K2357" s="271"/>
      <c r="L2357" s="271"/>
      <c r="M2357" s="271"/>
      <c r="N2357" s="273"/>
    </row>
    <row r="2358" spans="1:14" ht="12.75" customHeight="1" x14ac:dyDescent="0.2">
      <c r="A2358" s="396" t="s">
        <v>76</v>
      </c>
      <c r="B2358" s="271"/>
      <c r="C2358" s="271"/>
      <c r="D2358" s="271"/>
      <c r="E2358" s="271"/>
      <c r="F2358" s="271"/>
      <c r="G2358" s="273"/>
      <c r="H2358" s="88" t="s">
        <v>77</v>
      </c>
      <c r="I2358" s="399" t="s">
        <v>920</v>
      </c>
      <c r="J2358" s="273"/>
      <c r="K2358" s="399" t="s">
        <v>453</v>
      </c>
      <c r="L2358" s="273"/>
      <c r="M2358" s="399" t="s">
        <v>921</v>
      </c>
      <c r="N2358" s="273"/>
    </row>
    <row r="2359" spans="1:14" ht="12.75" customHeight="1" x14ac:dyDescent="0.2">
      <c r="A2359" s="403" t="s">
        <v>1082</v>
      </c>
      <c r="B2359" s="271"/>
      <c r="C2359" s="271"/>
      <c r="D2359" s="271"/>
      <c r="E2359" s="271"/>
      <c r="F2359" s="271"/>
      <c r="G2359" s="273"/>
      <c r="H2359" s="29" t="str">
        <f t="shared" ref="H2359:H2364" si="315">IF(A2359="","",VLOOKUP(A2359,AA_Materiales,7,FALSE))</f>
        <v>Unidad</v>
      </c>
      <c r="I2359" s="394">
        <f t="shared" ref="I2359:I2364" si="316">IF(A2359="","",VLOOKUP(A2359,AA_Materiales,8,FALSE))</f>
        <v>1956000</v>
      </c>
      <c r="J2359" s="273"/>
      <c r="K2359" s="395">
        <v>1</v>
      </c>
      <c r="L2359" s="273"/>
      <c r="M2359" s="394">
        <f t="shared" ref="M2359:M2364" si="317">IF(A2359="","",I2359*K2359)</f>
        <v>1956000</v>
      </c>
      <c r="N2359" s="273"/>
    </row>
    <row r="2360" spans="1:14" ht="12.75" customHeight="1" x14ac:dyDescent="0.2">
      <c r="A2360" s="403"/>
      <c r="B2360" s="271"/>
      <c r="C2360" s="271"/>
      <c r="D2360" s="271"/>
      <c r="E2360" s="271"/>
      <c r="F2360" s="271"/>
      <c r="G2360" s="273"/>
      <c r="H2360" s="29" t="str">
        <f t="shared" si="315"/>
        <v/>
      </c>
      <c r="I2360" s="394" t="str">
        <f t="shared" si="316"/>
        <v/>
      </c>
      <c r="J2360" s="273"/>
      <c r="K2360" s="395"/>
      <c r="L2360" s="273"/>
      <c r="M2360" s="394" t="str">
        <f t="shared" si="317"/>
        <v/>
      </c>
      <c r="N2360" s="273"/>
    </row>
    <row r="2361" spans="1:14" ht="12.75" customHeight="1" x14ac:dyDescent="0.2">
      <c r="A2361" s="403"/>
      <c r="B2361" s="271"/>
      <c r="C2361" s="271"/>
      <c r="D2361" s="271"/>
      <c r="E2361" s="271"/>
      <c r="F2361" s="271"/>
      <c r="G2361" s="273"/>
      <c r="H2361" s="29" t="str">
        <f t="shared" si="315"/>
        <v/>
      </c>
      <c r="I2361" s="394" t="str">
        <f t="shared" si="316"/>
        <v/>
      </c>
      <c r="J2361" s="273"/>
      <c r="K2361" s="395"/>
      <c r="L2361" s="273"/>
      <c r="M2361" s="394" t="str">
        <f t="shared" si="317"/>
        <v/>
      </c>
      <c r="N2361" s="273"/>
    </row>
    <row r="2362" spans="1:14" ht="12.75" customHeight="1" x14ac:dyDescent="0.2">
      <c r="A2362" s="403"/>
      <c r="B2362" s="271"/>
      <c r="C2362" s="271"/>
      <c r="D2362" s="271"/>
      <c r="E2362" s="271"/>
      <c r="F2362" s="271"/>
      <c r="G2362" s="273"/>
      <c r="H2362" s="29" t="str">
        <f t="shared" si="315"/>
        <v/>
      </c>
      <c r="I2362" s="394" t="str">
        <f t="shared" si="316"/>
        <v/>
      </c>
      <c r="J2362" s="273"/>
      <c r="K2362" s="395"/>
      <c r="L2362" s="273"/>
      <c r="M2362" s="394" t="str">
        <f t="shared" si="317"/>
        <v/>
      </c>
      <c r="N2362" s="273"/>
    </row>
    <row r="2363" spans="1:14" ht="12.75" customHeight="1" x14ac:dyDescent="0.2">
      <c r="A2363" s="403"/>
      <c r="B2363" s="271"/>
      <c r="C2363" s="271"/>
      <c r="D2363" s="271"/>
      <c r="E2363" s="271"/>
      <c r="F2363" s="271"/>
      <c r="G2363" s="273"/>
      <c r="H2363" s="29" t="str">
        <f t="shared" si="315"/>
        <v/>
      </c>
      <c r="I2363" s="394" t="str">
        <f t="shared" si="316"/>
        <v/>
      </c>
      <c r="J2363" s="273"/>
      <c r="K2363" s="395"/>
      <c r="L2363" s="273"/>
      <c r="M2363" s="394" t="str">
        <f t="shared" si="317"/>
        <v/>
      </c>
      <c r="N2363" s="273"/>
    </row>
    <row r="2364" spans="1:14" ht="12.75" customHeight="1" x14ac:dyDescent="0.2">
      <c r="A2364" s="403"/>
      <c r="B2364" s="271"/>
      <c r="C2364" s="271"/>
      <c r="D2364" s="271"/>
      <c r="E2364" s="271"/>
      <c r="F2364" s="271"/>
      <c r="G2364" s="273"/>
      <c r="H2364" s="29" t="str">
        <f t="shared" si="315"/>
        <v/>
      </c>
      <c r="I2364" s="394" t="str">
        <f t="shared" si="316"/>
        <v/>
      </c>
      <c r="J2364" s="273"/>
      <c r="K2364" s="395"/>
      <c r="L2364" s="273"/>
      <c r="M2364" s="394" t="str">
        <f t="shared" si="317"/>
        <v/>
      </c>
      <c r="N2364" s="273"/>
    </row>
    <row r="2365" spans="1:14" ht="12.75" customHeight="1" x14ac:dyDescent="0.25">
      <c r="A2365" s="4"/>
      <c r="B2365" s="4"/>
      <c r="C2365" s="4"/>
      <c r="D2365" s="4"/>
      <c r="E2365" s="4"/>
      <c r="F2365" s="4"/>
      <c r="G2365" s="4"/>
      <c r="H2365" s="4"/>
      <c r="I2365" s="4"/>
      <c r="J2365" s="4"/>
      <c r="K2365" s="396" t="s">
        <v>444</v>
      </c>
      <c r="L2365" s="273"/>
      <c r="M2365" s="394">
        <f>SUM(M2359:N2364)</f>
        <v>1956000</v>
      </c>
      <c r="N2365" s="273"/>
    </row>
    <row r="2366" spans="1:14" ht="12.75" customHeight="1" x14ac:dyDescent="0.25">
      <c r="A2366" s="4"/>
      <c r="B2366" s="4"/>
      <c r="C2366" s="4"/>
      <c r="D2366" s="4"/>
      <c r="E2366" s="4"/>
      <c r="F2366" s="4"/>
      <c r="G2366" s="4"/>
      <c r="H2366" s="4"/>
      <c r="I2366" s="4"/>
      <c r="J2366" s="4"/>
      <c r="K2366" s="4"/>
      <c r="L2366" s="4"/>
      <c r="M2366" s="4"/>
      <c r="N2366" s="4"/>
    </row>
    <row r="2367" spans="1:14" ht="12.75" customHeight="1" x14ac:dyDescent="0.2">
      <c r="A2367" s="398" t="s">
        <v>926</v>
      </c>
      <c r="B2367" s="271"/>
      <c r="C2367" s="271"/>
      <c r="D2367" s="271"/>
      <c r="E2367" s="271"/>
      <c r="F2367" s="271"/>
      <c r="G2367" s="271"/>
      <c r="H2367" s="271"/>
      <c r="I2367" s="271"/>
      <c r="J2367" s="271"/>
      <c r="K2367" s="271"/>
      <c r="L2367" s="271"/>
      <c r="M2367" s="271"/>
      <c r="N2367" s="273"/>
    </row>
    <row r="2368" spans="1:14" ht="12.75" customHeight="1" x14ac:dyDescent="0.2">
      <c r="A2368" s="396" t="s">
        <v>76</v>
      </c>
      <c r="B2368" s="271"/>
      <c r="C2368" s="271"/>
      <c r="D2368" s="271"/>
      <c r="E2368" s="271"/>
      <c r="F2368" s="271"/>
      <c r="G2368" s="273"/>
      <c r="H2368" s="88" t="s">
        <v>77</v>
      </c>
      <c r="I2368" s="399" t="s">
        <v>920</v>
      </c>
      <c r="J2368" s="273"/>
      <c r="K2368" s="399" t="s">
        <v>453</v>
      </c>
      <c r="L2368" s="273"/>
      <c r="M2368" s="399" t="s">
        <v>921</v>
      </c>
      <c r="N2368" s="273"/>
    </row>
    <row r="2369" spans="1:14" ht="12.75" customHeight="1" x14ac:dyDescent="0.2">
      <c r="A2369" s="400" t="s">
        <v>927</v>
      </c>
      <c r="B2369" s="271"/>
      <c r="C2369" s="271"/>
      <c r="D2369" s="271"/>
      <c r="E2369" s="271"/>
      <c r="F2369" s="271"/>
      <c r="G2369" s="273"/>
      <c r="H2369" s="29" t="str">
        <f>IF(A2369="","",VLOOKUP(A2369,AA_Equipos,7,FALSE))</f>
        <v>% M.O.</v>
      </c>
      <c r="I2369" s="394">
        <f>+M2392</f>
        <v>117038.14666666667</v>
      </c>
      <c r="J2369" s="273"/>
      <c r="K2369" s="404">
        <v>0.05</v>
      </c>
      <c r="L2369" s="273"/>
      <c r="M2369" s="394">
        <f t="shared" ref="M2369:M2373" si="318">IF(A2369="","",I2369*K2369)</f>
        <v>5851.9073333333336</v>
      </c>
      <c r="N2369" s="273"/>
    </row>
    <row r="2370" spans="1:14" ht="12.75" customHeight="1" x14ac:dyDescent="0.2">
      <c r="A2370" s="403"/>
      <c r="B2370" s="271"/>
      <c r="C2370" s="271"/>
      <c r="D2370" s="271"/>
      <c r="E2370" s="271"/>
      <c r="F2370" s="271"/>
      <c r="G2370" s="273"/>
      <c r="H2370" s="29" t="str">
        <f>IF(A2370="","",VLOOKUP(A2370,AA_Equipos,7,FALSE))</f>
        <v/>
      </c>
      <c r="I2370" s="394" t="str">
        <f>IF(A2370="","",VLOOKUP(A2370,AA_Equipos,8,FALSE))</f>
        <v/>
      </c>
      <c r="J2370" s="273"/>
      <c r="K2370" s="402"/>
      <c r="L2370" s="273"/>
      <c r="M2370" s="394" t="str">
        <f t="shared" si="318"/>
        <v/>
      </c>
      <c r="N2370" s="273"/>
    </row>
    <row r="2371" spans="1:14" ht="12.75" customHeight="1" x14ac:dyDescent="0.2">
      <c r="A2371" s="400"/>
      <c r="B2371" s="271"/>
      <c r="C2371" s="271"/>
      <c r="D2371" s="271"/>
      <c r="E2371" s="271"/>
      <c r="F2371" s="271"/>
      <c r="G2371" s="273"/>
      <c r="H2371" s="29" t="str">
        <f>IF(A2371="","",VLOOKUP(A2371,AA_Equipos,7,FALSE))</f>
        <v/>
      </c>
      <c r="I2371" s="394" t="str">
        <f>IF(A2371="","",VLOOKUP(A2371,AA_Equipos,8,FALSE))</f>
        <v/>
      </c>
      <c r="J2371" s="273"/>
      <c r="K2371" s="401"/>
      <c r="L2371" s="273"/>
      <c r="M2371" s="394" t="str">
        <f t="shared" si="318"/>
        <v/>
      </c>
      <c r="N2371" s="273"/>
    </row>
    <row r="2372" spans="1:14" ht="12.75" customHeight="1" x14ac:dyDescent="0.2">
      <c r="A2372" s="400"/>
      <c r="B2372" s="271"/>
      <c r="C2372" s="271"/>
      <c r="D2372" s="271"/>
      <c r="E2372" s="271"/>
      <c r="F2372" s="271"/>
      <c r="G2372" s="273"/>
      <c r="H2372" s="29" t="str">
        <f>IF(A2372="","",VLOOKUP(A2372,AA_Equipos,7,FALSE))</f>
        <v/>
      </c>
      <c r="I2372" s="394" t="str">
        <f>IF(A2372="","",VLOOKUP(A2372,AA_Equipos,8,FALSE))</f>
        <v/>
      </c>
      <c r="J2372" s="273"/>
      <c r="K2372" s="395"/>
      <c r="L2372" s="273"/>
      <c r="M2372" s="394" t="str">
        <f t="shared" si="318"/>
        <v/>
      </c>
      <c r="N2372" s="273"/>
    </row>
    <row r="2373" spans="1:14" ht="12.75" customHeight="1" x14ac:dyDescent="0.2">
      <c r="A2373" s="400"/>
      <c r="B2373" s="271"/>
      <c r="C2373" s="271"/>
      <c r="D2373" s="271"/>
      <c r="E2373" s="271"/>
      <c r="F2373" s="271"/>
      <c r="G2373" s="273"/>
      <c r="H2373" s="29" t="str">
        <f>IF(A2373="","",VLOOKUP(A2373,AA_Equipos,7,FALSE))</f>
        <v/>
      </c>
      <c r="I2373" s="394" t="str">
        <f>IF(A2373="","",VLOOKUP(A2373,AA_Equipos,8,FALSE))</f>
        <v/>
      </c>
      <c r="J2373" s="273"/>
      <c r="K2373" s="395"/>
      <c r="L2373" s="273"/>
      <c r="M2373" s="394" t="str">
        <f t="shared" si="318"/>
        <v/>
      </c>
      <c r="N2373" s="273"/>
    </row>
    <row r="2374" spans="1:14" ht="12.75" customHeight="1" x14ac:dyDescent="0.25">
      <c r="A2374" s="4"/>
      <c r="B2374" s="4"/>
      <c r="C2374" s="4"/>
      <c r="D2374" s="4"/>
      <c r="E2374" s="4"/>
      <c r="F2374" s="4"/>
      <c r="G2374" s="4"/>
      <c r="H2374" s="4"/>
      <c r="I2374" s="4"/>
      <c r="J2374" s="4"/>
      <c r="K2374" s="396" t="s">
        <v>444</v>
      </c>
      <c r="L2374" s="273"/>
      <c r="M2374" s="394">
        <f>SUM(M2369:N2373)</f>
        <v>5851.9073333333336</v>
      </c>
      <c r="N2374" s="273"/>
    </row>
    <row r="2375" spans="1:14" ht="12.75" customHeight="1" x14ac:dyDescent="0.25">
      <c r="A2375" s="4"/>
      <c r="B2375" s="4"/>
      <c r="C2375" s="4"/>
      <c r="D2375" s="4"/>
      <c r="E2375" s="4"/>
      <c r="F2375" s="4"/>
      <c r="G2375" s="4"/>
      <c r="H2375" s="4"/>
      <c r="I2375" s="4"/>
      <c r="J2375" s="4"/>
      <c r="K2375" s="4"/>
      <c r="L2375" s="4"/>
      <c r="M2375" s="4"/>
      <c r="N2375" s="4"/>
    </row>
    <row r="2376" spans="1:14" ht="12.75" customHeight="1" x14ac:dyDescent="0.2">
      <c r="A2376" s="398" t="s">
        <v>929</v>
      </c>
      <c r="B2376" s="271"/>
      <c r="C2376" s="271"/>
      <c r="D2376" s="271"/>
      <c r="E2376" s="271"/>
      <c r="F2376" s="271"/>
      <c r="G2376" s="271"/>
      <c r="H2376" s="271"/>
      <c r="I2376" s="271"/>
      <c r="J2376" s="271"/>
      <c r="K2376" s="271"/>
      <c r="L2376" s="271"/>
      <c r="M2376" s="271"/>
      <c r="N2376" s="273"/>
    </row>
    <row r="2377" spans="1:14" ht="12.75" customHeight="1" x14ac:dyDescent="0.2">
      <c r="A2377" s="396" t="s">
        <v>76</v>
      </c>
      <c r="B2377" s="271"/>
      <c r="C2377" s="271"/>
      <c r="D2377" s="271"/>
      <c r="E2377" s="271"/>
      <c r="F2377" s="271"/>
      <c r="G2377" s="273"/>
      <c r="H2377" s="88" t="s">
        <v>77</v>
      </c>
      <c r="I2377" s="399" t="s">
        <v>920</v>
      </c>
      <c r="J2377" s="273"/>
      <c r="K2377" s="399" t="s">
        <v>453</v>
      </c>
      <c r="L2377" s="273"/>
      <c r="M2377" s="399" t="s">
        <v>921</v>
      </c>
      <c r="N2377" s="273"/>
    </row>
    <row r="2378" spans="1:14" ht="12.75" customHeight="1" x14ac:dyDescent="0.2">
      <c r="A2378" s="400"/>
      <c r="B2378" s="271"/>
      <c r="C2378" s="271"/>
      <c r="D2378" s="271"/>
      <c r="E2378" s="271"/>
      <c r="F2378" s="271"/>
      <c r="G2378" s="273"/>
      <c r="H2378" s="29"/>
      <c r="I2378" s="394"/>
      <c r="J2378" s="273"/>
      <c r="K2378" s="404"/>
      <c r="L2378" s="273"/>
      <c r="M2378" s="394" t="str">
        <f t="shared" ref="M2378:M2382" si="319">IF(A2378="","",I2378*K2378)</f>
        <v/>
      </c>
      <c r="N2378" s="273"/>
    </row>
    <row r="2379" spans="1:14" ht="12.75" customHeight="1" x14ac:dyDescent="0.2">
      <c r="A2379" s="403"/>
      <c r="B2379" s="271"/>
      <c r="C2379" s="271"/>
      <c r="D2379" s="271"/>
      <c r="E2379" s="271"/>
      <c r="F2379" s="271"/>
      <c r="G2379" s="273"/>
      <c r="H2379" s="29"/>
      <c r="I2379" s="394"/>
      <c r="J2379" s="273"/>
      <c r="K2379" s="404"/>
      <c r="L2379" s="273"/>
      <c r="M2379" s="394" t="str">
        <f t="shared" si="319"/>
        <v/>
      </c>
      <c r="N2379" s="273"/>
    </row>
    <row r="2380" spans="1:14" ht="12.75" customHeight="1" x14ac:dyDescent="0.2">
      <c r="A2380" s="400"/>
      <c r="B2380" s="271"/>
      <c r="C2380" s="271"/>
      <c r="D2380" s="271"/>
      <c r="E2380" s="271"/>
      <c r="F2380" s="271"/>
      <c r="G2380" s="273"/>
      <c r="H2380" s="29"/>
      <c r="I2380" s="394"/>
      <c r="J2380" s="273"/>
      <c r="K2380" s="395"/>
      <c r="L2380" s="273"/>
      <c r="M2380" s="394" t="str">
        <f t="shared" si="319"/>
        <v/>
      </c>
      <c r="N2380" s="273"/>
    </row>
    <row r="2381" spans="1:14" ht="12.75" customHeight="1" x14ac:dyDescent="0.2">
      <c r="A2381" s="400"/>
      <c r="B2381" s="271"/>
      <c r="C2381" s="271"/>
      <c r="D2381" s="271"/>
      <c r="E2381" s="271"/>
      <c r="F2381" s="271"/>
      <c r="G2381" s="273"/>
      <c r="H2381" s="29"/>
      <c r="I2381" s="394"/>
      <c r="J2381" s="273"/>
      <c r="K2381" s="395"/>
      <c r="L2381" s="273"/>
      <c r="M2381" s="394" t="str">
        <f t="shared" si="319"/>
        <v/>
      </c>
      <c r="N2381" s="273"/>
    </row>
    <row r="2382" spans="1:14" ht="12.75" customHeight="1" x14ac:dyDescent="0.2">
      <c r="A2382" s="400"/>
      <c r="B2382" s="271"/>
      <c r="C2382" s="271"/>
      <c r="D2382" s="271"/>
      <c r="E2382" s="271"/>
      <c r="F2382" s="271"/>
      <c r="G2382" s="273"/>
      <c r="H2382" s="29"/>
      <c r="I2382" s="394"/>
      <c r="J2382" s="273"/>
      <c r="K2382" s="395"/>
      <c r="L2382" s="273"/>
      <c r="M2382" s="394" t="str">
        <f t="shared" si="319"/>
        <v/>
      </c>
      <c r="N2382" s="273"/>
    </row>
    <row r="2383" spans="1:14" ht="12.75" customHeight="1" x14ac:dyDescent="0.25">
      <c r="A2383" s="4"/>
      <c r="B2383" s="4"/>
      <c r="C2383" s="4"/>
      <c r="D2383" s="4"/>
      <c r="E2383" s="4"/>
      <c r="F2383" s="4"/>
      <c r="G2383" s="4"/>
      <c r="H2383" s="4"/>
      <c r="I2383" s="4"/>
      <c r="J2383" s="4"/>
      <c r="K2383" s="396" t="s">
        <v>444</v>
      </c>
      <c r="L2383" s="273"/>
      <c r="M2383" s="394">
        <f>SUM(M2378:N2382)</f>
        <v>0</v>
      </c>
      <c r="N2383" s="273"/>
    </row>
    <row r="2384" spans="1:14" ht="12.75" customHeight="1" x14ac:dyDescent="0.25">
      <c r="A2384" s="4"/>
      <c r="B2384" s="4"/>
      <c r="C2384" s="4"/>
      <c r="D2384" s="4"/>
      <c r="E2384" s="4"/>
      <c r="F2384" s="4"/>
      <c r="G2384" s="4"/>
      <c r="H2384" s="4"/>
      <c r="I2384" s="4"/>
      <c r="J2384" s="4"/>
      <c r="K2384" s="4"/>
      <c r="L2384" s="4"/>
      <c r="M2384" s="4"/>
      <c r="N2384" s="4"/>
    </row>
    <row r="2385" spans="1:14" ht="12.75" customHeight="1" x14ac:dyDescent="0.2">
      <c r="A2385" s="398" t="s">
        <v>931</v>
      </c>
      <c r="B2385" s="271"/>
      <c r="C2385" s="271"/>
      <c r="D2385" s="271"/>
      <c r="E2385" s="271"/>
      <c r="F2385" s="271"/>
      <c r="G2385" s="271"/>
      <c r="H2385" s="271"/>
      <c r="I2385" s="271"/>
      <c r="J2385" s="271"/>
      <c r="K2385" s="271"/>
      <c r="L2385" s="271"/>
      <c r="M2385" s="271"/>
      <c r="N2385" s="273"/>
    </row>
    <row r="2386" spans="1:14" ht="12.75" customHeight="1" x14ac:dyDescent="0.2">
      <c r="A2386" s="396" t="s">
        <v>76</v>
      </c>
      <c r="B2386" s="271"/>
      <c r="C2386" s="271"/>
      <c r="D2386" s="271"/>
      <c r="E2386" s="271"/>
      <c r="F2386" s="271"/>
      <c r="G2386" s="273"/>
      <c r="H2386" s="88" t="s">
        <v>77</v>
      </c>
      <c r="I2386" s="399" t="s">
        <v>920</v>
      </c>
      <c r="J2386" s="273"/>
      <c r="K2386" s="90" t="s">
        <v>514</v>
      </c>
      <c r="L2386" s="91" t="s">
        <v>932</v>
      </c>
      <c r="M2386" s="399" t="s">
        <v>921</v>
      </c>
      <c r="N2386" s="273"/>
    </row>
    <row r="2387" spans="1:14" ht="12.75" customHeight="1" x14ac:dyDescent="0.25">
      <c r="A2387" s="393" t="s">
        <v>986</v>
      </c>
      <c r="B2387" s="271"/>
      <c r="C2387" s="271"/>
      <c r="D2387" s="271"/>
      <c r="E2387" s="271"/>
      <c r="F2387" s="271"/>
      <c r="G2387" s="273"/>
      <c r="H2387" s="29" t="str">
        <f>IF(A2387="","",VLOOKUP(A2387,AA_Cuadrillas,4,FALSE))</f>
        <v>Cuadrilla</v>
      </c>
      <c r="I2387" s="394">
        <f>IF(A2387="","",VLOOKUP(A2387,AA_Cuadrillas,5,FALSE))</f>
        <v>186763</v>
      </c>
      <c r="J2387" s="273"/>
      <c r="K2387" s="9">
        <f>IF(A2387="","",F.P!$I$2)</f>
        <v>1.88</v>
      </c>
      <c r="L2387" s="97">
        <v>0.33333333333333331</v>
      </c>
      <c r="M2387" s="394">
        <f t="shared" ref="M2387:M2391" si="320">IF(A2387="","",I2387*K2387*L2387)</f>
        <v>117038.14666666667</v>
      </c>
      <c r="N2387" s="273"/>
    </row>
    <row r="2388" spans="1:14" ht="12.75" customHeight="1" x14ac:dyDescent="0.25">
      <c r="A2388" s="393"/>
      <c r="B2388" s="271"/>
      <c r="C2388" s="271"/>
      <c r="D2388" s="271"/>
      <c r="E2388" s="271"/>
      <c r="F2388" s="271"/>
      <c r="G2388" s="273"/>
      <c r="H2388" s="29" t="str">
        <f>IF(A2388="","",VLOOKUP(A2388,AA_Cuadrillas,4,FALSE))</f>
        <v/>
      </c>
      <c r="I2388" s="394" t="str">
        <f>IF(A2388="","",VLOOKUP(A2388,AA_Cuadrillas,5,FALSE))</f>
        <v/>
      </c>
      <c r="J2388" s="273"/>
      <c r="K2388" s="9" t="str">
        <f>IF(A2388="","",F.P!$I$2)</f>
        <v/>
      </c>
      <c r="L2388" s="9"/>
      <c r="M2388" s="394" t="str">
        <f t="shared" si="320"/>
        <v/>
      </c>
      <c r="N2388" s="273"/>
    </row>
    <row r="2389" spans="1:14" ht="12.75" customHeight="1" x14ac:dyDescent="0.25">
      <c r="A2389" s="393"/>
      <c r="B2389" s="271"/>
      <c r="C2389" s="271"/>
      <c r="D2389" s="271"/>
      <c r="E2389" s="271"/>
      <c r="F2389" s="271"/>
      <c r="G2389" s="273"/>
      <c r="H2389" s="29" t="str">
        <f>IF(A2389="","",VLOOKUP(A2389,AA_Cuadrillas,4,FALSE))</f>
        <v/>
      </c>
      <c r="I2389" s="394" t="str">
        <f>IF(A2389="","",VLOOKUP(A2389,AA_Cuadrillas,5,FALSE))</f>
        <v/>
      </c>
      <c r="J2389" s="273"/>
      <c r="K2389" s="9" t="str">
        <f>IF(A2389="","",F.P!$I$2)</f>
        <v/>
      </c>
      <c r="L2389" s="37"/>
      <c r="M2389" s="394" t="str">
        <f t="shared" si="320"/>
        <v/>
      </c>
      <c r="N2389" s="273"/>
    </row>
    <row r="2390" spans="1:14" ht="12.75" customHeight="1" x14ac:dyDescent="0.25">
      <c r="A2390" s="393"/>
      <c r="B2390" s="271"/>
      <c r="C2390" s="271"/>
      <c r="D2390" s="271"/>
      <c r="E2390" s="271"/>
      <c r="F2390" s="271"/>
      <c r="G2390" s="273"/>
      <c r="H2390" s="29" t="str">
        <f>IF(A2390="","",VLOOKUP(A2390,AA_Cuadrillas,4,FALSE))</f>
        <v/>
      </c>
      <c r="I2390" s="394" t="str">
        <f>IF(A2390="","",VLOOKUP(A2390,AA_Cuadrillas,5,FALSE))</f>
        <v/>
      </c>
      <c r="J2390" s="273"/>
      <c r="K2390" s="9" t="str">
        <f>IF(A2390="","",F.P!$I$2)</f>
        <v/>
      </c>
      <c r="L2390" s="37"/>
      <c r="M2390" s="394" t="str">
        <f t="shared" si="320"/>
        <v/>
      </c>
      <c r="N2390" s="273"/>
    </row>
    <row r="2391" spans="1:14" ht="12.75" customHeight="1" x14ac:dyDescent="0.25">
      <c r="A2391" s="393"/>
      <c r="B2391" s="271"/>
      <c r="C2391" s="271"/>
      <c r="D2391" s="271"/>
      <c r="E2391" s="271"/>
      <c r="F2391" s="271"/>
      <c r="G2391" s="273"/>
      <c r="H2391" s="29" t="str">
        <f>IF(A2391="","",VLOOKUP(A2391,AA_Cuadrillas,4,FALSE))</f>
        <v/>
      </c>
      <c r="I2391" s="394" t="str">
        <f>IF(A2391="","",VLOOKUP(A2391,AA_Cuadrillas,5,FALSE))</f>
        <v/>
      </c>
      <c r="J2391" s="273"/>
      <c r="K2391" s="9" t="str">
        <f>IF(A2391="","",F.P!$I$2)</f>
        <v/>
      </c>
      <c r="L2391" s="37"/>
      <c r="M2391" s="394" t="str">
        <f t="shared" si="320"/>
        <v/>
      </c>
      <c r="N2391" s="273"/>
    </row>
    <row r="2392" spans="1:14" ht="12.75" customHeight="1" x14ac:dyDescent="0.25">
      <c r="A2392" s="4"/>
      <c r="B2392" s="4"/>
      <c r="C2392" s="4"/>
      <c r="D2392" s="4"/>
      <c r="E2392" s="4"/>
      <c r="F2392" s="4"/>
      <c r="G2392" s="4"/>
      <c r="H2392" s="4"/>
      <c r="I2392" s="4"/>
      <c r="J2392" s="4"/>
      <c r="K2392" s="396" t="s">
        <v>444</v>
      </c>
      <c r="L2392" s="273"/>
      <c r="M2392" s="394">
        <f>SUM(M2387:N2391)</f>
        <v>117038.14666666667</v>
      </c>
      <c r="N2392" s="273"/>
    </row>
    <row r="2393" spans="1:14" ht="12.75" customHeight="1" x14ac:dyDescent="0.2"/>
    <row r="2394" spans="1:14" ht="12.75" customHeight="1" x14ac:dyDescent="0.2">
      <c r="A2394" s="407" t="s">
        <v>152</v>
      </c>
      <c r="B2394" s="275"/>
      <c r="C2394" s="275"/>
      <c r="D2394" s="275"/>
      <c r="E2394" s="275"/>
      <c r="F2394" s="275"/>
      <c r="G2394" s="275"/>
      <c r="H2394" s="275"/>
      <c r="I2394" s="275"/>
      <c r="J2394" s="275"/>
      <c r="K2394" s="275"/>
      <c r="L2394" s="275"/>
      <c r="M2394" s="275"/>
      <c r="N2394" s="276"/>
    </row>
    <row r="2395" spans="1:14" ht="12.75" customHeight="1" x14ac:dyDescent="0.2">
      <c r="A2395" s="277"/>
      <c r="B2395" s="278"/>
      <c r="C2395" s="278"/>
      <c r="D2395" s="278"/>
      <c r="E2395" s="278"/>
      <c r="F2395" s="278"/>
      <c r="G2395" s="278"/>
      <c r="H2395" s="278"/>
      <c r="I2395" s="278"/>
      <c r="J2395" s="278"/>
      <c r="K2395" s="278"/>
      <c r="L2395" s="278"/>
      <c r="M2395" s="278"/>
      <c r="N2395" s="279"/>
    </row>
    <row r="2396" spans="1:14" ht="12.75" customHeight="1" x14ac:dyDescent="0.2">
      <c r="A2396" s="75"/>
      <c r="B2396" s="75"/>
      <c r="C2396" s="75"/>
      <c r="D2396" s="75"/>
      <c r="E2396" s="75"/>
      <c r="F2396" s="75"/>
      <c r="G2396" s="75"/>
      <c r="H2396" s="75"/>
      <c r="I2396" s="75"/>
      <c r="J2396" s="75"/>
      <c r="K2396" s="75"/>
      <c r="L2396" s="75"/>
      <c r="M2396" s="75"/>
      <c r="N2396" s="75"/>
    </row>
    <row r="2397" spans="1:14" ht="12.75" customHeight="1" x14ac:dyDescent="0.3">
      <c r="A2397" s="79" t="s">
        <v>669</v>
      </c>
      <c r="B2397" s="80" t="str">
        <f>A2394</f>
        <v>SUMINISTRO E INSTALACIÓN DE NIPLE DE 0,25M Ø4 EN HIERRO DUCTIL</v>
      </c>
      <c r="C2397" s="81" t="s">
        <v>916</v>
      </c>
      <c r="D2397" s="82" t="s">
        <v>999</v>
      </c>
      <c r="E2397" s="83" t="s">
        <v>445</v>
      </c>
      <c r="F2397" s="234">
        <f>(H2397+J2397+L2397+N2397)*1.3</f>
        <v>340539.82053000003</v>
      </c>
      <c r="G2397" s="83" t="s">
        <v>607</v>
      </c>
      <c r="H2397" s="86">
        <f>M2416</f>
        <v>877.78610000000015</v>
      </c>
      <c r="I2397" s="83" t="s">
        <v>918</v>
      </c>
      <c r="J2397" s="86">
        <f>M2407</f>
        <v>231924</v>
      </c>
      <c r="K2397" s="83" t="s">
        <v>609</v>
      </c>
      <c r="L2397" s="86">
        <f>M2425</f>
        <v>11596.2</v>
      </c>
      <c r="M2397" s="83" t="s">
        <v>610</v>
      </c>
      <c r="N2397" s="86">
        <f>M2434</f>
        <v>17555.722000000002</v>
      </c>
    </row>
    <row r="2398" spans="1:14" ht="12.75" customHeight="1" x14ac:dyDescent="0.25">
      <c r="A2398" s="87"/>
      <c r="B2398" s="87"/>
      <c r="C2398" s="87"/>
      <c r="D2398" s="87"/>
      <c r="E2398" s="87"/>
      <c r="F2398" s="87"/>
      <c r="G2398" s="87"/>
      <c r="J2398" s="87"/>
      <c r="K2398" s="215" t="s">
        <v>3217</v>
      </c>
      <c r="L2398" s="215">
        <f>+F2397*presup!$O$5</f>
        <v>442701.76668900007</v>
      </c>
      <c r="M2398" s="87"/>
      <c r="N2398" s="87"/>
    </row>
    <row r="2399" spans="1:14" ht="12.75" customHeight="1" x14ac:dyDescent="0.2">
      <c r="A2399" s="398" t="s">
        <v>919</v>
      </c>
      <c r="B2399" s="271"/>
      <c r="C2399" s="271"/>
      <c r="D2399" s="271"/>
      <c r="E2399" s="271"/>
      <c r="F2399" s="271"/>
      <c r="G2399" s="271"/>
      <c r="H2399" s="271"/>
      <c r="I2399" s="271"/>
      <c r="J2399" s="271"/>
      <c r="K2399" s="271"/>
      <c r="L2399" s="271"/>
      <c r="M2399" s="271"/>
      <c r="N2399" s="273"/>
    </row>
    <row r="2400" spans="1:14" ht="12.75" customHeight="1" x14ac:dyDescent="0.2">
      <c r="A2400" s="396" t="s">
        <v>76</v>
      </c>
      <c r="B2400" s="271"/>
      <c r="C2400" s="271"/>
      <c r="D2400" s="271"/>
      <c r="E2400" s="271"/>
      <c r="F2400" s="271"/>
      <c r="G2400" s="273"/>
      <c r="H2400" s="88" t="s">
        <v>77</v>
      </c>
      <c r="I2400" s="399" t="s">
        <v>920</v>
      </c>
      <c r="J2400" s="273"/>
      <c r="K2400" s="399" t="s">
        <v>453</v>
      </c>
      <c r="L2400" s="273"/>
      <c r="M2400" s="399" t="s">
        <v>921</v>
      </c>
      <c r="N2400" s="273"/>
    </row>
    <row r="2401" spans="1:14" ht="12.75" customHeight="1" x14ac:dyDescent="0.2">
      <c r="A2401" s="403" t="s">
        <v>1083</v>
      </c>
      <c r="B2401" s="271"/>
      <c r="C2401" s="271"/>
      <c r="D2401" s="271"/>
      <c r="E2401" s="271"/>
      <c r="F2401" s="271"/>
      <c r="G2401" s="273"/>
      <c r="H2401" s="29" t="str">
        <f t="shared" ref="H2401:H2406" si="321">IF(A2401="","",VLOOKUP(A2401,AA_Materiales,7,FALSE))</f>
        <v>Unidad</v>
      </c>
      <c r="I2401" s="394">
        <f t="shared" ref="I2401:I2406" si="322">IF(A2401="","",VLOOKUP(A2401,AA_Materiales,8,FALSE))</f>
        <v>231924</v>
      </c>
      <c r="J2401" s="273"/>
      <c r="K2401" s="395">
        <v>1</v>
      </c>
      <c r="L2401" s="273"/>
      <c r="M2401" s="394">
        <f t="shared" ref="M2401:M2406" si="323">IF(A2401="","",I2401*K2401)</f>
        <v>231924</v>
      </c>
      <c r="N2401" s="273"/>
    </row>
    <row r="2402" spans="1:14" ht="12.75" customHeight="1" x14ac:dyDescent="0.2">
      <c r="A2402" s="403"/>
      <c r="B2402" s="271"/>
      <c r="C2402" s="271"/>
      <c r="D2402" s="271"/>
      <c r="E2402" s="271"/>
      <c r="F2402" s="271"/>
      <c r="G2402" s="273"/>
      <c r="H2402" s="29" t="str">
        <f t="shared" si="321"/>
        <v/>
      </c>
      <c r="I2402" s="394" t="str">
        <f t="shared" si="322"/>
        <v/>
      </c>
      <c r="J2402" s="273"/>
      <c r="K2402" s="395"/>
      <c r="L2402" s="273"/>
      <c r="M2402" s="394" t="str">
        <f t="shared" si="323"/>
        <v/>
      </c>
      <c r="N2402" s="273"/>
    </row>
    <row r="2403" spans="1:14" ht="12.75" customHeight="1" x14ac:dyDescent="0.2">
      <c r="A2403" s="403"/>
      <c r="B2403" s="271"/>
      <c r="C2403" s="271"/>
      <c r="D2403" s="271"/>
      <c r="E2403" s="271"/>
      <c r="F2403" s="271"/>
      <c r="G2403" s="273"/>
      <c r="H2403" s="29" t="str">
        <f t="shared" si="321"/>
        <v/>
      </c>
      <c r="I2403" s="394" t="str">
        <f t="shared" si="322"/>
        <v/>
      </c>
      <c r="J2403" s="273"/>
      <c r="K2403" s="395"/>
      <c r="L2403" s="273"/>
      <c r="M2403" s="394" t="str">
        <f t="shared" si="323"/>
        <v/>
      </c>
      <c r="N2403" s="273"/>
    </row>
    <row r="2404" spans="1:14" ht="12.75" customHeight="1" x14ac:dyDescent="0.2">
      <c r="A2404" s="403"/>
      <c r="B2404" s="271"/>
      <c r="C2404" s="271"/>
      <c r="D2404" s="271"/>
      <c r="E2404" s="271"/>
      <c r="F2404" s="271"/>
      <c r="G2404" s="273"/>
      <c r="H2404" s="29" t="str">
        <f t="shared" si="321"/>
        <v/>
      </c>
      <c r="I2404" s="394" t="str">
        <f t="shared" si="322"/>
        <v/>
      </c>
      <c r="J2404" s="273"/>
      <c r="K2404" s="395"/>
      <c r="L2404" s="273"/>
      <c r="M2404" s="394" t="str">
        <f t="shared" si="323"/>
        <v/>
      </c>
      <c r="N2404" s="273"/>
    </row>
    <row r="2405" spans="1:14" ht="12.75" customHeight="1" x14ac:dyDescent="0.2">
      <c r="A2405" s="403"/>
      <c r="B2405" s="271"/>
      <c r="C2405" s="271"/>
      <c r="D2405" s="271"/>
      <c r="E2405" s="271"/>
      <c r="F2405" s="271"/>
      <c r="G2405" s="273"/>
      <c r="H2405" s="29" t="str">
        <f t="shared" si="321"/>
        <v/>
      </c>
      <c r="I2405" s="394" t="str">
        <f t="shared" si="322"/>
        <v/>
      </c>
      <c r="J2405" s="273"/>
      <c r="K2405" s="395"/>
      <c r="L2405" s="273"/>
      <c r="M2405" s="394" t="str">
        <f t="shared" si="323"/>
        <v/>
      </c>
      <c r="N2405" s="273"/>
    </row>
    <row r="2406" spans="1:14" ht="12.75" customHeight="1" x14ac:dyDescent="0.2">
      <c r="A2406" s="403"/>
      <c r="B2406" s="271"/>
      <c r="C2406" s="271"/>
      <c r="D2406" s="271"/>
      <c r="E2406" s="271"/>
      <c r="F2406" s="271"/>
      <c r="G2406" s="273"/>
      <c r="H2406" s="29" t="str">
        <f t="shared" si="321"/>
        <v/>
      </c>
      <c r="I2406" s="394" t="str">
        <f t="shared" si="322"/>
        <v/>
      </c>
      <c r="J2406" s="273"/>
      <c r="K2406" s="395"/>
      <c r="L2406" s="273"/>
      <c r="M2406" s="394" t="str">
        <f t="shared" si="323"/>
        <v/>
      </c>
      <c r="N2406" s="273"/>
    </row>
    <row r="2407" spans="1:14" ht="12.75" customHeight="1" x14ac:dyDescent="0.25">
      <c r="A2407" s="4"/>
      <c r="B2407" s="4"/>
      <c r="C2407" s="4"/>
      <c r="D2407" s="4"/>
      <c r="E2407" s="4"/>
      <c r="F2407" s="4"/>
      <c r="G2407" s="4"/>
      <c r="H2407" s="4"/>
      <c r="I2407" s="4"/>
      <c r="J2407" s="4"/>
      <c r="K2407" s="396" t="s">
        <v>444</v>
      </c>
      <c r="L2407" s="273"/>
      <c r="M2407" s="394">
        <f>SUM(M2401:N2406)</f>
        <v>231924</v>
      </c>
      <c r="N2407" s="273"/>
    </row>
    <row r="2408" spans="1:14" ht="12.75" customHeight="1" x14ac:dyDescent="0.25">
      <c r="A2408" s="4"/>
      <c r="B2408" s="4"/>
      <c r="C2408" s="4"/>
      <c r="D2408" s="4"/>
      <c r="E2408" s="4"/>
      <c r="F2408" s="4"/>
      <c r="G2408" s="4"/>
      <c r="H2408" s="4"/>
      <c r="I2408" s="4"/>
      <c r="J2408" s="4"/>
      <c r="K2408" s="4"/>
      <c r="L2408" s="4"/>
      <c r="M2408" s="4"/>
      <c r="N2408" s="4"/>
    </row>
    <row r="2409" spans="1:14" ht="12.75" customHeight="1" x14ac:dyDescent="0.2">
      <c r="A2409" s="398" t="s">
        <v>926</v>
      </c>
      <c r="B2409" s="271"/>
      <c r="C2409" s="271"/>
      <c r="D2409" s="271"/>
      <c r="E2409" s="271"/>
      <c r="F2409" s="271"/>
      <c r="G2409" s="271"/>
      <c r="H2409" s="271"/>
      <c r="I2409" s="271"/>
      <c r="J2409" s="271"/>
      <c r="K2409" s="271"/>
      <c r="L2409" s="271"/>
      <c r="M2409" s="271"/>
      <c r="N2409" s="273"/>
    </row>
    <row r="2410" spans="1:14" ht="12.75" customHeight="1" x14ac:dyDescent="0.2">
      <c r="A2410" s="396" t="s">
        <v>76</v>
      </c>
      <c r="B2410" s="271"/>
      <c r="C2410" s="271"/>
      <c r="D2410" s="271"/>
      <c r="E2410" s="271"/>
      <c r="F2410" s="271"/>
      <c r="G2410" s="273"/>
      <c r="H2410" s="88" t="s">
        <v>77</v>
      </c>
      <c r="I2410" s="399" t="s">
        <v>920</v>
      </c>
      <c r="J2410" s="273"/>
      <c r="K2410" s="399" t="s">
        <v>453</v>
      </c>
      <c r="L2410" s="273"/>
      <c r="M2410" s="399" t="s">
        <v>921</v>
      </c>
      <c r="N2410" s="273"/>
    </row>
    <row r="2411" spans="1:14" ht="12.75" customHeight="1" x14ac:dyDescent="0.2">
      <c r="A2411" s="400" t="s">
        <v>927</v>
      </c>
      <c r="B2411" s="271"/>
      <c r="C2411" s="271"/>
      <c r="D2411" s="271"/>
      <c r="E2411" s="271"/>
      <c r="F2411" s="271"/>
      <c r="G2411" s="273"/>
      <c r="H2411" s="29" t="str">
        <f>IF(A2411="","",VLOOKUP(A2411,AA_Equipos,7,FALSE))</f>
        <v>% M.O.</v>
      </c>
      <c r="I2411" s="394">
        <f>+M2434</f>
        <v>17555.722000000002</v>
      </c>
      <c r="J2411" s="273"/>
      <c r="K2411" s="404">
        <v>0.05</v>
      </c>
      <c r="L2411" s="273"/>
      <c r="M2411" s="394">
        <f t="shared" ref="M2411:M2415" si="324">IF(A2411="","",I2411*K2411)</f>
        <v>877.78610000000015</v>
      </c>
      <c r="N2411" s="273"/>
    </row>
    <row r="2412" spans="1:14" ht="12.75" customHeight="1" x14ac:dyDescent="0.2">
      <c r="A2412" s="403"/>
      <c r="B2412" s="271"/>
      <c r="C2412" s="271"/>
      <c r="D2412" s="271"/>
      <c r="E2412" s="271"/>
      <c r="F2412" s="271"/>
      <c r="G2412" s="273"/>
      <c r="H2412" s="29" t="str">
        <f>IF(A2412="","",VLOOKUP(A2412,AA_Equipos,7,FALSE))</f>
        <v/>
      </c>
      <c r="I2412" s="394" t="str">
        <f>IF(A2412="","",VLOOKUP(A2412,AA_Equipos,8,FALSE))</f>
        <v/>
      </c>
      <c r="J2412" s="273"/>
      <c r="K2412" s="402"/>
      <c r="L2412" s="273"/>
      <c r="M2412" s="394" t="str">
        <f t="shared" si="324"/>
        <v/>
      </c>
      <c r="N2412" s="273"/>
    </row>
    <row r="2413" spans="1:14" ht="12.75" customHeight="1" x14ac:dyDescent="0.2">
      <c r="A2413" s="400"/>
      <c r="B2413" s="271"/>
      <c r="C2413" s="271"/>
      <c r="D2413" s="271"/>
      <c r="E2413" s="271"/>
      <c r="F2413" s="271"/>
      <c r="G2413" s="273"/>
      <c r="H2413" s="29" t="str">
        <f>IF(A2413="","",VLOOKUP(A2413,AA_Equipos,7,FALSE))</f>
        <v/>
      </c>
      <c r="I2413" s="394" t="str">
        <f>IF(A2413="","",VLOOKUP(A2413,AA_Equipos,8,FALSE))</f>
        <v/>
      </c>
      <c r="J2413" s="273"/>
      <c r="K2413" s="401"/>
      <c r="L2413" s="273"/>
      <c r="M2413" s="394" t="str">
        <f t="shared" si="324"/>
        <v/>
      </c>
      <c r="N2413" s="273"/>
    </row>
    <row r="2414" spans="1:14" ht="12.75" customHeight="1" x14ac:dyDescent="0.2">
      <c r="A2414" s="400"/>
      <c r="B2414" s="271"/>
      <c r="C2414" s="271"/>
      <c r="D2414" s="271"/>
      <c r="E2414" s="271"/>
      <c r="F2414" s="271"/>
      <c r="G2414" s="273"/>
      <c r="H2414" s="29" t="str">
        <f>IF(A2414="","",VLOOKUP(A2414,AA_Equipos,7,FALSE))</f>
        <v/>
      </c>
      <c r="I2414" s="394" t="str">
        <f>IF(A2414="","",VLOOKUP(A2414,AA_Equipos,8,FALSE))</f>
        <v/>
      </c>
      <c r="J2414" s="273"/>
      <c r="K2414" s="395"/>
      <c r="L2414" s="273"/>
      <c r="M2414" s="394" t="str">
        <f t="shared" si="324"/>
        <v/>
      </c>
      <c r="N2414" s="273"/>
    </row>
    <row r="2415" spans="1:14" ht="12.75" customHeight="1" x14ac:dyDescent="0.2">
      <c r="A2415" s="400"/>
      <c r="B2415" s="271"/>
      <c r="C2415" s="271"/>
      <c r="D2415" s="271"/>
      <c r="E2415" s="271"/>
      <c r="F2415" s="271"/>
      <c r="G2415" s="273"/>
      <c r="H2415" s="29" t="str">
        <f>IF(A2415="","",VLOOKUP(A2415,AA_Equipos,7,FALSE))</f>
        <v/>
      </c>
      <c r="I2415" s="394" t="str">
        <f>IF(A2415="","",VLOOKUP(A2415,AA_Equipos,8,FALSE))</f>
        <v/>
      </c>
      <c r="J2415" s="273"/>
      <c r="K2415" s="395"/>
      <c r="L2415" s="273"/>
      <c r="M2415" s="394" t="str">
        <f t="shared" si="324"/>
        <v/>
      </c>
      <c r="N2415" s="273"/>
    </row>
    <row r="2416" spans="1:14" ht="12.75" customHeight="1" x14ac:dyDescent="0.25">
      <c r="A2416" s="4"/>
      <c r="B2416" s="4"/>
      <c r="C2416" s="4"/>
      <c r="D2416" s="4"/>
      <c r="E2416" s="4"/>
      <c r="F2416" s="4"/>
      <c r="G2416" s="4"/>
      <c r="H2416" s="4"/>
      <c r="I2416" s="4"/>
      <c r="J2416" s="4"/>
      <c r="K2416" s="396" t="s">
        <v>444</v>
      </c>
      <c r="L2416" s="273"/>
      <c r="M2416" s="394">
        <f>SUM(M2411:N2415)</f>
        <v>877.78610000000015</v>
      </c>
      <c r="N2416" s="273"/>
    </row>
    <row r="2417" spans="1:14" ht="12.75" customHeight="1" x14ac:dyDescent="0.25">
      <c r="A2417" s="4"/>
      <c r="B2417" s="4"/>
      <c r="C2417" s="4"/>
      <c r="D2417" s="4"/>
      <c r="E2417" s="4"/>
      <c r="F2417" s="4"/>
      <c r="G2417" s="4"/>
      <c r="H2417" s="4"/>
      <c r="I2417" s="4"/>
      <c r="J2417" s="4"/>
      <c r="K2417" s="4"/>
      <c r="L2417" s="4"/>
      <c r="M2417" s="4"/>
      <c r="N2417" s="4"/>
    </row>
    <row r="2418" spans="1:14" ht="12.75" customHeight="1" x14ac:dyDescent="0.2">
      <c r="A2418" s="398" t="s">
        <v>929</v>
      </c>
      <c r="B2418" s="271"/>
      <c r="C2418" s="271"/>
      <c r="D2418" s="271"/>
      <c r="E2418" s="271"/>
      <c r="F2418" s="271"/>
      <c r="G2418" s="271"/>
      <c r="H2418" s="271"/>
      <c r="I2418" s="271"/>
      <c r="J2418" s="271"/>
      <c r="K2418" s="271"/>
      <c r="L2418" s="271"/>
      <c r="M2418" s="271"/>
      <c r="N2418" s="273"/>
    </row>
    <row r="2419" spans="1:14" ht="12.75" customHeight="1" x14ac:dyDescent="0.2">
      <c r="A2419" s="396" t="s">
        <v>76</v>
      </c>
      <c r="B2419" s="271"/>
      <c r="C2419" s="271"/>
      <c r="D2419" s="271"/>
      <c r="E2419" s="271"/>
      <c r="F2419" s="271"/>
      <c r="G2419" s="273"/>
      <c r="H2419" s="88" t="s">
        <v>77</v>
      </c>
      <c r="I2419" s="399" t="s">
        <v>920</v>
      </c>
      <c r="J2419" s="273"/>
      <c r="K2419" s="399" t="s">
        <v>453</v>
      </c>
      <c r="L2419" s="273"/>
      <c r="M2419" s="399" t="s">
        <v>921</v>
      </c>
      <c r="N2419" s="273"/>
    </row>
    <row r="2420" spans="1:14" ht="12.75" customHeight="1" x14ac:dyDescent="0.2">
      <c r="A2420" s="400" t="s">
        <v>966</v>
      </c>
      <c r="B2420" s="271"/>
      <c r="C2420" s="271"/>
      <c r="D2420" s="271"/>
      <c r="E2420" s="271"/>
      <c r="F2420" s="271"/>
      <c r="G2420" s="273"/>
      <c r="H2420" s="29" t="s">
        <v>950</v>
      </c>
      <c r="I2420" s="394">
        <f>+M2407</f>
        <v>231924</v>
      </c>
      <c r="J2420" s="273"/>
      <c r="K2420" s="404">
        <v>0.05</v>
      </c>
      <c r="L2420" s="273"/>
      <c r="M2420" s="394">
        <f t="shared" ref="M2420:M2424" si="325">IF(A2420="","",I2420*K2420)</f>
        <v>11596.2</v>
      </c>
      <c r="N2420" s="273"/>
    </row>
    <row r="2421" spans="1:14" ht="12.75" customHeight="1" x14ac:dyDescent="0.2">
      <c r="A2421" s="403"/>
      <c r="B2421" s="271"/>
      <c r="C2421" s="271"/>
      <c r="D2421" s="271"/>
      <c r="E2421" s="271"/>
      <c r="F2421" s="271"/>
      <c r="G2421" s="273"/>
      <c r="H2421" s="29"/>
      <c r="I2421" s="394"/>
      <c r="J2421" s="273"/>
      <c r="K2421" s="404"/>
      <c r="L2421" s="273"/>
      <c r="M2421" s="394" t="str">
        <f t="shared" si="325"/>
        <v/>
      </c>
      <c r="N2421" s="273"/>
    </row>
    <row r="2422" spans="1:14" ht="12.75" customHeight="1" x14ac:dyDescent="0.2">
      <c r="A2422" s="400"/>
      <c r="B2422" s="271"/>
      <c r="C2422" s="271"/>
      <c r="D2422" s="271"/>
      <c r="E2422" s="271"/>
      <c r="F2422" s="271"/>
      <c r="G2422" s="273"/>
      <c r="H2422" s="29"/>
      <c r="I2422" s="394"/>
      <c r="J2422" s="273"/>
      <c r="K2422" s="395"/>
      <c r="L2422" s="273"/>
      <c r="M2422" s="394" t="str">
        <f t="shared" si="325"/>
        <v/>
      </c>
      <c r="N2422" s="273"/>
    </row>
    <row r="2423" spans="1:14" ht="12.75" customHeight="1" x14ac:dyDescent="0.2">
      <c r="A2423" s="400"/>
      <c r="B2423" s="271"/>
      <c r="C2423" s="271"/>
      <c r="D2423" s="271"/>
      <c r="E2423" s="271"/>
      <c r="F2423" s="271"/>
      <c r="G2423" s="273"/>
      <c r="H2423" s="29"/>
      <c r="I2423" s="394"/>
      <c r="J2423" s="273"/>
      <c r="K2423" s="395"/>
      <c r="L2423" s="273"/>
      <c r="M2423" s="394" t="str">
        <f t="shared" si="325"/>
        <v/>
      </c>
      <c r="N2423" s="273"/>
    </row>
    <row r="2424" spans="1:14" ht="12.75" customHeight="1" x14ac:dyDescent="0.2">
      <c r="A2424" s="400"/>
      <c r="B2424" s="271"/>
      <c r="C2424" s="271"/>
      <c r="D2424" s="271"/>
      <c r="E2424" s="271"/>
      <c r="F2424" s="271"/>
      <c r="G2424" s="273"/>
      <c r="H2424" s="29"/>
      <c r="I2424" s="394"/>
      <c r="J2424" s="273"/>
      <c r="K2424" s="395"/>
      <c r="L2424" s="273"/>
      <c r="M2424" s="394" t="str">
        <f t="shared" si="325"/>
        <v/>
      </c>
      <c r="N2424" s="273"/>
    </row>
    <row r="2425" spans="1:14" ht="12.75" customHeight="1" x14ac:dyDescent="0.25">
      <c r="A2425" s="4"/>
      <c r="B2425" s="4"/>
      <c r="C2425" s="4"/>
      <c r="D2425" s="4"/>
      <c r="E2425" s="4"/>
      <c r="F2425" s="4"/>
      <c r="G2425" s="4"/>
      <c r="H2425" s="4"/>
      <c r="I2425" s="4"/>
      <c r="J2425" s="4"/>
      <c r="K2425" s="396" t="s">
        <v>444</v>
      </c>
      <c r="L2425" s="273"/>
      <c r="M2425" s="394">
        <f>SUM(M2420:N2424)</f>
        <v>11596.2</v>
      </c>
      <c r="N2425" s="273"/>
    </row>
    <row r="2426" spans="1:14" ht="12.75" customHeight="1" x14ac:dyDescent="0.25">
      <c r="A2426" s="4"/>
      <c r="B2426" s="4"/>
      <c r="C2426" s="4"/>
      <c r="D2426" s="4"/>
      <c r="E2426" s="4"/>
      <c r="F2426" s="4"/>
      <c r="G2426" s="4"/>
      <c r="H2426" s="4"/>
      <c r="I2426" s="4"/>
      <c r="J2426" s="4"/>
      <c r="K2426" s="4"/>
      <c r="L2426" s="4"/>
      <c r="M2426" s="4"/>
      <c r="N2426" s="4"/>
    </row>
    <row r="2427" spans="1:14" ht="12.75" customHeight="1" x14ac:dyDescent="0.2">
      <c r="A2427" s="398" t="s">
        <v>931</v>
      </c>
      <c r="B2427" s="271"/>
      <c r="C2427" s="271"/>
      <c r="D2427" s="271"/>
      <c r="E2427" s="271"/>
      <c r="F2427" s="271"/>
      <c r="G2427" s="271"/>
      <c r="H2427" s="271"/>
      <c r="I2427" s="271"/>
      <c r="J2427" s="271"/>
      <c r="K2427" s="271"/>
      <c r="L2427" s="271"/>
      <c r="M2427" s="271"/>
      <c r="N2427" s="273"/>
    </row>
    <row r="2428" spans="1:14" ht="12.75" customHeight="1" x14ac:dyDescent="0.2">
      <c r="A2428" s="396" t="s">
        <v>76</v>
      </c>
      <c r="B2428" s="271"/>
      <c r="C2428" s="271"/>
      <c r="D2428" s="271"/>
      <c r="E2428" s="271"/>
      <c r="F2428" s="271"/>
      <c r="G2428" s="273"/>
      <c r="H2428" s="88" t="s">
        <v>77</v>
      </c>
      <c r="I2428" s="399" t="s">
        <v>920</v>
      </c>
      <c r="J2428" s="273"/>
      <c r="K2428" s="90" t="s">
        <v>514</v>
      </c>
      <c r="L2428" s="91" t="s">
        <v>932</v>
      </c>
      <c r="M2428" s="399" t="s">
        <v>921</v>
      </c>
      <c r="N2428" s="273"/>
    </row>
    <row r="2429" spans="1:14" ht="12.75" customHeight="1" x14ac:dyDescent="0.25">
      <c r="A2429" s="393" t="s">
        <v>986</v>
      </c>
      <c r="B2429" s="271"/>
      <c r="C2429" s="271"/>
      <c r="D2429" s="271"/>
      <c r="E2429" s="271"/>
      <c r="F2429" s="271"/>
      <c r="G2429" s="273"/>
      <c r="H2429" s="29" t="str">
        <f>IF(A2429="","",VLOOKUP(A2429,AA_Cuadrillas,4,FALSE))</f>
        <v>Cuadrilla</v>
      </c>
      <c r="I2429" s="394">
        <f>IF(A2429="","",VLOOKUP(A2429,AA_Cuadrillas,5,FALSE))</f>
        <v>186763</v>
      </c>
      <c r="J2429" s="273"/>
      <c r="K2429" s="9">
        <f>IF(A2429="","",F.P!$I$2)</f>
        <v>1.88</v>
      </c>
      <c r="L2429" s="97">
        <v>0.05</v>
      </c>
      <c r="M2429" s="394">
        <f t="shared" ref="M2429:M2433" si="326">IF(A2429="","",I2429*K2429*L2429)</f>
        <v>17555.722000000002</v>
      </c>
      <c r="N2429" s="273"/>
    </row>
    <row r="2430" spans="1:14" ht="12.75" customHeight="1" x14ac:dyDescent="0.25">
      <c r="A2430" s="393"/>
      <c r="B2430" s="271"/>
      <c r="C2430" s="271"/>
      <c r="D2430" s="271"/>
      <c r="E2430" s="271"/>
      <c r="F2430" s="271"/>
      <c r="G2430" s="273"/>
      <c r="H2430" s="29" t="str">
        <f>IF(A2430="","",VLOOKUP(A2430,AA_Cuadrillas,4,FALSE))</f>
        <v/>
      </c>
      <c r="I2430" s="394" t="str">
        <f>IF(A2430="","",VLOOKUP(A2430,AA_Cuadrillas,5,FALSE))</f>
        <v/>
      </c>
      <c r="J2430" s="273"/>
      <c r="K2430" s="9" t="str">
        <f>IF(A2430="","",F.P!$I$2)</f>
        <v/>
      </c>
      <c r="L2430" s="9"/>
      <c r="M2430" s="394" t="str">
        <f t="shared" si="326"/>
        <v/>
      </c>
      <c r="N2430" s="273"/>
    </row>
    <row r="2431" spans="1:14" ht="12.75" customHeight="1" x14ac:dyDescent="0.25">
      <c r="A2431" s="393"/>
      <c r="B2431" s="271"/>
      <c r="C2431" s="271"/>
      <c r="D2431" s="271"/>
      <c r="E2431" s="271"/>
      <c r="F2431" s="271"/>
      <c r="G2431" s="273"/>
      <c r="H2431" s="29" t="str">
        <f>IF(A2431="","",VLOOKUP(A2431,AA_Cuadrillas,4,FALSE))</f>
        <v/>
      </c>
      <c r="I2431" s="394" t="str">
        <f>IF(A2431="","",VLOOKUP(A2431,AA_Cuadrillas,5,FALSE))</f>
        <v/>
      </c>
      <c r="J2431" s="273"/>
      <c r="K2431" s="9" t="str">
        <f>IF(A2431="","",F.P!$I$2)</f>
        <v/>
      </c>
      <c r="L2431" s="37"/>
      <c r="M2431" s="394" t="str">
        <f t="shared" si="326"/>
        <v/>
      </c>
      <c r="N2431" s="273"/>
    </row>
    <row r="2432" spans="1:14" ht="12.75" customHeight="1" x14ac:dyDescent="0.25">
      <c r="A2432" s="393"/>
      <c r="B2432" s="271"/>
      <c r="C2432" s="271"/>
      <c r="D2432" s="271"/>
      <c r="E2432" s="271"/>
      <c r="F2432" s="271"/>
      <c r="G2432" s="273"/>
      <c r="H2432" s="29" t="str">
        <f>IF(A2432="","",VLOOKUP(A2432,AA_Cuadrillas,4,FALSE))</f>
        <v/>
      </c>
      <c r="I2432" s="394" t="str">
        <f>IF(A2432="","",VLOOKUP(A2432,AA_Cuadrillas,5,FALSE))</f>
        <v/>
      </c>
      <c r="J2432" s="273"/>
      <c r="K2432" s="9" t="str">
        <f>IF(A2432="","",F.P!$I$2)</f>
        <v/>
      </c>
      <c r="L2432" s="37"/>
      <c r="M2432" s="394" t="str">
        <f t="shared" si="326"/>
        <v/>
      </c>
      <c r="N2432" s="273"/>
    </row>
    <row r="2433" spans="1:14" ht="12.75" customHeight="1" x14ac:dyDescent="0.25">
      <c r="A2433" s="393"/>
      <c r="B2433" s="271"/>
      <c r="C2433" s="271"/>
      <c r="D2433" s="271"/>
      <c r="E2433" s="271"/>
      <c r="F2433" s="271"/>
      <c r="G2433" s="273"/>
      <c r="H2433" s="29" t="str">
        <f>IF(A2433="","",VLOOKUP(A2433,AA_Cuadrillas,4,FALSE))</f>
        <v/>
      </c>
      <c r="I2433" s="394" t="str">
        <f>IF(A2433="","",VLOOKUP(A2433,AA_Cuadrillas,5,FALSE))</f>
        <v/>
      </c>
      <c r="J2433" s="273"/>
      <c r="K2433" s="9" t="str">
        <f>IF(A2433="","",F.P!$I$2)</f>
        <v/>
      </c>
      <c r="L2433" s="37"/>
      <c r="M2433" s="394" t="str">
        <f t="shared" si="326"/>
        <v/>
      </c>
      <c r="N2433" s="273"/>
    </row>
    <row r="2434" spans="1:14" ht="12.75" customHeight="1" x14ac:dyDescent="0.25">
      <c r="A2434" s="4"/>
      <c r="B2434" s="4"/>
      <c r="C2434" s="4"/>
      <c r="D2434" s="4"/>
      <c r="E2434" s="4"/>
      <c r="F2434" s="4"/>
      <c r="G2434" s="4"/>
      <c r="H2434" s="4"/>
      <c r="I2434" s="4"/>
      <c r="J2434" s="4"/>
      <c r="K2434" s="396" t="s">
        <v>444</v>
      </c>
      <c r="L2434" s="273"/>
      <c r="M2434" s="394">
        <f>SUM(M2429:N2433)</f>
        <v>17555.722000000002</v>
      </c>
      <c r="N2434" s="273"/>
    </row>
    <row r="2435" spans="1:14" ht="12.75" customHeight="1" x14ac:dyDescent="0.2"/>
    <row r="2436" spans="1:14" ht="12.75" customHeight="1" x14ac:dyDescent="0.2">
      <c r="A2436" s="407" t="s">
        <v>1084</v>
      </c>
      <c r="B2436" s="275"/>
      <c r="C2436" s="275"/>
      <c r="D2436" s="275"/>
      <c r="E2436" s="275"/>
      <c r="F2436" s="275"/>
      <c r="G2436" s="275"/>
      <c r="H2436" s="275"/>
      <c r="I2436" s="275"/>
      <c r="J2436" s="275"/>
      <c r="K2436" s="275"/>
      <c r="L2436" s="275"/>
      <c r="M2436" s="275"/>
      <c r="N2436" s="276"/>
    </row>
    <row r="2437" spans="1:14" ht="12.75" customHeight="1" x14ac:dyDescent="0.2">
      <c r="A2437" s="277"/>
      <c r="B2437" s="278"/>
      <c r="C2437" s="278"/>
      <c r="D2437" s="278"/>
      <c r="E2437" s="278"/>
      <c r="F2437" s="278"/>
      <c r="G2437" s="278"/>
      <c r="H2437" s="278"/>
      <c r="I2437" s="278"/>
      <c r="J2437" s="278"/>
      <c r="K2437" s="278"/>
      <c r="L2437" s="278"/>
      <c r="M2437" s="278"/>
      <c r="N2437" s="279"/>
    </row>
    <row r="2438" spans="1:14" s="219" customFormat="1" ht="12.75" customHeight="1" x14ac:dyDescent="0.2">
      <c r="A2438" s="218"/>
      <c r="B2438" s="218"/>
      <c r="C2438" s="218"/>
      <c r="D2438" s="218"/>
      <c r="E2438" s="218"/>
      <c r="F2438" s="218"/>
      <c r="G2438" s="218"/>
      <c r="H2438" s="218"/>
      <c r="I2438" s="218"/>
      <c r="J2438" s="218"/>
      <c r="K2438" s="218"/>
      <c r="L2438" s="218"/>
      <c r="M2438" s="218"/>
      <c r="N2438" s="218"/>
    </row>
    <row r="2439" spans="1:14" ht="12.75" customHeight="1" x14ac:dyDescent="0.3">
      <c r="A2439" s="79" t="s">
        <v>670</v>
      </c>
      <c r="B2439" s="80" t="str">
        <f>A2436</f>
        <v>SUMINISTRO E INSTALACIÓN DE NIPLE DE 0,25 M Ø6 EN HIERRO DUCTIL</v>
      </c>
      <c r="C2439" s="81" t="s">
        <v>916</v>
      </c>
      <c r="D2439" s="82" t="s">
        <v>999</v>
      </c>
      <c r="E2439" s="83" t="s">
        <v>445</v>
      </c>
      <c r="F2439" s="86">
        <f>H2439+J2439+L2439+N2439</f>
        <v>0</v>
      </c>
      <c r="G2439" s="83" t="s">
        <v>607</v>
      </c>
      <c r="H2439" s="86">
        <f>M2449</f>
        <v>0</v>
      </c>
      <c r="I2439" s="83" t="s">
        <v>918</v>
      </c>
      <c r="J2439" s="86">
        <f>M2458</f>
        <v>0</v>
      </c>
      <c r="K2439" s="83" t="s">
        <v>609</v>
      </c>
      <c r="L2439" s="86">
        <f>M2467</f>
        <v>0</v>
      </c>
      <c r="M2439" s="83" t="s">
        <v>610</v>
      </c>
      <c r="N2439" s="86">
        <f>M2476</f>
        <v>0</v>
      </c>
    </row>
    <row r="2440" spans="1:14" ht="12.75" customHeight="1" x14ac:dyDescent="0.25">
      <c r="A2440" s="87"/>
      <c r="B2440" s="87"/>
      <c r="C2440" s="87"/>
      <c r="D2440" s="87"/>
      <c r="E2440" s="87"/>
      <c r="F2440" s="87"/>
      <c r="G2440" s="87"/>
      <c r="J2440" s="87"/>
      <c r="K2440" s="215" t="s">
        <v>3217</v>
      </c>
      <c r="L2440" s="215">
        <f>+F2439*presup!$O$5</f>
        <v>0</v>
      </c>
      <c r="M2440" s="87"/>
      <c r="N2440" s="87"/>
    </row>
    <row r="2441" spans="1:14" ht="12.75" customHeight="1" x14ac:dyDescent="0.2">
      <c r="A2441" s="398" t="s">
        <v>919</v>
      </c>
      <c r="B2441" s="271"/>
      <c r="C2441" s="271"/>
      <c r="D2441" s="271"/>
      <c r="E2441" s="271"/>
      <c r="F2441" s="271"/>
      <c r="G2441" s="271"/>
      <c r="H2441" s="271"/>
      <c r="I2441" s="271"/>
      <c r="J2441" s="271"/>
      <c r="K2441" s="271"/>
      <c r="L2441" s="271"/>
      <c r="M2441" s="271"/>
      <c r="N2441" s="273"/>
    </row>
    <row r="2442" spans="1:14" ht="12.75" customHeight="1" x14ac:dyDescent="0.2">
      <c r="A2442" s="396" t="s">
        <v>76</v>
      </c>
      <c r="B2442" s="271"/>
      <c r="C2442" s="271"/>
      <c r="D2442" s="271"/>
      <c r="E2442" s="271"/>
      <c r="F2442" s="271"/>
      <c r="G2442" s="273"/>
      <c r="H2442" s="88" t="s">
        <v>77</v>
      </c>
      <c r="I2442" s="399" t="s">
        <v>920</v>
      </c>
      <c r="J2442" s="273"/>
      <c r="K2442" s="399" t="s">
        <v>453</v>
      </c>
      <c r="L2442" s="273"/>
      <c r="M2442" s="399" t="s">
        <v>921</v>
      </c>
      <c r="N2442" s="273"/>
    </row>
    <row r="2443" spans="1:14" ht="12.75" customHeight="1" x14ac:dyDescent="0.2">
      <c r="A2443" s="403" t="s">
        <v>1085</v>
      </c>
      <c r="B2443" s="271"/>
      <c r="C2443" s="271"/>
      <c r="D2443" s="271"/>
      <c r="E2443" s="271"/>
      <c r="F2443" s="271"/>
      <c r="G2443" s="273"/>
      <c r="H2443" s="29" t="str">
        <f t="shared" ref="H2443:H2448" si="327">IF(A2443="","",VLOOKUP(A2443,AA_Materiales,7,FALSE))</f>
        <v>Unidad</v>
      </c>
      <c r="I2443" s="394">
        <f t="shared" ref="I2443:I2448" si="328">IF(A2443="","",VLOOKUP(A2443,AA_Materiales,8,FALSE))</f>
        <v>0</v>
      </c>
      <c r="J2443" s="273"/>
      <c r="K2443" s="395">
        <v>1</v>
      </c>
      <c r="L2443" s="273"/>
      <c r="M2443" s="394">
        <f t="shared" ref="M2443:M2448" si="329">IF(A2443="","",I2443*K2443)</f>
        <v>0</v>
      </c>
      <c r="N2443" s="273"/>
    </row>
    <row r="2444" spans="1:14" ht="12.75" customHeight="1" x14ac:dyDescent="0.2">
      <c r="A2444" s="403"/>
      <c r="B2444" s="271"/>
      <c r="C2444" s="271"/>
      <c r="D2444" s="271"/>
      <c r="E2444" s="271"/>
      <c r="F2444" s="271"/>
      <c r="G2444" s="273"/>
      <c r="H2444" s="29" t="str">
        <f t="shared" si="327"/>
        <v/>
      </c>
      <c r="I2444" s="394" t="str">
        <f t="shared" si="328"/>
        <v/>
      </c>
      <c r="J2444" s="273"/>
      <c r="K2444" s="395"/>
      <c r="L2444" s="273"/>
      <c r="M2444" s="394" t="str">
        <f t="shared" si="329"/>
        <v/>
      </c>
      <c r="N2444" s="273"/>
    </row>
    <row r="2445" spans="1:14" ht="12.75" customHeight="1" x14ac:dyDescent="0.2">
      <c r="A2445" s="403"/>
      <c r="B2445" s="271"/>
      <c r="C2445" s="271"/>
      <c r="D2445" s="271"/>
      <c r="E2445" s="271"/>
      <c r="F2445" s="271"/>
      <c r="G2445" s="273"/>
      <c r="H2445" s="29" t="str">
        <f t="shared" si="327"/>
        <v/>
      </c>
      <c r="I2445" s="394" t="str">
        <f t="shared" si="328"/>
        <v/>
      </c>
      <c r="J2445" s="273"/>
      <c r="K2445" s="395"/>
      <c r="L2445" s="273"/>
      <c r="M2445" s="394" t="str">
        <f t="shared" si="329"/>
        <v/>
      </c>
      <c r="N2445" s="273"/>
    </row>
    <row r="2446" spans="1:14" ht="12.75" customHeight="1" x14ac:dyDescent="0.2">
      <c r="A2446" s="403"/>
      <c r="B2446" s="271"/>
      <c r="C2446" s="271"/>
      <c r="D2446" s="271"/>
      <c r="E2446" s="271"/>
      <c r="F2446" s="271"/>
      <c r="G2446" s="273"/>
      <c r="H2446" s="29" t="str">
        <f t="shared" si="327"/>
        <v/>
      </c>
      <c r="I2446" s="394" t="str">
        <f t="shared" si="328"/>
        <v/>
      </c>
      <c r="J2446" s="273"/>
      <c r="K2446" s="395"/>
      <c r="L2446" s="273"/>
      <c r="M2446" s="394" t="str">
        <f t="shared" si="329"/>
        <v/>
      </c>
      <c r="N2446" s="273"/>
    </row>
    <row r="2447" spans="1:14" ht="12.75" customHeight="1" x14ac:dyDescent="0.2">
      <c r="A2447" s="403"/>
      <c r="B2447" s="271"/>
      <c r="C2447" s="271"/>
      <c r="D2447" s="271"/>
      <c r="E2447" s="271"/>
      <c r="F2447" s="271"/>
      <c r="G2447" s="273"/>
      <c r="H2447" s="29" t="str">
        <f t="shared" si="327"/>
        <v/>
      </c>
      <c r="I2447" s="394" t="str">
        <f t="shared" si="328"/>
        <v/>
      </c>
      <c r="J2447" s="273"/>
      <c r="K2447" s="395"/>
      <c r="L2447" s="273"/>
      <c r="M2447" s="394" t="str">
        <f t="shared" si="329"/>
        <v/>
      </c>
      <c r="N2447" s="273"/>
    </row>
    <row r="2448" spans="1:14" ht="12.75" customHeight="1" x14ac:dyDescent="0.2">
      <c r="A2448" s="403"/>
      <c r="B2448" s="271"/>
      <c r="C2448" s="271"/>
      <c r="D2448" s="271"/>
      <c r="E2448" s="271"/>
      <c r="F2448" s="271"/>
      <c r="G2448" s="273"/>
      <c r="H2448" s="29" t="str">
        <f t="shared" si="327"/>
        <v/>
      </c>
      <c r="I2448" s="394" t="str">
        <f t="shared" si="328"/>
        <v/>
      </c>
      <c r="J2448" s="273"/>
      <c r="K2448" s="395"/>
      <c r="L2448" s="273"/>
      <c r="M2448" s="394" t="str">
        <f t="shared" si="329"/>
        <v/>
      </c>
      <c r="N2448" s="273"/>
    </row>
    <row r="2449" spans="1:14" ht="12.75" customHeight="1" x14ac:dyDescent="0.25">
      <c r="A2449" s="4"/>
      <c r="B2449" s="4"/>
      <c r="C2449" s="4"/>
      <c r="D2449" s="4"/>
      <c r="E2449" s="4"/>
      <c r="F2449" s="4"/>
      <c r="G2449" s="4"/>
      <c r="H2449" s="4"/>
      <c r="I2449" s="4"/>
      <c r="J2449" s="4"/>
      <c r="K2449" s="396" t="s">
        <v>444</v>
      </c>
      <c r="L2449" s="273"/>
      <c r="M2449" s="394">
        <f>SUM(M2443:N2448)</f>
        <v>0</v>
      </c>
      <c r="N2449" s="273"/>
    </row>
    <row r="2450" spans="1:14" ht="12.75" customHeight="1" x14ac:dyDescent="0.25">
      <c r="A2450" s="4"/>
      <c r="B2450" s="4"/>
      <c r="C2450" s="4"/>
      <c r="D2450" s="4"/>
      <c r="E2450" s="4"/>
      <c r="F2450" s="4"/>
      <c r="G2450" s="4"/>
      <c r="H2450" s="4"/>
      <c r="I2450" s="4"/>
      <c r="J2450" s="4"/>
      <c r="K2450" s="4"/>
      <c r="L2450" s="4"/>
      <c r="M2450" s="4"/>
      <c r="N2450" s="4"/>
    </row>
    <row r="2451" spans="1:14" ht="12.75" customHeight="1" x14ac:dyDescent="0.2">
      <c r="A2451" s="398" t="s">
        <v>926</v>
      </c>
      <c r="B2451" s="271"/>
      <c r="C2451" s="271"/>
      <c r="D2451" s="271"/>
      <c r="E2451" s="271"/>
      <c r="F2451" s="271"/>
      <c r="G2451" s="271"/>
      <c r="H2451" s="271"/>
      <c r="I2451" s="271"/>
      <c r="J2451" s="271"/>
      <c r="K2451" s="271"/>
      <c r="L2451" s="271"/>
      <c r="M2451" s="271"/>
      <c r="N2451" s="273"/>
    </row>
    <row r="2452" spans="1:14" ht="12.75" customHeight="1" x14ac:dyDescent="0.2">
      <c r="A2452" s="396" t="s">
        <v>76</v>
      </c>
      <c r="B2452" s="271"/>
      <c r="C2452" s="271"/>
      <c r="D2452" s="271"/>
      <c r="E2452" s="271"/>
      <c r="F2452" s="271"/>
      <c r="G2452" s="273"/>
      <c r="H2452" s="88" t="s">
        <v>77</v>
      </c>
      <c r="I2452" s="399" t="s">
        <v>920</v>
      </c>
      <c r="J2452" s="273"/>
      <c r="K2452" s="399" t="s">
        <v>453</v>
      </c>
      <c r="L2452" s="273"/>
      <c r="M2452" s="399" t="s">
        <v>921</v>
      </c>
      <c r="N2452" s="273"/>
    </row>
    <row r="2453" spans="1:14" ht="12.75" customHeight="1" x14ac:dyDescent="0.2">
      <c r="A2453" s="400" t="s">
        <v>927</v>
      </c>
      <c r="B2453" s="271"/>
      <c r="C2453" s="271"/>
      <c r="D2453" s="271"/>
      <c r="E2453" s="271"/>
      <c r="F2453" s="271"/>
      <c r="G2453" s="273"/>
      <c r="H2453" s="29" t="str">
        <f>IF(A2453="","",VLOOKUP(A2453,AA_Equipos,7,FALSE))</f>
        <v>% M.O.</v>
      </c>
      <c r="I2453" s="394">
        <f>+M2476</f>
        <v>0</v>
      </c>
      <c r="J2453" s="273"/>
      <c r="K2453" s="404">
        <v>0</v>
      </c>
      <c r="L2453" s="273"/>
      <c r="M2453" s="394">
        <f t="shared" ref="M2453:M2457" si="330">IF(A2453="","",I2453*K2453)</f>
        <v>0</v>
      </c>
      <c r="N2453" s="273"/>
    </row>
    <row r="2454" spans="1:14" ht="12.75" customHeight="1" x14ac:dyDescent="0.2">
      <c r="A2454" s="403"/>
      <c r="B2454" s="271"/>
      <c r="C2454" s="271"/>
      <c r="D2454" s="271"/>
      <c r="E2454" s="271"/>
      <c r="F2454" s="271"/>
      <c r="G2454" s="273"/>
      <c r="H2454" s="29" t="str">
        <f>IF(A2454="","",VLOOKUP(A2454,AA_Equipos,7,FALSE))</f>
        <v/>
      </c>
      <c r="I2454" s="394" t="str">
        <f>IF(A2454="","",VLOOKUP(A2454,AA_Equipos,8,FALSE))</f>
        <v/>
      </c>
      <c r="J2454" s="273"/>
      <c r="K2454" s="402"/>
      <c r="L2454" s="273"/>
      <c r="M2454" s="394" t="str">
        <f t="shared" si="330"/>
        <v/>
      </c>
      <c r="N2454" s="273"/>
    </row>
    <row r="2455" spans="1:14" ht="12.75" customHeight="1" x14ac:dyDescent="0.2">
      <c r="A2455" s="400"/>
      <c r="B2455" s="271"/>
      <c r="C2455" s="271"/>
      <c r="D2455" s="271"/>
      <c r="E2455" s="271"/>
      <c r="F2455" s="271"/>
      <c r="G2455" s="273"/>
      <c r="H2455" s="29" t="str">
        <f>IF(A2455="","",VLOOKUP(A2455,AA_Equipos,7,FALSE))</f>
        <v/>
      </c>
      <c r="I2455" s="394" t="str">
        <f>IF(A2455="","",VLOOKUP(A2455,AA_Equipos,8,FALSE))</f>
        <v/>
      </c>
      <c r="J2455" s="273"/>
      <c r="K2455" s="401"/>
      <c r="L2455" s="273"/>
      <c r="M2455" s="394" t="str">
        <f t="shared" si="330"/>
        <v/>
      </c>
      <c r="N2455" s="273"/>
    </row>
    <row r="2456" spans="1:14" ht="12.75" customHeight="1" x14ac:dyDescent="0.2">
      <c r="A2456" s="400"/>
      <c r="B2456" s="271"/>
      <c r="C2456" s="271"/>
      <c r="D2456" s="271"/>
      <c r="E2456" s="271"/>
      <c r="F2456" s="271"/>
      <c r="G2456" s="273"/>
      <c r="H2456" s="29" t="str">
        <f>IF(A2456="","",VLOOKUP(A2456,AA_Equipos,7,FALSE))</f>
        <v/>
      </c>
      <c r="I2456" s="394" t="str">
        <f>IF(A2456="","",VLOOKUP(A2456,AA_Equipos,8,FALSE))</f>
        <v/>
      </c>
      <c r="J2456" s="273"/>
      <c r="K2456" s="395"/>
      <c r="L2456" s="273"/>
      <c r="M2456" s="394" t="str">
        <f t="shared" si="330"/>
        <v/>
      </c>
      <c r="N2456" s="273"/>
    </row>
    <row r="2457" spans="1:14" ht="12.75" customHeight="1" x14ac:dyDescent="0.2">
      <c r="A2457" s="400"/>
      <c r="B2457" s="271"/>
      <c r="C2457" s="271"/>
      <c r="D2457" s="271"/>
      <c r="E2457" s="271"/>
      <c r="F2457" s="271"/>
      <c r="G2457" s="273"/>
      <c r="H2457" s="29" t="str">
        <f>IF(A2457="","",VLOOKUP(A2457,AA_Equipos,7,FALSE))</f>
        <v/>
      </c>
      <c r="I2457" s="394" t="str">
        <f>IF(A2457="","",VLOOKUP(A2457,AA_Equipos,8,FALSE))</f>
        <v/>
      </c>
      <c r="J2457" s="273"/>
      <c r="K2457" s="395"/>
      <c r="L2457" s="273"/>
      <c r="M2457" s="394" t="str">
        <f t="shared" si="330"/>
        <v/>
      </c>
      <c r="N2457" s="273"/>
    </row>
    <row r="2458" spans="1:14" ht="12.75" customHeight="1" x14ac:dyDescent="0.25">
      <c r="A2458" s="4"/>
      <c r="B2458" s="4"/>
      <c r="C2458" s="4"/>
      <c r="D2458" s="4"/>
      <c r="E2458" s="4"/>
      <c r="F2458" s="4"/>
      <c r="G2458" s="4"/>
      <c r="H2458" s="4"/>
      <c r="I2458" s="4"/>
      <c r="J2458" s="4"/>
      <c r="K2458" s="396" t="s">
        <v>444</v>
      </c>
      <c r="L2458" s="273"/>
      <c r="M2458" s="394">
        <f>SUM(M2453:N2457)</f>
        <v>0</v>
      </c>
      <c r="N2458" s="273"/>
    </row>
    <row r="2459" spans="1:14" ht="12.75" customHeight="1" x14ac:dyDescent="0.25">
      <c r="A2459" s="4"/>
      <c r="B2459" s="4"/>
      <c r="C2459" s="4"/>
      <c r="D2459" s="4"/>
      <c r="E2459" s="4"/>
      <c r="F2459" s="4"/>
      <c r="G2459" s="4"/>
      <c r="H2459" s="4"/>
      <c r="I2459" s="4"/>
      <c r="J2459" s="4"/>
      <c r="K2459" s="4"/>
      <c r="L2459" s="4"/>
      <c r="M2459" s="4"/>
      <c r="N2459" s="4"/>
    </row>
    <row r="2460" spans="1:14" ht="12.75" customHeight="1" x14ac:dyDescent="0.2">
      <c r="A2460" s="398" t="s">
        <v>929</v>
      </c>
      <c r="B2460" s="271"/>
      <c r="C2460" s="271"/>
      <c r="D2460" s="271"/>
      <c r="E2460" s="271"/>
      <c r="F2460" s="271"/>
      <c r="G2460" s="271"/>
      <c r="H2460" s="271"/>
      <c r="I2460" s="271"/>
      <c r="J2460" s="271"/>
      <c r="K2460" s="271"/>
      <c r="L2460" s="271"/>
      <c r="M2460" s="271"/>
      <c r="N2460" s="273"/>
    </row>
    <row r="2461" spans="1:14" ht="12.75" customHeight="1" x14ac:dyDescent="0.2">
      <c r="A2461" s="396" t="s">
        <v>76</v>
      </c>
      <c r="B2461" s="271"/>
      <c r="C2461" s="271"/>
      <c r="D2461" s="271"/>
      <c r="E2461" s="271"/>
      <c r="F2461" s="271"/>
      <c r="G2461" s="273"/>
      <c r="H2461" s="88" t="s">
        <v>77</v>
      </c>
      <c r="I2461" s="399" t="s">
        <v>920</v>
      </c>
      <c r="J2461" s="273"/>
      <c r="K2461" s="399" t="s">
        <v>453</v>
      </c>
      <c r="L2461" s="273"/>
      <c r="M2461" s="399" t="s">
        <v>921</v>
      </c>
      <c r="N2461" s="273"/>
    </row>
    <row r="2462" spans="1:14" ht="12.75" customHeight="1" x14ac:dyDescent="0.2">
      <c r="A2462" s="400" t="s">
        <v>966</v>
      </c>
      <c r="B2462" s="271"/>
      <c r="C2462" s="271"/>
      <c r="D2462" s="271"/>
      <c r="E2462" s="271"/>
      <c r="F2462" s="271"/>
      <c r="G2462" s="273"/>
      <c r="H2462" s="29" t="s">
        <v>950</v>
      </c>
      <c r="I2462" s="394">
        <f>+M2449</f>
        <v>0</v>
      </c>
      <c r="J2462" s="273"/>
      <c r="K2462" s="404">
        <v>0.05</v>
      </c>
      <c r="L2462" s="273"/>
      <c r="M2462" s="394">
        <f t="shared" ref="M2462:M2466" si="331">IF(A2462="","",I2462*K2462)</f>
        <v>0</v>
      </c>
      <c r="N2462" s="273"/>
    </row>
    <row r="2463" spans="1:14" ht="12.75" customHeight="1" x14ac:dyDescent="0.2">
      <c r="A2463" s="403"/>
      <c r="B2463" s="271"/>
      <c r="C2463" s="271"/>
      <c r="D2463" s="271"/>
      <c r="E2463" s="271"/>
      <c r="F2463" s="271"/>
      <c r="G2463" s="273"/>
      <c r="H2463" s="29"/>
      <c r="I2463" s="394"/>
      <c r="J2463" s="273"/>
      <c r="K2463" s="404"/>
      <c r="L2463" s="273"/>
      <c r="M2463" s="394" t="str">
        <f t="shared" si="331"/>
        <v/>
      </c>
      <c r="N2463" s="273"/>
    </row>
    <row r="2464" spans="1:14" ht="12.75" customHeight="1" x14ac:dyDescent="0.2">
      <c r="A2464" s="400"/>
      <c r="B2464" s="271"/>
      <c r="C2464" s="271"/>
      <c r="D2464" s="271"/>
      <c r="E2464" s="271"/>
      <c r="F2464" s="271"/>
      <c r="G2464" s="273"/>
      <c r="H2464" s="29"/>
      <c r="I2464" s="394"/>
      <c r="J2464" s="273"/>
      <c r="K2464" s="395"/>
      <c r="L2464" s="273"/>
      <c r="M2464" s="394" t="str">
        <f t="shared" si="331"/>
        <v/>
      </c>
      <c r="N2464" s="273"/>
    </row>
    <row r="2465" spans="1:14" ht="12.75" customHeight="1" x14ac:dyDescent="0.2">
      <c r="A2465" s="400"/>
      <c r="B2465" s="271"/>
      <c r="C2465" s="271"/>
      <c r="D2465" s="271"/>
      <c r="E2465" s="271"/>
      <c r="F2465" s="271"/>
      <c r="G2465" s="273"/>
      <c r="H2465" s="29"/>
      <c r="I2465" s="394"/>
      <c r="J2465" s="273"/>
      <c r="K2465" s="395"/>
      <c r="L2465" s="273"/>
      <c r="M2465" s="394" t="str">
        <f t="shared" si="331"/>
        <v/>
      </c>
      <c r="N2465" s="273"/>
    </row>
    <row r="2466" spans="1:14" ht="12.75" customHeight="1" x14ac:dyDescent="0.2">
      <c r="A2466" s="400"/>
      <c r="B2466" s="271"/>
      <c r="C2466" s="271"/>
      <c r="D2466" s="271"/>
      <c r="E2466" s="271"/>
      <c r="F2466" s="271"/>
      <c r="G2466" s="273"/>
      <c r="H2466" s="29"/>
      <c r="I2466" s="394"/>
      <c r="J2466" s="273"/>
      <c r="K2466" s="395"/>
      <c r="L2466" s="273"/>
      <c r="M2466" s="394" t="str">
        <f t="shared" si="331"/>
        <v/>
      </c>
      <c r="N2466" s="273"/>
    </row>
    <row r="2467" spans="1:14" ht="12.75" customHeight="1" x14ac:dyDescent="0.25">
      <c r="A2467" s="4"/>
      <c r="B2467" s="4"/>
      <c r="C2467" s="4"/>
      <c r="D2467" s="4"/>
      <c r="E2467" s="4"/>
      <c r="F2467" s="4"/>
      <c r="G2467" s="4"/>
      <c r="H2467" s="4"/>
      <c r="I2467" s="4"/>
      <c r="J2467" s="4"/>
      <c r="K2467" s="396" t="s">
        <v>444</v>
      </c>
      <c r="L2467" s="273"/>
      <c r="M2467" s="394">
        <f>SUM(M2462:N2466)</f>
        <v>0</v>
      </c>
      <c r="N2467" s="273"/>
    </row>
    <row r="2468" spans="1:14" ht="12.75" customHeight="1" x14ac:dyDescent="0.25">
      <c r="A2468" s="4"/>
      <c r="B2468" s="4"/>
      <c r="C2468" s="4"/>
      <c r="D2468" s="4"/>
      <c r="E2468" s="4"/>
      <c r="F2468" s="4"/>
      <c r="G2468" s="4"/>
      <c r="H2468" s="4"/>
      <c r="I2468" s="4"/>
      <c r="J2468" s="4"/>
      <c r="K2468" s="4"/>
      <c r="L2468" s="4"/>
      <c r="M2468" s="4"/>
      <c r="N2468" s="4"/>
    </row>
    <row r="2469" spans="1:14" ht="12.75" customHeight="1" x14ac:dyDescent="0.2">
      <c r="A2469" s="398" t="s">
        <v>931</v>
      </c>
      <c r="B2469" s="271"/>
      <c r="C2469" s="271"/>
      <c r="D2469" s="271"/>
      <c r="E2469" s="271"/>
      <c r="F2469" s="271"/>
      <c r="G2469" s="271"/>
      <c r="H2469" s="271"/>
      <c r="I2469" s="271"/>
      <c r="J2469" s="271"/>
      <c r="K2469" s="271"/>
      <c r="L2469" s="271"/>
      <c r="M2469" s="271"/>
      <c r="N2469" s="273"/>
    </row>
    <row r="2470" spans="1:14" ht="12.75" customHeight="1" x14ac:dyDescent="0.2">
      <c r="A2470" s="396" t="s">
        <v>76</v>
      </c>
      <c r="B2470" s="271"/>
      <c r="C2470" s="271"/>
      <c r="D2470" s="271"/>
      <c r="E2470" s="271"/>
      <c r="F2470" s="271"/>
      <c r="G2470" s="273"/>
      <c r="H2470" s="88" t="s">
        <v>77</v>
      </c>
      <c r="I2470" s="399" t="s">
        <v>920</v>
      </c>
      <c r="J2470" s="273"/>
      <c r="K2470" s="90" t="s">
        <v>514</v>
      </c>
      <c r="L2470" s="91" t="s">
        <v>932</v>
      </c>
      <c r="M2470" s="399" t="s">
        <v>921</v>
      </c>
      <c r="N2470" s="273"/>
    </row>
    <row r="2471" spans="1:14" ht="12.75" customHeight="1" x14ac:dyDescent="0.25">
      <c r="A2471" s="393" t="s">
        <v>986</v>
      </c>
      <c r="B2471" s="271"/>
      <c r="C2471" s="271"/>
      <c r="D2471" s="271"/>
      <c r="E2471" s="271"/>
      <c r="F2471" s="271"/>
      <c r="G2471" s="273"/>
      <c r="H2471" s="29" t="str">
        <f>IF(A2471="","",VLOOKUP(A2471,AA_Cuadrillas,4,FALSE))</f>
        <v>Cuadrilla</v>
      </c>
      <c r="I2471" s="394">
        <f>IF(A2471="","",VLOOKUP(A2471,AA_Cuadrillas,5,FALSE))</f>
        <v>186763</v>
      </c>
      <c r="J2471" s="273"/>
      <c r="K2471" s="9">
        <f>IF(A2471="","",F.P!$I$2)</f>
        <v>1.88</v>
      </c>
      <c r="L2471" s="97">
        <v>0</v>
      </c>
      <c r="M2471" s="394">
        <f t="shared" ref="M2471:M2475" si="332">IF(A2471="","",I2471*K2471*L2471)</f>
        <v>0</v>
      </c>
      <c r="N2471" s="273"/>
    </row>
    <row r="2472" spans="1:14" ht="12.75" customHeight="1" x14ac:dyDescent="0.25">
      <c r="A2472" s="393"/>
      <c r="B2472" s="271"/>
      <c r="C2472" s="271"/>
      <c r="D2472" s="271"/>
      <c r="E2472" s="271"/>
      <c r="F2472" s="271"/>
      <c r="G2472" s="273"/>
      <c r="H2472" s="29" t="str">
        <f>IF(A2472="","",VLOOKUP(A2472,AA_Cuadrillas,4,FALSE))</f>
        <v/>
      </c>
      <c r="I2472" s="394" t="str">
        <f>IF(A2472="","",VLOOKUP(A2472,AA_Cuadrillas,5,FALSE))</f>
        <v/>
      </c>
      <c r="J2472" s="273"/>
      <c r="K2472" s="9" t="str">
        <f>IF(A2472="","",F.P!$I$2)</f>
        <v/>
      </c>
      <c r="L2472" s="9"/>
      <c r="M2472" s="394" t="str">
        <f t="shared" si="332"/>
        <v/>
      </c>
      <c r="N2472" s="273"/>
    </row>
    <row r="2473" spans="1:14" ht="12.75" customHeight="1" x14ac:dyDescent="0.25">
      <c r="A2473" s="393"/>
      <c r="B2473" s="271"/>
      <c r="C2473" s="271"/>
      <c r="D2473" s="271"/>
      <c r="E2473" s="271"/>
      <c r="F2473" s="271"/>
      <c r="G2473" s="273"/>
      <c r="H2473" s="29" t="str">
        <f>IF(A2473="","",VLOOKUP(A2473,AA_Cuadrillas,4,FALSE))</f>
        <v/>
      </c>
      <c r="I2473" s="394" t="str">
        <f>IF(A2473="","",VLOOKUP(A2473,AA_Cuadrillas,5,FALSE))</f>
        <v/>
      </c>
      <c r="J2473" s="273"/>
      <c r="K2473" s="9" t="str">
        <f>IF(A2473="","",F.P!$I$2)</f>
        <v/>
      </c>
      <c r="L2473" s="37"/>
      <c r="M2473" s="394" t="str">
        <f t="shared" si="332"/>
        <v/>
      </c>
      <c r="N2473" s="273"/>
    </row>
    <row r="2474" spans="1:14" ht="12.75" customHeight="1" x14ac:dyDescent="0.25">
      <c r="A2474" s="393"/>
      <c r="B2474" s="271"/>
      <c r="C2474" s="271"/>
      <c r="D2474" s="271"/>
      <c r="E2474" s="271"/>
      <c r="F2474" s="271"/>
      <c r="G2474" s="273"/>
      <c r="H2474" s="29" t="str">
        <f>IF(A2474="","",VLOOKUP(A2474,AA_Cuadrillas,4,FALSE))</f>
        <v/>
      </c>
      <c r="I2474" s="394" t="str">
        <f>IF(A2474="","",VLOOKUP(A2474,AA_Cuadrillas,5,FALSE))</f>
        <v/>
      </c>
      <c r="J2474" s="273"/>
      <c r="K2474" s="9" t="str">
        <f>IF(A2474="","",F.P!$I$2)</f>
        <v/>
      </c>
      <c r="L2474" s="37"/>
      <c r="M2474" s="394" t="str">
        <f t="shared" si="332"/>
        <v/>
      </c>
      <c r="N2474" s="273"/>
    </row>
    <row r="2475" spans="1:14" ht="12.75" customHeight="1" x14ac:dyDescent="0.25">
      <c r="A2475" s="393"/>
      <c r="B2475" s="271"/>
      <c r="C2475" s="271"/>
      <c r="D2475" s="271"/>
      <c r="E2475" s="271"/>
      <c r="F2475" s="271"/>
      <c r="G2475" s="273"/>
      <c r="H2475" s="29" t="str">
        <f>IF(A2475="","",VLOOKUP(A2475,AA_Cuadrillas,4,FALSE))</f>
        <v/>
      </c>
      <c r="I2475" s="394" t="str">
        <f>IF(A2475="","",VLOOKUP(A2475,AA_Cuadrillas,5,FALSE))</f>
        <v/>
      </c>
      <c r="J2475" s="273"/>
      <c r="K2475" s="9" t="str">
        <f>IF(A2475="","",F.P!$I$2)</f>
        <v/>
      </c>
      <c r="L2475" s="37"/>
      <c r="M2475" s="394" t="str">
        <f t="shared" si="332"/>
        <v/>
      </c>
      <c r="N2475" s="273"/>
    </row>
    <row r="2476" spans="1:14" ht="12.75" customHeight="1" x14ac:dyDescent="0.25">
      <c r="A2476" s="4"/>
      <c r="B2476" s="4"/>
      <c r="C2476" s="4"/>
      <c r="D2476" s="4"/>
      <c r="E2476" s="4"/>
      <c r="F2476" s="4"/>
      <c r="G2476" s="4"/>
      <c r="H2476" s="4"/>
      <c r="I2476" s="4"/>
      <c r="J2476" s="4"/>
      <c r="K2476" s="396" t="s">
        <v>444</v>
      </c>
      <c r="L2476" s="273"/>
      <c r="M2476" s="394">
        <f>SUM(M2471:N2475)</f>
        <v>0</v>
      </c>
      <c r="N2476" s="273"/>
    </row>
    <row r="2477" spans="1:14" ht="12.75" customHeight="1" x14ac:dyDescent="0.2"/>
    <row r="2478" spans="1:14" ht="12.75" customHeight="1" x14ac:dyDescent="0.2">
      <c r="A2478" s="407" t="s">
        <v>1086</v>
      </c>
      <c r="B2478" s="275"/>
      <c r="C2478" s="275"/>
      <c r="D2478" s="275"/>
      <c r="E2478" s="275"/>
      <c r="F2478" s="275"/>
      <c r="G2478" s="275"/>
      <c r="H2478" s="275"/>
      <c r="I2478" s="275"/>
      <c r="J2478" s="275"/>
      <c r="K2478" s="275"/>
      <c r="L2478" s="275"/>
      <c r="M2478" s="275"/>
      <c r="N2478" s="276"/>
    </row>
    <row r="2479" spans="1:14" ht="12.75" customHeight="1" x14ac:dyDescent="0.2">
      <c r="A2479" s="277"/>
      <c r="B2479" s="278"/>
      <c r="C2479" s="278"/>
      <c r="D2479" s="278"/>
      <c r="E2479" s="278"/>
      <c r="F2479" s="278"/>
      <c r="G2479" s="278"/>
      <c r="H2479" s="278"/>
      <c r="I2479" s="278"/>
      <c r="J2479" s="278"/>
      <c r="K2479" s="278"/>
      <c r="L2479" s="278"/>
      <c r="M2479" s="278"/>
      <c r="N2479" s="279"/>
    </row>
    <row r="2480" spans="1:14" ht="12.75" customHeight="1" x14ac:dyDescent="0.2">
      <c r="A2480" s="75"/>
      <c r="B2480" s="75"/>
      <c r="C2480" s="75"/>
      <c r="D2480" s="75"/>
      <c r="E2480" s="75"/>
      <c r="F2480" s="75"/>
      <c r="G2480" s="75"/>
      <c r="H2480" s="75"/>
      <c r="I2480" s="75"/>
      <c r="J2480" s="75"/>
      <c r="K2480" s="75"/>
      <c r="L2480" s="75"/>
      <c r="M2480" s="75"/>
      <c r="N2480" s="75"/>
    </row>
    <row r="2481" spans="1:14" ht="12.75" customHeight="1" x14ac:dyDescent="0.3">
      <c r="A2481" s="79" t="s">
        <v>671</v>
      </c>
      <c r="B2481" s="80" t="str">
        <f>A2478</f>
        <v>SUMINISTRO E INSTALACIÓN DE NIPLE DE 0,5 M Ø4 EN HIERRO DUCTIL</v>
      </c>
      <c r="C2481" s="81" t="s">
        <v>916</v>
      </c>
      <c r="D2481" s="82" t="s">
        <v>999</v>
      </c>
      <c r="E2481" s="83" t="s">
        <v>445</v>
      </c>
      <c r="F2481" s="86">
        <f>H2481+J2481+L2481+N2481</f>
        <v>0</v>
      </c>
      <c r="G2481" s="83" t="s">
        <v>607</v>
      </c>
      <c r="H2481" s="86">
        <f>M2491</f>
        <v>0</v>
      </c>
      <c r="I2481" s="83" t="s">
        <v>918</v>
      </c>
      <c r="J2481" s="86">
        <f>M2500</f>
        <v>0</v>
      </c>
      <c r="K2481" s="83" t="s">
        <v>609</v>
      </c>
      <c r="L2481" s="86">
        <f>M2509</f>
        <v>0</v>
      </c>
      <c r="M2481" s="83" t="s">
        <v>610</v>
      </c>
      <c r="N2481" s="86">
        <f>M2518</f>
        <v>0</v>
      </c>
    </row>
    <row r="2482" spans="1:14" ht="12.75" customHeight="1" x14ac:dyDescent="0.25">
      <c r="A2482" s="87"/>
      <c r="B2482" s="87"/>
      <c r="C2482" s="87"/>
      <c r="D2482" s="87"/>
      <c r="E2482" s="87"/>
      <c r="F2482" s="87"/>
      <c r="G2482" s="87"/>
      <c r="J2482" s="87"/>
      <c r="K2482" s="215" t="s">
        <v>3217</v>
      </c>
      <c r="L2482" s="215">
        <f>+F2481*presup!$O$5</f>
        <v>0</v>
      </c>
      <c r="M2482" s="87"/>
      <c r="N2482" s="87"/>
    </row>
    <row r="2483" spans="1:14" ht="12.75" customHeight="1" x14ac:dyDescent="0.2">
      <c r="A2483" s="398" t="s">
        <v>919</v>
      </c>
      <c r="B2483" s="271"/>
      <c r="C2483" s="271"/>
      <c r="D2483" s="271"/>
      <c r="E2483" s="271"/>
      <c r="F2483" s="271"/>
      <c r="G2483" s="271"/>
      <c r="H2483" s="271"/>
      <c r="I2483" s="271"/>
      <c r="J2483" s="271"/>
      <c r="K2483" s="271"/>
      <c r="L2483" s="271"/>
      <c r="M2483" s="271"/>
      <c r="N2483" s="273"/>
    </row>
    <row r="2484" spans="1:14" ht="12.75" customHeight="1" x14ac:dyDescent="0.2">
      <c r="A2484" s="396" t="s">
        <v>76</v>
      </c>
      <c r="B2484" s="271"/>
      <c r="C2484" s="271"/>
      <c r="D2484" s="271"/>
      <c r="E2484" s="271"/>
      <c r="F2484" s="271"/>
      <c r="G2484" s="273"/>
      <c r="H2484" s="88" t="s">
        <v>77</v>
      </c>
      <c r="I2484" s="399" t="s">
        <v>920</v>
      </c>
      <c r="J2484" s="273"/>
      <c r="K2484" s="399" t="s">
        <v>453</v>
      </c>
      <c r="L2484" s="273"/>
      <c r="M2484" s="399" t="s">
        <v>921</v>
      </c>
      <c r="N2484" s="273"/>
    </row>
    <row r="2485" spans="1:14" ht="12.75" customHeight="1" x14ac:dyDescent="0.2">
      <c r="A2485" s="403" t="s">
        <v>1087</v>
      </c>
      <c r="B2485" s="271"/>
      <c r="C2485" s="271"/>
      <c r="D2485" s="271"/>
      <c r="E2485" s="271"/>
      <c r="F2485" s="271"/>
      <c r="G2485" s="273"/>
      <c r="H2485" s="29" t="str">
        <f t="shared" ref="H2485:H2490" si="333">IF(A2485="","",VLOOKUP(A2485,AA_Materiales,7,FALSE))</f>
        <v>Unidad</v>
      </c>
      <c r="I2485" s="394">
        <f t="shared" ref="I2485:I2490" si="334">IF(A2485="","",VLOOKUP(A2485,AA_Materiales,8,FALSE))</f>
        <v>0</v>
      </c>
      <c r="J2485" s="273"/>
      <c r="K2485" s="395">
        <v>1</v>
      </c>
      <c r="L2485" s="273"/>
      <c r="M2485" s="394">
        <f t="shared" ref="M2485:M2490" si="335">IF(A2485="","",I2485*K2485)</f>
        <v>0</v>
      </c>
      <c r="N2485" s="273"/>
    </row>
    <row r="2486" spans="1:14" ht="12.75" customHeight="1" x14ac:dyDescent="0.2">
      <c r="A2486" s="403"/>
      <c r="B2486" s="271"/>
      <c r="C2486" s="271"/>
      <c r="D2486" s="271"/>
      <c r="E2486" s="271"/>
      <c r="F2486" s="271"/>
      <c r="G2486" s="273"/>
      <c r="H2486" s="29" t="str">
        <f t="shared" si="333"/>
        <v/>
      </c>
      <c r="I2486" s="394" t="str">
        <f t="shared" si="334"/>
        <v/>
      </c>
      <c r="J2486" s="273"/>
      <c r="K2486" s="395"/>
      <c r="L2486" s="273"/>
      <c r="M2486" s="394" t="str">
        <f t="shared" si="335"/>
        <v/>
      </c>
      <c r="N2486" s="273"/>
    </row>
    <row r="2487" spans="1:14" ht="12.75" customHeight="1" x14ac:dyDescent="0.2">
      <c r="A2487" s="403"/>
      <c r="B2487" s="271"/>
      <c r="C2487" s="271"/>
      <c r="D2487" s="271"/>
      <c r="E2487" s="271"/>
      <c r="F2487" s="271"/>
      <c r="G2487" s="273"/>
      <c r="H2487" s="29" t="str">
        <f t="shared" si="333"/>
        <v/>
      </c>
      <c r="I2487" s="394" t="str">
        <f t="shared" si="334"/>
        <v/>
      </c>
      <c r="J2487" s="273"/>
      <c r="K2487" s="395"/>
      <c r="L2487" s="273"/>
      <c r="M2487" s="394" t="str">
        <f t="shared" si="335"/>
        <v/>
      </c>
      <c r="N2487" s="273"/>
    </row>
    <row r="2488" spans="1:14" ht="12.75" customHeight="1" x14ac:dyDescent="0.2">
      <c r="A2488" s="403"/>
      <c r="B2488" s="271"/>
      <c r="C2488" s="271"/>
      <c r="D2488" s="271"/>
      <c r="E2488" s="271"/>
      <c r="F2488" s="271"/>
      <c r="G2488" s="273"/>
      <c r="H2488" s="29" t="str">
        <f t="shared" si="333"/>
        <v/>
      </c>
      <c r="I2488" s="394" t="str">
        <f t="shared" si="334"/>
        <v/>
      </c>
      <c r="J2488" s="273"/>
      <c r="K2488" s="395"/>
      <c r="L2488" s="273"/>
      <c r="M2488" s="394" t="str">
        <f t="shared" si="335"/>
        <v/>
      </c>
      <c r="N2488" s="273"/>
    </row>
    <row r="2489" spans="1:14" ht="12.75" customHeight="1" x14ac:dyDescent="0.2">
      <c r="A2489" s="403"/>
      <c r="B2489" s="271"/>
      <c r="C2489" s="271"/>
      <c r="D2489" s="271"/>
      <c r="E2489" s="271"/>
      <c r="F2489" s="271"/>
      <c r="G2489" s="273"/>
      <c r="H2489" s="29" t="str">
        <f t="shared" si="333"/>
        <v/>
      </c>
      <c r="I2489" s="394" t="str">
        <f t="shared" si="334"/>
        <v/>
      </c>
      <c r="J2489" s="273"/>
      <c r="K2489" s="395"/>
      <c r="L2489" s="273"/>
      <c r="M2489" s="394" t="str">
        <f t="shared" si="335"/>
        <v/>
      </c>
      <c r="N2489" s="273"/>
    </row>
    <row r="2490" spans="1:14" ht="12.75" customHeight="1" x14ac:dyDescent="0.2">
      <c r="A2490" s="403"/>
      <c r="B2490" s="271"/>
      <c r="C2490" s="271"/>
      <c r="D2490" s="271"/>
      <c r="E2490" s="271"/>
      <c r="F2490" s="271"/>
      <c r="G2490" s="273"/>
      <c r="H2490" s="29" t="str">
        <f t="shared" si="333"/>
        <v/>
      </c>
      <c r="I2490" s="394" t="str">
        <f t="shared" si="334"/>
        <v/>
      </c>
      <c r="J2490" s="273"/>
      <c r="K2490" s="395"/>
      <c r="L2490" s="273"/>
      <c r="M2490" s="394" t="str">
        <f t="shared" si="335"/>
        <v/>
      </c>
      <c r="N2490" s="273"/>
    </row>
    <row r="2491" spans="1:14" ht="12.75" customHeight="1" x14ac:dyDescent="0.25">
      <c r="A2491" s="4"/>
      <c r="B2491" s="4"/>
      <c r="C2491" s="4"/>
      <c r="D2491" s="4"/>
      <c r="E2491" s="4"/>
      <c r="F2491" s="4"/>
      <c r="G2491" s="4"/>
      <c r="H2491" s="4"/>
      <c r="I2491" s="4"/>
      <c r="J2491" s="4"/>
      <c r="K2491" s="396" t="s">
        <v>444</v>
      </c>
      <c r="L2491" s="273"/>
      <c r="M2491" s="394">
        <f>SUM(M2485:N2490)</f>
        <v>0</v>
      </c>
      <c r="N2491" s="273"/>
    </row>
    <row r="2492" spans="1:14" ht="12.75" customHeight="1" x14ac:dyDescent="0.25">
      <c r="A2492" s="4"/>
      <c r="B2492" s="4"/>
      <c r="C2492" s="4"/>
      <c r="D2492" s="4"/>
      <c r="E2492" s="4"/>
      <c r="F2492" s="4"/>
      <c r="G2492" s="4"/>
      <c r="H2492" s="4"/>
      <c r="I2492" s="4"/>
      <c r="J2492" s="4"/>
      <c r="K2492" s="4"/>
      <c r="L2492" s="4"/>
      <c r="M2492" s="4"/>
      <c r="N2492" s="4"/>
    </row>
    <row r="2493" spans="1:14" ht="12.75" customHeight="1" x14ac:dyDescent="0.2">
      <c r="A2493" s="398" t="s">
        <v>926</v>
      </c>
      <c r="B2493" s="271"/>
      <c r="C2493" s="271"/>
      <c r="D2493" s="271"/>
      <c r="E2493" s="271"/>
      <c r="F2493" s="271"/>
      <c r="G2493" s="271"/>
      <c r="H2493" s="271"/>
      <c r="I2493" s="271"/>
      <c r="J2493" s="271"/>
      <c r="K2493" s="271"/>
      <c r="L2493" s="271"/>
      <c r="M2493" s="271"/>
      <c r="N2493" s="273"/>
    </row>
    <row r="2494" spans="1:14" ht="12.75" customHeight="1" x14ac:dyDescent="0.2">
      <c r="A2494" s="396" t="s">
        <v>76</v>
      </c>
      <c r="B2494" s="271"/>
      <c r="C2494" s="271"/>
      <c r="D2494" s="271"/>
      <c r="E2494" s="271"/>
      <c r="F2494" s="271"/>
      <c r="G2494" s="273"/>
      <c r="H2494" s="88" t="s">
        <v>77</v>
      </c>
      <c r="I2494" s="399" t="s">
        <v>920</v>
      </c>
      <c r="J2494" s="273"/>
      <c r="K2494" s="399" t="s">
        <v>453</v>
      </c>
      <c r="L2494" s="273"/>
      <c r="M2494" s="399" t="s">
        <v>921</v>
      </c>
      <c r="N2494" s="273"/>
    </row>
    <row r="2495" spans="1:14" ht="12.75" customHeight="1" x14ac:dyDescent="0.2">
      <c r="A2495" s="400" t="s">
        <v>927</v>
      </c>
      <c r="B2495" s="271"/>
      <c r="C2495" s="271"/>
      <c r="D2495" s="271"/>
      <c r="E2495" s="271"/>
      <c r="F2495" s="271"/>
      <c r="G2495" s="273"/>
      <c r="H2495" s="29" t="str">
        <f>IF(A2495="","",VLOOKUP(A2495,AA_Equipos,7,FALSE))</f>
        <v>% M.O.</v>
      </c>
      <c r="I2495" s="394">
        <f>+M2518</f>
        <v>0</v>
      </c>
      <c r="J2495" s="273"/>
      <c r="K2495" s="404">
        <v>0</v>
      </c>
      <c r="L2495" s="273"/>
      <c r="M2495" s="394">
        <f t="shared" ref="M2495:M2499" si="336">IF(A2495="","",I2495*K2495)</f>
        <v>0</v>
      </c>
      <c r="N2495" s="273"/>
    </row>
    <row r="2496" spans="1:14" ht="12.75" customHeight="1" x14ac:dyDescent="0.2">
      <c r="A2496" s="403"/>
      <c r="B2496" s="271"/>
      <c r="C2496" s="271"/>
      <c r="D2496" s="271"/>
      <c r="E2496" s="271"/>
      <c r="F2496" s="271"/>
      <c r="G2496" s="273"/>
      <c r="H2496" s="29" t="str">
        <f>IF(A2496="","",VLOOKUP(A2496,AA_Equipos,7,FALSE))</f>
        <v/>
      </c>
      <c r="I2496" s="394" t="str">
        <f>IF(A2496="","",VLOOKUP(A2496,AA_Equipos,8,FALSE))</f>
        <v/>
      </c>
      <c r="J2496" s="273"/>
      <c r="K2496" s="402"/>
      <c r="L2496" s="273"/>
      <c r="M2496" s="394" t="str">
        <f t="shared" si="336"/>
        <v/>
      </c>
      <c r="N2496" s="273"/>
    </row>
    <row r="2497" spans="1:14" ht="12.75" customHeight="1" x14ac:dyDescent="0.2">
      <c r="A2497" s="400"/>
      <c r="B2497" s="271"/>
      <c r="C2497" s="271"/>
      <c r="D2497" s="271"/>
      <c r="E2497" s="271"/>
      <c r="F2497" s="271"/>
      <c r="G2497" s="273"/>
      <c r="H2497" s="29" t="str">
        <f>IF(A2497="","",VLOOKUP(A2497,AA_Equipos,7,FALSE))</f>
        <v/>
      </c>
      <c r="I2497" s="394" t="str">
        <f>IF(A2497="","",VLOOKUP(A2497,AA_Equipos,8,FALSE))</f>
        <v/>
      </c>
      <c r="J2497" s="273"/>
      <c r="K2497" s="401"/>
      <c r="L2497" s="273"/>
      <c r="M2497" s="394" t="str">
        <f t="shared" si="336"/>
        <v/>
      </c>
      <c r="N2497" s="273"/>
    </row>
    <row r="2498" spans="1:14" ht="12.75" customHeight="1" x14ac:dyDescent="0.2">
      <c r="A2498" s="400"/>
      <c r="B2498" s="271"/>
      <c r="C2498" s="271"/>
      <c r="D2498" s="271"/>
      <c r="E2498" s="271"/>
      <c r="F2498" s="271"/>
      <c r="G2498" s="273"/>
      <c r="H2498" s="29" t="str">
        <f>IF(A2498="","",VLOOKUP(A2498,AA_Equipos,7,FALSE))</f>
        <v/>
      </c>
      <c r="I2498" s="394" t="str">
        <f>IF(A2498="","",VLOOKUP(A2498,AA_Equipos,8,FALSE))</f>
        <v/>
      </c>
      <c r="J2498" s="273"/>
      <c r="K2498" s="395"/>
      <c r="L2498" s="273"/>
      <c r="M2498" s="394" t="str">
        <f t="shared" si="336"/>
        <v/>
      </c>
      <c r="N2498" s="273"/>
    </row>
    <row r="2499" spans="1:14" ht="12.75" customHeight="1" x14ac:dyDescent="0.2">
      <c r="A2499" s="400"/>
      <c r="B2499" s="271"/>
      <c r="C2499" s="271"/>
      <c r="D2499" s="271"/>
      <c r="E2499" s="271"/>
      <c r="F2499" s="271"/>
      <c r="G2499" s="273"/>
      <c r="H2499" s="29" t="str">
        <f>IF(A2499="","",VLOOKUP(A2499,AA_Equipos,7,FALSE))</f>
        <v/>
      </c>
      <c r="I2499" s="394" t="str">
        <f>IF(A2499="","",VLOOKUP(A2499,AA_Equipos,8,FALSE))</f>
        <v/>
      </c>
      <c r="J2499" s="273"/>
      <c r="K2499" s="395"/>
      <c r="L2499" s="273"/>
      <c r="M2499" s="394" t="str">
        <f t="shared" si="336"/>
        <v/>
      </c>
      <c r="N2499" s="273"/>
    </row>
    <row r="2500" spans="1:14" ht="12.75" customHeight="1" x14ac:dyDescent="0.25">
      <c r="A2500" s="4"/>
      <c r="B2500" s="4"/>
      <c r="C2500" s="4"/>
      <c r="D2500" s="4"/>
      <c r="E2500" s="4"/>
      <c r="F2500" s="4"/>
      <c r="G2500" s="4"/>
      <c r="H2500" s="4"/>
      <c r="I2500" s="4"/>
      <c r="J2500" s="4"/>
      <c r="K2500" s="396" t="s">
        <v>444</v>
      </c>
      <c r="L2500" s="273"/>
      <c r="M2500" s="394">
        <f>SUM(M2495:N2499)</f>
        <v>0</v>
      </c>
      <c r="N2500" s="273"/>
    </row>
    <row r="2501" spans="1:14" ht="12.75" customHeight="1" x14ac:dyDescent="0.25">
      <c r="A2501" s="4"/>
      <c r="B2501" s="4"/>
      <c r="C2501" s="4"/>
      <c r="D2501" s="4"/>
      <c r="E2501" s="4"/>
      <c r="F2501" s="4"/>
      <c r="G2501" s="4"/>
      <c r="H2501" s="4"/>
      <c r="I2501" s="4"/>
      <c r="J2501" s="4"/>
      <c r="K2501" s="4"/>
      <c r="L2501" s="4"/>
      <c r="M2501" s="4"/>
      <c r="N2501" s="4"/>
    </row>
    <row r="2502" spans="1:14" ht="12.75" customHeight="1" x14ac:dyDescent="0.2">
      <c r="A2502" s="398" t="s">
        <v>929</v>
      </c>
      <c r="B2502" s="271"/>
      <c r="C2502" s="271"/>
      <c r="D2502" s="271"/>
      <c r="E2502" s="271"/>
      <c r="F2502" s="271"/>
      <c r="G2502" s="271"/>
      <c r="H2502" s="271"/>
      <c r="I2502" s="271"/>
      <c r="J2502" s="271"/>
      <c r="K2502" s="271"/>
      <c r="L2502" s="271"/>
      <c r="M2502" s="271"/>
      <c r="N2502" s="273"/>
    </row>
    <row r="2503" spans="1:14" ht="12.75" customHeight="1" x14ac:dyDescent="0.2">
      <c r="A2503" s="396" t="s">
        <v>76</v>
      </c>
      <c r="B2503" s="271"/>
      <c r="C2503" s="271"/>
      <c r="D2503" s="271"/>
      <c r="E2503" s="271"/>
      <c r="F2503" s="271"/>
      <c r="G2503" s="273"/>
      <c r="H2503" s="88" t="s">
        <v>77</v>
      </c>
      <c r="I2503" s="399" t="s">
        <v>920</v>
      </c>
      <c r="J2503" s="273"/>
      <c r="K2503" s="399" t="s">
        <v>453</v>
      </c>
      <c r="L2503" s="273"/>
      <c r="M2503" s="399" t="s">
        <v>921</v>
      </c>
      <c r="N2503" s="273"/>
    </row>
    <row r="2504" spans="1:14" ht="12.75" customHeight="1" x14ac:dyDescent="0.2">
      <c r="A2504" s="400" t="s">
        <v>966</v>
      </c>
      <c r="B2504" s="271"/>
      <c r="C2504" s="271"/>
      <c r="D2504" s="271"/>
      <c r="E2504" s="271"/>
      <c r="F2504" s="271"/>
      <c r="G2504" s="273"/>
      <c r="H2504" s="29" t="s">
        <v>950</v>
      </c>
      <c r="I2504" s="394">
        <f>+M2491</f>
        <v>0</v>
      </c>
      <c r="J2504" s="273"/>
      <c r="K2504" s="404">
        <v>0.05</v>
      </c>
      <c r="L2504" s="273"/>
      <c r="M2504" s="394">
        <f t="shared" ref="M2504:M2508" si="337">IF(A2504="","",I2504*K2504)</f>
        <v>0</v>
      </c>
      <c r="N2504" s="273"/>
    </row>
    <row r="2505" spans="1:14" ht="12.75" customHeight="1" x14ac:dyDescent="0.2">
      <c r="A2505" s="403"/>
      <c r="B2505" s="271"/>
      <c r="C2505" s="271"/>
      <c r="D2505" s="271"/>
      <c r="E2505" s="271"/>
      <c r="F2505" s="271"/>
      <c r="G2505" s="273"/>
      <c r="H2505" s="29"/>
      <c r="I2505" s="394"/>
      <c r="J2505" s="273"/>
      <c r="K2505" s="404"/>
      <c r="L2505" s="273"/>
      <c r="M2505" s="394" t="str">
        <f t="shared" si="337"/>
        <v/>
      </c>
      <c r="N2505" s="273"/>
    </row>
    <row r="2506" spans="1:14" ht="12.75" customHeight="1" x14ac:dyDescent="0.2">
      <c r="A2506" s="400"/>
      <c r="B2506" s="271"/>
      <c r="C2506" s="271"/>
      <c r="D2506" s="271"/>
      <c r="E2506" s="271"/>
      <c r="F2506" s="271"/>
      <c r="G2506" s="273"/>
      <c r="H2506" s="29"/>
      <c r="I2506" s="394"/>
      <c r="J2506" s="273"/>
      <c r="K2506" s="395"/>
      <c r="L2506" s="273"/>
      <c r="M2506" s="394" t="str">
        <f t="shared" si="337"/>
        <v/>
      </c>
      <c r="N2506" s="273"/>
    </row>
    <row r="2507" spans="1:14" ht="12.75" customHeight="1" x14ac:dyDescent="0.2">
      <c r="A2507" s="400"/>
      <c r="B2507" s="271"/>
      <c r="C2507" s="271"/>
      <c r="D2507" s="271"/>
      <c r="E2507" s="271"/>
      <c r="F2507" s="271"/>
      <c r="G2507" s="273"/>
      <c r="H2507" s="29"/>
      <c r="I2507" s="394"/>
      <c r="J2507" s="273"/>
      <c r="K2507" s="395"/>
      <c r="L2507" s="273"/>
      <c r="M2507" s="394" t="str">
        <f t="shared" si="337"/>
        <v/>
      </c>
      <c r="N2507" s="273"/>
    </row>
    <row r="2508" spans="1:14" ht="12.75" customHeight="1" x14ac:dyDescent="0.2">
      <c r="A2508" s="400"/>
      <c r="B2508" s="271"/>
      <c r="C2508" s="271"/>
      <c r="D2508" s="271"/>
      <c r="E2508" s="271"/>
      <c r="F2508" s="271"/>
      <c r="G2508" s="273"/>
      <c r="H2508" s="29"/>
      <c r="I2508" s="394"/>
      <c r="J2508" s="273"/>
      <c r="K2508" s="395"/>
      <c r="L2508" s="273"/>
      <c r="M2508" s="394" t="str">
        <f t="shared" si="337"/>
        <v/>
      </c>
      <c r="N2508" s="273"/>
    </row>
    <row r="2509" spans="1:14" ht="12.75" customHeight="1" x14ac:dyDescent="0.25">
      <c r="A2509" s="4"/>
      <c r="B2509" s="4"/>
      <c r="C2509" s="4"/>
      <c r="D2509" s="4"/>
      <c r="E2509" s="4"/>
      <c r="F2509" s="4"/>
      <c r="G2509" s="4"/>
      <c r="H2509" s="4"/>
      <c r="I2509" s="4"/>
      <c r="J2509" s="4"/>
      <c r="K2509" s="396" t="s">
        <v>444</v>
      </c>
      <c r="L2509" s="273"/>
      <c r="M2509" s="394">
        <f>SUM(M2504:N2508)</f>
        <v>0</v>
      </c>
      <c r="N2509" s="273"/>
    </row>
    <row r="2510" spans="1:14" ht="12.75" customHeight="1" x14ac:dyDescent="0.25">
      <c r="A2510" s="4"/>
      <c r="B2510" s="4"/>
      <c r="C2510" s="4"/>
      <c r="D2510" s="4"/>
      <c r="E2510" s="4"/>
      <c r="F2510" s="4"/>
      <c r="G2510" s="4"/>
      <c r="H2510" s="4"/>
      <c r="I2510" s="4"/>
      <c r="J2510" s="4"/>
      <c r="K2510" s="4"/>
      <c r="L2510" s="4"/>
      <c r="M2510" s="4"/>
      <c r="N2510" s="4"/>
    </row>
    <row r="2511" spans="1:14" ht="12.75" customHeight="1" x14ac:dyDescent="0.2">
      <c r="A2511" s="398" t="s">
        <v>931</v>
      </c>
      <c r="B2511" s="271"/>
      <c r="C2511" s="271"/>
      <c r="D2511" s="271"/>
      <c r="E2511" s="271"/>
      <c r="F2511" s="271"/>
      <c r="G2511" s="271"/>
      <c r="H2511" s="271"/>
      <c r="I2511" s="271"/>
      <c r="J2511" s="271"/>
      <c r="K2511" s="271"/>
      <c r="L2511" s="271"/>
      <c r="M2511" s="271"/>
      <c r="N2511" s="273"/>
    </row>
    <row r="2512" spans="1:14" ht="12.75" customHeight="1" x14ac:dyDescent="0.2">
      <c r="A2512" s="396" t="s">
        <v>76</v>
      </c>
      <c r="B2512" s="271"/>
      <c r="C2512" s="271"/>
      <c r="D2512" s="271"/>
      <c r="E2512" s="271"/>
      <c r="F2512" s="271"/>
      <c r="G2512" s="273"/>
      <c r="H2512" s="88" t="s">
        <v>77</v>
      </c>
      <c r="I2512" s="399" t="s">
        <v>920</v>
      </c>
      <c r="J2512" s="273"/>
      <c r="K2512" s="90" t="s">
        <v>514</v>
      </c>
      <c r="L2512" s="91" t="s">
        <v>932</v>
      </c>
      <c r="M2512" s="399" t="s">
        <v>921</v>
      </c>
      <c r="N2512" s="273"/>
    </row>
    <row r="2513" spans="1:14" ht="12.75" customHeight="1" x14ac:dyDescent="0.25">
      <c r="A2513" s="393" t="s">
        <v>986</v>
      </c>
      <c r="B2513" s="271"/>
      <c r="C2513" s="271"/>
      <c r="D2513" s="271"/>
      <c r="E2513" s="271"/>
      <c r="F2513" s="271"/>
      <c r="G2513" s="273"/>
      <c r="H2513" s="29" t="str">
        <f>IF(A2513="","",VLOOKUP(A2513,AA_Cuadrillas,4,FALSE))</f>
        <v>Cuadrilla</v>
      </c>
      <c r="I2513" s="394">
        <f>IF(A2513="","",VLOOKUP(A2513,AA_Cuadrillas,5,FALSE))</f>
        <v>186763</v>
      </c>
      <c r="J2513" s="273"/>
      <c r="K2513" s="9">
        <f>IF(A2513="","",F.P!$I$2)</f>
        <v>1.88</v>
      </c>
      <c r="L2513" s="97">
        <v>0</v>
      </c>
      <c r="M2513" s="394">
        <f t="shared" ref="M2513:M2517" si="338">IF(A2513="","",I2513*K2513*L2513)</f>
        <v>0</v>
      </c>
      <c r="N2513" s="273"/>
    </row>
    <row r="2514" spans="1:14" ht="12.75" customHeight="1" x14ac:dyDescent="0.25">
      <c r="A2514" s="393"/>
      <c r="B2514" s="271"/>
      <c r="C2514" s="271"/>
      <c r="D2514" s="271"/>
      <c r="E2514" s="271"/>
      <c r="F2514" s="271"/>
      <c r="G2514" s="273"/>
      <c r="H2514" s="29" t="str">
        <f>IF(A2514="","",VLOOKUP(A2514,AA_Cuadrillas,4,FALSE))</f>
        <v/>
      </c>
      <c r="I2514" s="394" t="str">
        <f>IF(A2514="","",VLOOKUP(A2514,AA_Cuadrillas,5,FALSE))</f>
        <v/>
      </c>
      <c r="J2514" s="273"/>
      <c r="K2514" s="9" t="str">
        <f>IF(A2514="","",F.P!$I$2)</f>
        <v/>
      </c>
      <c r="L2514" s="9"/>
      <c r="M2514" s="394" t="str">
        <f t="shared" si="338"/>
        <v/>
      </c>
      <c r="N2514" s="273"/>
    </row>
    <row r="2515" spans="1:14" ht="12.75" customHeight="1" x14ac:dyDescent="0.25">
      <c r="A2515" s="393"/>
      <c r="B2515" s="271"/>
      <c r="C2515" s="271"/>
      <c r="D2515" s="271"/>
      <c r="E2515" s="271"/>
      <c r="F2515" s="271"/>
      <c r="G2515" s="273"/>
      <c r="H2515" s="29" t="str">
        <f>IF(A2515="","",VLOOKUP(A2515,AA_Cuadrillas,4,FALSE))</f>
        <v/>
      </c>
      <c r="I2515" s="394" t="str">
        <f>IF(A2515="","",VLOOKUP(A2515,AA_Cuadrillas,5,FALSE))</f>
        <v/>
      </c>
      <c r="J2515" s="273"/>
      <c r="K2515" s="9" t="str">
        <f>IF(A2515="","",F.P!$I$2)</f>
        <v/>
      </c>
      <c r="L2515" s="37"/>
      <c r="M2515" s="394" t="str">
        <f t="shared" si="338"/>
        <v/>
      </c>
      <c r="N2515" s="273"/>
    </row>
    <row r="2516" spans="1:14" ht="12.75" customHeight="1" x14ac:dyDescent="0.25">
      <c r="A2516" s="393"/>
      <c r="B2516" s="271"/>
      <c r="C2516" s="271"/>
      <c r="D2516" s="271"/>
      <c r="E2516" s="271"/>
      <c r="F2516" s="271"/>
      <c r="G2516" s="273"/>
      <c r="H2516" s="29" t="str">
        <f>IF(A2516="","",VLOOKUP(A2516,AA_Cuadrillas,4,FALSE))</f>
        <v/>
      </c>
      <c r="I2516" s="394" t="str">
        <f>IF(A2516="","",VLOOKUP(A2516,AA_Cuadrillas,5,FALSE))</f>
        <v/>
      </c>
      <c r="J2516" s="273"/>
      <c r="K2516" s="9" t="str">
        <f>IF(A2516="","",F.P!$I$2)</f>
        <v/>
      </c>
      <c r="L2516" s="37"/>
      <c r="M2516" s="394" t="str">
        <f t="shared" si="338"/>
        <v/>
      </c>
      <c r="N2516" s="273"/>
    </row>
    <row r="2517" spans="1:14" ht="12.75" customHeight="1" x14ac:dyDescent="0.25">
      <c r="A2517" s="393"/>
      <c r="B2517" s="271"/>
      <c r="C2517" s="271"/>
      <c r="D2517" s="271"/>
      <c r="E2517" s="271"/>
      <c r="F2517" s="271"/>
      <c r="G2517" s="273"/>
      <c r="H2517" s="29" t="str">
        <f>IF(A2517="","",VLOOKUP(A2517,AA_Cuadrillas,4,FALSE))</f>
        <v/>
      </c>
      <c r="I2517" s="394" t="str">
        <f>IF(A2517="","",VLOOKUP(A2517,AA_Cuadrillas,5,FALSE))</f>
        <v/>
      </c>
      <c r="J2517" s="273"/>
      <c r="K2517" s="9" t="str">
        <f>IF(A2517="","",F.P!$I$2)</f>
        <v/>
      </c>
      <c r="L2517" s="37"/>
      <c r="M2517" s="394" t="str">
        <f t="shared" si="338"/>
        <v/>
      </c>
      <c r="N2517" s="273"/>
    </row>
    <row r="2518" spans="1:14" ht="12.75" customHeight="1" x14ac:dyDescent="0.25">
      <c r="A2518" s="4"/>
      <c r="B2518" s="4"/>
      <c r="C2518" s="4"/>
      <c r="D2518" s="4"/>
      <c r="E2518" s="4"/>
      <c r="F2518" s="4"/>
      <c r="G2518" s="4"/>
      <c r="H2518" s="4"/>
      <c r="I2518" s="4"/>
      <c r="J2518" s="4"/>
      <c r="K2518" s="396" t="s">
        <v>444</v>
      </c>
      <c r="L2518" s="273"/>
      <c r="M2518" s="394">
        <f>SUM(M2513:N2517)</f>
        <v>0</v>
      </c>
      <c r="N2518" s="273"/>
    </row>
    <row r="2519" spans="1:14" ht="12.75" customHeight="1" x14ac:dyDescent="0.2"/>
    <row r="2520" spans="1:14" ht="12.75" customHeight="1" x14ac:dyDescent="0.2">
      <c r="A2520" s="407" t="s">
        <v>1088</v>
      </c>
      <c r="B2520" s="275"/>
      <c r="C2520" s="275"/>
      <c r="D2520" s="275"/>
      <c r="E2520" s="275"/>
      <c r="F2520" s="275"/>
      <c r="G2520" s="275"/>
      <c r="H2520" s="275"/>
      <c r="I2520" s="275"/>
      <c r="J2520" s="275"/>
      <c r="K2520" s="275"/>
      <c r="L2520" s="275"/>
      <c r="M2520" s="275"/>
      <c r="N2520" s="276"/>
    </row>
    <row r="2521" spans="1:14" ht="12.75" customHeight="1" x14ac:dyDescent="0.2">
      <c r="A2521" s="277"/>
      <c r="B2521" s="278"/>
      <c r="C2521" s="278"/>
      <c r="D2521" s="278"/>
      <c r="E2521" s="278"/>
      <c r="F2521" s="278"/>
      <c r="G2521" s="278"/>
      <c r="H2521" s="278"/>
      <c r="I2521" s="278"/>
      <c r="J2521" s="278"/>
      <c r="K2521" s="278"/>
      <c r="L2521" s="278"/>
      <c r="M2521" s="278"/>
      <c r="N2521" s="279"/>
    </row>
    <row r="2522" spans="1:14" ht="12.75" customHeight="1" x14ac:dyDescent="0.2">
      <c r="A2522" s="75"/>
      <c r="B2522" s="75"/>
      <c r="C2522" s="75"/>
      <c r="D2522" s="75"/>
      <c r="E2522" s="75"/>
      <c r="F2522" s="75"/>
      <c r="G2522" s="75"/>
      <c r="H2522" s="75"/>
      <c r="I2522" s="75"/>
      <c r="J2522" s="75"/>
      <c r="K2522" s="75"/>
      <c r="L2522" s="75"/>
      <c r="M2522" s="75"/>
      <c r="N2522" s="75"/>
    </row>
    <row r="2523" spans="1:14" ht="12.75" customHeight="1" x14ac:dyDescent="0.3">
      <c r="A2523" s="79" t="s">
        <v>672</v>
      </c>
      <c r="B2523" s="80" t="str">
        <f>A2520</f>
        <v>SUMINISTRO E INSTALACIÓN DE NIPLE DE 0,5 M Ø6 EN HIERRO DUCTIL</v>
      </c>
      <c r="C2523" s="81" t="s">
        <v>916</v>
      </c>
      <c r="D2523" s="82" t="s">
        <v>999</v>
      </c>
      <c r="E2523" s="83" t="s">
        <v>445</v>
      </c>
      <c r="F2523" s="86">
        <f>H2523+J2523+L2523+N2523</f>
        <v>0</v>
      </c>
      <c r="G2523" s="83" t="s">
        <v>607</v>
      </c>
      <c r="H2523" s="86">
        <f>M2533</f>
        <v>0</v>
      </c>
      <c r="I2523" s="83" t="s">
        <v>918</v>
      </c>
      <c r="J2523" s="86">
        <f>M2542</f>
        <v>0</v>
      </c>
      <c r="K2523" s="83" t="s">
        <v>609</v>
      </c>
      <c r="L2523" s="86">
        <f>M2551</f>
        <v>0</v>
      </c>
      <c r="M2523" s="83" t="s">
        <v>610</v>
      </c>
      <c r="N2523" s="86">
        <f>M2560</f>
        <v>0</v>
      </c>
    </row>
    <row r="2524" spans="1:14" ht="12.75" customHeight="1" x14ac:dyDescent="0.25">
      <c r="A2524" s="87"/>
      <c r="B2524" s="87"/>
      <c r="C2524" s="87"/>
      <c r="D2524" s="87"/>
      <c r="E2524" s="87"/>
      <c r="F2524" s="87"/>
      <c r="G2524" s="87"/>
      <c r="J2524" s="87"/>
      <c r="K2524" s="215" t="s">
        <v>3217</v>
      </c>
      <c r="L2524" s="215">
        <f>+F2523*presup!$O$5</f>
        <v>0</v>
      </c>
      <c r="M2524" s="87"/>
      <c r="N2524" s="87"/>
    </row>
    <row r="2525" spans="1:14" ht="12.75" customHeight="1" x14ac:dyDescent="0.2">
      <c r="A2525" s="398" t="s">
        <v>919</v>
      </c>
      <c r="B2525" s="271"/>
      <c r="C2525" s="271"/>
      <c r="D2525" s="271"/>
      <c r="E2525" s="271"/>
      <c r="F2525" s="271"/>
      <c r="G2525" s="271"/>
      <c r="H2525" s="271"/>
      <c r="I2525" s="271"/>
      <c r="J2525" s="271"/>
      <c r="K2525" s="271"/>
      <c r="L2525" s="271"/>
      <c r="M2525" s="271"/>
      <c r="N2525" s="273"/>
    </row>
    <row r="2526" spans="1:14" ht="12.75" customHeight="1" x14ac:dyDescent="0.2">
      <c r="A2526" s="396" t="s">
        <v>76</v>
      </c>
      <c r="B2526" s="271"/>
      <c r="C2526" s="271"/>
      <c r="D2526" s="271"/>
      <c r="E2526" s="271"/>
      <c r="F2526" s="271"/>
      <c r="G2526" s="273"/>
      <c r="H2526" s="88" t="s">
        <v>77</v>
      </c>
      <c r="I2526" s="399" t="s">
        <v>920</v>
      </c>
      <c r="J2526" s="273"/>
      <c r="K2526" s="399" t="s">
        <v>453</v>
      </c>
      <c r="L2526" s="273"/>
      <c r="M2526" s="399" t="s">
        <v>921</v>
      </c>
      <c r="N2526" s="273"/>
    </row>
    <row r="2527" spans="1:14" ht="12.75" customHeight="1" x14ac:dyDescent="0.2">
      <c r="A2527" s="403"/>
      <c r="B2527" s="271"/>
      <c r="C2527" s="271"/>
      <c r="D2527" s="271"/>
      <c r="E2527" s="271"/>
      <c r="F2527" s="271"/>
      <c r="G2527" s="273"/>
      <c r="H2527" s="29" t="str">
        <f t="shared" ref="H2527:H2532" si="339">IF(A2527="","",VLOOKUP(A2527,AA_Materiales,7,FALSE))</f>
        <v/>
      </c>
      <c r="I2527" s="394" t="str">
        <f t="shared" ref="I2527:I2532" si="340">IF(A2527="","",VLOOKUP(A2527,AA_Materiales,8,FALSE))</f>
        <v/>
      </c>
      <c r="J2527" s="273"/>
      <c r="K2527" s="395">
        <v>1</v>
      </c>
      <c r="L2527" s="273"/>
      <c r="M2527" s="394" t="str">
        <f t="shared" ref="M2527:M2532" si="341">IF(A2527="","",I2527*K2527)</f>
        <v/>
      </c>
      <c r="N2527" s="273"/>
    </row>
    <row r="2528" spans="1:14" ht="12.75" customHeight="1" x14ac:dyDescent="0.2">
      <c r="A2528" s="403"/>
      <c r="B2528" s="271"/>
      <c r="C2528" s="271"/>
      <c r="D2528" s="271"/>
      <c r="E2528" s="271"/>
      <c r="F2528" s="271"/>
      <c r="G2528" s="273"/>
      <c r="H2528" s="29" t="str">
        <f t="shared" si="339"/>
        <v/>
      </c>
      <c r="I2528" s="394" t="str">
        <f t="shared" si="340"/>
        <v/>
      </c>
      <c r="J2528" s="273"/>
      <c r="K2528" s="395"/>
      <c r="L2528" s="273"/>
      <c r="M2528" s="394" t="str">
        <f t="shared" si="341"/>
        <v/>
      </c>
      <c r="N2528" s="273"/>
    </row>
    <row r="2529" spans="1:14" ht="12.75" customHeight="1" x14ac:dyDescent="0.2">
      <c r="A2529" s="403"/>
      <c r="B2529" s="271"/>
      <c r="C2529" s="271"/>
      <c r="D2529" s="271"/>
      <c r="E2529" s="271"/>
      <c r="F2529" s="271"/>
      <c r="G2529" s="273"/>
      <c r="H2529" s="29" t="str">
        <f t="shared" si="339"/>
        <v/>
      </c>
      <c r="I2529" s="394" t="str">
        <f t="shared" si="340"/>
        <v/>
      </c>
      <c r="J2529" s="273"/>
      <c r="K2529" s="395"/>
      <c r="L2529" s="273"/>
      <c r="M2529" s="394" t="str">
        <f t="shared" si="341"/>
        <v/>
      </c>
      <c r="N2529" s="273"/>
    </row>
    <row r="2530" spans="1:14" ht="12.75" customHeight="1" x14ac:dyDescent="0.2">
      <c r="A2530" s="403"/>
      <c r="B2530" s="271"/>
      <c r="C2530" s="271"/>
      <c r="D2530" s="271"/>
      <c r="E2530" s="271"/>
      <c r="F2530" s="271"/>
      <c r="G2530" s="273"/>
      <c r="H2530" s="29" t="str">
        <f t="shared" si="339"/>
        <v/>
      </c>
      <c r="I2530" s="394" t="str">
        <f t="shared" si="340"/>
        <v/>
      </c>
      <c r="J2530" s="273"/>
      <c r="K2530" s="395"/>
      <c r="L2530" s="273"/>
      <c r="M2530" s="394" t="str">
        <f t="shared" si="341"/>
        <v/>
      </c>
      <c r="N2530" s="273"/>
    </row>
    <row r="2531" spans="1:14" ht="12.75" customHeight="1" x14ac:dyDescent="0.2">
      <c r="A2531" s="403"/>
      <c r="B2531" s="271"/>
      <c r="C2531" s="271"/>
      <c r="D2531" s="271"/>
      <c r="E2531" s="271"/>
      <c r="F2531" s="271"/>
      <c r="G2531" s="273"/>
      <c r="H2531" s="29" t="str">
        <f t="shared" si="339"/>
        <v/>
      </c>
      <c r="I2531" s="394" t="str">
        <f t="shared" si="340"/>
        <v/>
      </c>
      <c r="J2531" s="273"/>
      <c r="K2531" s="395"/>
      <c r="L2531" s="273"/>
      <c r="M2531" s="394" t="str">
        <f t="shared" si="341"/>
        <v/>
      </c>
      <c r="N2531" s="273"/>
    </row>
    <row r="2532" spans="1:14" ht="12.75" customHeight="1" x14ac:dyDescent="0.2">
      <c r="A2532" s="403"/>
      <c r="B2532" s="271"/>
      <c r="C2532" s="271"/>
      <c r="D2532" s="271"/>
      <c r="E2532" s="271"/>
      <c r="F2532" s="271"/>
      <c r="G2532" s="273"/>
      <c r="H2532" s="29" t="str">
        <f t="shared" si="339"/>
        <v/>
      </c>
      <c r="I2532" s="394" t="str">
        <f t="shared" si="340"/>
        <v/>
      </c>
      <c r="J2532" s="273"/>
      <c r="K2532" s="395"/>
      <c r="L2532" s="273"/>
      <c r="M2532" s="394" t="str">
        <f t="shared" si="341"/>
        <v/>
      </c>
      <c r="N2532" s="273"/>
    </row>
    <row r="2533" spans="1:14" ht="12.75" customHeight="1" x14ac:dyDescent="0.25">
      <c r="A2533" s="4"/>
      <c r="B2533" s="4"/>
      <c r="C2533" s="4"/>
      <c r="D2533" s="4"/>
      <c r="E2533" s="4"/>
      <c r="F2533" s="4"/>
      <c r="G2533" s="4"/>
      <c r="H2533" s="4"/>
      <c r="I2533" s="4"/>
      <c r="J2533" s="4"/>
      <c r="K2533" s="396" t="s">
        <v>444</v>
      </c>
      <c r="L2533" s="273"/>
      <c r="M2533" s="394">
        <f>SUM(M2527:N2532)</f>
        <v>0</v>
      </c>
      <c r="N2533" s="273"/>
    </row>
    <row r="2534" spans="1:14" ht="12.75" customHeight="1" x14ac:dyDescent="0.25">
      <c r="A2534" s="4"/>
      <c r="B2534" s="4"/>
      <c r="C2534" s="4"/>
      <c r="D2534" s="4"/>
      <c r="E2534" s="4"/>
      <c r="F2534" s="4"/>
      <c r="G2534" s="4"/>
      <c r="H2534" s="4"/>
      <c r="I2534" s="4"/>
      <c r="J2534" s="4"/>
      <c r="K2534" s="4"/>
      <c r="L2534" s="4"/>
      <c r="M2534" s="4"/>
      <c r="N2534" s="4"/>
    </row>
    <row r="2535" spans="1:14" ht="12.75" customHeight="1" x14ac:dyDescent="0.2">
      <c r="A2535" s="398" t="s">
        <v>926</v>
      </c>
      <c r="B2535" s="271"/>
      <c r="C2535" s="271"/>
      <c r="D2535" s="271"/>
      <c r="E2535" s="271"/>
      <c r="F2535" s="271"/>
      <c r="G2535" s="271"/>
      <c r="H2535" s="271"/>
      <c r="I2535" s="271"/>
      <c r="J2535" s="271"/>
      <c r="K2535" s="271"/>
      <c r="L2535" s="271"/>
      <c r="M2535" s="271"/>
      <c r="N2535" s="273"/>
    </row>
    <row r="2536" spans="1:14" ht="12.75" customHeight="1" x14ac:dyDescent="0.2">
      <c r="A2536" s="396" t="s">
        <v>76</v>
      </c>
      <c r="B2536" s="271"/>
      <c r="C2536" s="271"/>
      <c r="D2536" s="271"/>
      <c r="E2536" s="271"/>
      <c r="F2536" s="271"/>
      <c r="G2536" s="273"/>
      <c r="H2536" s="88" t="s">
        <v>77</v>
      </c>
      <c r="I2536" s="399" t="s">
        <v>920</v>
      </c>
      <c r="J2536" s="273"/>
      <c r="K2536" s="399" t="s">
        <v>453</v>
      </c>
      <c r="L2536" s="273"/>
      <c r="M2536" s="399" t="s">
        <v>921</v>
      </c>
      <c r="N2536" s="273"/>
    </row>
    <row r="2537" spans="1:14" ht="12.75" customHeight="1" x14ac:dyDescent="0.2">
      <c r="A2537" s="400" t="s">
        <v>927</v>
      </c>
      <c r="B2537" s="271"/>
      <c r="C2537" s="271"/>
      <c r="D2537" s="271"/>
      <c r="E2537" s="271"/>
      <c r="F2537" s="271"/>
      <c r="G2537" s="273"/>
      <c r="H2537" s="29" t="str">
        <f>IF(A2537="","",VLOOKUP(A2537,AA_Equipos,7,FALSE))</f>
        <v>% M.O.</v>
      </c>
      <c r="I2537" s="394">
        <f>+M2560</f>
        <v>0</v>
      </c>
      <c r="J2537" s="273"/>
      <c r="K2537" s="404">
        <v>0</v>
      </c>
      <c r="L2537" s="273"/>
      <c r="M2537" s="394">
        <f t="shared" ref="M2537:M2541" si="342">IF(A2537="","",I2537*K2537)</f>
        <v>0</v>
      </c>
      <c r="N2537" s="273"/>
    </row>
    <row r="2538" spans="1:14" ht="12.75" customHeight="1" x14ac:dyDescent="0.2">
      <c r="A2538" s="403"/>
      <c r="B2538" s="271"/>
      <c r="C2538" s="271"/>
      <c r="D2538" s="271"/>
      <c r="E2538" s="271"/>
      <c r="F2538" s="271"/>
      <c r="G2538" s="273"/>
      <c r="H2538" s="29" t="str">
        <f>IF(A2538="","",VLOOKUP(A2538,AA_Equipos,7,FALSE))</f>
        <v/>
      </c>
      <c r="I2538" s="394" t="str">
        <f>IF(A2538="","",VLOOKUP(A2538,AA_Equipos,8,FALSE))</f>
        <v/>
      </c>
      <c r="J2538" s="273"/>
      <c r="K2538" s="402"/>
      <c r="L2538" s="273"/>
      <c r="M2538" s="394" t="str">
        <f t="shared" si="342"/>
        <v/>
      </c>
      <c r="N2538" s="273"/>
    </row>
    <row r="2539" spans="1:14" ht="12.75" customHeight="1" x14ac:dyDescent="0.2">
      <c r="A2539" s="400"/>
      <c r="B2539" s="271"/>
      <c r="C2539" s="271"/>
      <c r="D2539" s="271"/>
      <c r="E2539" s="271"/>
      <c r="F2539" s="271"/>
      <c r="G2539" s="273"/>
      <c r="H2539" s="29" t="str">
        <f>IF(A2539="","",VLOOKUP(A2539,AA_Equipos,7,FALSE))</f>
        <v/>
      </c>
      <c r="I2539" s="394" t="str">
        <f>IF(A2539="","",VLOOKUP(A2539,AA_Equipos,8,FALSE))</f>
        <v/>
      </c>
      <c r="J2539" s="273"/>
      <c r="K2539" s="401"/>
      <c r="L2539" s="273"/>
      <c r="M2539" s="394" t="str">
        <f t="shared" si="342"/>
        <v/>
      </c>
      <c r="N2539" s="273"/>
    </row>
    <row r="2540" spans="1:14" ht="12.75" customHeight="1" x14ac:dyDescent="0.2">
      <c r="A2540" s="400"/>
      <c r="B2540" s="271"/>
      <c r="C2540" s="271"/>
      <c r="D2540" s="271"/>
      <c r="E2540" s="271"/>
      <c r="F2540" s="271"/>
      <c r="G2540" s="273"/>
      <c r="H2540" s="29" t="str">
        <f>IF(A2540="","",VLOOKUP(A2540,AA_Equipos,7,FALSE))</f>
        <v/>
      </c>
      <c r="I2540" s="394" t="str">
        <f>IF(A2540="","",VLOOKUP(A2540,AA_Equipos,8,FALSE))</f>
        <v/>
      </c>
      <c r="J2540" s="273"/>
      <c r="K2540" s="395"/>
      <c r="L2540" s="273"/>
      <c r="M2540" s="394" t="str">
        <f t="shared" si="342"/>
        <v/>
      </c>
      <c r="N2540" s="273"/>
    </row>
    <row r="2541" spans="1:14" ht="12.75" customHeight="1" x14ac:dyDescent="0.2">
      <c r="A2541" s="400"/>
      <c r="B2541" s="271"/>
      <c r="C2541" s="271"/>
      <c r="D2541" s="271"/>
      <c r="E2541" s="271"/>
      <c r="F2541" s="271"/>
      <c r="G2541" s="273"/>
      <c r="H2541" s="29" t="str">
        <f>IF(A2541="","",VLOOKUP(A2541,AA_Equipos,7,FALSE))</f>
        <v/>
      </c>
      <c r="I2541" s="394" t="str">
        <f>IF(A2541="","",VLOOKUP(A2541,AA_Equipos,8,FALSE))</f>
        <v/>
      </c>
      <c r="J2541" s="273"/>
      <c r="K2541" s="395"/>
      <c r="L2541" s="273"/>
      <c r="M2541" s="394" t="str">
        <f t="shared" si="342"/>
        <v/>
      </c>
      <c r="N2541" s="273"/>
    </row>
    <row r="2542" spans="1:14" ht="12.75" customHeight="1" x14ac:dyDescent="0.25">
      <c r="A2542" s="4"/>
      <c r="B2542" s="4"/>
      <c r="C2542" s="4"/>
      <c r="D2542" s="4"/>
      <c r="E2542" s="4"/>
      <c r="F2542" s="4"/>
      <c r="G2542" s="4"/>
      <c r="H2542" s="4"/>
      <c r="I2542" s="4"/>
      <c r="J2542" s="4"/>
      <c r="K2542" s="396" t="s">
        <v>444</v>
      </c>
      <c r="L2542" s="273"/>
      <c r="M2542" s="394">
        <f>SUM(M2537:N2541)</f>
        <v>0</v>
      </c>
      <c r="N2542" s="273"/>
    </row>
    <row r="2543" spans="1:14" ht="12.75" customHeight="1" x14ac:dyDescent="0.25">
      <c r="A2543" s="4"/>
      <c r="B2543" s="4"/>
      <c r="C2543" s="4"/>
      <c r="D2543" s="4"/>
      <c r="E2543" s="4"/>
      <c r="F2543" s="4"/>
      <c r="G2543" s="4"/>
      <c r="H2543" s="4"/>
      <c r="I2543" s="4"/>
      <c r="J2543" s="4"/>
      <c r="K2543" s="4"/>
      <c r="L2543" s="4"/>
      <c r="M2543" s="4"/>
      <c r="N2543" s="4"/>
    </row>
    <row r="2544" spans="1:14" ht="12.75" customHeight="1" x14ac:dyDescent="0.2">
      <c r="A2544" s="398" t="s">
        <v>929</v>
      </c>
      <c r="B2544" s="271"/>
      <c r="C2544" s="271"/>
      <c r="D2544" s="271"/>
      <c r="E2544" s="271"/>
      <c r="F2544" s="271"/>
      <c r="G2544" s="271"/>
      <c r="H2544" s="271"/>
      <c r="I2544" s="271"/>
      <c r="J2544" s="271"/>
      <c r="K2544" s="271"/>
      <c r="L2544" s="271"/>
      <c r="M2544" s="271"/>
      <c r="N2544" s="273"/>
    </row>
    <row r="2545" spans="1:14" ht="12.75" customHeight="1" x14ac:dyDescent="0.2">
      <c r="A2545" s="396" t="s">
        <v>76</v>
      </c>
      <c r="B2545" s="271"/>
      <c r="C2545" s="271"/>
      <c r="D2545" s="271"/>
      <c r="E2545" s="271"/>
      <c r="F2545" s="271"/>
      <c r="G2545" s="273"/>
      <c r="H2545" s="88" t="s">
        <v>77</v>
      </c>
      <c r="I2545" s="399" t="s">
        <v>920</v>
      </c>
      <c r="J2545" s="273"/>
      <c r="K2545" s="399" t="s">
        <v>453</v>
      </c>
      <c r="L2545" s="273"/>
      <c r="M2545" s="399" t="s">
        <v>921</v>
      </c>
      <c r="N2545" s="273"/>
    </row>
    <row r="2546" spans="1:14" ht="12.75" customHeight="1" x14ac:dyDescent="0.2">
      <c r="A2546" s="400" t="s">
        <v>966</v>
      </c>
      <c r="B2546" s="271"/>
      <c r="C2546" s="271"/>
      <c r="D2546" s="271"/>
      <c r="E2546" s="271"/>
      <c r="F2546" s="271"/>
      <c r="G2546" s="273"/>
      <c r="H2546" s="29" t="s">
        <v>950</v>
      </c>
      <c r="I2546" s="394">
        <f>+M2533</f>
        <v>0</v>
      </c>
      <c r="J2546" s="273"/>
      <c r="K2546" s="404">
        <v>0.05</v>
      </c>
      <c r="L2546" s="273"/>
      <c r="M2546" s="394">
        <f t="shared" ref="M2546:M2550" si="343">IF(A2546="","",I2546*K2546)</f>
        <v>0</v>
      </c>
      <c r="N2546" s="273"/>
    </row>
    <row r="2547" spans="1:14" ht="12.75" customHeight="1" x14ac:dyDescent="0.2">
      <c r="A2547" s="403"/>
      <c r="B2547" s="271"/>
      <c r="C2547" s="271"/>
      <c r="D2547" s="271"/>
      <c r="E2547" s="271"/>
      <c r="F2547" s="271"/>
      <c r="G2547" s="273"/>
      <c r="H2547" s="29"/>
      <c r="I2547" s="394"/>
      <c r="J2547" s="273"/>
      <c r="K2547" s="404"/>
      <c r="L2547" s="273"/>
      <c r="M2547" s="394" t="str">
        <f t="shared" si="343"/>
        <v/>
      </c>
      <c r="N2547" s="273"/>
    </row>
    <row r="2548" spans="1:14" ht="12.75" customHeight="1" x14ac:dyDescent="0.2">
      <c r="A2548" s="400"/>
      <c r="B2548" s="271"/>
      <c r="C2548" s="271"/>
      <c r="D2548" s="271"/>
      <c r="E2548" s="271"/>
      <c r="F2548" s="271"/>
      <c r="G2548" s="273"/>
      <c r="H2548" s="29"/>
      <c r="I2548" s="394"/>
      <c r="J2548" s="273"/>
      <c r="K2548" s="395"/>
      <c r="L2548" s="273"/>
      <c r="M2548" s="394" t="str">
        <f t="shared" si="343"/>
        <v/>
      </c>
      <c r="N2548" s="273"/>
    </row>
    <row r="2549" spans="1:14" ht="12.75" customHeight="1" x14ac:dyDescent="0.2">
      <c r="A2549" s="400"/>
      <c r="B2549" s="271"/>
      <c r="C2549" s="271"/>
      <c r="D2549" s="271"/>
      <c r="E2549" s="271"/>
      <c r="F2549" s="271"/>
      <c r="G2549" s="273"/>
      <c r="H2549" s="29"/>
      <c r="I2549" s="394"/>
      <c r="J2549" s="273"/>
      <c r="K2549" s="395"/>
      <c r="L2549" s="273"/>
      <c r="M2549" s="394" t="str">
        <f t="shared" si="343"/>
        <v/>
      </c>
      <c r="N2549" s="273"/>
    </row>
    <row r="2550" spans="1:14" ht="12.75" customHeight="1" x14ac:dyDescent="0.2">
      <c r="A2550" s="400"/>
      <c r="B2550" s="271"/>
      <c r="C2550" s="271"/>
      <c r="D2550" s="271"/>
      <c r="E2550" s="271"/>
      <c r="F2550" s="271"/>
      <c r="G2550" s="273"/>
      <c r="H2550" s="29"/>
      <c r="I2550" s="394"/>
      <c r="J2550" s="273"/>
      <c r="K2550" s="395"/>
      <c r="L2550" s="273"/>
      <c r="M2550" s="394" t="str">
        <f t="shared" si="343"/>
        <v/>
      </c>
      <c r="N2550" s="273"/>
    </row>
    <row r="2551" spans="1:14" ht="12.75" customHeight="1" x14ac:dyDescent="0.25">
      <c r="A2551" s="4"/>
      <c r="B2551" s="4"/>
      <c r="C2551" s="4"/>
      <c r="D2551" s="4"/>
      <c r="E2551" s="4"/>
      <c r="F2551" s="4"/>
      <c r="G2551" s="4"/>
      <c r="H2551" s="4"/>
      <c r="I2551" s="4"/>
      <c r="J2551" s="4"/>
      <c r="K2551" s="396" t="s">
        <v>444</v>
      </c>
      <c r="L2551" s="273"/>
      <c r="M2551" s="394">
        <f>SUM(M2546:N2550)</f>
        <v>0</v>
      </c>
      <c r="N2551" s="273"/>
    </row>
    <row r="2552" spans="1:14" ht="12.75" customHeight="1" x14ac:dyDescent="0.25">
      <c r="A2552" s="4"/>
      <c r="B2552" s="4"/>
      <c r="C2552" s="4"/>
      <c r="D2552" s="4"/>
      <c r="E2552" s="4"/>
      <c r="F2552" s="4"/>
      <c r="G2552" s="4"/>
      <c r="H2552" s="4"/>
      <c r="I2552" s="4"/>
      <c r="J2552" s="4"/>
      <c r="K2552" s="4"/>
      <c r="L2552" s="4"/>
      <c r="M2552" s="4"/>
      <c r="N2552" s="4"/>
    </row>
    <row r="2553" spans="1:14" ht="12.75" customHeight="1" x14ac:dyDescent="0.2">
      <c r="A2553" s="398" t="s">
        <v>931</v>
      </c>
      <c r="B2553" s="271"/>
      <c r="C2553" s="271"/>
      <c r="D2553" s="271"/>
      <c r="E2553" s="271"/>
      <c r="F2553" s="271"/>
      <c r="G2553" s="271"/>
      <c r="H2553" s="271"/>
      <c r="I2553" s="271"/>
      <c r="J2553" s="271"/>
      <c r="K2553" s="271"/>
      <c r="L2553" s="271"/>
      <c r="M2553" s="271"/>
      <c r="N2553" s="273"/>
    </row>
    <row r="2554" spans="1:14" ht="12.75" customHeight="1" x14ac:dyDescent="0.2">
      <c r="A2554" s="396" t="s">
        <v>76</v>
      </c>
      <c r="B2554" s="271"/>
      <c r="C2554" s="271"/>
      <c r="D2554" s="271"/>
      <c r="E2554" s="271"/>
      <c r="F2554" s="271"/>
      <c r="G2554" s="273"/>
      <c r="H2554" s="88" t="s">
        <v>77</v>
      </c>
      <c r="I2554" s="399" t="s">
        <v>920</v>
      </c>
      <c r="J2554" s="273"/>
      <c r="K2554" s="90" t="s">
        <v>514</v>
      </c>
      <c r="L2554" s="91" t="s">
        <v>932</v>
      </c>
      <c r="M2554" s="399" t="s">
        <v>921</v>
      </c>
      <c r="N2554" s="273"/>
    </row>
    <row r="2555" spans="1:14" ht="12.75" customHeight="1" x14ac:dyDescent="0.25">
      <c r="A2555" s="393" t="s">
        <v>986</v>
      </c>
      <c r="B2555" s="271"/>
      <c r="C2555" s="271"/>
      <c r="D2555" s="271"/>
      <c r="E2555" s="271"/>
      <c r="F2555" s="271"/>
      <c r="G2555" s="273"/>
      <c r="H2555" s="29" t="str">
        <f>IF(A2555="","",VLOOKUP(A2555,AA_Cuadrillas,4,FALSE))</f>
        <v>Cuadrilla</v>
      </c>
      <c r="I2555" s="394">
        <f>IF(A2555="","",VLOOKUP(A2555,AA_Cuadrillas,5,FALSE))</f>
        <v>186763</v>
      </c>
      <c r="J2555" s="273"/>
      <c r="K2555" s="9">
        <f>IF(A2555="","",F.P!$I$2)</f>
        <v>1.88</v>
      </c>
      <c r="L2555" s="97">
        <v>0</v>
      </c>
      <c r="M2555" s="394">
        <f t="shared" ref="M2555:M2559" si="344">IF(A2555="","",I2555*K2555*L2555)</f>
        <v>0</v>
      </c>
      <c r="N2555" s="273"/>
    </row>
    <row r="2556" spans="1:14" ht="12.75" customHeight="1" x14ac:dyDescent="0.25">
      <c r="A2556" s="393"/>
      <c r="B2556" s="271"/>
      <c r="C2556" s="271"/>
      <c r="D2556" s="271"/>
      <c r="E2556" s="271"/>
      <c r="F2556" s="271"/>
      <c r="G2556" s="273"/>
      <c r="H2556" s="29" t="str">
        <f>IF(A2556="","",VLOOKUP(A2556,AA_Cuadrillas,4,FALSE))</f>
        <v/>
      </c>
      <c r="I2556" s="394" t="str">
        <f>IF(A2556="","",VLOOKUP(A2556,AA_Cuadrillas,5,FALSE))</f>
        <v/>
      </c>
      <c r="J2556" s="273"/>
      <c r="K2556" s="9" t="str">
        <f>IF(A2556="","",F.P!$I$2)</f>
        <v/>
      </c>
      <c r="L2556" s="9"/>
      <c r="M2556" s="394" t="str">
        <f t="shared" si="344"/>
        <v/>
      </c>
      <c r="N2556" s="273"/>
    </row>
    <row r="2557" spans="1:14" ht="12.75" customHeight="1" x14ac:dyDescent="0.25">
      <c r="A2557" s="393"/>
      <c r="B2557" s="271"/>
      <c r="C2557" s="271"/>
      <c r="D2557" s="271"/>
      <c r="E2557" s="271"/>
      <c r="F2557" s="271"/>
      <c r="G2557" s="273"/>
      <c r="H2557" s="29" t="str">
        <f>IF(A2557="","",VLOOKUP(A2557,AA_Cuadrillas,4,FALSE))</f>
        <v/>
      </c>
      <c r="I2557" s="394" t="str">
        <f>IF(A2557="","",VLOOKUP(A2557,AA_Cuadrillas,5,FALSE))</f>
        <v/>
      </c>
      <c r="J2557" s="273"/>
      <c r="K2557" s="9" t="str">
        <f>IF(A2557="","",F.P!$I$2)</f>
        <v/>
      </c>
      <c r="L2557" s="37"/>
      <c r="M2557" s="394" t="str">
        <f t="shared" si="344"/>
        <v/>
      </c>
      <c r="N2557" s="273"/>
    </row>
    <row r="2558" spans="1:14" ht="12.75" customHeight="1" x14ac:dyDescent="0.25">
      <c r="A2558" s="393"/>
      <c r="B2558" s="271"/>
      <c r="C2558" s="271"/>
      <c r="D2558" s="271"/>
      <c r="E2558" s="271"/>
      <c r="F2558" s="271"/>
      <c r="G2558" s="273"/>
      <c r="H2558" s="29" t="str">
        <f>IF(A2558="","",VLOOKUP(A2558,AA_Cuadrillas,4,FALSE))</f>
        <v/>
      </c>
      <c r="I2558" s="394" t="str">
        <f>IF(A2558="","",VLOOKUP(A2558,AA_Cuadrillas,5,FALSE))</f>
        <v/>
      </c>
      <c r="J2558" s="273"/>
      <c r="K2558" s="9" t="str">
        <f>IF(A2558="","",F.P!$I$2)</f>
        <v/>
      </c>
      <c r="L2558" s="37"/>
      <c r="M2558" s="394" t="str">
        <f t="shared" si="344"/>
        <v/>
      </c>
      <c r="N2558" s="273"/>
    </row>
    <row r="2559" spans="1:14" ht="12.75" customHeight="1" x14ac:dyDescent="0.25">
      <c r="A2559" s="393"/>
      <c r="B2559" s="271"/>
      <c r="C2559" s="271"/>
      <c r="D2559" s="271"/>
      <c r="E2559" s="271"/>
      <c r="F2559" s="271"/>
      <c r="G2559" s="273"/>
      <c r="H2559" s="29" t="str">
        <f>IF(A2559="","",VLOOKUP(A2559,AA_Cuadrillas,4,FALSE))</f>
        <v/>
      </c>
      <c r="I2559" s="394" t="str">
        <f>IF(A2559="","",VLOOKUP(A2559,AA_Cuadrillas,5,FALSE))</f>
        <v/>
      </c>
      <c r="J2559" s="273"/>
      <c r="K2559" s="9" t="str">
        <f>IF(A2559="","",F.P!$I$2)</f>
        <v/>
      </c>
      <c r="L2559" s="37"/>
      <c r="M2559" s="394" t="str">
        <f t="shared" si="344"/>
        <v/>
      </c>
      <c r="N2559" s="273"/>
    </row>
    <row r="2560" spans="1:14" ht="12.75" customHeight="1" x14ac:dyDescent="0.25">
      <c r="A2560" s="4"/>
      <c r="B2560" s="4"/>
      <c r="C2560" s="4"/>
      <c r="D2560" s="4"/>
      <c r="E2560" s="4"/>
      <c r="F2560" s="4"/>
      <c r="G2560" s="4"/>
      <c r="H2560" s="4"/>
      <c r="I2560" s="4"/>
      <c r="J2560" s="4"/>
      <c r="K2560" s="396" t="s">
        <v>444</v>
      </c>
      <c r="L2560" s="273"/>
      <c r="M2560" s="394">
        <f>SUM(M2555:N2559)</f>
        <v>0</v>
      </c>
      <c r="N2560" s="273"/>
    </row>
    <row r="2561" spans="1:15" ht="12.75" customHeight="1" x14ac:dyDescent="0.2"/>
    <row r="2562" spans="1:15" ht="12.75" customHeight="1" x14ac:dyDescent="0.2">
      <c r="A2562" s="407" t="s">
        <v>154</v>
      </c>
      <c r="B2562" s="275"/>
      <c r="C2562" s="275"/>
      <c r="D2562" s="275"/>
      <c r="E2562" s="275"/>
      <c r="F2562" s="275"/>
      <c r="G2562" s="275"/>
      <c r="H2562" s="275"/>
      <c r="I2562" s="275"/>
      <c r="J2562" s="275"/>
      <c r="K2562" s="275"/>
      <c r="L2562" s="275"/>
      <c r="M2562" s="275"/>
      <c r="N2562" s="276"/>
      <c r="O2562" s="166"/>
    </row>
    <row r="2563" spans="1:15" ht="12.75" customHeight="1" x14ac:dyDescent="0.2">
      <c r="A2563" s="277"/>
      <c r="B2563" s="278"/>
      <c r="C2563" s="278"/>
      <c r="D2563" s="278"/>
      <c r="E2563" s="278"/>
      <c r="F2563" s="278"/>
      <c r="G2563" s="278"/>
      <c r="H2563" s="278"/>
      <c r="I2563" s="278"/>
      <c r="J2563" s="278"/>
      <c r="K2563" s="278"/>
      <c r="L2563" s="278"/>
      <c r="M2563" s="278"/>
      <c r="N2563" s="279"/>
      <c r="O2563" s="166"/>
    </row>
    <row r="2564" spans="1:15" ht="12.75" customHeight="1" x14ac:dyDescent="0.2">
      <c r="A2564" s="75"/>
      <c r="B2564" s="75"/>
      <c r="C2564" s="75"/>
      <c r="D2564" s="75"/>
      <c r="E2564" s="75"/>
      <c r="F2564" s="75"/>
      <c r="G2564" s="75"/>
      <c r="H2564" s="75"/>
      <c r="I2564" s="75"/>
      <c r="J2564" s="75"/>
      <c r="K2564" s="75"/>
      <c r="L2564" s="75"/>
      <c r="M2564" s="75"/>
      <c r="N2564" s="75"/>
    </row>
    <row r="2565" spans="1:15" ht="12.75" customHeight="1" x14ac:dyDescent="0.3">
      <c r="A2565" s="79" t="s">
        <v>673</v>
      </c>
      <c r="B2565" s="80" t="str">
        <f>A2562</f>
        <v>SUMINISTRO E INSTALACIÓN DE TAPA DE ACCESO EN LAMINA DE ALFAJOR CAL 14 (INCLUYE MARCO, MANIJA DE AGARRE, SOPORTES Y SOLDADURA)</v>
      </c>
      <c r="C2565" s="81" t="s">
        <v>916</v>
      </c>
      <c r="D2565" s="82" t="s">
        <v>999</v>
      </c>
      <c r="E2565" s="83" t="s">
        <v>445</v>
      </c>
      <c r="F2565" s="234">
        <f>(H2565+J2565+L2565+N2565)*1.3</f>
        <v>539720.19484499993</v>
      </c>
      <c r="G2565" s="83" t="s">
        <v>607</v>
      </c>
      <c r="H2565" s="86">
        <f>M2584</f>
        <v>72486.157250000004</v>
      </c>
      <c r="I2565" s="83" t="s">
        <v>918</v>
      </c>
      <c r="J2565" s="86">
        <f>M2575</f>
        <v>232960.0784</v>
      </c>
      <c r="K2565" s="83" t="s">
        <v>609</v>
      </c>
      <c r="L2565" s="86">
        <f>M2593</f>
        <v>0</v>
      </c>
      <c r="M2565" s="83" t="s">
        <v>610</v>
      </c>
      <c r="N2565" s="86">
        <f>M2602</f>
        <v>109723.14499999999</v>
      </c>
    </row>
    <row r="2566" spans="1:15" ht="12.75" customHeight="1" x14ac:dyDescent="0.25">
      <c r="A2566" s="87"/>
      <c r="B2566" s="87"/>
      <c r="C2566" s="87"/>
      <c r="D2566" s="87"/>
      <c r="E2566" s="87"/>
      <c r="F2566" s="87"/>
      <c r="G2566" s="87"/>
      <c r="J2566" s="87"/>
      <c r="K2566" s="215" t="s">
        <v>3217</v>
      </c>
      <c r="L2566" s="215">
        <f>+F2565*presup!$O$5</f>
        <v>701636.25329849997</v>
      </c>
      <c r="M2566" s="87"/>
      <c r="N2566" s="87"/>
    </row>
    <row r="2567" spans="1:15" ht="12.75" customHeight="1" x14ac:dyDescent="0.2">
      <c r="A2567" s="398" t="s">
        <v>919</v>
      </c>
      <c r="B2567" s="271"/>
      <c r="C2567" s="271"/>
      <c r="D2567" s="271"/>
      <c r="E2567" s="271"/>
      <c r="F2567" s="271"/>
      <c r="G2567" s="271"/>
      <c r="H2567" s="271"/>
      <c r="I2567" s="271"/>
      <c r="J2567" s="271"/>
      <c r="K2567" s="271"/>
      <c r="L2567" s="271"/>
      <c r="M2567" s="271"/>
      <c r="N2567" s="273"/>
    </row>
    <row r="2568" spans="1:15" ht="12.75" customHeight="1" x14ac:dyDescent="0.2">
      <c r="A2568" s="396" t="s">
        <v>76</v>
      </c>
      <c r="B2568" s="271"/>
      <c r="C2568" s="271"/>
      <c r="D2568" s="271"/>
      <c r="E2568" s="271"/>
      <c r="F2568" s="271"/>
      <c r="G2568" s="273"/>
      <c r="H2568" s="88" t="s">
        <v>77</v>
      </c>
      <c r="I2568" s="399" t="s">
        <v>920</v>
      </c>
      <c r="J2568" s="273"/>
      <c r="K2568" s="399" t="s">
        <v>453</v>
      </c>
      <c r="L2568" s="273"/>
      <c r="M2568" s="399" t="s">
        <v>921</v>
      </c>
      <c r="N2568" s="273"/>
    </row>
    <row r="2569" spans="1:15" ht="12.75" customHeight="1" x14ac:dyDescent="0.2">
      <c r="A2569" s="403" t="s">
        <v>1089</v>
      </c>
      <c r="B2569" s="271"/>
      <c r="C2569" s="271"/>
      <c r="D2569" s="271"/>
      <c r="E2569" s="271"/>
      <c r="F2569" s="271"/>
      <c r="G2569" s="273"/>
      <c r="H2569" s="29" t="str">
        <f t="shared" ref="H2569:H2574" si="345">IF(A2569="","",VLOOKUP(A2569,AA_Materiales,7,FALSE))</f>
        <v>m2</v>
      </c>
      <c r="I2569" s="394">
        <f t="shared" ref="I2569:I2574" si="346">IF(A2569="","",VLOOKUP(A2569,AA_Materiales,8,FALSE))</f>
        <v>180540</v>
      </c>
      <c r="J2569" s="273"/>
      <c r="K2569" s="395">
        <v>1</v>
      </c>
      <c r="L2569" s="273"/>
      <c r="M2569" s="394">
        <f t="shared" ref="M2569:M2574" si="347">IF(A2569="","",I2569*K2569)</f>
        <v>180540</v>
      </c>
      <c r="N2569" s="273"/>
    </row>
    <row r="2570" spans="1:15" ht="12.75" customHeight="1" x14ac:dyDescent="0.2">
      <c r="A2570" s="403" t="s">
        <v>993</v>
      </c>
      <c r="B2570" s="271"/>
      <c r="C2570" s="271"/>
      <c r="D2570" s="271"/>
      <c r="E2570" s="271"/>
      <c r="F2570" s="271"/>
      <c r="G2570" s="273"/>
      <c r="H2570" s="29" t="str">
        <f t="shared" si="345"/>
        <v>Kg</v>
      </c>
      <c r="I2570" s="394">
        <f t="shared" si="346"/>
        <v>23400</v>
      </c>
      <c r="J2570" s="273"/>
      <c r="K2570" s="395">
        <v>0.7</v>
      </c>
      <c r="L2570" s="273"/>
      <c r="M2570" s="394">
        <f t="shared" si="347"/>
        <v>16379.999999999998</v>
      </c>
      <c r="N2570" s="273"/>
    </row>
    <row r="2571" spans="1:15" ht="12.75" customHeight="1" x14ac:dyDescent="0.2">
      <c r="A2571" s="403" t="s">
        <v>1090</v>
      </c>
      <c r="B2571" s="271"/>
      <c r="C2571" s="271"/>
      <c r="D2571" s="271"/>
      <c r="E2571" s="271"/>
      <c r="F2571" s="271"/>
      <c r="G2571" s="273"/>
      <c r="H2571" s="29" t="str">
        <f t="shared" si="345"/>
        <v>ml</v>
      </c>
      <c r="I2571" s="394">
        <f t="shared" si="346"/>
        <v>6669</v>
      </c>
      <c r="J2571" s="273"/>
      <c r="K2571" s="395">
        <v>4</v>
      </c>
      <c r="L2571" s="273"/>
      <c r="M2571" s="394">
        <f t="shared" si="347"/>
        <v>26676</v>
      </c>
      <c r="N2571" s="273"/>
    </row>
    <row r="2572" spans="1:15" ht="12.75" customHeight="1" x14ac:dyDescent="0.2">
      <c r="A2572" s="403" t="s">
        <v>995</v>
      </c>
      <c r="B2572" s="271"/>
      <c r="C2572" s="271"/>
      <c r="D2572" s="271"/>
      <c r="E2572" s="271"/>
      <c r="F2572" s="271"/>
      <c r="G2572" s="273"/>
      <c r="H2572" s="29" t="str">
        <f t="shared" si="345"/>
        <v>Galón</v>
      </c>
      <c r="I2572" s="394">
        <f t="shared" si="346"/>
        <v>95900</v>
      </c>
      <c r="J2572" s="273"/>
      <c r="K2572" s="395">
        <v>0.05</v>
      </c>
      <c r="L2572" s="273"/>
      <c r="M2572" s="394">
        <f t="shared" si="347"/>
        <v>4795</v>
      </c>
      <c r="N2572" s="273"/>
    </row>
    <row r="2573" spans="1:15" ht="12.75" customHeight="1" x14ac:dyDescent="0.2">
      <c r="A2573" s="403" t="s">
        <v>1044</v>
      </c>
      <c r="B2573" s="271"/>
      <c r="C2573" s="271"/>
      <c r="D2573" s="271"/>
      <c r="E2573" s="271"/>
      <c r="F2573" s="271"/>
      <c r="G2573" s="273"/>
      <c r="H2573" s="29" t="str">
        <f t="shared" si="345"/>
        <v>Galón</v>
      </c>
      <c r="I2573" s="394">
        <f t="shared" si="346"/>
        <v>76900</v>
      </c>
      <c r="J2573" s="273"/>
      <c r="K2573" s="395">
        <v>0.05</v>
      </c>
      <c r="L2573" s="273"/>
      <c r="M2573" s="394">
        <f t="shared" si="347"/>
        <v>3845</v>
      </c>
      <c r="N2573" s="273"/>
    </row>
    <row r="2574" spans="1:15" ht="12.75" customHeight="1" x14ac:dyDescent="0.2">
      <c r="A2574" s="403" t="s">
        <v>1091</v>
      </c>
      <c r="B2574" s="271"/>
      <c r="C2574" s="271"/>
      <c r="D2574" s="271"/>
      <c r="E2574" s="271"/>
      <c r="F2574" s="271"/>
      <c r="G2574" s="273"/>
      <c r="H2574" s="29" t="str">
        <f t="shared" si="345"/>
        <v>Kg</v>
      </c>
      <c r="I2574" s="394">
        <f t="shared" si="346"/>
        <v>4525.49</v>
      </c>
      <c r="J2574" s="273"/>
      <c r="K2574" s="395">
        <v>0.16</v>
      </c>
      <c r="L2574" s="273"/>
      <c r="M2574" s="394">
        <f t="shared" si="347"/>
        <v>724.07839999999999</v>
      </c>
      <c r="N2574" s="273"/>
    </row>
    <row r="2575" spans="1:15" ht="12.75" customHeight="1" x14ac:dyDescent="0.25">
      <c r="A2575" s="4"/>
      <c r="B2575" s="4"/>
      <c r="C2575" s="4"/>
      <c r="D2575" s="4"/>
      <c r="E2575" s="4"/>
      <c r="F2575" s="4"/>
      <c r="G2575" s="4"/>
      <c r="H2575" s="4"/>
      <c r="I2575" s="4"/>
      <c r="J2575" s="4"/>
      <c r="K2575" s="396" t="s">
        <v>444</v>
      </c>
      <c r="L2575" s="273"/>
      <c r="M2575" s="394">
        <f>SUM(M2569:N2574)</f>
        <v>232960.0784</v>
      </c>
      <c r="N2575" s="273"/>
    </row>
    <row r="2576" spans="1:15" ht="12.75" customHeight="1" x14ac:dyDescent="0.25">
      <c r="A2576" s="4"/>
      <c r="B2576" s="4"/>
      <c r="C2576" s="4"/>
      <c r="D2576" s="4"/>
      <c r="E2576" s="4"/>
      <c r="F2576" s="4"/>
      <c r="G2576" s="4"/>
      <c r="H2576" s="4"/>
      <c r="I2576" s="4"/>
      <c r="J2576" s="4"/>
      <c r="K2576" s="4"/>
      <c r="L2576" s="4"/>
      <c r="M2576" s="4"/>
      <c r="N2576" s="4"/>
    </row>
    <row r="2577" spans="1:14" ht="12.75" customHeight="1" x14ac:dyDescent="0.2">
      <c r="A2577" s="398" t="s">
        <v>926</v>
      </c>
      <c r="B2577" s="271"/>
      <c r="C2577" s="271"/>
      <c r="D2577" s="271"/>
      <c r="E2577" s="271"/>
      <c r="F2577" s="271"/>
      <c r="G2577" s="271"/>
      <c r="H2577" s="271"/>
      <c r="I2577" s="271"/>
      <c r="J2577" s="271"/>
      <c r="K2577" s="271"/>
      <c r="L2577" s="271"/>
      <c r="M2577" s="271"/>
      <c r="N2577" s="273"/>
    </row>
    <row r="2578" spans="1:14" ht="12.75" customHeight="1" x14ac:dyDescent="0.2">
      <c r="A2578" s="396" t="s">
        <v>76</v>
      </c>
      <c r="B2578" s="271"/>
      <c r="C2578" s="271"/>
      <c r="D2578" s="271"/>
      <c r="E2578" s="271"/>
      <c r="F2578" s="271"/>
      <c r="G2578" s="273"/>
      <c r="H2578" s="88" t="s">
        <v>77</v>
      </c>
      <c r="I2578" s="399" t="s">
        <v>920</v>
      </c>
      <c r="J2578" s="273"/>
      <c r="K2578" s="399" t="s">
        <v>453</v>
      </c>
      <c r="L2578" s="273"/>
      <c r="M2578" s="399" t="s">
        <v>921</v>
      </c>
      <c r="N2578" s="273"/>
    </row>
    <row r="2579" spans="1:14" ht="12.75" customHeight="1" x14ac:dyDescent="0.2">
      <c r="A2579" s="400" t="s">
        <v>927</v>
      </c>
      <c r="B2579" s="271"/>
      <c r="C2579" s="271"/>
      <c r="D2579" s="271"/>
      <c r="E2579" s="271"/>
      <c r="F2579" s="271"/>
      <c r="G2579" s="273"/>
      <c r="H2579" s="29" t="str">
        <f>IF(A2579="","",VLOOKUP(A2579,AA_Equipos,7,FALSE))</f>
        <v>% M.O.</v>
      </c>
      <c r="I2579" s="394">
        <f>+M2602</f>
        <v>109723.14499999999</v>
      </c>
      <c r="J2579" s="273"/>
      <c r="K2579" s="404">
        <v>0.05</v>
      </c>
      <c r="L2579" s="273"/>
      <c r="M2579" s="394">
        <f t="shared" ref="M2579:M2583" si="348">IF(A2579="","",I2579*K2579)</f>
        <v>5486.1572500000002</v>
      </c>
      <c r="N2579" s="273"/>
    </row>
    <row r="2580" spans="1:14" ht="12.75" customHeight="1" x14ac:dyDescent="0.2">
      <c r="A2580" s="403" t="s">
        <v>1032</v>
      </c>
      <c r="B2580" s="271"/>
      <c r="C2580" s="271"/>
      <c r="D2580" s="271"/>
      <c r="E2580" s="271"/>
      <c r="F2580" s="271"/>
      <c r="G2580" s="273"/>
      <c r="H2580" s="29" t="str">
        <f>IF(A2580="","",VLOOKUP(A2580,AA_Equipos,7,FALSE))</f>
        <v>Dia</v>
      </c>
      <c r="I2580" s="394">
        <f>IF(A2580="","",VLOOKUP(A2580,AA_Equipos,8,FALSE))</f>
        <v>50000</v>
      </c>
      <c r="J2580" s="273"/>
      <c r="K2580" s="395">
        <v>0.5</v>
      </c>
      <c r="L2580" s="273"/>
      <c r="M2580" s="394">
        <f t="shared" si="348"/>
        <v>25000</v>
      </c>
      <c r="N2580" s="273"/>
    </row>
    <row r="2581" spans="1:14" ht="12.75" customHeight="1" x14ac:dyDescent="0.2">
      <c r="A2581" s="400" t="s">
        <v>1092</v>
      </c>
      <c r="B2581" s="271"/>
      <c r="C2581" s="271"/>
      <c r="D2581" s="271"/>
      <c r="E2581" s="271"/>
      <c r="F2581" s="271"/>
      <c r="G2581" s="273"/>
      <c r="H2581" s="29" t="str">
        <f>IF(A2581="","",VLOOKUP(A2581,AA_Equipos,7,FALSE))</f>
        <v>Dia</v>
      </c>
      <c r="I2581" s="394">
        <f>IF(A2581="","",VLOOKUP(A2581,AA_Equipos,8,FALSE))</f>
        <v>84000</v>
      </c>
      <c r="J2581" s="273"/>
      <c r="K2581" s="395">
        <v>0.5</v>
      </c>
      <c r="L2581" s="273"/>
      <c r="M2581" s="394">
        <f t="shared" si="348"/>
        <v>42000</v>
      </c>
      <c r="N2581" s="273"/>
    </row>
    <row r="2582" spans="1:14" ht="12.75" customHeight="1" x14ac:dyDescent="0.2">
      <c r="A2582" s="400"/>
      <c r="B2582" s="271"/>
      <c r="C2582" s="271"/>
      <c r="D2582" s="271"/>
      <c r="E2582" s="271"/>
      <c r="F2582" s="271"/>
      <c r="G2582" s="273"/>
      <c r="H2582" s="29" t="str">
        <f>IF(A2582="","",VLOOKUP(A2582,AA_Equipos,7,FALSE))</f>
        <v/>
      </c>
      <c r="I2582" s="394" t="str">
        <f>IF(A2582="","",VLOOKUP(A2582,AA_Equipos,8,FALSE))</f>
        <v/>
      </c>
      <c r="J2582" s="273"/>
      <c r="K2582" s="395"/>
      <c r="L2582" s="273"/>
      <c r="M2582" s="394" t="str">
        <f t="shared" si="348"/>
        <v/>
      </c>
      <c r="N2582" s="273"/>
    </row>
    <row r="2583" spans="1:14" ht="12.75" customHeight="1" x14ac:dyDescent="0.2">
      <c r="A2583" s="400"/>
      <c r="B2583" s="271"/>
      <c r="C2583" s="271"/>
      <c r="D2583" s="271"/>
      <c r="E2583" s="271"/>
      <c r="F2583" s="271"/>
      <c r="G2583" s="273"/>
      <c r="H2583" s="29" t="str">
        <f>IF(A2583="","",VLOOKUP(A2583,AA_Equipos,7,FALSE))</f>
        <v/>
      </c>
      <c r="I2583" s="394" t="str">
        <f>IF(A2583="","",VLOOKUP(A2583,AA_Equipos,8,FALSE))</f>
        <v/>
      </c>
      <c r="J2583" s="273"/>
      <c r="K2583" s="395"/>
      <c r="L2583" s="273"/>
      <c r="M2583" s="394" t="str">
        <f t="shared" si="348"/>
        <v/>
      </c>
      <c r="N2583" s="273"/>
    </row>
    <row r="2584" spans="1:14" ht="12.75" customHeight="1" x14ac:dyDescent="0.25">
      <c r="A2584" s="4"/>
      <c r="B2584" s="4"/>
      <c r="C2584" s="4"/>
      <c r="D2584" s="4"/>
      <c r="E2584" s="4"/>
      <c r="F2584" s="4"/>
      <c r="G2584" s="4"/>
      <c r="H2584" s="4"/>
      <c r="I2584" s="4"/>
      <c r="J2584" s="4"/>
      <c r="K2584" s="396" t="s">
        <v>444</v>
      </c>
      <c r="L2584" s="273"/>
      <c r="M2584" s="394">
        <f>SUM(M2579:N2583)</f>
        <v>72486.157250000004</v>
      </c>
      <c r="N2584" s="273"/>
    </row>
    <row r="2585" spans="1:14" ht="12.75" customHeight="1" x14ac:dyDescent="0.25">
      <c r="A2585" s="4"/>
      <c r="B2585" s="4"/>
      <c r="C2585" s="4"/>
      <c r="D2585" s="4"/>
      <c r="E2585" s="4"/>
      <c r="F2585" s="4"/>
      <c r="G2585" s="4"/>
      <c r="H2585" s="4"/>
      <c r="I2585" s="4"/>
      <c r="J2585" s="4"/>
      <c r="K2585" s="4"/>
      <c r="L2585" s="4"/>
      <c r="M2585" s="4"/>
      <c r="N2585" s="4"/>
    </row>
    <row r="2586" spans="1:14" ht="12.75" customHeight="1" x14ac:dyDescent="0.2">
      <c r="A2586" s="398" t="s">
        <v>929</v>
      </c>
      <c r="B2586" s="271"/>
      <c r="C2586" s="271"/>
      <c r="D2586" s="271"/>
      <c r="E2586" s="271"/>
      <c r="F2586" s="271"/>
      <c r="G2586" s="271"/>
      <c r="H2586" s="271"/>
      <c r="I2586" s="271"/>
      <c r="J2586" s="271"/>
      <c r="K2586" s="271"/>
      <c r="L2586" s="271"/>
      <c r="M2586" s="271"/>
      <c r="N2586" s="273"/>
    </row>
    <row r="2587" spans="1:14" ht="12.75" customHeight="1" x14ac:dyDescent="0.2">
      <c r="A2587" s="396" t="s">
        <v>76</v>
      </c>
      <c r="B2587" s="271"/>
      <c r="C2587" s="271"/>
      <c r="D2587" s="271"/>
      <c r="E2587" s="271"/>
      <c r="F2587" s="271"/>
      <c r="G2587" s="273"/>
      <c r="H2587" s="88" t="s">
        <v>77</v>
      </c>
      <c r="I2587" s="399" t="s">
        <v>920</v>
      </c>
      <c r="J2587" s="273"/>
      <c r="K2587" s="399" t="s">
        <v>453</v>
      </c>
      <c r="L2587" s="273"/>
      <c r="M2587" s="399" t="s">
        <v>921</v>
      </c>
      <c r="N2587" s="273"/>
    </row>
    <row r="2588" spans="1:14" ht="12.75" customHeight="1" x14ac:dyDescent="0.2">
      <c r="A2588" s="400" t="s">
        <v>966</v>
      </c>
      <c r="B2588" s="271"/>
      <c r="C2588" s="271"/>
      <c r="D2588" s="271"/>
      <c r="E2588" s="271"/>
      <c r="F2588" s="271"/>
      <c r="G2588" s="273"/>
      <c r="H2588" s="29"/>
      <c r="I2588" s="394"/>
      <c r="J2588" s="273"/>
      <c r="K2588" s="404"/>
      <c r="L2588" s="273"/>
      <c r="M2588" s="394">
        <f t="shared" ref="M2588:M2592" si="349">IF(A2588="","",I2588*K2588)</f>
        <v>0</v>
      </c>
      <c r="N2588" s="273"/>
    </row>
    <row r="2589" spans="1:14" ht="12.75" customHeight="1" x14ac:dyDescent="0.2">
      <c r="A2589" s="403" t="s">
        <v>3174</v>
      </c>
      <c r="B2589" s="271"/>
      <c r="C2589" s="271"/>
      <c r="D2589" s="271"/>
      <c r="E2589" s="271"/>
      <c r="F2589" s="271"/>
      <c r="G2589" s="273"/>
      <c r="H2589" s="29"/>
      <c r="I2589" s="394"/>
      <c r="J2589" s="273"/>
      <c r="K2589" s="404"/>
      <c r="L2589" s="273"/>
      <c r="M2589" s="394">
        <f t="shared" si="349"/>
        <v>0</v>
      </c>
      <c r="N2589" s="273"/>
    </row>
    <row r="2590" spans="1:14" ht="12.75" customHeight="1" x14ac:dyDescent="0.2">
      <c r="A2590" s="400"/>
      <c r="B2590" s="271"/>
      <c r="C2590" s="271"/>
      <c r="D2590" s="271"/>
      <c r="E2590" s="271"/>
      <c r="F2590" s="271"/>
      <c r="G2590" s="273"/>
      <c r="H2590" s="29"/>
      <c r="I2590" s="394"/>
      <c r="J2590" s="273"/>
      <c r="K2590" s="395"/>
      <c r="L2590" s="273"/>
      <c r="M2590" s="394" t="str">
        <f t="shared" si="349"/>
        <v/>
      </c>
      <c r="N2590" s="273"/>
    </row>
    <row r="2591" spans="1:14" ht="12.75" customHeight="1" x14ac:dyDescent="0.2">
      <c r="A2591" s="400"/>
      <c r="B2591" s="271"/>
      <c r="C2591" s="271"/>
      <c r="D2591" s="271"/>
      <c r="E2591" s="271"/>
      <c r="F2591" s="271"/>
      <c r="G2591" s="273"/>
      <c r="H2591" s="29"/>
      <c r="I2591" s="394"/>
      <c r="J2591" s="273"/>
      <c r="K2591" s="395"/>
      <c r="L2591" s="273"/>
      <c r="M2591" s="394" t="str">
        <f t="shared" si="349"/>
        <v/>
      </c>
      <c r="N2591" s="273"/>
    </row>
    <row r="2592" spans="1:14" ht="12.75" customHeight="1" x14ac:dyDescent="0.2">
      <c r="A2592" s="400"/>
      <c r="B2592" s="271"/>
      <c r="C2592" s="271"/>
      <c r="D2592" s="271"/>
      <c r="E2592" s="271"/>
      <c r="F2592" s="271"/>
      <c r="G2592" s="273"/>
      <c r="H2592" s="29"/>
      <c r="I2592" s="394"/>
      <c r="J2592" s="273"/>
      <c r="K2592" s="395"/>
      <c r="L2592" s="273"/>
      <c r="M2592" s="394" t="str">
        <f t="shared" si="349"/>
        <v/>
      </c>
      <c r="N2592" s="273"/>
    </row>
    <row r="2593" spans="1:15" ht="12.75" customHeight="1" x14ac:dyDescent="0.25">
      <c r="A2593" s="4"/>
      <c r="B2593" s="4"/>
      <c r="C2593" s="4"/>
      <c r="D2593" s="4"/>
      <c r="E2593" s="4"/>
      <c r="F2593" s="4"/>
      <c r="G2593" s="4"/>
      <c r="H2593" s="4"/>
      <c r="I2593" s="4"/>
      <c r="J2593" s="4"/>
      <c r="K2593" s="396" t="s">
        <v>444</v>
      </c>
      <c r="L2593" s="273"/>
      <c r="M2593" s="394">
        <f>SUM(M2588:N2592)</f>
        <v>0</v>
      </c>
      <c r="N2593" s="273"/>
    </row>
    <row r="2594" spans="1:15" ht="12.75" customHeight="1" x14ac:dyDescent="0.25">
      <c r="A2594" s="4"/>
      <c r="B2594" s="4"/>
      <c r="C2594" s="4"/>
      <c r="D2594" s="4"/>
      <c r="E2594" s="4"/>
      <c r="F2594" s="4"/>
      <c r="G2594" s="4"/>
      <c r="H2594" s="4"/>
      <c r="I2594" s="4"/>
      <c r="J2594" s="4"/>
      <c r="K2594" s="4"/>
      <c r="L2594" s="4"/>
      <c r="M2594" s="4"/>
      <c r="N2594" s="4"/>
    </row>
    <row r="2595" spans="1:15" ht="12.75" customHeight="1" x14ac:dyDescent="0.2">
      <c r="A2595" s="398" t="s">
        <v>931</v>
      </c>
      <c r="B2595" s="271"/>
      <c r="C2595" s="271"/>
      <c r="D2595" s="271"/>
      <c r="E2595" s="271"/>
      <c r="F2595" s="271"/>
      <c r="G2595" s="271"/>
      <c r="H2595" s="271"/>
      <c r="I2595" s="271"/>
      <c r="J2595" s="271"/>
      <c r="K2595" s="271"/>
      <c r="L2595" s="271"/>
      <c r="M2595" s="271"/>
      <c r="N2595" s="273"/>
    </row>
    <row r="2596" spans="1:15" ht="12.75" customHeight="1" x14ac:dyDescent="0.2">
      <c r="A2596" s="396" t="s">
        <v>76</v>
      </c>
      <c r="B2596" s="271"/>
      <c r="C2596" s="271"/>
      <c r="D2596" s="271"/>
      <c r="E2596" s="271"/>
      <c r="F2596" s="271"/>
      <c r="G2596" s="273"/>
      <c r="H2596" s="88" t="s">
        <v>77</v>
      </c>
      <c r="I2596" s="399" t="s">
        <v>920</v>
      </c>
      <c r="J2596" s="273"/>
      <c r="K2596" s="90" t="s">
        <v>514</v>
      </c>
      <c r="L2596" s="91" t="s">
        <v>932</v>
      </c>
      <c r="M2596" s="399" t="s">
        <v>921</v>
      </c>
      <c r="N2596" s="273"/>
    </row>
    <row r="2597" spans="1:15" ht="12.75" customHeight="1" x14ac:dyDescent="0.25">
      <c r="A2597" s="393" t="s">
        <v>1093</v>
      </c>
      <c r="B2597" s="271"/>
      <c r="C2597" s="271"/>
      <c r="D2597" s="271"/>
      <c r="E2597" s="271"/>
      <c r="F2597" s="271"/>
      <c r="G2597" s="273"/>
      <c r="H2597" s="29" t="str">
        <f>IF(A2597="","",VLOOKUP(A2597,AA_Cuadrillas,4,FALSE))</f>
        <v>Cuadrilla</v>
      </c>
      <c r="I2597" s="394">
        <f>IF(A2597="","",VLOOKUP(A2597,AA_Cuadrillas,5,FALSE))</f>
        <v>466907</v>
      </c>
      <c r="J2597" s="273"/>
      <c r="K2597" s="9">
        <f>IF(A2597="","",F.P!$I$2)</f>
        <v>1.88</v>
      </c>
      <c r="L2597" s="97">
        <v>0.125</v>
      </c>
      <c r="M2597" s="394">
        <f t="shared" ref="M2597:M2601" si="350">IF(A2597="","",I2597*K2597*L2597)</f>
        <v>109723.14499999999</v>
      </c>
      <c r="N2597" s="273"/>
    </row>
    <row r="2598" spans="1:15" ht="12.75" customHeight="1" x14ac:dyDescent="0.25">
      <c r="A2598" s="393"/>
      <c r="B2598" s="271"/>
      <c r="C2598" s="271"/>
      <c r="D2598" s="271"/>
      <c r="E2598" s="271"/>
      <c r="F2598" s="271"/>
      <c r="G2598" s="273"/>
      <c r="H2598" s="29" t="str">
        <f>IF(A2598="","",VLOOKUP(A2598,AA_Cuadrillas,4,FALSE))</f>
        <v/>
      </c>
      <c r="I2598" s="394" t="str">
        <f>IF(A2598="","",VLOOKUP(A2598,AA_Cuadrillas,5,FALSE))</f>
        <v/>
      </c>
      <c r="J2598" s="273"/>
      <c r="K2598" s="9" t="str">
        <f>IF(A2598="","",F.P!$I$2)</f>
        <v/>
      </c>
      <c r="L2598" s="9"/>
      <c r="M2598" s="394" t="str">
        <f t="shared" si="350"/>
        <v/>
      </c>
      <c r="N2598" s="273"/>
    </row>
    <row r="2599" spans="1:15" ht="12.75" customHeight="1" x14ac:dyDescent="0.25">
      <c r="A2599" s="393"/>
      <c r="B2599" s="271"/>
      <c r="C2599" s="271"/>
      <c r="D2599" s="271"/>
      <c r="E2599" s="271"/>
      <c r="F2599" s="271"/>
      <c r="G2599" s="273"/>
      <c r="H2599" s="29" t="str">
        <f>IF(A2599="","",VLOOKUP(A2599,AA_Cuadrillas,4,FALSE))</f>
        <v/>
      </c>
      <c r="I2599" s="394" t="str">
        <f>IF(A2599="","",VLOOKUP(A2599,AA_Cuadrillas,5,FALSE))</f>
        <v/>
      </c>
      <c r="J2599" s="273"/>
      <c r="K2599" s="9" t="str">
        <f>IF(A2599="","",F.P!$I$2)</f>
        <v/>
      </c>
      <c r="L2599" s="37"/>
      <c r="M2599" s="394" t="str">
        <f t="shared" si="350"/>
        <v/>
      </c>
      <c r="N2599" s="273"/>
    </row>
    <row r="2600" spans="1:15" ht="12.75" customHeight="1" x14ac:dyDescent="0.25">
      <c r="A2600" s="393"/>
      <c r="B2600" s="271"/>
      <c r="C2600" s="271"/>
      <c r="D2600" s="271"/>
      <c r="E2600" s="271"/>
      <c r="F2600" s="271"/>
      <c r="G2600" s="273"/>
      <c r="H2600" s="29" t="str">
        <f>IF(A2600="","",VLOOKUP(A2600,AA_Cuadrillas,4,FALSE))</f>
        <v/>
      </c>
      <c r="I2600" s="394" t="str">
        <f>IF(A2600="","",VLOOKUP(A2600,AA_Cuadrillas,5,FALSE))</f>
        <v/>
      </c>
      <c r="J2600" s="273"/>
      <c r="K2600" s="9" t="str">
        <f>IF(A2600="","",F.P!$I$2)</f>
        <v/>
      </c>
      <c r="L2600" s="37"/>
      <c r="M2600" s="394" t="str">
        <f t="shared" si="350"/>
        <v/>
      </c>
      <c r="N2600" s="273"/>
    </row>
    <row r="2601" spans="1:15" ht="12.75" customHeight="1" x14ac:dyDescent="0.25">
      <c r="A2601" s="393"/>
      <c r="B2601" s="271"/>
      <c r="C2601" s="271"/>
      <c r="D2601" s="271"/>
      <c r="E2601" s="271"/>
      <c r="F2601" s="271"/>
      <c r="G2601" s="273"/>
      <c r="H2601" s="29" t="str">
        <f>IF(A2601="","",VLOOKUP(A2601,AA_Cuadrillas,4,FALSE))</f>
        <v/>
      </c>
      <c r="I2601" s="394" t="str">
        <f>IF(A2601="","",VLOOKUP(A2601,AA_Cuadrillas,5,FALSE))</f>
        <v/>
      </c>
      <c r="J2601" s="273"/>
      <c r="K2601" s="9" t="str">
        <f>IF(A2601="","",F.P!$I$2)</f>
        <v/>
      </c>
      <c r="L2601" s="37"/>
      <c r="M2601" s="394" t="str">
        <f t="shared" si="350"/>
        <v/>
      </c>
      <c r="N2601" s="273"/>
    </row>
    <row r="2602" spans="1:15" ht="12.75" customHeight="1" x14ac:dyDescent="0.25">
      <c r="A2602" s="4"/>
      <c r="B2602" s="4"/>
      <c r="C2602" s="4"/>
      <c r="D2602" s="4"/>
      <c r="E2602" s="4"/>
      <c r="F2602" s="4"/>
      <c r="G2602" s="4"/>
      <c r="H2602" s="4"/>
      <c r="I2602" s="4"/>
      <c r="J2602" s="4"/>
      <c r="K2602" s="396" t="s">
        <v>444</v>
      </c>
      <c r="L2602" s="273"/>
      <c r="M2602" s="394">
        <f>SUM(M2597:N2601)</f>
        <v>109723.14499999999</v>
      </c>
      <c r="N2602" s="273"/>
    </row>
    <row r="2603" spans="1:15" ht="12.75" customHeight="1" x14ac:dyDescent="0.2"/>
    <row r="2604" spans="1:15" ht="12.75" customHeight="1" x14ac:dyDescent="0.2">
      <c r="A2604" s="407" t="s">
        <v>149</v>
      </c>
      <c r="B2604" s="275"/>
      <c r="C2604" s="275"/>
      <c r="D2604" s="275"/>
      <c r="E2604" s="275"/>
      <c r="F2604" s="275"/>
      <c r="G2604" s="275"/>
      <c r="H2604" s="275"/>
      <c r="I2604" s="275"/>
      <c r="J2604" s="275"/>
      <c r="K2604" s="275"/>
      <c r="L2604" s="275"/>
      <c r="M2604" s="275"/>
      <c r="N2604" s="276"/>
      <c r="O2604" s="166"/>
    </row>
    <row r="2605" spans="1:15" ht="12.75" customHeight="1" x14ac:dyDescent="0.2">
      <c r="A2605" s="277"/>
      <c r="B2605" s="278"/>
      <c r="C2605" s="278"/>
      <c r="D2605" s="278"/>
      <c r="E2605" s="278"/>
      <c r="F2605" s="278"/>
      <c r="G2605" s="278"/>
      <c r="H2605" s="278"/>
      <c r="I2605" s="278"/>
      <c r="J2605" s="278"/>
      <c r="K2605" s="278"/>
      <c r="L2605" s="278"/>
      <c r="M2605" s="278"/>
      <c r="N2605" s="279"/>
      <c r="O2605" s="166"/>
    </row>
    <row r="2606" spans="1:15" ht="12.75" customHeight="1" x14ac:dyDescent="0.2">
      <c r="A2606" s="75"/>
      <c r="B2606" s="75"/>
      <c r="C2606" s="75"/>
      <c r="D2606" s="75"/>
      <c r="E2606" s="75"/>
      <c r="F2606" s="75"/>
      <c r="G2606" s="75"/>
      <c r="H2606" s="75"/>
      <c r="I2606" s="75"/>
      <c r="J2606" s="75"/>
      <c r="K2606" s="75"/>
      <c r="L2606" s="75"/>
      <c r="M2606" s="75"/>
      <c r="N2606" s="75"/>
    </row>
    <row r="2607" spans="1:15" ht="12.75" customHeight="1" x14ac:dyDescent="0.3">
      <c r="A2607" s="79" t="s">
        <v>674</v>
      </c>
      <c r="B2607" s="80" t="str">
        <f>A2604</f>
        <v>SUMINISTRO E INSTALACIÓN DE REGLETA LIMNIMÉTRICA DE AFORO Y MEDICIÓN DE CAUDAL CALIBRADA (INCLUYE MATERIALES Y MANO DE OBRA)</v>
      </c>
      <c r="C2607" s="81" t="s">
        <v>916</v>
      </c>
      <c r="D2607" s="82" t="s">
        <v>999</v>
      </c>
      <c r="E2607" s="83" t="s">
        <v>445</v>
      </c>
      <c r="F2607" s="234">
        <f>(H2607+J2607+L2607+N2607)*1.3</f>
        <v>360247.794292634</v>
      </c>
      <c r="G2607" s="83" t="s">
        <v>607</v>
      </c>
      <c r="H2607" s="86">
        <f>M2626</f>
        <v>585.19073333333336</v>
      </c>
      <c r="I2607" s="83" t="s">
        <v>918</v>
      </c>
      <c r="J2607" s="86">
        <f>M2617</f>
        <v>254314.82298074407</v>
      </c>
      <c r="K2607" s="83" t="s">
        <v>609</v>
      </c>
      <c r="L2607" s="86">
        <f>M2635</f>
        <v>10509.859536666667</v>
      </c>
      <c r="M2607" s="83" t="s">
        <v>610</v>
      </c>
      <c r="N2607" s="86">
        <f>M2644</f>
        <v>11703.814666666667</v>
      </c>
    </row>
    <row r="2608" spans="1:15" ht="12.75" customHeight="1" x14ac:dyDescent="0.25">
      <c r="A2608" s="87"/>
      <c r="B2608" s="87"/>
      <c r="C2608" s="87"/>
      <c r="D2608" s="87"/>
      <c r="E2608" s="87"/>
      <c r="F2608" s="87"/>
      <c r="G2608" s="87"/>
      <c r="J2608" s="87"/>
      <c r="K2608" s="215" t="s">
        <v>3217</v>
      </c>
      <c r="L2608" s="215">
        <f>+F2607*presup!$O$5</f>
        <v>468322.13258042419</v>
      </c>
      <c r="M2608" s="87"/>
      <c r="N2608" s="87"/>
    </row>
    <row r="2609" spans="1:14" ht="12.75" customHeight="1" x14ac:dyDescent="0.2">
      <c r="A2609" s="398" t="s">
        <v>919</v>
      </c>
      <c r="B2609" s="271"/>
      <c r="C2609" s="271"/>
      <c r="D2609" s="271"/>
      <c r="E2609" s="271"/>
      <c r="F2609" s="271"/>
      <c r="G2609" s="271"/>
      <c r="H2609" s="271"/>
      <c r="I2609" s="271"/>
      <c r="J2609" s="271"/>
      <c r="K2609" s="271"/>
      <c r="L2609" s="271"/>
      <c r="M2609" s="271"/>
      <c r="N2609" s="273"/>
    </row>
    <row r="2610" spans="1:14" ht="12.75" customHeight="1" x14ac:dyDescent="0.2">
      <c r="A2610" s="396" t="s">
        <v>76</v>
      </c>
      <c r="B2610" s="271"/>
      <c r="C2610" s="271"/>
      <c r="D2610" s="271"/>
      <c r="E2610" s="271"/>
      <c r="F2610" s="271"/>
      <c r="G2610" s="273"/>
      <c r="H2610" s="88" t="s">
        <v>77</v>
      </c>
      <c r="I2610" s="399" t="s">
        <v>920</v>
      </c>
      <c r="J2610" s="273"/>
      <c r="K2610" s="399" t="s">
        <v>453</v>
      </c>
      <c r="L2610" s="273"/>
      <c r="M2610" s="399" t="s">
        <v>921</v>
      </c>
      <c r="N2610" s="273"/>
    </row>
    <row r="2611" spans="1:14" ht="12.75" customHeight="1" x14ac:dyDescent="0.2">
      <c r="A2611" s="403" t="s">
        <v>1094</v>
      </c>
      <c r="B2611" s="271"/>
      <c r="C2611" s="271"/>
      <c r="D2611" s="271"/>
      <c r="E2611" s="271"/>
      <c r="F2611" s="271"/>
      <c r="G2611" s="273"/>
      <c r="H2611" s="29" t="str">
        <f t="shared" ref="H2611:H2616" si="351">IF(A2611="","",VLOOKUP(A2611,AA_Materiales,7,FALSE))</f>
        <v>Unidad</v>
      </c>
      <c r="I2611" s="394">
        <f t="shared" ref="I2611:I2616" si="352">IF(A2611="","",VLOOKUP(A2611,AA_Materiales,8,FALSE))</f>
        <v>209612</v>
      </c>
      <c r="J2611" s="273"/>
      <c r="K2611" s="395">
        <v>1</v>
      </c>
      <c r="L2611" s="273"/>
      <c r="M2611" s="394">
        <f t="shared" ref="M2611:M2616" si="353">IF(A2611="","",I2611*K2611)</f>
        <v>209612</v>
      </c>
      <c r="N2611" s="273"/>
    </row>
    <row r="2612" spans="1:14" ht="12.75" customHeight="1" x14ac:dyDescent="0.2">
      <c r="A2612" s="403" t="s">
        <v>1023</v>
      </c>
      <c r="B2612" s="271"/>
      <c r="C2612" s="271"/>
      <c r="D2612" s="271"/>
      <c r="E2612" s="271"/>
      <c r="F2612" s="271"/>
      <c r="G2612" s="273"/>
      <c r="H2612" s="29" t="str">
        <f t="shared" si="351"/>
        <v>m3</v>
      </c>
      <c r="I2612" s="411">
        <f t="shared" si="352"/>
        <v>745047.0496790678</v>
      </c>
      <c r="J2612" s="368"/>
      <c r="K2612" s="395">
        <v>0.06</v>
      </c>
      <c r="L2612" s="273"/>
      <c r="M2612" s="394">
        <f t="shared" si="353"/>
        <v>44702.822980744066</v>
      </c>
      <c r="N2612" s="273"/>
    </row>
    <row r="2613" spans="1:14" ht="12.75" customHeight="1" x14ac:dyDescent="0.2">
      <c r="A2613" s="403"/>
      <c r="B2613" s="271"/>
      <c r="C2613" s="271"/>
      <c r="D2613" s="271"/>
      <c r="E2613" s="271"/>
      <c r="F2613" s="271"/>
      <c r="G2613" s="273"/>
      <c r="H2613" s="29" t="str">
        <f t="shared" si="351"/>
        <v/>
      </c>
      <c r="I2613" s="394" t="str">
        <f t="shared" si="352"/>
        <v/>
      </c>
      <c r="J2613" s="273"/>
      <c r="K2613" s="395"/>
      <c r="L2613" s="273"/>
      <c r="M2613" s="394" t="str">
        <f t="shared" si="353"/>
        <v/>
      </c>
      <c r="N2613" s="273"/>
    </row>
    <row r="2614" spans="1:14" ht="12.75" customHeight="1" x14ac:dyDescent="0.2">
      <c r="A2614" s="403"/>
      <c r="B2614" s="271"/>
      <c r="C2614" s="271"/>
      <c r="D2614" s="271"/>
      <c r="E2614" s="271"/>
      <c r="F2614" s="271"/>
      <c r="G2614" s="273"/>
      <c r="H2614" s="29" t="str">
        <f t="shared" si="351"/>
        <v/>
      </c>
      <c r="I2614" s="394" t="str">
        <f t="shared" si="352"/>
        <v/>
      </c>
      <c r="J2614" s="273"/>
      <c r="K2614" s="395"/>
      <c r="L2614" s="273"/>
      <c r="M2614" s="394" t="str">
        <f t="shared" si="353"/>
        <v/>
      </c>
      <c r="N2614" s="273"/>
    </row>
    <row r="2615" spans="1:14" ht="12.75" customHeight="1" x14ac:dyDescent="0.2">
      <c r="A2615" s="403"/>
      <c r="B2615" s="271"/>
      <c r="C2615" s="271"/>
      <c r="D2615" s="271"/>
      <c r="E2615" s="271"/>
      <c r="F2615" s="271"/>
      <c r="G2615" s="273"/>
      <c r="H2615" s="29" t="str">
        <f t="shared" si="351"/>
        <v/>
      </c>
      <c r="I2615" s="394" t="str">
        <f t="shared" si="352"/>
        <v/>
      </c>
      <c r="J2615" s="273"/>
      <c r="K2615" s="395"/>
      <c r="L2615" s="273"/>
      <c r="M2615" s="394" t="str">
        <f t="shared" si="353"/>
        <v/>
      </c>
      <c r="N2615" s="273"/>
    </row>
    <row r="2616" spans="1:14" ht="12.75" customHeight="1" x14ac:dyDescent="0.2">
      <c r="A2616" s="403"/>
      <c r="B2616" s="271"/>
      <c r="C2616" s="271"/>
      <c r="D2616" s="271"/>
      <c r="E2616" s="271"/>
      <c r="F2616" s="271"/>
      <c r="G2616" s="273"/>
      <c r="H2616" s="29" t="str">
        <f t="shared" si="351"/>
        <v/>
      </c>
      <c r="I2616" s="394" t="str">
        <f t="shared" si="352"/>
        <v/>
      </c>
      <c r="J2616" s="273"/>
      <c r="K2616" s="395"/>
      <c r="L2616" s="273"/>
      <c r="M2616" s="394" t="str">
        <f t="shared" si="353"/>
        <v/>
      </c>
      <c r="N2616" s="273"/>
    </row>
    <row r="2617" spans="1:14" ht="12.75" customHeight="1" x14ac:dyDescent="0.25">
      <c r="A2617" s="4"/>
      <c r="B2617" s="4"/>
      <c r="C2617" s="4"/>
      <c r="D2617" s="4"/>
      <c r="E2617" s="4"/>
      <c r="F2617" s="4"/>
      <c r="G2617" s="4"/>
      <c r="H2617" s="4"/>
      <c r="I2617" s="4"/>
      <c r="J2617" s="4"/>
      <c r="K2617" s="396" t="s">
        <v>444</v>
      </c>
      <c r="L2617" s="273"/>
      <c r="M2617" s="394">
        <f>SUM(M2611:N2616)</f>
        <v>254314.82298074407</v>
      </c>
      <c r="N2617" s="273"/>
    </row>
    <row r="2618" spans="1:14" ht="12.75" customHeight="1" x14ac:dyDescent="0.25">
      <c r="A2618" s="4"/>
      <c r="B2618" s="4"/>
      <c r="C2618" s="4"/>
      <c r="D2618" s="4"/>
      <c r="E2618" s="4"/>
      <c r="F2618" s="4"/>
      <c r="G2618" s="4"/>
      <c r="H2618" s="4"/>
      <c r="I2618" s="4"/>
      <c r="J2618" s="4"/>
      <c r="K2618" s="4"/>
      <c r="L2618" s="4"/>
      <c r="M2618" s="4"/>
      <c r="N2618" s="4"/>
    </row>
    <row r="2619" spans="1:14" ht="12.75" customHeight="1" x14ac:dyDescent="0.2">
      <c r="A2619" s="398" t="s">
        <v>926</v>
      </c>
      <c r="B2619" s="271"/>
      <c r="C2619" s="271"/>
      <c r="D2619" s="271"/>
      <c r="E2619" s="271"/>
      <c r="F2619" s="271"/>
      <c r="G2619" s="271"/>
      <c r="H2619" s="271"/>
      <c r="I2619" s="271"/>
      <c r="J2619" s="271"/>
      <c r="K2619" s="271"/>
      <c r="L2619" s="271"/>
      <c r="M2619" s="271"/>
      <c r="N2619" s="273"/>
    </row>
    <row r="2620" spans="1:14" ht="12.75" customHeight="1" x14ac:dyDescent="0.2">
      <c r="A2620" s="396" t="s">
        <v>76</v>
      </c>
      <c r="B2620" s="271"/>
      <c r="C2620" s="271"/>
      <c r="D2620" s="271"/>
      <c r="E2620" s="271"/>
      <c r="F2620" s="271"/>
      <c r="G2620" s="273"/>
      <c r="H2620" s="88" t="s">
        <v>77</v>
      </c>
      <c r="I2620" s="399" t="s">
        <v>920</v>
      </c>
      <c r="J2620" s="273"/>
      <c r="K2620" s="399" t="s">
        <v>453</v>
      </c>
      <c r="L2620" s="273"/>
      <c r="M2620" s="399" t="s">
        <v>921</v>
      </c>
      <c r="N2620" s="273"/>
    </row>
    <row r="2621" spans="1:14" ht="12.75" customHeight="1" x14ac:dyDescent="0.2">
      <c r="A2621" s="400" t="s">
        <v>927</v>
      </c>
      <c r="B2621" s="271"/>
      <c r="C2621" s="271"/>
      <c r="D2621" s="271"/>
      <c r="E2621" s="271"/>
      <c r="F2621" s="271"/>
      <c r="G2621" s="273"/>
      <c r="H2621" s="29" t="str">
        <f>IF(A2621="","",VLOOKUP(A2621,AA_Equipos,7,FALSE))</f>
        <v>% M.O.</v>
      </c>
      <c r="I2621" s="394">
        <f>+M2644</f>
        <v>11703.814666666667</v>
      </c>
      <c r="J2621" s="273"/>
      <c r="K2621" s="404">
        <v>0.05</v>
      </c>
      <c r="L2621" s="273"/>
      <c r="M2621" s="394">
        <f t="shared" ref="M2621:M2625" si="354">IF(A2621="","",I2621*K2621)</f>
        <v>585.19073333333336</v>
      </c>
      <c r="N2621" s="273"/>
    </row>
    <row r="2622" spans="1:14" ht="12.75" customHeight="1" x14ac:dyDescent="0.2">
      <c r="A2622" s="403"/>
      <c r="B2622" s="271"/>
      <c r="C2622" s="271"/>
      <c r="D2622" s="271"/>
      <c r="E2622" s="271"/>
      <c r="F2622" s="271"/>
      <c r="G2622" s="273"/>
      <c r="H2622" s="29" t="str">
        <f>IF(A2622="","",VLOOKUP(A2622,AA_Equipos,7,FALSE))</f>
        <v/>
      </c>
      <c r="I2622" s="394" t="str">
        <f>IF(A2622="","",VLOOKUP(A2622,AA_Equipos,8,FALSE))</f>
        <v/>
      </c>
      <c r="J2622" s="273"/>
      <c r="K2622" s="402"/>
      <c r="L2622" s="273"/>
      <c r="M2622" s="394" t="str">
        <f t="shared" si="354"/>
        <v/>
      </c>
      <c r="N2622" s="273"/>
    </row>
    <row r="2623" spans="1:14" ht="12.75" customHeight="1" x14ac:dyDescent="0.2">
      <c r="A2623" s="400"/>
      <c r="B2623" s="271"/>
      <c r="C2623" s="271"/>
      <c r="D2623" s="271"/>
      <c r="E2623" s="271"/>
      <c r="F2623" s="271"/>
      <c r="G2623" s="273"/>
      <c r="H2623" s="29" t="str">
        <f>IF(A2623="","",VLOOKUP(A2623,AA_Equipos,7,FALSE))</f>
        <v/>
      </c>
      <c r="I2623" s="394" t="str">
        <f>IF(A2623="","",VLOOKUP(A2623,AA_Equipos,8,FALSE))</f>
        <v/>
      </c>
      <c r="J2623" s="273"/>
      <c r="K2623" s="401"/>
      <c r="L2623" s="273"/>
      <c r="M2623" s="394" t="str">
        <f t="shared" si="354"/>
        <v/>
      </c>
      <c r="N2623" s="273"/>
    </row>
    <row r="2624" spans="1:14" ht="12.75" customHeight="1" x14ac:dyDescent="0.2">
      <c r="A2624" s="400"/>
      <c r="B2624" s="271"/>
      <c r="C2624" s="271"/>
      <c r="D2624" s="271"/>
      <c r="E2624" s="271"/>
      <c r="F2624" s="271"/>
      <c r="G2624" s="273"/>
      <c r="H2624" s="29" t="str">
        <f>IF(A2624="","",VLOOKUP(A2624,AA_Equipos,7,FALSE))</f>
        <v/>
      </c>
      <c r="I2624" s="394" t="str">
        <f>IF(A2624="","",VLOOKUP(A2624,AA_Equipos,8,FALSE))</f>
        <v/>
      </c>
      <c r="J2624" s="273"/>
      <c r="K2624" s="395"/>
      <c r="L2624" s="273"/>
      <c r="M2624" s="394" t="str">
        <f t="shared" si="354"/>
        <v/>
      </c>
      <c r="N2624" s="273"/>
    </row>
    <row r="2625" spans="1:14" ht="12.75" customHeight="1" x14ac:dyDescent="0.2">
      <c r="A2625" s="400"/>
      <c r="B2625" s="271"/>
      <c r="C2625" s="271"/>
      <c r="D2625" s="271"/>
      <c r="E2625" s="271"/>
      <c r="F2625" s="271"/>
      <c r="G2625" s="273"/>
      <c r="H2625" s="29" t="str">
        <f>IF(A2625="","",VLOOKUP(A2625,AA_Equipos,7,FALSE))</f>
        <v/>
      </c>
      <c r="I2625" s="394" t="str">
        <f>IF(A2625="","",VLOOKUP(A2625,AA_Equipos,8,FALSE))</f>
        <v/>
      </c>
      <c r="J2625" s="273"/>
      <c r="K2625" s="395"/>
      <c r="L2625" s="273"/>
      <c r="M2625" s="394" t="str">
        <f t="shared" si="354"/>
        <v/>
      </c>
      <c r="N2625" s="273"/>
    </row>
    <row r="2626" spans="1:14" ht="12.75" customHeight="1" x14ac:dyDescent="0.25">
      <c r="A2626" s="4"/>
      <c r="B2626" s="4"/>
      <c r="C2626" s="4"/>
      <c r="D2626" s="4"/>
      <c r="E2626" s="4"/>
      <c r="F2626" s="4"/>
      <c r="G2626" s="4"/>
      <c r="H2626" s="4"/>
      <c r="I2626" s="4"/>
      <c r="J2626" s="4"/>
      <c r="K2626" s="396" t="s">
        <v>444</v>
      </c>
      <c r="L2626" s="273"/>
      <c r="M2626" s="394">
        <f>SUM(M2621:N2625)</f>
        <v>585.19073333333336</v>
      </c>
      <c r="N2626" s="273"/>
    </row>
    <row r="2627" spans="1:14" ht="12.75" customHeight="1" x14ac:dyDescent="0.25">
      <c r="A2627" s="4"/>
      <c r="B2627" s="4"/>
      <c r="C2627" s="4"/>
      <c r="D2627" s="4"/>
      <c r="E2627" s="4"/>
      <c r="F2627" s="4"/>
      <c r="G2627" s="4"/>
      <c r="H2627" s="4"/>
      <c r="I2627" s="4"/>
      <c r="J2627" s="4"/>
      <c r="K2627" s="4"/>
      <c r="L2627" s="4"/>
      <c r="M2627" s="4"/>
      <c r="N2627" s="4"/>
    </row>
    <row r="2628" spans="1:14" ht="12.75" customHeight="1" x14ac:dyDescent="0.2">
      <c r="A2628" s="398" t="s">
        <v>929</v>
      </c>
      <c r="B2628" s="271"/>
      <c r="C2628" s="271"/>
      <c r="D2628" s="271"/>
      <c r="E2628" s="271"/>
      <c r="F2628" s="271"/>
      <c r="G2628" s="271"/>
      <c r="H2628" s="271"/>
      <c r="I2628" s="271"/>
      <c r="J2628" s="271"/>
      <c r="K2628" s="271"/>
      <c r="L2628" s="271"/>
      <c r="M2628" s="271"/>
      <c r="N2628" s="273"/>
    </row>
    <row r="2629" spans="1:14" ht="12.75" customHeight="1" x14ac:dyDescent="0.2">
      <c r="A2629" s="396" t="s">
        <v>76</v>
      </c>
      <c r="B2629" s="271"/>
      <c r="C2629" s="271"/>
      <c r="D2629" s="271"/>
      <c r="E2629" s="271"/>
      <c r="F2629" s="271"/>
      <c r="G2629" s="273"/>
      <c r="H2629" s="88" t="s">
        <v>77</v>
      </c>
      <c r="I2629" s="399" t="s">
        <v>920</v>
      </c>
      <c r="J2629" s="273"/>
      <c r="K2629" s="399" t="s">
        <v>453</v>
      </c>
      <c r="L2629" s="273"/>
      <c r="M2629" s="399" t="s">
        <v>921</v>
      </c>
      <c r="N2629" s="273"/>
    </row>
    <row r="2630" spans="1:14" ht="12.75" customHeight="1" x14ac:dyDescent="0.2">
      <c r="A2630" s="400" t="s">
        <v>966</v>
      </c>
      <c r="B2630" s="271"/>
      <c r="C2630" s="271"/>
      <c r="D2630" s="271"/>
      <c r="E2630" s="271"/>
      <c r="F2630" s="271"/>
      <c r="G2630" s="273"/>
      <c r="H2630" s="29" t="s">
        <v>24</v>
      </c>
      <c r="I2630" s="394">
        <f>+M2611</f>
        <v>209612</v>
      </c>
      <c r="J2630" s="273"/>
      <c r="K2630" s="404">
        <v>0.05</v>
      </c>
      <c r="L2630" s="273"/>
      <c r="M2630" s="394">
        <f t="shared" ref="M2630:M2634" si="355">IF(A2630="","",I2630*K2630)</f>
        <v>10480.6</v>
      </c>
      <c r="N2630" s="273"/>
    </row>
    <row r="2631" spans="1:14" ht="12.75" customHeight="1" x14ac:dyDescent="0.2">
      <c r="A2631" s="403" t="s">
        <v>3174</v>
      </c>
      <c r="B2631" s="271"/>
      <c r="C2631" s="271"/>
      <c r="D2631" s="271"/>
      <c r="E2631" s="271"/>
      <c r="F2631" s="271"/>
      <c r="G2631" s="273"/>
      <c r="H2631" s="29" t="s">
        <v>24</v>
      </c>
      <c r="I2631" s="394">
        <f>+M2626</f>
        <v>585.19073333333336</v>
      </c>
      <c r="J2631" s="273"/>
      <c r="K2631" s="404">
        <v>0.05</v>
      </c>
      <c r="L2631" s="273"/>
      <c r="M2631" s="394">
        <f t="shared" si="355"/>
        <v>29.259536666666669</v>
      </c>
      <c r="N2631" s="273"/>
    </row>
    <row r="2632" spans="1:14" ht="12.75" customHeight="1" x14ac:dyDescent="0.2">
      <c r="A2632" s="400"/>
      <c r="B2632" s="271"/>
      <c r="C2632" s="271"/>
      <c r="D2632" s="271"/>
      <c r="E2632" s="271"/>
      <c r="F2632" s="271"/>
      <c r="G2632" s="273"/>
      <c r="H2632" s="29"/>
      <c r="I2632" s="394"/>
      <c r="J2632" s="273"/>
      <c r="K2632" s="395"/>
      <c r="L2632" s="273"/>
      <c r="M2632" s="394" t="str">
        <f t="shared" si="355"/>
        <v/>
      </c>
      <c r="N2632" s="273"/>
    </row>
    <row r="2633" spans="1:14" ht="12.75" customHeight="1" x14ac:dyDescent="0.2">
      <c r="A2633" s="400"/>
      <c r="B2633" s="271"/>
      <c r="C2633" s="271"/>
      <c r="D2633" s="271"/>
      <c r="E2633" s="271"/>
      <c r="F2633" s="271"/>
      <c r="G2633" s="273"/>
      <c r="H2633" s="29"/>
      <c r="I2633" s="394"/>
      <c r="J2633" s="273"/>
      <c r="K2633" s="395"/>
      <c r="L2633" s="273"/>
      <c r="M2633" s="394" t="str">
        <f t="shared" si="355"/>
        <v/>
      </c>
      <c r="N2633" s="273"/>
    </row>
    <row r="2634" spans="1:14" ht="12.75" customHeight="1" x14ac:dyDescent="0.2">
      <c r="A2634" s="400"/>
      <c r="B2634" s="271"/>
      <c r="C2634" s="271"/>
      <c r="D2634" s="271"/>
      <c r="E2634" s="271"/>
      <c r="F2634" s="271"/>
      <c r="G2634" s="273"/>
      <c r="H2634" s="29"/>
      <c r="I2634" s="394"/>
      <c r="J2634" s="273"/>
      <c r="K2634" s="395"/>
      <c r="L2634" s="273"/>
      <c r="M2634" s="394" t="str">
        <f t="shared" si="355"/>
        <v/>
      </c>
      <c r="N2634" s="273"/>
    </row>
    <row r="2635" spans="1:14" ht="12.75" customHeight="1" x14ac:dyDescent="0.25">
      <c r="A2635" s="4"/>
      <c r="B2635" s="4"/>
      <c r="C2635" s="4"/>
      <c r="D2635" s="4"/>
      <c r="E2635" s="4"/>
      <c r="F2635" s="4"/>
      <c r="G2635" s="4"/>
      <c r="H2635" s="4"/>
      <c r="I2635" s="4"/>
      <c r="J2635" s="4"/>
      <c r="K2635" s="396" t="s">
        <v>444</v>
      </c>
      <c r="L2635" s="273"/>
      <c r="M2635" s="394">
        <f>SUM(M2630:N2634)</f>
        <v>10509.859536666667</v>
      </c>
      <c r="N2635" s="273"/>
    </row>
    <row r="2636" spans="1:14" ht="12.75" customHeight="1" x14ac:dyDescent="0.25">
      <c r="A2636" s="4"/>
      <c r="B2636" s="4"/>
      <c r="C2636" s="4"/>
      <c r="D2636" s="4"/>
      <c r="E2636" s="4"/>
      <c r="F2636" s="4"/>
      <c r="G2636" s="4"/>
      <c r="H2636" s="4"/>
      <c r="I2636" s="4"/>
      <c r="J2636" s="4"/>
      <c r="K2636" s="4"/>
      <c r="L2636" s="4"/>
      <c r="M2636" s="4"/>
      <c r="N2636" s="4"/>
    </row>
    <row r="2637" spans="1:14" ht="12.75" customHeight="1" x14ac:dyDescent="0.2">
      <c r="A2637" s="398" t="s">
        <v>931</v>
      </c>
      <c r="B2637" s="271"/>
      <c r="C2637" s="271"/>
      <c r="D2637" s="271"/>
      <c r="E2637" s="271"/>
      <c r="F2637" s="271"/>
      <c r="G2637" s="271"/>
      <c r="H2637" s="271"/>
      <c r="I2637" s="271"/>
      <c r="J2637" s="271"/>
      <c r="K2637" s="271"/>
      <c r="L2637" s="271"/>
      <c r="M2637" s="271"/>
      <c r="N2637" s="273"/>
    </row>
    <row r="2638" spans="1:14" ht="12.75" customHeight="1" x14ac:dyDescent="0.2">
      <c r="A2638" s="396" t="s">
        <v>76</v>
      </c>
      <c r="B2638" s="271"/>
      <c r="C2638" s="271"/>
      <c r="D2638" s="271"/>
      <c r="E2638" s="271"/>
      <c r="F2638" s="271"/>
      <c r="G2638" s="273"/>
      <c r="H2638" s="88" t="s">
        <v>77</v>
      </c>
      <c r="I2638" s="399" t="s">
        <v>920</v>
      </c>
      <c r="J2638" s="273"/>
      <c r="K2638" s="90" t="s">
        <v>514</v>
      </c>
      <c r="L2638" s="91" t="s">
        <v>932</v>
      </c>
      <c r="M2638" s="399" t="s">
        <v>921</v>
      </c>
      <c r="N2638" s="273"/>
    </row>
    <row r="2639" spans="1:14" ht="12.75" customHeight="1" x14ac:dyDescent="0.25">
      <c r="A2639" s="393" t="s">
        <v>951</v>
      </c>
      <c r="B2639" s="271"/>
      <c r="C2639" s="271"/>
      <c r="D2639" s="271"/>
      <c r="E2639" s="271"/>
      <c r="F2639" s="271"/>
      <c r="G2639" s="273"/>
      <c r="H2639" s="29" t="str">
        <f>IF(A2639="","",VLOOKUP(A2639,AA_Cuadrillas,4,FALSE))</f>
        <v>Cuadrilla</v>
      </c>
      <c r="I2639" s="394">
        <f>IF(A2639="","",VLOOKUP(A2639,AA_Cuadrillas,5,FALSE))</f>
        <v>186763</v>
      </c>
      <c r="J2639" s="273"/>
      <c r="K2639" s="9">
        <f>IF(A2639="","",F.P!$I$2)</f>
        <v>1.88</v>
      </c>
      <c r="L2639" s="97">
        <f>1/30</f>
        <v>3.3333333333333333E-2</v>
      </c>
      <c r="M2639" s="394">
        <f t="shared" ref="M2639:M2643" si="356">IF(A2639="","",I2639*K2639*L2639)</f>
        <v>11703.814666666667</v>
      </c>
      <c r="N2639" s="273"/>
    </row>
    <row r="2640" spans="1:14" ht="12.75" customHeight="1" x14ac:dyDescent="0.25">
      <c r="A2640" s="393"/>
      <c r="B2640" s="271"/>
      <c r="C2640" s="271"/>
      <c r="D2640" s="271"/>
      <c r="E2640" s="271"/>
      <c r="F2640" s="271"/>
      <c r="G2640" s="273"/>
      <c r="H2640" s="29" t="str">
        <f>IF(A2640="","",VLOOKUP(A2640,AA_Cuadrillas,4,FALSE))</f>
        <v/>
      </c>
      <c r="I2640" s="394" t="str">
        <f>IF(A2640="","",VLOOKUP(A2640,AA_Cuadrillas,5,FALSE))</f>
        <v/>
      </c>
      <c r="J2640" s="273"/>
      <c r="K2640" s="9" t="str">
        <f>IF(A2640="","",F.P!$I$2)</f>
        <v/>
      </c>
      <c r="L2640" s="9"/>
      <c r="M2640" s="394" t="str">
        <f t="shared" si="356"/>
        <v/>
      </c>
      <c r="N2640" s="273"/>
    </row>
    <row r="2641" spans="1:14" ht="12.75" customHeight="1" x14ac:dyDescent="0.25">
      <c r="A2641" s="393"/>
      <c r="B2641" s="271"/>
      <c r="C2641" s="271"/>
      <c r="D2641" s="271"/>
      <c r="E2641" s="271"/>
      <c r="F2641" s="271"/>
      <c r="G2641" s="273"/>
      <c r="H2641" s="29" t="str">
        <f>IF(A2641="","",VLOOKUP(A2641,AA_Cuadrillas,4,FALSE))</f>
        <v/>
      </c>
      <c r="I2641" s="394" t="str">
        <f>IF(A2641="","",VLOOKUP(A2641,AA_Cuadrillas,5,FALSE))</f>
        <v/>
      </c>
      <c r="J2641" s="273"/>
      <c r="K2641" s="9" t="str">
        <f>IF(A2641="","",F.P!$I$2)</f>
        <v/>
      </c>
      <c r="L2641" s="37"/>
      <c r="M2641" s="394" t="str">
        <f t="shared" si="356"/>
        <v/>
      </c>
      <c r="N2641" s="273"/>
    </row>
    <row r="2642" spans="1:14" ht="12.75" customHeight="1" x14ac:dyDescent="0.25">
      <c r="A2642" s="393"/>
      <c r="B2642" s="271"/>
      <c r="C2642" s="271"/>
      <c r="D2642" s="271"/>
      <c r="E2642" s="271"/>
      <c r="F2642" s="271"/>
      <c r="G2642" s="273"/>
      <c r="H2642" s="29" t="str">
        <f>IF(A2642="","",VLOOKUP(A2642,AA_Cuadrillas,4,FALSE))</f>
        <v/>
      </c>
      <c r="I2642" s="394" t="str">
        <f>IF(A2642="","",VLOOKUP(A2642,AA_Cuadrillas,5,FALSE))</f>
        <v/>
      </c>
      <c r="J2642" s="273"/>
      <c r="K2642" s="9" t="str">
        <f>IF(A2642="","",F.P!$I$2)</f>
        <v/>
      </c>
      <c r="L2642" s="37"/>
      <c r="M2642" s="394" t="str">
        <f t="shared" si="356"/>
        <v/>
      </c>
      <c r="N2642" s="273"/>
    </row>
    <row r="2643" spans="1:14" ht="12.75" customHeight="1" x14ac:dyDescent="0.25">
      <c r="A2643" s="393"/>
      <c r="B2643" s="271"/>
      <c r="C2643" s="271"/>
      <c r="D2643" s="271"/>
      <c r="E2643" s="271"/>
      <c r="F2643" s="271"/>
      <c r="G2643" s="273"/>
      <c r="H2643" s="29" t="str">
        <f>IF(A2643="","",VLOOKUP(A2643,AA_Cuadrillas,4,FALSE))</f>
        <v/>
      </c>
      <c r="I2643" s="394" t="str">
        <f>IF(A2643="","",VLOOKUP(A2643,AA_Cuadrillas,5,FALSE))</f>
        <v/>
      </c>
      <c r="J2643" s="273"/>
      <c r="K2643" s="9" t="str">
        <f>IF(A2643="","",F.P!$I$2)</f>
        <v/>
      </c>
      <c r="L2643" s="37"/>
      <c r="M2643" s="394" t="str">
        <f t="shared" si="356"/>
        <v/>
      </c>
      <c r="N2643" s="273"/>
    </row>
    <row r="2644" spans="1:14" ht="12.75" customHeight="1" x14ac:dyDescent="0.25">
      <c r="A2644" s="4"/>
      <c r="B2644" s="4"/>
      <c r="C2644" s="4"/>
      <c r="D2644" s="4"/>
      <c r="E2644" s="4"/>
      <c r="F2644" s="4"/>
      <c r="G2644" s="4"/>
      <c r="H2644" s="4"/>
      <c r="I2644" s="4"/>
      <c r="J2644" s="4"/>
      <c r="K2644" s="396" t="s">
        <v>444</v>
      </c>
      <c r="L2644" s="273"/>
      <c r="M2644" s="394">
        <f>SUM(M2639:N2643)</f>
        <v>11703.814666666667</v>
      </c>
      <c r="N2644" s="273"/>
    </row>
    <row r="2645" spans="1:14" ht="12.75" customHeight="1" x14ac:dyDescent="0.2"/>
    <row r="2646" spans="1:14" ht="12.75" customHeight="1" x14ac:dyDescent="0.2">
      <c r="A2646" s="407" t="s">
        <v>150</v>
      </c>
      <c r="B2646" s="275"/>
      <c r="C2646" s="275"/>
      <c r="D2646" s="275"/>
      <c r="E2646" s="275"/>
      <c r="F2646" s="275"/>
      <c r="G2646" s="275"/>
      <c r="H2646" s="275"/>
      <c r="I2646" s="275"/>
      <c r="J2646" s="275"/>
      <c r="K2646" s="275"/>
      <c r="L2646" s="275"/>
      <c r="M2646" s="275"/>
      <c r="N2646" s="276"/>
    </row>
    <row r="2647" spans="1:14" ht="12.75" customHeight="1" x14ac:dyDescent="0.2">
      <c r="A2647" s="277"/>
      <c r="B2647" s="278"/>
      <c r="C2647" s="278"/>
      <c r="D2647" s="278"/>
      <c r="E2647" s="278"/>
      <c r="F2647" s="278"/>
      <c r="G2647" s="278"/>
      <c r="H2647" s="278"/>
      <c r="I2647" s="278"/>
      <c r="J2647" s="278"/>
      <c r="K2647" s="278"/>
      <c r="L2647" s="278"/>
      <c r="M2647" s="278"/>
      <c r="N2647" s="279"/>
    </row>
    <row r="2648" spans="1:14" ht="12.75" customHeight="1" x14ac:dyDescent="0.2">
      <c r="A2648" s="75"/>
      <c r="B2648" s="75"/>
      <c r="C2648" s="75"/>
      <c r="D2648" s="75"/>
      <c r="E2648" s="75"/>
      <c r="F2648" s="75"/>
      <c r="G2648" s="75"/>
      <c r="H2648" s="75"/>
      <c r="I2648" s="75"/>
      <c r="J2648" s="75"/>
      <c r="K2648" s="75"/>
      <c r="L2648" s="75"/>
      <c r="M2648" s="75"/>
      <c r="N2648" s="75"/>
    </row>
    <row r="2649" spans="1:14" ht="12.75" customHeight="1" x14ac:dyDescent="0.3">
      <c r="A2649" s="79" t="s">
        <v>675</v>
      </c>
      <c r="B2649" s="80" t="str">
        <f>A2646</f>
        <v>SUMINISTRO E INSTALACIÓN VERTEDERO EN FIBRA DE VIDRIO 1,00 M X 0,50 M, H= 0,20; A= 0,15 (INCLUYE MANO DE OBRA)</v>
      </c>
      <c r="C2649" s="81" t="s">
        <v>916</v>
      </c>
      <c r="D2649" s="82" t="s">
        <v>999</v>
      </c>
      <c r="E2649" s="83" t="s">
        <v>445</v>
      </c>
      <c r="F2649" s="86">
        <f>H2649+J2649+L2649+N2649</f>
        <v>342167.5405</v>
      </c>
      <c r="G2649" s="83" t="s">
        <v>607</v>
      </c>
      <c r="H2649" s="86">
        <f>M2668</f>
        <v>4388.9305000000004</v>
      </c>
      <c r="I2649" s="83" t="s">
        <v>918</v>
      </c>
      <c r="J2649" s="86">
        <f>M2659</f>
        <v>250000</v>
      </c>
      <c r="K2649" s="83" t="s">
        <v>609</v>
      </c>
      <c r="L2649" s="86">
        <f>M2677</f>
        <v>0</v>
      </c>
      <c r="M2649" s="83" t="s">
        <v>610</v>
      </c>
      <c r="N2649" s="86">
        <f>M2686</f>
        <v>87778.61</v>
      </c>
    </row>
    <row r="2650" spans="1:14" ht="12.75" customHeight="1" x14ac:dyDescent="0.25">
      <c r="A2650" s="87"/>
      <c r="B2650" s="87"/>
      <c r="C2650" s="87"/>
      <c r="D2650" s="87"/>
      <c r="E2650" s="87"/>
      <c r="F2650" s="87"/>
      <c r="G2650" s="87"/>
      <c r="J2650" s="87"/>
      <c r="K2650" s="215" t="s">
        <v>3217</v>
      </c>
      <c r="L2650" s="215">
        <f>+F2649*presup!$O$5</f>
        <v>444817.80265000003</v>
      </c>
      <c r="M2650" s="87"/>
      <c r="N2650" s="87"/>
    </row>
    <row r="2651" spans="1:14" ht="12.75" customHeight="1" x14ac:dyDescent="0.2">
      <c r="A2651" s="398" t="s">
        <v>919</v>
      </c>
      <c r="B2651" s="271"/>
      <c r="C2651" s="271"/>
      <c r="D2651" s="271"/>
      <c r="E2651" s="271"/>
      <c r="F2651" s="271"/>
      <c r="G2651" s="271"/>
      <c r="H2651" s="271"/>
      <c r="I2651" s="271"/>
      <c r="J2651" s="271"/>
      <c r="K2651" s="271"/>
      <c r="L2651" s="271"/>
      <c r="M2651" s="271"/>
      <c r="N2651" s="273"/>
    </row>
    <row r="2652" spans="1:14" ht="12.75" customHeight="1" x14ac:dyDescent="0.2">
      <c r="A2652" s="396" t="s">
        <v>76</v>
      </c>
      <c r="B2652" s="271"/>
      <c r="C2652" s="271"/>
      <c r="D2652" s="271"/>
      <c r="E2652" s="271"/>
      <c r="F2652" s="271"/>
      <c r="G2652" s="273"/>
      <c r="H2652" s="88" t="s">
        <v>77</v>
      </c>
      <c r="I2652" s="399" t="s">
        <v>920</v>
      </c>
      <c r="J2652" s="273"/>
      <c r="K2652" s="399" t="s">
        <v>453</v>
      </c>
      <c r="L2652" s="273"/>
      <c r="M2652" s="399" t="s">
        <v>921</v>
      </c>
      <c r="N2652" s="273"/>
    </row>
    <row r="2653" spans="1:14" ht="12.75" customHeight="1" x14ac:dyDescent="0.2">
      <c r="A2653" s="403" t="s">
        <v>1095</v>
      </c>
      <c r="B2653" s="271"/>
      <c r="C2653" s="271"/>
      <c r="D2653" s="271"/>
      <c r="E2653" s="271"/>
      <c r="F2653" s="271"/>
      <c r="G2653" s="273"/>
      <c r="H2653" s="29" t="str">
        <f t="shared" ref="H2653:H2658" si="357">IF(A2653="","",VLOOKUP(A2653,AA_Materiales,7,FALSE))</f>
        <v>Unidad</v>
      </c>
      <c r="I2653" s="394">
        <f t="shared" ref="I2653:I2658" si="358">IF(A2653="","",VLOOKUP(A2653,AA_Materiales,8,FALSE))</f>
        <v>250000</v>
      </c>
      <c r="J2653" s="273"/>
      <c r="K2653" s="395">
        <v>1</v>
      </c>
      <c r="L2653" s="273"/>
      <c r="M2653" s="394">
        <f t="shared" ref="M2653:M2658" si="359">IF(A2653="","",I2653*K2653)</f>
        <v>250000</v>
      </c>
      <c r="N2653" s="273"/>
    </row>
    <row r="2654" spans="1:14" ht="12.75" customHeight="1" x14ac:dyDescent="0.2">
      <c r="A2654" s="403"/>
      <c r="B2654" s="271"/>
      <c r="C2654" s="271"/>
      <c r="D2654" s="271"/>
      <c r="E2654" s="271"/>
      <c r="F2654" s="271"/>
      <c r="G2654" s="273"/>
      <c r="H2654" s="29" t="str">
        <f t="shared" si="357"/>
        <v/>
      </c>
      <c r="I2654" s="394" t="str">
        <f t="shared" si="358"/>
        <v/>
      </c>
      <c r="J2654" s="273"/>
      <c r="K2654" s="395"/>
      <c r="L2654" s="273"/>
      <c r="M2654" s="394" t="str">
        <f t="shared" si="359"/>
        <v/>
      </c>
      <c r="N2654" s="273"/>
    </row>
    <row r="2655" spans="1:14" ht="12.75" customHeight="1" x14ac:dyDescent="0.2">
      <c r="A2655" s="403"/>
      <c r="B2655" s="271"/>
      <c r="C2655" s="271"/>
      <c r="D2655" s="271"/>
      <c r="E2655" s="271"/>
      <c r="F2655" s="271"/>
      <c r="G2655" s="273"/>
      <c r="H2655" s="29" t="str">
        <f t="shared" si="357"/>
        <v/>
      </c>
      <c r="I2655" s="394" t="str">
        <f t="shared" si="358"/>
        <v/>
      </c>
      <c r="J2655" s="273"/>
      <c r="K2655" s="395"/>
      <c r="L2655" s="273"/>
      <c r="M2655" s="394" t="str">
        <f t="shared" si="359"/>
        <v/>
      </c>
      <c r="N2655" s="273"/>
    </row>
    <row r="2656" spans="1:14" ht="12.75" customHeight="1" x14ac:dyDescent="0.2">
      <c r="A2656" s="403"/>
      <c r="B2656" s="271"/>
      <c r="C2656" s="271"/>
      <c r="D2656" s="271"/>
      <c r="E2656" s="271"/>
      <c r="F2656" s="271"/>
      <c r="G2656" s="273"/>
      <c r="H2656" s="29" t="str">
        <f t="shared" si="357"/>
        <v/>
      </c>
      <c r="I2656" s="394" t="str">
        <f t="shared" si="358"/>
        <v/>
      </c>
      <c r="J2656" s="273"/>
      <c r="K2656" s="395"/>
      <c r="L2656" s="273"/>
      <c r="M2656" s="394" t="str">
        <f t="shared" si="359"/>
        <v/>
      </c>
      <c r="N2656" s="273"/>
    </row>
    <row r="2657" spans="1:14" ht="12.75" customHeight="1" x14ac:dyDescent="0.2">
      <c r="A2657" s="403"/>
      <c r="B2657" s="271"/>
      <c r="C2657" s="271"/>
      <c r="D2657" s="271"/>
      <c r="E2657" s="271"/>
      <c r="F2657" s="271"/>
      <c r="G2657" s="273"/>
      <c r="H2657" s="29" t="str">
        <f t="shared" si="357"/>
        <v/>
      </c>
      <c r="I2657" s="394" t="str">
        <f t="shared" si="358"/>
        <v/>
      </c>
      <c r="J2657" s="273"/>
      <c r="K2657" s="395"/>
      <c r="L2657" s="273"/>
      <c r="M2657" s="394" t="str">
        <f t="shared" si="359"/>
        <v/>
      </c>
      <c r="N2657" s="273"/>
    </row>
    <row r="2658" spans="1:14" ht="12.75" customHeight="1" x14ac:dyDescent="0.2">
      <c r="A2658" s="403"/>
      <c r="B2658" s="271"/>
      <c r="C2658" s="271"/>
      <c r="D2658" s="271"/>
      <c r="E2658" s="271"/>
      <c r="F2658" s="271"/>
      <c r="G2658" s="273"/>
      <c r="H2658" s="29" t="str">
        <f t="shared" si="357"/>
        <v/>
      </c>
      <c r="I2658" s="394" t="str">
        <f t="shared" si="358"/>
        <v/>
      </c>
      <c r="J2658" s="273"/>
      <c r="K2658" s="395"/>
      <c r="L2658" s="273"/>
      <c r="M2658" s="394" t="str">
        <f t="shared" si="359"/>
        <v/>
      </c>
      <c r="N2658" s="273"/>
    </row>
    <row r="2659" spans="1:14" ht="12.75" customHeight="1" x14ac:dyDescent="0.25">
      <c r="A2659" s="4"/>
      <c r="B2659" s="4"/>
      <c r="C2659" s="4"/>
      <c r="D2659" s="4"/>
      <c r="E2659" s="4"/>
      <c r="F2659" s="4"/>
      <c r="G2659" s="4"/>
      <c r="H2659" s="4"/>
      <c r="I2659" s="4"/>
      <c r="J2659" s="4"/>
      <c r="K2659" s="396" t="s">
        <v>444</v>
      </c>
      <c r="L2659" s="273"/>
      <c r="M2659" s="394">
        <f>SUM(M2653:N2658)</f>
        <v>250000</v>
      </c>
      <c r="N2659" s="273"/>
    </row>
    <row r="2660" spans="1:14" ht="12.75" customHeight="1" x14ac:dyDescent="0.25">
      <c r="A2660" s="4"/>
      <c r="B2660" s="4"/>
      <c r="C2660" s="4"/>
      <c r="D2660" s="4"/>
      <c r="E2660" s="4"/>
      <c r="F2660" s="4"/>
      <c r="G2660" s="4"/>
      <c r="H2660" s="4"/>
      <c r="I2660" s="4"/>
      <c r="J2660" s="4"/>
      <c r="K2660" s="4"/>
      <c r="L2660" s="4"/>
      <c r="M2660" s="4"/>
      <c r="N2660" s="4"/>
    </row>
    <row r="2661" spans="1:14" ht="12.75" customHeight="1" x14ac:dyDescent="0.2">
      <c r="A2661" s="398" t="s">
        <v>926</v>
      </c>
      <c r="B2661" s="271"/>
      <c r="C2661" s="271"/>
      <c r="D2661" s="271"/>
      <c r="E2661" s="271"/>
      <c r="F2661" s="271"/>
      <c r="G2661" s="271"/>
      <c r="H2661" s="271"/>
      <c r="I2661" s="271"/>
      <c r="J2661" s="271"/>
      <c r="K2661" s="271"/>
      <c r="L2661" s="271"/>
      <c r="M2661" s="271"/>
      <c r="N2661" s="273"/>
    </row>
    <row r="2662" spans="1:14" ht="12.75" customHeight="1" x14ac:dyDescent="0.2">
      <c r="A2662" s="396" t="s">
        <v>76</v>
      </c>
      <c r="B2662" s="271"/>
      <c r="C2662" s="271"/>
      <c r="D2662" s="271"/>
      <c r="E2662" s="271"/>
      <c r="F2662" s="271"/>
      <c r="G2662" s="273"/>
      <c r="H2662" s="88" t="s">
        <v>77</v>
      </c>
      <c r="I2662" s="399" t="s">
        <v>920</v>
      </c>
      <c r="J2662" s="273"/>
      <c r="K2662" s="399" t="s">
        <v>453</v>
      </c>
      <c r="L2662" s="273"/>
      <c r="M2662" s="399" t="s">
        <v>921</v>
      </c>
      <c r="N2662" s="273"/>
    </row>
    <row r="2663" spans="1:14" ht="12.75" customHeight="1" x14ac:dyDescent="0.2">
      <c r="A2663" s="400" t="s">
        <v>927</v>
      </c>
      <c r="B2663" s="271"/>
      <c r="C2663" s="271"/>
      <c r="D2663" s="271"/>
      <c r="E2663" s="271"/>
      <c r="F2663" s="271"/>
      <c r="G2663" s="273"/>
      <c r="H2663" s="29" t="str">
        <f>IF(A2663="","",VLOOKUP(A2663,AA_Equipos,7,FALSE))</f>
        <v>% M.O.</v>
      </c>
      <c r="I2663" s="394">
        <f>+M2686</f>
        <v>87778.61</v>
      </c>
      <c r="J2663" s="273"/>
      <c r="K2663" s="404">
        <v>0.05</v>
      </c>
      <c r="L2663" s="273"/>
      <c r="M2663" s="394">
        <f t="shared" ref="M2663:M2667" si="360">IF(A2663="","",I2663*K2663)</f>
        <v>4388.9305000000004</v>
      </c>
      <c r="N2663" s="273"/>
    </row>
    <row r="2664" spans="1:14" ht="12.75" customHeight="1" x14ac:dyDescent="0.2">
      <c r="A2664" s="403"/>
      <c r="B2664" s="271"/>
      <c r="C2664" s="271"/>
      <c r="D2664" s="271"/>
      <c r="E2664" s="271"/>
      <c r="F2664" s="271"/>
      <c r="G2664" s="273"/>
      <c r="H2664" s="29" t="str">
        <f>IF(A2664="","",VLOOKUP(A2664,AA_Equipos,7,FALSE))</f>
        <v/>
      </c>
      <c r="I2664" s="394" t="str">
        <f>IF(A2664="","",VLOOKUP(A2664,AA_Equipos,8,FALSE))</f>
        <v/>
      </c>
      <c r="J2664" s="273"/>
      <c r="K2664" s="402"/>
      <c r="L2664" s="273"/>
      <c r="M2664" s="394" t="str">
        <f t="shared" si="360"/>
        <v/>
      </c>
      <c r="N2664" s="273"/>
    </row>
    <row r="2665" spans="1:14" ht="12.75" customHeight="1" x14ac:dyDescent="0.2">
      <c r="A2665" s="400"/>
      <c r="B2665" s="271"/>
      <c r="C2665" s="271"/>
      <c r="D2665" s="271"/>
      <c r="E2665" s="271"/>
      <c r="F2665" s="271"/>
      <c r="G2665" s="273"/>
      <c r="H2665" s="29" t="str">
        <f>IF(A2665="","",VLOOKUP(A2665,AA_Equipos,7,FALSE))</f>
        <v/>
      </c>
      <c r="I2665" s="394" t="str">
        <f>IF(A2665="","",VLOOKUP(A2665,AA_Equipos,8,FALSE))</f>
        <v/>
      </c>
      <c r="J2665" s="273"/>
      <c r="K2665" s="401"/>
      <c r="L2665" s="273"/>
      <c r="M2665" s="394" t="str">
        <f t="shared" si="360"/>
        <v/>
      </c>
      <c r="N2665" s="273"/>
    </row>
    <row r="2666" spans="1:14" ht="12.75" customHeight="1" x14ac:dyDescent="0.2">
      <c r="A2666" s="400"/>
      <c r="B2666" s="271"/>
      <c r="C2666" s="271"/>
      <c r="D2666" s="271"/>
      <c r="E2666" s="271"/>
      <c r="F2666" s="271"/>
      <c r="G2666" s="273"/>
      <c r="H2666" s="29" t="str">
        <f>IF(A2666="","",VLOOKUP(A2666,AA_Equipos,7,FALSE))</f>
        <v/>
      </c>
      <c r="I2666" s="394" t="str">
        <f>IF(A2666="","",VLOOKUP(A2666,AA_Equipos,8,FALSE))</f>
        <v/>
      </c>
      <c r="J2666" s="273"/>
      <c r="K2666" s="395"/>
      <c r="L2666" s="273"/>
      <c r="M2666" s="394" t="str">
        <f t="shared" si="360"/>
        <v/>
      </c>
      <c r="N2666" s="273"/>
    </row>
    <row r="2667" spans="1:14" ht="12.75" customHeight="1" x14ac:dyDescent="0.2">
      <c r="A2667" s="400"/>
      <c r="B2667" s="271"/>
      <c r="C2667" s="271"/>
      <c r="D2667" s="271"/>
      <c r="E2667" s="271"/>
      <c r="F2667" s="271"/>
      <c r="G2667" s="273"/>
      <c r="H2667" s="29" t="str">
        <f>IF(A2667="","",VLOOKUP(A2667,AA_Equipos,7,FALSE))</f>
        <v/>
      </c>
      <c r="I2667" s="394" t="str">
        <f>IF(A2667="","",VLOOKUP(A2667,AA_Equipos,8,FALSE))</f>
        <v/>
      </c>
      <c r="J2667" s="273"/>
      <c r="K2667" s="395"/>
      <c r="L2667" s="273"/>
      <c r="M2667" s="394" t="str">
        <f t="shared" si="360"/>
        <v/>
      </c>
      <c r="N2667" s="273"/>
    </row>
    <row r="2668" spans="1:14" ht="12.75" customHeight="1" x14ac:dyDescent="0.25">
      <c r="A2668" s="4"/>
      <c r="B2668" s="4"/>
      <c r="C2668" s="4"/>
      <c r="D2668" s="4"/>
      <c r="E2668" s="4"/>
      <c r="F2668" s="4"/>
      <c r="G2668" s="4"/>
      <c r="H2668" s="4"/>
      <c r="I2668" s="4"/>
      <c r="J2668" s="4"/>
      <c r="K2668" s="396" t="s">
        <v>444</v>
      </c>
      <c r="L2668" s="273"/>
      <c r="M2668" s="394">
        <f>SUM(M2663:N2667)</f>
        <v>4388.9305000000004</v>
      </c>
      <c r="N2668" s="273"/>
    </row>
    <row r="2669" spans="1:14" ht="12.75" customHeight="1" x14ac:dyDescent="0.25">
      <c r="A2669" s="4"/>
      <c r="B2669" s="4"/>
      <c r="C2669" s="4"/>
      <c r="D2669" s="4"/>
      <c r="E2669" s="4"/>
      <c r="F2669" s="4"/>
      <c r="G2669" s="4"/>
      <c r="H2669" s="4"/>
      <c r="I2669" s="4"/>
      <c r="J2669" s="4"/>
      <c r="K2669" s="4"/>
      <c r="L2669" s="4"/>
      <c r="M2669" s="4"/>
      <c r="N2669" s="4"/>
    </row>
    <row r="2670" spans="1:14" ht="12.75" customHeight="1" x14ac:dyDescent="0.2">
      <c r="A2670" s="398" t="s">
        <v>929</v>
      </c>
      <c r="B2670" s="271"/>
      <c r="C2670" s="271"/>
      <c r="D2670" s="271"/>
      <c r="E2670" s="271"/>
      <c r="F2670" s="271"/>
      <c r="G2670" s="271"/>
      <c r="H2670" s="271"/>
      <c r="I2670" s="271"/>
      <c r="J2670" s="271"/>
      <c r="K2670" s="271"/>
      <c r="L2670" s="271"/>
      <c r="M2670" s="271"/>
      <c r="N2670" s="273"/>
    </row>
    <row r="2671" spans="1:14" ht="12.75" customHeight="1" x14ac:dyDescent="0.2">
      <c r="A2671" s="396" t="s">
        <v>76</v>
      </c>
      <c r="B2671" s="271"/>
      <c r="C2671" s="271"/>
      <c r="D2671" s="271"/>
      <c r="E2671" s="271"/>
      <c r="F2671" s="271"/>
      <c r="G2671" s="273"/>
      <c r="H2671" s="88" t="s">
        <v>77</v>
      </c>
      <c r="I2671" s="399" t="s">
        <v>920</v>
      </c>
      <c r="J2671" s="273"/>
      <c r="K2671" s="399" t="s">
        <v>453</v>
      </c>
      <c r="L2671" s="273"/>
      <c r="M2671" s="399" t="s">
        <v>921</v>
      </c>
      <c r="N2671" s="273"/>
    </row>
    <row r="2672" spans="1:14" ht="12.75" customHeight="1" x14ac:dyDescent="0.2">
      <c r="A2672" s="400"/>
      <c r="B2672" s="271"/>
      <c r="C2672" s="271"/>
      <c r="D2672" s="271"/>
      <c r="E2672" s="271"/>
      <c r="F2672" s="271"/>
      <c r="G2672" s="273"/>
      <c r="H2672" s="29"/>
      <c r="I2672" s="394"/>
      <c r="J2672" s="273"/>
      <c r="K2672" s="404"/>
      <c r="L2672" s="273"/>
      <c r="M2672" s="394" t="str">
        <f t="shared" ref="M2672:M2676" si="361">IF(A2672="","",I2672*K2672)</f>
        <v/>
      </c>
      <c r="N2672" s="273"/>
    </row>
    <row r="2673" spans="1:15" ht="12.75" customHeight="1" x14ac:dyDescent="0.2">
      <c r="A2673" s="403"/>
      <c r="B2673" s="271"/>
      <c r="C2673" s="271"/>
      <c r="D2673" s="271"/>
      <c r="E2673" s="271"/>
      <c r="F2673" s="271"/>
      <c r="G2673" s="273"/>
      <c r="H2673" s="29"/>
      <c r="I2673" s="394"/>
      <c r="J2673" s="273"/>
      <c r="K2673" s="404"/>
      <c r="L2673" s="273"/>
      <c r="M2673" s="394" t="str">
        <f t="shared" si="361"/>
        <v/>
      </c>
      <c r="N2673" s="273"/>
    </row>
    <row r="2674" spans="1:15" ht="12.75" customHeight="1" x14ac:dyDescent="0.2">
      <c r="A2674" s="400"/>
      <c r="B2674" s="271"/>
      <c r="C2674" s="271"/>
      <c r="D2674" s="271"/>
      <c r="E2674" s="271"/>
      <c r="F2674" s="271"/>
      <c r="G2674" s="273"/>
      <c r="H2674" s="29"/>
      <c r="I2674" s="394"/>
      <c r="J2674" s="273"/>
      <c r="K2674" s="395"/>
      <c r="L2674" s="273"/>
      <c r="M2674" s="394" t="str">
        <f t="shared" si="361"/>
        <v/>
      </c>
      <c r="N2674" s="273"/>
    </row>
    <row r="2675" spans="1:15" ht="12.75" customHeight="1" x14ac:dyDescent="0.2">
      <c r="A2675" s="400"/>
      <c r="B2675" s="271"/>
      <c r="C2675" s="271"/>
      <c r="D2675" s="271"/>
      <c r="E2675" s="271"/>
      <c r="F2675" s="271"/>
      <c r="G2675" s="273"/>
      <c r="H2675" s="29"/>
      <c r="I2675" s="394"/>
      <c r="J2675" s="273"/>
      <c r="K2675" s="395"/>
      <c r="L2675" s="273"/>
      <c r="M2675" s="394" t="str">
        <f t="shared" si="361"/>
        <v/>
      </c>
      <c r="N2675" s="273"/>
    </row>
    <row r="2676" spans="1:15" ht="12.75" customHeight="1" x14ac:dyDescent="0.2">
      <c r="A2676" s="400"/>
      <c r="B2676" s="271"/>
      <c r="C2676" s="271"/>
      <c r="D2676" s="271"/>
      <c r="E2676" s="271"/>
      <c r="F2676" s="271"/>
      <c r="G2676" s="273"/>
      <c r="H2676" s="29"/>
      <c r="I2676" s="394"/>
      <c r="J2676" s="273"/>
      <c r="K2676" s="395"/>
      <c r="L2676" s="273"/>
      <c r="M2676" s="394" t="str">
        <f t="shared" si="361"/>
        <v/>
      </c>
      <c r="N2676" s="273"/>
    </row>
    <row r="2677" spans="1:15" ht="12.75" customHeight="1" x14ac:dyDescent="0.25">
      <c r="A2677" s="4"/>
      <c r="B2677" s="4"/>
      <c r="C2677" s="4"/>
      <c r="D2677" s="4"/>
      <c r="E2677" s="4"/>
      <c r="F2677" s="4"/>
      <c r="G2677" s="4"/>
      <c r="H2677" s="4"/>
      <c r="I2677" s="4"/>
      <c r="J2677" s="4"/>
      <c r="K2677" s="396" t="s">
        <v>444</v>
      </c>
      <c r="L2677" s="273"/>
      <c r="M2677" s="394">
        <f>SUM(M2672:N2676)</f>
        <v>0</v>
      </c>
      <c r="N2677" s="273"/>
    </row>
    <row r="2678" spans="1:15" ht="12.75" customHeight="1" x14ac:dyDescent="0.25">
      <c r="A2678" s="4"/>
      <c r="B2678" s="4"/>
      <c r="C2678" s="4"/>
      <c r="D2678" s="4"/>
      <c r="E2678" s="4"/>
      <c r="F2678" s="4"/>
      <c r="G2678" s="4"/>
      <c r="H2678" s="4"/>
      <c r="I2678" s="4"/>
      <c r="J2678" s="4"/>
      <c r="K2678" s="4"/>
      <c r="L2678" s="4"/>
      <c r="M2678" s="4"/>
      <c r="N2678" s="4"/>
    </row>
    <row r="2679" spans="1:15" ht="12.75" customHeight="1" x14ac:dyDescent="0.2">
      <c r="A2679" s="398" t="s">
        <v>931</v>
      </c>
      <c r="B2679" s="271"/>
      <c r="C2679" s="271"/>
      <c r="D2679" s="271"/>
      <c r="E2679" s="271"/>
      <c r="F2679" s="271"/>
      <c r="G2679" s="271"/>
      <c r="H2679" s="271"/>
      <c r="I2679" s="271"/>
      <c r="J2679" s="271"/>
      <c r="K2679" s="271"/>
      <c r="L2679" s="271"/>
      <c r="M2679" s="271"/>
      <c r="N2679" s="273"/>
    </row>
    <row r="2680" spans="1:15" ht="12.75" customHeight="1" x14ac:dyDescent="0.2">
      <c r="A2680" s="396" t="s">
        <v>76</v>
      </c>
      <c r="B2680" s="271"/>
      <c r="C2680" s="271"/>
      <c r="D2680" s="271"/>
      <c r="E2680" s="271"/>
      <c r="F2680" s="271"/>
      <c r="G2680" s="273"/>
      <c r="H2680" s="88" t="s">
        <v>77</v>
      </c>
      <c r="I2680" s="399" t="s">
        <v>920</v>
      </c>
      <c r="J2680" s="273"/>
      <c r="K2680" s="90" t="s">
        <v>514</v>
      </c>
      <c r="L2680" s="91" t="s">
        <v>932</v>
      </c>
      <c r="M2680" s="399" t="s">
        <v>921</v>
      </c>
      <c r="N2680" s="273"/>
    </row>
    <row r="2681" spans="1:15" ht="12.75" customHeight="1" x14ac:dyDescent="0.25">
      <c r="A2681" s="393" t="s">
        <v>951</v>
      </c>
      <c r="B2681" s="271"/>
      <c r="C2681" s="271"/>
      <c r="D2681" s="271"/>
      <c r="E2681" s="271"/>
      <c r="F2681" s="271"/>
      <c r="G2681" s="273"/>
      <c r="H2681" s="29" t="str">
        <f>IF(A2681="","",VLOOKUP(A2681,AA_Cuadrillas,4,FALSE))</f>
        <v>Cuadrilla</v>
      </c>
      <c r="I2681" s="394">
        <f>IF(A2681="","",VLOOKUP(A2681,AA_Cuadrillas,5,FALSE))</f>
        <v>186763</v>
      </c>
      <c r="J2681" s="273"/>
      <c r="K2681" s="9">
        <f>IF(A2681="","",F.P!$I$2)</f>
        <v>1.88</v>
      </c>
      <c r="L2681" s="97">
        <v>0.25</v>
      </c>
      <c r="M2681" s="394">
        <f t="shared" ref="M2681:M2685" si="362">IF(A2681="","",I2681*K2681*L2681)</f>
        <v>87778.61</v>
      </c>
      <c r="N2681" s="273"/>
    </row>
    <row r="2682" spans="1:15" ht="12.75" customHeight="1" x14ac:dyDescent="0.25">
      <c r="A2682" s="393"/>
      <c r="B2682" s="271"/>
      <c r="C2682" s="271"/>
      <c r="D2682" s="271"/>
      <c r="E2682" s="271"/>
      <c r="F2682" s="271"/>
      <c r="G2682" s="273"/>
      <c r="H2682" s="29" t="str">
        <f>IF(A2682="","",VLOOKUP(A2682,AA_Cuadrillas,4,FALSE))</f>
        <v/>
      </c>
      <c r="I2682" s="394" t="str">
        <f>IF(A2682="","",VLOOKUP(A2682,AA_Cuadrillas,5,FALSE))</f>
        <v/>
      </c>
      <c r="J2682" s="273"/>
      <c r="K2682" s="9" t="str">
        <f>IF(A2682="","",F.P!$I$2)</f>
        <v/>
      </c>
      <c r="L2682" s="9"/>
      <c r="M2682" s="394" t="str">
        <f t="shared" si="362"/>
        <v/>
      </c>
      <c r="N2682" s="273"/>
    </row>
    <row r="2683" spans="1:15" ht="12.75" customHeight="1" x14ac:dyDescent="0.25">
      <c r="A2683" s="393"/>
      <c r="B2683" s="271"/>
      <c r="C2683" s="271"/>
      <c r="D2683" s="271"/>
      <c r="E2683" s="271"/>
      <c r="F2683" s="271"/>
      <c r="G2683" s="273"/>
      <c r="H2683" s="29" t="str">
        <f>IF(A2683="","",VLOOKUP(A2683,AA_Cuadrillas,4,FALSE))</f>
        <v/>
      </c>
      <c r="I2683" s="394" t="str">
        <f>IF(A2683="","",VLOOKUP(A2683,AA_Cuadrillas,5,FALSE))</f>
        <v/>
      </c>
      <c r="J2683" s="273"/>
      <c r="K2683" s="9" t="str">
        <f>IF(A2683="","",F.P!$I$2)</f>
        <v/>
      </c>
      <c r="L2683" s="37"/>
      <c r="M2683" s="394" t="str">
        <f t="shared" si="362"/>
        <v/>
      </c>
      <c r="N2683" s="273"/>
    </row>
    <row r="2684" spans="1:15" ht="12.75" customHeight="1" x14ac:dyDescent="0.25">
      <c r="A2684" s="393"/>
      <c r="B2684" s="271"/>
      <c r="C2684" s="271"/>
      <c r="D2684" s="271"/>
      <c r="E2684" s="271"/>
      <c r="F2684" s="271"/>
      <c r="G2684" s="273"/>
      <c r="H2684" s="29" t="str">
        <f>IF(A2684="","",VLOOKUP(A2684,AA_Cuadrillas,4,FALSE))</f>
        <v/>
      </c>
      <c r="I2684" s="394" t="str">
        <f>IF(A2684="","",VLOOKUP(A2684,AA_Cuadrillas,5,FALSE))</f>
        <v/>
      </c>
      <c r="J2684" s="273"/>
      <c r="K2684" s="9" t="str">
        <f>IF(A2684="","",F.P!$I$2)</f>
        <v/>
      </c>
      <c r="L2684" s="37"/>
      <c r="M2684" s="394" t="str">
        <f t="shared" si="362"/>
        <v/>
      </c>
      <c r="N2684" s="273"/>
    </row>
    <row r="2685" spans="1:15" ht="12.75" customHeight="1" x14ac:dyDescent="0.25">
      <c r="A2685" s="393"/>
      <c r="B2685" s="271"/>
      <c r="C2685" s="271"/>
      <c r="D2685" s="271"/>
      <c r="E2685" s="271"/>
      <c r="F2685" s="271"/>
      <c r="G2685" s="273"/>
      <c r="H2685" s="29" t="str">
        <f>IF(A2685="","",VLOOKUP(A2685,AA_Cuadrillas,4,FALSE))</f>
        <v/>
      </c>
      <c r="I2685" s="394" t="str">
        <f>IF(A2685="","",VLOOKUP(A2685,AA_Cuadrillas,5,FALSE))</f>
        <v/>
      </c>
      <c r="J2685" s="273"/>
      <c r="K2685" s="9" t="str">
        <f>IF(A2685="","",F.P!$I$2)</f>
        <v/>
      </c>
      <c r="L2685" s="37"/>
      <c r="M2685" s="394" t="str">
        <f t="shared" si="362"/>
        <v/>
      </c>
      <c r="N2685" s="273"/>
    </row>
    <row r="2686" spans="1:15" ht="12.75" customHeight="1" x14ac:dyDescent="0.25">
      <c r="A2686" s="4"/>
      <c r="B2686" s="4"/>
      <c r="C2686" s="4"/>
      <c r="D2686" s="4"/>
      <c r="E2686" s="4"/>
      <c r="F2686" s="4"/>
      <c r="G2686" s="4"/>
      <c r="H2686" s="4"/>
      <c r="I2686" s="4"/>
      <c r="J2686" s="4"/>
      <c r="K2686" s="396" t="s">
        <v>444</v>
      </c>
      <c r="L2686" s="273"/>
      <c r="M2686" s="394">
        <f>SUM(M2681:N2685)</f>
        <v>87778.61</v>
      </c>
      <c r="N2686" s="273"/>
    </row>
    <row r="2687" spans="1:15" ht="12.75" customHeight="1" x14ac:dyDescent="0.2"/>
    <row r="2688" spans="1:15" ht="12.75" customHeight="1" x14ac:dyDescent="0.2">
      <c r="A2688" s="407" t="s">
        <v>1096</v>
      </c>
      <c r="B2688" s="275"/>
      <c r="C2688" s="275"/>
      <c r="D2688" s="275"/>
      <c r="E2688" s="275"/>
      <c r="F2688" s="275"/>
      <c r="G2688" s="275"/>
      <c r="H2688" s="275"/>
      <c r="I2688" s="275"/>
      <c r="J2688" s="275"/>
      <c r="K2688" s="275"/>
      <c r="L2688" s="275"/>
      <c r="M2688" s="275"/>
      <c r="N2688" s="276"/>
      <c r="O2688" s="166"/>
    </row>
    <row r="2689" spans="1:15" ht="12.75" customHeight="1" x14ac:dyDescent="0.2">
      <c r="A2689" s="277"/>
      <c r="B2689" s="278"/>
      <c r="C2689" s="278"/>
      <c r="D2689" s="278"/>
      <c r="E2689" s="278"/>
      <c r="F2689" s="278"/>
      <c r="G2689" s="278"/>
      <c r="H2689" s="278"/>
      <c r="I2689" s="278"/>
      <c r="J2689" s="278"/>
      <c r="K2689" s="278"/>
      <c r="L2689" s="278"/>
      <c r="M2689" s="278"/>
      <c r="N2689" s="279"/>
      <c r="O2689" s="166"/>
    </row>
    <row r="2690" spans="1:15" ht="12.75" customHeight="1" x14ac:dyDescent="0.2">
      <c r="A2690" s="75"/>
      <c r="B2690" s="75"/>
      <c r="C2690" s="75"/>
      <c r="D2690" s="75"/>
      <c r="E2690" s="75"/>
      <c r="F2690" s="75"/>
      <c r="G2690" s="75"/>
      <c r="H2690" s="75"/>
      <c r="I2690" s="75"/>
      <c r="J2690" s="75"/>
      <c r="K2690" s="75"/>
      <c r="L2690" s="75"/>
      <c r="M2690" s="75"/>
      <c r="N2690" s="75"/>
    </row>
    <row r="2691" spans="1:15" ht="12.75" customHeight="1" x14ac:dyDescent="0.3">
      <c r="A2691" s="79" t="s">
        <v>676</v>
      </c>
      <c r="B2691" s="80" t="str">
        <f>A2688</f>
        <v>SUMINISTRO E INSTALACIÓN DE NIPLE PASAMURO DE Ø4" EN HIERRO DUCTIL (INCLUYE MATERIALES, HERRAMIENTAS Y MANO DE OBRA)</v>
      </c>
      <c r="C2691" s="81" t="s">
        <v>916</v>
      </c>
      <c r="D2691" s="82" t="s">
        <v>999</v>
      </c>
      <c r="E2691" s="83" t="s">
        <v>445</v>
      </c>
      <c r="F2691" s="86">
        <f>H2691+J2691+L2691+N2691</f>
        <v>413795.137025</v>
      </c>
      <c r="G2691" s="83" t="s">
        <v>607</v>
      </c>
      <c r="H2691" s="86">
        <f>M2710</f>
        <v>4388.9305000000004</v>
      </c>
      <c r="I2691" s="83" t="s">
        <v>918</v>
      </c>
      <c r="J2691" s="86">
        <f>M2701</f>
        <v>306103</v>
      </c>
      <c r="K2691" s="83" t="s">
        <v>609</v>
      </c>
      <c r="L2691" s="86">
        <f>M2719</f>
        <v>15524.596525000001</v>
      </c>
      <c r="M2691" s="83" t="s">
        <v>610</v>
      </c>
      <c r="N2691" s="86">
        <f>M2728</f>
        <v>87778.61</v>
      </c>
    </row>
    <row r="2692" spans="1:15" ht="12.75" customHeight="1" x14ac:dyDescent="0.25">
      <c r="A2692" s="87"/>
      <c r="B2692" s="87"/>
      <c r="C2692" s="87"/>
      <c r="D2692" s="87"/>
      <c r="E2692" s="242" t="s">
        <v>3253</v>
      </c>
      <c r="F2692" s="259">
        <f>F2691*1.3</f>
        <v>537933.67813250003</v>
      </c>
      <c r="G2692" s="87"/>
      <c r="J2692" s="87"/>
      <c r="K2692" s="215" t="s">
        <v>3217</v>
      </c>
      <c r="L2692" s="215">
        <f>+F2691*presup!$O$5</f>
        <v>537933.67813250003</v>
      </c>
      <c r="M2692" s="87"/>
      <c r="N2692" s="87"/>
    </row>
    <row r="2693" spans="1:15" ht="12.75" customHeight="1" x14ac:dyDescent="0.2">
      <c r="A2693" s="398" t="s">
        <v>919</v>
      </c>
      <c r="B2693" s="271"/>
      <c r="C2693" s="271"/>
      <c r="D2693" s="271"/>
      <c r="E2693" s="271"/>
      <c r="F2693" s="271"/>
      <c r="G2693" s="271"/>
      <c r="H2693" s="271"/>
      <c r="I2693" s="271"/>
      <c r="J2693" s="271"/>
      <c r="K2693" s="271"/>
      <c r="L2693" s="271"/>
      <c r="M2693" s="271"/>
      <c r="N2693" s="273"/>
    </row>
    <row r="2694" spans="1:15" ht="12.75" customHeight="1" x14ac:dyDescent="0.2">
      <c r="A2694" s="396" t="s">
        <v>76</v>
      </c>
      <c r="B2694" s="271"/>
      <c r="C2694" s="271"/>
      <c r="D2694" s="271"/>
      <c r="E2694" s="271"/>
      <c r="F2694" s="271"/>
      <c r="G2694" s="273"/>
      <c r="H2694" s="88" t="s">
        <v>77</v>
      </c>
      <c r="I2694" s="399" t="s">
        <v>920</v>
      </c>
      <c r="J2694" s="273"/>
      <c r="K2694" s="399" t="s">
        <v>453</v>
      </c>
      <c r="L2694" s="273"/>
      <c r="M2694" s="399" t="s">
        <v>921</v>
      </c>
      <c r="N2694" s="273"/>
    </row>
    <row r="2695" spans="1:15" ht="12.75" customHeight="1" x14ac:dyDescent="0.2">
      <c r="A2695" s="403" t="s">
        <v>1097</v>
      </c>
      <c r="B2695" s="271"/>
      <c r="C2695" s="271"/>
      <c r="D2695" s="271"/>
      <c r="E2695" s="271"/>
      <c r="F2695" s="271"/>
      <c r="G2695" s="273"/>
      <c r="H2695" s="29" t="str">
        <f t="shared" ref="H2695:H2700" si="363">IF(A2695="","",VLOOKUP(A2695,AA_Materiales,7,FALSE))</f>
        <v>Unidad</v>
      </c>
      <c r="I2695" s="394">
        <f t="shared" ref="I2695:I2700" si="364">IF(A2695="","",VLOOKUP(A2695,AA_Materiales,8,FALSE))</f>
        <v>306103</v>
      </c>
      <c r="J2695" s="273"/>
      <c r="K2695" s="395">
        <v>1</v>
      </c>
      <c r="L2695" s="273"/>
      <c r="M2695" s="394">
        <f t="shared" ref="M2695:M2700" si="365">IF(A2695="","",I2695*K2695)</f>
        <v>306103</v>
      </c>
      <c r="N2695" s="273"/>
    </row>
    <row r="2696" spans="1:15" ht="12.75" customHeight="1" x14ac:dyDescent="0.2">
      <c r="A2696" s="403"/>
      <c r="B2696" s="271"/>
      <c r="C2696" s="271"/>
      <c r="D2696" s="271"/>
      <c r="E2696" s="271"/>
      <c r="F2696" s="271"/>
      <c r="G2696" s="273"/>
      <c r="H2696" s="29" t="str">
        <f t="shared" si="363"/>
        <v/>
      </c>
      <c r="I2696" s="394" t="str">
        <f t="shared" si="364"/>
        <v/>
      </c>
      <c r="J2696" s="273"/>
      <c r="K2696" s="395"/>
      <c r="L2696" s="273"/>
      <c r="M2696" s="394" t="str">
        <f t="shared" si="365"/>
        <v/>
      </c>
      <c r="N2696" s="273"/>
    </row>
    <row r="2697" spans="1:15" ht="12.75" customHeight="1" x14ac:dyDescent="0.2">
      <c r="A2697" s="403"/>
      <c r="B2697" s="271"/>
      <c r="C2697" s="271"/>
      <c r="D2697" s="271"/>
      <c r="E2697" s="271"/>
      <c r="F2697" s="271"/>
      <c r="G2697" s="273"/>
      <c r="H2697" s="29" t="str">
        <f t="shared" si="363"/>
        <v/>
      </c>
      <c r="I2697" s="394" t="str">
        <f t="shared" si="364"/>
        <v/>
      </c>
      <c r="J2697" s="273"/>
      <c r="K2697" s="395"/>
      <c r="L2697" s="273"/>
      <c r="M2697" s="394" t="str">
        <f t="shared" si="365"/>
        <v/>
      </c>
      <c r="N2697" s="273"/>
    </row>
    <row r="2698" spans="1:15" ht="12.75" customHeight="1" x14ac:dyDescent="0.2">
      <c r="A2698" s="403"/>
      <c r="B2698" s="271"/>
      <c r="C2698" s="271"/>
      <c r="D2698" s="271"/>
      <c r="E2698" s="271"/>
      <c r="F2698" s="271"/>
      <c r="G2698" s="273"/>
      <c r="H2698" s="29" t="str">
        <f t="shared" si="363"/>
        <v/>
      </c>
      <c r="I2698" s="394" t="str">
        <f t="shared" si="364"/>
        <v/>
      </c>
      <c r="J2698" s="273"/>
      <c r="K2698" s="395"/>
      <c r="L2698" s="273"/>
      <c r="M2698" s="394" t="str">
        <f t="shared" si="365"/>
        <v/>
      </c>
      <c r="N2698" s="273"/>
    </row>
    <row r="2699" spans="1:15" ht="12.75" customHeight="1" x14ac:dyDescent="0.2">
      <c r="A2699" s="403"/>
      <c r="B2699" s="271"/>
      <c r="C2699" s="271"/>
      <c r="D2699" s="271"/>
      <c r="E2699" s="271"/>
      <c r="F2699" s="271"/>
      <c r="G2699" s="273"/>
      <c r="H2699" s="29" t="str">
        <f t="shared" si="363"/>
        <v/>
      </c>
      <c r="I2699" s="394" t="str">
        <f t="shared" si="364"/>
        <v/>
      </c>
      <c r="J2699" s="273"/>
      <c r="K2699" s="395"/>
      <c r="L2699" s="273"/>
      <c r="M2699" s="394" t="str">
        <f t="shared" si="365"/>
        <v/>
      </c>
      <c r="N2699" s="273"/>
    </row>
    <row r="2700" spans="1:15" ht="12.75" customHeight="1" x14ac:dyDescent="0.2">
      <c r="A2700" s="403"/>
      <c r="B2700" s="271"/>
      <c r="C2700" s="271"/>
      <c r="D2700" s="271"/>
      <c r="E2700" s="271"/>
      <c r="F2700" s="271"/>
      <c r="G2700" s="273"/>
      <c r="H2700" s="29" t="str">
        <f t="shared" si="363"/>
        <v/>
      </c>
      <c r="I2700" s="394" t="str">
        <f t="shared" si="364"/>
        <v/>
      </c>
      <c r="J2700" s="273"/>
      <c r="K2700" s="395"/>
      <c r="L2700" s="273"/>
      <c r="M2700" s="394" t="str">
        <f t="shared" si="365"/>
        <v/>
      </c>
      <c r="N2700" s="273"/>
    </row>
    <row r="2701" spans="1:15" ht="12.75" customHeight="1" x14ac:dyDescent="0.25">
      <c r="A2701" s="4"/>
      <c r="B2701" s="4"/>
      <c r="C2701" s="4"/>
      <c r="D2701" s="4"/>
      <c r="E2701" s="4"/>
      <c r="F2701" s="4"/>
      <c r="G2701" s="4"/>
      <c r="H2701" s="4"/>
      <c r="I2701" s="4"/>
      <c r="J2701" s="4"/>
      <c r="K2701" s="396" t="s">
        <v>444</v>
      </c>
      <c r="L2701" s="273"/>
      <c r="M2701" s="394">
        <f>SUM(M2695:N2700)</f>
        <v>306103</v>
      </c>
      <c r="N2701" s="273"/>
    </row>
    <row r="2702" spans="1:15" ht="12.75" customHeight="1" x14ac:dyDescent="0.25">
      <c r="A2702" s="4"/>
      <c r="B2702" s="4"/>
      <c r="C2702" s="4"/>
      <c r="D2702" s="4"/>
      <c r="E2702" s="4"/>
      <c r="F2702" s="4"/>
      <c r="G2702" s="4"/>
      <c r="H2702" s="4"/>
      <c r="I2702" s="4"/>
      <c r="J2702" s="4"/>
      <c r="K2702" s="4"/>
      <c r="L2702" s="4"/>
      <c r="M2702" s="4"/>
      <c r="N2702" s="4"/>
    </row>
    <row r="2703" spans="1:15" ht="12.75" customHeight="1" x14ac:dyDescent="0.2">
      <c r="A2703" s="398" t="s">
        <v>926</v>
      </c>
      <c r="B2703" s="271"/>
      <c r="C2703" s="271"/>
      <c r="D2703" s="271"/>
      <c r="E2703" s="271"/>
      <c r="F2703" s="271"/>
      <c r="G2703" s="271"/>
      <c r="H2703" s="271"/>
      <c r="I2703" s="271"/>
      <c r="J2703" s="271"/>
      <c r="K2703" s="271"/>
      <c r="L2703" s="271"/>
      <c r="M2703" s="271"/>
      <c r="N2703" s="273"/>
    </row>
    <row r="2704" spans="1:15" ht="12.75" customHeight="1" x14ac:dyDescent="0.2">
      <c r="A2704" s="396" t="s">
        <v>76</v>
      </c>
      <c r="B2704" s="271"/>
      <c r="C2704" s="271"/>
      <c r="D2704" s="271"/>
      <c r="E2704" s="271"/>
      <c r="F2704" s="271"/>
      <c r="G2704" s="273"/>
      <c r="H2704" s="88" t="s">
        <v>77</v>
      </c>
      <c r="I2704" s="399" t="s">
        <v>920</v>
      </c>
      <c r="J2704" s="273"/>
      <c r="K2704" s="399" t="s">
        <v>453</v>
      </c>
      <c r="L2704" s="273"/>
      <c r="M2704" s="399" t="s">
        <v>921</v>
      </c>
      <c r="N2704" s="273"/>
    </row>
    <row r="2705" spans="1:14" ht="12.75" customHeight="1" x14ac:dyDescent="0.2">
      <c r="A2705" s="400" t="s">
        <v>927</v>
      </c>
      <c r="B2705" s="271"/>
      <c r="C2705" s="271"/>
      <c r="D2705" s="271"/>
      <c r="E2705" s="271"/>
      <c r="F2705" s="271"/>
      <c r="G2705" s="273"/>
      <c r="H2705" s="29" t="str">
        <f>IF(A2705="","",VLOOKUP(A2705,AA_Equipos,7,FALSE))</f>
        <v>% M.O.</v>
      </c>
      <c r="I2705" s="394">
        <f>+M2728</f>
        <v>87778.61</v>
      </c>
      <c r="J2705" s="273"/>
      <c r="K2705" s="404">
        <v>0.05</v>
      </c>
      <c r="L2705" s="273"/>
      <c r="M2705" s="394">
        <f t="shared" ref="M2705:M2709" si="366">IF(A2705="","",I2705*K2705)</f>
        <v>4388.9305000000004</v>
      </c>
      <c r="N2705" s="273"/>
    </row>
    <row r="2706" spans="1:14" ht="12.75" customHeight="1" x14ac:dyDescent="0.2">
      <c r="A2706" s="403"/>
      <c r="B2706" s="271"/>
      <c r="C2706" s="271"/>
      <c r="D2706" s="271"/>
      <c r="E2706" s="271"/>
      <c r="F2706" s="271"/>
      <c r="G2706" s="273"/>
      <c r="H2706" s="29" t="str">
        <f>IF(A2706="","",VLOOKUP(A2706,AA_Equipos,7,FALSE))</f>
        <v/>
      </c>
      <c r="I2706" s="394" t="str">
        <f>IF(A2706="","",VLOOKUP(A2706,AA_Equipos,8,FALSE))</f>
        <v/>
      </c>
      <c r="J2706" s="273"/>
      <c r="K2706" s="402"/>
      <c r="L2706" s="273"/>
      <c r="M2706" s="394" t="str">
        <f t="shared" si="366"/>
        <v/>
      </c>
      <c r="N2706" s="273"/>
    </row>
    <row r="2707" spans="1:14" ht="12.75" customHeight="1" x14ac:dyDescent="0.2">
      <c r="A2707" s="400"/>
      <c r="B2707" s="271"/>
      <c r="C2707" s="271"/>
      <c r="D2707" s="271"/>
      <c r="E2707" s="271"/>
      <c r="F2707" s="271"/>
      <c r="G2707" s="273"/>
      <c r="H2707" s="29" t="str">
        <f>IF(A2707="","",VLOOKUP(A2707,AA_Equipos,7,FALSE))</f>
        <v/>
      </c>
      <c r="I2707" s="394" t="str">
        <f>IF(A2707="","",VLOOKUP(A2707,AA_Equipos,8,FALSE))</f>
        <v/>
      </c>
      <c r="J2707" s="273"/>
      <c r="K2707" s="401"/>
      <c r="L2707" s="273"/>
      <c r="M2707" s="394" t="str">
        <f t="shared" si="366"/>
        <v/>
      </c>
      <c r="N2707" s="273"/>
    </row>
    <row r="2708" spans="1:14" ht="12.75" customHeight="1" x14ac:dyDescent="0.2">
      <c r="A2708" s="400"/>
      <c r="B2708" s="271"/>
      <c r="C2708" s="271"/>
      <c r="D2708" s="271"/>
      <c r="E2708" s="271"/>
      <c r="F2708" s="271"/>
      <c r="G2708" s="273"/>
      <c r="H2708" s="29" t="str">
        <f>IF(A2708="","",VLOOKUP(A2708,AA_Equipos,7,FALSE))</f>
        <v/>
      </c>
      <c r="I2708" s="394" t="str">
        <f>IF(A2708="","",VLOOKUP(A2708,AA_Equipos,8,FALSE))</f>
        <v/>
      </c>
      <c r="J2708" s="273"/>
      <c r="K2708" s="395"/>
      <c r="L2708" s="273"/>
      <c r="M2708" s="394" t="str">
        <f t="shared" si="366"/>
        <v/>
      </c>
      <c r="N2708" s="273"/>
    </row>
    <row r="2709" spans="1:14" ht="12.75" customHeight="1" x14ac:dyDescent="0.2">
      <c r="A2709" s="400"/>
      <c r="B2709" s="271"/>
      <c r="C2709" s="271"/>
      <c r="D2709" s="271"/>
      <c r="E2709" s="271"/>
      <c r="F2709" s="271"/>
      <c r="G2709" s="273"/>
      <c r="H2709" s="29" t="str">
        <f>IF(A2709="","",VLOOKUP(A2709,AA_Equipos,7,FALSE))</f>
        <v/>
      </c>
      <c r="I2709" s="394" t="str">
        <f>IF(A2709="","",VLOOKUP(A2709,AA_Equipos,8,FALSE))</f>
        <v/>
      </c>
      <c r="J2709" s="273"/>
      <c r="K2709" s="395"/>
      <c r="L2709" s="273"/>
      <c r="M2709" s="394" t="str">
        <f t="shared" si="366"/>
        <v/>
      </c>
      <c r="N2709" s="273"/>
    </row>
    <row r="2710" spans="1:14" ht="12.75" customHeight="1" x14ac:dyDescent="0.25">
      <c r="A2710" s="4"/>
      <c r="B2710" s="4"/>
      <c r="C2710" s="4"/>
      <c r="D2710" s="4"/>
      <c r="E2710" s="4"/>
      <c r="F2710" s="4"/>
      <c r="G2710" s="4"/>
      <c r="H2710" s="4"/>
      <c r="I2710" s="4"/>
      <c r="J2710" s="4"/>
      <c r="K2710" s="396" t="s">
        <v>444</v>
      </c>
      <c r="L2710" s="273"/>
      <c r="M2710" s="394">
        <f>SUM(M2705:N2709)</f>
        <v>4388.9305000000004</v>
      </c>
      <c r="N2710" s="273"/>
    </row>
    <row r="2711" spans="1:14" ht="12.75" customHeight="1" x14ac:dyDescent="0.25">
      <c r="A2711" s="4"/>
      <c r="B2711" s="4"/>
      <c r="C2711" s="4"/>
      <c r="D2711" s="4"/>
      <c r="E2711" s="4"/>
      <c r="F2711" s="4"/>
      <c r="G2711" s="4"/>
      <c r="H2711" s="4"/>
      <c r="I2711" s="4"/>
      <c r="J2711" s="4"/>
      <c r="K2711" s="4"/>
      <c r="L2711" s="4"/>
      <c r="M2711" s="4"/>
      <c r="N2711" s="4"/>
    </row>
    <row r="2712" spans="1:14" ht="12.75" customHeight="1" x14ac:dyDescent="0.2">
      <c r="A2712" s="398" t="s">
        <v>929</v>
      </c>
      <c r="B2712" s="271"/>
      <c r="C2712" s="271"/>
      <c r="D2712" s="271"/>
      <c r="E2712" s="271"/>
      <c r="F2712" s="271"/>
      <c r="G2712" s="271"/>
      <c r="H2712" s="271"/>
      <c r="I2712" s="271"/>
      <c r="J2712" s="271"/>
      <c r="K2712" s="271"/>
      <c r="L2712" s="271"/>
      <c r="M2712" s="271"/>
      <c r="N2712" s="273"/>
    </row>
    <row r="2713" spans="1:14" ht="12.75" customHeight="1" x14ac:dyDescent="0.2">
      <c r="A2713" s="396" t="s">
        <v>76</v>
      </c>
      <c r="B2713" s="271"/>
      <c r="C2713" s="271"/>
      <c r="D2713" s="271"/>
      <c r="E2713" s="271"/>
      <c r="F2713" s="271"/>
      <c r="G2713" s="273"/>
      <c r="H2713" s="88" t="s">
        <v>77</v>
      </c>
      <c r="I2713" s="399" t="s">
        <v>920</v>
      </c>
      <c r="J2713" s="273"/>
      <c r="K2713" s="399" t="s">
        <v>453</v>
      </c>
      <c r="L2713" s="273"/>
      <c r="M2713" s="399" t="s">
        <v>921</v>
      </c>
      <c r="N2713" s="273"/>
    </row>
    <row r="2714" spans="1:14" ht="12.75" customHeight="1" x14ac:dyDescent="0.2">
      <c r="A2714" s="400" t="s">
        <v>930</v>
      </c>
      <c r="B2714" s="271"/>
      <c r="C2714" s="271"/>
      <c r="D2714" s="271"/>
      <c r="E2714" s="271"/>
      <c r="F2714" s="271"/>
      <c r="G2714" s="273"/>
      <c r="H2714" s="29" t="s">
        <v>24</v>
      </c>
      <c r="I2714" s="394">
        <f>+M2701+M2710</f>
        <v>310491.93050000002</v>
      </c>
      <c r="J2714" s="273"/>
      <c r="K2714" s="404">
        <v>0.05</v>
      </c>
      <c r="L2714" s="273"/>
      <c r="M2714" s="394">
        <f t="shared" ref="M2714:M2718" si="367">IF(A2714="","",I2714*K2714)</f>
        <v>15524.596525000001</v>
      </c>
      <c r="N2714" s="273"/>
    </row>
    <row r="2715" spans="1:14" ht="12.75" customHeight="1" x14ac:dyDescent="0.2">
      <c r="A2715" s="403"/>
      <c r="B2715" s="271"/>
      <c r="C2715" s="271"/>
      <c r="D2715" s="271"/>
      <c r="E2715" s="271"/>
      <c r="F2715" s="271"/>
      <c r="G2715" s="273"/>
      <c r="H2715" s="29"/>
      <c r="I2715" s="394"/>
      <c r="J2715" s="273"/>
      <c r="K2715" s="404"/>
      <c r="L2715" s="273"/>
      <c r="M2715" s="394" t="str">
        <f t="shared" si="367"/>
        <v/>
      </c>
      <c r="N2715" s="273"/>
    </row>
    <row r="2716" spans="1:14" ht="12.75" customHeight="1" x14ac:dyDescent="0.2">
      <c r="A2716" s="400"/>
      <c r="B2716" s="271"/>
      <c r="C2716" s="271"/>
      <c r="D2716" s="271"/>
      <c r="E2716" s="271"/>
      <c r="F2716" s="271"/>
      <c r="G2716" s="273"/>
      <c r="H2716" s="29"/>
      <c r="I2716" s="394"/>
      <c r="J2716" s="273"/>
      <c r="K2716" s="395"/>
      <c r="L2716" s="273"/>
      <c r="M2716" s="394" t="str">
        <f t="shared" si="367"/>
        <v/>
      </c>
      <c r="N2716" s="273"/>
    </row>
    <row r="2717" spans="1:14" ht="12.75" customHeight="1" x14ac:dyDescent="0.2">
      <c r="A2717" s="400"/>
      <c r="B2717" s="271"/>
      <c r="C2717" s="271"/>
      <c r="D2717" s="271"/>
      <c r="E2717" s="271"/>
      <c r="F2717" s="271"/>
      <c r="G2717" s="273"/>
      <c r="H2717" s="29"/>
      <c r="I2717" s="394"/>
      <c r="J2717" s="273"/>
      <c r="K2717" s="395"/>
      <c r="L2717" s="273"/>
      <c r="M2717" s="394" t="str">
        <f t="shared" si="367"/>
        <v/>
      </c>
      <c r="N2717" s="273"/>
    </row>
    <row r="2718" spans="1:14" ht="12.75" customHeight="1" x14ac:dyDescent="0.2">
      <c r="A2718" s="400"/>
      <c r="B2718" s="271"/>
      <c r="C2718" s="271"/>
      <c r="D2718" s="271"/>
      <c r="E2718" s="271"/>
      <c r="F2718" s="271"/>
      <c r="G2718" s="273"/>
      <c r="H2718" s="29"/>
      <c r="I2718" s="394"/>
      <c r="J2718" s="273"/>
      <c r="K2718" s="395"/>
      <c r="L2718" s="273"/>
      <c r="M2718" s="394" t="str">
        <f t="shared" si="367"/>
        <v/>
      </c>
      <c r="N2718" s="273"/>
    </row>
    <row r="2719" spans="1:14" ht="12.75" customHeight="1" x14ac:dyDescent="0.25">
      <c r="A2719" s="4"/>
      <c r="B2719" s="4"/>
      <c r="C2719" s="4"/>
      <c r="D2719" s="4"/>
      <c r="E2719" s="4"/>
      <c r="F2719" s="4"/>
      <c r="G2719" s="4"/>
      <c r="H2719" s="4"/>
      <c r="I2719" s="4"/>
      <c r="J2719" s="4"/>
      <c r="K2719" s="396" t="s">
        <v>444</v>
      </c>
      <c r="L2719" s="273"/>
      <c r="M2719" s="394">
        <f>SUM(M2714:N2718)</f>
        <v>15524.596525000001</v>
      </c>
      <c r="N2719" s="273"/>
    </row>
    <row r="2720" spans="1:14" ht="12.75" customHeight="1" x14ac:dyDescent="0.25">
      <c r="A2720" s="4"/>
      <c r="B2720" s="4"/>
      <c r="C2720" s="4"/>
      <c r="D2720" s="4"/>
      <c r="E2720" s="4"/>
      <c r="F2720" s="4"/>
      <c r="G2720" s="4"/>
      <c r="H2720" s="4"/>
      <c r="I2720" s="4"/>
      <c r="J2720" s="4"/>
      <c r="K2720" s="4"/>
      <c r="L2720" s="4"/>
      <c r="M2720" s="4"/>
      <c r="N2720" s="4"/>
    </row>
    <row r="2721" spans="1:15" ht="12.75" customHeight="1" x14ac:dyDescent="0.2">
      <c r="A2721" s="398" t="s">
        <v>931</v>
      </c>
      <c r="B2721" s="271"/>
      <c r="C2721" s="271"/>
      <c r="D2721" s="271"/>
      <c r="E2721" s="271"/>
      <c r="F2721" s="271"/>
      <c r="G2721" s="271"/>
      <c r="H2721" s="271"/>
      <c r="I2721" s="271"/>
      <c r="J2721" s="271"/>
      <c r="K2721" s="271"/>
      <c r="L2721" s="271"/>
      <c r="M2721" s="271"/>
      <c r="N2721" s="273"/>
    </row>
    <row r="2722" spans="1:15" ht="12.75" customHeight="1" x14ac:dyDescent="0.2">
      <c r="A2722" s="396" t="s">
        <v>76</v>
      </c>
      <c r="B2722" s="271"/>
      <c r="C2722" s="271"/>
      <c r="D2722" s="271"/>
      <c r="E2722" s="271"/>
      <c r="F2722" s="271"/>
      <c r="G2722" s="273"/>
      <c r="H2722" s="88" t="s">
        <v>77</v>
      </c>
      <c r="I2722" s="399" t="s">
        <v>920</v>
      </c>
      <c r="J2722" s="273"/>
      <c r="K2722" s="90" t="s">
        <v>514</v>
      </c>
      <c r="L2722" s="91" t="s">
        <v>932</v>
      </c>
      <c r="M2722" s="399" t="s">
        <v>921</v>
      </c>
      <c r="N2722" s="273"/>
    </row>
    <row r="2723" spans="1:15" ht="12.75" customHeight="1" x14ac:dyDescent="0.25">
      <c r="A2723" s="393" t="s">
        <v>951</v>
      </c>
      <c r="B2723" s="271"/>
      <c r="C2723" s="271"/>
      <c r="D2723" s="271"/>
      <c r="E2723" s="271"/>
      <c r="F2723" s="271"/>
      <c r="G2723" s="273"/>
      <c r="H2723" s="29" t="str">
        <f>IF(A2723="","",VLOOKUP(A2723,AA_Cuadrillas,4,FALSE))</f>
        <v>Cuadrilla</v>
      </c>
      <c r="I2723" s="394">
        <f>IF(A2723="","",VLOOKUP(A2723,AA_Cuadrillas,5,FALSE))</f>
        <v>186763</v>
      </c>
      <c r="J2723" s="273"/>
      <c r="K2723" s="9">
        <f>IF(A2723="","",F.P!$I$2)</f>
        <v>1.88</v>
      </c>
      <c r="L2723" s="97">
        <v>0.25</v>
      </c>
      <c r="M2723" s="394">
        <f t="shared" ref="M2723:M2727" si="368">IF(A2723="","",I2723*K2723*L2723)</f>
        <v>87778.61</v>
      </c>
      <c r="N2723" s="273"/>
    </row>
    <row r="2724" spans="1:15" ht="12.75" customHeight="1" x14ac:dyDescent="0.25">
      <c r="A2724" s="393"/>
      <c r="B2724" s="271"/>
      <c r="C2724" s="271"/>
      <c r="D2724" s="271"/>
      <c r="E2724" s="271"/>
      <c r="F2724" s="271"/>
      <c r="G2724" s="273"/>
      <c r="H2724" s="29" t="str">
        <f>IF(A2724="","",VLOOKUP(A2724,AA_Cuadrillas,4,FALSE))</f>
        <v/>
      </c>
      <c r="I2724" s="394" t="str">
        <f>IF(A2724="","",VLOOKUP(A2724,AA_Cuadrillas,5,FALSE))</f>
        <v/>
      </c>
      <c r="J2724" s="273"/>
      <c r="K2724" s="9" t="str">
        <f>IF(A2724="","",F.P!$I$2)</f>
        <v/>
      </c>
      <c r="L2724" s="9"/>
      <c r="M2724" s="394" t="str">
        <f t="shared" si="368"/>
        <v/>
      </c>
      <c r="N2724" s="273"/>
    </row>
    <row r="2725" spans="1:15" ht="12.75" customHeight="1" x14ac:dyDescent="0.25">
      <c r="A2725" s="393"/>
      <c r="B2725" s="271"/>
      <c r="C2725" s="271"/>
      <c r="D2725" s="271"/>
      <c r="E2725" s="271"/>
      <c r="F2725" s="271"/>
      <c r="G2725" s="273"/>
      <c r="H2725" s="29" t="str">
        <f>IF(A2725="","",VLOOKUP(A2725,AA_Cuadrillas,4,FALSE))</f>
        <v/>
      </c>
      <c r="I2725" s="394" t="str">
        <f>IF(A2725="","",VLOOKUP(A2725,AA_Cuadrillas,5,FALSE))</f>
        <v/>
      </c>
      <c r="J2725" s="273"/>
      <c r="K2725" s="9" t="str">
        <f>IF(A2725="","",F.P!$I$2)</f>
        <v/>
      </c>
      <c r="L2725" s="37"/>
      <c r="M2725" s="394" t="str">
        <f t="shared" si="368"/>
        <v/>
      </c>
      <c r="N2725" s="273"/>
    </row>
    <row r="2726" spans="1:15" ht="12.75" customHeight="1" x14ac:dyDescent="0.25">
      <c r="A2726" s="393"/>
      <c r="B2726" s="271"/>
      <c r="C2726" s="271"/>
      <c r="D2726" s="271"/>
      <c r="E2726" s="271"/>
      <c r="F2726" s="271"/>
      <c r="G2726" s="273"/>
      <c r="H2726" s="29" t="str">
        <f>IF(A2726="","",VLOOKUP(A2726,AA_Cuadrillas,4,FALSE))</f>
        <v/>
      </c>
      <c r="I2726" s="394" t="str">
        <f>IF(A2726="","",VLOOKUP(A2726,AA_Cuadrillas,5,FALSE))</f>
        <v/>
      </c>
      <c r="J2726" s="273"/>
      <c r="K2726" s="9" t="str">
        <f>IF(A2726="","",F.P!$I$2)</f>
        <v/>
      </c>
      <c r="L2726" s="37"/>
      <c r="M2726" s="394" t="str">
        <f t="shared" si="368"/>
        <v/>
      </c>
      <c r="N2726" s="273"/>
    </row>
    <row r="2727" spans="1:15" ht="12.75" customHeight="1" x14ac:dyDescent="0.25">
      <c r="A2727" s="393"/>
      <c r="B2727" s="271"/>
      <c r="C2727" s="271"/>
      <c r="D2727" s="271"/>
      <c r="E2727" s="271"/>
      <c r="F2727" s="271"/>
      <c r="G2727" s="273"/>
      <c r="H2727" s="29" t="str">
        <f>IF(A2727="","",VLOOKUP(A2727,AA_Cuadrillas,4,FALSE))</f>
        <v/>
      </c>
      <c r="I2727" s="394" t="str">
        <f>IF(A2727="","",VLOOKUP(A2727,AA_Cuadrillas,5,FALSE))</f>
        <v/>
      </c>
      <c r="J2727" s="273"/>
      <c r="K2727" s="9" t="str">
        <f>IF(A2727="","",F.P!$I$2)</f>
        <v/>
      </c>
      <c r="L2727" s="37"/>
      <c r="M2727" s="394" t="str">
        <f t="shared" si="368"/>
        <v/>
      </c>
      <c r="N2727" s="273"/>
    </row>
    <row r="2728" spans="1:15" ht="12.75" customHeight="1" x14ac:dyDescent="0.25">
      <c r="A2728" s="4"/>
      <c r="B2728" s="4"/>
      <c r="C2728" s="4"/>
      <c r="D2728" s="4"/>
      <c r="E2728" s="4"/>
      <c r="F2728" s="4"/>
      <c r="G2728" s="4"/>
      <c r="H2728" s="4"/>
      <c r="I2728" s="4"/>
      <c r="J2728" s="4"/>
      <c r="K2728" s="396" t="s">
        <v>444</v>
      </c>
      <c r="L2728" s="273"/>
      <c r="M2728" s="394">
        <f>SUM(M2723:N2727)</f>
        <v>87778.61</v>
      </c>
      <c r="N2728" s="273"/>
    </row>
    <row r="2729" spans="1:15" ht="12.75" customHeight="1" x14ac:dyDescent="0.2"/>
    <row r="2730" spans="1:15" ht="12.75" customHeight="1" x14ac:dyDescent="0.2">
      <c r="A2730" s="407" t="s">
        <v>1098</v>
      </c>
      <c r="B2730" s="275"/>
      <c r="C2730" s="275"/>
      <c r="D2730" s="275"/>
      <c r="E2730" s="275"/>
      <c r="F2730" s="275"/>
      <c r="G2730" s="275"/>
      <c r="H2730" s="275"/>
      <c r="I2730" s="275"/>
      <c r="J2730" s="275"/>
      <c r="K2730" s="275"/>
      <c r="L2730" s="275"/>
      <c r="M2730" s="275"/>
      <c r="N2730" s="276"/>
      <c r="O2730" s="166"/>
    </row>
    <row r="2731" spans="1:15" ht="12.75" customHeight="1" x14ac:dyDescent="0.2">
      <c r="A2731" s="277"/>
      <c r="B2731" s="278"/>
      <c r="C2731" s="278"/>
      <c r="D2731" s="278"/>
      <c r="E2731" s="278"/>
      <c r="F2731" s="278"/>
      <c r="G2731" s="278"/>
      <c r="H2731" s="278"/>
      <c r="I2731" s="278"/>
      <c r="J2731" s="278"/>
      <c r="K2731" s="278"/>
      <c r="L2731" s="278"/>
      <c r="M2731" s="278"/>
      <c r="N2731" s="279"/>
      <c r="O2731" s="166"/>
    </row>
    <row r="2732" spans="1:15" ht="12.75" customHeight="1" x14ac:dyDescent="0.2">
      <c r="A2732" s="75"/>
      <c r="B2732" s="75"/>
      <c r="C2732" s="75"/>
      <c r="D2732" s="75"/>
      <c r="E2732" s="75"/>
      <c r="F2732" s="75"/>
      <c r="G2732" s="75"/>
      <c r="H2732" s="75"/>
      <c r="I2732" s="75"/>
      <c r="J2732" s="75"/>
      <c r="K2732" s="75"/>
      <c r="L2732" s="75"/>
      <c r="M2732" s="75"/>
      <c r="N2732" s="75"/>
    </row>
    <row r="2733" spans="1:15" ht="12.75" customHeight="1" x14ac:dyDescent="0.3">
      <c r="A2733" s="79" t="s">
        <v>677</v>
      </c>
      <c r="B2733" s="80" t="str">
        <f>A2730</f>
        <v>SUMINISTRO E INSTALACIÓN DE NIPLE PASAMURO DE Ø6" EN HIERRO DUCTIL (INCLUYE MATERIALES, HERRAMIENTAS Y MANO DE OBRA)</v>
      </c>
      <c r="C2733" s="81" t="s">
        <v>916</v>
      </c>
      <c r="D2733" s="82" t="s">
        <v>999</v>
      </c>
      <c r="E2733" s="83" t="s">
        <v>445</v>
      </c>
      <c r="F2733" s="86">
        <f>H2733+J2733+L2733+N2733</f>
        <v>710379.18702499999</v>
      </c>
      <c r="G2733" s="83" t="s">
        <v>607</v>
      </c>
      <c r="H2733" s="86">
        <f>M2752</f>
        <v>4388.9305000000004</v>
      </c>
      <c r="I2733" s="83" t="s">
        <v>918</v>
      </c>
      <c r="J2733" s="86">
        <f>M2743</f>
        <v>588564</v>
      </c>
      <c r="K2733" s="83" t="s">
        <v>609</v>
      </c>
      <c r="L2733" s="86">
        <f>M2761</f>
        <v>29647.646525000004</v>
      </c>
      <c r="M2733" s="83" t="s">
        <v>610</v>
      </c>
      <c r="N2733" s="86">
        <f>M2770</f>
        <v>87778.61</v>
      </c>
    </row>
    <row r="2734" spans="1:15" ht="12.75" customHeight="1" x14ac:dyDescent="0.25">
      <c r="A2734" s="87"/>
      <c r="B2734" s="87"/>
      <c r="C2734" s="87"/>
      <c r="D2734" s="87"/>
      <c r="E2734" s="242" t="s">
        <v>3253</v>
      </c>
      <c r="F2734" s="259">
        <f>F2733*1.3</f>
        <v>923492.94313250005</v>
      </c>
      <c r="G2734" s="87"/>
      <c r="J2734" s="87"/>
      <c r="K2734" s="215" t="s">
        <v>3217</v>
      </c>
      <c r="L2734" s="215">
        <f>+F2733*presup!$O$5</f>
        <v>923492.94313250005</v>
      </c>
      <c r="M2734" s="87"/>
      <c r="N2734" s="87"/>
    </row>
    <row r="2735" spans="1:15" ht="12.75" customHeight="1" x14ac:dyDescent="0.2">
      <c r="A2735" s="398" t="s">
        <v>919</v>
      </c>
      <c r="B2735" s="271"/>
      <c r="C2735" s="271"/>
      <c r="D2735" s="271"/>
      <c r="E2735" s="271"/>
      <c r="F2735" s="271"/>
      <c r="G2735" s="271"/>
      <c r="H2735" s="271"/>
      <c r="I2735" s="271"/>
      <c r="J2735" s="271"/>
      <c r="K2735" s="271"/>
      <c r="L2735" s="271"/>
      <c r="M2735" s="271"/>
      <c r="N2735" s="273"/>
    </row>
    <row r="2736" spans="1:15" ht="12.75" customHeight="1" x14ac:dyDescent="0.2">
      <c r="A2736" s="396" t="s">
        <v>76</v>
      </c>
      <c r="B2736" s="271"/>
      <c r="C2736" s="271"/>
      <c r="D2736" s="271"/>
      <c r="E2736" s="271"/>
      <c r="F2736" s="271"/>
      <c r="G2736" s="273"/>
      <c r="H2736" s="88" t="s">
        <v>77</v>
      </c>
      <c r="I2736" s="399" t="s">
        <v>920</v>
      </c>
      <c r="J2736" s="273"/>
      <c r="K2736" s="399" t="s">
        <v>453</v>
      </c>
      <c r="L2736" s="273"/>
      <c r="M2736" s="399" t="s">
        <v>921</v>
      </c>
      <c r="N2736" s="273"/>
    </row>
    <row r="2737" spans="1:14" ht="12.75" customHeight="1" x14ac:dyDescent="0.2">
      <c r="A2737" s="403" t="s">
        <v>1099</v>
      </c>
      <c r="B2737" s="271"/>
      <c r="C2737" s="271"/>
      <c r="D2737" s="271"/>
      <c r="E2737" s="271"/>
      <c r="F2737" s="271"/>
      <c r="G2737" s="273"/>
      <c r="H2737" s="29" t="str">
        <f t="shared" ref="H2737:H2742" si="369">IF(A2737="","",VLOOKUP(A2737,AA_Materiales,7,FALSE))</f>
        <v>Unidad</v>
      </c>
      <c r="I2737" s="394">
        <f t="shared" ref="I2737:I2742" si="370">IF(A2737="","",VLOOKUP(A2737,AA_Materiales,8,FALSE))</f>
        <v>588564</v>
      </c>
      <c r="J2737" s="273"/>
      <c r="K2737" s="395">
        <v>1</v>
      </c>
      <c r="L2737" s="273"/>
      <c r="M2737" s="394">
        <f t="shared" ref="M2737:M2742" si="371">IF(A2737="","",I2737*K2737)</f>
        <v>588564</v>
      </c>
      <c r="N2737" s="273"/>
    </row>
    <row r="2738" spans="1:14" ht="12.75" customHeight="1" x14ac:dyDescent="0.2">
      <c r="A2738" s="403"/>
      <c r="B2738" s="271"/>
      <c r="C2738" s="271"/>
      <c r="D2738" s="271"/>
      <c r="E2738" s="271"/>
      <c r="F2738" s="271"/>
      <c r="G2738" s="273"/>
      <c r="H2738" s="29" t="str">
        <f t="shared" si="369"/>
        <v/>
      </c>
      <c r="I2738" s="394" t="str">
        <f t="shared" si="370"/>
        <v/>
      </c>
      <c r="J2738" s="273"/>
      <c r="K2738" s="395"/>
      <c r="L2738" s="273"/>
      <c r="M2738" s="394" t="str">
        <f t="shared" si="371"/>
        <v/>
      </c>
      <c r="N2738" s="273"/>
    </row>
    <row r="2739" spans="1:14" ht="12.75" customHeight="1" x14ac:dyDescent="0.2">
      <c r="A2739" s="403"/>
      <c r="B2739" s="271"/>
      <c r="C2739" s="271"/>
      <c r="D2739" s="271"/>
      <c r="E2739" s="271"/>
      <c r="F2739" s="271"/>
      <c r="G2739" s="273"/>
      <c r="H2739" s="29" t="str">
        <f t="shared" si="369"/>
        <v/>
      </c>
      <c r="I2739" s="394" t="str">
        <f t="shared" si="370"/>
        <v/>
      </c>
      <c r="J2739" s="273"/>
      <c r="K2739" s="395"/>
      <c r="L2739" s="273"/>
      <c r="M2739" s="394" t="str">
        <f t="shared" si="371"/>
        <v/>
      </c>
      <c r="N2739" s="273"/>
    </row>
    <row r="2740" spans="1:14" ht="12.75" customHeight="1" x14ac:dyDescent="0.2">
      <c r="A2740" s="403"/>
      <c r="B2740" s="271"/>
      <c r="C2740" s="271"/>
      <c r="D2740" s="271"/>
      <c r="E2740" s="271"/>
      <c r="F2740" s="271"/>
      <c r="G2740" s="273"/>
      <c r="H2740" s="29" t="str">
        <f t="shared" si="369"/>
        <v/>
      </c>
      <c r="I2740" s="394" t="str">
        <f t="shared" si="370"/>
        <v/>
      </c>
      <c r="J2740" s="273"/>
      <c r="K2740" s="395"/>
      <c r="L2740" s="273"/>
      <c r="M2740" s="394" t="str">
        <f t="shared" si="371"/>
        <v/>
      </c>
      <c r="N2740" s="273"/>
    </row>
    <row r="2741" spans="1:14" ht="12.75" customHeight="1" x14ac:dyDescent="0.2">
      <c r="A2741" s="403"/>
      <c r="B2741" s="271"/>
      <c r="C2741" s="271"/>
      <c r="D2741" s="271"/>
      <c r="E2741" s="271"/>
      <c r="F2741" s="271"/>
      <c r="G2741" s="273"/>
      <c r="H2741" s="29" t="str">
        <f t="shared" si="369"/>
        <v/>
      </c>
      <c r="I2741" s="394" t="str">
        <f t="shared" si="370"/>
        <v/>
      </c>
      <c r="J2741" s="273"/>
      <c r="K2741" s="395"/>
      <c r="L2741" s="273"/>
      <c r="M2741" s="394" t="str">
        <f t="shared" si="371"/>
        <v/>
      </c>
      <c r="N2741" s="273"/>
    </row>
    <row r="2742" spans="1:14" ht="12.75" customHeight="1" x14ac:dyDescent="0.2">
      <c r="A2742" s="403"/>
      <c r="B2742" s="271"/>
      <c r="C2742" s="271"/>
      <c r="D2742" s="271"/>
      <c r="E2742" s="271"/>
      <c r="F2742" s="271"/>
      <c r="G2742" s="273"/>
      <c r="H2742" s="29" t="str">
        <f t="shared" si="369"/>
        <v/>
      </c>
      <c r="I2742" s="394" t="str">
        <f t="shared" si="370"/>
        <v/>
      </c>
      <c r="J2742" s="273"/>
      <c r="K2742" s="395"/>
      <c r="L2742" s="273"/>
      <c r="M2742" s="394" t="str">
        <f t="shared" si="371"/>
        <v/>
      </c>
      <c r="N2742" s="273"/>
    </row>
    <row r="2743" spans="1:14" ht="12.75" customHeight="1" x14ac:dyDescent="0.25">
      <c r="A2743" s="4"/>
      <c r="B2743" s="4"/>
      <c r="C2743" s="4"/>
      <c r="D2743" s="4"/>
      <c r="E2743" s="4"/>
      <c r="F2743" s="4"/>
      <c r="G2743" s="4"/>
      <c r="H2743" s="4"/>
      <c r="I2743" s="4"/>
      <c r="J2743" s="4"/>
      <c r="K2743" s="396" t="s">
        <v>444</v>
      </c>
      <c r="L2743" s="273"/>
      <c r="M2743" s="394">
        <f>SUM(M2737:N2742)</f>
        <v>588564</v>
      </c>
      <c r="N2743" s="273"/>
    </row>
    <row r="2744" spans="1:14" ht="12.75" customHeight="1" x14ac:dyDescent="0.25">
      <c r="A2744" s="4"/>
      <c r="B2744" s="4"/>
      <c r="C2744" s="4"/>
      <c r="D2744" s="4"/>
      <c r="E2744" s="4"/>
      <c r="F2744" s="4"/>
      <c r="G2744" s="4"/>
      <c r="H2744" s="4"/>
      <c r="I2744" s="4"/>
      <c r="J2744" s="4"/>
      <c r="K2744" s="4"/>
      <c r="L2744" s="4"/>
      <c r="M2744" s="4"/>
      <c r="N2744" s="4"/>
    </row>
    <row r="2745" spans="1:14" ht="12.75" customHeight="1" x14ac:dyDescent="0.2">
      <c r="A2745" s="398" t="s">
        <v>926</v>
      </c>
      <c r="B2745" s="271"/>
      <c r="C2745" s="271"/>
      <c r="D2745" s="271"/>
      <c r="E2745" s="271"/>
      <c r="F2745" s="271"/>
      <c r="G2745" s="271"/>
      <c r="H2745" s="271"/>
      <c r="I2745" s="271"/>
      <c r="J2745" s="271"/>
      <c r="K2745" s="271"/>
      <c r="L2745" s="271"/>
      <c r="M2745" s="271"/>
      <c r="N2745" s="273"/>
    </row>
    <row r="2746" spans="1:14" ht="12.75" customHeight="1" x14ac:dyDescent="0.2">
      <c r="A2746" s="396" t="s">
        <v>76</v>
      </c>
      <c r="B2746" s="271"/>
      <c r="C2746" s="271"/>
      <c r="D2746" s="271"/>
      <c r="E2746" s="271"/>
      <c r="F2746" s="271"/>
      <c r="G2746" s="273"/>
      <c r="H2746" s="88" t="s">
        <v>77</v>
      </c>
      <c r="I2746" s="399" t="s">
        <v>920</v>
      </c>
      <c r="J2746" s="273"/>
      <c r="K2746" s="399" t="s">
        <v>453</v>
      </c>
      <c r="L2746" s="273"/>
      <c r="M2746" s="399" t="s">
        <v>921</v>
      </c>
      <c r="N2746" s="273"/>
    </row>
    <row r="2747" spans="1:14" ht="12.75" customHeight="1" x14ac:dyDescent="0.2">
      <c r="A2747" s="400" t="s">
        <v>927</v>
      </c>
      <c r="B2747" s="271"/>
      <c r="C2747" s="271"/>
      <c r="D2747" s="271"/>
      <c r="E2747" s="271"/>
      <c r="F2747" s="271"/>
      <c r="G2747" s="273"/>
      <c r="H2747" s="29" t="str">
        <f>IF(A2747="","",VLOOKUP(A2747,AA_Equipos,7,FALSE))</f>
        <v>% M.O.</v>
      </c>
      <c r="I2747" s="394">
        <f>+M2770</f>
        <v>87778.61</v>
      </c>
      <c r="J2747" s="273"/>
      <c r="K2747" s="404">
        <v>0.05</v>
      </c>
      <c r="L2747" s="273"/>
      <c r="M2747" s="394">
        <f t="shared" ref="M2747:M2751" si="372">IF(A2747="","",I2747*K2747)</f>
        <v>4388.9305000000004</v>
      </c>
      <c r="N2747" s="273"/>
    </row>
    <row r="2748" spans="1:14" ht="12.75" customHeight="1" x14ac:dyDescent="0.2">
      <c r="A2748" s="403"/>
      <c r="B2748" s="271"/>
      <c r="C2748" s="271"/>
      <c r="D2748" s="271"/>
      <c r="E2748" s="271"/>
      <c r="F2748" s="271"/>
      <c r="G2748" s="273"/>
      <c r="H2748" s="29" t="str">
        <f>IF(A2748="","",VLOOKUP(A2748,AA_Equipos,7,FALSE))</f>
        <v/>
      </c>
      <c r="I2748" s="394" t="str">
        <f>IF(A2748="","",VLOOKUP(A2748,AA_Equipos,8,FALSE))</f>
        <v/>
      </c>
      <c r="J2748" s="273"/>
      <c r="K2748" s="402"/>
      <c r="L2748" s="273"/>
      <c r="M2748" s="394" t="str">
        <f t="shared" si="372"/>
        <v/>
      </c>
      <c r="N2748" s="273"/>
    </row>
    <row r="2749" spans="1:14" ht="12.75" customHeight="1" x14ac:dyDescent="0.2">
      <c r="A2749" s="400"/>
      <c r="B2749" s="271"/>
      <c r="C2749" s="271"/>
      <c r="D2749" s="271"/>
      <c r="E2749" s="271"/>
      <c r="F2749" s="271"/>
      <c r="G2749" s="273"/>
      <c r="H2749" s="29" t="str">
        <f>IF(A2749="","",VLOOKUP(A2749,AA_Equipos,7,FALSE))</f>
        <v/>
      </c>
      <c r="I2749" s="394" t="str">
        <f>IF(A2749="","",VLOOKUP(A2749,AA_Equipos,8,FALSE))</f>
        <v/>
      </c>
      <c r="J2749" s="273"/>
      <c r="K2749" s="401"/>
      <c r="L2749" s="273"/>
      <c r="M2749" s="394" t="str">
        <f t="shared" si="372"/>
        <v/>
      </c>
      <c r="N2749" s="273"/>
    </row>
    <row r="2750" spans="1:14" ht="12.75" customHeight="1" x14ac:dyDescent="0.2">
      <c r="A2750" s="400"/>
      <c r="B2750" s="271"/>
      <c r="C2750" s="271"/>
      <c r="D2750" s="271"/>
      <c r="E2750" s="271"/>
      <c r="F2750" s="271"/>
      <c r="G2750" s="273"/>
      <c r="H2750" s="29" t="str">
        <f>IF(A2750="","",VLOOKUP(A2750,AA_Equipos,7,FALSE))</f>
        <v/>
      </c>
      <c r="I2750" s="394" t="str">
        <f>IF(A2750="","",VLOOKUP(A2750,AA_Equipos,8,FALSE))</f>
        <v/>
      </c>
      <c r="J2750" s="273"/>
      <c r="K2750" s="395"/>
      <c r="L2750" s="273"/>
      <c r="M2750" s="394" t="str">
        <f t="shared" si="372"/>
        <v/>
      </c>
      <c r="N2750" s="273"/>
    </row>
    <row r="2751" spans="1:14" ht="12.75" customHeight="1" x14ac:dyDescent="0.2">
      <c r="A2751" s="400"/>
      <c r="B2751" s="271"/>
      <c r="C2751" s="271"/>
      <c r="D2751" s="271"/>
      <c r="E2751" s="271"/>
      <c r="F2751" s="271"/>
      <c r="G2751" s="273"/>
      <c r="H2751" s="29" t="str">
        <f>IF(A2751="","",VLOOKUP(A2751,AA_Equipos,7,FALSE))</f>
        <v/>
      </c>
      <c r="I2751" s="394" t="str">
        <f>IF(A2751="","",VLOOKUP(A2751,AA_Equipos,8,FALSE))</f>
        <v/>
      </c>
      <c r="J2751" s="273"/>
      <c r="K2751" s="395"/>
      <c r="L2751" s="273"/>
      <c r="M2751" s="394" t="str">
        <f t="shared" si="372"/>
        <v/>
      </c>
      <c r="N2751" s="273"/>
    </row>
    <row r="2752" spans="1:14" ht="12.75" customHeight="1" x14ac:dyDescent="0.25">
      <c r="A2752" s="4"/>
      <c r="B2752" s="4"/>
      <c r="C2752" s="4"/>
      <c r="D2752" s="4"/>
      <c r="E2752" s="4"/>
      <c r="F2752" s="4"/>
      <c r="G2752" s="4"/>
      <c r="H2752" s="4"/>
      <c r="I2752" s="4"/>
      <c r="J2752" s="4"/>
      <c r="K2752" s="396" t="s">
        <v>444</v>
      </c>
      <c r="L2752" s="273"/>
      <c r="M2752" s="394">
        <f>SUM(M2747:N2751)</f>
        <v>4388.9305000000004</v>
      </c>
      <c r="N2752" s="273"/>
    </row>
    <row r="2753" spans="1:14" ht="12.75" customHeight="1" x14ac:dyDescent="0.25">
      <c r="A2753" s="4"/>
      <c r="B2753" s="4"/>
      <c r="C2753" s="4"/>
      <c r="D2753" s="4"/>
      <c r="E2753" s="4"/>
      <c r="F2753" s="4"/>
      <c r="G2753" s="4"/>
      <c r="H2753" s="4"/>
      <c r="I2753" s="4"/>
      <c r="J2753" s="4"/>
      <c r="K2753" s="4"/>
      <c r="L2753" s="4"/>
      <c r="M2753" s="4"/>
      <c r="N2753" s="4"/>
    </row>
    <row r="2754" spans="1:14" ht="12.75" customHeight="1" x14ac:dyDescent="0.2">
      <c r="A2754" s="398" t="s">
        <v>929</v>
      </c>
      <c r="B2754" s="271"/>
      <c r="C2754" s="271"/>
      <c r="D2754" s="271"/>
      <c r="E2754" s="271"/>
      <c r="F2754" s="271"/>
      <c r="G2754" s="271"/>
      <c r="H2754" s="271"/>
      <c r="I2754" s="271"/>
      <c r="J2754" s="271"/>
      <c r="K2754" s="271"/>
      <c r="L2754" s="271"/>
      <c r="M2754" s="271"/>
      <c r="N2754" s="273"/>
    </row>
    <row r="2755" spans="1:14" ht="12.75" customHeight="1" x14ac:dyDescent="0.2">
      <c r="A2755" s="396" t="s">
        <v>76</v>
      </c>
      <c r="B2755" s="271"/>
      <c r="C2755" s="271"/>
      <c r="D2755" s="271"/>
      <c r="E2755" s="271"/>
      <c r="F2755" s="271"/>
      <c r="G2755" s="273"/>
      <c r="H2755" s="88" t="s">
        <v>77</v>
      </c>
      <c r="I2755" s="399" t="s">
        <v>920</v>
      </c>
      <c r="J2755" s="273"/>
      <c r="K2755" s="399" t="s">
        <v>453</v>
      </c>
      <c r="L2755" s="273"/>
      <c r="M2755" s="399" t="s">
        <v>921</v>
      </c>
      <c r="N2755" s="273"/>
    </row>
    <row r="2756" spans="1:14" ht="12.75" customHeight="1" x14ac:dyDescent="0.2">
      <c r="A2756" s="400" t="s">
        <v>930</v>
      </c>
      <c r="B2756" s="271"/>
      <c r="C2756" s="271"/>
      <c r="D2756" s="271"/>
      <c r="E2756" s="271"/>
      <c r="F2756" s="271"/>
      <c r="G2756" s="273"/>
      <c r="H2756" s="29" t="s">
        <v>24</v>
      </c>
      <c r="I2756" s="394">
        <f>+M2743+M2752</f>
        <v>592952.93050000002</v>
      </c>
      <c r="J2756" s="273"/>
      <c r="K2756" s="404">
        <v>0.05</v>
      </c>
      <c r="L2756" s="273"/>
      <c r="M2756" s="394">
        <f t="shared" ref="M2756:M2760" si="373">IF(A2756="","",I2756*K2756)</f>
        <v>29647.646525000004</v>
      </c>
      <c r="N2756" s="273"/>
    </row>
    <row r="2757" spans="1:14" ht="12.75" customHeight="1" x14ac:dyDescent="0.2">
      <c r="A2757" s="403"/>
      <c r="B2757" s="271"/>
      <c r="C2757" s="271"/>
      <c r="D2757" s="271"/>
      <c r="E2757" s="271"/>
      <c r="F2757" s="271"/>
      <c r="G2757" s="273"/>
      <c r="H2757" s="29"/>
      <c r="I2757" s="394"/>
      <c r="J2757" s="273"/>
      <c r="K2757" s="404"/>
      <c r="L2757" s="273"/>
      <c r="M2757" s="394" t="str">
        <f t="shared" si="373"/>
        <v/>
      </c>
      <c r="N2757" s="273"/>
    </row>
    <row r="2758" spans="1:14" ht="12.75" customHeight="1" x14ac:dyDescent="0.2">
      <c r="A2758" s="400"/>
      <c r="B2758" s="271"/>
      <c r="C2758" s="271"/>
      <c r="D2758" s="271"/>
      <c r="E2758" s="271"/>
      <c r="F2758" s="271"/>
      <c r="G2758" s="273"/>
      <c r="H2758" s="29"/>
      <c r="I2758" s="394"/>
      <c r="J2758" s="273"/>
      <c r="K2758" s="395"/>
      <c r="L2758" s="273"/>
      <c r="M2758" s="394" t="str">
        <f t="shared" si="373"/>
        <v/>
      </c>
      <c r="N2758" s="273"/>
    </row>
    <row r="2759" spans="1:14" ht="12.75" customHeight="1" x14ac:dyDescent="0.2">
      <c r="A2759" s="400"/>
      <c r="B2759" s="271"/>
      <c r="C2759" s="271"/>
      <c r="D2759" s="271"/>
      <c r="E2759" s="271"/>
      <c r="F2759" s="271"/>
      <c r="G2759" s="273"/>
      <c r="H2759" s="29"/>
      <c r="I2759" s="394"/>
      <c r="J2759" s="273"/>
      <c r="K2759" s="395"/>
      <c r="L2759" s="273"/>
      <c r="M2759" s="394" t="str">
        <f t="shared" si="373"/>
        <v/>
      </c>
      <c r="N2759" s="273"/>
    </row>
    <row r="2760" spans="1:14" ht="12.75" customHeight="1" x14ac:dyDescent="0.2">
      <c r="A2760" s="400"/>
      <c r="B2760" s="271"/>
      <c r="C2760" s="271"/>
      <c r="D2760" s="271"/>
      <c r="E2760" s="271"/>
      <c r="F2760" s="271"/>
      <c r="G2760" s="273"/>
      <c r="H2760" s="29"/>
      <c r="I2760" s="394"/>
      <c r="J2760" s="273"/>
      <c r="K2760" s="395"/>
      <c r="L2760" s="273"/>
      <c r="M2760" s="394" t="str">
        <f t="shared" si="373"/>
        <v/>
      </c>
      <c r="N2760" s="273"/>
    </row>
    <row r="2761" spans="1:14" ht="12.75" customHeight="1" x14ac:dyDescent="0.25">
      <c r="A2761" s="4"/>
      <c r="B2761" s="4"/>
      <c r="C2761" s="4"/>
      <c r="D2761" s="4"/>
      <c r="E2761" s="4"/>
      <c r="F2761" s="4"/>
      <c r="G2761" s="4"/>
      <c r="H2761" s="4"/>
      <c r="I2761" s="4"/>
      <c r="J2761" s="4"/>
      <c r="K2761" s="396" t="s">
        <v>444</v>
      </c>
      <c r="L2761" s="273"/>
      <c r="M2761" s="394">
        <f>SUM(M2756:N2760)</f>
        <v>29647.646525000004</v>
      </c>
      <c r="N2761" s="273"/>
    </row>
    <row r="2762" spans="1:14" ht="12.75" customHeight="1" x14ac:dyDescent="0.25">
      <c r="A2762" s="4"/>
      <c r="B2762" s="4"/>
      <c r="C2762" s="4"/>
      <c r="D2762" s="4"/>
      <c r="E2762" s="4"/>
      <c r="F2762" s="4"/>
      <c r="G2762" s="4"/>
      <c r="H2762" s="4"/>
      <c r="I2762" s="4"/>
      <c r="J2762" s="4"/>
      <c r="K2762" s="4"/>
      <c r="L2762" s="4"/>
      <c r="M2762" s="4"/>
      <c r="N2762" s="4"/>
    </row>
    <row r="2763" spans="1:14" ht="12.75" customHeight="1" x14ac:dyDescent="0.2">
      <c r="A2763" s="398" t="s">
        <v>931</v>
      </c>
      <c r="B2763" s="271"/>
      <c r="C2763" s="271"/>
      <c r="D2763" s="271"/>
      <c r="E2763" s="271"/>
      <c r="F2763" s="271"/>
      <c r="G2763" s="271"/>
      <c r="H2763" s="271"/>
      <c r="I2763" s="271"/>
      <c r="J2763" s="271"/>
      <c r="K2763" s="271"/>
      <c r="L2763" s="271"/>
      <c r="M2763" s="271"/>
      <c r="N2763" s="273"/>
    </row>
    <row r="2764" spans="1:14" ht="12.75" customHeight="1" x14ac:dyDescent="0.2">
      <c r="A2764" s="396" t="s">
        <v>76</v>
      </c>
      <c r="B2764" s="271"/>
      <c r="C2764" s="271"/>
      <c r="D2764" s="271"/>
      <c r="E2764" s="271"/>
      <c r="F2764" s="271"/>
      <c r="G2764" s="273"/>
      <c r="H2764" s="88" t="s">
        <v>77</v>
      </c>
      <c r="I2764" s="399" t="s">
        <v>920</v>
      </c>
      <c r="J2764" s="273"/>
      <c r="K2764" s="90" t="s">
        <v>514</v>
      </c>
      <c r="L2764" s="91" t="s">
        <v>932</v>
      </c>
      <c r="M2764" s="399" t="s">
        <v>921</v>
      </c>
      <c r="N2764" s="273"/>
    </row>
    <row r="2765" spans="1:14" ht="12.75" customHeight="1" x14ac:dyDescent="0.25">
      <c r="A2765" s="393" t="s">
        <v>951</v>
      </c>
      <c r="B2765" s="271"/>
      <c r="C2765" s="271"/>
      <c r="D2765" s="271"/>
      <c r="E2765" s="271"/>
      <c r="F2765" s="271"/>
      <c r="G2765" s="273"/>
      <c r="H2765" s="29" t="str">
        <f>IF(A2765="","",VLOOKUP(A2765,AA_Cuadrillas,4,FALSE))</f>
        <v>Cuadrilla</v>
      </c>
      <c r="I2765" s="394">
        <f>IF(A2765="","",VLOOKUP(A2765,AA_Cuadrillas,5,FALSE))</f>
        <v>186763</v>
      </c>
      <c r="J2765" s="273"/>
      <c r="K2765" s="9">
        <f>IF(A2765="","",F.P!$I$2)</f>
        <v>1.88</v>
      </c>
      <c r="L2765" s="97">
        <v>0.25</v>
      </c>
      <c r="M2765" s="394">
        <f t="shared" ref="M2765:M2769" si="374">IF(A2765="","",I2765*K2765*L2765)</f>
        <v>87778.61</v>
      </c>
      <c r="N2765" s="273"/>
    </row>
    <row r="2766" spans="1:14" ht="12.75" customHeight="1" x14ac:dyDescent="0.25">
      <c r="A2766" s="393"/>
      <c r="B2766" s="271"/>
      <c r="C2766" s="271"/>
      <c r="D2766" s="271"/>
      <c r="E2766" s="271"/>
      <c r="F2766" s="271"/>
      <c r="G2766" s="273"/>
      <c r="H2766" s="29" t="str">
        <f>IF(A2766="","",VLOOKUP(A2766,AA_Cuadrillas,4,FALSE))</f>
        <v/>
      </c>
      <c r="I2766" s="394" t="str">
        <f>IF(A2766="","",VLOOKUP(A2766,AA_Cuadrillas,5,FALSE))</f>
        <v/>
      </c>
      <c r="J2766" s="273"/>
      <c r="K2766" s="9" t="str">
        <f>IF(A2766="","",F.P!$I$2)</f>
        <v/>
      </c>
      <c r="L2766" s="9"/>
      <c r="M2766" s="394" t="str">
        <f t="shared" si="374"/>
        <v/>
      </c>
      <c r="N2766" s="273"/>
    </row>
    <row r="2767" spans="1:14" ht="12.75" customHeight="1" x14ac:dyDescent="0.25">
      <c r="A2767" s="393"/>
      <c r="B2767" s="271"/>
      <c r="C2767" s="271"/>
      <c r="D2767" s="271"/>
      <c r="E2767" s="271"/>
      <c r="F2767" s="271"/>
      <c r="G2767" s="273"/>
      <c r="H2767" s="29" t="str">
        <f>IF(A2767="","",VLOOKUP(A2767,AA_Cuadrillas,4,FALSE))</f>
        <v/>
      </c>
      <c r="I2767" s="394" t="str">
        <f>IF(A2767="","",VLOOKUP(A2767,AA_Cuadrillas,5,FALSE))</f>
        <v/>
      </c>
      <c r="J2767" s="273"/>
      <c r="K2767" s="9" t="str">
        <f>IF(A2767="","",F.P!$I$2)</f>
        <v/>
      </c>
      <c r="L2767" s="37"/>
      <c r="M2767" s="394" t="str">
        <f t="shared" si="374"/>
        <v/>
      </c>
      <c r="N2767" s="273"/>
    </row>
    <row r="2768" spans="1:14" ht="12.75" customHeight="1" x14ac:dyDescent="0.25">
      <c r="A2768" s="393"/>
      <c r="B2768" s="271"/>
      <c r="C2768" s="271"/>
      <c r="D2768" s="271"/>
      <c r="E2768" s="271"/>
      <c r="F2768" s="271"/>
      <c r="G2768" s="273"/>
      <c r="H2768" s="29" t="str">
        <f>IF(A2768="","",VLOOKUP(A2768,AA_Cuadrillas,4,FALSE))</f>
        <v/>
      </c>
      <c r="I2768" s="394" t="str">
        <f>IF(A2768="","",VLOOKUP(A2768,AA_Cuadrillas,5,FALSE))</f>
        <v/>
      </c>
      <c r="J2768" s="273"/>
      <c r="K2768" s="9" t="str">
        <f>IF(A2768="","",F.P!$I$2)</f>
        <v/>
      </c>
      <c r="L2768" s="37"/>
      <c r="M2768" s="394" t="str">
        <f t="shared" si="374"/>
        <v/>
      </c>
      <c r="N2768" s="273"/>
    </row>
    <row r="2769" spans="1:14" ht="12.75" customHeight="1" x14ac:dyDescent="0.25">
      <c r="A2769" s="393"/>
      <c r="B2769" s="271"/>
      <c r="C2769" s="271"/>
      <c r="D2769" s="271"/>
      <c r="E2769" s="271"/>
      <c r="F2769" s="271"/>
      <c r="G2769" s="273"/>
      <c r="H2769" s="29" t="str">
        <f>IF(A2769="","",VLOOKUP(A2769,AA_Cuadrillas,4,FALSE))</f>
        <v/>
      </c>
      <c r="I2769" s="394" t="str">
        <f>IF(A2769="","",VLOOKUP(A2769,AA_Cuadrillas,5,FALSE))</f>
        <v/>
      </c>
      <c r="J2769" s="273"/>
      <c r="K2769" s="9" t="str">
        <f>IF(A2769="","",F.P!$I$2)</f>
        <v/>
      </c>
      <c r="L2769" s="37"/>
      <c r="M2769" s="394" t="str">
        <f t="shared" si="374"/>
        <v/>
      </c>
      <c r="N2769" s="273"/>
    </row>
    <row r="2770" spans="1:14" ht="12.75" customHeight="1" x14ac:dyDescent="0.25">
      <c r="A2770" s="4"/>
      <c r="B2770" s="4"/>
      <c r="C2770" s="4"/>
      <c r="D2770" s="4"/>
      <c r="E2770" s="4"/>
      <c r="F2770" s="4"/>
      <c r="G2770" s="4"/>
      <c r="H2770" s="4"/>
      <c r="I2770" s="4"/>
      <c r="J2770" s="4"/>
      <c r="K2770" s="396" t="s">
        <v>444</v>
      </c>
      <c r="L2770" s="273"/>
      <c r="M2770" s="394">
        <f>SUM(M2765:N2769)</f>
        <v>87778.61</v>
      </c>
      <c r="N2770" s="273"/>
    </row>
    <row r="2771" spans="1:14" ht="12.75" customHeight="1" x14ac:dyDescent="0.2"/>
    <row r="2772" spans="1:14" ht="12.75" customHeight="1" x14ac:dyDescent="0.2">
      <c r="A2772" s="397" t="s">
        <v>147</v>
      </c>
      <c r="B2772" s="275"/>
      <c r="C2772" s="275"/>
      <c r="D2772" s="275"/>
      <c r="E2772" s="275"/>
      <c r="F2772" s="275"/>
      <c r="G2772" s="275"/>
      <c r="H2772" s="275"/>
      <c r="I2772" s="275"/>
      <c r="J2772" s="275"/>
      <c r="K2772" s="275"/>
      <c r="L2772" s="275"/>
      <c r="M2772" s="275"/>
      <c r="N2772" s="276"/>
    </row>
    <row r="2773" spans="1:14" ht="12.75" customHeight="1" x14ac:dyDescent="0.2">
      <c r="A2773" s="277"/>
      <c r="B2773" s="278"/>
      <c r="C2773" s="278"/>
      <c r="D2773" s="278"/>
      <c r="E2773" s="278"/>
      <c r="F2773" s="278"/>
      <c r="G2773" s="278"/>
      <c r="H2773" s="278"/>
      <c r="I2773" s="278"/>
      <c r="J2773" s="278"/>
      <c r="K2773" s="278"/>
      <c r="L2773" s="278"/>
      <c r="M2773" s="278"/>
      <c r="N2773" s="279"/>
    </row>
    <row r="2774" spans="1:14" ht="12.75" customHeight="1" x14ac:dyDescent="0.2">
      <c r="A2774" s="75"/>
      <c r="B2774" s="75"/>
      <c r="C2774" s="75"/>
      <c r="D2774" s="75"/>
      <c r="E2774" s="75"/>
      <c r="F2774" s="75"/>
      <c r="G2774" s="75"/>
      <c r="H2774" s="75"/>
      <c r="I2774" s="75"/>
      <c r="J2774" s="75"/>
      <c r="K2774" s="75"/>
      <c r="L2774" s="75"/>
      <c r="M2774" s="75"/>
      <c r="N2774" s="75"/>
    </row>
    <row r="2775" spans="1:14" ht="12.75" customHeight="1" x14ac:dyDescent="0.3">
      <c r="A2775" s="79" t="s">
        <v>678</v>
      </c>
      <c r="B2775" s="80" t="str">
        <f>A2772</f>
        <v>SUMINISTRO E INSTALACIÓN DE MÓDULO DE SEDIMENTACIÓN ACELERADA TIPO COLMENA EN MATERIAL DE POLIESTIRENO DE ALTO IMPACTO (INCLUYE HERRAMIENTA MENOR Y MANO DE OBRA)</v>
      </c>
      <c r="C2775" s="81" t="s">
        <v>916</v>
      </c>
      <c r="D2775" s="82" t="s">
        <v>258</v>
      </c>
      <c r="E2775" s="83" t="s">
        <v>445</v>
      </c>
      <c r="F2775" s="86">
        <f>H2775+J2775+L2775+N2775</f>
        <v>894165.17683333345</v>
      </c>
      <c r="G2775" s="83" t="s">
        <v>607</v>
      </c>
      <c r="H2775" s="86">
        <f>M2794</f>
        <v>4816.7068333333327</v>
      </c>
      <c r="I2775" s="83" t="s">
        <v>918</v>
      </c>
      <c r="J2775" s="86">
        <f>M2785</f>
        <v>759220.00000000012</v>
      </c>
      <c r="K2775" s="83" t="s">
        <v>609</v>
      </c>
      <c r="L2775" s="86">
        <f>M2803</f>
        <v>37961.000000000007</v>
      </c>
      <c r="M2775" s="83" t="s">
        <v>610</v>
      </c>
      <c r="N2775" s="86">
        <f>M2812</f>
        <v>92167.469999999987</v>
      </c>
    </row>
    <row r="2776" spans="1:14" ht="12.75" customHeight="1" x14ac:dyDescent="0.25">
      <c r="A2776" s="87"/>
      <c r="B2776" s="87"/>
      <c r="C2776" s="87"/>
      <c r="D2776" s="87"/>
      <c r="E2776" s="87"/>
      <c r="F2776" s="87"/>
      <c r="G2776" s="87"/>
      <c r="J2776" s="87"/>
      <c r="K2776" s="215" t="s">
        <v>3217</v>
      </c>
      <c r="L2776" s="215">
        <f>+F2775*presup!$O$5</f>
        <v>1162414.7298833334</v>
      </c>
      <c r="M2776" s="87"/>
      <c r="N2776" s="87"/>
    </row>
    <row r="2777" spans="1:14" ht="12.75" customHeight="1" x14ac:dyDescent="0.2">
      <c r="A2777" s="398" t="s">
        <v>919</v>
      </c>
      <c r="B2777" s="271"/>
      <c r="C2777" s="271"/>
      <c r="D2777" s="271"/>
      <c r="E2777" s="271"/>
      <c r="F2777" s="271"/>
      <c r="G2777" s="271"/>
      <c r="H2777" s="271"/>
      <c r="I2777" s="271"/>
      <c r="J2777" s="271"/>
      <c r="K2777" s="271"/>
      <c r="L2777" s="271"/>
      <c r="M2777" s="271"/>
      <c r="N2777" s="273"/>
    </row>
    <row r="2778" spans="1:14" ht="12.75" customHeight="1" x14ac:dyDescent="0.2">
      <c r="A2778" s="396" t="s">
        <v>76</v>
      </c>
      <c r="B2778" s="271"/>
      <c r="C2778" s="271"/>
      <c r="D2778" s="271"/>
      <c r="E2778" s="271"/>
      <c r="F2778" s="271"/>
      <c r="G2778" s="273"/>
      <c r="H2778" s="88" t="s">
        <v>77</v>
      </c>
      <c r="I2778" s="399" t="s">
        <v>920</v>
      </c>
      <c r="J2778" s="273"/>
      <c r="K2778" s="399" t="s">
        <v>453</v>
      </c>
      <c r="L2778" s="273"/>
      <c r="M2778" s="399" t="s">
        <v>921</v>
      </c>
      <c r="N2778" s="273"/>
    </row>
    <row r="2779" spans="1:14" ht="12.75" customHeight="1" x14ac:dyDescent="0.2">
      <c r="A2779" s="403" t="s">
        <v>1100</v>
      </c>
      <c r="B2779" s="271"/>
      <c r="C2779" s="271"/>
      <c r="D2779" s="271"/>
      <c r="E2779" s="271"/>
      <c r="F2779" s="271"/>
      <c r="G2779" s="273"/>
      <c r="H2779" s="29" t="str">
        <f t="shared" ref="H2779:H2784" si="375">IF(A2779="","",VLOOKUP(A2779,AA_Materiales,7,FALSE))</f>
        <v>m2</v>
      </c>
      <c r="I2779" s="394">
        <f t="shared" ref="I2779:I2784" si="376">IF(A2779="","",VLOOKUP(A2779,AA_Materiales,8,FALSE))</f>
        <v>759220.00000000012</v>
      </c>
      <c r="J2779" s="273"/>
      <c r="K2779" s="395">
        <v>1</v>
      </c>
      <c r="L2779" s="273"/>
      <c r="M2779" s="394">
        <f t="shared" ref="M2779:M2784" si="377">IF(A2779="","",I2779*K2779)</f>
        <v>759220.00000000012</v>
      </c>
      <c r="N2779" s="273"/>
    </row>
    <row r="2780" spans="1:14" ht="12.75" customHeight="1" x14ac:dyDescent="0.2">
      <c r="A2780" s="403"/>
      <c r="B2780" s="271"/>
      <c r="C2780" s="271"/>
      <c r="D2780" s="271"/>
      <c r="E2780" s="271"/>
      <c r="F2780" s="271"/>
      <c r="G2780" s="273"/>
      <c r="H2780" s="29" t="str">
        <f t="shared" si="375"/>
        <v/>
      </c>
      <c r="I2780" s="394" t="str">
        <f t="shared" si="376"/>
        <v/>
      </c>
      <c r="J2780" s="273"/>
      <c r="K2780" s="395"/>
      <c r="L2780" s="273"/>
      <c r="M2780" s="394" t="str">
        <f t="shared" si="377"/>
        <v/>
      </c>
      <c r="N2780" s="273"/>
    </row>
    <row r="2781" spans="1:14" ht="12.75" customHeight="1" x14ac:dyDescent="0.2">
      <c r="A2781" s="403"/>
      <c r="B2781" s="271"/>
      <c r="C2781" s="271"/>
      <c r="D2781" s="271"/>
      <c r="E2781" s="271"/>
      <c r="F2781" s="271"/>
      <c r="G2781" s="273"/>
      <c r="H2781" s="29" t="str">
        <f t="shared" si="375"/>
        <v/>
      </c>
      <c r="I2781" s="394" t="str">
        <f t="shared" si="376"/>
        <v/>
      </c>
      <c r="J2781" s="273"/>
      <c r="K2781" s="395"/>
      <c r="L2781" s="273"/>
      <c r="M2781" s="394" t="str">
        <f t="shared" si="377"/>
        <v/>
      </c>
      <c r="N2781" s="273"/>
    </row>
    <row r="2782" spans="1:14" ht="12.75" customHeight="1" x14ac:dyDescent="0.2">
      <c r="A2782" s="403"/>
      <c r="B2782" s="271"/>
      <c r="C2782" s="271"/>
      <c r="D2782" s="271"/>
      <c r="E2782" s="271"/>
      <c r="F2782" s="271"/>
      <c r="G2782" s="273"/>
      <c r="H2782" s="29" t="str">
        <f t="shared" si="375"/>
        <v/>
      </c>
      <c r="I2782" s="394" t="str">
        <f t="shared" si="376"/>
        <v/>
      </c>
      <c r="J2782" s="273"/>
      <c r="K2782" s="395"/>
      <c r="L2782" s="273"/>
      <c r="M2782" s="394" t="str">
        <f t="shared" si="377"/>
        <v/>
      </c>
      <c r="N2782" s="273"/>
    </row>
    <row r="2783" spans="1:14" ht="12.75" customHeight="1" x14ac:dyDescent="0.2">
      <c r="A2783" s="403"/>
      <c r="B2783" s="271"/>
      <c r="C2783" s="271"/>
      <c r="D2783" s="271"/>
      <c r="E2783" s="271"/>
      <c r="F2783" s="271"/>
      <c r="G2783" s="273"/>
      <c r="H2783" s="29" t="str">
        <f t="shared" si="375"/>
        <v/>
      </c>
      <c r="I2783" s="394" t="str">
        <f t="shared" si="376"/>
        <v/>
      </c>
      <c r="J2783" s="273"/>
      <c r="K2783" s="395"/>
      <c r="L2783" s="273"/>
      <c r="M2783" s="394" t="str">
        <f t="shared" si="377"/>
        <v/>
      </c>
      <c r="N2783" s="273"/>
    </row>
    <row r="2784" spans="1:14" ht="12.75" customHeight="1" x14ac:dyDescent="0.2">
      <c r="A2784" s="403"/>
      <c r="B2784" s="271"/>
      <c r="C2784" s="271"/>
      <c r="D2784" s="271"/>
      <c r="E2784" s="271"/>
      <c r="F2784" s="271"/>
      <c r="G2784" s="273"/>
      <c r="H2784" s="29" t="str">
        <f t="shared" si="375"/>
        <v/>
      </c>
      <c r="I2784" s="394" t="str">
        <f t="shared" si="376"/>
        <v/>
      </c>
      <c r="J2784" s="273"/>
      <c r="K2784" s="395"/>
      <c r="L2784" s="273"/>
      <c r="M2784" s="394" t="str">
        <f t="shared" si="377"/>
        <v/>
      </c>
      <c r="N2784" s="273"/>
    </row>
    <row r="2785" spans="1:14" ht="12.75" customHeight="1" x14ac:dyDescent="0.25">
      <c r="A2785" s="4"/>
      <c r="B2785" s="4"/>
      <c r="C2785" s="4"/>
      <c r="D2785" s="4"/>
      <c r="E2785" s="4"/>
      <c r="F2785" s="4"/>
      <c r="G2785" s="4"/>
      <c r="H2785" s="4"/>
      <c r="I2785" s="4"/>
      <c r="J2785" s="4"/>
      <c r="K2785" s="396" t="s">
        <v>444</v>
      </c>
      <c r="L2785" s="273"/>
      <c r="M2785" s="394">
        <f>SUM(M2779:N2784)</f>
        <v>759220.00000000012</v>
      </c>
      <c r="N2785" s="273"/>
    </row>
    <row r="2786" spans="1:14" ht="12.75" customHeight="1" x14ac:dyDescent="0.25">
      <c r="A2786" s="4"/>
      <c r="B2786" s="4"/>
      <c r="C2786" s="4"/>
      <c r="D2786" s="4"/>
      <c r="E2786" s="4"/>
      <c r="F2786" s="4"/>
      <c r="G2786" s="4"/>
      <c r="H2786" s="4"/>
      <c r="I2786" s="4"/>
      <c r="J2786" s="4"/>
      <c r="K2786" s="4"/>
      <c r="L2786" s="4"/>
      <c r="M2786" s="4"/>
      <c r="N2786" s="4"/>
    </row>
    <row r="2787" spans="1:14" ht="12.75" customHeight="1" x14ac:dyDescent="0.2">
      <c r="A2787" s="398" t="s">
        <v>926</v>
      </c>
      <c r="B2787" s="271"/>
      <c r="C2787" s="271"/>
      <c r="D2787" s="271"/>
      <c r="E2787" s="271"/>
      <c r="F2787" s="271"/>
      <c r="G2787" s="271"/>
      <c r="H2787" s="271"/>
      <c r="I2787" s="271"/>
      <c r="J2787" s="271"/>
      <c r="K2787" s="271"/>
      <c r="L2787" s="271"/>
      <c r="M2787" s="271"/>
      <c r="N2787" s="273"/>
    </row>
    <row r="2788" spans="1:14" ht="12.75" customHeight="1" x14ac:dyDescent="0.2">
      <c r="A2788" s="396" t="s">
        <v>76</v>
      </c>
      <c r="B2788" s="271"/>
      <c r="C2788" s="271"/>
      <c r="D2788" s="271"/>
      <c r="E2788" s="271"/>
      <c r="F2788" s="271"/>
      <c r="G2788" s="273"/>
      <c r="H2788" s="88" t="s">
        <v>77</v>
      </c>
      <c r="I2788" s="399" t="s">
        <v>920</v>
      </c>
      <c r="J2788" s="273"/>
      <c r="K2788" s="399" t="s">
        <v>453</v>
      </c>
      <c r="L2788" s="273"/>
      <c r="M2788" s="399" t="s">
        <v>921</v>
      </c>
      <c r="N2788" s="273"/>
    </row>
    <row r="2789" spans="1:14" ht="12.75" customHeight="1" x14ac:dyDescent="0.2">
      <c r="A2789" s="400" t="s">
        <v>927</v>
      </c>
      <c r="B2789" s="271"/>
      <c r="C2789" s="271"/>
      <c r="D2789" s="271"/>
      <c r="E2789" s="271"/>
      <c r="F2789" s="271"/>
      <c r="G2789" s="273"/>
      <c r="H2789" s="29" t="str">
        <f>IF(A2789="","",VLOOKUP(A2789,AA_Equipos,7,FALSE))</f>
        <v>% M.O.</v>
      </c>
      <c r="I2789" s="394">
        <f>+M2812</f>
        <v>92167.469999999987</v>
      </c>
      <c r="J2789" s="273"/>
      <c r="K2789" s="404">
        <v>0.05</v>
      </c>
      <c r="L2789" s="273"/>
      <c r="M2789" s="394">
        <f t="shared" ref="M2789:M2793" si="378">IF(A2789="","",I2789*K2789)</f>
        <v>4608.3734999999997</v>
      </c>
      <c r="N2789" s="273"/>
    </row>
    <row r="2790" spans="1:14" ht="12.75" customHeight="1" x14ac:dyDescent="0.2">
      <c r="A2790" s="403" t="s">
        <v>1101</v>
      </c>
      <c r="B2790" s="271"/>
      <c r="C2790" s="271"/>
      <c r="D2790" s="271"/>
      <c r="E2790" s="271"/>
      <c r="F2790" s="271"/>
      <c r="G2790" s="273"/>
      <c r="H2790" s="29" t="str">
        <f>IF(A2790="","",VLOOKUP(A2790,AA_Equipos,7,FALSE))</f>
        <v>Dia</v>
      </c>
      <c r="I2790" s="394">
        <f>IF(A2790="","",VLOOKUP(A2790,AA_Equipos,8,FALSE))</f>
        <v>2500</v>
      </c>
      <c r="J2790" s="273"/>
      <c r="K2790" s="402">
        <v>8.3333333333333329E-2</v>
      </c>
      <c r="L2790" s="273"/>
      <c r="M2790" s="394">
        <f t="shared" si="378"/>
        <v>208.33333333333331</v>
      </c>
      <c r="N2790" s="273"/>
    </row>
    <row r="2791" spans="1:14" ht="12.75" customHeight="1" x14ac:dyDescent="0.2">
      <c r="A2791" s="400"/>
      <c r="B2791" s="271"/>
      <c r="C2791" s="271"/>
      <c r="D2791" s="271"/>
      <c r="E2791" s="271"/>
      <c r="F2791" s="271"/>
      <c r="G2791" s="273"/>
      <c r="H2791" s="29" t="str">
        <f>IF(A2791="","",VLOOKUP(A2791,AA_Equipos,7,FALSE))</f>
        <v/>
      </c>
      <c r="I2791" s="394" t="str">
        <f>IF(A2791="","",VLOOKUP(A2791,AA_Equipos,8,FALSE))</f>
        <v/>
      </c>
      <c r="J2791" s="273"/>
      <c r="K2791" s="401"/>
      <c r="L2791" s="273"/>
      <c r="M2791" s="394" t="str">
        <f t="shared" si="378"/>
        <v/>
      </c>
      <c r="N2791" s="273"/>
    </row>
    <row r="2792" spans="1:14" ht="12.75" customHeight="1" x14ac:dyDescent="0.2">
      <c r="A2792" s="400"/>
      <c r="B2792" s="271"/>
      <c r="C2792" s="271"/>
      <c r="D2792" s="271"/>
      <c r="E2792" s="271"/>
      <c r="F2792" s="271"/>
      <c r="G2792" s="273"/>
      <c r="H2792" s="29" t="str">
        <f>IF(A2792="","",VLOOKUP(A2792,AA_Equipos,7,FALSE))</f>
        <v/>
      </c>
      <c r="I2792" s="394" t="str">
        <f>IF(A2792="","",VLOOKUP(A2792,AA_Equipos,8,FALSE))</f>
        <v/>
      </c>
      <c r="J2792" s="273"/>
      <c r="K2792" s="395"/>
      <c r="L2792" s="273"/>
      <c r="M2792" s="394" t="str">
        <f t="shared" si="378"/>
        <v/>
      </c>
      <c r="N2792" s="273"/>
    </row>
    <row r="2793" spans="1:14" ht="12.75" customHeight="1" x14ac:dyDescent="0.2">
      <c r="A2793" s="400"/>
      <c r="B2793" s="271"/>
      <c r="C2793" s="271"/>
      <c r="D2793" s="271"/>
      <c r="E2793" s="271"/>
      <c r="F2793" s="271"/>
      <c r="G2793" s="273"/>
      <c r="H2793" s="29" t="str">
        <f>IF(A2793="","",VLOOKUP(A2793,AA_Equipos,7,FALSE))</f>
        <v/>
      </c>
      <c r="I2793" s="394" t="str">
        <f>IF(A2793="","",VLOOKUP(A2793,AA_Equipos,8,FALSE))</f>
        <v/>
      </c>
      <c r="J2793" s="273"/>
      <c r="K2793" s="395"/>
      <c r="L2793" s="273"/>
      <c r="M2793" s="394" t="str">
        <f t="shared" si="378"/>
        <v/>
      </c>
      <c r="N2793" s="273"/>
    </row>
    <row r="2794" spans="1:14" ht="12.75" customHeight="1" x14ac:dyDescent="0.25">
      <c r="A2794" s="4"/>
      <c r="B2794" s="4"/>
      <c r="C2794" s="4"/>
      <c r="D2794" s="4"/>
      <c r="E2794" s="4"/>
      <c r="F2794" s="4"/>
      <c r="G2794" s="4"/>
      <c r="H2794" s="4"/>
      <c r="I2794" s="4"/>
      <c r="J2794" s="4"/>
      <c r="K2794" s="396" t="s">
        <v>444</v>
      </c>
      <c r="L2794" s="273"/>
      <c r="M2794" s="394">
        <f>SUM(M2789:N2793)</f>
        <v>4816.7068333333327</v>
      </c>
      <c r="N2794" s="273"/>
    </row>
    <row r="2795" spans="1:14" ht="12.75" customHeight="1" x14ac:dyDescent="0.25">
      <c r="A2795" s="4"/>
      <c r="B2795" s="4"/>
      <c r="C2795" s="4"/>
      <c r="D2795" s="4"/>
      <c r="E2795" s="4"/>
      <c r="F2795" s="4"/>
      <c r="G2795" s="4"/>
      <c r="H2795" s="4"/>
      <c r="I2795" s="4"/>
      <c r="J2795" s="4"/>
      <c r="K2795" s="4"/>
      <c r="L2795" s="4"/>
      <c r="M2795" s="4"/>
      <c r="N2795" s="4"/>
    </row>
    <row r="2796" spans="1:14" ht="12.75" customHeight="1" x14ac:dyDescent="0.2">
      <c r="A2796" s="398" t="s">
        <v>929</v>
      </c>
      <c r="B2796" s="271"/>
      <c r="C2796" s="271"/>
      <c r="D2796" s="271"/>
      <c r="E2796" s="271"/>
      <c r="F2796" s="271"/>
      <c r="G2796" s="271"/>
      <c r="H2796" s="271"/>
      <c r="I2796" s="271"/>
      <c r="J2796" s="271"/>
      <c r="K2796" s="271"/>
      <c r="L2796" s="271"/>
      <c r="M2796" s="271"/>
      <c r="N2796" s="273"/>
    </row>
    <row r="2797" spans="1:14" ht="12.75" customHeight="1" x14ac:dyDescent="0.2">
      <c r="A2797" s="396" t="s">
        <v>76</v>
      </c>
      <c r="B2797" s="271"/>
      <c r="C2797" s="271"/>
      <c r="D2797" s="271"/>
      <c r="E2797" s="271"/>
      <c r="F2797" s="271"/>
      <c r="G2797" s="273"/>
      <c r="H2797" s="88" t="s">
        <v>77</v>
      </c>
      <c r="I2797" s="399" t="s">
        <v>920</v>
      </c>
      <c r="J2797" s="273"/>
      <c r="K2797" s="399" t="s">
        <v>453</v>
      </c>
      <c r="L2797" s="273"/>
      <c r="M2797" s="399" t="s">
        <v>921</v>
      </c>
      <c r="N2797" s="273"/>
    </row>
    <row r="2798" spans="1:14" ht="12.75" customHeight="1" x14ac:dyDescent="0.2">
      <c r="A2798" s="400" t="s">
        <v>966</v>
      </c>
      <c r="B2798" s="271"/>
      <c r="C2798" s="271"/>
      <c r="D2798" s="271"/>
      <c r="E2798" s="271"/>
      <c r="F2798" s="271"/>
      <c r="G2798" s="273"/>
      <c r="H2798" s="29" t="s">
        <v>950</v>
      </c>
      <c r="I2798" s="394">
        <f>+M2785</f>
        <v>759220.00000000012</v>
      </c>
      <c r="J2798" s="273"/>
      <c r="K2798" s="404">
        <v>0.05</v>
      </c>
      <c r="L2798" s="273"/>
      <c r="M2798" s="394">
        <f t="shared" ref="M2798:M2802" si="379">IF(A2798="","",I2798*K2798)</f>
        <v>37961.000000000007</v>
      </c>
      <c r="N2798" s="273"/>
    </row>
    <row r="2799" spans="1:14" ht="12.75" customHeight="1" x14ac:dyDescent="0.2">
      <c r="A2799" s="403"/>
      <c r="B2799" s="271"/>
      <c r="C2799" s="271"/>
      <c r="D2799" s="271"/>
      <c r="E2799" s="271"/>
      <c r="F2799" s="271"/>
      <c r="G2799" s="273"/>
      <c r="H2799" s="29"/>
      <c r="I2799" s="394"/>
      <c r="J2799" s="273"/>
      <c r="K2799" s="404"/>
      <c r="L2799" s="273"/>
      <c r="M2799" s="394" t="str">
        <f t="shared" si="379"/>
        <v/>
      </c>
      <c r="N2799" s="273"/>
    </row>
    <row r="2800" spans="1:14" ht="12.75" customHeight="1" x14ac:dyDescent="0.2">
      <c r="A2800" s="400"/>
      <c r="B2800" s="271"/>
      <c r="C2800" s="271"/>
      <c r="D2800" s="271"/>
      <c r="E2800" s="271"/>
      <c r="F2800" s="271"/>
      <c r="G2800" s="273"/>
      <c r="H2800" s="29"/>
      <c r="I2800" s="394"/>
      <c r="J2800" s="273"/>
      <c r="K2800" s="395"/>
      <c r="L2800" s="273"/>
      <c r="M2800" s="394" t="str">
        <f t="shared" si="379"/>
        <v/>
      </c>
      <c r="N2800" s="273"/>
    </row>
    <row r="2801" spans="1:14" ht="12.75" customHeight="1" x14ac:dyDescent="0.2">
      <c r="A2801" s="400"/>
      <c r="B2801" s="271"/>
      <c r="C2801" s="271"/>
      <c r="D2801" s="271"/>
      <c r="E2801" s="271"/>
      <c r="F2801" s="271"/>
      <c r="G2801" s="273"/>
      <c r="H2801" s="29"/>
      <c r="I2801" s="394"/>
      <c r="J2801" s="273"/>
      <c r="K2801" s="395"/>
      <c r="L2801" s="273"/>
      <c r="M2801" s="394" t="str">
        <f t="shared" si="379"/>
        <v/>
      </c>
      <c r="N2801" s="273"/>
    </row>
    <row r="2802" spans="1:14" ht="12.75" customHeight="1" x14ac:dyDescent="0.2">
      <c r="A2802" s="400"/>
      <c r="B2802" s="271"/>
      <c r="C2802" s="271"/>
      <c r="D2802" s="271"/>
      <c r="E2802" s="271"/>
      <c r="F2802" s="271"/>
      <c r="G2802" s="273"/>
      <c r="H2802" s="29"/>
      <c r="I2802" s="394"/>
      <c r="J2802" s="273"/>
      <c r="K2802" s="395"/>
      <c r="L2802" s="273"/>
      <c r="M2802" s="394" t="str">
        <f t="shared" si="379"/>
        <v/>
      </c>
      <c r="N2802" s="273"/>
    </row>
    <row r="2803" spans="1:14" ht="12.75" customHeight="1" x14ac:dyDescent="0.25">
      <c r="A2803" s="4"/>
      <c r="B2803" s="4"/>
      <c r="C2803" s="4"/>
      <c r="D2803" s="4"/>
      <c r="E2803" s="4"/>
      <c r="F2803" s="4"/>
      <c r="G2803" s="4"/>
      <c r="H2803" s="4"/>
      <c r="I2803" s="4"/>
      <c r="J2803" s="4"/>
      <c r="K2803" s="396" t="s">
        <v>444</v>
      </c>
      <c r="L2803" s="273"/>
      <c r="M2803" s="394">
        <f>SUM(M2798:N2802)</f>
        <v>37961.000000000007</v>
      </c>
      <c r="N2803" s="273"/>
    </row>
    <row r="2804" spans="1:14" ht="12.75" customHeight="1" x14ac:dyDescent="0.25">
      <c r="A2804" s="4"/>
      <c r="B2804" s="4"/>
      <c r="C2804" s="4"/>
      <c r="D2804" s="4"/>
      <c r="E2804" s="4"/>
      <c r="F2804" s="4"/>
      <c r="G2804" s="4"/>
      <c r="H2804" s="4"/>
      <c r="I2804" s="4"/>
      <c r="J2804" s="4"/>
      <c r="K2804" s="4"/>
      <c r="L2804" s="4"/>
      <c r="M2804" s="4"/>
      <c r="N2804" s="4"/>
    </row>
    <row r="2805" spans="1:14" ht="12.75" customHeight="1" x14ac:dyDescent="0.2">
      <c r="A2805" s="398" t="s">
        <v>931</v>
      </c>
      <c r="B2805" s="271"/>
      <c r="C2805" s="271"/>
      <c r="D2805" s="271"/>
      <c r="E2805" s="271"/>
      <c r="F2805" s="271"/>
      <c r="G2805" s="271"/>
      <c r="H2805" s="271"/>
      <c r="I2805" s="271"/>
      <c r="J2805" s="271"/>
      <c r="K2805" s="271"/>
      <c r="L2805" s="271"/>
      <c r="M2805" s="271"/>
      <c r="N2805" s="273"/>
    </row>
    <row r="2806" spans="1:14" ht="12.75" customHeight="1" x14ac:dyDescent="0.2">
      <c r="A2806" s="396" t="s">
        <v>76</v>
      </c>
      <c r="B2806" s="271"/>
      <c r="C2806" s="271"/>
      <c r="D2806" s="271"/>
      <c r="E2806" s="271"/>
      <c r="F2806" s="271"/>
      <c r="G2806" s="273"/>
      <c r="H2806" s="88" t="s">
        <v>77</v>
      </c>
      <c r="I2806" s="399" t="s">
        <v>920</v>
      </c>
      <c r="J2806" s="273"/>
      <c r="K2806" s="90" t="s">
        <v>514</v>
      </c>
      <c r="L2806" s="91" t="s">
        <v>932</v>
      </c>
      <c r="M2806" s="399" t="s">
        <v>921</v>
      </c>
      <c r="N2806" s="273"/>
    </row>
    <row r="2807" spans="1:14" ht="12.75" customHeight="1" x14ac:dyDescent="0.25">
      <c r="A2807" s="393" t="s">
        <v>1102</v>
      </c>
      <c r="B2807" s="271"/>
      <c r="C2807" s="271"/>
      <c r="D2807" s="271"/>
      <c r="E2807" s="271"/>
      <c r="F2807" s="271"/>
      <c r="G2807" s="273"/>
      <c r="H2807" s="29" t="str">
        <f>IF(A2807="","",VLOOKUP(A2807,AA_Cuadrillas,4,FALSE))</f>
        <v>Cuadrilla</v>
      </c>
      <c r="I2807" s="394">
        <f>IF(A2807="","",VLOOKUP(A2807,AA_Cuadrillas,5,FALSE))</f>
        <v>326835</v>
      </c>
      <c r="J2807" s="273"/>
      <c r="K2807" s="9">
        <f>IF(A2807="","",F.P!$I$2)</f>
        <v>1.88</v>
      </c>
      <c r="L2807" s="97">
        <v>0.15</v>
      </c>
      <c r="M2807" s="394">
        <f t="shared" ref="M2807:M2811" si="380">IF(A2807="","",I2807*K2807*L2807)</f>
        <v>92167.469999999987</v>
      </c>
      <c r="N2807" s="273"/>
    </row>
    <row r="2808" spans="1:14" ht="12.75" customHeight="1" x14ac:dyDescent="0.25">
      <c r="A2808" s="393"/>
      <c r="B2808" s="271"/>
      <c r="C2808" s="271"/>
      <c r="D2808" s="271"/>
      <c r="E2808" s="271"/>
      <c r="F2808" s="271"/>
      <c r="G2808" s="273"/>
      <c r="H2808" s="29" t="str">
        <f>IF(A2808="","",VLOOKUP(A2808,AA_Cuadrillas,4,FALSE))</f>
        <v/>
      </c>
      <c r="I2808" s="394" t="str">
        <f>IF(A2808="","",VLOOKUP(A2808,AA_Cuadrillas,5,FALSE))</f>
        <v/>
      </c>
      <c r="J2808" s="273"/>
      <c r="K2808" s="9" t="str">
        <f>IF(A2808="","",F.P!$I$2)</f>
        <v/>
      </c>
      <c r="L2808" s="9"/>
      <c r="M2808" s="394" t="str">
        <f t="shared" si="380"/>
        <v/>
      </c>
      <c r="N2808" s="273"/>
    </row>
    <row r="2809" spans="1:14" ht="12.75" customHeight="1" x14ac:dyDescent="0.25">
      <c r="A2809" s="393"/>
      <c r="B2809" s="271"/>
      <c r="C2809" s="271"/>
      <c r="D2809" s="271"/>
      <c r="E2809" s="271"/>
      <c r="F2809" s="271"/>
      <c r="G2809" s="273"/>
      <c r="H2809" s="29" t="str">
        <f>IF(A2809="","",VLOOKUP(A2809,AA_Cuadrillas,4,FALSE))</f>
        <v/>
      </c>
      <c r="I2809" s="394" t="str">
        <f>IF(A2809="","",VLOOKUP(A2809,AA_Cuadrillas,5,FALSE))</f>
        <v/>
      </c>
      <c r="J2809" s="273"/>
      <c r="K2809" s="9" t="str">
        <f>IF(A2809="","",F.P!$I$2)</f>
        <v/>
      </c>
      <c r="L2809" s="37"/>
      <c r="M2809" s="394" t="str">
        <f t="shared" si="380"/>
        <v/>
      </c>
      <c r="N2809" s="273"/>
    </row>
    <row r="2810" spans="1:14" ht="12.75" customHeight="1" x14ac:dyDescent="0.25">
      <c r="A2810" s="393"/>
      <c r="B2810" s="271"/>
      <c r="C2810" s="271"/>
      <c r="D2810" s="271"/>
      <c r="E2810" s="271"/>
      <c r="F2810" s="271"/>
      <c r="G2810" s="273"/>
      <c r="H2810" s="29" t="str">
        <f>IF(A2810="","",VLOOKUP(A2810,AA_Cuadrillas,4,FALSE))</f>
        <v/>
      </c>
      <c r="I2810" s="394" t="str">
        <f>IF(A2810="","",VLOOKUP(A2810,AA_Cuadrillas,5,FALSE))</f>
        <v/>
      </c>
      <c r="J2810" s="273"/>
      <c r="K2810" s="9" t="str">
        <f>IF(A2810="","",F.P!$I$2)</f>
        <v/>
      </c>
      <c r="L2810" s="37"/>
      <c r="M2810" s="394" t="str">
        <f t="shared" si="380"/>
        <v/>
      </c>
      <c r="N2810" s="273"/>
    </row>
    <row r="2811" spans="1:14" ht="12.75" customHeight="1" x14ac:dyDescent="0.25">
      <c r="A2811" s="393"/>
      <c r="B2811" s="271"/>
      <c r="C2811" s="271"/>
      <c r="D2811" s="271"/>
      <c r="E2811" s="271"/>
      <c r="F2811" s="271"/>
      <c r="G2811" s="273"/>
      <c r="H2811" s="29" t="str">
        <f>IF(A2811="","",VLOOKUP(A2811,AA_Cuadrillas,4,FALSE))</f>
        <v/>
      </c>
      <c r="I2811" s="394" t="str">
        <f>IF(A2811="","",VLOOKUP(A2811,AA_Cuadrillas,5,FALSE))</f>
        <v/>
      </c>
      <c r="J2811" s="273"/>
      <c r="K2811" s="9" t="str">
        <f>IF(A2811="","",F.P!$I$2)</f>
        <v/>
      </c>
      <c r="L2811" s="37"/>
      <c r="M2811" s="394" t="str">
        <f t="shared" si="380"/>
        <v/>
      </c>
      <c r="N2811" s="273"/>
    </row>
    <row r="2812" spans="1:14" ht="12.75" customHeight="1" x14ac:dyDescent="0.25">
      <c r="A2812" s="4"/>
      <c r="B2812" s="4"/>
      <c r="C2812" s="4"/>
      <c r="D2812" s="4"/>
      <c r="E2812" s="4"/>
      <c r="F2812" s="4"/>
      <c r="G2812" s="4"/>
      <c r="H2812" s="4"/>
      <c r="I2812" s="4"/>
      <c r="J2812" s="4"/>
      <c r="K2812" s="396" t="s">
        <v>444</v>
      </c>
      <c r="L2812" s="273"/>
      <c r="M2812" s="394">
        <f>SUM(M2807:N2811)</f>
        <v>92167.469999999987</v>
      </c>
      <c r="N2812" s="273"/>
    </row>
    <row r="2813" spans="1:14" ht="12.75" customHeight="1" x14ac:dyDescent="0.2"/>
    <row r="2814" spans="1:14" ht="12.75" customHeight="1" x14ac:dyDescent="0.2">
      <c r="A2814" s="407" t="s">
        <v>148</v>
      </c>
      <c r="B2814" s="275"/>
      <c r="C2814" s="275"/>
      <c r="D2814" s="275"/>
      <c r="E2814" s="275"/>
      <c r="F2814" s="275"/>
      <c r="G2814" s="275"/>
      <c r="H2814" s="275"/>
      <c r="I2814" s="275"/>
      <c r="J2814" s="275"/>
      <c r="K2814" s="275"/>
      <c r="L2814" s="275"/>
      <c r="M2814" s="275"/>
      <c r="N2814" s="276"/>
    </row>
    <row r="2815" spans="1:14" ht="12.75" customHeight="1" x14ac:dyDescent="0.2">
      <c r="A2815" s="277"/>
      <c r="B2815" s="278"/>
      <c r="C2815" s="278"/>
      <c r="D2815" s="278"/>
      <c r="E2815" s="278"/>
      <c r="F2815" s="278"/>
      <c r="G2815" s="278"/>
      <c r="H2815" s="278"/>
      <c r="I2815" s="278"/>
      <c r="J2815" s="278"/>
      <c r="K2815" s="278"/>
      <c r="L2815" s="278"/>
      <c r="M2815" s="278"/>
      <c r="N2815" s="279"/>
    </row>
    <row r="2816" spans="1:14" ht="12.75" customHeight="1" x14ac:dyDescent="0.2">
      <c r="A2816" s="75"/>
      <c r="B2816" s="75"/>
      <c r="C2816" s="75"/>
      <c r="D2816" s="75"/>
      <c r="E2816" s="75"/>
      <c r="F2816" s="75"/>
      <c r="G2816" s="75"/>
      <c r="H2816" s="75"/>
      <c r="I2816" s="75"/>
      <c r="J2816" s="75"/>
      <c r="K2816" s="75"/>
      <c r="L2816" s="75"/>
      <c r="M2816" s="75"/>
      <c r="N2816" s="75"/>
    </row>
    <row r="2817" spans="1:14" ht="12.75" customHeight="1" x14ac:dyDescent="0.3">
      <c r="A2817" s="79" t="s">
        <v>679</v>
      </c>
      <c r="B2817" s="80" t="str">
        <f>A2814</f>
        <v>SUMINISTRO E INSTALACIÓN DE FALSO FONDO PARA MÓDULO DE SEDIMENTACIÓN ACELERADA (INCLUYE ESTRUCTURA DE SOPORTE Y MANO DE OBRA)</v>
      </c>
      <c r="C2817" s="81" t="s">
        <v>916</v>
      </c>
      <c r="D2817" s="82" t="s">
        <v>934</v>
      </c>
      <c r="E2817" s="83" t="s">
        <v>445</v>
      </c>
      <c r="F2817" s="86">
        <f>H2817+J2817+L2817+N2817</f>
        <v>2199956.1310000001</v>
      </c>
      <c r="G2817" s="83" t="s">
        <v>607</v>
      </c>
      <c r="H2817" s="86">
        <f>M2836</f>
        <v>15611.244999999999</v>
      </c>
      <c r="I2817" s="83" t="s">
        <v>918</v>
      </c>
      <c r="J2817" s="86">
        <f>M2827</f>
        <v>1787733.32</v>
      </c>
      <c r="K2817" s="83" t="s">
        <v>609</v>
      </c>
      <c r="L2817" s="86">
        <f>M2845</f>
        <v>89386.666000000012</v>
      </c>
      <c r="M2817" s="83" t="s">
        <v>610</v>
      </c>
      <c r="N2817" s="86">
        <f>M2854</f>
        <v>307224.89999999997</v>
      </c>
    </row>
    <row r="2818" spans="1:14" ht="12.75" customHeight="1" x14ac:dyDescent="0.25">
      <c r="A2818" s="87"/>
      <c r="B2818" s="87"/>
      <c r="C2818" s="87"/>
      <c r="D2818" s="87"/>
      <c r="E2818" s="87"/>
      <c r="F2818" s="87"/>
      <c r="G2818" s="87"/>
      <c r="J2818" s="87"/>
      <c r="K2818" s="215" t="s">
        <v>3217</v>
      </c>
      <c r="L2818" s="215">
        <f>+F2817*presup!$O$5</f>
        <v>2859942.9703000002</v>
      </c>
      <c r="M2818" s="87"/>
      <c r="N2818" s="87"/>
    </row>
    <row r="2819" spans="1:14" ht="12.75" customHeight="1" x14ac:dyDescent="0.2">
      <c r="A2819" s="398" t="s">
        <v>919</v>
      </c>
      <c r="B2819" s="271"/>
      <c r="C2819" s="271"/>
      <c r="D2819" s="271"/>
      <c r="E2819" s="271"/>
      <c r="F2819" s="271"/>
      <c r="G2819" s="271"/>
      <c r="H2819" s="271"/>
      <c r="I2819" s="271"/>
      <c r="J2819" s="271"/>
      <c r="K2819" s="271"/>
      <c r="L2819" s="271"/>
      <c r="M2819" s="271"/>
      <c r="N2819" s="273"/>
    </row>
    <row r="2820" spans="1:14" ht="12.75" customHeight="1" x14ac:dyDescent="0.2">
      <c r="A2820" s="396" t="s">
        <v>76</v>
      </c>
      <c r="B2820" s="271"/>
      <c r="C2820" s="271"/>
      <c r="D2820" s="271"/>
      <c r="E2820" s="271"/>
      <c r="F2820" s="271"/>
      <c r="G2820" s="273"/>
      <c r="H2820" s="88" t="s">
        <v>77</v>
      </c>
      <c r="I2820" s="399" t="s">
        <v>920</v>
      </c>
      <c r="J2820" s="273"/>
      <c r="K2820" s="399" t="s">
        <v>453</v>
      </c>
      <c r="L2820" s="273"/>
      <c r="M2820" s="399" t="s">
        <v>921</v>
      </c>
      <c r="N2820" s="273"/>
    </row>
    <row r="2821" spans="1:14" ht="12.75" customHeight="1" x14ac:dyDescent="0.2">
      <c r="A2821" s="403" t="s">
        <v>1103</v>
      </c>
      <c r="B2821" s="271"/>
      <c r="C2821" s="271"/>
      <c r="D2821" s="271"/>
      <c r="E2821" s="271"/>
      <c r="F2821" s="271"/>
      <c r="G2821" s="273"/>
      <c r="H2821" s="29" t="str">
        <f t="shared" ref="H2821:H2826" si="381">IF(A2821="","",VLOOKUP(A2821,AA_Materiales,7,FALSE))</f>
        <v>ml</v>
      </c>
      <c r="I2821" s="394">
        <f t="shared" ref="I2821:I2826" si="382">IF(A2821="","",VLOOKUP(A2821,AA_Materiales,8,FALSE))</f>
        <v>71933.33</v>
      </c>
      <c r="J2821" s="273"/>
      <c r="K2821" s="395">
        <v>4</v>
      </c>
      <c r="L2821" s="273"/>
      <c r="M2821" s="394">
        <f t="shared" ref="M2821:M2826" si="383">IF(A2821="","",I2821*K2821)</f>
        <v>287733.32</v>
      </c>
      <c r="N2821" s="273"/>
    </row>
    <row r="2822" spans="1:14" ht="12.75" customHeight="1" x14ac:dyDescent="0.2">
      <c r="A2822" s="403" t="s">
        <v>1104</v>
      </c>
      <c r="B2822" s="271"/>
      <c r="C2822" s="271"/>
      <c r="D2822" s="271"/>
      <c r="E2822" s="271"/>
      <c r="F2822" s="271"/>
      <c r="G2822" s="273"/>
      <c r="H2822" s="29" t="str">
        <f t="shared" si="381"/>
        <v>m2</v>
      </c>
      <c r="I2822" s="394">
        <f t="shared" si="382"/>
        <v>1500000</v>
      </c>
      <c r="J2822" s="273"/>
      <c r="K2822" s="395">
        <v>1</v>
      </c>
      <c r="L2822" s="273"/>
      <c r="M2822" s="394">
        <f t="shared" si="383"/>
        <v>1500000</v>
      </c>
      <c r="N2822" s="273"/>
    </row>
    <row r="2823" spans="1:14" ht="12.75" customHeight="1" x14ac:dyDescent="0.2">
      <c r="A2823" s="403"/>
      <c r="B2823" s="271"/>
      <c r="C2823" s="271"/>
      <c r="D2823" s="271"/>
      <c r="E2823" s="271"/>
      <c r="F2823" s="271"/>
      <c r="G2823" s="273"/>
      <c r="H2823" s="29" t="str">
        <f t="shared" si="381"/>
        <v/>
      </c>
      <c r="I2823" s="394" t="str">
        <f t="shared" si="382"/>
        <v/>
      </c>
      <c r="J2823" s="273"/>
      <c r="K2823" s="395"/>
      <c r="L2823" s="273"/>
      <c r="M2823" s="394" t="str">
        <f t="shared" si="383"/>
        <v/>
      </c>
      <c r="N2823" s="273"/>
    </row>
    <row r="2824" spans="1:14" ht="12.75" customHeight="1" x14ac:dyDescent="0.2">
      <c r="A2824" s="403"/>
      <c r="B2824" s="271"/>
      <c r="C2824" s="271"/>
      <c r="D2824" s="271"/>
      <c r="E2824" s="271"/>
      <c r="F2824" s="271"/>
      <c r="G2824" s="273"/>
      <c r="H2824" s="29" t="str">
        <f t="shared" si="381"/>
        <v/>
      </c>
      <c r="I2824" s="394" t="str">
        <f t="shared" si="382"/>
        <v/>
      </c>
      <c r="J2824" s="273"/>
      <c r="K2824" s="395"/>
      <c r="L2824" s="273"/>
      <c r="M2824" s="394" t="str">
        <f t="shared" si="383"/>
        <v/>
      </c>
      <c r="N2824" s="273"/>
    </row>
    <row r="2825" spans="1:14" ht="12.75" customHeight="1" x14ac:dyDescent="0.2">
      <c r="A2825" s="403"/>
      <c r="B2825" s="271"/>
      <c r="C2825" s="271"/>
      <c r="D2825" s="271"/>
      <c r="E2825" s="271"/>
      <c r="F2825" s="271"/>
      <c r="G2825" s="273"/>
      <c r="H2825" s="29" t="str">
        <f t="shared" si="381"/>
        <v/>
      </c>
      <c r="I2825" s="394" t="str">
        <f t="shared" si="382"/>
        <v/>
      </c>
      <c r="J2825" s="273"/>
      <c r="K2825" s="395"/>
      <c r="L2825" s="273"/>
      <c r="M2825" s="394" t="str">
        <f t="shared" si="383"/>
        <v/>
      </c>
      <c r="N2825" s="273"/>
    </row>
    <row r="2826" spans="1:14" ht="12.75" customHeight="1" x14ac:dyDescent="0.2">
      <c r="A2826" s="403"/>
      <c r="B2826" s="271"/>
      <c r="C2826" s="271"/>
      <c r="D2826" s="271"/>
      <c r="E2826" s="271"/>
      <c r="F2826" s="271"/>
      <c r="G2826" s="273"/>
      <c r="H2826" s="29" t="str">
        <f t="shared" si="381"/>
        <v/>
      </c>
      <c r="I2826" s="394" t="str">
        <f t="shared" si="382"/>
        <v/>
      </c>
      <c r="J2826" s="273"/>
      <c r="K2826" s="395"/>
      <c r="L2826" s="273"/>
      <c r="M2826" s="394" t="str">
        <f t="shared" si="383"/>
        <v/>
      </c>
      <c r="N2826" s="273"/>
    </row>
    <row r="2827" spans="1:14" ht="12.75" customHeight="1" x14ac:dyDescent="0.25">
      <c r="A2827" s="4"/>
      <c r="B2827" s="4"/>
      <c r="C2827" s="4"/>
      <c r="D2827" s="4"/>
      <c r="E2827" s="4"/>
      <c r="F2827" s="4"/>
      <c r="G2827" s="4"/>
      <c r="H2827" s="4"/>
      <c r="I2827" s="4"/>
      <c r="J2827" s="4"/>
      <c r="K2827" s="396" t="s">
        <v>444</v>
      </c>
      <c r="L2827" s="273"/>
      <c r="M2827" s="394">
        <f>SUM(M2821:N2826)</f>
        <v>1787733.32</v>
      </c>
      <c r="N2827" s="273"/>
    </row>
    <row r="2828" spans="1:14" ht="12.75" customHeight="1" x14ac:dyDescent="0.25">
      <c r="A2828" s="4"/>
      <c r="B2828" s="4"/>
      <c r="C2828" s="4"/>
      <c r="D2828" s="4"/>
      <c r="E2828" s="4"/>
      <c r="F2828" s="4"/>
      <c r="G2828" s="4"/>
      <c r="H2828" s="4"/>
      <c r="I2828" s="4"/>
      <c r="J2828" s="4"/>
      <c r="K2828" s="4"/>
      <c r="L2828" s="4"/>
      <c r="M2828" s="4"/>
      <c r="N2828" s="4"/>
    </row>
    <row r="2829" spans="1:14" ht="12.75" customHeight="1" x14ac:dyDescent="0.2">
      <c r="A2829" s="398" t="s">
        <v>926</v>
      </c>
      <c r="B2829" s="271"/>
      <c r="C2829" s="271"/>
      <c r="D2829" s="271"/>
      <c r="E2829" s="271"/>
      <c r="F2829" s="271"/>
      <c r="G2829" s="271"/>
      <c r="H2829" s="271"/>
      <c r="I2829" s="271"/>
      <c r="J2829" s="271"/>
      <c r="K2829" s="271"/>
      <c r="L2829" s="271"/>
      <c r="M2829" s="271"/>
      <c r="N2829" s="273"/>
    </row>
    <row r="2830" spans="1:14" ht="12.75" customHeight="1" x14ac:dyDescent="0.2">
      <c r="A2830" s="396" t="s">
        <v>76</v>
      </c>
      <c r="B2830" s="271"/>
      <c r="C2830" s="271"/>
      <c r="D2830" s="271"/>
      <c r="E2830" s="271"/>
      <c r="F2830" s="271"/>
      <c r="G2830" s="273"/>
      <c r="H2830" s="88" t="s">
        <v>77</v>
      </c>
      <c r="I2830" s="399" t="s">
        <v>920</v>
      </c>
      <c r="J2830" s="273"/>
      <c r="K2830" s="399" t="s">
        <v>453</v>
      </c>
      <c r="L2830" s="273"/>
      <c r="M2830" s="399" t="s">
        <v>921</v>
      </c>
      <c r="N2830" s="273"/>
    </row>
    <row r="2831" spans="1:14" ht="12.75" customHeight="1" x14ac:dyDescent="0.2">
      <c r="A2831" s="400" t="s">
        <v>927</v>
      </c>
      <c r="B2831" s="271"/>
      <c r="C2831" s="271"/>
      <c r="D2831" s="271"/>
      <c r="E2831" s="271"/>
      <c r="F2831" s="271"/>
      <c r="G2831" s="273"/>
      <c r="H2831" s="29" t="str">
        <f>IF(A2831="","",VLOOKUP(A2831,AA_Equipos,7,FALSE))</f>
        <v>% M.O.</v>
      </c>
      <c r="I2831" s="394">
        <f>+M2854</f>
        <v>307224.89999999997</v>
      </c>
      <c r="J2831" s="273"/>
      <c r="K2831" s="404">
        <v>0.05</v>
      </c>
      <c r="L2831" s="273"/>
      <c r="M2831" s="394">
        <f t="shared" ref="M2831:M2835" si="384">IF(A2831="","",I2831*K2831)</f>
        <v>15361.244999999999</v>
      </c>
      <c r="N2831" s="273"/>
    </row>
    <row r="2832" spans="1:14" ht="12.75" customHeight="1" x14ac:dyDescent="0.2">
      <c r="A2832" s="403" t="s">
        <v>1101</v>
      </c>
      <c r="B2832" s="271"/>
      <c r="C2832" s="271"/>
      <c r="D2832" s="271"/>
      <c r="E2832" s="271"/>
      <c r="F2832" s="271"/>
      <c r="G2832" s="273"/>
      <c r="H2832" s="29" t="str">
        <f>IF(A2832="","",VLOOKUP(A2832,AA_Equipos,7,FALSE))</f>
        <v>Dia</v>
      </c>
      <c r="I2832" s="394">
        <f>IF(A2832="","",VLOOKUP(A2832,AA_Equipos,8,FALSE))</f>
        <v>2500</v>
      </c>
      <c r="J2832" s="273"/>
      <c r="K2832" s="402">
        <v>0.1</v>
      </c>
      <c r="L2832" s="273"/>
      <c r="M2832" s="394">
        <f t="shared" si="384"/>
        <v>250</v>
      </c>
      <c r="N2832" s="273"/>
    </row>
    <row r="2833" spans="1:14" ht="12.75" customHeight="1" x14ac:dyDescent="0.2">
      <c r="A2833" s="400"/>
      <c r="B2833" s="271"/>
      <c r="C2833" s="271"/>
      <c r="D2833" s="271"/>
      <c r="E2833" s="271"/>
      <c r="F2833" s="271"/>
      <c r="G2833" s="273"/>
      <c r="H2833" s="29" t="str">
        <f>IF(A2833="","",VLOOKUP(A2833,AA_Equipos,7,FALSE))</f>
        <v/>
      </c>
      <c r="I2833" s="394" t="str">
        <f>IF(A2833="","",VLOOKUP(A2833,AA_Equipos,8,FALSE))</f>
        <v/>
      </c>
      <c r="J2833" s="273"/>
      <c r="K2833" s="401"/>
      <c r="L2833" s="273"/>
      <c r="M2833" s="394" t="str">
        <f t="shared" si="384"/>
        <v/>
      </c>
      <c r="N2833" s="273"/>
    </row>
    <row r="2834" spans="1:14" ht="12.75" customHeight="1" x14ac:dyDescent="0.2">
      <c r="A2834" s="400"/>
      <c r="B2834" s="271"/>
      <c r="C2834" s="271"/>
      <c r="D2834" s="271"/>
      <c r="E2834" s="271"/>
      <c r="F2834" s="271"/>
      <c r="G2834" s="273"/>
      <c r="H2834" s="29" t="str">
        <f>IF(A2834="","",VLOOKUP(A2834,AA_Equipos,7,FALSE))</f>
        <v/>
      </c>
      <c r="I2834" s="394" t="str">
        <f>IF(A2834="","",VLOOKUP(A2834,AA_Equipos,8,FALSE))</f>
        <v/>
      </c>
      <c r="J2834" s="273"/>
      <c r="K2834" s="395"/>
      <c r="L2834" s="273"/>
      <c r="M2834" s="394" t="str">
        <f t="shared" si="384"/>
        <v/>
      </c>
      <c r="N2834" s="273"/>
    </row>
    <row r="2835" spans="1:14" ht="12.75" customHeight="1" x14ac:dyDescent="0.2">
      <c r="A2835" s="400"/>
      <c r="B2835" s="271"/>
      <c r="C2835" s="271"/>
      <c r="D2835" s="271"/>
      <c r="E2835" s="271"/>
      <c r="F2835" s="271"/>
      <c r="G2835" s="273"/>
      <c r="H2835" s="29" t="str">
        <f>IF(A2835="","",VLOOKUP(A2835,AA_Equipos,7,FALSE))</f>
        <v/>
      </c>
      <c r="I2835" s="394" t="str">
        <f>IF(A2835="","",VLOOKUP(A2835,AA_Equipos,8,FALSE))</f>
        <v/>
      </c>
      <c r="J2835" s="273"/>
      <c r="K2835" s="395"/>
      <c r="L2835" s="273"/>
      <c r="M2835" s="394" t="str">
        <f t="shared" si="384"/>
        <v/>
      </c>
      <c r="N2835" s="273"/>
    </row>
    <row r="2836" spans="1:14" ht="12.75" customHeight="1" x14ac:dyDescent="0.25">
      <c r="A2836" s="4"/>
      <c r="B2836" s="4"/>
      <c r="C2836" s="4"/>
      <c r="D2836" s="4"/>
      <c r="E2836" s="4"/>
      <c r="F2836" s="4"/>
      <c r="G2836" s="4"/>
      <c r="H2836" s="4"/>
      <c r="I2836" s="4"/>
      <c r="J2836" s="4"/>
      <c r="K2836" s="396" t="s">
        <v>444</v>
      </c>
      <c r="L2836" s="273"/>
      <c r="M2836" s="394">
        <f>SUM(M2831:N2835)</f>
        <v>15611.244999999999</v>
      </c>
      <c r="N2836" s="273"/>
    </row>
    <row r="2837" spans="1:14" ht="12.75" customHeight="1" x14ac:dyDescent="0.25">
      <c r="A2837" s="4"/>
      <c r="B2837" s="4"/>
      <c r="C2837" s="4"/>
      <c r="D2837" s="4"/>
      <c r="E2837" s="4"/>
      <c r="F2837" s="4"/>
      <c r="G2837" s="4"/>
      <c r="H2837" s="4"/>
      <c r="I2837" s="4"/>
      <c r="J2837" s="4"/>
      <c r="K2837" s="4"/>
      <c r="L2837" s="4"/>
      <c r="M2837" s="4"/>
      <c r="N2837" s="4"/>
    </row>
    <row r="2838" spans="1:14" ht="12.75" customHeight="1" x14ac:dyDescent="0.2">
      <c r="A2838" s="398" t="s">
        <v>929</v>
      </c>
      <c r="B2838" s="271"/>
      <c r="C2838" s="271"/>
      <c r="D2838" s="271"/>
      <c r="E2838" s="271"/>
      <c r="F2838" s="271"/>
      <c r="G2838" s="271"/>
      <c r="H2838" s="271"/>
      <c r="I2838" s="271"/>
      <c r="J2838" s="271"/>
      <c r="K2838" s="271"/>
      <c r="L2838" s="271"/>
      <c r="M2838" s="271"/>
      <c r="N2838" s="273"/>
    </row>
    <row r="2839" spans="1:14" ht="12.75" customHeight="1" x14ac:dyDescent="0.2">
      <c r="A2839" s="396" t="s">
        <v>76</v>
      </c>
      <c r="B2839" s="271"/>
      <c r="C2839" s="271"/>
      <c r="D2839" s="271"/>
      <c r="E2839" s="271"/>
      <c r="F2839" s="271"/>
      <c r="G2839" s="273"/>
      <c r="H2839" s="88" t="s">
        <v>77</v>
      </c>
      <c r="I2839" s="399" t="s">
        <v>920</v>
      </c>
      <c r="J2839" s="273"/>
      <c r="K2839" s="399" t="s">
        <v>453</v>
      </c>
      <c r="L2839" s="273"/>
      <c r="M2839" s="399" t="s">
        <v>921</v>
      </c>
      <c r="N2839" s="273"/>
    </row>
    <row r="2840" spans="1:14" ht="12.75" customHeight="1" x14ac:dyDescent="0.2">
      <c r="A2840" s="400" t="s">
        <v>966</v>
      </c>
      <c r="B2840" s="271"/>
      <c r="C2840" s="271"/>
      <c r="D2840" s="271"/>
      <c r="E2840" s="271"/>
      <c r="F2840" s="271"/>
      <c r="G2840" s="273"/>
      <c r="H2840" s="29" t="s">
        <v>950</v>
      </c>
      <c r="I2840" s="394">
        <f>+M2827</f>
        <v>1787733.32</v>
      </c>
      <c r="J2840" s="273"/>
      <c r="K2840" s="404">
        <v>0.05</v>
      </c>
      <c r="L2840" s="273"/>
      <c r="M2840" s="394">
        <f t="shared" ref="M2840:M2844" si="385">IF(A2840="","",I2840*K2840)</f>
        <v>89386.666000000012</v>
      </c>
      <c r="N2840" s="273"/>
    </row>
    <row r="2841" spans="1:14" ht="12.75" customHeight="1" x14ac:dyDescent="0.2">
      <c r="A2841" s="403"/>
      <c r="B2841" s="271"/>
      <c r="C2841" s="271"/>
      <c r="D2841" s="271"/>
      <c r="E2841" s="271"/>
      <c r="F2841" s="271"/>
      <c r="G2841" s="273"/>
      <c r="H2841" s="29"/>
      <c r="I2841" s="394"/>
      <c r="J2841" s="273"/>
      <c r="K2841" s="404"/>
      <c r="L2841" s="273"/>
      <c r="M2841" s="394" t="str">
        <f t="shared" si="385"/>
        <v/>
      </c>
      <c r="N2841" s="273"/>
    </row>
    <row r="2842" spans="1:14" ht="12.75" customHeight="1" x14ac:dyDescent="0.2">
      <c r="A2842" s="400"/>
      <c r="B2842" s="271"/>
      <c r="C2842" s="271"/>
      <c r="D2842" s="271"/>
      <c r="E2842" s="271"/>
      <c r="F2842" s="271"/>
      <c r="G2842" s="273"/>
      <c r="H2842" s="29"/>
      <c r="I2842" s="394"/>
      <c r="J2842" s="273"/>
      <c r="K2842" s="395"/>
      <c r="L2842" s="273"/>
      <c r="M2842" s="394" t="str">
        <f t="shared" si="385"/>
        <v/>
      </c>
      <c r="N2842" s="273"/>
    </row>
    <row r="2843" spans="1:14" ht="12.75" customHeight="1" x14ac:dyDescent="0.2">
      <c r="A2843" s="400"/>
      <c r="B2843" s="271"/>
      <c r="C2843" s="271"/>
      <c r="D2843" s="271"/>
      <c r="E2843" s="271"/>
      <c r="F2843" s="271"/>
      <c r="G2843" s="273"/>
      <c r="H2843" s="29"/>
      <c r="I2843" s="394"/>
      <c r="J2843" s="273"/>
      <c r="K2843" s="395"/>
      <c r="L2843" s="273"/>
      <c r="M2843" s="394" t="str">
        <f t="shared" si="385"/>
        <v/>
      </c>
      <c r="N2843" s="273"/>
    </row>
    <row r="2844" spans="1:14" ht="12.75" customHeight="1" x14ac:dyDescent="0.2">
      <c r="A2844" s="400"/>
      <c r="B2844" s="271"/>
      <c r="C2844" s="271"/>
      <c r="D2844" s="271"/>
      <c r="E2844" s="271"/>
      <c r="F2844" s="271"/>
      <c r="G2844" s="273"/>
      <c r="H2844" s="29"/>
      <c r="I2844" s="394"/>
      <c r="J2844" s="273"/>
      <c r="K2844" s="395"/>
      <c r="L2844" s="273"/>
      <c r="M2844" s="394" t="str">
        <f t="shared" si="385"/>
        <v/>
      </c>
      <c r="N2844" s="273"/>
    </row>
    <row r="2845" spans="1:14" ht="12.75" customHeight="1" x14ac:dyDescent="0.25">
      <c r="A2845" s="4"/>
      <c r="B2845" s="4"/>
      <c r="C2845" s="4"/>
      <c r="D2845" s="4"/>
      <c r="E2845" s="4"/>
      <c r="F2845" s="4"/>
      <c r="G2845" s="4"/>
      <c r="H2845" s="4"/>
      <c r="I2845" s="4"/>
      <c r="J2845" s="4"/>
      <c r="K2845" s="396" t="s">
        <v>444</v>
      </c>
      <c r="L2845" s="273"/>
      <c r="M2845" s="394">
        <f>SUM(M2840:N2844)</f>
        <v>89386.666000000012</v>
      </c>
      <c r="N2845" s="273"/>
    </row>
    <row r="2846" spans="1:14" ht="12.75" customHeight="1" x14ac:dyDescent="0.25">
      <c r="A2846" s="4"/>
      <c r="B2846" s="4"/>
      <c r="C2846" s="4"/>
      <c r="D2846" s="4"/>
      <c r="E2846" s="4"/>
      <c r="F2846" s="4"/>
      <c r="G2846" s="4"/>
      <c r="H2846" s="4"/>
      <c r="I2846" s="4"/>
      <c r="J2846" s="4"/>
      <c r="K2846" s="4"/>
      <c r="L2846" s="4"/>
      <c r="M2846" s="4"/>
      <c r="N2846" s="4"/>
    </row>
    <row r="2847" spans="1:14" ht="12.75" customHeight="1" x14ac:dyDescent="0.2">
      <c r="A2847" s="398" t="s">
        <v>931</v>
      </c>
      <c r="B2847" s="271"/>
      <c r="C2847" s="271"/>
      <c r="D2847" s="271"/>
      <c r="E2847" s="271"/>
      <c r="F2847" s="271"/>
      <c r="G2847" s="271"/>
      <c r="H2847" s="271"/>
      <c r="I2847" s="271"/>
      <c r="J2847" s="271"/>
      <c r="K2847" s="271"/>
      <c r="L2847" s="271"/>
      <c r="M2847" s="271"/>
      <c r="N2847" s="273"/>
    </row>
    <row r="2848" spans="1:14" ht="12.75" customHeight="1" x14ac:dyDescent="0.2">
      <c r="A2848" s="396" t="s">
        <v>76</v>
      </c>
      <c r="B2848" s="271"/>
      <c r="C2848" s="271"/>
      <c r="D2848" s="271"/>
      <c r="E2848" s="271"/>
      <c r="F2848" s="271"/>
      <c r="G2848" s="273"/>
      <c r="H2848" s="88" t="s">
        <v>77</v>
      </c>
      <c r="I2848" s="399" t="s">
        <v>920</v>
      </c>
      <c r="J2848" s="273"/>
      <c r="K2848" s="90" t="s">
        <v>514</v>
      </c>
      <c r="L2848" s="91" t="s">
        <v>932</v>
      </c>
      <c r="M2848" s="399" t="s">
        <v>921</v>
      </c>
      <c r="N2848" s="273"/>
    </row>
    <row r="2849" spans="1:14" ht="12.75" customHeight="1" x14ac:dyDescent="0.25">
      <c r="A2849" s="393" t="s">
        <v>1102</v>
      </c>
      <c r="B2849" s="271"/>
      <c r="C2849" s="271"/>
      <c r="D2849" s="271"/>
      <c r="E2849" s="271"/>
      <c r="F2849" s="271"/>
      <c r="G2849" s="273"/>
      <c r="H2849" s="29" t="str">
        <f>IF(A2849="","",VLOOKUP(A2849,AA_Cuadrillas,4,FALSE))</f>
        <v>Cuadrilla</v>
      </c>
      <c r="I2849" s="394">
        <f>IF(A2849="","",VLOOKUP(A2849,AA_Cuadrillas,5,FALSE))</f>
        <v>326835</v>
      </c>
      <c r="J2849" s="273"/>
      <c r="K2849" s="9">
        <f>IF(A2849="","",F.P!$I$2)</f>
        <v>1.88</v>
      </c>
      <c r="L2849" s="97">
        <v>0.5</v>
      </c>
      <c r="M2849" s="394">
        <f t="shared" ref="M2849:M2853" si="386">IF(A2849="","",I2849*K2849*L2849)</f>
        <v>307224.89999999997</v>
      </c>
      <c r="N2849" s="273"/>
    </row>
    <row r="2850" spans="1:14" ht="12.75" customHeight="1" x14ac:dyDescent="0.25">
      <c r="A2850" s="393"/>
      <c r="B2850" s="271"/>
      <c r="C2850" s="271"/>
      <c r="D2850" s="271"/>
      <c r="E2850" s="271"/>
      <c r="F2850" s="271"/>
      <c r="G2850" s="273"/>
      <c r="H2850" s="29" t="str">
        <f>IF(A2850="","",VLOOKUP(A2850,AA_Cuadrillas,4,FALSE))</f>
        <v/>
      </c>
      <c r="I2850" s="394" t="str">
        <f>IF(A2850="","",VLOOKUP(A2850,AA_Cuadrillas,5,FALSE))</f>
        <v/>
      </c>
      <c r="J2850" s="273"/>
      <c r="K2850" s="9" t="str">
        <f>IF(A2850="","",F.P!$I$2)</f>
        <v/>
      </c>
      <c r="L2850" s="9"/>
      <c r="M2850" s="394" t="str">
        <f t="shared" si="386"/>
        <v/>
      </c>
      <c r="N2850" s="273"/>
    </row>
    <row r="2851" spans="1:14" ht="12.75" customHeight="1" x14ac:dyDescent="0.25">
      <c r="A2851" s="393"/>
      <c r="B2851" s="271"/>
      <c r="C2851" s="271"/>
      <c r="D2851" s="271"/>
      <c r="E2851" s="271"/>
      <c r="F2851" s="271"/>
      <c r="G2851" s="273"/>
      <c r="H2851" s="29" t="str">
        <f>IF(A2851="","",VLOOKUP(A2851,AA_Cuadrillas,4,FALSE))</f>
        <v/>
      </c>
      <c r="I2851" s="394" t="str">
        <f>IF(A2851="","",VLOOKUP(A2851,AA_Cuadrillas,5,FALSE))</f>
        <v/>
      </c>
      <c r="J2851" s="273"/>
      <c r="K2851" s="9" t="str">
        <f>IF(A2851="","",F.P!$I$2)</f>
        <v/>
      </c>
      <c r="L2851" s="37"/>
      <c r="M2851" s="394" t="str">
        <f t="shared" si="386"/>
        <v/>
      </c>
      <c r="N2851" s="273"/>
    </row>
    <row r="2852" spans="1:14" ht="12.75" customHeight="1" x14ac:dyDescent="0.25">
      <c r="A2852" s="393"/>
      <c r="B2852" s="271"/>
      <c r="C2852" s="271"/>
      <c r="D2852" s="271"/>
      <c r="E2852" s="271"/>
      <c r="F2852" s="271"/>
      <c r="G2852" s="273"/>
      <c r="H2852" s="29" t="str">
        <f>IF(A2852="","",VLOOKUP(A2852,AA_Cuadrillas,4,FALSE))</f>
        <v/>
      </c>
      <c r="I2852" s="394" t="str">
        <f>IF(A2852="","",VLOOKUP(A2852,AA_Cuadrillas,5,FALSE))</f>
        <v/>
      </c>
      <c r="J2852" s="273"/>
      <c r="K2852" s="9" t="str">
        <f>IF(A2852="","",F.P!$I$2)</f>
        <v/>
      </c>
      <c r="L2852" s="37"/>
      <c r="M2852" s="394" t="str">
        <f t="shared" si="386"/>
        <v/>
      </c>
      <c r="N2852" s="273"/>
    </row>
    <row r="2853" spans="1:14" ht="12.75" customHeight="1" x14ac:dyDescent="0.25">
      <c r="A2853" s="393"/>
      <c r="B2853" s="271"/>
      <c r="C2853" s="271"/>
      <c r="D2853" s="271"/>
      <c r="E2853" s="271"/>
      <c r="F2853" s="271"/>
      <c r="G2853" s="273"/>
      <c r="H2853" s="29" t="str">
        <f>IF(A2853="","",VLOOKUP(A2853,AA_Cuadrillas,4,FALSE))</f>
        <v/>
      </c>
      <c r="I2853" s="394" t="str">
        <f>IF(A2853="","",VLOOKUP(A2853,AA_Cuadrillas,5,FALSE))</f>
        <v/>
      </c>
      <c r="J2853" s="273"/>
      <c r="K2853" s="9" t="str">
        <f>IF(A2853="","",F.P!$I$2)</f>
        <v/>
      </c>
      <c r="L2853" s="37"/>
      <c r="M2853" s="394" t="str">
        <f t="shared" si="386"/>
        <v/>
      </c>
      <c r="N2853" s="273"/>
    </row>
    <row r="2854" spans="1:14" ht="12.75" customHeight="1" x14ac:dyDescent="0.25">
      <c r="A2854" s="4"/>
      <c r="B2854" s="4"/>
      <c r="C2854" s="4"/>
      <c r="D2854" s="4"/>
      <c r="E2854" s="4"/>
      <c r="F2854" s="4"/>
      <c r="G2854" s="4"/>
      <c r="H2854" s="4"/>
      <c r="I2854" s="4"/>
      <c r="J2854" s="4"/>
      <c r="K2854" s="396" t="s">
        <v>444</v>
      </c>
      <c r="L2854" s="273"/>
      <c r="M2854" s="394">
        <f>SUM(M2849:N2853)</f>
        <v>307224.89999999997</v>
      </c>
      <c r="N2854" s="273"/>
    </row>
    <row r="2855" spans="1:14" ht="12.75" customHeight="1" x14ac:dyDescent="0.2"/>
    <row r="2856" spans="1:14" ht="12.75" customHeight="1" x14ac:dyDescent="0.2">
      <c r="A2856" s="407" t="s">
        <v>151</v>
      </c>
      <c r="B2856" s="275"/>
      <c r="C2856" s="275"/>
      <c r="D2856" s="275"/>
      <c r="E2856" s="275"/>
      <c r="F2856" s="275"/>
      <c r="G2856" s="275"/>
      <c r="H2856" s="275"/>
      <c r="I2856" s="275"/>
      <c r="J2856" s="275"/>
      <c r="K2856" s="275"/>
      <c r="L2856" s="275"/>
      <c r="M2856" s="275"/>
      <c r="N2856" s="276"/>
    </row>
    <row r="2857" spans="1:14" ht="12.75" customHeight="1" x14ac:dyDescent="0.2">
      <c r="A2857" s="277"/>
      <c r="B2857" s="278"/>
      <c r="C2857" s="278"/>
      <c r="D2857" s="278"/>
      <c r="E2857" s="278"/>
      <c r="F2857" s="278"/>
      <c r="G2857" s="278"/>
      <c r="H2857" s="278"/>
      <c r="I2857" s="278"/>
      <c r="J2857" s="278"/>
      <c r="K2857" s="278"/>
      <c r="L2857" s="278"/>
      <c r="M2857" s="278"/>
      <c r="N2857" s="279"/>
    </row>
    <row r="2858" spans="1:14" ht="12.75" customHeight="1" x14ac:dyDescent="0.2">
      <c r="A2858" s="75"/>
      <c r="B2858" s="75"/>
      <c r="C2858" s="75"/>
      <c r="D2858" s="75"/>
      <c r="E2858" s="75"/>
      <c r="F2858" s="75"/>
      <c r="G2858" s="75"/>
      <c r="H2858" s="75"/>
      <c r="I2858" s="75"/>
      <c r="J2858" s="75"/>
      <c r="K2858" s="75"/>
      <c r="L2858" s="75"/>
      <c r="M2858" s="75"/>
      <c r="N2858" s="75"/>
    </row>
    <row r="2859" spans="1:14" ht="12.75" customHeight="1" x14ac:dyDescent="0.3">
      <c r="A2859" s="79" t="s">
        <v>680</v>
      </c>
      <c r="B2859" s="80" t="str">
        <f>A2856</f>
        <v>SUMINISTRO E INSTALACIÓN DE COMPUERTA DESLIZANTE CON RUEDA DE MANEJO Ø6 (INCLUYE VASTAGO ASCENDENTE EN HIERRO DUCTIL Y MANO DE OBRA)</v>
      </c>
      <c r="C2859" s="81" t="s">
        <v>916</v>
      </c>
      <c r="D2859" s="82" t="s">
        <v>999</v>
      </c>
      <c r="E2859" s="83" t="s">
        <v>445</v>
      </c>
      <c r="F2859" s="86">
        <f>H2859+J2859+L2859+N2859</f>
        <v>3505721.2260000003</v>
      </c>
      <c r="G2859" s="83" t="s">
        <v>607</v>
      </c>
      <c r="H2859" s="86">
        <f>M2878</f>
        <v>24139.106</v>
      </c>
      <c r="I2859" s="83" t="s">
        <v>918</v>
      </c>
      <c r="J2859" s="86">
        <f>M2869</f>
        <v>2856000</v>
      </c>
      <c r="K2859" s="83" t="s">
        <v>609</v>
      </c>
      <c r="L2859" s="86">
        <f>M2887</f>
        <v>142800</v>
      </c>
      <c r="M2859" s="83" t="s">
        <v>610</v>
      </c>
      <c r="N2859" s="86">
        <f>M2896</f>
        <v>482782.12</v>
      </c>
    </row>
    <row r="2860" spans="1:14" ht="12.75" customHeight="1" x14ac:dyDescent="0.25">
      <c r="A2860" s="87"/>
      <c r="B2860" s="87"/>
      <c r="C2860" s="87"/>
      <c r="D2860" s="87"/>
      <c r="E2860" s="87"/>
      <c r="F2860" s="87"/>
      <c r="G2860" s="87"/>
      <c r="J2860" s="87"/>
      <c r="K2860" s="215" t="s">
        <v>3217</v>
      </c>
      <c r="L2860" s="215">
        <f>+F2859*presup!$O$5</f>
        <v>4557437.5938000008</v>
      </c>
      <c r="M2860" s="87"/>
      <c r="N2860" s="87"/>
    </row>
    <row r="2861" spans="1:14" ht="12.75" customHeight="1" x14ac:dyDescent="0.2">
      <c r="A2861" s="398" t="s">
        <v>919</v>
      </c>
      <c r="B2861" s="271"/>
      <c r="C2861" s="271"/>
      <c r="D2861" s="271"/>
      <c r="E2861" s="271"/>
      <c r="F2861" s="271"/>
      <c r="G2861" s="271"/>
      <c r="H2861" s="271"/>
      <c r="I2861" s="271"/>
      <c r="J2861" s="271"/>
      <c r="K2861" s="271"/>
      <c r="L2861" s="271"/>
      <c r="M2861" s="271"/>
      <c r="N2861" s="273"/>
    </row>
    <row r="2862" spans="1:14" ht="12.75" customHeight="1" x14ac:dyDescent="0.2">
      <c r="A2862" s="396" t="s">
        <v>76</v>
      </c>
      <c r="B2862" s="271"/>
      <c r="C2862" s="271"/>
      <c r="D2862" s="271"/>
      <c r="E2862" s="271"/>
      <c r="F2862" s="271"/>
      <c r="G2862" s="273"/>
      <c r="H2862" s="88" t="s">
        <v>77</v>
      </c>
      <c r="I2862" s="399" t="s">
        <v>920</v>
      </c>
      <c r="J2862" s="273"/>
      <c r="K2862" s="399" t="s">
        <v>453</v>
      </c>
      <c r="L2862" s="273"/>
      <c r="M2862" s="399" t="s">
        <v>921</v>
      </c>
      <c r="N2862" s="273"/>
    </row>
    <row r="2863" spans="1:14" ht="12.75" customHeight="1" x14ac:dyDescent="0.2">
      <c r="A2863" s="403" t="s">
        <v>1105</v>
      </c>
      <c r="B2863" s="271"/>
      <c r="C2863" s="271"/>
      <c r="D2863" s="271"/>
      <c r="E2863" s="271"/>
      <c r="F2863" s="271"/>
      <c r="G2863" s="273"/>
      <c r="H2863" s="29" t="str">
        <f t="shared" ref="H2863:H2868" si="387">IF(A2863="","",VLOOKUP(A2863,AA_Materiales,7,FALSE))</f>
        <v>Unidad</v>
      </c>
      <c r="I2863" s="394">
        <f t="shared" ref="I2863:I2868" si="388">IF(A2863="","",VLOOKUP(A2863,AA_Materiales,8,FALSE))</f>
        <v>2856000</v>
      </c>
      <c r="J2863" s="273"/>
      <c r="K2863" s="395">
        <v>1</v>
      </c>
      <c r="L2863" s="273"/>
      <c r="M2863" s="394">
        <f t="shared" ref="M2863:M2868" si="389">IF(A2863="","",I2863*K2863)</f>
        <v>2856000</v>
      </c>
      <c r="N2863" s="273"/>
    </row>
    <row r="2864" spans="1:14" ht="12.75" customHeight="1" x14ac:dyDescent="0.2">
      <c r="A2864" s="403"/>
      <c r="B2864" s="271"/>
      <c r="C2864" s="271"/>
      <c r="D2864" s="271"/>
      <c r="E2864" s="271"/>
      <c r="F2864" s="271"/>
      <c r="G2864" s="273"/>
      <c r="H2864" s="29" t="str">
        <f t="shared" si="387"/>
        <v/>
      </c>
      <c r="I2864" s="394" t="str">
        <f t="shared" si="388"/>
        <v/>
      </c>
      <c r="J2864" s="273"/>
      <c r="K2864" s="395"/>
      <c r="L2864" s="273"/>
      <c r="M2864" s="394" t="str">
        <f t="shared" si="389"/>
        <v/>
      </c>
      <c r="N2864" s="273"/>
    </row>
    <row r="2865" spans="1:14" ht="12.75" customHeight="1" x14ac:dyDescent="0.2">
      <c r="A2865" s="403"/>
      <c r="B2865" s="271"/>
      <c r="C2865" s="271"/>
      <c r="D2865" s="271"/>
      <c r="E2865" s="271"/>
      <c r="F2865" s="271"/>
      <c r="G2865" s="273"/>
      <c r="H2865" s="29" t="str">
        <f t="shared" si="387"/>
        <v/>
      </c>
      <c r="I2865" s="394" t="str">
        <f t="shared" si="388"/>
        <v/>
      </c>
      <c r="J2865" s="273"/>
      <c r="K2865" s="395"/>
      <c r="L2865" s="273"/>
      <c r="M2865" s="394" t="str">
        <f t="shared" si="389"/>
        <v/>
      </c>
      <c r="N2865" s="273"/>
    </row>
    <row r="2866" spans="1:14" ht="12.75" customHeight="1" x14ac:dyDescent="0.2">
      <c r="A2866" s="403"/>
      <c r="B2866" s="271"/>
      <c r="C2866" s="271"/>
      <c r="D2866" s="271"/>
      <c r="E2866" s="271"/>
      <c r="F2866" s="271"/>
      <c r="G2866" s="273"/>
      <c r="H2866" s="29" t="str">
        <f t="shared" si="387"/>
        <v/>
      </c>
      <c r="I2866" s="394" t="str">
        <f t="shared" si="388"/>
        <v/>
      </c>
      <c r="J2866" s="273"/>
      <c r="K2866" s="395"/>
      <c r="L2866" s="273"/>
      <c r="M2866" s="394" t="str">
        <f t="shared" si="389"/>
        <v/>
      </c>
      <c r="N2866" s="273"/>
    </row>
    <row r="2867" spans="1:14" ht="12.75" customHeight="1" x14ac:dyDescent="0.2">
      <c r="A2867" s="403"/>
      <c r="B2867" s="271"/>
      <c r="C2867" s="271"/>
      <c r="D2867" s="271"/>
      <c r="E2867" s="271"/>
      <c r="F2867" s="271"/>
      <c r="G2867" s="273"/>
      <c r="H2867" s="29" t="str">
        <f t="shared" si="387"/>
        <v/>
      </c>
      <c r="I2867" s="394" t="str">
        <f t="shared" si="388"/>
        <v/>
      </c>
      <c r="J2867" s="273"/>
      <c r="K2867" s="395"/>
      <c r="L2867" s="273"/>
      <c r="M2867" s="394" t="str">
        <f t="shared" si="389"/>
        <v/>
      </c>
      <c r="N2867" s="273"/>
    </row>
    <row r="2868" spans="1:14" ht="12.75" customHeight="1" x14ac:dyDescent="0.2">
      <c r="A2868" s="403"/>
      <c r="B2868" s="271"/>
      <c r="C2868" s="271"/>
      <c r="D2868" s="271"/>
      <c r="E2868" s="271"/>
      <c r="F2868" s="271"/>
      <c r="G2868" s="273"/>
      <c r="H2868" s="29" t="str">
        <f t="shared" si="387"/>
        <v/>
      </c>
      <c r="I2868" s="394" t="str">
        <f t="shared" si="388"/>
        <v/>
      </c>
      <c r="J2868" s="273"/>
      <c r="K2868" s="395"/>
      <c r="L2868" s="273"/>
      <c r="M2868" s="394" t="str">
        <f t="shared" si="389"/>
        <v/>
      </c>
      <c r="N2868" s="273"/>
    </row>
    <row r="2869" spans="1:14" ht="12.75" customHeight="1" x14ac:dyDescent="0.25">
      <c r="A2869" s="4"/>
      <c r="B2869" s="4"/>
      <c r="C2869" s="4"/>
      <c r="D2869" s="4"/>
      <c r="E2869" s="4"/>
      <c r="F2869" s="4"/>
      <c r="G2869" s="4"/>
      <c r="H2869" s="4"/>
      <c r="I2869" s="4"/>
      <c r="J2869" s="4"/>
      <c r="K2869" s="396" t="s">
        <v>444</v>
      </c>
      <c r="L2869" s="273"/>
      <c r="M2869" s="394">
        <f>SUM(M2863:N2868)</f>
        <v>2856000</v>
      </c>
      <c r="N2869" s="273"/>
    </row>
    <row r="2870" spans="1:14" ht="12.75" customHeight="1" x14ac:dyDescent="0.25">
      <c r="A2870" s="4"/>
      <c r="B2870" s="4"/>
      <c r="C2870" s="4"/>
      <c r="D2870" s="4"/>
      <c r="E2870" s="4"/>
      <c r="F2870" s="4"/>
      <c r="G2870" s="4"/>
      <c r="H2870" s="4"/>
      <c r="I2870" s="4"/>
      <c r="J2870" s="4"/>
      <c r="K2870" s="4"/>
      <c r="L2870" s="4"/>
      <c r="M2870" s="4"/>
      <c r="N2870" s="4"/>
    </row>
    <row r="2871" spans="1:14" ht="12.75" customHeight="1" x14ac:dyDescent="0.2">
      <c r="A2871" s="398" t="s">
        <v>926</v>
      </c>
      <c r="B2871" s="271"/>
      <c r="C2871" s="271"/>
      <c r="D2871" s="271"/>
      <c r="E2871" s="271"/>
      <c r="F2871" s="271"/>
      <c r="G2871" s="271"/>
      <c r="H2871" s="271"/>
      <c r="I2871" s="271"/>
      <c r="J2871" s="271"/>
      <c r="K2871" s="271"/>
      <c r="L2871" s="271"/>
      <c r="M2871" s="271"/>
      <c r="N2871" s="273"/>
    </row>
    <row r="2872" spans="1:14" ht="12.75" customHeight="1" x14ac:dyDescent="0.2">
      <c r="A2872" s="396" t="s">
        <v>76</v>
      </c>
      <c r="B2872" s="271"/>
      <c r="C2872" s="271"/>
      <c r="D2872" s="271"/>
      <c r="E2872" s="271"/>
      <c r="F2872" s="271"/>
      <c r="G2872" s="273"/>
      <c r="H2872" s="88" t="s">
        <v>77</v>
      </c>
      <c r="I2872" s="399" t="s">
        <v>920</v>
      </c>
      <c r="J2872" s="273"/>
      <c r="K2872" s="399" t="s">
        <v>453</v>
      </c>
      <c r="L2872" s="273"/>
      <c r="M2872" s="399" t="s">
        <v>921</v>
      </c>
      <c r="N2872" s="273"/>
    </row>
    <row r="2873" spans="1:14" ht="12.75" customHeight="1" x14ac:dyDescent="0.2">
      <c r="A2873" s="400" t="s">
        <v>927</v>
      </c>
      <c r="B2873" s="271"/>
      <c r="C2873" s="271"/>
      <c r="D2873" s="271"/>
      <c r="E2873" s="271"/>
      <c r="F2873" s="271"/>
      <c r="G2873" s="273"/>
      <c r="H2873" s="29" t="str">
        <f>IF(A2873="","",VLOOKUP(A2873,AA_Equipos,7,FALSE))</f>
        <v>% M.O.</v>
      </c>
      <c r="I2873" s="394">
        <f>+M2896</f>
        <v>482782.12</v>
      </c>
      <c r="J2873" s="273"/>
      <c r="K2873" s="404">
        <v>0.05</v>
      </c>
      <c r="L2873" s="273"/>
      <c r="M2873" s="394">
        <f t="shared" ref="M2873:M2877" si="390">IF(A2873="","",I2873*K2873)</f>
        <v>24139.106</v>
      </c>
      <c r="N2873" s="273"/>
    </row>
    <row r="2874" spans="1:14" ht="12.75" customHeight="1" x14ac:dyDescent="0.2">
      <c r="A2874" s="403"/>
      <c r="B2874" s="271"/>
      <c r="C2874" s="271"/>
      <c r="D2874" s="271"/>
      <c r="E2874" s="271"/>
      <c r="F2874" s="271"/>
      <c r="G2874" s="273"/>
      <c r="H2874" s="29" t="str">
        <f>IF(A2874="","",VLOOKUP(A2874,AA_Equipos,7,FALSE))</f>
        <v/>
      </c>
      <c r="I2874" s="394" t="str">
        <f>IF(A2874="","",VLOOKUP(A2874,AA_Equipos,8,FALSE))</f>
        <v/>
      </c>
      <c r="J2874" s="273"/>
      <c r="K2874" s="402"/>
      <c r="L2874" s="273"/>
      <c r="M2874" s="394" t="str">
        <f t="shared" si="390"/>
        <v/>
      </c>
      <c r="N2874" s="273"/>
    </row>
    <row r="2875" spans="1:14" ht="12.75" customHeight="1" x14ac:dyDescent="0.2">
      <c r="A2875" s="400"/>
      <c r="B2875" s="271"/>
      <c r="C2875" s="271"/>
      <c r="D2875" s="271"/>
      <c r="E2875" s="271"/>
      <c r="F2875" s="271"/>
      <c r="G2875" s="273"/>
      <c r="H2875" s="29" t="str">
        <f>IF(A2875="","",VLOOKUP(A2875,AA_Equipos,7,FALSE))</f>
        <v/>
      </c>
      <c r="I2875" s="394" t="str">
        <f>IF(A2875="","",VLOOKUP(A2875,AA_Equipos,8,FALSE))</f>
        <v/>
      </c>
      <c r="J2875" s="273"/>
      <c r="K2875" s="401"/>
      <c r="L2875" s="273"/>
      <c r="M2875" s="394" t="str">
        <f t="shared" si="390"/>
        <v/>
      </c>
      <c r="N2875" s="273"/>
    </row>
    <row r="2876" spans="1:14" ht="12.75" customHeight="1" x14ac:dyDescent="0.2">
      <c r="A2876" s="400"/>
      <c r="B2876" s="271"/>
      <c r="C2876" s="271"/>
      <c r="D2876" s="271"/>
      <c r="E2876" s="271"/>
      <c r="F2876" s="271"/>
      <c r="G2876" s="273"/>
      <c r="H2876" s="29" t="str">
        <f>IF(A2876="","",VLOOKUP(A2876,AA_Equipos,7,FALSE))</f>
        <v/>
      </c>
      <c r="I2876" s="394" t="str">
        <f>IF(A2876="","",VLOOKUP(A2876,AA_Equipos,8,FALSE))</f>
        <v/>
      </c>
      <c r="J2876" s="273"/>
      <c r="K2876" s="395"/>
      <c r="L2876" s="273"/>
      <c r="M2876" s="394" t="str">
        <f t="shared" si="390"/>
        <v/>
      </c>
      <c r="N2876" s="273"/>
    </row>
    <row r="2877" spans="1:14" ht="12.75" customHeight="1" x14ac:dyDescent="0.2">
      <c r="A2877" s="400"/>
      <c r="B2877" s="271"/>
      <c r="C2877" s="271"/>
      <c r="D2877" s="271"/>
      <c r="E2877" s="271"/>
      <c r="F2877" s="271"/>
      <c r="G2877" s="273"/>
      <c r="H2877" s="29" t="str">
        <f>IF(A2877="","",VLOOKUP(A2877,AA_Equipos,7,FALSE))</f>
        <v/>
      </c>
      <c r="I2877" s="394" t="str">
        <f>IF(A2877="","",VLOOKUP(A2877,AA_Equipos,8,FALSE))</f>
        <v/>
      </c>
      <c r="J2877" s="273"/>
      <c r="K2877" s="395"/>
      <c r="L2877" s="273"/>
      <c r="M2877" s="394" t="str">
        <f t="shared" si="390"/>
        <v/>
      </c>
      <c r="N2877" s="273"/>
    </row>
    <row r="2878" spans="1:14" ht="12.75" customHeight="1" x14ac:dyDescent="0.25">
      <c r="A2878" s="4"/>
      <c r="B2878" s="4"/>
      <c r="C2878" s="4"/>
      <c r="D2878" s="4"/>
      <c r="E2878" s="4"/>
      <c r="F2878" s="4"/>
      <c r="G2878" s="4"/>
      <c r="H2878" s="4"/>
      <c r="I2878" s="4"/>
      <c r="J2878" s="4"/>
      <c r="K2878" s="396" t="s">
        <v>444</v>
      </c>
      <c r="L2878" s="273"/>
      <c r="M2878" s="394">
        <f>SUM(M2873:N2877)</f>
        <v>24139.106</v>
      </c>
      <c r="N2878" s="273"/>
    </row>
    <row r="2879" spans="1:14" ht="12.75" customHeight="1" x14ac:dyDescent="0.25">
      <c r="A2879" s="4"/>
      <c r="B2879" s="4"/>
      <c r="C2879" s="4"/>
      <c r="D2879" s="4"/>
      <c r="E2879" s="4"/>
      <c r="F2879" s="4"/>
      <c r="G2879" s="4"/>
      <c r="H2879" s="4"/>
      <c r="I2879" s="4"/>
      <c r="J2879" s="4"/>
      <c r="K2879" s="4"/>
      <c r="L2879" s="4"/>
      <c r="M2879" s="4"/>
      <c r="N2879" s="4"/>
    </row>
    <row r="2880" spans="1:14" ht="12.75" customHeight="1" x14ac:dyDescent="0.2">
      <c r="A2880" s="398" t="s">
        <v>929</v>
      </c>
      <c r="B2880" s="271"/>
      <c r="C2880" s="271"/>
      <c r="D2880" s="271"/>
      <c r="E2880" s="271"/>
      <c r="F2880" s="271"/>
      <c r="G2880" s="271"/>
      <c r="H2880" s="271"/>
      <c r="I2880" s="271"/>
      <c r="J2880" s="271"/>
      <c r="K2880" s="271"/>
      <c r="L2880" s="271"/>
      <c r="M2880" s="271"/>
      <c r="N2880" s="273"/>
    </row>
    <row r="2881" spans="1:14" ht="12.75" customHeight="1" x14ac:dyDescent="0.2">
      <c r="A2881" s="396" t="s">
        <v>76</v>
      </c>
      <c r="B2881" s="271"/>
      <c r="C2881" s="271"/>
      <c r="D2881" s="271"/>
      <c r="E2881" s="271"/>
      <c r="F2881" s="271"/>
      <c r="G2881" s="273"/>
      <c r="H2881" s="88" t="s">
        <v>77</v>
      </c>
      <c r="I2881" s="399" t="s">
        <v>920</v>
      </c>
      <c r="J2881" s="273"/>
      <c r="K2881" s="399" t="s">
        <v>453</v>
      </c>
      <c r="L2881" s="273"/>
      <c r="M2881" s="399" t="s">
        <v>921</v>
      </c>
      <c r="N2881" s="273"/>
    </row>
    <row r="2882" spans="1:14" ht="12.75" customHeight="1" x14ac:dyDescent="0.2">
      <c r="A2882" s="400" t="s">
        <v>966</v>
      </c>
      <c r="B2882" s="271"/>
      <c r="C2882" s="271"/>
      <c r="D2882" s="271"/>
      <c r="E2882" s="271"/>
      <c r="F2882" s="271"/>
      <c r="G2882" s="273"/>
      <c r="H2882" s="29" t="s">
        <v>950</v>
      </c>
      <c r="I2882" s="394">
        <f>+M2869</f>
        <v>2856000</v>
      </c>
      <c r="J2882" s="273"/>
      <c r="K2882" s="404">
        <v>0.05</v>
      </c>
      <c r="L2882" s="273"/>
      <c r="M2882" s="394">
        <f t="shared" ref="M2882:M2886" si="391">IF(A2882="","",I2882*K2882)</f>
        <v>142800</v>
      </c>
      <c r="N2882" s="273"/>
    </row>
    <row r="2883" spans="1:14" ht="12.75" customHeight="1" x14ac:dyDescent="0.2">
      <c r="A2883" s="403"/>
      <c r="B2883" s="271"/>
      <c r="C2883" s="271"/>
      <c r="D2883" s="271"/>
      <c r="E2883" s="271"/>
      <c r="F2883" s="271"/>
      <c r="G2883" s="273"/>
      <c r="H2883" s="29"/>
      <c r="I2883" s="394"/>
      <c r="J2883" s="273"/>
      <c r="K2883" s="404"/>
      <c r="L2883" s="273"/>
      <c r="M2883" s="394" t="str">
        <f t="shared" si="391"/>
        <v/>
      </c>
      <c r="N2883" s="273"/>
    </row>
    <row r="2884" spans="1:14" ht="12.75" customHeight="1" x14ac:dyDescent="0.2">
      <c r="A2884" s="400"/>
      <c r="B2884" s="271"/>
      <c r="C2884" s="271"/>
      <c r="D2884" s="271"/>
      <c r="E2884" s="271"/>
      <c r="F2884" s="271"/>
      <c r="G2884" s="273"/>
      <c r="H2884" s="29"/>
      <c r="I2884" s="394"/>
      <c r="J2884" s="273"/>
      <c r="K2884" s="395"/>
      <c r="L2884" s="273"/>
      <c r="M2884" s="394" t="str">
        <f t="shared" si="391"/>
        <v/>
      </c>
      <c r="N2884" s="273"/>
    </row>
    <row r="2885" spans="1:14" ht="12.75" customHeight="1" x14ac:dyDescent="0.2">
      <c r="A2885" s="400"/>
      <c r="B2885" s="271"/>
      <c r="C2885" s="271"/>
      <c r="D2885" s="271"/>
      <c r="E2885" s="271"/>
      <c r="F2885" s="271"/>
      <c r="G2885" s="273"/>
      <c r="H2885" s="29"/>
      <c r="I2885" s="394"/>
      <c r="J2885" s="273"/>
      <c r="K2885" s="395"/>
      <c r="L2885" s="273"/>
      <c r="M2885" s="394" t="str">
        <f t="shared" si="391"/>
        <v/>
      </c>
      <c r="N2885" s="273"/>
    </row>
    <row r="2886" spans="1:14" ht="12.75" customHeight="1" x14ac:dyDescent="0.2">
      <c r="A2886" s="400"/>
      <c r="B2886" s="271"/>
      <c r="C2886" s="271"/>
      <c r="D2886" s="271"/>
      <c r="E2886" s="271"/>
      <c r="F2886" s="271"/>
      <c r="G2886" s="273"/>
      <c r="H2886" s="29"/>
      <c r="I2886" s="394"/>
      <c r="J2886" s="273"/>
      <c r="K2886" s="395"/>
      <c r="L2886" s="273"/>
      <c r="M2886" s="394" t="str">
        <f t="shared" si="391"/>
        <v/>
      </c>
      <c r="N2886" s="273"/>
    </row>
    <row r="2887" spans="1:14" ht="12.75" customHeight="1" x14ac:dyDescent="0.25">
      <c r="A2887" s="4"/>
      <c r="B2887" s="4"/>
      <c r="C2887" s="4"/>
      <c r="D2887" s="4"/>
      <c r="E2887" s="4"/>
      <c r="F2887" s="4"/>
      <c r="G2887" s="4"/>
      <c r="H2887" s="4"/>
      <c r="I2887" s="4"/>
      <c r="J2887" s="4"/>
      <c r="K2887" s="396" t="s">
        <v>444</v>
      </c>
      <c r="L2887" s="273"/>
      <c r="M2887" s="394">
        <f>SUM(M2882:N2886)</f>
        <v>142800</v>
      </c>
      <c r="N2887" s="273"/>
    </row>
    <row r="2888" spans="1:14" ht="12.75" customHeight="1" x14ac:dyDescent="0.25">
      <c r="A2888" s="4"/>
      <c r="B2888" s="4"/>
      <c r="C2888" s="4"/>
      <c r="D2888" s="4"/>
      <c r="E2888" s="4"/>
      <c r="F2888" s="4"/>
      <c r="G2888" s="4"/>
      <c r="H2888" s="4"/>
      <c r="I2888" s="4"/>
      <c r="J2888" s="4"/>
      <c r="K2888" s="4"/>
      <c r="L2888" s="4"/>
      <c r="M2888" s="4"/>
      <c r="N2888" s="4"/>
    </row>
    <row r="2889" spans="1:14" ht="12.75" customHeight="1" x14ac:dyDescent="0.2">
      <c r="A2889" s="398" t="s">
        <v>931</v>
      </c>
      <c r="B2889" s="271"/>
      <c r="C2889" s="271"/>
      <c r="D2889" s="271"/>
      <c r="E2889" s="271"/>
      <c r="F2889" s="271"/>
      <c r="G2889" s="271"/>
      <c r="H2889" s="271"/>
      <c r="I2889" s="271"/>
      <c r="J2889" s="271"/>
      <c r="K2889" s="271"/>
      <c r="L2889" s="271"/>
      <c r="M2889" s="271"/>
      <c r="N2889" s="273"/>
    </row>
    <row r="2890" spans="1:14" ht="12.75" customHeight="1" x14ac:dyDescent="0.2">
      <c r="A2890" s="396" t="s">
        <v>76</v>
      </c>
      <c r="B2890" s="271"/>
      <c r="C2890" s="271"/>
      <c r="D2890" s="271"/>
      <c r="E2890" s="271"/>
      <c r="F2890" s="271"/>
      <c r="G2890" s="273"/>
      <c r="H2890" s="88" t="s">
        <v>77</v>
      </c>
      <c r="I2890" s="399" t="s">
        <v>920</v>
      </c>
      <c r="J2890" s="273"/>
      <c r="K2890" s="90" t="s">
        <v>514</v>
      </c>
      <c r="L2890" s="91" t="s">
        <v>932</v>
      </c>
      <c r="M2890" s="399" t="s">
        <v>921</v>
      </c>
      <c r="N2890" s="273"/>
    </row>
    <row r="2891" spans="1:14" ht="12.75" customHeight="1" x14ac:dyDescent="0.25">
      <c r="A2891" s="393" t="s">
        <v>1106</v>
      </c>
      <c r="B2891" s="271"/>
      <c r="C2891" s="271"/>
      <c r="D2891" s="271"/>
      <c r="E2891" s="271"/>
      <c r="F2891" s="271"/>
      <c r="G2891" s="273"/>
      <c r="H2891" s="29" t="str">
        <f>IF(A2891="","",VLOOKUP(A2891,AA_Cuadrillas,4,FALSE))</f>
        <v>Cuadrilla</v>
      </c>
      <c r="I2891" s="394">
        <f>IF(A2891="","",VLOOKUP(A2891,AA_Cuadrillas,5,FALSE))</f>
        <v>256799</v>
      </c>
      <c r="J2891" s="273"/>
      <c r="K2891" s="9">
        <f>IF(A2891="","",F.P!$I$2)</f>
        <v>1.88</v>
      </c>
      <c r="L2891" s="97">
        <v>1</v>
      </c>
      <c r="M2891" s="394">
        <f t="shared" ref="M2891:M2895" si="392">IF(A2891="","",I2891*K2891*L2891)</f>
        <v>482782.12</v>
      </c>
      <c r="N2891" s="273"/>
    </row>
    <row r="2892" spans="1:14" ht="12.75" customHeight="1" x14ac:dyDescent="0.25">
      <c r="A2892" s="393"/>
      <c r="B2892" s="271"/>
      <c r="C2892" s="271"/>
      <c r="D2892" s="271"/>
      <c r="E2892" s="271"/>
      <c r="F2892" s="271"/>
      <c r="G2892" s="273"/>
      <c r="H2892" s="29" t="str">
        <f>IF(A2892="","",VLOOKUP(A2892,AA_Cuadrillas,4,FALSE))</f>
        <v/>
      </c>
      <c r="I2892" s="394" t="str">
        <f>IF(A2892="","",VLOOKUP(A2892,AA_Cuadrillas,5,FALSE))</f>
        <v/>
      </c>
      <c r="J2892" s="273"/>
      <c r="K2892" s="9" t="str">
        <f>IF(A2892="","",F.P!$I$2)</f>
        <v/>
      </c>
      <c r="L2892" s="9"/>
      <c r="M2892" s="394" t="str">
        <f t="shared" si="392"/>
        <v/>
      </c>
      <c r="N2892" s="273"/>
    </row>
    <row r="2893" spans="1:14" ht="12.75" customHeight="1" x14ac:dyDescent="0.25">
      <c r="A2893" s="393"/>
      <c r="B2893" s="271"/>
      <c r="C2893" s="271"/>
      <c r="D2893" s="271"/>
      <c r="E2893" s="271"/>
      <c r="F2893" s="271"/>
      <c r="G2893" s="273"/>
      <c r="H2893" s="29" t="str">
        <f>IF(A2893="","",VLOOKUP(A2893,AA_Cuadrillas,4,FALSE))</f>
        <v/>
      </c>
      <c r="I2893" s="394" t="str">
        <f>IF(A2893="","",VLOOKUP(A2893,AA_Cuadrillas,5,FALSE))</f>
        <v/>
      </c>
      <c r="J2893" s="273"/>
      <c r="K2893" s="9" t="str">
        <f>IF(A2893="","",F.P!$I$2)</f>
        <v/>
      </c>
      <c r="L2893" s="37"/>
      <c r="M2893" s="394" t="str">
        <f t="shared" si="392"/>
        <v/>
      </c>
      <c r="N2893" s="273"/>
    </row>
    <row r="2894" spans="1:14" ht="12.75" customHeight="1" x14ac:dyDescent="0.25">
      <c r="A2894" s="393"/>
      <c r="B2894" s="271"/>
      <c r="C2894" s="271"/>
      <c r="D2894" s="271"/>
      <c r="E2894" s="271"/>
      <c r="F2894" s="271"/>
      <c r="G2894" s="273"/>
      <c r="H2894" s="29" t="str">
        <f>IF(A2894="","",VLOOKUP(A2894,AA_Cuadrillas,4,FALSE))</f>
        <v/>
      </c>
      <c r="I2894" s="394" t="str">
        <f>IF(A2894="","",VLOOKUP(A2894,AA_Cuadrillas,5,FALSE))</f>
        <v/>
      </c>
      <c r="J2894" s="273"/>
      <c r="K2894" s="9" t="str">
        <f>IF(A2894="","",F.P!$I$2)</f>
        <v/>
      </c>
      <c r="L2894" s="37"/>
      <c r="M2894" s="394" t="str">
        <f t="shared" si="392"/>
        <v/>
      </c>
      <c r="N2894" s="273"/>
    </row>
    <row r="2895" spans="1:14" ht="12.75" customHeight="1" x14ac:dyDescent="0.25">
      <c r="A2895" s="393"/>
      <c r="B2895" s="271"/>
      <c r="C2895" s="271"/>
      <c r="D2895" s="271"/>
      <c r="E2895" s="271"/>
      <c r="F2895" s="271"/>
      <c r="G2895" s="273"/>
      <c r="H2895" s="29" t="str">
        <f>IF(A2895="","",VLOOKUP(A2895,AA_Cuadrillas,4,FALSE))</f>
        <v/>
      </c>
      <c r="I2895" s="394" t="str">
        <f>IF(A2895="","",VLOOKUP(A2895,AA_Cuadrillas,5,FALSE))</f>
        <v/>
      </c>
      <c r="J2895" s="273"/>
      <c r="K2895" s="9" t="str">
        <f>IF(A2895="","",F.P!$I$2)</f>
        <v/>
      </c>
      <c r="L2895" s="37"/>
      <c r="M2895" s="394" t="str">
        <f t="shared" si="392"/>
        <v/>
      </c>
      <c r="N2895" s="273"/>
    </row>
    <row r="2896" spans="1:14" ht="12.75" customHeight="1" x14ac:dyDescent="0.25">
      <c r="A2896" s="4"/>
      <c r="B2896" s="4"/>
      <c r="C2896" s="4"/>
      <c r="D2896" s="4"/>
      <c r="E2896" s="4"/>
      <c r="F2896" s="4"/>
      <c r="G2896" s="4"/>
      <c r="H2896" s="4"/>
      <c r="I2896" s="4"/>
      <c r="J2896" s="4"/>
      <c r="K2896" s="396" t="s">
        <v>444</v>
      </c>
      <c r="L2896" s="273"/>
      <c r="M2896" s="394">
        <f>SUM(M2891:N2895)</f>
        <v>482782.12</v>
      </c>
      <c r="N2896" s="273"/>
    </row>
    <row r="2897" spans="1:15" ht="12.75" customHeight="1" x14ac:dyDescent="0.2"/>
    <row r="2898" spans="1:15" ht="12.75" customHeight="1" x14ac:dyDescent="0.2">
      <c r="A2898" s="407" t="s">
        <v>166</v>
      </c>
      <c r="B2898" s="275"/>
      <c r="C2898" s="275"/>
      <c r="D2898" s="275"/>
      <c r="E2898" s="275"/>
      <c r="F2898" s="275"/>
      <c r="G2898" s="275"/>
      <c r="H2898" s="275"/>
      <c r="I2898" s="275"/>
      <c r="J2898" s="275"/>
      <c r="K2898" s="275"/>
      <c r="L2898" s="275"/>
      <c r="M2898" s="275"/>
      <c r="N2898" s="276"/>
      <c r="O2898" s="166"/>
    </row>
    <row r="2899" spans="1:15" ht="12.75" customHeight="1" x14ac:dyDescent="0.2">
      <c r="A2899" s="277"/>
      <c r="B2899" s="278"/>
      <c r="C2899" s="278"/>
      <c r="D2899" s="278"/>
      <c r="E2899" s="278"/>
      <c r="F2899" s="278"/>
      <c r="G2899" s="278"/>
      <c r="H2899" s="278"/>
      <c r="I2899" s="278"/>
      <c r="J2899" s="278"/>
      <c r="K2899" s="278"/>
      <c r="L2899" s="278"/>
      <c r="M2899" s="278"/>
      <c r="N2899" s="279"/>
      <c r="O2899" s="166"/>
    </row>
    <row r="2900" spans="1:15" ht="12.75" customHeight="1" x14ac:dyDescent="0.2">
      <c r="A2900" s="75"/>
      <c r="B2900" s="75"/>
      <c r="C2900" s="75"/>
      <c r="D2900" s="75"/>
      <c r="E2900" s="75"/>
      <c r="F2900" s="75"/>
      <c r="G2900" s="75"/>
      <c r="H2900" s="75"/>
      <c r="I2900" s="75"/>
      <c r="J2900" s="75"/>
      <c r="K2900" s="75"/>
      <c r="L2900" s="75"/>
      <c r="M2900" s="75"/>
      <c r="N2900" s="75"/>
    </row>
    <row r="2901" spans="1:15" ht="12.75" customHeight="1" x14ac:dyDescent="0.3">
      <c r="A2901" s="79" t="s">
        <v>681</v>
      </c>
      <c r="B2901" s="80" t="str">
        <f>A2898</f>
        <v>RELLENO CON ARENA PARA BASE DE TUBERÍA (INCLUYE MATERIALES, TRANSPORTE Y MANO DE OBRA)</v>
      </c>
      <c r="C2901" s="81" t="s">
        <v>916</v>
      </c>
      <c r="D2901" s="82" t="s">
        <v>258</v>
      </c>
      <c r="E2901" s="83" t="s">
        <v>445</v>
      </c>
      <c r="F2901" s="234">
        <f>(H2901+J2901+L2901+N2901)*1.3</f>
        <v>272247.47269367712</v>
      </c>
      <c r="G2901" s="83" t="s">
        <v>607</v>
      </c>
      <c r="H2901" s="86">
        <f>M2920</f>
        <v>1170.3814666666667</v>
      </c>
      <c r="I2901" s="83" t="s">
        <v>918</v>
      </c>
      <c r="J2901" s="86">
        <f>M2911</f>
        <v>83000</v>
      </c>
      <c r="K2901" s="83" t="s">
        <v>609</v>
      </c>
      <c r="L2901" s="86">
        <f>M2929</f>
        <v>101843.12204129006</v>
      </c>
      <c r="M2901" s="83" t="s">
        <v>610</v>
      </c>
      <c r="N2901" s="86">
        <f>M2938</f>
        <v>23407.629333333334</v>
      </c>
    </row>
    <row r="2902" spans="1:15" ht="12.75" customHeight="1" x14ac:dyDescent="0.25">
      <c r="A2902" s="87"/>
      <c r="B2902" s="87"/>
      <c r="C2902" s="87"/>
      <c r="D2902" s="87"/>
      <c r="E2902" s="87"/>
      <c r="F2902" s="87"/>
      <c r="G2902" s="87"/>
      <c r="J2902" s="87"/>
      <c r="K2902" s="215" t="s">
        <v>3217</v>
      </c>
      <c r="L2902" s="215">
        <f>+F2901*presup!$O$5</f>
        <v>353921.71450178028</v>
      </c>
      <c r="M2902" s="87"/>
      <c r="N2902" s="87"/>
    </row>
    <row r="2903" spans="1:15" ht="12.75" customHeight="1" x14ac:dyDescent="0.2">
      <c r="A2903" s="398" t="s">
        <v>919</v>
      </c>
      <c r="B2903" s="271"/>
      <c r="C2903" s="271"/>
      <c r="D2903" s="271"/>
      <c r="E2903" s="271"/>
      <c r="F2903" s="271"/>
      <c r="G2903" s="271"/>
      <c r="H2903" s="271"/>
      <c r="I2903" s="271"/>
      <c r="J2903" s="271"/>
      <c r="K2903" s="271"/>
      <c r="L2903" s="271"/>
      <c r="M2903" s="271"/>
      <c r="N2903" s="273"/>
    </row>
    <row r="2904" spans="1:15" ht="12.75" customHeight="1" x14ac:dyDescent="0.2">
      <c r="A2904" s="396" t="s">
        <v>76</v>
      </c>
      <c r="B2904" s="271"/>
      <c r="C2904" s="271"/>
      <c r="D2904" s="271"/>
      <c r="E2904" s="271"/>
      <c r="F2904" s="271"/>
      <c r="G2904" s="273"/>
      <c r="H2904" s="88" t="s">
        <v>77</v>
      </c>
      <c r="I2904" s="399" t="s">
        <v>920</v>
      </c>
      <c r="J2904" s="273"/>
      <c r="K2904" s="399" t="s">
        <v>453</v>
      </c>
      <c r="L2904" s="273"/>
      <c r="M2904" s="399" t="s">
        <v>921</v>
      </c>
      <c r="N2904" s="273"/>
    </row>
    <row r="2905" spans="1:15" ht="12.75" customHeight="1" x14ac:dyDescent="0.2">
      <c r="A2905" s="403" t="s">
        <v>954</v>
      </c>
      <c r="B2905" s="271"/>
      <c r="C2905" s="271"/>
      <c r="D2905" s="271"/>
      <c r="E2905" s="271"/>
      <c r="F2905" s="271"/>
      <c r="G2905" s="273"/>
      <c r="H2905" s="29" t="str">
        <f t="shared" ref="H2905:H2910" si="393">IF(A2905="","",VLOOKUP(A2905,AA_Materiales,7,FALSE))</f>
        <v>m3</v>
      </c>
      <c r="I2905" s="394">
        <f t="shared" ref="I2905:I2910" si="394">IF(A2905="","",VLOOKUP(A2905,AA_Materiales,8,FALSE))</f>
        <v>83000</v>
      </c>
      <c r="J2905" s="273"/>
      <c r="K2905" s="395">
        <v>1</v>
      </c>
      <c r="L2905" s="273"/>
      <c r="M2905" s="394">
        <f t="shared" ref="M2905:M2910" si="395">IF(A2905="","",I2905*K2905)</f>
        <v>83000</v>
      </c>
      <c r="N2905" s="273"/>
    </row>
    <row r="2906" spans="1:15" ht="12.75" customHeight="1" x14ac:dyDescent="0.2">
      <c r="A2906" s="403"/>
      <c r="B2906" s="271"/>
      <c r="C2906" s="271"/>
      <c r="D2906" s="271"/>
      <c r="E2906" s="271"/>
      <c r="F2906" s="271"/>
      <c r="G2906" s="273"/>
      <c r="H2906" s="29" t="str">
        <f t="shared" si="393"/>
        <v/>
      </c>
      <c r="I2906" s="394" t="str">
        <f t="shared" si="394"/>
        <v/>
      </c>
      <c r="J2906" s="273"/>
      <c r="K2906" s="395"/>
      <c r="L2906" s="273"/>
      <c r="M2906" s="394" t="str">
        <f t="shared" si="395"/>
        <v/>
      </c>
      <c r="N2906" s="273"/>
    </row>
    <row r="2907" spans="1:15" ht="12.75" customHeight="1" x14ac:dyDescent="0.2">
      <c r="A2907" s="403"/>
      <c r="B2907" s="271"/>
      <c r="C2907" s="271"/>
      <c r="D2907" s="271"/>
      <c r="E2907" s="271"/>
      <c r="F2907" s="271"/>
      <c r="G2907" s="273"/>
      <c r="H2907" s="29" t="str">
        <f t="shared" si="393"/>
        <v/>
      </c>
      <c r="I2907" s="394" t="str">
        <f t="shared" si="394"/>
        <v/>
      </c>
      <c r="J2907" s="273"/>
      <c r="K2907" s="395"/>
      <c r="L2907" s="273"/>
      <c r="M2907" s="394" t="str">
        <f t="shared" si="395"/>
        <v/>
      </c>
      <c r="N2907" s="273"/>
    </row>
    <row r="2908" spans="1:15" ht="12.75" customHeight="1" x14ac:dyDescent="0.2">
      <c r="A2908" s="403"/>
      <c r="B2908" s="271"/>
      <c r="C2908" s="271"/>
      <c r="D2908" s="271"/>
      <c r="E2908" s="271"/>
      <c r="F2908" s="271"/>
      <c r="G2908" s="273"/>
      <c r="H2908" s="29" t="str">
        <f t="shared" si="393"/>
        <v/>
      </c>
      <c r="I2908" s="394" t="str">
        <f t="shared" si="394"/>
        <v/>
      </c>
      <c r="J2908" s="273"/>
      <c r="K2908" s="395"/>
      <c r="L2908" s="273"/>
      <c r="M2908" s="394" t="str">
        <f t="shared" si="395"/>
        <v/>
      </c>
      <c r="N2908" s="273"/>
    </row>
    <row r="2909" spans="1:15" ht="12.75" customHeight="1" x14ac:dyDescent="0.2">
      <c r="A2909" s="403"/>
      <c r="B2909" s="271"/>
      <c r="C2909" s="271"/>
      <c r="D2909" s="271"/>
      <c r="E2909" s="271"/>
      <c r="F2909" s="271"/>
      <c r="G2909" s="273"/>
      <c r="H2909" s="29" t="str">
        <f t="shared" si="393"/>
        <v/>
      </c>
      <c r="I2909" s="394" t="str">
        <f t="shared" si="394"/>
        <v/>
      </c>
      <c r="J2909" s="273"/>
      <c r="K2909" s="395"/>
      <c r="L2909" s="273"/>
      <c r="M2909" s="394" t="str">
        <f t="shared" si="395"/>
        <v/>
      </c>
      <c r="N2909" s="273"/>
    </row>
    <row r="2910" spans="1:15" ht="12.75" customHeight="1" x14ac:dyDescent="0.2">
      <c r="A2910" s="403"/>
      <c r="B2910" s="271"/>
      <c r="C2910" s="271"/>
      <c r="D2910" s="271"/>
      <c r="E2910" s="271"/>
      <c r="F2910" s="271"/>
      <c r="G2910" s="273"/>
      <c r="H2910" s="29" t="str">
        <f t="shared" si="393"/>
        <v/>
      </c>
      <c r="I2910" s="394" t="str">
        <f t="shared" si="394"/>
        <v/>
      </c>
      <c r="J2910" s="273"/>
      <c r="K2910" s="395"/>
      <c r="L2910" s="273"/>
      <c r="M2910" s="394" t="str">
        <f t="shared" si="395"/>
        <v/>
      </c>
      <c r="N2910" s="273"/>
    </row>
    <row r="2911" spans="1:15" ht="12.75" customHeight="1" x14ac:dyDescent="0.25">
      <c r="A2911" s="4"/>
      <c r="B2911" s="4"/>
      <c r="C2911" s="4"/>
      <c r="D2911" s="4"/>
      <c r="E2911" s="4"/>
      <c r="F2911" s="4"/>
      <c r="G2911" s="4"/>
      <c r="H2911" s="4"/>
      <c r="I2911" s="4"/>
      <c r="J2911" s="4"/>
      <c r="K2911" s="396" t="s">
        <v>444</v>
      </c>
      <c r="L2911" s="273"/>
      <c r="M2911" s="394">
        <f>SUM(M2905:N2910)</f>
        <v>83000</v>
      </c>
      <c r="N2911" s="273"/>
    </row>
    <row r="2912" spans="1:15" ht="12.75" customHeight="1" x14ac:dyDescent="0.25">
      <c r="A2912" s="4"/>
      <c r="B2912" s="4"/>
      <c r="C2912" s="4"/>
      <c r="D2912" s="4"/>
      <c r="E2912" s="4"/>
      <c r="F2912" s="4"/>
      <c r="G2912" s="4"/>
      <c r="H2912" s="4"/>
      <c r="I2912" s="4"/>
      <c r="J2912" s="4"/>
      <c r="K2912" s="4"/>
      <c r="L2912" s="4"/>
      <c r="M2912" s="4"/>
      <c r="N2912" s="4"/>
    </row>
    <row r="2913" spans="1:14" ht="12.75" customHeight="1" x14ac:dyDescent="0.2">
      <c r="A2913" s="398" t="s">
        <v>926</v>
      </c>
      <c r="B2913" s="271"/>
      <c r="C2913" s="271"/>
      <c r="D2913" s="271"/>
      <c r="E2913" s="271"/>
      <c r="F2913" s="271"/>
      <c r="G2913" s="271"/>
      <c r="H2913" s="271"/>
      <c r="I2913" s="271"/>
      <c r="J2913" s="271"/>
      <c r="K2913" s="271"/>
      <c r="L2913" s="271"/>
      <c r="M2913" s="271"/>
      <c r="N2913" s="273"/>
    </row>
    <row r="2914" spans="1:14" ht="12.75" customHeight="1" x14ac:dyDescent="0.2">
      <c r="A2914" s="396" t="s">
        <v>76</v>
      </c>
      <c r="B2914" s="271"/>
      <c r="C2914" s="271"/>
      <c r="D2914" s="271"/>
      <c r="E2914" s="271"/>
      <c r="F2914" s="271"/>
      <c r="G2914" s="273"/>
      <c r="H2914" s="88" t="s">
        <v>77</v>
      </c>
      <c r="I2914" s="399" t="s">
        <v>920</v>
      </c>
      <c r="J2914" s="273"/>
      <c r="K2914" s="399" t="s">
        <v>453</v>
      </c>
      <c r="L2914" s="273"/>
      <c r="M2914" s="399" t="s">
        <v>921</v>
      </c>
      <c r="N2914" s="273"/>
    </row>
    <row r="2915" spans="1:14" ht="12.75" customHeight="1" x14ac:dyDescent="0.2">
      <c r="A2915" s="400" t="s">
        <v>927</v>
      </c>
      <c r="B2915" s="271"/>
      <c r="C2915" s="271"/>
      <c r="D2915" s="271"/>
      <c r="E2915" s="271"/>
      <c r="F2915" s="271"/>
      <c r="G2915" s="273"/>
      <c r="H2915" s="29" t="str">
        <f>IF(A2915="","",VLOOKUP(A2915,AA_Equipos,7,FALSE))</f>
        <v>% M.O.</v>
      </c>
      <c r="I2915" s="394">
        <f>+M2938</f>
        <v>23407.629333333334</v>
      </c>
      <c r="J2915" s="273"/>
      <c r="K2915" s="404">
        <v>0.05</v>
      </c>
      <c r="L2915" s="273"/>
      <c r="M2915" s="394">
        <f t="shared" ref="M2915:M2919" si="396">IF(A2915="","",I2915*K2915)</f>
        <v>1170.3814666666667</v>
      </c>
      <c r="N2915" s="273"/>
    </row>
    <row r="2916" spans="1:14" ht="12.75" customHeight="1" x14ac:dyDescent="0.2">
      <c r="A2916" s="403"/>
      <c r="B2916" s="271"/>
      <c r="C2916" s="271"/>
      <c r="D2916" s="271"/>
      <c r="E2916" s="271"/>
      <c r="F2916" s="271"/>
      <c r="G2916" s="273"/>
      <c r="H2916" s="29" t="str">
        <f>IF(A2916="","",VLOOKUP(A2916,AA_Equipos,7,FALSE))</f>
        <v/>
      </c>
      <c r="I2916" s="394" t="str">
        <f>IF(A2916="","",VLOOKUP(A2916,AA_Equipos,8,FALSE))</f>
        <v/>
      </c>
      <c r="J2916" s="273"/>
      <c r="K2916" s="402"/>
      <c r="L2916" s="273"/>
      <c r="M2916" s="394" t="str">
        <f t="shared" si="396"/>
        <v/>
      </c>
      <c r="N2916" s="273"/>
    </row>
    <row r="2917" spans="1:14" ht="12.75" customHeight="1" x14ac:dyDescent="0.2">
      <c r="A2917" s="400"/>
      <c r="B2917" s="271"/>
      <c r="C2917" s="271"/>
      <c r="D2917" s="271"/>
      <c r="E2917" s="271"/>
      <c r="F2917" s="271"/>
      <c r="G2917" s="273"/>
      <c r="H2917" s="29" t="str">
        <f>IF(A2917="","",VLOOKUP(A2917,AA_Equipos,7,FALSE))</f>
        <v/>
      </c>
      <c r="I2917" s="394" t="str">
        <f>IF(A2917="","",VLOOKUP(A2917,AA_Equipos,8,FALSE))</f>
        <v/>
      </c>
      <c r="J2917" s="273"/>
      <c r="K2917" s="401"/>
      <c r="L2917" s="273"/>
      <c r="M2917" s="394" t="str">
        <f t="shared" si="396"/>
        <v/>
      </c>
      <c r="N2917" s="273"/>
    </row>
    <row r="2918" spans="1:14" ht="12.75" customHeight="1" x14ac:dyDescent="0.2">
      <c r="A2918" s="400"/>
      <c r="B2918" s="271"/>
      <c r="C2918" s="271"/>
      <c r="D2918" s="271"/>
      <c r="E2918" s="271"/>
      <c r="F2918" s="271"/>
      <c r="G2918" s="273"/>
      <c r="H2918" s="29" t="str">
        <f>IF(A2918="","",VLOOKUP(A2918,AA_Equipos,7,FALSE))</f>
        <v/>
      </c>
      <c r="I2918" s="394" t="str">
        <f>IF(A2918="","",VLOOKUP(A2918,AA_Equipos,8,FALSE))</f>
        <v/>
      </c>
      <c r="J2918" s="273"/>
      <c r="K2918" s="395"/>
      <c r="L2918" s="273"/>
      <c r="M2918" s="394" t="str">
        <f t="shared" si="396"/>
        <v/>
      </c>
      <c r="N2918" s="273"/>
    </row>
    <row r="2919" spans="1:14" ht="12.75" customHeight="1" x14ac:dyDescent="0.2">
      <c r="A2919" s="400"/>
      <c r="B2919" s="271"/>
      <c r="C2919" s="271"/>
      <c r="D2919" s="271"/>
      <c r="E2919" s="271"/>
      <c r="F2919" s="271"/>
      <c r="G2919" s="273"/>
      <c r="H2919" s="29" t="str">
        <f>IF(A2919="","",VLOOKUP(A2919,AA_Equipos,7,FALSE))</f>
        <v/>
      </c>
      <c r="I2919" s="394" t="str">
        <f>IF(A2919="","",VLOOKUP(A2919,AA_Equipos,8,FALSE))</f>
        <v/>
      </c>
      <c r="J2919" s="273"/>
      <c r="K2919" s="395"/>
      <c r="L2919" s="273"/>
      <c r="M2919" s="394" t="str">
        <f t="shared" si="396"/>
        <v/>
      </c>
      <c r="N2919" s="273"/>
    </row>
    <row r="2920" spans="1:14" ht="12.75" customHeight="1" x14ac:dyDescent="0.25">
      <c r="A2920" s="4"/>
      <c r="B2920" s="4"/>
      <c r="C2920" s="4"/>
      <c r="D2920" s="4"/>
      <c r="E2920" s="4"/>
      <c r="F2920" s="4"/>
      <c r="G2920" s="4"/>
      <c r="H2920" s="4"/>
      <c r="I2920" s="4"/>
      <c r="J2920" s="4"/>
      <c r="K2920" s="396" t="s">
        <v>444</v>
      </c>
      <c r="L2920" s="273"/>
      <c r="M2920" s="394">
        <f>SUM(M2915:N2919)</f>
        <v>1170.3814666666667</v>
      </c>
      <c r="N2920" s="273"/>
    </row>
    <row r="2921" spans="1:14" ht="12.75" customHeight="1" x14ac:dyDescent="0.25">
      <c r="A2921" s="4"/>
      <c r="B2921" s="4"/>
      <c r="C2921" s="4"/>
      <c r="D2921" s="4"/>
      <c r="E2921" s="4"/>
      <c r="F2921" s="4"/>
      <c r="G2921" s="4"/>
      <c r="H2921" s="4"/>
      <c r="I2921" s="4"/>
      <c r="J2921" s="4"/>
      <c r="K2921" s="4"/>
      <c r="L2921" s="4"/>
      <c r="M2921" s="4"/>
      <c r="N2921" s="4"/>
    </row>
    <row r="2922" spans="1:14" ht="12.75" customHeight="1" x14ac:dyDescent="0.2">
      <c r="A2922" s="398" t="s">
        <v>929</v>
      </c>
      <c r="B2922" s="271"/>
      <c r="C2922" s="271"/>
      <c r="D2922" s="271"/>
      <c r="E2922" s="271"/>
      <c r="F2922" s="271"/>
      <c r="G2922" s="271"/>
      <c r="H2922" s="271"/>
      <c r="I2922" s="271"/>
      <c r="J2922" s="271"/>
      <c r="K2922" s="271"/>
      <c r="L2922" s="271"/>
      <c r="M2922" s="271"/>
      <c r="N2922" s="273"/>
    </row>
    <row r="2923" spans="1:14" ht="12.75" customHeight="1" x14ac:dyDescent="0.2">
      <c r="A2923" s="396" t="s">
        <v>76</v>
      </c>
      <c r="B2923" s="271"/>
      <c r="C2923" s="271"/>
      <c r="D2923" s="271"/>
      <c r="E2923" s="271"/>
      <c r="F2923" s="271"/>
      <c r="G2923" s="273"/>
      <c r="H2923" s="88" t="s">
        <v>77</v>
      </c>
      <c r="I2923" s="399" t="s">
        <v>920</v>
      </c>
      <c r="J2923" s="273"/>
      <c r="K2923" s="399" t="s">
        <v>453</v>
      </c>
      <c r="L2923" s="273"/>
      <c r="M2923" s="399" t="s">
        <v>921</v>
      </c>
      <c r="N2923" s="273"/>
    </row>
    <row r="2924" spans="1:14" ht="12.75" customHeight="1" x14ac:dyDescent="0.2">
      <c r="A2924" s="400" t="s">
        <v>966</v>
      </c>
      <c r="B2924" s="271"/>
      <c r="C2924" s="271"/>
      <c r="D2924" s="271"/>
      <c r="E2924" s="271"/>
      <c r="F2924" s="271"/>
      <c r="G2924" s="273"/>
      <c r="H2924" s="29" t="s">
        <v>1025</v>
      </c>
      <c r="I2924" s="394">
        <f>'precios '!J222</f>
        <v>2077.2367952644231</v>
      </c>
      <c r="J2924" s="273"/>
      <c r="K2924" s="417">
        <f>+Indice!$L$21</f>
        <v>49</v>
      </c>
      <c r="L2924" s="273"/>
      <c r="M2924" s="394">
        <f t="shared" ref="M2924:M2928" si="397">IF(A2924="","",I2924*K2924)</f>
        <v>101784.60296795673</v>
      </c>
      <c r="N2924" s="273"/>
    </row>
    <row r="2925" spans="1:14" ht="12.75" customHeight="1" x14ac:dyDescent="0.2">
      <c r="A2925" s="403" t="s">
        <v>3174</v>
      </c>
      <c r="B2925" s="271"/>
      <c r="C2925" s="271"/>
      <c r="D2925" s="271"/>
      <c r="E2925" s="271"/>
      <c r="F2925" s="271"/>
      <c r="G2925" s="273"/>
      <c r="H2925" s="29" t="s">
        <v>24</v>
      </c>
      <c r="I2925" s="394">
        <f>+M2920</f>
        <v>1170.3814666666667</v>
      </c>
      <c r="J2925" s="273"/>
      <c r="K2925" s="404">
        <v>0.05</v>
      </c>
      <c r="L2925" s="273"/>
      <c r="M2925" s="394">
        <f t="shared" si="397"/>
        <v>58.519073333333338</v>
      </c>
      <c r="N2925" s="273"/>
    </row>
    <row r="2926" spans="1:14" ht="12.75" customHeight="1" x14ac:dyDescent="0.2">
      <c r="A2926" s="400"/>
      <c r="B2926" s="271"/>
      <c r="C2926" s="271"/>
      <c r="D2926" s="271"/>
      <c r="E2926" s="271"/>
      <c r="F2926" s="271"/>
      <c r="G2926" s="273"/>
      <c r="H2926" s="29"/>
      <c r="I2926" s="394"/>
      <c r="J2926" s="273"/>
      <c r="K2926" s="395"/>
      <c r="L2926" s="273"/>
      <c r="M2926" s="394" t="str">
        <f t="shared" si="397"/>
        <v/>
      </c>
      <c r="N2926" s="273"/>
    </row>
    <row r="2927" spans="1:14" ht="12.75" customHeight="1" x14ac:dyDescent="0.2">
      <c r="A2927" s="400"/>
      <c r="B2927" s="271"/>
      <c r="C2927" s="271"/>
      <c r="D2927" s="271"/>
      <c r="E2927" s="271"/>
      <c r="F2927" s="271"/>
      <c r="G2927" s="273"/>
      <c r="H2927" s="29"/>
      <c r="I2927" s="394"/>
      <c r="J2927" s="273"/>
      <c r="K2927" s="395"/>
      <c r="L2927" s="273"/>
      <c r="M2927" s="394" t="str">
        <f t="shared" si="397"/>
        <v/>
      </c>
      <c r="N2927" s="273"/>
    </row>
    <row r="2928" spans="1:14" ht="12.75" customHeight="1" x14ac:dyDescent="0.2">
      <c r="A2928" s="400"/>
      <c r="B2928" s="271"/>
      <c r="C2928" s="271"/>
      <c r="D2928" s="271"/>
      <c r="E2928" s="271"/>
      <c r="F2928" s="271"/>
      <c r="G2928" s="273"/>
      <c r="H2928" s="29"/>
      <c r="I2928" s="394"/>
      <c r="J2928" s="273"/>
      <c r="K2928" s="395"/>
      <c r="L2928" s="273"/>
      <c r="M2928" s="394" t="str">
        <f t="shared" si="397"/>
        <v/>
      </c>
      <c r="N2928" s="273"/>
    </row>
    <row r="2929" spans="1:14" ht="12.75" customHeight="1" x14ac:dyDescent="0.25">
      <c r="A2929" s="4"/>
      <c r="B2929" s="4"/>
      <c r="C2929" s="4"/>
      <c r="D2929" s="4"/>
      <c r="E2929" s="4"/>
      <c r="F2929" s="4"/>
      <c r="G2929" s="4"/>
      <c r="H2929" s="4"/>
      <c r="I2929" s="4"/>
      <c r="J2929" s="4"/>
      <c r="K2929" s="396" t="s">
        <v>444</v>
      </c>
      <c r="L2929" s="273"/>
      <c r="M2929" s="394">
        <f>SUM(M2924:N2928)</f>
        <v>101843.12204129006</v>
      </c>
      <c r="N2929" s="273"/>
    </row>
    <row r="2930" spans="1:14" ht="12.75" customHeight="1" x14ac:dyDescent="0.25">
      <c r="A2930" s="4"/>
      <c r="B2930" s="4"/>
      <c r="C2930" s="4"/>
      <c r="D2930" s="4"/>
      <c r="E2930" s="4"/>
      <c r="F2930" s="4"/>
      <c r="G2930" s="4"/>
      <c r="H2930" s="4"/>
      <c r="I2930" s="4"/>
      <c r="J2930" s="4"/>
      <c r="K2930" s="4"/>
      <c r="L2930" s="4"/>
      <c r="M2930" s="4"/>
      <c r="N2930" s="4"/>
    </row>
    <row r="2931" spans="1:14" ht="12.75" customHeight="1" x14ac:dyDescent="0.2">
      <c r="A2931" s="398" t="s">
        <v>931</v>
      </c>
      <c r="B2931" s="271"/>
      <c r="C2931" s="271"/>
      <c r="D2931" s="271"/>
      <c r="E2931" s="271"/>
      <c r="F2931" s="271"/>
      <c r="G2931" s="271"/>
      <c r="H2931" s="271"/>
      <c r="I2931" s="271"/>
      <c r="J2931" s="271"/>
      <c r="K2931" s="271"/>
      <c r="L2931" s="271"/>
      <c r="M2931" s="271"/>
      <c r="N2931" s="273"/>
    </row>
    <row r="2932" spans="1:14" ht="12.75" customHeight="1" x14ac:dyDescent="0.2">
      <c r="A2932" s="396" t="s">
        <v>76</v>
      </c>
      <c r="B2932" s="271"/>
      <c r="C2932" s="271"/>
      <c r="D2932" s="271"/>
      <c r="E2932" s="271"/>
      <c r="F2932" s="271"/>
      <c r="G2932" s="273"/>
      <c r="H2932" s="88" t="s">
        <v>77</v>
      </c>
      <c r="I2932" s="399" t="s">
        <v>920</v>
      </c>
      <c r="J2932" s="273"/>
      <c r="K2932" s="90" t="s">
        <v>514</v>
      </c>
      <c r="L2932" s="91" t="s">
        <v>932</v>
      </c>
      <c r="M2932" s="399" t="s">
        <v>921</v>
      </c>
      <c r="N2932" s="273"/>
    </row>
    <row r="2933" spans="1:14" ht="12.75" customHeight="1" x14ac:dyDescent="0.25">
      <c r="A2933" s="393" t="s">
        <v>951</v>
      </c>
      <c r="B2933" s="271"/>
      <c r="C2933" s="271"/>
      <c r="D2933" s="271"/>
      <c r="E2933" s="271"/>
      <c r="F2933" s="271"/>
      <c r="G2933" s="273"/>
      <c r="H2933" s="29" t="str">
        <f>IF(A2933="","",VLOOKUP(A2933,AA_Cuadrillas,4,FALSE))</f>
        <v>Cuadrilla</v>
      </c>
      <c r="I2933" s="394">
        <f>IF(A2933="","",VLOOKUP(A2933,AA_Cuadrillas,5,FALSE))</f>
        <v>186763</v>
      </c>
      <c r="J2933" s="273"/>
      <c r="K2933" s="9">
        <f>IF(A2933="","",F.P!$I$2)</f>
        <v>1.88</v>
      </c>
      <c r="L2933" s="97">
        <f>1/15</f>
        <v>6.6666666666666666E-2</v>
      </c>
      <c r="M2933" s="394">
        <f t="shared" ref="M2933:M2937" si="398">IF(A2933="","",I2933*K2933*L2933)</f>
        <v>23407.629333333334</v>
      </c>
      <c r="N2933" s="273"/>
    </row>
    <row r="2934" spans="1:14" ht="12.75" customHeight="1" x14ac:dyDescent="0.25">
      <c r="A2934" s="393"/>
      <c r="B2934" s="271"/>
      <c r="C2934" s="271"/>
      <c r="D2934" s="271"/>
      <c r="E2934" s="271"/>
      <c r="F2934" s="271"/>
      <c r="G2934" s="273"/>
      <c r="H2934" s="29" t="str">
        <f>IF(A2934="","",VLOOKUP(A2934,AA_Cuadrillas,4,FALSE))</f>
        <v/>
      </c>
      <c r="I2934" s="394" t="str">
        <f>IF(A2934="","",VLOOKUP(A2934,AA_Cuadrillas,5,FALSE))</f>
        <v/>
      </c>
      <c r="J2934" s="273"/>
      <c r="K2934" s="9" t="str">
        <f>IF(A2934="","",F.P!$I$2)</f>
        <v/>
      </c>
      <c r="L2934" s="9"/>
      <c r="M2934" s="394" t="str">
        <f t="shared" si="398"/>
        <v/>
      </c>
      <c r="N2934" s="273"/>
    </row>
    <row r="2935" spans="1:14" ht="12.75" customHeight="1" x14ac:dyDescent="0.25">
      <c r="A2935" s="393"/>
      <c r="B2935" s="271"/>
      <c r="C2935" s="271"/>
      <c r="D2935" s="271"/>
      <c r="E2935" s="271"/>
      <c r="F2935" s="271"/>
      <c r="G2935" s="273"/>
      <c r="H2935" s="29" t="str">
        <f>IF(A2935="","",VLOOKUP(A2935,AA_Cuadrillas,4,FALSE))</f>
        <v/>
      </c>
      <c r="I2935" s="394" t="str">
        <f>IF(A2935="","",VLOOKUP(A2935,AA_Cuadrillas,5,FALSE))</f>
        <v/>
      </c>
      <c r="J2935" s="273"/>
      <c r="K2935" s="9" t="str">
        <f>IF(A2935="","",F.P!$I$2)</f>
        <v/>
      </c>
      <c r="L2935" s="37"/>
      <c r="M2935" s="394" t="str">
        <f t="shared" si="398"/>
        <v/>
      </c>
      <c r="N2935" s="273"/>
    </row>
    <row r="2936" spans="1:14" ht="12.75" customHeight="1" x14ac:dyDescent="0.25">
      <c r="A2936" s="393"/>
      <c r="B2936" s="271"/>
      <c r="C2936" s="271"/>
      <c r="D2936" s="271"/>
      <c r="E2936" s="271"/>
      <c r="F2936" s="271"/>
      <c r="G2936" s="273"/>
      <c r="H2936" s="29" t="str">
        <f>IF(A2936="","",VLOOKUP(A2936,AA_Cuadrillas,4,FALSE))</f>
        <v/>
      </c>
      <c r="I2936" s="394" t="str">
        <f>IF(A2936="","",VLOOKUP(A2936,AA_Cuadrillas,5,FALSE))</f>
        <v/>
      </c>
      <c r="J2936" s="273"/>
      <c r="K2936" s="9" t="str">
        <f>IF(A2936="","",F.P!$I$2)</f>
        <v/>
      </c>
      <c r="L2936" s="37"/>
      <c r="M2936" s="394" t="str">
        <f t="shared" si="398"/>
        <v/>
      </c>
      <c r="N2936" s="273"/>
    </row>
    <row r="2937" spans="1:14" ht="12.75" customHeight="1" x14ac:dyDescent="0.25">
      <c r="A2937" s="393"/>
      <c r="B2937" s="271"/>
      <c r="C2937" s="271"/>
      <c r="D2937" s="271"/>
      <c r="E2937" s="271"/>
      <c r="F2937" s="271"/>
      <c r="G2937" s="273"/>
      <c r="H2937" s="29" t="str">
        <f>IF(A2937="","",VLOOKUP(A2937,AA_Cuadrillas,4,FALSE))</f>
        <v/>
      </c>
      <c r="I2937" s="394" t="str">
        <f>IF(A2937="","",VLOOKUP(A2937,AA_Cuadrillas,5,FALSE))</f>
        <v/>
      </c>
      <c r="J2937" s="273"/>
      <c r="K2937" s="9" t="str">
        <f>IF(A2937="","",F.P!$I$2)</f>
        <v/>
      </c>
      <c r="L2937" s="37"/>
      <c r="M2937" s="394" t="str">
        <f t="shared" si="398"/>
        <v/>
      </c>
      <c r="N2937" s="273"/>
    </row>
    <row r="2938" spans="1:14" ht="12.75" customHeight="1" x14ac:dyDescent="0.25">
      <c r="A2938" s="4"/>
      <c r="B2938" s="4"/>
      <c r="C2938" s="4"/>
      <c r="D2938" s="4"/>
      <c r="E2938" s="4"/>
      <c r="F2938" s="4"/>
      <c r="G2938" s="4"/>
      <c r="H2938" s="4"/>
      <c r="I2938" s="4"/>
      <c r="J2938" s="4"/>
      <c r="K2938" s="396" t="s">
        <v>444</v>
      </c>
      <c r="L2938" s="273"/>
      <c r="M2938" s="394">
        <f>SUM(M2933:N2937)</f>
        <v>23407.629333333334</v>
      </c>
      <c r="N2938" s="273"/>
    </row>
    <row r="2939" spans="1:14" ht="12.75" customHeight="1" x14ac:dyDescent="0.2"/>
    <row r="2940" spans="1:14" ht="12.75" customHeight="1" x14ac:dyDescent="0.2">
      <c r="A2940" s="407" t="s">
        <v>1107</v>
      </c>
      <c r="B2940" s="275"/>
      <c r="C2940" s="275"/>
      <c r="D2940" s="275"/>
      <c r="E2940" s="275"/>
      <c r="F2940" s="275"/>
      <c r="G2940" s="275"/>
      <c r="H2940" s="275"/>
      <c r="I2940" s="275"/>
      <c r="J2940" s="275"/>
      <c r="K2940" s="275"/>
      <c r="L2940" s="275"/>
      <c r="M2940" s="275"/>
      <c r="N2940" s="276"/>
    </row>
    <row r="2941" spans="1:14" ht="12.75" customHeight="1" x14ac:dyDescent="0.2">
      <c r="A2941" s="277"/>
      <c r="B2941" s="278"/>
      <c r="C2941" s="278"/>
      <c r="D2941" s="278"/>
      <c r="E2941" s="278"/>
      <c r="F2941" s="278"/>
      <c r="G2941" s="278"/>
      <c r="H2941" s="278"/>
      <c r="I2941" s="278"/>
      <c r="J2941" s="278"/>
      <c r="K2941" s="278"/>
      <c r="L2941" s="278"/>
      <c r="M2941" s="278"/>
      <c r="N2941" s="279"/>
    </row>
    <row r="2942" spans="1:14" ht="12.75" customHeight="1" x14ac:dyDescent="0.2">
      <c r="A2942" s="75"/>
      <c r="B2942" s="75"/>
      <c r="C2942" s="75"/>
      <c r="D2942" s="75"/>
      <c r="E2942" s="75"/>
      <c r="F2942" s="75"/>
      <c r="G2942" s="75"/>
      <c r="H2942" s="75"/>
      <c r="I2942" s="75"/>
      <c r="J2942" s="75"/>
      <c r="K2942" s="75"/>
      <c r="L2942" s="75"/>
      <c r="M2942" s="75"/>
      <c r="N2942" s="75"/>
    </row>
    <row r="2943" spans="1:14" ht="12.75" customHeight="1" x14ac:dyDescent="0.3">
      <c r="A2943" s="79" t="s">
        <v>682</v>
      </c>
      <c r="B2943" s="80" t="str">
        <f>A2940</f>
        <v>GRAVILLA PARA ATRAQUES DE TUBERÍA O LECHOS</v>
      </c>
      <c r="C2943" s="81" t="s">
        <v>916</v>
      </c>
      <c r="D2943" s="82" t="s">
        <v>258</v>
      </c>
      <c r="E2943" s="83" t="s">
        <v>445</v>
      </c>
      <c r="F2943" s="86">
        <f>H2943+J2943+L2943+N2943</f>
        <v>154791.77423529411</v>
      </c>
      <c r="G2943" s="83" t="s">
        <v>607</v>
      </c>
      <c r="H2943" s="86">
        <f>M2953</f>
        <v>111418.814</v>
      </c>
      <c r="I2943" s="83" t="s">
        <v>918</v>
      </c>
      <c r="J2943" s="86">
        <f>M2962</f>
        <v>2065.3790588235292</v>
      </c>
      <c r="K2943" s="83" t="s">
        <v>609</v>
      </c>
      <c r="L2943" s="86">
        <f>M2971</f>
        <v>0</v>
      </c>
      <c r="M2943" s="83" t="s">
        <v>610</v>
      </c>
      <c r="N2943" s="86">
        <f>M2980</f>
        <v>41307.581176470587</v>
      </c>
    </row>
    <row r="2944" spans="1:14" ht="12.75" customHeight="1" x14ac:dyDescent="0.25">
      <c r="A2944" s="87"/>
      <c r="B2944" s="87"/>
      <c r="C2944" s="87"/>
      <c r="D2944" s="87"/>
      <c r="E2944" s="87"/>
      <c r="F2944" s="87"/>
      <c r="G2944" s="87"/>
      <c r="J2944" s="87"/>
      <c r="K2944" s="215" t="s">
        <v>3217</v>
      </c>
      <c r="L2944" s="215">
        <f>+F2943*presup!$O$5</f>
        <v>201229.30650588236</v>
      </c>
      <c r="M2944" s="87"/>
      <c r="N2944" s="87"/>
    </row>
    <row r="2945" spans="1:14" ht="12.75" customHeight="1" x14ac:dyDescent="0.2">
      <c r="A2945" s="398" t="s">
        <v>919</v>
      </c>
      <c r="B2945" s="271"/>
      <c r="C2945" s="271"/>
      <c r="D2945" s="271"/>
      <c r="E2945" s="271"/>
      <c r="F2945" s="271"/>
      <c r="G2945" s="271"/>
      <c r="H2945" s="271"/>
      <c r="I2945" s="271"/>
      <c r="J2945" s="271"/>
      <c r="K2945" s="271"/>
      <c r="L2945" s="271"/>
      <c r="M2945" s="271"/>
      <c r="N2945" s="273"/>
    </row>
    <row r="2946" spans="1:14" ht="12.75" customHeight="1" x14ac:dyDescent="0.2">
      <c r="A2946" s="396" t="s">
        <v>76</v>
      </c>
      <c r="B2946" s="271"/>
      <c r="C2946" s="271"/>
      <c r="D2946" s="271"/>
      <c r="E2946" s="271"/>
      <c r="F2946" s="271"/>
      <c r="G2946" s="273"/>
      <c r="H2946" s="88" t="s">
        <v>77</v>
      </c>
      <c r="I2946" s="399" t="s">
        <v>920</v>
      </c>
      <c r="J2946" s="273"/>
      <c r="K2946" s="399" t="s">
        <v>453</v>
      </c>
      <c r="L2946" s="273"/>
      <c r="M2946" s="399" t="s">
        <v>921</v>
      </c>
      <c r="N2946" s="273"/>
    </row>
    <row r="2947" spans="1:14" ht="12.75" customHeight="1" x14ac:dyDescent="0.2">
      <c r="A2947" s="403" t="s">
        <v>1108</v>
      </c>
      <c r="B2947" s="271"/>
      <c r="C2947" s="271"/>
      <c r="D2947" s="271"/>
      <c r="E2947" s="271"/>
      <c r="F2947" s="271"/>
      <c r="G2947" s="273"/>
      <c r="H2947" s="29" t="str">
        <f t="shared" ref="H2947:H2952" si="399">IF(A2947="","",VLOOKUP(A2947,AA_Materiales,7,FALSE))</f>
        <v>m3</v>
      </c>
      <c r="I2947" s="394">
        <f t="shared" ref="I2947:I2952" si="400">IF(A2947="","",VLOOKUP(A2947,AA_Materiales,8,FALSE))</f>
        <v>85706.78</v>
      </c>
      <c r="J2947" s="273"/>
      <c r="K2947" s="395">
        <v>1.3</v>
      </c>
      <c r="L2947" s="273"/>
      <c r="M2947" s="394">
        <f t="shared" ref="M2947:M2952" si="401">IF(A2947="","",I2947*K2947)</f>
        <v>111418.814</v>
      </c>
      <c r="N2947" s="273"/>
    </row>
    <row r="2948" spans="1:14" ht="12.75" customHeight="1" x14ac:dyDescent="0.2">
      <c r="A2948" s="403"/>
      <c r="B2948" s="271"/>
      <c r="C2948" s="271"/>
      <c r="D2948" s="271"/>
      <c r="E2948" s="271"/>
      <c r="F2948" s="271"/>
      <c r="G2948" s="273"/>
      <c r="H2948" s="29" t="str">
        <f t="shared" si="399"/>
        <v/>
      </c>
      <c r="I2948" s="394" t="str">
        <f t="shared" si="400"/>
        <v/>
      </c>
      <c r="J2948" s="273"/>
      <c r="K2948" s="395"/>
      <c r="L2948" s="273"/>
      <c r="M2948" s="394" t="str">
        <f t="shared" si="401"/>
        <v/>
      </c>
      <c r="N2948" s="273"/>
    </row>
    <row r="2949" spans="1:14" ht="12.75" customHeight="1" x14ac:dyDescent="0.2">
      <c r="A2949" s="403"/>
      <c r="B2949" s="271"/>
      <c r="C2949" s="271"/>
      <c r="D2949" s="271"/>
      <c r="E2949" s="271"/>
      <c r="F2949" s="271"/>
      <c r="G2949" s="273"/>
      <c r="H2949" s="29" t="str">
        <f t="shared" si="399"/>
        <v/>
      </c>
      <c r="I2949" s="394" t="str">
        <f t="shared" si="400"/>
        <v/>
      </c>
      <c r="J2949" s="273"/>
      <c r="K2949" s="395"/>
      <c r="L2949" s="273"/>
      <c r="M2949" s="394" t="str">
        <f t="shared" si="401"/>
        <v/>
      </c>
      <c r="N2949" s="273"/>
    </row>
    <row r="2950" spans="1:14" ht="12.75" customHeight="1" x14ac:dyDescent="0.2">
      <c r="A2950" s="403"/>
      <c r="B2950" s="271"/>
      <c r="C2950" s="271"/>
      <c r="D2950" s="271"/>
      <c r="E2950" s="271"/>
      <c r="F2950" s="271"/>
      <c r="G2950" s="273"/>
      <c r="H2950" s="29" t="str">
        <f t="shared" si="399"/>
        <v/>
      </c>
      <c r="I2950" s="394" t="str">
        <f t="shared" si="400"/>
        <v/>
      </c>
      <c r="J2950" s="273"/>
      <c r="K2950" s="395"/>
      <c r="L2950" s="273"/>
      <c r="M2950" s="394" t="str">
        <f t="shared" si="401"/>
        <v/>
      </c>
      <c r="N2950" s="273"/>
    </row>
    <row r="2951" spans="1:14" ht="12.75" customHeight="1" x14ac:dyDescent="0.2">
      <c r="A2951" s="403"/>
      <c r="B2951" s="271"/>
      <c r="C2951" s="271"/>
      <c r="D2951" s="271"/>
      <c r="E2951" s="271"/>
      <c r="F2951" s="271"/>
      <c r="G2951" s="273"/>
      <c r="H2951" s="29" t="str">
        <f t="shared" si="399"/>
        <v/>
      </c>
      <c r="I2951" s="394" t="str">
        <f t="shared" si="400"/>
        <v/>
      </c>
      <c r="J2951" s="273"/>
      <c r="K2951" s="395"/>
      <c r="L2951" s="273"/>
      <c r="M2951" s="394" t="str">
        <f t="shared" si="401"/>
        <v/>
      </c>
      <c r="N2951" s="273"/>
    </row>
    <row r="2952" spans="1:14" ht="12.75" customHeight="1" x14ac:dyDescent="0.2">
      <c r="A2952" s="403"/>
      <c r="B2952" s="271"/>
      <c r="C2952" s="271"/>
      <c r="D2952" s="271"/>
      <c r="E2952" s="271"/>
      <c r="F2952" s="271"/>
      <c r="G2952" s="273"/>
      <c r="H2952" s="29" t="str">
        <f t="shared" si="399"/>
        <v/>
      </c>
      <c r="I2952" s="394" t="str">
        <f t="shared" si="400"/>
        <v/>
      </c>
      <c r="J2952" s="273"/>
      <c r="K2952" s="395"/>
      <c r="L2952" s="273"/>
      <c r="M2952" s="394" t="str">
        <f t="shared" si="401"/>
        <v/>
      </c>
      <c r="N2952" s="273"/>
    </row>
    <row r="2953" spans="1:14" ht="12.75" customHeight="1" x14ac:dyDescent="0.25">
      <c r="A2953" s="4"/>
      <c r="B2953" s="4"/>
      <c r="C2953" s="4"/>
      <c r="D2953" s="4"/>
      <c r="E2953" s="4"/>
      <c r="F2953" s="4"/>
      <c r="G2953" s="4"/>
      <c r="H2953" s="4"/>
      <c r="I2953" s="4"/>
      <c r="J2953" s="4"/>
      <c r="K2953" s="396" t="s">
        <v>444</v>
      </c>
      <c r="L2953" s="273"/>
      <c r="M2953" s="394">
        <f>SUM(M2947:N2952)</f>
        <v>111418.814</v>
      </c>
      <c r="N2953" s="273"/>
    </row>
    <row r="2954" spans="1:14" ht="12.75" customHeight="1" x14ac:dyDescent="0.25">
      <c r="A2954" s="4"/>
      <c r="B2954" s="4"/>
      <c r="C2954" s="4"/>
      <c r="D2954" s="4"/>
      <c r="E2954" s="4"/>
      <c r="F2954" s="4"/>
      <c r="G2954" s="4"/>
      <c r="H2954" s="4"/>
      <c r="I2954" s="4"/>
      <c r="J2954" s="4"/>
      <c r="K2954" s="4"/>
      <c r="L2954" s="4"/>
      <c r="M2954" s="4"/>
      <c r="N2954" s="4"/>
    </row>
    <row r="2955" spans="1:14" ht="12.75" customHeight="1" x14ac:dyDescent="0.2">
      <c r="A2955" s="398" t="s">
        <v>926</v>
      </c>
      <c r="B2955" s="271"/>
      <c r="C2955" s="271"/>
      <c r="D2955" s="271"/>
      <c r="E2955" s="271"/>
      <c r="F2955" s="271"/>
      <c r="G2955" s="271"/>
      <c r="H2955" s="271"/>
      <c r="I2955" s="271"/>
      <c r="J2955" s="271"/>
      <c r="K2955" s="271"/>
      <c r="L2955" s="271"/>
      <c r="M2955" s="271"/>
      <c r="N2955" s="273"/>
    </row>
    <row r="2956" spans="1:14" ht="12.75" customHeight="1" x14ac:dyDescent="0.2">
      <c r="A2956" s="396" t="s">
        <v>76</v>
      </c>
      <c r="B2956" s="271"/>
      <c r="C2956" s="271"/>
      <c r="D2956" s="271"/>
      <c r="E2956" s="271"/>
      <c r="F2956" s="271"/>
      <c r="G2956" s="273"/>
      <c r="H2956" s="88" t="s">
        <v>77</v>
      </c>
      <c r="I2956" s="399" t="s">
        <v>920</v>
      </c>
      <c r="J2956" s="273"/>
      <c r="K2956" s="399" t="s">
        <v>453</v>
      </c>
      <c r="L2956" s="273"/>
      <c r="M2956" s="399" t="s">
        <v>921</v>
      </c>
      <c r="N2956" s="273"/>
    </row>
    <row r="2957" spans="1:14" ht="12.75" customHeight="1" x14ac:dyDescent="0.2">
      <c r="A2957" s="400" t="s">
        <v>927</v>
      </c>
      <c r="B2957" s="271"/>
      <c r="C2957" s="271"/>
      <c r="D2957" s="271"/>
      <c r="E2957" s="271"/>
      <c r="F2957" s="271"/>
      <c r="G2957" s="273"/>
      <c r="H2957" s="29" t="str">
        <f>IF(A2957="","",VLOOKUP(A2957,AA_Equipos,7,FALSE))</f>
        <v>% M.O.</v>
      </c>
      <c r="I2957" s="394">
        <f>+M2980</f>
        <v>41307.581176470587</v>
      </c>
      <c r="J2957" s="273"/>
      <c r="K2957" s="404">
        <v>0.05</v>
      </c>
      <c r="L2957" s="273"/>
      <c r="M2957" s="394">
        <f t="shared" ref="M2957:M2961" si="402">IF(A2957="","",I2957*K2957)</f>
        <v>2065.3790588235292</v>
      </c>
      <c r="N2957" s="273"/>
    </row>
    <row r="2958" spans="1:14" ht="12.75" customHeight="1" x14ac:dyDescent="0.2">
      <c r="A2958" s="403"/>
      <c r="B2958" s="271"/>
      <c r="C2958" s="271"/>
      <c r="D2958" s="271"/>
      <c r="E2958" s="271"/>
      <c r="F2958" s="271"/>
      <c r="G2958" s="273"/>
      <c r="H2958" s="29" t="str">
        <f>IF(A2958="","",VLOOKUP(A2958,AA_Equipos,7,FALSE))</f>
        <v/>
      </c>
      <c r="I2958" s="394" t="str">
        <f>IF(A2958="","",VLOOKUP(A2958,AA_Equipos,8,FALSE))</f>
        <v/>
      </c>
      <c r="J2958" s="273"/>
      <c r="K2958" s="402"/>
      <c r="L2958" s="273"/>
      <c r="M2958" s="394" t="str">
        <f t="shared" si="402"/>
        <v/>
      </c>
      <c r="N2958" s="273"/>
    </row>
    <row r="2959" spans="1:14" ht="12.75" customHeight="1" x14ac:dyDescent="0.2">
      <c r="A2959" s="400"/>
      <c r="B2959" s="271"/>
      <c r="C2959" s="271"/>
      <c r="D2959" s="271"/>
      <c r="E2959" s="271"/>
      <c r="F2959" s="271"/>
      <c r="G2959" s="273"/>
      <c r="H2959" s="29" t="str">
        <f>IF(A2959="","",VLOOKUP(A2959,AA_Equipos,7,FALSE))</f>
        <v/>
      </c>
      <c r="I2959" s="394" t="str">
        <f>IF(A2959="","",VLOOKUP(A2959,AA_Equipos,8,FALSE))</f>
        <v/>
      </c>
      <c r="J2959" s="273"/>
      <c r="K2959" s="401"/>
      <c r="L2959" s="273"/>
      <c r="M2959" s="394" t="str">
        <f t="shared" si="402"/>
        <v/>
      </c>
      <c r="N2959" s="273"/>
    </row>
    <row r="2960" spans="1:14" ht="12.75" customHeight="1" x14ac:dyDescent="0.2">
      <c r="A2960" s="400"/>
      <c r="B2960" s="271"/>
      <c r="C2960" s="271"/>
      <c r="D2960" s="271"/>
      <c r="E2960" s="271"/>
      <c r="F2960" s="271"/>
      <c r="G2960" s="273"/>
      <c r="H2960" s="29" t="str">
        <f>IF(A2960="","",VLOOKUP(A2960,AA_Equipos,7,FALSE))</f>
        <v/>
      </c>
      <c r="I2960" s="394" t="str">
        <f>IF(A2960="","",VLOOKUP(A2960,AA_Equipos,8,FALSE))</f>
        <v/>
      </c>
      <c r="J2960" s="273"/>
      <c r="K2960" s="395"/>
      <c r="L2960" s="273"/>
      <c r="M2960" s="394" t="str">
        <f t="shared" si="402"/>
        <v/>
      </c>
      <c r="N2960" s="273"/>
    </row>
    <row r="2961" spans="1:14" ht="12.75" customHeight="1" x14ac:dyDescent="0.2">
      <c r="A2961" s="400"/>
      <c r="B2961" s="271"/>
      <c r="C2961" s="271"/>
      <c r="D2961" s="271"/>
      <c r="E2961" s="271"/>
      <c r="F2961" s="271"/>
      <c r="G2961" s="273"/>
      <c r="H2961" s="29" t="str">
        <f>IF(A2961="","",VLOOKUP(A2961,AA_Equipos,7,FALSE))</f>
        <v/>
      </c>
      <c r="I2961" s="394" t="str">
        <f>IF(A2961="","",VLOOKUP(A2961,AA_Equipos,8,FALSE))</f>
        <v/>
      </c>
      <c r="J2961" s="273"/>
      <c r="K2961" s="395"/>
      <c r="L2961" s="273"/>
      <c r="M2961" s="394" t="str">
        <f t="shared" si="402"/>
        <v/>
      </c>
      <c r="N2961" s="273"/>
    </row>
    <row r="2962" spans="1:14" ht="12.75" customHeight="1" x14ac:dyDescent="0.25">
      <c r="A2962" s="4"/>
      <c r="B2962" s="4"/>
      <c r="C2962" s="4"/>
      <c r="D2962" s="4"/>
      <c r="E2962" s="4"/>
      <c r="F2962" s="4"/>
      <c r="G2962" s="4"/>
      <c r="H2962" s="4"/>
      <c r="I2962" s="4"/>
      <c r="J2962" s="4"/>
      <c r="K2962" s="396" t="s">
        <v>444</v>
      </c>
      <c r="L2962" s="273"/>
      <c r="M2962" s="394">
        <f>SUM(M2957:N2961)</f>
        <v>2065.3790588235292</v>
      </c>
      <c r="N2962" s="273"/>
    </row>
    <row r="2963" spans="1:14" ht="12.75" customHeight="1" x14ac:dyDescent="0.25">
      <c r="A2963" s="4"/>
      <c r="B2963" s="4"/>
      <c r="C2963" s="4"/>
      <c r="D2963" s="4"/>
      <c r="E2963" s="4"/>
      <c r="F2963" s="4"/>
      <c r="G2963" s="4"/>
      <c r="H2963" s="4"/>
      <c r="I2963" s="4"/>
      <c r="J2963" s="4"/>
      <c r="K2963" s="4"/>
      <c r="L2963" s="4"/>
      <c r="M2963" s="4"/>
      <c r="N2963" s="4"/>
    </row>
    <row r="2964" spans="1:14" ht="12.75" customHeight="1" x14ac:dyDescent="0.2">
      <c r="A2964" s="398" t="s">
        <v>929</v>
      </c>
      <c r="B2964" s="271"/>
      <c r="C2964" s="271"/>
      <c r="D2964" s="271"/>
      <c r="E2964" s="271"/>
      <c r="F2964" s="271"/>
      <c r="G2964" s="271"/>
      <c r="H2964" s="271"/>
      <c r="I2964" s="271"/>
      <c r="J2964" s="271"/>
      <c r="K2964" s="271"/>
      <c r="L2964" s="271"/>
      <c r="M2964" s="271"/>
      <c r="N2964" s="273"/>
    </row>
    <row r="2965" spans="1:14" ht="12.75" customHeight="1" x14ac:dyDescent="0.2">
      <c r="A2965" s="396" t="s">
        <v>76</v>
      </c>
      <c r="B2965" s="271"/>
      <c r="C2965" s="271"/>
      <c r="D2965" s="271"/>
      <c r="E2965" s="271"/>
      <c r="F2965" s="271"/>
      <c r="G2965" s="273"/>
      <c r="H2965" s="88" t="s">
        <v>77</v>
      </c>
      <c r="I2965" s="399" t="s">
        <v>920</v>
      </c>
      <c r="J2965" s="273"/>
      <c r="K2965" s="399" t="s">
        <v>453</v>
      </c>
      <c r="L2965" s="273"/>
      <c r="M2965" s="399" t="s">
        <v>921</v>
      </c>
      <c r="N2965" s="273"/>
    </row>
    <row r="2966" spans="1:14" ht="12.75" customHeight="1" x14ac:dyDescent="0.2">
      <c r="A2966" s="400" t="s">
        <v>966</v>
      </c>
      <c r="B2966" s="271"/>
      <c r="C2966" s="271"/>
      <c r="D2966" s="271"/>
      <c r="E2966" s="271"/>
      <c r="F2966" s="271"/>
      <c r="G2966" s="273"/>
      <c r="H2966" s="29" t="s">
        <v>1025</v>
      </c>
      <c r="I2966" s="394"/>
      <c r="J2966" s="273"/>
      <c r="K2966" s="417">
        <f>+Indice!L21</f>
        <v>49</v>
      </c>
      <c r="L2966" s="273"/>
      <c r="M2966" s="394">
        <f t="shared" ref="M2966:M2970" si="403">IF(A2966="","",I2966*K2966)</f>
        <v>0</v>
      </c>
      <c r="N2966" s="273"/>
    </row>
    <row r="2967" spans="1:14" ht="12.75" customHeight="1" x14ac:dyDescent="0.2">
      <c r="A2967" s="403"/>
      <c r="B2967" s="271"/>
      <c r="C2967" s="271"/>
      <c r="D2967" s="271"/>
      <c r="E2967" s="271"/>
      <c r="F2967" s="271"/>
      <c r="G2967" s="273"/>
      <c r="H2967" s="29"/>
      <c r="I2967" s="394"/>
      <c r="J2967" s="273"/>
      <c r="K2967" s="404"/>
      <c r="L2967" s="273"/>
      <c r="M2967" s="394" t="str">
        <f t="shared" si="403"/>
        <v/>
      </c>
      <c r="N2967" s="273"/>
    </row>
    <row r="2968" spans="1:14" ht="12.75" customHeight="1" x14ac:dyDescent="0.2">
      <c r="A2968" s="400"/>
      <c r="B2968" s="271"/>
      <c r="C2968" s="271"/>
      <c r="D2968" s="271"/>
      <c r="E2968" s="271"/>
      <c r="F2968" s="271"/>
      <c r="G2968" s="273"/>
      <c r="H2968" s="29"/>
      <c r="I2968" s="394"/>
      <c r="J2968" s="273"/>
      <c r="K2968" s="395"/>
      <c r="L2968" s="273"/>
      <c r="M2968" s="394" t="str">
        <f t="shared" si="403"/>
        <v/>
      </c>
      <c r="N2968" s="273"/>
    </row>
    <row r="2969" spans="1:14" ht="12.75" customHeight="1" x14ac:dyDescent="0.2">
      <c r="A2969" s="400"/>
      <c r="B2969" s="271"/>
      <c r="C2969" s="271"/>
      <c r="D2969" s="271"/>
      <c r="E2969" s="271"/>
      <c r="F2969" s="271"/>
      <c r="G2969" s="273"/>
      <c r="H2969" s="29"/>
      <c r="I2969" s="394"/>
      <c r="J2969" s="273"/>
      <c r="K2969" s="395"/>
      <c r="L2969" s="273"/>
      <c r="M2969" s="394" t="str">
        <f t="shared" si="403"/>
        <v/>
      </c>
      <c r="N2969" s="273"/>
    </row>
    <row r="2970" spans="1:14" ht="12.75" customHeight="1" x14ac:dyDescent="0.2">
      <c r="A2970" s="400"/>
      <c r="B2970" s="271"/>
      <c r="C2970" s="271"/>
      <c r="D2970" s="271"/>
      <c r="E2970" s="271"/>
      <c r="F2970" s="271"/>
      <c r="G2970" s="273"/>
      <c r="H2970" s="29"/>
      <c r="I2970" s="394"/>
      <c r="J2970" s="273"/>
      <c r="K2970" s="395"/>
      <c r="L2970" s="273"/>
      <c r="M2970" s="394" t="str">
        <f t="shared" si="403"/>
        <v/>
      </c>
      <c r="N2970" s="273"/>
    </row>
    <row r="2971" spans="1:14" ht="12.75" customHeight="1" x14ac:dyDescent="0.25">
      <c r="A2971" s="4"/>
      <c r="B2971" s="4"/>
      <c r="C2971" s="4"/>
      <c r="D2971" s="4"/>
      <c r="E2971" s="4"/>
      <c r="F2971" s="4"/>
      <c r="G2971" s="4"/>
      <c r="H2971" s="4"/>
      <c r="I2971" s="4"/>
      <c r="J2971" s="4"/>
      <c r="K2971" s="396" t="s">
        <v>444</v>
      </c>
      <c r="L2971" s="273"/>
      <c r="M2971" s="394">
        <f>SUM(M2966:N2970)</f>
        <v>0</v>
      </c>
      <c r="N2971" s="273"/>
    </row>
    <row r="2972" spans="1:14" ht="12.75" customHeight="1" x14ac:dyDescent="0.25">
      <c r="A2972" s="4"/>
      <c r="B2972" s="4"/>
      <c r="C2972" s="4"/>
      <c r="D2972" s="4"/>
      <c r="E2972" s="4"/>
      <c r="F2972" s="4"/>
      <c r="G2972" s="4"/>
      <c r="H2972" s="4"/>
      <c r="I2972" s="4"/>
      <c r="J2972" s="4"/>
      <c r="K2972" s="4"/>
      <c r="L2972" s="4"/>
      <c r="M2972" s="4"/>
      <c r="N2972" s="4"/>
    </row>
    <row r="2973" spans="1:14" ht="12.75" customHeight="1" x14ac:dyDescent="0.2">
      <c r="A2973" s="398" t="s">
        <v>931</v>
      </c>
      <c r="B2973" s="271"/>
      <c r="C2973" s="271"/>
      <c r="D2973" s="271"/>
      <c r="E2973" s="271"/>
      <c r="F2973" s="271"/>
      <c r="G2973" s="271"/>
      <c r="H2973" s="271"/>
      <c r="I2973" s="271"/>
      <c r="J2973" s="271"/>
      <c r="K2973" s="271"/>
      <c r="L2973" s="271"/>
      <c r="M2973" s="271"/>
      <c r="N2973" s="273"/>
    </row>
    <row r="2974" spans="1:14" ht="12.75" customHeight="1" x14ac:dyDescent="0.2">
      <c r="A2974" s="396" t="s">
        <v>76</v>
      </c>
      <c r="B2974" s="271"/>
      <c r="C2974" s="271"/>
      <c r="D2974" s="271"/>
      <c r="E2974" s="271"/>
      <c r="F2974" s="271"/>
      <c r="G2974" s="273"/>
      <c r="H2974" s="88" t="s">
        <v>77</v>
      </c>
      <c r="I2974" s="399" t="s">
        <v>920</v>
      </c>
      <c r="J2974" s="273"/>
      <c r="K2974" s="90" t="s">
        <v>514</v>
      </c>
      <c r="L2974" s="91" t="s">
        <v>932</v>
      </c>
      <c r="M2974" s="399" t="s">
        <v>921</v>
      </c>
      <c r="N2974" s="273"/>
    </row>
    <row r="2975" spans="1:14" ht="12.75" customHeight="1" x14ac:dyDescent="0.25">
      <c r="A2975" s="393" t="s">
        <v>951</v>
      </c>
      <c r="B2975" s="271"/>
      <c r="C2975" s="271"/>
      <c r="D2975" s="271"/>
      <c r="E2975" s="271"/>
      <c r="F2975" s="271"/>
      <c r="G2975" s="273"/>
      <c r="H2975" s="29" t="str">
        <f>IF(A2975="","",VLOOKUP(A2975,AA_Cuadrillas,4,FALSE))</f>
        <v>Cuadrilla</v>
      </c>
      <c r="I2975" s="394">
        <f>IF(A2975="","",VLOOKUP(A2975,AA_Cuadrillas,5,FALSE))</f>
        <v>186763</v>
      </c>
      <c r="J2975" s="273"/>
      <c r="K2975" s="9">
        <f>IF(A2975="","",F.P!$I$2)</f>
        <v>1.88</v>
      </c>
      <c r="L2975" s="97">
        <f>1/8.5</f>
        <v>0.11764705882352941</v>
      </c>
      <c r="M2975" s="394">
        <f t="shared" ref="M2975:M2979" si="404">IF(A2975="","",I2975*K2975*L2975)</f>
        <v>41307.581176470587</v>
      </c>
      <c r="N2975" s="273"/>
    </row>
    <row r="2976" spans="1:14" ht="12.75" customHeight="1" x14ac:dyDescent="0.25">
      <c r="A2976" s="393"/>
      <c r="B2976" s="271"/>
      <c r="C2976" s="271"/>
      <c r="D2976" s="271"/>
      <c r="E2976" s="271"/>
      <c r="F2976" s="271"/>
      <c r="G2976" s="273"/>
      <c r="H2976" s="29" t="str">
        <f>IF(A2976="","",VLOOKUP(A2976,AA_Cuadrillas,4,FALSE))</f>
        <v/>
      </c>
      <c r="I2976" s="394" t="str">
        <f>IF(A2976="","",VLOOKUP(A2976,AA_Cuadrillas,5,FALSE))</f>
        <v/>
      </c>
      <c r="J2976" s="273"/>
      <c r="K2976" s="9" t="str">
        <f>IF(A2976="","",F.P!$I$2)</f>
        <v/>
      </c>
      <c r="L2976" s="9"/>
      <c r="M2976" s="394" t="str">
        <f t="shared" si="404"/>
        <v/>
      </c>
      <c r="N2976" s="273"/>
    </row>
    <row r="2977" spans="1:14" ht="12.75" customHeight="1" x14ac:dyDescent="0.25">
      <c r="A2977" s="393"/>
      <c r="B2977" s="271"/>
      <c r="C2977" s="271"/>
      <c r="D2977" s="271"/>
      <c r="E2977" s="271"/>
      <c r="F2977" s="271"/>
      <c r="G2977" s="273"/>
      <c r="H2977" s="29" t="str">
        <f>IF(A2977="","",VLOOKUP(A2977,AA_Cuadrillas,4,FALSE))</f>
        <v/>
      </c>
      <c r="I2977" s="394" t="str">
        <f>IF(A2977="","",VLOOKUP(A2977,AA_Cuadrillas,5,FALSE))</f>
        <v/>
      </c>
      <c r="J2977" s="273"/>
      <c r="K2977" s="9" t="str">
        <f>IF(A2977="","",F.P!$I$2)</f>
        <v/>
      </c>
      <c r="L2977" s="37"/>
      <c r="M2977" s="394" t="str">
        <f t="shared" si="404"/>
        <v/>
      </c>
      <c r="N2977" s="273"/>
    </row>
    <row r="2978" spans="1:14" ht="12.75" customHeight="1" x14ac:dyDescent="0.25">
      <c r="A2978" s="393"/>
      <c r="B2978" s="271"/>
      <c r="C2978" s="271"/>
      <c r="D2978" s="271"/>
      <c r="E2978" s="271"/>
      <c r="F2978" s="271"/>
      <c r="G2978" s="273"/>
      <c r="H2978" s="29" t="str">
        <f>IF(A2978="","",VLOOKUP(A2978,AA_Cuadrillas,4,FALSE))</f>
        <v/>
      </c>
      <c r="I2978" s="394" t="str">
        <f>IF(A2978="","",VLOOKUP(A2978,AA_Cuadrillas,5,FALSE))</f>
        <v/>
      </c>
      <c r="J2978" s="273"/>
      <c r="K2978" s="9" t="str">
        <f>IF(A2978="","",F.P!$I$2)</f>
        <v/>
      </c>
      <c r="L2978" s="37"/>
      <c r="M2978" s="394" t="str">
        <f t="shared" si="404"/>
        <v/>
      </c>
      <c r="N2978" s="273"/>
    </row>
    <row r="2979" spans="1:14" ht="12.75" customHeight="1" x14ac:dyDescent="0.25">
      <c r="A2979" s="393"/>
      <c r="B2979" s="271"/>
      <c r="C2979" s="271"/>
      <c r="D2979" s="271"/>
      <c r="E2979" s="271"/>
      <c r="F2979" s="271"/>
      <c r="G2979" s="273"/>
      <c r="H2979" s="29" t="str">
        <f>IF(A2979="","",VLOOKUP(A2979,AA_Cuadrillas,4,FALSE))</f>
        <v/>
      </c>
      <c r="I2979" s="394" t="str">
        <f>IF(A2979="","",VLOOKUP(A2979,AA_Cuadrillas,5,FALSE))</f>
        <v/>
      </c>
      <c r="J2979" s="273"/>
      <c r="K2979" s="9" t="str">
        <f>IF(A2979="","",F.P!$I$2)</f>
        <v/>
      </c>
      <c r="L2979" s="37"/>
      <c r="M2979" s="394" t="str">
        <f t="shared" si="404"/>
        <v/>
      </c>
      <c r="N2979" s="273"/>
    </row>
    <row r="2980" spans="1:14" ht="12.75" customHeight="1" x14ac:dyDescent="0.25">
      <c r="A2980" s="4"/>
      <c r="B2980" s="4"/>
      <c r="C2980" s="4"/>
      <c r="D2980" s="4"/>
      <c r="E2980" s="4"/>
      <c r="F2980" s="4"/>
      <c r="G2980" s="4"/>
      <c r="H2980" s="4"/>
      <c r="I2980" s="4"/>
      <c r="J2980" s="4"/>
      <c r="K2980" s="396" t="s">
        <v>444</v>
      </c>
      <c r="L2980" s="273"/>
      <c r="M2980" s="394">
        <f>SUM(M2975:N2979)</f>
        <v>41307.581176470587</v>
      </c>
      <c r="N2980" s="273"/>
    </row>
    <row r="2981" spans="1:14" ht="12.75" customHeight="1" x14ac:dyDescent="0.2"/>
    <row r="2982" spans="1:14" ht="12.75" customHeight="1" x14ac:dyDescent="0.2">
      <c r="A2982" s="407" t="s">
        <v>1109</v>
      </c>
      <c r="B2982" s="275"/>
      <c r="C2982" s="275"/>
      <c r="D2982" s="275"/>
      <c r="E2982" s="275"/>
      <c r="F2982" s="275"/>
      <c r="G2982" s="275"/>
      <c r="H2982" s="275"/>
      <c r="I2982" s="275"/>
      <c r="J2982" s="275"/>
      <c r="K2982" s="275"/>
      <c r="L2982" s="275"/>
      <c r="M2982" s="275"/>
      <c r="N2982" s="276"/>
    </row>
    <row r="2983" spans="1:14" ht="12.75" customHeight="1" x14ac:dyDescent="0.2">
      <c r="A2983" s="277"/>
      <c r="B2983" s="278"/>
      <c r="C2983" s="278"/>
      <c r="D2983" s="278"/>
      <c r="E2983" s="278"/>
      <c r="F2983" s="278"/>
      <c r="G2983" s="278"/>
      <c r="H2983" s="278"/>
      <c r="I2983" s="278"/>
      <c r="J2983" s="278"/>
      <c r="K2983" s="278"/>
      <c r="L2983" s="278"/>
      <c r="M2983" s="278"/>
      <c r="N2983" s="279"/>
    </row>
    <row r="2984" spans="1:14" ht="12.75" customHeight="1" x14ac:dyDescent="0.2">
      <c r="A2984" s="75"/>
      <c r="B2984" s="75"/>
      <c r="C2984" s="75"/>
      <c r="D2984" s="75"/>
      <c r="E2984" s="75"/>
      <c r="F2984" s="75"/>
      <c r="G2984" s="75"/>
      <c r="H2984" s="75"/>
      <c r="I2984" s="75"/>
      <c r="J2984" s="75"/>
      <c r="K2984" s="75"/>
      <c r="L2984" s="75"/>
      <c r="M2984" s="75"/>
      <c r="N2984" s="75"/>
    </row>
    <row r="2985" spans="1:14" ht="12.75" customHeight="1" x14ac:dyDescent="0.3">
      <c r="A2985" s="79" t="s">
        <v>683</v>
      </c>
      <c r="B2985" s="80" t="str">
        <f>A2982</f>
        <v>SUMINISTRO E INSTALACIÓN DE TEE Ø2" EN HIERRO DUCTIL (INCLUYE MATERIALES, HERRAMIENTAS Y MANO DE OBRA)</v>
      </c>
      <c r="C2985" s="81" t="s">
        <v>916</v>
      </c>
      <c r="D2985" s="82" t="s">
        <v>999</v>
      </c>
      <c r="E2985" s="83" t="s">
        <v>445</v>
      </c>
      <c r="F2985" s="86">
        <f>H2985+J2985+L2985+N2985</f>
        <v>279864.40960000001</v>
      </c>
      <c r="G2985" s="83" t="s">
        <v>607</v>
      </c>
      <c r="H2985" s="86">
        <f>M2995</f>
        <v>259126.75</v>
      </c>
      <c r="I2985" s="83" t="s">
        <v>918</v>
      </c>
      <c r="J2985" s="86">
        <f>M3004</f>
        <v>987.50760000000014</v>
      </c>
      <c r="K2985" s="83" t="s">
        <v>609</v>
      </c>
      <c r="L2985" s="86">
        <f>M3013</f>
        <v>0</v>
      </c>
      <c r="M2985" s="83" t="s">
        <v>610</v>
      </c>
      <c r="N2985" s="86">
        <f>M3022</f>
        <v>19750.152000000002</v>
      </c>
    </row>
    <row r="2986" spans="1:14" ht="12.75" customHeight="1" x14ac:dyDescent="0.25">
      <c r="A2986" s="87"/>
      <c r="B2986" s="87"/>
      <c r="C2986" s="87"/>
      <c r="D2986" s="87"/>
      <c r="E2986" s="87"/>
      <c r="F2986" s="87"/>
      <c r="G2986" s="87"/>
      <c r="J2986" s="87"/>
      <c r="K2986" s="215" t="s">
        <v>3217</v>
      </c>
      <c r="L2986" s="215">
        <f>+F2985*presup!$O$5</f>
        <v>363823.73248000001</v>
      </c>
      <c r="M2986" s="87"/>
      <c r="N2986" s="87"/>
    </row>
    <row r="2987" spans="1:14" ht="12.75" customHeight="1" x14ac:dyDescent="0.2">
      <c r="A2987" s="398" t="s">
        <v>919</v>
      </c>
      <c r="B2987" s="271"/>
      <c r="C2987" s="271"/>
      <c r="D2987" s="271"/>
      <c r="E2987" s="271"/>
      <c r="F2987" s="271"/>
      <c r="G2987" s="271"/>
      <c r="H2987" s="271"/>
      <c r="I2987" s="271"/>
      <c r="J2987" s="271"/>
      <c r="K2987" s="271"/>
      <c r="L2987" s="271"/>
      <c r="M2987" s="271"/>
      <c r="N2987" s="273"/>
    </row>
    <row r="2988" spans="1:14" ht="12.75" customHeight="1" x14ac:dyDescent="0.2">
      <c r="A2988" s="396" t="s">
        <v>76</v>
      </c>
      <c r="B2988" s="271"/>
      <c r="C2988" s="271"/>
      <c r="D2988" s="271"/>
      <c r="E2988" s="271"/>
      <c r="F2988" s="271"/>
      <c r="G2988" s="273"/>
      <c r="H2988" s="88" t="s">
        <v>77</v>
      </c>
      <c r="I2988" s="399" t="s">
        <v>920</v>
      </c>
      <c r="J2988" s="273"/>
      <c r="K2988" s="399" t="s">
        <v>453</v>
      </c>
      <c r="L2988" s="273"/>
      <c r="M2988" s="399" t="s">
        <v>921</v>
      </c>
      <c r="N2988" s="273"/>
    </row>
    <row r="2989" spans="1:14" ht="12.75" customHeight="1" x14ac:dyDescent="0.2">
      <c r="A2989" s="403" t="s">
        <v>1110</v>
      </c>
      <c r="B2989" s="271"/>
      <c r="C2989" s="271"/>
      <c r="D2989" s="271"/>
      <c r="E2989" s="271"/>
      <c r="F2989" s="271"/>
      <c r="G2989" s="273"/>
      <c r="H2989" s="29" t="str">
        <f t="shared" ref="H2989:H2994" si="405">IF(A2989="","",VLOOKUP(A2989,AA_Materiales,7,FALSE))</f>
        <v>Unidad</v>
      </c>
      <c r="I2989" s="394">
        <f t="shared" ref="I2989:I2994" si="406">IF(A2989="","",VLOOKUP(A2989,AA_Materiales,8,FALSE))</f>
        <v>258000</v>
      </c>
      <c r="J2989" s="273"/>
      <c r="K2989" s="395">
        <v>1</v>
      </c>
      <c r="L2989" s="273"/>
      <c r="M2989" s="394">
        <f t="shared" ref="M2989:M2994" si="407">IF(A2989="","",I2989*K2989)</f>
        <v>258000</v>
      </c>
      <c r="N2989" s="273"/>
    </row>
    <row r="2990" spans="1:14" ht="12.75" customHeight="1" x14ac:dyDescent="0.2">
      <c r="A2990" s="403" t="s">
        <v>1111</v>
      </c>
      <c r="B2990" s="271"/>
      <c r="C2990" s="271"/>
      <c r="D2990" s="271"/>
      <c r="E2990" s="271"/>
      <c r="F2990" s="271"/>
      <c r="G2990" s="273"/>
      <c r="H2990" s="29" t="str">
        <f t="shared" si="405"/>
        <v>Unidad</v>
      </c>
      <c r="I2990" s="394">
        <f t="shared" si="406"/>
        <v>22535</v>
      </c>
      <c r="J2990" s="273"/>
      <c r="K2990" s="395">
        <v>0.05</v>
      </c>
      <c r="L2990" s="273"/>
      <c r="M2990" s="394">
        <f t="shared" si="407"/>
        <v>1126.75</v>
      </c>
      <c r="N2990" s="273"/>
    </row>
    <row r="2991" spans="1:14" ht="12.75" customHeight="1" x14ac:dyDescent="0.2">
      <c r="A2991" s="403"/>
      <c r="B2991" s="271"/>
      <c r="C2991" s="271"/>
      <c r="D2991" s="271"/>
      <c r="E2991" s="271"/>
      <c r="F2991" s="271"/>
      <c r="G2991" s="273"/>
      <c r="H2991" s="29" t="str">
        <f t="shared" si="405"/>
        <v/>
      </c>
      <c r="I2991" s="394" t="str">
        <f t="shared" si="406"/>
        <v/>
      </c>
      <c r="J2991" s="273"/>
      <c r="K2991" s="395"/>
      <c r="L2991" s="273"/>
      <c r="M2991" s="394" t="str">
        <f t="shared" si="407"/>
        <v/>
      </c>
      <c r="N2991" s="273"/>
    </row>
    <row r="2992" spans="1:14" ht="12.75" customHeight="1" x14ac:dyDescent="0.2">
      <c r="A2992" s="403"/>
      <c r="B2992" s="271"/>
      <c r="C2992" s="271"/>
      <c r="D2992" s="271"/>
      <c r="E2992" s="271"/>
      <c r="F2992" s="271"/>
      <c r="G2992" s="273"/>
      <c r="H2992" s="29" t="str">
        <f t="shared" si="405"/>
        <v/>
      </c>
      <c r="I2992" s="394" t="str">
        <f t="shared" si="406"/>
        <v/>
      </c>
      <c r="J2992" s="273"/>
      <c r="K2992" s="395"/>
      <c r="L2992" s="273"/>
      <c r="M2992" s="394" t="str">
        <f t="shared" si="407"/>
        <v/>
      </c>
      <c r="N2992" s="273"/>
    </row>
    <row r="2993" spans="1:14" ht="12.75" customHeight="1" x14ac:dyDescent="0.2">
      <c r="A2993" s="403"/>
      <c r="B2993" s="271"/>
      <c r="C2993" s="271"/>
      <c r="D2993" s="271"/>
      <c r="E2993" s="271"/>
      <c r="F2993" s="271"/>
      <c r="G2993" s="273"/>
      <c r="H2993" s="29" t="str">
        <f t="shared" si="405"/>
        <v/>
      </c>
      <c r="I2993" s="394" t="str">
        <f t="shared" si="406"/>
        <v/>
      </c>
      <c r="J2993" s="273"/>
      <c r="K2993" s="395"/>
      <c r="L2993" s="273"/>
      <c r="M2993" s="394" t="str">
        <f t="shared" si="407"/>
        <v/>
      </c>
      <c r="N2993" s="273"/>
    </row>
    <row r="2994" spans="1:14" ht="12.75" customHeight="1" x14ac:dyDescent="0.2">
      <c r="A2994" s="403"/>
      <c r="B2994" s="271"/>
      <c r="C2994" s="271"/>
      <c r="D2994" s="271"/>
      <c r="E2994" s="271"/>
      <c r="F2994" s="271"/>
      <c r="G2994" s="273"/>
      <c r="H2994" s="29" t="str">
        <f t="shared" si="405"/>
        <v/>
      </c>
      <c r="I2994" s="394" t="str">
        <f t="shared" si="406"/>
        <v/>
      </c>
      <c r="J2994" s="273"/>
      <c r="K2994" s="395"/>
      <c r="L2994" s="273"/>
      <c r="M2994" s="394" t="str">
        <f t="shared" si="407"/>
        <v/>
      </c>
      <c r="N2994" s="273"/>
    </row>
    <row r="2995" spans="1:14" ht="12.75" customHeight="1" x14ac:dyDescent="0.25">
      <c r="A2995" s="4"/>
      <c r="B2995" s="4"/>
      <c r="C2995" s="4"/>
      <c r="D2995" s="4"/>
      <c r="E2995" s="4"/>
      <c r="F2995" s="4"/>
      <c r="G2995" s="4"/>
      <c r="H2995" s="4"/>
      <c r="I2995" s="4"/>
      <c r="J2995" s="4"/>
      <c r="K2995" s="396" t="s">
        <v>444</v>
      </c>
      <c r="L2995" s="273"/>
      <c r="M2995" s="394">
        <f>SUM(M2989:N2994)</f>
        <v>259126.75</v>
      </c>
      <c r="N2995" s="273"/>
    </row>
    <row r="2996" spans="1:14" ht="12.75" customHeight="1" x14ac:dyDescent="0.25">
      <c r="A2996" s="4"/>
      <c r="B2996" s="4"/>
      <c r="C2996" s="4"/>
      <c r="D2996" s="4"/>
      <c r="E2996" s="4"/>
      <c r="F2996" s="4"/>
      <c r="G2996" s="4"/>
      <c r="H2996" s="4"/>
      <c r="I2996" s="4"/>
      <c r="J2996" s="4"/>
      <c r="K2996" s="4"/>
      <c r="L2996" s="4"/>
      <c r="M2996" s="4"/>
      <c r="N2996" s="4"/>
    </row>
    <row r="2997" spans="1:14" ht="12.75" customHeight="1" x14ac:dyDescent="0.2">
      <c r="A2997" s="398" t="s">
        <v>926</v>
      </c>
      <c r="B2997" s="271"/>
      <c r="C2997" s="271"/>
      <c r="D2997" s="271"/>
      <c r="E2997" s="271"/>
      <c r="F2997" s="271"/>
      <c r="G2997" s="271"/>
      <c r="H2997" s="271"/>
      <c r="I2997" s="271"/>
      <c r="J2997" s="271"/>
      <c r="K2997" s="271"/>
      <c r="L2997" s="271"/>
      <c r="M2997" s="271"/>
      <c r="N2997" s="273"/>
    </row>
    <row r="2998" spans="1:14" ht="12.75" customHeight="1" x14ac:dyDescent="0.2">
      <c r="A2998" s="396" t="s">
        <v>76</v>
      </c>
      <c r="B2998" s="271"/>
      <c r="C2998" s="271"/>
      <c r="D2998" s="271"/>
      <c r="E2998" s="271"/>
      <c r="F2998" s="271"/>
      <c r="G2998" s="273"/>
      <c r="H2998" s="88" t="s">
        <v>77</v>
      </c>
      <c r="I2998" s="399" t="s">
        <v>920</v>
      </c>
      <c r="J2998" s="273"/>
      <c r="K2998" s="399" t="s">
        <v>453</v>
      </c>
      <c r="L2998" s="273"/>
      <c r="M2998" s="399" t="s">
        <v>921</v>
      </c>
      <c r="N2998" s="273"/>
    </row>
    <row r="2999" spans="1:14" ht="12.75" customHeight="1" x14ac:dyDescent="0.2">
      <c r="A2999" s="400" t="s">
        <v>927</v>
      </c>
      <c r="B2999" s="271"/>
      <c r="C2999" s="271"/>
      <c r="D2999" s="271"/>
      <c r="E2999" s="271"/>
      <c r="F2999" s="271"/>
      <c r="G2999" s="273"/>
      <c r="H2999" s="29" t="str">
        <f>IF(A2999="","",VLOOKUP(A2999,AA_Equipos,7,FALSE))</f>
        <v>% M.O.</v>
      </c>
      <c r="I2999" s="394">
        <f>+M3022</f>
        <v>19750.152000000002</v>
      </c>
      <c r="J2999" s="273"/>
      <c r="K2999" s="404">
        <v>0.05</v>
      </c>
      <c r="L2999" s="273"/>
      <c r="M2999" s="394">
        <f t="shared" ref="M2999:M3003" si="408">IF(A2999="","",I2999*K2999)</f>
        <v>987.50760000000014</v>
      </c>
      <c r="N2999" s="273"/>
    </row>
    <row r="3000" spans="1:14" ht="12.75" customHeight="1" x14ac:dyDescent="0.2">
      <c r="A3000" s="403"/>
      <c r="B3000" s="271"/>
      <c r="C3000" s="271"/>
      <c r="D3000" s="271"/>
      <c r="E3000" s="271"/>
      <c r="F3000" s="271"/>
      <c r="G3000" s="273"/>
      <c r="H3000" s="29" t="str">
        <f>IF(A3000="","",VLOOKUP(A3000,AA_Equipos,7,FALSE))</f>
        <v/>
      </c>
      <c r="I3000" s="394" t="str">
        <f>IF(A3000="","",VLOOKUP(A3000,AA_Equipos,8,FALSE))</f>
        <v/>
      </c>
      <c r="J3000" s="273"/>
      <c r="K3000" s="402"/>
      <c r="L3000" s="273"/>
      <c r="M3000" s="394" t="str">
        <f t="shared" si="408"/>
        <v/>
      </c>
      <c r="N3000" s="273"/>
    </row>
    <row r="3001" spans="1:14" ht="12.75" customHeight="1" x14ac:dyDescent="0.2">
      <c r="A3001" s="400"/>
      <c r="B3001" s="271"/>
      <c r="C3001" s="271"/>
      <c r="D3001" s="271"/>
      <c r="E3001" s="271"/>
      <c r="F3001" s="271"/>
      <c r="G3001" s="273"/>
      <c r="H3001" s="29" t="str">
        <f>IF(A3001="","",VLOOKUP(A3001,AA_Equipos,7,FALSE))</f>
        <v/>
      </c>
      <c r="I3001" s="394" t="str">
        <f>IF(A3001="","",VLOOKUP(A3001,AA_Equipos,8,FALSE))</f>
        <v/>
      </c>
      <c r="J3001" s="273"/>
      <c r="K3001" s="401"/>
      <c r="L3001" s="273"/>
      <c r="M3001" s="394" t="str">
        <f t="shared" si="408"/>
        <v/>
      </c>
      <c r="N3001" s="273"/>
    </row>
    <row r="3002" spans="1:14" ht="12.75" customHeight="1" x14ac:dyDescent="0.2">
      <c r="A3002" s="400"/>
      <c r="B3002" s="271"/>
      <c r="C3002" s="271"/>
      <c r="D3002" s="271"/>
      <c r="E3002" s="271"/>
      <c r="F3002" s="271"/>
      <c r="G3002" s="273"/>
      <c r="H3002" s="29" t="str">
        <f>IF(A3002="","",VLOOKUP(A3002,AA_Equipos,7,FALSE))</f>
        <v/>
      </c>
      <c r="I3002" s="394" t="str">
        <f>IF(A3002="","",VLOOKUP(A3002,AA_Equipos,8,FALSE))</f>
        <v/>
      </c>
      <c r="J3002" s="273"/>
      <c r="K3002" s="395"/>
      <c r="L3002" s="273"/>
      <c r="M3002" s="394" t="str">
        <f t="shared" si="408"/>
        <v/>
      </c>
      <c r="N3002" s="273"/>
    </row>
    <row r="3003" spans="1:14" ht="12.75" customHeight="1" x14ac:dyDescent="0.2">
      <c r="A3003" s="400"/>
      <c r="B3003" s="271"/>
      <c r="C3003" s="271"/>
      <c r="D3003" s="271"/>
      <c r="E3003" s="271"/>
      <c r="F3003" s="271"/>
      <c r="G3003" s="273"/>
      <c r="H3003" s="29" t="str">
        <f>IF(A3003="","",VLOOKUP(A3003,AA_Equipos,7,FALSE))</f>
        <v/>
      </c>
      <c r="I3003" s="394" t="str">
        <f>IF(A3003="","",VLOOKUP(A3003,AA_Equipos,8,FALSE))</f>
        <v/>
      </c>
      <c r="J3003" s="273"/>
      <c r="K3003" s="395"/>
      <c r="L3003" s="273"/>
      <c r="M3003" s="394" t="str">
        <f t="shared" si="408"/>
        <v/>
      </c>
      <c r="N3003" s="273"/>
    </row>
    <row r="3004" spans="1:14" ht="12.75" customHeight="1" x14ac:dyDescent="0.25">
      <c r="A3004" s="4"/>
      <c r="B3004" s="4"/>
      <c r="C3004" s="4"/>
      <c r="D3004" s="4"/>
      <c r="E3004" s="4"/>
      <c r="F3004" s="4"/>
      <c r="G3004" s="4"/>
      <c r="H3004" s="4"/>
      <c r="I3004" s="4"/>
      <c r="J3004" s="4"/>
      <c r="K3004" s="396" t="s">
        <v>444</v>
      </c>
      <c r="L3004" s="273"/>
      <c r="M3004" s="394">
        <f>SUM(M2999:N3003)</f>
        <v>987.50760000000014</v>
      </c>
      <c r="N3004" s="273"/>
    </row>
    <row r="3005" spans="1:14" ht="12.75" customHeight="1" x14ac:dyDescent="0.25">
      <c r="A3005" s="4"/>
      <c r="B3005" s="4"/>
      <c r="C3005" s="4"/>
      <c r="D3005" s="4"/>
      <c r="E3005" s="4"/>
      <c r="F3005" s="4"/>
      <c r="G3005" s="4"/>
      <c r="H3005" s="4"/>
      <c r="I3005" s="4"/>
      <c r="J3005" s="4"/>
      <c r="K3005" s="4"/>
      <c r="L3005" s="4"/>
      <c r="M3005" s="4"/>
      <c r="N3005" s="4"/>
    </row>
    <row r="3006" spans="1:14" ht="12.75" customHeight="1" x14ac:dyDescent="0.2">
      <c r="A3006" s="398" t="s">
        <v>929</v>
      </c>
      <c r="B3006" s="271"/>
      <c r="C3006" s="271"/>
      <c r="D3006" s="271"/>
      <c r="E3006" s="271"/>
      <c r="F3006" s="271"/>
      <c r="G3006" s="271"/>
      <c r="H3006" s="271"/>
      <c r="I3006" s="271"/>
      <c r="J3006" s="271"/>
      <c r="K3006" s="271"/>
      <c r="L3006" s="271"/>
      <c r="M3006" s="271"/>
      <c r="N3006" s="273"/>
    </row>
    <row r="3007" spans="1:14" ht="12.75" customHeight="1" x14ac:dyDescent="0.2">
      <c r="A3007" s="396" t="s">
        <v>76</v>
      </c>
      <c r="B3007" s="271"/>
      <c r="C3007" s="271"/>
      <c r="D3007" s="271"/>
      <c r="E3007" s="271"/>
      <c r="F3007" s="271"/>
      <c r="G3007" s="273"/>
      <c r="H3007" s="88" t="s">
        <v>77</v>
      </c>
      <c r="I3007" s="399" t="s">
        <v>920</v>
      </c>
      <c r="J3007" s="273"/>
      <c r="K3007" s="399" t="s">
        <v>453</v>
      </c>
      <c r="L3007" s="273"/>
      <c r="M3007" s="399" t="s">
        <v>921</v>
      </c>
      <c r="N3007" s="273"/>
    </row>
    <row r="3008" spans="1:14" ht="12.75" customHeight="1" x14ac:dyDescent="0.2">
      <c r="A3008" s="400" t="s">
        <v>966</v>
      </c>
      <c r="B3008" s="271"/>
      <c r="C3008" s="271"/>
      <c r="D3008" s="271"/>
      <c r="E3008" s="271"/>
      <c r="F3008" s="271"/>
      <c r="G3008" s="273"/>
      <c r="H3008" s="29"/>
      <c r="I3008" s="394"/>
      <c r="J3008" s="273"/>
      <c r="K3008" s="417"/>
      <c r="L3008" s="273"/>
      <c r="M3008" s="394">
        <f t="shared" ref="M3008:M3012" si="409">IF(A3008="","",I3008*K3008)</f>
        <v>0</v>
      </c>
      <c r="N3008" s="273"/>
    </row>
    <row r="3009" spans="1:14" ht="12.75" customHeight="1" x14ac:dyDescent="0.2">
      <c r="A3009" s="403"/>
      <c r="B3009" s="271"/>
      <c r="C3009" s="271"/>
      <c r="D3009" s="271"/>
      <c r="E3009" s="271"/>
      <c r="F3009" s="271"/>
      <c r="G3009" s="273"/>
      <c r="H3009" s="29"/>
      <c r="I3009" s="394"/>
      <c r="J3009" s="273"/>
      <c r="K3009" s="404"/>
      <c r="L3009" s="273"/>
      <c r="M3009" s="394" t="str">
        <f t="shared" si="409"/>
        <v/>
      </c>
      <c r="N3009" s="273"/>
    </row>
    <row r="3010" spans="1:14" ht="12.75" customHeight="1" x14ac:dyDescent="0.2">
      <c r="A3010" s="400"/>
      <c r="B3010" s="271"/>
      <c r="C3010" s="271"/>
      <c r="D3010" s="271"/>
      <c r="E3010" s="271"/>
      <c r="F3010" s="271"/>
      <c r="G3010" s="273"/>
      <c r="H3010" s="29"/>
      <c r="I3010" s="394"/>
      <c r="J3010" s="273"/>
      <c r="K3010" s="395"/>
      <c r="L3010" s="273"/>
      <c r="M3010" s="394" t="str">
        <f t="shared" si="409"/>
        <v/>
      </c>
      <c r="N3010" s="273"/>
    </row>
    <row r="3011" spans="1:14" ht="12.75" customHeight="1" x14ac:dyDescent="0.2">
      <c r="A3011" s="400"/>
      <c r="B3011" s="271"/>
      <c r="C3011" s="271"/>
      <c r="D3011" s="271"/>
      <c r="E3011" s="271"/>
      <c r="F3011" s="271"/>
      <c r="G3011" s="273"/>
      <c r="H3011" s="29"/>
      <c r="I3011" s="394"/>
      <c r="J3011" s="273"/>
      <c r="K3011" s="395"/>
      <c r="L3011" s="273"/>
      <c r="M3011" s="394" t="str">
        <f t="shared" si="409"/>
        <v/>
      </c>
      <c r="N3011" s="273"/>
    </row>
    <row r="3012" spans="1:14" ht="12.75" customHeight="1" x14ac:dyDescent="0.2">
      <c r="A3012" s="400"/>
      <c r="B3012" s="271"/>
      <c r="C3012" s="271"/>
      <c r="D3012" s="271"/>
      <c r="E3012" s="271"/>
      <c r="F3012" s="271"/>
      <c r="G3012" s="273"/>
      <c r="H3012" s="29"/>
      <c r="I3012" s="394"/>
      <c r="J3012" s="273"/>
      <c r="K3012" s="395"/>
      <c r="L3012" s="273"/>
      <c r="M3012" s="394" t="str">
        <f t="shared" si="409"/>
        <v/>
      </c>
      <c r="N3012" s="273"/>
    </row>
    <row r="3013" spans="1:14" ht="12.75" customHeight="1" x14ac:dyDescent="0.25">
      <c r="A3013" s="4"/>
      <c r="B3013" s="4"/>
      <c r="C3013" s="4"/>
      <c r="D3013" s="4"/>
      <c r="E3013" s="4"/>
      <c r="F3013" s="4"/>
      <c r="G3013" s="4"/>
      <c r="H3013" s="4"/>
      <c r="I3013" s="4"/>
      <c r="J3013" s="4"/>
      <c r="K3013" s="396" t="s">
        <v>444</v>
      </c>
      <c r="L3013" s="273"/>
      <c r="M3013" s="394">
        <f>SUM(M3008:N3012)</f>
        <v>0</v>
      </c>
      <c r="N3013" s="273"/>
    </row>
    <row r="3014" spans="1:14" ht="12.75" customHeight="1" x14ac:dyDescent="0.25">
      <c r="A3014" s="4"/>
      <c r="B3014" s="4"/>
      <c r="C3014" s="4"/>
      <c r="D3014" s="4"/>
      <c r="E3014" s="4"/>
      <c r="F3014" s="4"/>
      <c r="G3014" s="4"/>
      <c r="H3014" s="4"/>
      <c r="I3014" s="4"/>
      <c r="J3014" s="4"/>
      <c r="K3014" s="4"/>
      <c r="L3014" s="4"/>
      <c r="M3014" s="4"/>
      <c r="N3014" s="4"/>
    </row>
    <row r="3015" spans="1:14" ht="12.75" customHeight="1" x14ac:dyDescent="0.2">
      <c r="A3015" s="398" t="s">
        <v>931</v>
      </c>
      <c r="B3015" s="271"/>
      <c r="C3015" s="271"/>
      <c r="D3015" s="271"/>
      <c r="E3015" s="271"/>
      <c r="F3015" s="271"/>
      <c r="G3015" s="271"/>
      <c r="H3015" s="271"/>
      <c r="I3015" s="271"/>
      <c r="J3015" s="271"/>
      <c r="K3015" s="271"/>
      <c r="L3015" s="271"/>
      <c r="M3015" s="271"/>
      <c r="N3015" s="273"/>
    </row>
    <row r="3016" spans="1:14" ht="12.75" customHeight="1" x14ac:dyDescent="0.2">
      <c r="A3016" s="396" t="s">
        <v>76</v>
      </c>
      <c r="B3016" s="271"/>
      <c r="C3016" s="271"/>
      <c r="D3016" s="271"/>
      <c r="E3016" s="271"/>
      <c r="F3016" s="271"/>
      <c r="G3016" s="273"/>
      <c r="H3016" s="88" t="s">
        <v>77</v>
      </c>
      <c r="I3016" s="399" t="s">
        <v>920</v>
      </c>
      <c r="J3016" s="273"/>
      <c r="K3016" s="90" t="s">
        <v>514</v>
      </c>
      <c r="L3016" s="91" t="s">
        <v>932</v>
      </c>
      <c r="M3016" s="399" t="s">
        <v>921</v>
      </c>
      <c r="N3016" s="273"/>
    </row>
    <row r="3017" spans="1:14" ht="12.75" customHeight="1" x14ac:dyDescent="0.25">
      <c r="A3017" s="393" t="s">
        <v>1112</v>
      </c>
      <c r="B3017" s="271"/>
      <c r="C3017" s="271"/>
      <c r="D3017" s="271"/>
      <c r="E3017" s="271"/>
      <c r="F3017" s="271"/>
      <c r="G3017" s="273"/>
      <c r="H3017" s="29" t="str">
        <f>IF(A3017="","",VLOOKUP(A3017,AA_Cuadrillas,4,FALSE))</f>
        <v>Cuadrilla</v>
      </c>
      <c r="I3017" s="394">
        <f>IF(A3017="","",VLOOKUP(A3017,AA_Cuadrillas,5,FALSE))</f>
        <v>210108</v>
      </c>
      <c r="J3017" s="273"/>
      <c r="K3017" s="9">
        <f>IF(A3017="","",F.P!$I$2)</f>
        <v>1.88</v>
      </c>
      <c r="L3017" s="97">
        <v>0.05</v>
      </c>
      <c r="M3017" s="394">
        <f t="shared" ref="M3017:M3021" si="410">IF(A3017="","",I3017*K3017*L3017)</f>
        <v>19750.152000000002</v>
      </c>
      <c r="N3017" s="273"/>
    </row>
    <row r="3018" spans="1:14" ht="12.75" customHeight="1" x14ac:dyDescent="0.25">
      <c r="A3018" s="393"/>
      <c r="B3018" s="271"/>
      <c r="C3018" s="271"/>
      <c r="D3018" s="271"/>
      <c r="E3018" s="271"/>
      <c r="F3018" s="271"/>
      <c r="G3018" s="273"/>
      <c r="H3018" s="29" t="str">
        <f>IF(A3018="","",VLOOKUP(A3018,AA_Cuadrillas,4,FALSE))</f>
        <v/>
      </c>
      <c r="I3018" s="394" t="str">
        <f>IF(A3018="","",VLOOKUP(A3018,AA_Cuadrillas,5,FALSE))</f>
        <v/>
      </c>
      <c r="J3018" s="273"/>
      <c r="K3018" s="9" t="str">
        <f>IF(A3018="","",F.P!$I$2)</f>
        <v/>
      </c>
      <c r="L3018" s="9"/>
      <c r="M3018" s="394" t="str">
        <f t="shared" si="410"/>
        <v/>
      </c>
      <c r="N3018" s="273"/>
    </row>
    <row r="3019" spans="1:14" ht="12.75" customHeight="1" x14ac:dyDescent="0.25">
      <c r="A3019" s="393"/>
      <c r="B3019" s="271"/>
      <c r="C3019" s="271"/>
      <c r="D3019" s="271"/>
      <c r="E3019" s="271"/>
      <c r="F3019" s="271"/>
      <c r="G3019" s="273"/>
      <c r="H3019" s="29" t="str">
        <f>IF(A3019="","",VLOOKUP(A3019,AA_Cuadrillas,4,FALSE))</f>
        <v/>
      </c>
      <c r="I3019" s="394" t="str">
        <f>IF(A3019="","",VLOOKUP(A3019,AA_Cuadrillas,5,FALSE))</f>
        <v/>
      </c>
      <c r="J3019" s="273"/>
      <c r="K3019" s="9" t="str">
        <f>IF(A3019="","",F.P!$I$2)</f>
        <v/>
      </c>
      <c r="L3019" s="37"/>
      <c r="M3019" s="394" t="str">
        <f t="shared" si="410"/>
        <v/>
      </c>
      <c r="N3019" s="273"/>
    </row>
    <row r="3020" spans="1:14" ht="12.75" customHeight="1" x14ac:dyDescent="0.25">
      <c r="A3020" s="393"/>
      <c r="B3020" s="271"/>
      <c r="C3020" s="271"/>
      <c r="D3020" s="271"/>
      <c r="E3020" s="271"/>
      <c r="F3020" s="271"/>
      <c r="G3020" s="273"/>
      <c r="H3020" s="29" t="str">
        <f>IF(A3020="","",VLOOKUP(A3020,AA_Cuadrillas,4,FALSE))</f>
        <v/>
      </c>
      <c r="I3020" s="394" t="str">
        <f>IF(A3020="","",VLOOKUP(A3020,AA_Cuadrillas,5,FALSE))</f>
        <v/>
      </c>
      <c r="J3020" s="273"/>
      <c r="K3020" s="9" t="str">
        <f>IF(A3020="","",F.P!$I$2)</f>
        <v/>
      </c>
      <c r="L3020" s="37"/>
      <c r="M3020" s="394" t="str">
        <f t="shared" si="410"/>
        <v/>
      </c>
      <c r="N3020" s="273"/>
    </row>
    <row r="3021" spans="1:14" ht="12.75" customHeight="1" x14ac:dyDescent="0.25">
      <c r="A3021" s="393"/>
      <c r="B3021" s="271"/>
      <c r="C3021" s="271"/>
      <c r="D3021" s="271"/>
      <c r="E3021" s="271"/>
      <c r="F3021" s="271"/>
      <c r="G3021" s="273"/>
      <c r="H3021" s="29" t="str">
        <f>IF(A3021="","",VLOOKUP(A3021,AA_Cuadrillas,4,FALSE))</f>
        <v/>
      </c>
      <c r="I3021" s="394" t="str">
        <f>IF(A3021="","",VLOOKUP(A3021,AA_Cuadrillas,5,FALSE))</f>
        <v/>
      </c>
      <c r="J3021" s="273"/>
      <c r="K3021" s="9" t="str">
        <f>IF(A3021="","",F.P!$I$2)</f>
        <v/>
      </c>
      <c r="L3021" s="37"/>
      <c r="M3021" s="394" t="str">
        <f t="shared" si="410"/>
        <v/>
      </c>
      <c r="N3021" s="273"/>
    </row>
    <row r="3022" spans="1:14" ht="12.75" customHeight="1" x14ac:dyDescent="0.25">
      <c r="A3022" s="4"/>
      <c r="B3022" s="4"/>
      <c r="C3022" s="4"/>
      <c r="D3022" s="4"/>
      <c r="E3022" s="4"/>
      <c r="F3022" s="4"/>
      <c r="G3022" s="4"/>
      <c r="H3022" s="4"/>
      <c r="I3022" s="4"/>
      <c r="J3022" s="4"/>
      <c r="K3022" s="396" t="s">
        <v>444</v>
      </c>
      <c r="L3022" s="273"/>
      <c r="M3022" s="394">
        <f>SUM(M3017:N3021)</f>
        <v>19750.152000000002</v>
      </c>
      <c r="N3022" s="273"/>
    </row>
    <row r="3023" spans="1:14" ht="12.75" customHeight="1" x14ac:dyDescent="0.2"/>
    <row r="3024" spans="1:14" ht="12.75" customHeight="1" x14ac:dyDescent="0.2">
      <c r="A3024" s="407" t="s">
        <v>1113</v>
      </c>
      <c r="B3024" s="275"/>
      <c r="C3024" s="275"/>
      <c r="D3024" s="275"/>
      <c r="E3024" s="275"/>
      <c r="F3024" s="275"/>
      <c r="G3024" s="275"/>
      <c r="H3024" s="275"/>
      <c r="I3024" s="275"/>
      <c r="J3024" s="275"/>
      <c r="K3024" s="275"/>
      <c r="L3024" s="275"/>
      <c r="M3024" s="275"/>
      <c r="N3024" s="276"/>
    </row>
    <row r="3025" spans="1:15" ht="12.75" customHeight="1" x14ac:dyDescent="0.2">
      <c r="A3025" s="277"/>
      <c r="B3025" s="278"/>
      <c r="C3025" s="278"/>
      <c r="D3025" s="278"/>
      <c r="E3025" s="278"/>
      <c r="F3025" s="278"/>
      <c r="G3025" s="278"/>
      <c r="H3025" s="278"/>
      <c r="I3025" s="278"/>
      <c r="J3025" s="278"/>
      <c r="K3025" s="278"/>
      <c r="L3025" s="278"/>
      <c r="M3025" s="278"/>
      <c r="N3025" s="279"/>
    </row>
    <row r="3026" spans="1:15" ht="12.75" customHeight="1" x14ac:dyDescent="0.2">
      <c r="A3026" s="75"/>
      <c r="B3026" s="75"/>
      <c r="C3026" s="75"/>
      <c r="D3026" s="75"/>
      <c r="E3026" s="75"/>
      <c r="F3026" s="75"/>
      <c r="G3026" s="75"/>
      <c r="H3026" s="75"/>
      <c r="I3026" s="75"/>
      <c r="J3026" s="75"/>
      <c r="K3026" s="75"/>
      <c r="L3026" s="75"/>
      <c r="M3026" s="75"/>
      <c r="N3026" s="75"/>
    </row>
    <row r="3027" spans="1:15" ht="12.75" customHeight="1" x14ac:dyDescent="0.3">
      <c r="A3027" s="79" t="s">
        <v>684</v>
      </c>
      <c r="B3027" s="80" t="str">
        <f>A3024</f>
        <v>SUMINISTRO E INSTALACIÓN DE TEE Ø3" EN HIERRO DUCTIL (INCLUYE MATERIALES, HERRAMIENTAS Y MANO DE OBRA)</v>
      </c>
      <c r="C3027" s="81" t="s">
        <v>916</v>
      </c>
      <c r="D3027" s="82" t="s">
        <v>999</v>
      </c>
      <c r="E3027" s="83" t="s">
        <v>445</v>
      </c>
      <c r="F3027" s="257">
        <f>H3027+J3027+L3027+N3027</f>
        <v>440864.40960000001</v>
      </c>
      <c r="G3027" s="83" t="s">
        <v>607</v>
      </c>
      <c r="H3027" s="86">
        <f>M3037</f>
        <v>420126.75</v>
      </c>
      <c r="I3027" s="83" t="s">
        <v>918</v>
      </c>
      <c r="J3027" s="86">
        <f>M3046</f>
        <v>987.50760000000014</v>
      </c>
      <c r="K3027" s="83" t="s">
        <v>609</v>
      </c>
      <c r="L3027" s="86">
        <f>M3055</f>
        <v>0</v>
      </c>
      <c r="M3027" s="83" t="s">
        <v>610</v>
      </c>
      <c r="N3027" s="86">
        <f>M3064</f>
        <v>19750.152000000002</v>
      </c>
    </row>
    <row r="3028" spans="1:15" ht="12.75" customHeight="1" x14ac:dyDescent="0.25">
      <c r="A3028" s="87"/>
      <c r="B3028" s="87"/>
      <c r="C3028" s="87"/>
      <c r="D3028" s="87"/>
      <c r="E3028" s="87"/>
      <c r="F3028" s="87"/>
      <c r="G3028" s="87"/>
      <c r="J3028" s="87"/>
      <c r="K3028" s="215" t="s">
        <v>3217</v>
      </c>
      <c r="L3028" s="215">
        <f>+F3027*presup!$O$5</f>
        <v>573123.73248000001</v>
      </c>
      <c r="M3028" s="87"/>
      <c r="N3028" s="87"/>
      <c r="O3028" t="s">
        <v>3243</v>
      </c>
    </row>
    <row r="3029" spans="1:15" ht="12.75" customHeight="1" x14ac:dyDescent="0.2">
      <c r="A3029" s="398" t="s">
        <v>919</v>
      </c>
      <c r="B3029" s="271"/>
      <c r="C3029" s="271"/>
      <c r="D3029" s="271"/>
      <c r="E3029" s="271"/>
      <c r="F3029" s="271"/>
      <c r="G3029" s="271"/>
      <c r="H3029" s="271"/>
      <c r="I3029" s="271"/>
      <c r="J3029" s="271"/>
      <c r="K3029" s="271"/>
      <c r="L3029" s="271"/>
      <c r="M3029" s="271"/>
      <c r="N3029" s="273"/>
    </row>
    <row r="3030" spans="1:15" ht="12.75" customHeight="1" x14ac:dyDescent="0.2">
      <c r="A3030" s="396" t="s">
        <v>76</v>
      </c>
      <c r="B3030" s="271"/>
      <c r="C3030" s="271"/>
      <c r="D3030" s="271"/>
      <c r="E3030" s="271"/>
      <c r="F3030" s="271"/>
      <c r="G3030" s="273"/>
      <c r="H3030" s="88" t="s">
        <v>77</v>
      </c>
      <c r="I3030" s="399" t="s">
        <v>920</v>
      </c>
      <c r="J3030" s="273"/>
      <c r="K3030" s="399" t="s">
        <v>453</v>
      </c>
      <c r="L3030" s="273"/>
      <c r="M3030" s="399" t="s">
        <v>921</v>
      </c>
      <c r="N3030" s="273"/>
    </row>
    <row r="3031" spans="1:15" ht="12.75" customHeight="1" x14ac:dyDescent="0.2">
      <c r="A3031" s="403" t="s">
        <v>1114</v>
      </c>
      <c r="B3031" s="271"/>
      <c r="C3031" s="271"/>
      <c r="D3031" s="271"/>
      <c r="E3031" s="271"/>
      <c r="F3031" s="271"/>
      <c r="G3031" s="273"/>
      <c r="H3031" s="29" t="str">
        <f t="shared" ref="H3031:H3036" si="411">IF(A3031="","",VLOOKUP(A3031,AA_Materiales,7,FALSE))</f>
        <v>Unidad</v>
      </c>
      <c r="I3031" s="394">
        <f t="shared" ref="I3031:I3036" si="412">IF(A3031="","",VLOOKUP(A3031,AA_Materiales,8,FALSE))</f>
        <v>419000</v>
      </c>
      <c r="J3031" s="273"/>
      <c r="K3031" s="395">
        <v>1</v>
      </c>
      <c r="L3031" s="273"/>
      <c r="M3031" s="394">
        <f t="shared" ref="M3031:M3036" si="413">IF(A3031="","",I3031*K3031)</f>
        <v>419000</v>
      </c>
      <c r="N3031" s="273"/>
    </row>
    <row r="3032" spans="1:15" ht="12.75" customHeight="1" x14ac:dyDescent="0.2">
      <c r="A3032" s="403" t="s">
        <v>1111</v>
      </c>
      <c r="B3032" s="271"/>
      <c r="C3032" s="271"/>
      <c r="D3032" s="271"/>
      <c r="E3032" s="271"/>
      <c r="F3032" s="271"/>
      <c r="G3032" s="273"/>
      <c r="H3032" s="29" t="str">
        <f t="shared" si="411"/>
        <v>Unidad</v>
      </c>
      <c r="I3032" s="394">
        <f t="shared" si="412"/>
        <v>22535</v>
      </c>
      <c r="J3032" s="273"/>
      <c r="K3032" s="395">
        <v>0.05</v>
      </c>
      <c r="L3032" s="273"/>
      <c r="M3032" s="394">
        <f t="shared" si="413"/>
        <v>1126.75</v>
      </c>
      <c r="N3032" s="273"/>
    </row>
    <row r="3033" spans="1:15" ht="12.75" customHeight="1" x14ac:dyDescent="0.2">
      <c r="A3033" s="403"/>
      <c r="B3033" s="271"/>
      <c r="C3033" s="271"/>
      <c r="D3033" s="271"/>
      <c r="E3033" s="271"/>
      <c r="F3033" s="271"/>
      <c r="G3033" s="273"/>
      <c r="H3033" s="29" t="str">
        <f t="shared" si="411"/>
        <v/>
      </c>
      <c r="I3033" s="394" t="str">
        <f t="shared" si="412"/>
        <v/>
      </c>
      <c r="J3033" s="273"/>
      <c r="K3033" s="395"/>
      <c r="L3033" s="273"/>
      <c r="M3033" s="394" t="str">
        <f t="shared" si="413"/>
        <v/>
      </c>
      <c r="N3033" s="273"/>
    </row>
    <row r="3034" spans="1:15" ht="12.75" customHeight="1" x14ac:dyDescent="0.2">
      <c r="A3034" s="403"/>
      <c r="B3034" s="271"/>
      <c r="C3034" s="271"/>
      <c r="D3034" s="271"/>
      <c r="E3034" s="271"/>
      <c r="F3034" s="271"/>
      <c r="G3034" s="273"/>
      <c r="H3034" s="29" t="str">
        <f t="shared" si="411"/>
        <v/>
      </c>
      <c r="I3034" s="394" t="str">
        <f t="shared" si="412"/>
        <v/>
      </c>
      <c r="J3034" s="273"/>
      <c r="K3034" s="395"/>
      <c r="L3034" s="273"/>
      <c r="M3034" s="394" t="str">
        <f t="shared" si="413"/>
        <v/>
      </c>
      <c r="N3034" s="273"/>
    </row>
    <row r="3035" spans="1:15" ht="12.75" customHeight="1" x14ac:dyDescent="0.2">
      <c r="A3035" s="403"/>
      <c r="B3035" s="271"/>
      <c r="C3035" s="271"/>
      <c r="D3035" s="271"/>
      <c r="E3035" s="271"/>
      <c r="F3035" s="271"/>
      <c r="G3035" s="273"/>
      <c r="H3035" s="29" t="str">
        <f t="shared" si="411"/>
        <v/>
      </c>
      <c r="I3035" s="394" t="str">
        <f t="shared" si="412"/>
        <v/>
      </c>
      <c r="J3035" s="273"/>
      <c r="K3035" s="395"/>
      <c r="L3035" s="273"/>
      <c r="M3035" s="394" t="str">
        <f t="shared" si="413"/>
        <v/>
      </c>
      <c r="N3035" s="273"/>
    </row>
    <row r="3036" spans="1:15" ht="12.75" customHeight="1" x14ac:dyDescent="0.2">
      <c r="A3036" s="403"/>
      <c r="B3036" s="271"/>
      <c r="C3036" s="271"/>
      <c r="D3036" s="271"/>
      <c r="E3036" s="271"/>
      <c r="F3036" s="271"/>
      <c r="G3036" s="273"/>
      <c r="H3036" s="29" t="str">
        <f t="shared" si="411"/>
        <v/>
      </c>
      <c r="I3036" s="394" t="str">
        <f t="shared" si="412"/>
        <v/>
      </c>
      <c r="J3036" s="273"/>
      <c r="K3036" s="395"/>
      <c r="L3036" s="273"/>
      <c r="M3036" s="394" t="str">
        <f t="shared" si="413"/>
        <v/>
      </c>
      <c r="N3036" s="273"/>
    </row>
    <row r="3037" spans="1:15" ht="12.75" customHeight="1" x14ac:dyDescent="0.25">
      <c r="A3037" s="4"/>
      <c r="B3037" s="4"/>
      <c r="C3037" s="4"/>
      <c r="D3037" s="4"/>
      <c r="E3037" s="4"/>
      <c r="F3037" s="4"/>
      <c r="G3037" s="4"/>
      <c r="H3037" s="4"/>
      <c r="I3037" s="4"/>
      <c r="J3037" s="4"/>
      <c r="K3037" s="396" t="s">
        <v>444</v>
      </c>
      <c r="L3037" s="273"/>
      <c r="M3037" s="394">
        <f>SUM(M3031:N3036)</f>
        <v>420126.75</v>
      </c>
      <c r="N3037" s="273"/>
    </row>
    <row r="3038" spans="1:15" ht="12.75" customHeight="1" x14ac:dyDescent="0.25">
      <c r="A3038" s="4"/>
      <c r="B3038" s="4"/>
      <c r="C3038" s="4"/>
      <c r="D3038" s="4"/>
      <c r="E3038" s="4"/>
      <c r="F3038" s="4"/>
      <c r="G3038" s="4"/>
      <c r="H3038" s="4"/>
      <c r="I3038" s="4"/>
      <c r="J3038" s="4"/>
      <c r="K3038" s="4"/>
      <c r="L3038" s="4"/>
      <c r="M3038" s="4"/>
      <c r="N3038" s="4"/>
    </row>
    <row r="3039" spans="1:15" ht="12.75" customHeight="1" x14ac:dyDescent="0.2">
      <c r="A3039" s="398" t="s">
        <v>926</v>
      </c>
      <c r="B3039" s="271"/>
      <c r="C3039" s="271"/>
      <c r="D3039" s="271"/>
      <c r="E3039" s="271"/>
      <c r="F3039" s="271"/>
      <c r="G3039" s="271"/>
      <c r="H3039" s="271"/>
      <c r="I3039" s="271"/>
      <c r="J3039" s="271"/>
      <c r="K3039" s="271"/>
      <c r="L3039" s="271"/>
      <c r="M3039" s="271"/>
      <c r="N3039" s="273"/>
    </row>
    <row r="3040" spans="1:15" ht="12.75" customHeight="1" x14ac:dyDescent="0.2">
      <c r="A3040" s="396" t="s">
        <v>76</v>
      </c>
      <c r="B3040" s="271"/>
      <c r="C3040" s="271"/>
      <c r="D3040" s="271"/>
      <c r="E3040" s="271"/>
      <c r="F3040" s="271"/>
      <c r="G3040" s="273"/>
      <c r="H3040" s="88" t="s">
        <v>77</v>
      </c>
      <c r="I3040" s="399" t="s">
        <v>920</v>
      </c>
      <c r="J3040" s="273"/>
      <c r="K3040" s="399" t="s">
        <v>453</v>
      </c>
      <c r="L3040" s="273"/>
      <c r="M3040" s="399" t="s">
        <v>921</v>
      </c>
      <c r="N3040" s="273"/>
    </row>
    <row r="3041" spans="1:14" ht="12.75" customHeight="1" x14ac:dyDescent="0.2">
      <c r="A3041" s="400" t="s">
        <v>927</v>
      </c>
      <c r="B3041" s="271"/>
      <c r="C3041" s="271"/>
      <c r="D3041" s="271"/>
      <c r="E3041" s="271"/>
      <c r="F3041" s="271"/>
      <c r="G3041" s="273"/>
      <c r="H3041" s="29" t="str">
        <f>IF(A3041="","",VLOOKUP(A3041,AA_Equipos,7,FALSE))</f>
        <v>% M.O.</v>
      </c>
      <c r="I3041" s="394">
        <f>+M3064</f>
        <v>19750.152000000002</v>
      </c>
      <c r="J3041" s="273"/>
      <c r="K3041" s="404">
        <v>0.05</v>
      </c>
      <c r="L3041" s="273"/>
      <c r="M3041" s="394">
        <f t="shared" ref="M3041:M3045" si="414">IF(A3041="","",I3041*K3041)</f>
        <v>987.50760000000014</v>
      </c>
      <c r="N3041" s="273"/>
    </row>
    <row r="3042" spans="1:14" ht="12.75" customHeight="1" x14ac:dyDescent="0.2">
      <c r="A3042" s="403"/>
      <c r="B3042" s="271"/>
      <c r="C3042" s="271"/>
      <c r="D3042" s="271"/>
      <c r="E3042" s="271"/>
      <c r="F3042" s="271"/>
      <c r="G3042" s="273"/>
      <c r="H3042" s="29" t="str">
        <f>IF(A3042="","",VLOOKUP(A3042,AA_Equipos,7,FALSE))</f>
        <v/>
      </c>
      <c r="I3042" s="394" t="str">
        <f>IF(A3042="","",VLOOKUP(A3042,AA_Equipos,8,FALSE))</f>
        <v/>
      </c>
      <c r="J3042" s="273"/>
      <c r="K3042" s="402"/>
      <c r="L3042" s="273"/>
      <c r="M3042" s="394" t="str">
        <f t="shared" si="414"/>
        <v/>
      </c>
      <c r="N3042" s="273"/>
    </row>
    <row r="3043" spans="1:14" ht="12.75" customHeight="1" x14ac:dyDescent="0.2">
      <c r="A3043" s="400"/>
      <c r="B3043" s="271"/>
      <c r="C3043" s="271"/>
      <c r="D3043" s="271"/>
      <c r="E3043" s="271"/>
      <c r="F3043" s="271"/>
      <c r="G3043" s="273"/>
      <c r="H3043" s="29" t="str">
        <f>IF(A3043="","",VLOOKUP(A3043,AA_Equipos,7,FALSE))</f>
        <v/>
      </c>
      <c r="I3043" s="394" t="str">
        <f>IF(A3043="","",VLOOKUP(A3043,AA_Equipos,8,FALSE))</f>
        <v/>
      </c>
      <c r="J3043" s="273"/>
      <c r="K3043" s="401"/>
      <c r="L3043" s="273"/>
      <c r="M3043" s="394" t="str">
        <f t="shared" si="414"/>
        <v/>
      </c>
      <c r="N3043" s="273"/>
    </row>
    <row r="3044" spans="1:14" ht="12.75" customHeight="1" x14ac:dyDescent="0.2">
      <c r="A3044" s="400"/>
      <c r="B3044" s="271"/>
      <c r="C3044" s="271"/>
      <c r="D3044" s="271"/>
      <c r="E3044" s="271"/>
      <c r="F3044" s="271"/>
      <c r="G3044" s="273"/>
      <c r="H3044" s="29" t="str">
        <f>IF(A3044="","",VLOOKUP(A3044,AA_Equipos,7,FALSE))</f>
        <v/>
      </c>
      <c r="I3044" s="394" t="str">
        <f>IF(A3044="","",VLOOKUP(A3044,AA_Equipos,8,FALSE))</f>
        <v/>
      </c>
      <c r="J3044" s="273"/>
      <c r="K3044" s="395"/>
      <c r="L3044" s="273"/>
      <c r="M3044" s="394" t="str">
        <f t="shared" si="414"/>
        <v/>
      </c>
      <c r="N3044" s="273"/>
    </row>
    <row r="3045" spans="1:14" ht="12.75" customHeight="1" x14ac:dyDescent="0.2">
      <c r="A3045" s="400"/>
      <c r="B3045" s="271"/>
      <c r="C3045" s="271"/>
      <c r="D3045" s="271"/>
      <c r="E3045" s="271"/>
      <c r="F3045" s="271"/>
      <c r="G3045" s="273"/>
      <c r="H3045" s="29" t="str">
        <f>IF(A3045="","",VLOOKUP(A3045,AA_Equipos,7,FALSE))</f>
        <v/>
      </c>
      <c r="I3045" s="394" t="str">
        <f>IF(A3045="","",VLOOKUP(A3045,AA_Equipos,8,FALSE))</f>
        <v/>
      </c>
      <c r="J3045" s="273"/>
      <c r="K3045" s="395"/>
      <c r="L3045" s="273"/>
      <c r="M3045" s="394" t="str">
        <f t="shared" si="414"/>
        <v/>
      </c>
      <c r="N3045" s="273"/>
    </row>
    <row r="3046" spans="1:14" ht="12.75" customHeight="1" x14ac:dyDescent="0.25">
      <c r="A3046" s="4"/>
      <c r="B3046" s="4"/>
      <c r="C3046" s="4"/>
      <c r="D3046" s="4"/>
      <c r="E3046" s="4"/>
      <c r="F3046" s="4"/>
      <c r="G3046" s="4"/>
      <c r="H3046" s="4"/>
      <c r="I3046" s="4"/>
      <c r="J3046" s="4"/>
      <c r="K3046" s="396" t="s">
        <v>444</v>
      </c>
      <c r="L3046" s="273"/>
      <c r="M3046" s="394">
        <f>SUM(M3041:N3045)</f>
        <v>987.50760000000014</v>
      </c>
      <c r="N3046" s="273"/>
    </row>
    <row r="3047" spans="1:14" ht="12.75" customHeight="1" x14ac:dyDescent="0.25">
      <c r="A3047" s="4"/>
      <c r="B3047" s="4"/>
      <c r="C3047" s="4"/>
      <c r="D3047" s="4"/>
      <c r="E3047" s="4"/>
      <c r="F3047" s="4"/>
      <c r="G3047" s="4"/>
      <c r="H3047" s="4"/>
      <c r="I3047" s="4"/>
      <c r="J3047" s="4"/>
      <c r="K3047" s="4"/>
      <c r="L3047" s="4"/>
      <c r="M3047" s="4"/>
      <c r="N3047" s="4"/>
    </row>
    <row r="3048" spans="1:14" ht="12.75" customHeight="1" x14ac:dyDescent="0.2">
      <c r="A3048" s="398" t="s">
        <v>929</v>
      </c>
      <c r="B3048" s="271"/>
      <c r="C3048" s="271"/>
      <c r="D3048" s="271"/>
      <c r="E3048" s="271"/>
      <c r="F3048" s="271"/>
      <c r="G3048" s="271"/>
      <c r="H3048" s="271"/>
      <c r="I3048" s="271"/>
      <c r="J3048" s="271"/>
      <c r="K3048" s="271"/>
      <c r="L3048" s="271"/>
      <c r="M3048" s="271"/>
      <c r="N3048" s="273"/>
    </row>
    <row r="3049" spans="1:14" ht="12.75" customHeight="1" x14ac:dyDescent="0.2">
      <c r="A3049" s="396" t="s">
        <v>76</v>
      </c>
      <c r="B3049" s="271"/>
      <c r="C3049" s="271"/>
      <c r="D3049" s="271"/>
      <c r="E3049" s="271"/>
      <c r="F3049" s="271"/>
      <c r="G3049" s="273"/>
      <c r="H3049" s="88" t="s">
        <v>77</v>
      </c>
      <c r="I3049" s="399" t="s">
        <v>920</v>
      </c>
      <c r="J3049" s="273"/>
      <c r="K3049" s="399" t="s">
        <v>453</v>
      </c>
      <c r="L3049" s="273"/>
      <c r="M3049" s="399" t="s">
        <v>921</v>
      </c>
      <c r="N3049" s="273"/>
    </row>
    <row r="3050" spans="1:14" ht="12.75" customHeight="1" x14ac:dyDescent="0.2">
      <c r="A3050" s="400" t="s">
        <v>966</v>
      </c>
      <c r="B3050" s="271"/>
      <c r="C3050" s="271"/>
      <c r="D3050" s="271"/>
      <c r="E3050" s="271"/>
      <c r="F3050" s="271"/>
      <c r="G3050" s="273"/>
      <c r="H3050" s="29"/>
      <c r="I3050" s="394"/>
      <c r="J3050" s="273"/>
      <c r="K3050" s="417"/>
      <c r="L3050" s="273"/>
      <c r="M3050" s="394">
        <f t="shared" ref="M3050:M3054" si="415">IF(A3050="","",I3050*K3050)</f>
        <v>0</v>
      </c>
      <c r="N3050" s="273"/>
    </row>
    <row r="3051" spans="1:14" ht="12.75" customHeight="1" x14ac:dyDescent="0.2">
      <c r="A3051" s="403"/>
      <c r="B3051" s="271"/>
      <c r="C3051" s="271"/>
      <c r="D3051" s="271"/>
      <c r="E3051" s="271"/>
      <c r="F3051" s="271"/>
      <c r="G3051" s="273"/>
      <c r="H3051" s="29"/>
      <c r="I3051" s="394"/>
      <c r="J3051" s="273"/>
      <c r="K3051" s="404"/>
      <c r="L3051" s="273"/>
      <c r="M3051" s="394" t="str">
        <f t="shared" si="415"/>
        <v/>
      </c>
      <c r="N3051" s="273"/>
    </row>
    <row r="3052" spans="1:14" ht="12.75" customHeight="1" x14ac:dyDescent="0.2">
      <c r="A3052" s="400"/>
      <c r="B3052" s="271"/>
      <c r="C3052" s="271"/>
      <c r="D3052" s="271"/>
      <c r="E3052" s="271"/>
      <c r="F3052" s="271"/>
      <c r="G3052" s="273"/>
      <c r="H3052" s="29"/>
      <c r="I3052" s="394"/>
      <c r="J3052" s="273"/>
      <c r="K3052" s="395"/>
      <c r="L3052" s="273"/>
      <c r="M3052" s="394" t="str">
        <f t="shared" si="415"/>
        <v/>
      </c>
      <c r="N3052" s="273"/>
    </row>
    <row r="3053" spans="1:14" ht="12.75" customHeight="1" x14ac:dyDescent="0.2">
      <c r="A3053" s="400"/>
      <c r="B3053" s="271"/>
      <c r="C3053" s="271"/>
      <c r="D3053" s="271"/>
      <c r="E3053" s="271"/>
      <c r="F3053" s="271"/>
      <c r="G3053" s="273"/>
      <c r="H3053" s="29"/>
      <c r="I3053" s="394"/>
      <c r="J3053" s="273"/>
      <c r="K3053" s="395"/>
      <c r="L3053" s="273"/>
      <c r="M3053" s="394" t="str">
        <f t="shared" si="415"/>
        <v/>
      </c>
      <c r="N3053" s="273"/>
    </row>
    <row r="3054" spans="1:14" ht="12.75" customHeight="1" x14ac:dyDescent="0.2">
      <c r="A3054" s="400"/>
      <c r="B3054" s="271"/>
      <c r="C3054" s="271"/>
      <c r="D3054" s="271"/>
      <c r="E3054" s="271"/>
      <c r="F3054" s="271"/>
      <c r="G3054" s="273"/>
      <c r="H3054" s="29"/>
      <c r="I3054" s="394"/>
      <c r="J3054" s="273"/>
      <c r="K3054" s="395"/>
      <c r="L3054" s="273"/>
      <c r="M3054" s="394" t="str">
        <f t="shared" si="415"/>
        <v/>
      </c>
      <c r="N3054" s="273"/>
    </row>
    <row r="3055" spans="1:14" ht="12.75" customHeight="1" x14ac:dyDescent="0.25">
      <c r="A3055" s="4"/>
      <c r="B3055" s="4"/>
      <c r="C3055" s="4"/>
      <c r="D3055" s="4"/>
      <c r="E3055" s="4"/>
      <c r="F3055" s="4"/>
      <c r="G3055" s="4"/>
      <c r="H3055" s="4"/>
      <c r="I3055" s="4"/>
      <c r="J3055" s="4"/>
      <c r="K3055" s="396" t="s">
        <v>444</v>
      </c>
      <c r="L3055" s="273"/>
      <c r="M3055" s="394">
        <f>SUM(M3050:N3054)</f>
        <v>0</v>
      </c>
      <c r="N3055" s="273"/>
    </row>
    <row r="3056" spans="1:14" ht="12.75" customHeight="1" x14ac:dyDescent="0.25">
      <c r="A3056" s="4"/>
      <c r="B3056" s="4"/>
      <c r="C3056" s="4"/>
      <c r="D3056" s="4"/>
      <c r="E3056" s="4"/>
      <c r="F3056" s="4"/>
      <c r="G3056" s="4"/>
      <c r="H3056" s="4"/>
      <c r="I3056" s="4"/>
      <c r="J3056" s="4"/>
      <c r="K3056" s="4"/>
      <c r="L3056" s="4"/>
      <c r="M3056" s="4"/>
      <c r="N3056" s="4"/>
    </row>
    <row r="3057" spans="1:14" ht="12.75" customHeight="1" x14ac:dyDescent="0.2">
      <c r="A3057" s="398" t="s">
        <v>931</v>
      </c>
      <c r="B3057" s="271"/>
      <c r="C3057" s="271"/>
      <c r="D3057" s="271"/>
      <c r="E3057" s="271"/>
      <c r="F3057" s="271"/>
      <c r="G3057" s="271"/>
      <c r="H3057" s="271"/>
      <c r="I3057" s="271"/>
      <c r="J3057" s="271"/>
      <c r="K3057" s="271"/>
      <c r="L3057" s="271"/>
      <c r="M3057" s="271"/>
      <c r="N3057" s="273"/>
    </row>
    <row r="3058" spans="1:14" ht="12.75" customHeight="1" x14ac:dyDescent="0.2">
      <c r="A3058" s="396" t="s">
        <v>76</v>
      </c>
      <c r="B3058" s="271"/>
      <c r="C3058" s="271"/>
      <c r="D3058" s="271"/>
      <c r="E3058" s="271"/>
      <c r="F3058" s="271"/>
      <c r="G3058" s="273"/>
      <c r="H3058" s="88" t="s">
        <v>77</v>
      </c>
      <c r="I3058" s="399" t="s">
        <v>920</v>
      </c>
      <c r="J3058" s="273"/>
      <c r="K3058" s="90" t="s">
        <v>514</v>
      </c>
      <c r="L3058" s="91" t="s">
        <v>932</v>
      </c>
      <c r="M3058" s="399" t="s">
        <v>921</v>
      </c>
      <c r="N3058" s="273"/>
    </row>
    <row r="3059" spans="1:14" ht="12.75" customHeight="1" x14ac:dyDescent="0.25">
      <c r="A3059" s="393" t="s">
        <v>1112</v>
      </c>
      <c r="B3059" s="271"/>
      <c r="C3059" s="271"/>
      <c r="D3059" s="271"/>
      <c r="E3059" s="271"/>
      <c r="F3059" s="271"/>
      <c r="G3059" s="273"/>
      <c r="H3059" s="29" t="str">
        <f>IF(A3059="","",VLOOKUP(A3059,AA_Cuadrillas,4,FALSE))</f>
        <v>Cuadrilla</v>
      </c>
      <c r="I3059" s="394">
        <f>IF(A3059="","",VLOOKUP(A3059,AA_Cuadrillas,5,FALSE))</f>
        <v>210108</v>
      </c>
      <c r="J3059" s="273"/>
      <c r="K3059" s="9">
        <f>IF(A3059="","",F.P!$I$2)</f>
        <v>1.88</v>
      </c>
      <c r="L3059" s="97">
        <v>0.05</v>
      </c>
      <c r="M3059" s="394">
        <f t="shared" ref="M3059:M3063" si="416">IF(A3059="","",I3059*K3059*L3059)</f>
        <v>19750.152000000002</v>
      </c>
      <c r="N3059" s="273"/>
    </row>
    <row r="3060" spans="1:14" ht="12.75" customHeight="1" x14ac:dyDescent="0.25">
      <c r="A3060" s="393"/>
      <c r="B3060" s="271"/>
      <c r="C3060" s="271"/>
      <c r="D3060" s="271"/>
      <c r="E3060" s="271"/>
      <c r="F3060" s="271"/>
      <c r="G3060" s="273"/>
      <c r="H3060" s="29" t="str">
        <f>IF(A3060="","",VLOOKUP(A3060,AA_Cuadrillas,4,FALSE))</f>
        <v/>
      </c>
      <c r="I3060" s="394" t="str">
        <f>IF(A3060="","",VLOOKUP(A3060,AA_Cuadrillas,5,FALSE))</f>
        <v/>
      </c>
      <c r="J3060" s="273"/>
      <c r="K3060" s="9" t="str">
        <f>IF(A3060="","",F.P!$I$2)</f>
        <v/>
      </c>
      <c r="L3060" s="9"/>
      <c r="M3060" s="394" t="str">
        <f t="shared" si="416"/>
        <v/>
      </c>
      <c r="N3060" s="273"/>
    </row>
    <row r="3061" spans="1:14" ht="12.75" customHeight="1" x14ac:dyDescent="0.25">
      <c r="A3061" s="393"/>
      <c r="B3061" s="271"/>
      <c r="C3061" s="271"/>
      <c r="D3061" s="271"/>
      <c r="E3061" s="271"/>
      <c r="F3061" s="271"/>
      <c r="G3061" s="273"/>
      <c r="H3061" s="29" t="str">
        <f>IF(A3061="","",VLOOKUP(A3061,AA_Cuadrillas,4,FALSE))</f>
        <v/>
      </c>
      <c r="I3061" s="394" t="str">
        <f>IF(A3061="","",VLOOKUP(A3061,AA_Cuadrillas,5,FALSE))</f>
        <v/>
      </c>
      <c r="J3061" s="273"/>
      <c r="K3061" s="9" t="str">
        <f>IF(A3061="","",F.P!$I$2)</f>
        <v/>
      </c>
      <c r="L3061" s="37"/>
      <c r="M3061" s="394" t="str">
        <f t="shared" si="416"/>
        <v/>
      </c>
      <c r="N3061" s="273"/>
    </row>
    <row r="3062" spans="1:14" ht="12.75" customHeight="1" x14ac:dyDescent="0.25">
      <c r="A3062" s="393"/>
      <c r="B3062" s="271"/>
      <c r="C3062" s="271"/>
      <c r="D3062" s="271"/>
      <c r="E3062" s="271"/>
      <c r="F3062" s="271"/>
      <c r="G3062" s="273"/>
      <c r="H3062" s="29" t="str">
        <f>IF(A3062="","",VLOOKUP(A3062,AA_Cuadrillas,4,FALSE))</f>
        <v/>
      </c>
      <c r="I3062" s="394" t="str">
        <f>IF(A3062="","",VLOOKUP(A3062,AA_Cuadrillas,5,FALSE))</f>
        <v/>
      </c>
      <c r="J3062" s="273"/>
      <c r="K3062" s="9" t="str">
        <f>IF(A3062="","",F.P!$I$2)</f>
        <v/>
      </c>
      <c r="L3062" s="37"/>
      <c r="M3062" s="394" t="str">
        <f t="shared" si="416"/>
        <v/>
      </c>
      <c r="N3062" s="273"/>
    </row>
    <row r="3063" spans="1:14" ht="12.75" customHeight="1" x14ac:dyDescent="0.25">
      <c r="A3063" s="393"/>
      <c r="B3063" s="271"/>
      <c r="C3063" s="271"/>
      <c r="D3063" s="271"/>
      <c r="E3063" s="271"/>
      <c r="F3063" s="271"/>
      <c r="G3063" s="273"/>
      <c r="H3063" s="29" t="str">
        <f>IF(A3063="","",VLOOKUP(A3063,AA_Cuadrillas,4,FALSE))</f>
        <v/>
      </c>
      <c r="I3063" s="394" t="str">
        <f>IF(A3063="","",VLOOKUP(A3063,AA_Cuadrillas,5,FALSE))</f>
        <v/>
      </c>
      <c r="J3063" s="273"/>
      <c r="K3063" s="9" t="str">
        <f>IF(A3063="","",F.P!$I$2)</f>
        <v/>
      </c>
      <c r="L3063" s="37"/>
      <c r="M3063" s="394" t="str">
        <f t="shared" si="416"/>
        <v/>
      </c>
      <c r="N3063" s="273"/>
    </row>
    <row r="3064" spans="1:14" ht="12.75" customHeight="1" x14ac:dyDescent="0.25">
      <c r="A3064" s="4"/>
      <c r="B3064" s="4"/>
      <c r="C3064" s="4"/>
      <c r="D3064" s="4"/>
      <c r="E3064" s="4"/>
      <c r="F3064" s="4"/>
      <c r="G3064" s="4"/>
      <c r="H3064" s="4"/>
      <c r="I3064" s="4"/>
      <c r="J3064" s="4"/>
      <c r="K3064" s="396" t="s">
        <v>444</v>
      </c>
      <c r="L3064" s="273"/>
      <c r="M3064" s="394">
        <f>SUM(M3059:N3063)</f>
        <v>19750.152000000002</v>
      </c>
      <c r="N3064" s="273"/>
    </row>
    <row r="3065" spans="1:14" ht="12.75" customHeight="1" x14ac:dyDescent="0.2"/>
    <row r="3066" spans="1:14" ht="12.75" customHeight="1" x14ac:dyDescent="0.2">
      <c r="A3066" s="407" t="s">
        <v>1115</v>
      </c>
      <c r="B3066" s="275"/>
      <c r="C3066" s="275"/>
      <c r="D3066" s="275"/>
      <c r="E3066" s="275"/>
      <c r="F3066" s="275"/>
      <c r="G3066" s="275"/>
      <c r="H3066" s="275"/>
      <c r="I3066" s="275"/>
      <c r="J3066" s="275"/>
      <c r="K3066" s="275"/>
      <c r="L3066" s="275"/>
      <c r="M3066" s="275"/>
      <c r="N3066" s="276"/>
    </row>
    <row r="3067" spans="1:14" ht="12.75" customHeight="1" x14ac:dyDescent="0.2">
      <c r="A3067" s="277"/>
      <c r="B3067" s="278"/>
      <c r="C3067" s="278"/>
      <c r="D3067" s="278"/>
      <c r="E3067" s="278"/>
      <c r="F3067" s="278"/>
      <c r="G3067" s="278"/>
      <c r="H3067" s="278"/>
      <c r="I3067" s="278"/>
      <c r="J3067" s="278"/>
      <c r="K3067" s="278"/>
      <c r="L3067" s="278"/>
      <c r="M3067" s="278"/>
      <c r="N3067" s="279"/>
    </row>
    <row r="3068" spans="1:14" ht="12.75" customHeight="1" x14ac:dyDescent="0.2">
      <c r="A3068" s="75"/>
      <c r="B3068" s="75"/>
      <c r="C3068" s="75"/>
      <c r="D3068" s="75"/>
      <c r="E3068" s="75"/>
      <c r="F3068" s="75"/>
      <c r="G3068" s="75"/>
      <c r="H3068" s="75"/>
      <c r="I3068" s="75"/>
      <c r="J3068" s="75"/>
      <c r="K3068" s="75"/>
      <c r="L3068" s="75"/>
      <c r="M3068" s="75"/>
      <c r="N3068" s="75"/>
    </row>
    <row r="3069" spans="1:14" ht="12.75" customHeight="1" x14ac:dyDescent="0.3">
      <c r="A3069" s="79" t="s">
        <v>685</v>
      </c>
      <c r="B3069" s="80" t="str">
        <f>A3066</f>
        <v>SUMINISTRO E INSTALACIÓN DE PASAMURO L= 0,25m Ø2" EN HIERRO DUCTIL</v>
      </c>
      <c r="C3069" s="81" t="s">
        <v>916</v>
      </c>
      <c r="D3069" s="82" t="s">
        <v>999</v>
      </c>
      <c r="E3069" s="83" t="s">
        <v>445</v>
      </c>
      <c r="F3069" s="86">
        <f>H3069+J3069+L3069+N3069</f>
        <v>92167.540500000003</v>
      </c>
      <c r="G3069" s="83" t="s">
        <v>607</v>
      </c>
      <c r="H3069" s="86">
        <f>M3079</f>
        <v>0</v>
      </c>
      <c r="I3069" s="83" t="s">
        <v>918</v>
      </c>
      <c r="J3069" s="86">
        <f>M3088</f>
        <v>4388.9305000000004</v>
      </c>
      <c r="K3069" s="83" t="s">
        <v>609</v>
      </c>
      <c r="L3069" s="86">
        <f>M3097</f>
        <v>0</v>
      </c>
      <c r="M3069" s="83" t="s">
        <v>610</v>
      </c>
      <c r="N3069" s="86">
        <f>M3106</f>
        <v>87778.61</v>
      </c>
    </row>
    <row r="3070" spans="1:14" ht="12.75" customHeight="1" x14ac:dyDescent="0.25">
      <c r="A3070" s="87"/>
      <c r="B3070" s="87"/>
      <c r="C3070" s="87"/>
      <c r="D3070" s="87"/>
      <c r="E3070" s="87"/>
      <c r="F3070" s="87"/>
      <c r="G3070" s="87"/>
      <c r="J3070" s="87"/>
      <c r="K3070" s="215" t="s">
        <v>3217</v>
      </c>
      <c r="L3070" s="215">
        <f>+F3069*presup!$O$5</f>
        <v>119817.80265000001</v>
      </c>
      <c r="M3070" s="87"/>
      <c r="N3070" s="87"/>
    </row>
    <row r="3071" spans="1:14" ht="12.75" customHeight="1" x14ac:dyDescent="0.2">
      <c r="A3071" s="398" t="s">
        <v>919</v>
      </c>
      <c r="B3071" s="271"/>
      <c r="C3071" s="271"/>
      <c r="D3071" s="271"/>
      <c r="E3071" s="271"/>
      <c r="F3071" s="271"/>
      <c r="G3071" s="271"/>
      <c r="H3071" s="271"/>
      <c r="I3071" s="271"/>
      <c r="J3071" s="271"/>
      <c r="K3071" s="271"/>
      <c r="L3071" s="271"/>
      <c r="M3071" s="271"/>
      <c r="N3071" s="273"/>
    </row>
    <row r="3072" spans="1:14" ht="12.75" customHeight="1" x14ac:dyDescent="0.2">
      <c r="A3072" s="396" t="s">
        <v>76</v>
      </c>
      <c r="B3072" s="271"/>
      <c r="C3072" s="271"/>
      <c r="D3072" s="271"/>
      <c r="E3072" s="271"/>
      <c r="F3072" s="271"/>
      <c r="G3072" s="273"/>
      <c r="H3072" s="88" t="s">
        <v>77</v>
      </c>
      <c r="I3072" s="399" t="s">
        <v>920</v>
      </c>
      <c r="J3072" s="273"/>
      <c r="K3072" s="399" t="s">
        <v>453</v>
      </c>
      <c r="L3072" s="273"/>
      <c r="M3072" s="399" t="s">
        <v>921</v>
      </c>
      <c r="N3072" s="273"/>
    </row>
    <row r="3073" spans="1:14" ht="12.75" customHeight="1" x14ac:dyDescent="0.2">
      <c r="A3073" s="403" t="s">
        <v>1116</v>
      </c>
      <c r="B3073" s="271"/>
      <c r="C3073" s="271"/>
      <c r="D3073" s="271"/>
      <c r="E3073" s="271"/>
      <c r="F3073" s="271"/>
      <c r="G3073" s="273"/>
      <c r="H3073" s="29" t="str">
        <f t="shared" ref="H3073:H3078" si="417">IF(A3073="","",VLOOKUP(A3073,AA_Materiales,7,FALSE))</f>
        <v>Unidad</v>
      </c>
      <c r="I3073" s="394">
        <f t="shared" ref="I3073:I3078" si="418">IF(A3073="","",VLOOKUP(A3073,AA_Materiales,8,FALSE))</f>
        <v>0</v>
      </c>
      <c r="J3073" s="273"/>
      <c r="K3073" s="395">
        <v>1</v>
      </c>
      <c r="L3073" s="273"/>
      <c r="M3073" s="394">
        <f t="shared" ref="M3073:M3078" si="419">IF(A3073="","",I3073*K3073)</f>
        <v>0</v>
      </c>
      <c r="N3073" s="273"/>
    </row>
    <row r="3074" spans="1:14" ht="12.75" customHeight="1" x14ac:dyDescent="0.2">
      <c r="A3074" s="403"/>
      <c r="B3074" s="271"/>
      <c r="C3074" s="271"/>
      <c r="D3074" s="271"/>
      <c r="E3074" s="271"/>
      <c r="F3074" s="271"/>
      <c r="G3074" s="273"/>
      <c r="H3074" s="29" t="str">
        <f t="shared" si="417"/>
        <v/>
      </c>
      <c r="I3074" s="394" t="str">
        <f t="shared" si="418"/>
        <v/>
      </c>
      <c r="J3074" s="273"/>
      <c r="K3074" s="395"/>
      <c r="L3074" s="273"/>
      <c r="M3074" s="394" t="str">
        <f t="shared" si="419"/>
        <v/>
      </c>
      <c r="N3074" s="273"/>
    </row>
    <row r="3075" spans="1:14" ht="12.75" customHeight="1" x14ac:dyDescent="0.2">
      <c r="A3075" s="403"/>
      <c r="B3075" s="271"/>
      <c r="C3075" s="271"/>
      <c r="D3075" s="271"/>
      <c r="E3075" s="271"/>
      <c r="F3075" s="271"/>
      <c r="G3075" s="273"/>
      <c r="H3075" s="29" t="str">
        <f t="shared" si="417"/>
        <v/>
      </c>
      <c r="I3075" s="394" t="str">
        <f t="shared" si="418"/>
        <v/>
      </c>
      <c r="J3075" s="273"/>
      <c r="K3075" s="395"/>
      <c r="L3075" s="273"/>
      <c r="M3075" s="394" t="str">
        <f t="shared" si="419"/>
        <v/>
      </c>
      <c r="N3075" s="273"/>
    </row>
    <row r="3076" spans="1:14" ht="12.75" customHeight="1" x14ac:dyDescent="0.2">
      <c r="A3076" s="403"/>
      <c r="B3076" s="271"/>
      <c r="C3076" s="271"/>
      <c r="D3076" s="271"/>
      <c r="E3076" s="271"/>
      <c r="F3076" s="271"/>
      <c r="G3076" s="273"/>
      <c r="H3076" s="29" t="str">
        <f t="shared" si="417"/>
        <v/>
      </c>
      <c r="I3076" s="394" t="str">
        <f t="shared" si="418"/>
        <v/>
      </c>
      <c r="J3076" s="273"/>
      <c r="K3076" s="395"/>
      <c r="L3076" s="273"/>
      <c r="M3076" s="394" t="str">
        <f t="shared" si="419"/>
        <v/>
      </c>
      <c r="N3076" s="273"/>
    </row>
    <row r="3077" spans="1:14" ht="12.75" customHeight="1" x14ac:dyDescent="0.2">
      <c r="A3077" s="403"/>
      <c r="B3077" s="271"/>
      <c r="C3077" s="271"/>
      <c r="D3077" s="271"/>
      <c r="E3077" s="271"/>
      <c r="F3077" s="271"/>
      <c r="G3077" s="273"/>
      <c r="H3077" s="29" t="str">
        <f t="shared" si="417"/>
        <v/>
      </c>
      <c r="I3077" s="394" t="str">
        <f t="shared" si="418"/>
        <v/>
      </c>
      <c r="J3077" s="273"/>
      <c r="K3077" s="395"/>
      <c r="L3077" s="273"/>
      <c r="M3077" s="394" t="str">
        <f t="shared" si="419"/>
        <v/>
      </c>
      <c r="N3077" s="273"/>
    </row>
    <row r="3078" spans="1:14" ht="12.75" customHeight="1" x14ac:dyDescent="0.2">
      <c r="A3078" s="403"/>
      <c r="B3078" s="271"/>
      <c r="C3078" s="271"/>
      <c r="D3078" s="271"/>
      <c r="E3078" s="271"/>
      <c r="F3078" s="271"/>
      <c r="G3078" s="273"/>
      <c r="H3078" s="29" t="str">
        <f t="shared" si="417"/>
        <v/>
      </c>
      <c r="I3078" s="394" t="str">
        <f t="shared" si="418"/>
        <v/>
      </c>
      <c r="J3078" s="273"/>
      <c r="K3078" s="395"/>
      <c r="L3078" s="273"/>
      <c r="M3078" s="394" t="str">
        <f t="shared" si="419"/>
        <v/>
      </c>
      <c r="N3078" s="273"/>
    </row>
    <row r="3079" spans="1:14" ht="12.75" customHeight="1" x14ac:dyDescent="0.25">
      <c r="A3079" s="4"/>
      <c r="B3079" s="4"/>
      <c r="C3079" s="4"/>
      <c r="D3079" s="4"/>
      <c r="E3079" s="4"/>
      <c r="F3079" s="4"/>
      <c r="G3079" s="4"/>
      <c r="H3079" s="4"/>
      <c r="I3079" s="4"/>
      <c r="J3079" s="4"/>
      <c r="K3079" s="396" t="s">
        <v>444</v>
      </c>
      <c r="L3079" s="273"/>
      <c r="M3079" s="394">
        <f>SUM(M3073:N3078)</f>
        <v>0</v>
      </c>
      <c r="N3079" s="273"/>
    </row>
    <row r="3080" spans="1:14" ht="12.75" customHeight="1" x14ac:dyDescent="0.25">
      <c r="A3080" s="4"/>
      <c r="B3080" s="4"/>
      <c r="C3080" s="4"/>
      <c r="D3080" s="4"/>
      <c r="E3080" s="4"/>
      <c r="F3080" s="4"/>
      <c r="G3080" s="4"/>
      <c r="H3080" s="4"/>
      <c r="I3080" s="4"/>
      <c r="J3080" s="4"/>
      <c r="K3080" s="4"/>
      <c r="L3080" s="4"/>
      <c r="M3080" s="4"/>
      <c r="N3080" s="4"/>
    </row>
    <row r="3081" spans="1:14" ht="12.75" customHeight="1" x14ac:dyDescent="0.2">
      <c r="A3081" s="398" t="s">
        <v>926</v>
      </c>
      <c r="B3081" s="271"/>
      <c r="C3081" s="271"/>
      <c r="D3081" s="271"/>
      <c r="E3081" s="271"/>
      <c r="F3081" s="271"/>
      <c r="G3081" s="271"/>
      <c r="H3081" s="271"/>
      <c r="I3081" s="271"/>
      <c r="J3081" s="271"/>
      <c r="K3081" s="271"/>
      <c r="L3081" s="271"/>
      <c r="M3081" s="271"/>
      <c r="N3081" s="273"/>
    </row>
    <row r="3082" spans="1:14" ht="12.75" customHeight="1" x14ac:dyDescent="0.2">
      <c r="A3082" s="396" t="s">
        <v>76</v>
      </c>
      <c r="B3082" s="271"/>
      <c r="C3082" s="271"/>
      <c r="D3082" s="271"/>
      <c r="E3082" s="271"/>
      <c r="F3082" s="271"/>
      <c r="G3082" s="273"/>
      <c r="H3082" s="88" t="s">
        <v>77</v>
      </c>
      <c r="I3082" s="399" t="s">
        <v>920</v>
      </c>
      <c r="J3082" s="273"/>
      <c r="K3082" s="399" t="s">
        <v>453</v>
      </c>
      <c r="L3082" s="273"/>
      <c r="M3082" s="399" t="s">
        <v>921</v>
      </c>
      <c r="N3082" s="273"/>
    </row>
    <row r="3083" spans="1:14" ht="12.75" customHeight="1" x14ac:dyDescent="0.2">
      <c r="A3083" s="400" t="s">
        <v>927</v>
      </c>
      <c r="B3083" s="271"/>
      <c r="C3083" s="271"/>
      <c r="D3083" s="271"/>
      <c r="E3083" s="271"/>
      <c r="F3083" s="271"/>
      <c r="G3083" s="273"/>
      <c r="H3083" s="29" t="str">
        <f>IF(A3083="","",VLOOKUP(A3083,AA_Equipos,7,FALSE))</f>
        <v>% M.O.</v>
      </c>
      <c r="I3083" s="394">
        <f>+M3106</f>
        <v>87778.61</v>
      </c>
      <c r="J3083" s="273"/>
      <c r="K3083" s="404">
        <v>0.05</v>
      </c>
      <c r="L3083" s="273"/>
      <c r="M3083" s="394">
        <f t="shared" ref="M3083:M3087" si="420">IF(A3083="","",I3083*K3083)</f>
        <v>4388.9305000000004</v>
      </c>
      <c r="N3083" s="273"/>
    </row>
    <row r="3084" spans="1:14" ht="12.75" customHeight="1" x14ac:dyDescent="0.2">
      <c r="A3084" s="403"/>
      <c r="B3084" s="271"/>
      <c r="C3084" s="271"/>
      <c r="D3084" s="271"/>
      <c r="E3084" s="271"/>
      <c r="F3084" s="271"/>
      <c r="G3084" s="273"/>
      <c r="H3084" s="29" t="str">
        <f>IF(A3084="","",VLOOKUP(A3084,AA_Equipos,7,FALSE))</f>
        <v/>
      </c>
      <c r="I3084" s="394" t="str">
        <f>IF(A3084="","",VLOOKUP(A3084,AA_Equipos,8,FALSE))</f>
        <v/>
      </c>
      <c r="J3084" s="273"/>
      <c r="K3084" s="402"/>
      <c r="L3084" s="273"/>
      <c r="M3084" s="394" t="str">
        <f t="shared" si="420"/>
        <v/>
      </c>
      <c r="N3084" s="273"/>
    </row>
    <row r="3085" spans="1:14" ht="12.75" customHeight="1" x14ac:dyDescent="0.2">
      <c r="A3085" s="400"/>
      <c r="B3085" s="271"/>
      <c r="C3085" s="271"/>
      <c r="D3085" s="271"/>
      <c r="E3085" s="271"/>
      <c r="F3085" s="271"/>
      <c r="G3085" s="273"/>
      <c r="H3085" s="29" t="str">
        <f>IF(A3085="","",VLOOKUP(A3085,AA_Equipos,7,FALSE))</f>
        <v/>
      </c>
      <c r="I3085" s="394" t="str">
        <f>IF(A3085="","",VLOOKUP(A3085,AA_Equipos,8,FALSE))</f>
        <v/>
      </c>
      <c r="J3085" s="273"/>
      <c r="K3085" s="401"/>
      <c r="L3085" s="273"/>
      <c r="M3085" s="394" t="str">
        <f t="shared" si="420"/>
        <v/>
      </c>
      <c r="N3085" s="273"/>
    </row>
    <row r="3086" spans="1:14" ht="12.75" customHeight="1" x14ac:dyDescent="0.2">
      <c r="A3086" s="400"/>
      <c r="B3086" s="271"/>
      <c r="C3086" s="271"/>
      <c r="D3086" s="271"/>
      <c r="E3086" s="271"/>
      <c r="F3086" s="271"/>
      <c r="G3086" s="273"/>
      <c r="H3086" s="29" t="str">
        <f>IF(A3086="","",VLOOKUP(A3086,AA_Equipos,7,FALSE))</f>
        <v/>
      </c>
      <c r="I3086" s="394" t="str">
        <f>IF(A3086="","",VLOOKUP(A3086,AA_Equipos,8,FALSE))</f>
        <v/>
      </c>
      <c r="J3086" s="273"/>
      <c r="K3086" s="395"/>
      <c r="L3086" s="273"/>
      <c r="M3086" s="394" t="str">
        <f t="shared" si="420"/>
        <v/>
      </c>
      <c r="N3086" s="273"/>
    </row>
    <row r="3087" spans="1:14" ht="12.75" customHeight="1" x14ac:dyDescent="0.2">
      <c r="A3087" s="400"/>
      <c r="B3087" s="271"/>
      <c r="C3087" s="271"/>
      <c r="D3087" s="271"/>
      <c r="E3087" s="271"/>
      <c r="F3087" s="271"/>
      <c r="G3087" s="273"/>
      <c r="H3087" s="29" t="str">
        <f>IF(A3087="","",VLOOKUP(A3087,AA_Equipos,7,FALSE))</f>
        <v/>
      </c>
      <c r="I3087" s="394" t="str">
        <f>IF(A3087="","",VLOOKUP(A3087,AA_Equipos,8,FALSE))</f>
        <v/>
      </c>
      <c r="J3087" s="273"/>
      <c r="K3087" s="395"/>
      <c r="L3087" s="273"/>
      <c r="M3087" s="394" t="str">
        <f t="shared" si="420"/>
        <v/>
      </c>
      <c r="N3087" s="273"/>
    </row>
    <row r="3088" spans="1:14" ht="12.75" customHeight="1" x14ac:dyDescent="0.25">
      <c r="A3088" s="4"/>
      <c r="B3088" s="4"/>
      <c r="C3088" s="4"/>
      <c r="D3088" s="4"/>
      <c r="E3088" s="4"/>
      <c r="F3088" s="4"/>
      <c r="G3088" s="4"/>
      <c r="H3088" s="4"/>
      <c r="I3088" s="4"/>
      <c r="J3088" s="4"/>
      <c r="K3088" s="396" t="s">
        <v>444</v>
      </c>
      <c r="L3088" s="273"/>
      <c r="M3088" s="394">
        <f>SUM(M3083:N3087)</f>
        <v>4388.9305000000004</v>
      </c>
      <c r="N3088" s="273"/>
    </row>
    <row r="3089" spans="1:14" ht="12.75" customHeight="1" x14ac:dyDescent="0.25">
      <c r="A3089" s="4"/>
      <c r="B3089" s="4"/>
      <c r="C3089" s="4"/>
      <c r="D3089" s="4"/>
      <c r="E3089" s="4"/>
      <c r="F3089" s="4"/>
      <c r="G3089" s="4"/>
      <c r="H3089" s="4"/>
      <c r="I3089" s="4"/>
      <c r="J3089" s="4"/>
      <c r="K3089" s="4"/>
      <c r="L3089" s="4"/>
      <c r="M3089" s="4"/>
      <c r="N3089" s="4"/>
    </row>
    <row r="3090" spans="1:14" ht="12.75" customHeight="1" x14ac:dyDescent="0.2">
      <c r="A3090" s="398" t="s">
        <v>929</v>
      </c>
      <c r="B3090" s="271"/>
      <c r="C3090" s="271"/>
      <c r="D3090" s="271"/>
      <c r="E3090" s="271"/>
      <c r="F3090" s="271"/>
      <c r="G3090" s="271"/>
      <c r="H3090" s="271"/>
      <c r="I3090" s="271"/>
      <c r="J3090" s="271"/>
      <c r="K3090" s="271"/>
      <c r="L3090" s="271"/>
      <c r="M3090" s="271"/>
      <c r="N3090" s="273"/>
    </row>
    <row r="3091" spans="1:14" ht="12.75" customHeight="1" x14ac:dyDescent="0.2">
      <c r="A3091" s="396" t="s">
        <v>76</v>
      </c>
      <c r="B3091" s="271"/>
      <c r="C3091" s="271"/>
      <c r="D3091" s="271"/>
      <c r="E3091" s="271"/>
      <c r="F3091" s="271"/>
      <c r="G3091" s="273"/>
      <c r="H3091" s="88" t="s">
        <v>77</v>
      </c>
      <c r="I3091" s="399" t="s">
        <v>920</v>
      </c>
      <c r="J3091" s="273"/>
      <c r="K3091" s="399" t="s">
        <v>453</v>
      </c>
      <c r="L3091" s="273"/>
      <c r="M3091" s="399" t="s">
        <v>921</v>
      </c>
      <c r="N3091" s="273"/>
    </row>
    <row r="3092" spans="1:14" ht="12.75" customHeight="1" x14ac:dyDescent="0.2">
      <c r="A3092" s="400" t="s">
        <v>966</v>
      </c>
      <c r="B3092" s="271"/>
      <c r="C3092" s="271"/>
      <c r="D3092" s="271"/>
      <c r="E3092" s="271"/>
      <c r="F3092" s="271"/>
      <c r="G3092" s="273"/>
      <c r="H3092" s="29"/>
      <c r="I3092" s="394"/>
      <c r="J3092" s="273"/>
      <c r="K3092" s="417"/>
      <c r="L3092" s="273"/>
      <c r="M3092" s="394">
        <f t="shared" ref="M3092:M3096" si="421">IF(A3092="","",I3092*K3092)</f>
        <v>0</v>
      </c>
      <c r="N3092" s="273"/>
    </row>
    <row r="3093" spans="1:14" ht="12.75" customHeight="1" x14ac:dyDescent="0.2">
      <c r="A3093" s="403"/>
      <c r="B3093" s="271"/>
      <c r="C3093" s="271"/>
      <c r="D3093" s="271"/>
      <c r="E3093" s="271"/>
      <c r="F3093" s="271"/>
      <c r="G3093" s="273"/>
      <c r="H3093" s="29"/>
      <c r="I3093" s="394"/>
      <c r="J3093" s="273"/>
      <c r="K3093" s="404"/>
      <c r="L3093" s="273"/>
      <c r="M3093" s="394" t="str">
        <f t="shared" si="421"/>
        <v/>
      </c>
      <c r="N3093" s="273"/>
    </row>
    <row r="3094" spans="1:14" ht="12.75" customHeight="1" x14ac:dyDescent="0.2">
      <c r="A3094" s="400"/>
      <c r="B3094" s="271"/>
      <c r="C3094" s="271"/>
      <c r="D3094" s="271"/>
      <c r="E3094" s="271"/>
      <c r="F3094" s="271"/>
      <c r="G3094" s="273"/>
      <c r="H3094" s="29"/>
      <c r="I3094" s="394"/>
      <c r="J3094" s="273"/>
      <c r="K3094" s="395"/>
      <c r="L3094" s="273"/>
      <c r="M3094" s="394" t="str">
        <f t="shared" si="421"/>
        <v/>
      </c>
      <c r="N3094" s="273"/>
    </row>
    <row r="3095" spans="1:14" ht="12.75" customHeight="1" x14ac:dyDescent="0.2">
      <c r="A3095" s="400"/>
      <c r="B3095" s="271"/>
      <c r="C3095" s="271"/>
      <c r="D3095" s="271"/>
      <c r="E3095" s="271"/>
      <c r="F3095" s="271"/>
      <c r="G3095" s="273"/>
      <c r="H3095" s="29"/>
      <c r="I3095" s="394"/>
      <c r="J3095" s="273"/>
      <c r="K3095" s="395"/>
      <c r="L3095" s="273"/>
      <c r="M3095" s="394" t="str">
        <f t="shared" si="421"/>
        <v/>
      </c>
      <c r="N3095" s="273"/>
    </row>
    <row r="3096" spans="1:14" ht="12.75" customHeight="1" x14ac:dyDescent="0.2">
      <c r="A3096" s="400"/>
      <c r="B3096" s="271"/>
      <c r="C3096" s="271"/>
      <c r="D3096" s="271"/>
      <c r="E3096" s="271"/>
      <c r="F3096" s="271"/>
      <c r="G3096" s="273"/>
      <c r="H3096" s="29"/>
      <c r="I3096" s="394"/>
      <c r="J3096" s="273"/>
      <c r="K3096" s="395"/>
      <c r="L3096" s="273"/>
      <c r="M3096" s="394" t="str">
        <f t="shared" si="421"/>
        <v/>
      </c>
      <c r="N3096" s="273"/>
    </row>
    <row r="3097" spans="1:14" ht="12.75" customHeight="1" x14ac:dyDescent="0.25">
      <c r="A3097" s="4"/>
      <c r="B3097" s="4"/>
      <c r="C3097" s="4"/>
      <c r="D3097" s="4"/>
      <c r="E3097" s="4"/>
      <c r="F3097" s="4"/>
      <c r="G3097" s="4"/>
      <c r="H3097" s="4"/>
      <c r="I3097" s="4"/>
      <c r="J3097" s="4"/>
      <c r="K3097" s="396" t="s">
        <v>444</v>
      </c>
      <c r="L3097" s="273"/>
      <c r="M3097" s="394">
        <f>SUM(M3092:N3096)</f>
        <v>0</v>
      </c>
      <c r="N3097" s="273"/>
    </row>
    <row r="3098" spans="1:14" ht="12.75" customHeight="1" x14ac:dyDescent="0.25">
      <c r="A3098" s="4"/>
      <c r="B3098" s="4"/>
      <c r="C3098" s="4"/>
      <c r="D3098" s="4"/>
      <c r="E3098" s="4"/>
      <c r="F3098" s="4"/>
      <c r="G3098" s="4"/>
      <c r="H3098" s="4"/>
      <c r="I3098" s="4"/>
      <c r="J3098" s="4"/>
      <c r="K3098" s="4"/>
      <c r="L3098" s="4"/>
      <c r="M3098" s="4"/>
      <c r="N3098" s="4"/>
    </row>
    <row r="3099" spans="1:14" ht="12.75" customHeight="1" x14ac:dyDescent="0.2">
      <c r="A3099" s="398" t="s">
        <v>931</v>
      </c>
      <c r="B3099" s="271"/>
      <c r="C3099" s="271"/>
      <c r="D3099" s="271"/>
      <c r="E3099" s="271"/>
      <c r="F3099" s="271"/>
      <c r="G3099" s="271"/>
      <c r="H3099" s="271"/>
      <c r="I3099" s="271"/>
      <c r="J3099" s="271"/>
      <c r="K3099" s="271"/>
      <c r="L3099" s="271"/>
      <c r="M3099" s="271"/>
      <c r="N3099" s="273"/>
    </row>
    <row r="3100" spans="1:14" ht="12.75" customHeight="1" x14ac:dyDescent="0.2">
      <c r="A3100" s="396" t="s">
        <v>76</v>
      </c>
      <c r="B3100" s="271"/>
      <c r="C3100" s="271"/>
      <c r="D3100" s="271"/>
      <c r="E3100" s="271"/>
      <c r="F3100" s="271"/>
      <c r="G3100" s="273"/>
      <c r="H3100" s="88" t="s">
        <v>77</v>
      </c>
      <c r="I3100" s="399" t="s">
        <v>920</v>
      </c>
      <c r="J3100" s="273"/>
      <c r="K3100" s="90" t="s">
        <v>514</v>
      </c>
      <c r="L3100" s="91" t="s">
        <v>932</v>
      </c>
      <c r="M3100" s="399" t="s">
        <v>921</v>
      </c>
      <c r="N3100" s="273"/>
    </row>
    <row r="3101" spans="1:14" ht="12.75" customHeight="1" x14ac:dyDescent="0.25">
      <c r="A3101" s="393" t="s">
        <v>986</v>
      </c>
      <c r="B3101" s="271"/>
      <c r="C3101" s="271"/>
      <c r="D3101" s="271"/>
      <c r="E3101" s="271"/>
      <c r="F3101" s="271"/>
      <c r="G3101" s="273"/>
      <c r="H3101" s="29" t="str">
        <f>IF(A3101="","",VLOOKUP(A3101,AA_Cuadrillas,4,FALSE))</f>
        <v>Cuadrilla</v>
      </c>
      <c r="I3101" s="394">
        <f>IF(A3101="","",VLOOKUP(A3101,AA_Cuadrillas,5,FALSE))</f>
        <v>186763</v>
      </c>
      <c r="J3101" s="273"/>
      <c r="K3101" s="9">
        <f>IF(A3101="","",F.P!$I$2)</f>
        <v>1.88</v>
      </c>
      <c r="L3101" s="97">
        <v>0.25</v>
      </c>
      <c r="M3101" s="394">
        <f t="shared" ref="M3101:M3105" si="422">IF(A3101="","",I3101*K3101*L3101)</f>
        <v>87778.61</v>
      </c>
      <c r="N3101" s="273"/>
    </row>
    <row r="3102" spans="1:14" ht="12.75" customHeight="1" x14ac:dyDescent="0.25">
      <c r="A3102" s="393"/>
      <c r="B3102" s="271"/>
      <c r="C3102" s="271"/>
      <c r="D3102" s="271"/>
      <c r="E3102" s="271"/>
      <c r="F3102" s="271"/>
      <c r="G3102" s="273"/>
      <c r="H3102" s="29" t="str">
        <f>IF(A3102="","",VLOOKUP(A3102,AA_Cuadrillas,4,FALSE))</f>
        <v/>
      </c>
      <c r="I3102" s="394" t="str">
        <f>IF(A3102="","",VLOOKUP(A3102,AA_Cuadrillas,5,FALSE))</f>
        <v/>
      </c>
      <c r="J3102" s="273"/>
      <c r="K3102" s="9" t="str">
        <f>IF(A3102="","",F.P!$I$2)</f>
        <v/>
      </c>
      <c r="L3102" s="9"/>
      <c r="M3102" s="394" t="str">
        <f t="shared" si="422"/>
        <v/>
      </c>
      <c r="N3102" s="273"/>
    </row>
    <row r="3103" spans="1:14" ht="12.75" customHeight="1" x14ac:dyDescent="0.25">
      <c r="A3103" s="393"/>
      <c r="B3103" s="271"/>
      <c r="C3103" s="271"/>
      <c r="D3103" s="271"/>
      <c r="E3103" s="271"/>
      <c r="F3103" s="271"/>
      <c r="G3103" s="273"/>
      <c r="H3103" s="29" t="str">
        <f>IF(A3103="","",VLOOKUP(A3103,AA_Cuadrillas,4,FALSE))</f>
        <v/>
      </c>
      <c r="I3103" s="394" t="str">
        <f>IF(A3103="","",VLOOKUP(A3103,AA_Cuadrillas,5,FALSE))</f>
        <v/>
      </c>
      <c r="J3103" s="273"/>
      <c r="K3103" s="9" t="str">
        <f>IF(A3103="","",F.P!$I$2)</f>
        <v/>
      </c>
      <c r="L3103" s="37"/>
      <c r="M3103" s="394" t="str">
        <f t="shared" si="422"/>
        <v/>
      </c>
      <c r="N3103" s="273"/>
    </row>
    <row r="3104" spans="1:14" ht="12.75" customHeight="1" x14ac:dyDescent="0.25">
      <c r="A3104" s="393"/>
      <c r="B3104" s="271"/>
      <c r="C3104" s="271"/>
      <c r="D3104" s="271"/>
      <c r="E3104" s="271"/>
      <c r="F3104" s="271"/>
      <c r="G3104" s="273"/>
      <c r="H3104" s="29" t="str">
        <f>IF(A3104="","",VLOOKUP(A3104,AA_Cuadrillas,4,FALSE))</f>
        <v/>
      </c>
      <c r="I3104" s="394" t="str">
        <f>IF(A3104="","",VLOOKUP(A3104,AA_Cuadrillas,5,FALSE))</f>
        <v/>
      </c>
      <c r="J3104" s="273"/>
      <c r="K3104" s="9" t="str">
        <f>IF(A3104="","",F.P!$I$2)</f>
        <v/>
      </c>
      <c r="L3104" s="37"/>
      <c r="M3104" s="394" t="str">
        <f t="shared" si="422"/>
        <v/>
      </c>
      <c r="N3104" s="273"/>
    </row>
    <row r="3105" spans="1:14" ht="12.75" customHeight="1" x14ac:dyDescent="0.25">
      <c r="A3105" s="393"/>
      <c r="B3105" s="271"/>
      <c r="C3105" s="271"/>
      <c r="D3105" s="271"/>
      <c r="E3105" s="271"/>
      <c r="F3105" s="271"/>
      <c r="G3105" s="273"/>
      <c r="H3105" s="29" t="str">
        <f>IF(A3105="","",VLOOKUP(A3105,AA_Cuadrillas,4,FALSE))</f>
        <v/>
      </c>
      <c r="I3105" s="394" t="str">
        <f>IF(A3105="","",VLOOKUP(A3105,AA_Cuadrillas,5,FALSE))</f>
        <v/>
      </c>
      <c r="J3105" s="273"/>
      <c r="K3105" s="9" t="str">
        <f>IF(A3105="","",F.P!$I$2)</f>
        <v/>
      </c>
      <c r="L3105" s="37"/>
      <c r="M3105" s="394" t="str">
        <f t="shared" si="422"/>
        <v/>
      </c>
      <c r="N3105" s="273"/>
    </row>
    <row r="3106" spans="1:14" ht="12.75" customHeight="1" x14ac:dyDescent="0.25">
      <c r="A3106" s="4"/>
      <c r="B3106" s="4"/>
      <c r="C3106" s="4"/>
      <c r="D3106" s="4"/>
      <c r="E3106" s="4"/>
      <c r="F3106" s="4"/>
      <c r="G3106" s="4"/>
      <c r="H3106" s="4"/>
      <c r="I3106" s="4"/>
      <c r="J3106" s="4"/>
      <c r="K3106" s="396" t="s">
        <v>444</v>
      </c>
      <c r="L3106" s="273"/>
      <c r="M3106" s="394">
        <f>SUM(M3101:N3105)</f>
        <v>87778.61</v>
      </c>
      <c r="N3106" s="273"/>
    </row>
    <row r="3107" spans="1:14" ht="12.75" customHeight="1" x14ac:dyDescent="0.2"/>
    <row r="3108" spans="1:14" ht="12.75" customHeight="1" x14ac:dyDescent="0.2">
      <c r="A3108" s="407" t="s">
        <v>1117</v>
      </c>
      <c r="B3108" s="275"/>
      <c r="C3108" s="275"/>
      <c r="D3108" s="275"/>
      <c r="E3108" s="275"/>
      <c r="F3108" s="275"/>
      <c r="G3108" s="275"/>
      <c r="H3108" s="275"/>
      <c r="I3108" s="275"/>
      <c r="J3108" s="275"/>
      <c r="K3108" s="275"/>
      <c r="L3108" s="275"/>
      <c r="M3108" s="275"/>
      <c r="N3108" s="276"/>
    </row>
    <row r="3109" spans="1:14" ht="12.75" customHeight="1" x14ac:dyDescent="0.2">
      <c r="A3109" s="277"/>
      <c r="B3109" s="278"/>
      <c r="C3109" s="278"/>
      <c r="D3109" s="278"/>
      <c r="E3109" s="278"/>
      <c r="F3109" s="278"/>
      <c r="G3109" s="278"/>
      <c r="H3109" s="278"/>
      <c r="I3109" s="278"/>
      <c r="J3109" s="278"/>
      <c r="K3109" s="278"/>
      <c r="L3109" s="278"/>
      <c r="M3109" s="278"/>
      <c r="N3109" s="279"/>
    </row>
    <row r="3110" spans="1:14" ht="12.75" customHeight="1" x14ac:dyDescent="0.2">
      <c r="A3110" s="75"/>
      <c r="B3110" s="75"/>
      <c r="C3110" s="75"/>
      <c r="D3110" s="75"/>
      <c r="E3110" s="75"/>
      <c r="F3110" s="75"/>
      <c r="G3110" s="75"/>
      <c r="H3110" s="75"/>
      <c r="I3110" s="75"/>
      <c r="J3110" s="75"/>
      <c r="K3110" s="75"/>
      <c r="L3110" s="75"/>
      <c r="M3110" s="75"/>
      <c r="N3110" s="75"/>
    </row>
    <row r="3111" spans="1:14" ht="12.75" customHeight="1" x14ac:dyDescent="0.3">
      <c r="A3111" s="79" t="s">
        <v>686</v>
      </c>
      <c r="B3111" s="80" t="str">
        <f>A3108</f>
        <v>SUMINISTRO E INSTALACIÓN DE PASAMURO L= 0,50m Ø2" EN HIERRO DUCTIL</v>
      </c>
      <c r="C3111" s="81" t="s">
        <v>916</v>
      </c>
      <c r="D3111" s="82" t="s">
        <v>999</v>
      </c>
      <c r="E3111" s="83" t="s">
        <v>445</v>
      </c>
      <c r="F3111" s="86">
        <f>H3111+J3111+L3111+N3111</f>
        <v>232167.5405</v>
      </c>
      <c r="G3111" s="83" t="s">
        <v>607</v>
      </c>
      <c r="H3111" s="86">
        <f>M3121</f>
        <v>140000</v>
      </c>
      <c r="I3111" s="83" t="s">
        <v>918</v>
      </c>
      <c r="J3111" s="86">
        <f>M3130</f>
        <v>4388.9305000000004</v>
      </c>
      <c r="K3111" s="83" t="s">
        <v>609</v>
      </c>
      <c r="L3111" s="86">
        <f>M3139</f>
        <v>0</v>
      </c>
      <c r="M3111" s="83" t="s">
        <v>610</v>
      </c>
      <c r="N3111" s="86">
        <f>M3148</f>
        <v>87778.61</v>
      </c>
    </row>
    <row r="3112" spans="1:14" ht="12.75" customHeight="1" x14ac:dyDescent="0.25">
      <c r="A3112" s="87"/>
      <c r="B3112" s="87"/>
      <c r="C3112" s="87"/>
      <c r="D3112" s="87"/>
      <c r="E3112" s="87"/>
      <c r="F3112" s="87"/>
      <c r="G3112" s="87"/>
      <c r="J3112" s="87"/>
      <c r="K3112" s="215" t="s">
        <v>3217</v>
      </c>
      <c r="L3112" s="215">
        <f>+F3111*presup!$O$5</f>
        <v>301817.80265000003</v>
      </c>
      <c r="M3112" s="87"/>
      <c r="N3112" s="87"/>
    </row>
    <row r="3113" spans="1:14" ht="12.75" customHeight="1" x14ac:dyDescent="0.2">
      <c r="A3113" s="398" t="s">
        <v>919</v>
      </c>
      <c r="B3113" s="271"/>
      <c r="C3113" s="271"/>
      <c r="D3113" s="271"/>
      <c r="E3113" s="271"/>
      <c r="F3113" s="271"/>
      <c r="G3113" s="271"/>
      <c r="H3113" s="271"/>
      <c r="I3113" s="271"/>
      <c r="J3113" s="271"/>
      <c r="K3113" s="271"/>
      <c r="L3113" s="271"/>
      <c r="M3113" s="271"/>
      <c r="N3113" s="273"/>
    </row>
    <row r="3114" spans="1:14" ht="12.75" customHeight="1" x14ac:dyDescent="0.2">
      <c r="A3114" s="396" t="s">
        <v>76</v>
      </c>
      <c r="B3114" s="271"/>
      <c r="C3114" s="271"/>
      <c r="D3114" s="271"/>
      <c r="E3114" s="271"/>
      <c r="F3114" s="271"/>
      <c r="G3114" s="273"/>
      <c r="H3114" s="88" t="s">
        <v>77</v>
      </c>
      <c r="I3114" s="399" t="s">
        <v>920</v>
      </c>
      <c r="J3114" s="273"/>
      <c r="K3114" s="399" t="s">
        <v>453</v>
      </c>
      <c r="L3114" s="273"/>
      <c r="M3114" s="399" t="s">
        <v>921</v>
      </c>
      <c r="N3114" s="273"/>
    </row>
    <row r="3115" spans="1:14" ht="12.75" customHeight="1" x14ac:dyDescent="0.2">
      <c r="A3115" s="403" t="s">
        <v>1118</v>
      </c>
      <c r="B3115" s="271"/>
      <c r="C3115" s="271"/>
      <c r="D3115" s="271"/>
      <c r="E3115" s="271"/>
      <c r="F3115" s="271"/>
      <c r="G3115" s="273"/>
      <c r="H3115" s="29" t="str">
        <f t="shared" ref="H3115:H3120" si="423">IF(A3115="","",VLOOKUP(A3115,AA_Materiales,7,FALSE))</f>
        <v>Unidad</v>
      </c>
      <c r="I3115" s="394">
        <f t="shared" ref="I3115:I3120" si="424">IF(A3115="","",VLOOKUP(A3115,AA_Materiales,8,FALSE))</f>
        <v>140000</v>
      </c>
      <c r="J3115" s="273"/>
      <c r="K3115" s="395">
        <v>1</v>
      </c>
      <c r="L3115" s="273"/>
      <c r="M3115" s="394">
        <f t="shared" ref="M3115:M3120" si="425">IF(A3115="","",I3115*K3115)</f>
        <v>140000</v>
      </c>
      <c r="N3115" s="273"/>
    </row>
    <row r="3116" spans="1:14" ht="12.75" customHeight="1" x14ac:dyDescent="0.2">
      <c r="A3116" s="403"/>
      <c r="B3116" s="271"/>
      <c r="C3116" s="271"/>
      <c r="D3116" s="271"/>
      <c r="E3116" s="271"/>
      <c r="F3116" s="271"/>
      <c r="G3116" s="273"/>
      <c r="H3116" s="29" t="str">
        <f t="shared" si="423"/>
        <v/>
      </c>
      <c r="I3116" s="394" t="str">
        <f t="shared" si="424"/>
        <v/>
      </c>
      <c r="J3116" s="273"/>
      <c r="K3116" s="395"/>
      <c r="L3116" s="273"/>
      <c r="M3116" s="394" t="str">
        <f t="shared" si="425"/>
        <v/>
      </c>
      <c r="N3116" s="273"/>
    </row>
    <row r="3117" spans="1:14" ht="12.75" customHeight="1" x14ac:dyDescent="0.2">
      <c r="A3117" s="403"/>
      <c r="B3117" s="271"/>
      <c r="C3117" s="271"/>
      <c r="D3117" s="271"/>
      <c r="E3117" s="271"/>
      <c r="F3117" s="271"/>
      <c r="G3117" s="273"/>
      <c r="H3117" s="29" t="str">
        <f t="shared" si="423"/>
        <v/>
      </c>
      <c r="I3117" s="394" t="str">
        <f t="shared" si="424"/>
        <v/>
      </c>
      <c r="J3117" s="273"/>
      <c r="K3117" s="395"/>
      <c r="L3117" s="273"/>
      <c r="M3117" s="394" t="str">
        <f t="shared" si="425"/>
        <v/>
      </c>
      <c r="N3117" s="273"/>
    </row>
    <row r="3118" spans="1:14" ht="12.75" customHeight="1" x14ac:dyDescent="0.2">
      <c r="A3118" s="403"/>
      <c r="B3118" s="271"/>
      <c r="C3118" s="271"/>
      <c r="D3118" s="271"/>
      <c r="E3118" s="271"/>
      <c r="F3118" s="271"/>
      <c r="G3118" s="273"/>
      <c r="H3118" s="29" t="str">
        <f t="shared" si="423"/>
        <v/>
      </c>
      <c r="I3118" s="394" t="str">
        <f t="shared" si="424"/>
        <v/>
      </c>
      <c r="J3118" s="273"/>
      <c r="K3118" s="395"/>
      <c r="L3118" s="273"/>
      <c r="M3118" s="394" t="str">
        <f t="shared" si="425"/>
        <v/>
      </c>
      <c r="N3118" s="273"/>
    </row>
    <row r="3119" spans="1:14" ht="12.75" customHeight="1" x14ac:dyDescent="0.2">
      <c r="A3119" s="403"/>
      <c r="B3119" s="271"/>
      <c r="C3119" s="271"/>
      <c r="D3119" s="271"/>
      <c r="E3119" s="271"/>
      <c r="F3119" s="271"/>
      <c r="G3119" s="273"/>
      <c r="H3119" s="29" t="str">
        <f t="shared" si="423"/>
        <v/>
      </c>
      <c r="I3119" s="394" t="str">
        <f t="shared" si="424"/>
        <v/>
      </c>
      <c r="J3119" s="273"/>
      <c r="K3119" s="395"/>
      <c r="L3119" s="273"/>
      <c r="M3119" s="394" t="str">
        <f t="shared" si="425"/>
        <v/>
      </c>
      <c r="N3119" s="273"/>
    </row>
    <row r="3120" spans="1:14" ht="12.75" customHeight="1" x14ac:dyDescent="0.2">
      <c r="A3120" s="403"/>
      <c r="B3120" s="271"/>
      <c r="C3120" s="271"/>
      <c r="D3120" s="271"/>
      <c r="E3120" s="271"/>
      <c r="F3120" s="271"/>
      <c r="G3120" s="273"/>
      <c r="H3120" s="29" t="str">
        <f t="shared" si="423"/>
        <v/>
      </c>
      <c r="I3120" s="394" t="str">
        <f t="shared" si="424"/>
        <v/>
      </c>
      <c r="J3120" s="273"/>
      <c r="K3120" s="395"/>
      <c r="L3120" s="273"/>
      <c r="M3120" s="394" t="str">
        <f t="shared" si="425"/>
        <v/>
      </c>
      <c r="N3120" s="273"/>
    </row>
    <row r="3121" spans="1:14" ht="12.75" customHeight="1" x14ac:dyDescent="0.25">
      <c r="A3121" s="4"/>
      <c r="B3121" s="4"/>
      <c r="C3121" s="4"/>
      <c r="D3121" s="4"/>
      <c r="E3121" s="4"/>
      <c r="F3121" s="4"/>
      <c r="G3121" s="4"/>
      <c r="H3121" s="4"/>
      <c r="I3121" s="4"/>
      <c r="J3121" s="4"/>
      <c r="K3121" s="396" t="s">
        <v>444</v>
      </c>
      <c r="L3121" s="273"/>
      <c r="M3121" s="394">
        <f>SUM(M3115:N3120)</f>
        <v>140000</v>
      </c>
      <c r="N3121" s="273"/>
    </row>
    <row r="3122" spans="1:14" ht="12.75" customHeight="1" x14ac:dyDescent="0.25">
      <c r="A3122" s="4"/>
      <c r="B3122" s="4"/>
      <c r="C3122" s="4"/>
      <c r="D3122" s="4"/>
      <c r="E3122" s="4"/>
      <c r="F3122" s="4"/>
      <c r="G3122" s="4"/>
      <c r="H3122" s="4"/>
      <c r="I3122" s="4"/>
      <c r="J3122" s="4"/>
      <c r="K3122" s="4"/>
      <c r="L3122" s="4"/>
      <c r="M3122" s="4"/>
      <c r="N3122" s="4"/>
    </row>
    <row r="3123" spans="1:14" ht="12.75" customHeight="1" x14ac:dyDescent="0.2">
      <c r="A3123" s="398" t="s">
        <v>926</v>
      </c>
      <c r="B3123" s="271"/>
      <c r="C3123" s="271"/>
      <c r="D3123" s="271"/>
      <c r="E3123" s="271"/>
      <c r="F3123" s="271"/>
      <c r="G3123" s="271"/>
      <c r="H3123" s="271"/>
      <c r="I3123" s="271"/>
      <c r="J3123" s="271"/>
      <c r="K3123" s="271"/>
      <c r="L3123" s="271"/>
      <c r="M3123" s="271"/>
      <c r="N3123" s="273"/>
    </row>
    <row r="3124" spans="1:14" ht="12.75" customHeight="1" x14ac:dyDescent="0.2">
      <c r="A3124" s="396" t="s">
        <v>76</v>
      </c>
      <c r="B3124" s="271"/>
      <c r="C3124" s="271"/>
      <c r="D3124" s="271"/>
      <c r="E3124" s="271"/>
      <c r="F3124" s="271"/>
      <c r="G3124" s="273"/>
      <c r="H3124" s="88" t="s">
        <v>77</v>
      </c>
      <c r="I3124" s="399" t="s">
        <v>920</v>
      </c>
      <c r="J3124" s="273"/>
      <c r="K3124" s="399" t="s">
        <v>453</v>
      </c>
      <c r="L3124" s="273"/>
      <c r="M3124" s="399" t="s">
        <v>921</v>
      </c>
      <c r="N3124" s="273"/>
    </row>
    <row r="3125" spans="1:14" ht="12.75" customHeight="1" x14ac:dyDescent="0.2">
      <c r="A3125" s="400" t="s">
        <v>927</v>
      </c>
      <c r="B3125" s="271"/>
      <c r="C3125" s="271"/>
      <c r="D3125" s="271"/>
      <c r="E3125" s="271"/>
      <c r="F3125" s="271"/>
      <c r="G3125" s="273"/>
      <c r="H3125" s="29" t="str">
        <f>IF(A3125="","",VLOOKUP(A3125,AA_Equipos,7,FALSE))</f>
        <v>% M.O.</v>
      </c>
      <c r="I3125" s="394">
        <f>+M3148</f>
        <v>87778.61</v>
      </c>
      <c r="J3125" s="273"/>
      <c r="K3125" s="404">
        <v>0.05</v>
      </c>
      <c r="L3125" s="273"/>
      <c r="M3125" s="394">
        <f t="shared" ref="M3125:M3129" si="426">IF(A3125="","",I3125*K3125)</f>
        <v>4388.9305000000004</v>
      </c>
      <c r="N3125" s="273"/>
    </row>
    <row r="3126" spans="1:14" ht="12.75" customHeight="1" x14ac:dyDescent="0.2">
      <c r="A3126" s="403"/>
      <c r="B3126" s="271"/>
      <c r="C3126" s="271"/>
      <c r="D3126" s="271"/>
      <c r="E3126" s="271"/>
      <c r="F3126" s="271"/>
      <c r="G3126" s="273"/>
      <c r="H3126" s="29" t="str">
        <f>IF(A3126="","",VLOOKUP(A3126,AA_Equipos,7,FALSE))</f>
        <v/>
      </c>
      <c r="I3126" s="394" t="str">
        <f>IF(A3126="","",VLOOKUP(A3126,AA_Equipos,8,FALSE))</f>
        <v/>
      </c>
      <c r="J3126" s="273"/>
      <c r="K3126" s="402"/>
      <c r="L3126" s="273"/>
      <c r="M3126" s="394" t="str">
        <f t="shared" si="426"/>
        <v/>
      </c>
      <c r="N3126" s="273"/>
    </row>
    <row r="3127" spans="1:14" ht="12.75" customHeight="1" x14ac:dyDescent="0.2">
      <c r="A3127" s="400"/>
      <c r="B3127" s="271"/>
      <c r="C3127" s="271"/>
      <c r="D3127" s="271"/>
      <c r="E3127" s="271"/>
      <c r="F3127" s="271"/>
      <c r="G3127" s="273"/>
      <c r="H3127" s="29" t="str">
        <f>IF(A3127="","",VLOOKUP(A3127,AA_Equipos,7,FALSE))</f>
        <v/>
      </c>
      <c r="I3127" s="394" t="str">
        <f>IF(A3127="","",VLOOKUP(A3127,AA_Equipos,8,FALSE))</f>
        <v/>
      </c>
      <c r="J3127" s="273"/>
      <c r="K3127" s="401"/>
      <c r="L3127" s="273"/>
      <c r="M3127" s="394" t="str">
        <f t="shared" si="426"/>
        <v/>
      </c>
      <c r="N3127" s="273"/>
    </row>
    <row r="3128" spans="1:14" ht="12.75" customHeight="1" x14ac:dyDescent="0.2">
      <c r="A3128" s="400"/>
      <c r="B3128" s="271"/>
      <c r="C3128" s="271"/>
      <c r="D3128" s="271"/>
      <c r="E3128" s="271"/>
      <c r="F3128" s="271"/>
      <c r="G3128" s="273"/>
      <c r="H3128" s="29" t="str">
        <f>IF(A3128="","",VLOOKUP(A3128,AA_Equipos,7,FALSE))</f>
        <v/>
      </c>
      <c r="I3128" s="394" t="str">
        <f>IF(A3128="","",VLOOKUP(A3128,AA_Equipos,8,FALSE))</f>
        <v/>
      </c>
      <c r="J3128" s="273"/>
      <c r="K3128" s="395"/>
      <c r="L3128" s="273"/>
      <c r="M3128" s="394" t="str">
        <f t="shared" si="426"/>
        <v/>
      </c>
      <c r="N3128" s="273"/>
    </row>
    <row r="3129" spans="1:14" ht="12.75" customHeight="1" x14ac:dyDescent="0.2">
      <c r="A3129" s="400"/>
      <c r="B3129" s="271"/>
      <c r="C3129" s="271"/>
      <c r="D3129" s="271"/>
      <c r="E3129" s="271"/>
      <c r="F3129" s="271"/>
      <c r="G3129" s="273"/>
      <c r="H3129" s="29" t="str">
        <f>IF(A3129="","",VLOOKUP(A3129,AA_Equipos,7,FALSE))</f>
        <v/>
      </c>
      <c r="I3129" s="394" t="str">
        <f>IF(A3129="","",VLOOKUP(A3129,AA_Equipos,8,FALSE))</f>
        <v/>
      </c>
      <c r="J3129" s="273"/>
      <c r="K3129" s="395"/>
      <c r="L3129" s="273"/>
      <c r="M3129" s="394" t="str">
        <f t="shared" si="426"/>
        <v/>
      </c>
      <c r="N3129" s="273"/>
    </row>
    <row r="3130" spans="1:14" ht="12.75" customHeight="1" x14ac:dyDescent="0.25">
      <c r="A3130" s="4"/>
      <c r="B3130" s="4"/>
      <c r="C3130" s="4"/>
      <c r="D3130" s="4"/>
      <c r="E3130" s="4"/>
      <c r="F3130" s="4"/>
      <c r="G3130" s="4"/>
      <c r="H3130" s="4"/>
      <c r="I3130" s="4"/>
      <c r="J3130" s="4"/>
      <c r="K3130" s="396" t="s">
        <v>444</v>
      </c>
      <c r="L3130" s="273"/>
      <c r="M3130" s="394">
        <f>SUM(M3125:N3129)</f>
        <v>4388.9305000000004</v>
      </c>
      <c r="N3130" s="273"/>
    </row>
    <row r="3131" spans="1:14" ht="12.75" customHeight="1" x14ac:dyDescent="0.25">
      <c r="A3131" s="4"/>
      <c r="B3131" s="4"/>
      <c r="C3131" s="4"/>
      <c r="D3131" s="4"/>
      <c r="E3131" s="4"/>
      <c r="F3131" s="4"/>
      <c r="G3131" s="4"/>
      <c r="H3131" s="4"/>
      <c r="I3131" s="4"/>
      <c r="J3131" s="4"/>
      <c r="K3131" s="4"/>
      <c r="L3131" s="4"/>
      <c r="M3131" s="4"/>
      <c r="N3131" s="4"/>
    </row>
    <row r="3132" spans="1:14" ht="12.75" customHeight="1" x14ac:dyDescent="0.2">
      <c r="A3132" s="398" t="s">
        <v>929</v>
      </c>
      <c r="B3132" s="271"/>
      <c r="C3132" s="271"/>
      <c r="D3132" s="271"/>
      <c r="E3132" s="271"/>
      <c r="F3132" s="271"/>
      <c r="G3132" s="271"/>
      <c r="H3132" s="271"/>
      <c r="I3132" s="271"/>
      <c r="J3132" s="271"/>
      <c r="K3132" s="271"/>
      <c r="L3132" s="271"/>
      <c r="M3132" s="271"/>
      <c r="N3132" s="273"/>
    </row>
    <row r="3133" spans="1:14" ht="12.75" customHeight="1" x14ac:dyDescent="0.2">
      <c r="A3133" s="396" t="s">
        <v>76</v>
      </c>
      <c r="B3133" s="271"/>
      <c r="C3133" s="271"/>
      <c r="D3133" s="271"/>
      <c r="E3133" s="271"/>
      <c r="F3133" s="271"/>
      <c r="G3133" s="273"/>
      <c r="H3133" s="88" t="s">
        <v>77</v>
      </c>
      <c r="I3133" s="399" t="s">
        <v>920</v>
      </c>
      <c r="J3133" s="273"/>
      <c r="K3133" s="399" t="s">
        <v>453</v>
      </c>
      <c r="L3133" s="273"/>
      <c r="M3133" s="399" t="s">
        <v>921</v>
      </c>
      <c r="N3133" s="273"/>
    </row>
    <row r="3134" spans="1:14" ht="12.75" customHeight="1" x14ac:dyDescent="0.2">
      <c r="A3134" s="400" t="s">
        <v>966</v>
      </c>
      <c r="B3134" s="271"/>
      <c r="C3134" s="271"/>
      <c r="D3134" s="271"/>
      <c r="E3134" s="271"/>
      <c r="F3134" s="271"/>
      <c r="G3134" s="273"/>
      <c r="H3134" s="29"/>
      <c r="I3134" s="394"/>
      <c r="J3134" s="273"/>
      <c r="K3134" s="417"/>
      <c r="L3134" s="273"/>
      <c r="M3134" s="394">
        <f t="shared" ref="M3134:M3138" si="427">IF(A3134="","",I3134*K3134)</f>
        <v>0</v>
      </c>
      <c r="N3134" s="273"/>
    </row>
    <row r="3135" spans="1:14" ht="12.75" customHeight="1" x14ac:dyDescent="0.2">
      <c r="A3135" s="403"/>
      <c r="B3135" s="271"/>
      <c r="C3135" s="271"/>
      <c r="D3135" s="271"/>
      <c r="E3135" s="271"/>
      <c r="F3135" s="271"/>
      <c r="G3135" s="273"/>
      <c r="H3135" s="29"/>
      <c r="I3135" s="394"/>
      <c r="J3135" s="273"/>
      <c r="K3135" s="404"/>
      <c r="L3135" s="273"/>
      <c r="M3135" s="394" t="str">
        <f t="shared" si="427"/>
        <v/>
      </c>
      <c r="N3135" s="273"/>
    </row>
    <row r="3136" spans="1:14" ht="12.75" customHeight="1" x14ac:dyDescent="0.2">
      <c r="A3136" s="400"/>
      <c r="B3136" s="271"/>
      <c r="C3136" s="271"/>
      <c r="D3136" s="271"/>
      <c r="E3136" s="271"/>
      <c r="F3136" s="271"/>
      <c r="G3136" s="273"/>
      <c r="H3136" s="29"/>
      <c r="I3136" s="394"/>
      <c r="J3136" s="273"/>
      <c r="K3136" s="395"/>
      <c r="L3136" s="273"/>
      <c r="M3136" s="394" t="str">
        <f t="shared" si="427"/>
        <v/>
      </c>
      <c r="N3136" s="273"/>
    </row>
    <row r="3137" spans="1:14" ht="12.75" customHeight="1" x14ac:dyDescent="0.2">
      <c r="A3137" s="400"/>
      <c r="B3137" s="271"/>
      <c r="C3137" s="271"/>
      <c r="D3137" s="271"/>
      <c r="E3137" s="271"/>
      <c r="F3137" s="271"/>
      <c r="G3137" s="273"/>
      <c r="H3137" s="29"/>
      <c r="I3137" s="394"/>
      <c r="J3137" s="273"/>
      <c r="K3137" s="395"/>
      <c r="L3137" s="273"/>
      <c r="M3137" s="394" t="str">
        <f t="shared" si="427"/>
        <v/>
      </c>
      <c r="N3137" s="273"/>
    </row>
    <row r="3138" spans="1:14" ht="12.75" customHeight="1" x14ac:dyDescent="0.2">
      <c r="A3138" s="400"/>
      <c r="B3138" s="271"/>
      <c r="C3138" s="271"/>
      <c r="D3138" s="271"/>
      <c r="E3138" s="271"/>
      <c r="F3138" s="271"/>
      <c r="G3138" s="273"/>
      <c r="H3138" s="29"/>
      <c r="I3138" s="394"/>
      <c r="J3138" s="273"/>
      <c r="K3138" s="395"/>
      <c r="L3138" s="273"/>
      <c r="M3138" s="394" t="str">
        <f t="shared" si="427"/>
        <v/>
      </c>
      <c r="N3138" s="273"/>
    </row>
    <row r="3139" spans="1:14" ht="12.75" customHeight="1" x14ac:dyDescent="0.25">
      <c r="A3139" s="4"/>
      <c r="B3139" s="4"/>
      <c r="C3139" s="4"/>
      <c r="D3139" s="4"/>
      <c r="E3139" s="4"/>
      <c r="F3139" s="4"/>
      <c r="G3139" s="4"/>
      <c r="H3139" s="4"/>
      <c r="I3139" s="4"/>
      <c r="J3139" s="4"/>
      <c r="K3139" s="396" t="s">
        <v>444</v>
      </c>
      <c r="L3139" s="273"/>
      <c r="M3139" s="394">
        <f>SUM(M3134:N3138)</f>
        <v>0</v>
      </c>
      <c r="N3139" s="273"/>
    </row>
    <row r="3140" spans="1:14" ht="12.75" customHeight="1" x14ac:dyDescent="0.25">
      <c r="A3140" s="4"/>
      <c r="B3140" s="4"/>
      <c r="C3140" s="4"/>
      <c r="D3140" s="4"/>
      <c r="E3140" s="4"/>
      <c r="F3140" s="4"/>
      <c r="G3140" s="4"/>
      <c r="H3140" s="4"/>
      <c r="I3140" s="4"/>
      <c r="J3140" s="4"/>
      <c r="K3140" s="4"/>
      <c r="L3140" s="4"/>
      <c r="M3140" s="4"/>
      <c r="N3140" s="4"/>
    </row>
    <row r="3141" spans="1:14" ht="12.75" customHeight="1" x14ac:dyDescent="0.2">
      <c r="A3141" s="398" t="s">
        <v>931</v>
      </c>
      <c r="B3141" s="271"/>
      <c r="C3141" s="271"/>
      <c r="D3141" s="271"/>
      <c r="E3141" s="271"/>
      <c r="F3141" s="271"/>
      <c r="G3141" s="271"/>
      <c r="H3141" s="271"/>
      <c r="I3141" s="271"/>
      <c r="J3141" s="271"/>
      <c r="K3141" s="271"/>
      <c r="L3141" s="271"/>
      <c r="M3141" s="271"/>
      <c r="N3141" s="273"/>
    </row>
    <row r="3142" spans="1:14" ht="12.75" customHeight="1" x14ac:dyDescent="0.2">
      <c r="A3142" s="396" t="s">
        <v>76</v>
      </c>
      <c r="B3142" s="271"/>
      <c r="C3142" s="271"/>
      <c r="D3142" s="271"/>
      <c r="E3142" s="271"/>
      <c r="F3142" s="271"/>
      <c r="G3142" s="273"/>
      <c r="H3142" s="88" t="s">
        <v>77</v>
      </c>
      <c r="I3142" s="399" t="s">
        <v>920</v>
      </c>
      <c r="J3142" s="273"/>
      <c r="K3142" s="90" t="s">
        <v>514</v>
      </c>
      <c r="L3142" s="91" t="s">
        <v>932</v>
      </c>
      <c r="M3142" s="399" t="s">
        <v>921</v>
      </c>
      <c r="N3142" s="273"/>
    </row>
    <row r="3143" spans="1:14" ht="12.75" customHeight="1" x14ac:dyDescent="0.25">
      <c r="A3143" s="393" t="s">
        <v>986</v>
      </c>
      <c r="B3143" s="271"/>
      <c r="C3143" s="271"/>
      <c r="D3143" s="271"/>
      <c r="E3143" s="271"/>
      <c r="F3143" s="271"/>
      <c r="G3143" s="273"/>
      <c r="H3143" s="29" t="str">
        <f>IF(A3143="","",VLOOKUP(A3143,AA_Cuadrillas,4,FALSE))</f>
        <v>Cuadrilla</v>
      </c>
      <c r="I3143" s="394">
        <f>IF(A3143="","",VLOOKUP(A3143,AA_Cuadrillas,5,FALSE))</f>
        <v>186763</v>
      </c>
      <c r="J3143" s="273"/>
      <c r="K3143" s="9">
        <f>IF(A3143="","",F.P!$I$2)</f>
        <v>1.88</v>
      </c>
      <c r="L3143" s="97">
        <v>0.25</v>
      </c>
      <c r="M3143" s="394">
        <f t="shared" ref="M3143:M3147" si="428">IF(A3143="","",I3143*K3143*L3143)</f>
        <v>87778.61</v>
      </c>
      <c r="N3143" s="273"/>
    </row>
    <row r="3144" spans="1:14" ht="12.75" customHeight="1" x14ac:dyDescent="0.25">
      <c r="A3144" s="393"/>
      <c r="B3144" s="271"/>
      <c r="C3144" s="271"/>
      <c r="D3144" s="271"/>
      <c r="E3144" s="271"/>
      <c r="F3144" s="271"/>
      <c r="G3144" s="273"/>
      <c r="H3144" s="29" t="str">
        <f>IF(A3144="","",VLOOKUP(A3144,AA_Cuadrillas,4,FALSE))</f>
        <v/>
      </c>
      <c r="I3144" s="394" t="str">
        <f>IF(A3144="","",VLOOKUP(A3144,AA_Cuadrillas,5,FALSE))</f>
        <v/>
      </c>
      <c r="J3144" s="273"/>
      <c r="K3144" s="9" t="str">
        <f>IF(A3144="","",F.P!$I$2)</f>
        <v/>
      </c>
      <c r="L3144" s="9"/>
      <c r="M3144" s="394" t="str">
        <f t="shared" si="428"/>
        <v/>
      </c>
      <c r="N3144" s="273"/>
    </row>
    <row r="3145" spans="1:14" ht="12.75" customHeight="1" x14ac:dyDescent="0.25">
      <c r="A3145" s="393"/>
      <c r="B3145" s="271"/>
      <c r="C3145" s="271"/>
      <c r="D3145" s="271"/>
      <c r="E3145" s="271"/>
      <c r="F3145" s="271"/>
      <c r="G3145" s="273"/>
      <c r="H3145" s="29" t="str">
        <f>IF(A3145="","",VLOOKUP(A3145,AA_Cuadrillas,4,FALSE))</f>
        <v/>
      </c>
      <c r="I3145" s="394" t="str">
        <f>IF(A3145="","",VLOOKUP(A3145,AA_Cuadrillas,5,FALSE))</f>
        <v/>
      </c>
      <c r="J3145" s="273"/>
      <c r="K3145" s="9" t="str">
        <f>IF(A3145="","",F.P!$I$2)</f>
        <v/>
      </c>
      <c r="L3145" s="37"/>
      <c r="M3145" s="394" t="str">
        <f t="shared" si="428"/>
        <v/>
      </c>
      <c r="N3145" s="273"/>
    </row>
    <row r="3146" spans="1:14" ht="12.75" customHeight="1" x14ac:dyDescent="0.25">
      <c r="A3146" s="393"/>
      <c r="B3146" s="271"/>
      <c r="C3146" s="271"/>
      <c r="D3146" s="271"/>
      <c r="E3146" s="271"/>
      <c r="F3146" s="271"/>
      <c r="G3146" s="273"/>
      <c r="H3146" s="29" t="str">
        <f>IF(A3146="","",VLOOKUP(A3146,AA_Cuadrillas,4,FALSE))</f>
        <v/>
      </c>
      <c r="I3146" s="394" t="str">
        <f>IF(A3146="","",VLOOKUP(A3146,AA_Cuadrillas,5,FALSE))</f>
        <v/>
      </c>
      <c r="J3146" s="273"/>
      <c r="K3146" s="9" t="str">
        <f>IF(A3146="","",F.P!$I$2)</f>
        <v/>
      </c>
      <c r="L3146" s="37"/>
      <c r="M3146" s="394" t="str">
        <f t="shared" si="428"/>
        <v/>
      </c>
      <c r="N3146" s="273"/>
    </row>
    <row r="3147" spans="1:14" ht="12.75" customHeight="1" x14ac:dyDescent="0.25">
      <c r="A3147" s="393"/>
      <c r="B3147" s="271"/>
      <c r="C3147" s="271"/>
      <c r="D3147" s="271"/>
      <c r="E3147" s="271"/>
      <c r="F3147" s="271"/>
      <c r="G3147" s="273"/>
      <c r="H3147" s="29" t="str">
        <f>IF(A3147="","",VLOOKUP(A3147,AA_Cuadrillas,4,FALSE))</f>
        <v/>
      </c>
      <c r="I3147" s="394" t="str">
        <f>IF(A3147="","",VLOOKUP(A3147,AA_Cuadrillas,5,FALSE))</f>
        <v/>
      </c>
      <c r="J3147" s="273"/>
      <c r="K3147" s="9" t="str">
        <f>IF(A3147="","",F.P!$I$2)</f>
        <v/>
      </c>
      <c r="L3147" s="37"/>
      <c r="M3147" s="394" t="str">
        <f t="shared" si="428"/>
        <v/>
      </c>
      <c r="N3147" s="273"/>
    </row>
    <row r="3148" spans="1:14" ht="12.75" customHeight="1" x14ac:dyDescent="0.25">
      <c r="A3148" s="4"/>
      <c r="B3148" s="4"/>
      <c r="C3148" s="4"/>
      <c r="D3148" s="4"/>
      <c r="E3148" s="4"/>
      <c r="F3148" s="4"/>
      <c r="G3148" s="4"/>
      <c r="H3148" s="4"/>
      <c r="I3148" s="4"/>
      <c r="J3148" s="4"/>
      <c r="K3148" s="396" t="s">
        <v>444</v>
      </c>
      <c r="L3148" s="273"/>
      <c r="M3148" s="394">
        <f>SUM(M3143:N3147)</f>
        <v>87778.61</v>
      </c>
      <c r="N3148" s="273"/>
    </row>
    <row r="3149" spans="1:14" ht="12.75" customHeight="1" x14ac:dyDescent="0.2"/>
    <row r="3150" spans="1:14" ht="12.75" customHeight="1" x14ac:dyDescent="0.2">
      <c r="A3150" s="407" t="s">
        <v>1119</v>
      </c>
      <c r="B3150" s="275"/>
      <c r="C3150" s="275"/>
      <c r="D3150" s="275"/>
      <c r="E3150" s="275"/>
      <c r="F3150" s="275"/>
      <c r="G3150" s="275"/>
      <c r="H3150" s="275"/>
      <c r="I3150" s="275"/>
      <c r="J3150" s="275"/>
      <c r="K3150" s="275"/>
      <c r="L3150" s="275"/>
      <c r="M3150" s="275"/>
      <c r="N3150" s="276"/>
    </row>
    <row r="3151" spans="1:14" ht="12.75" customHeight="1" x14ac:dyDescent="0.2">
      <c r="A3151" s="277"/>
      <c r="B3151" s="278"/>
      <c r="C3151" s="278"/>
      <c r="D3151" s="278"/>
      <c r="E3151" s="278"/>
      <c r="F3151" s="278"/>
      <c r="G3151" s="278"/>
      <c r="H3151" s="278"/>
      <c r="I3151" s="278"/>
      <c r="J3151" s="278"/>
      <c r="K3151" s="278"/>
      <c r="L3151" s="278"/>
      <c r="M3151" s="278"/>
      <c r="N3151" s="279"/>
    </row>
    <row r="3152" spans="1:14" ht="12.75" customHeight="1" x14ac:dyDescent="0.2">
      <c r="A3152" s="75"/>
      <c r="B3152" s="75"/>
      <c r="C3152" s="75"/>
      <c r="D3152" s="75"/>
      <c r="E3152" s="75"/>
      <c r="F3152" s="75"/>
      <c r="G3152" s="75"/>
      <c r="H3152" s="75"/>
      <c r="I3152" s="75"/>
      <c r="J3152" s="75"/>
      <c r="K3152" s="75"/>
      <c r="L3152" s="75"/>
      <c r="M3152" s="75"/>
      <c r="N3152" s="75"/>
    </row>
    <row r="3153" spans="1:14" ht="12.75" customHeight="1" x14ac:dyDescent="0.3">
      <c r="A3153" s="79" t="s">
        <v>687</v>
      </c>
      <c r="B3153" s="80" t="str">
        <f>A3150</f>
        <v>SUMINISTRO E INSTALACIÓN DE PASAMURO L= 1m Ø2" EN HIERRO DUCTIL</v>
      </c>
      <c r="C3153" s="81" t="s">
        <v>916</v>
      </c>
      <c r="D3153" s="82" t="s">
        <v>999</v>
      </c>
      <c r="E3153" s="83" t="s">
        <v>445</v>
      </c>
      <c r="F3153" s="86">
        <f>H3153+J3153+L3153+N3153</f>
        <v>353187.5405</v>
      </c>
      <c r="G3153" s="83" t="s">
        <v>607</v>
      </c>
      <c r="H3153" s="86">
        <f>M3163</f>
        <v>261020</v>
      </c>
      <c r="I3153" s="83" t="s">
        <v>918</v>
      </c>
      <c r="J3153" s="86">
        <f>M3172</f>
        <v>4388.9305000000004</v>
      </c>
      <c r="K3153" s="83" t="s">
        <v>609</v>
      </c>
      <c r="L3153" s="86">
        <f>M3181</f>
        <v>0</v>
      </c>
      <c r="M3153" s="83" t="s">
        <v>610</v>
      </c>
      <c r="N3153" s="86">
        <f>M3190</f>
        <v>87778.61</v>
      </c>
    </row>
    <row r="3154" spans="1:14" ht="12.75" customHeight="1" x14ac:dyDescent="0.25">
      <c r="A3154" s="87"/>
      <c r="B3154" s="87"/>
      <c r="C3154" s="87"/>
      <c r="D3154" s="87"/>
      <c r="E3154" s="87"/>
      <c r="F3154" s="87"/>
      <c r="G3154" s="87"/>
      <c r="J3154" s="87"/>
      <c r="K3154" s="215" t="s">
        <v>3217</v>
      </c>
      <c r="L3154" s="215">
        <f>+F3153*presup!$O$5</f>
        <v>459143.80265000003</v>
      </c>
      <c r="M3154" s="87"/>
      <c r="N3154" s="87"/>
    </row>
    <row r="3155" spans="1:14" ht="12.75" customHeight="1" x14ac:dyDescent="0.2">
      <c r="A3155" s="398" t="s">
        <v>919</v>
      </c>
      <c r="B3155" s="271"/>
      <c r="C3155" s="271"/>
      <c r="D3155" s="271"/>
      <c r="E3155" s="271"/>
      <c r="F3155" s="271"/>
      <c r="G3155" s="271"/>
      <c r="H3155" s="271"/>
      <c r="I3155" s="271"/>
      <c r="J3155" s="271"/>
      <c r="K3155" s="271"/>
      <c r="L3155" s="271"/>
      <c r="M3155" s="271"/>
      <c r="N3155" s="273"/>
    </row>
    <row r="3156" spans="1:14" ht="12.75" customHeight="1" x14ac:dyDescent="0.2">
      <c r="A3156" s="396" t="s">
        <v>76</v>
      </c>
      <c r="B3156" s="271"/>
      <c r="C3156" s="271"/>
      <c r="D3156" s="271"/>
      <c r="E3156" s="271"/>
      <c r="F3156" s="271"/>
      <c r="G3156" s="273"/>
      <c r="H3156" s="88" t="s">
        <v>77</v>
      </c>
      <c r="I3156" s="399" t="s">
        <v>920</v>
      </c>
      <c r="J3156" s="273"/>
      <c r="K3156" s="399" t="s">
        <v>453</v>
      </c>
      <c r="L3156" s="273"/>
      <c r="M3156" s="399" t="s">
        <v>921</v>
      </c>
      <c r="N3156" s="273"/>
    </row>
    <row r="3157" spans="1:14" ht="12.75" customHeight="1" x14ac:dyDescent="0.2">
      <c r="A3157" s="403" t="s">
        <v>1120</v>
      </c>
      <c r="B3157" s="271"/>
      <c r="C3157" s="271"/>
      <c r="D3157" s="271"/>
      <c r="E3157" s="271"/>
      <c r="F3157" s="271"/>
      <c r="G3157" s="273"/>
      <c r="H3157" s="29" t="str">
        <f t="shared" ref="H3157:H3162" si="429">IF(A3157="","",VLOOKUP(A3157,AA_Materiales,7,FALSE))</f>
        <v>Unidad</v>
      </c>
      <c r="I3157" s="394">
        <f t="shared" ref="I3157:I3162" si="430">IF(A3157="","",VLOOKUP(A3157,AA_Materiales,8,FALSE))</f>
        <v>261020</v>
      </c>
      <c r="J3157" s="273"/>
      <c r="K3157" s="395">
        <v>1</v>
      </c>
      <c r="L3157" s="273"/>
      <c r="M3157" s="394">
        <f t="shared" ref="M3157:M3162" si="431">IF(A3157="","",I3157*K3157)</f>
        <v>261020</v>
      </c>
      <c r="N3157" s="273"/>
    </row>
    <row r="3158" spans="1:14" ht="12.75" customHeight="1" x14ac:dyDescent="0.2">
      <c r="A3158" s="403"/>
      <c r="B3158" s="271"/>
      <c r="C3158" s="271"/>
      <c r="D3158" s="271"/>
      <c r="E3158" s="271"/>
      <c r="F3158" s="271"/>
      <c r="G3158" s="273"/>
      <c r="H3158" s="29" t="str">
        <f t="shared" si="429"/>
        <v/>
      </c>
      <c r="I3158" s="394" t="str">
        <f t="shared" si="430"/>
        <v/>
      </c>
      <c r="J3158" s="273"/>
      <c r="K3158" s="395"/>
      <c r="L3158" s="273"/>
      <c r="M3158" s="394" t="str">
        <f t="shared" si="431"/>
        <v/>
      </c>
      <c r="N3158" s="273"/>
    </row>
    <row r="3159" spans="1:14" ht="12.75" customHeight="1" x14ac:dyDescent="0.2">
      <c r="A3159" s="403"/>
      <c r="B3159" s="271"/>
      <c r="C3159" s="271"/>
      <c r="D3159" s="271"/>
      <c r="E3159" s="271"/>
      <c r="F3159" s="271"/>
      <c r="G3159" s="273"/>
      <c r="H3159" s="29" t="str">
        <f t="shared" si="429"/>
        <v/>
      </c>
      <c r="I3159" s="394" t="str">
        <f t="shared" si="430"/>
        <v/>
      </c>
      <c r="J3159" s="273"/>
      <c r="K3159" s="395"/>
      <c r="L3159" s="273"/>
      <c r="M3159" s="394" t="str">
        <f t="shared" si="431"/>
        <v/>
      </c>
      <c r="N3159" s="273"/>
    </row>
    <row r="3160" spans="1:14" ht="12.75" customHeight="1" x14ac:dyDescent="0.2">
      <c r="A3160" s="403"/>
      <c r="B3160" s="271"/>
      <c r="C3160" s="271"/>
      <c r="D3160" s="271"/>
      <c r="E3160" s="271"/>
      <c r="F3160" s="271"/>
      <c r="G3160" s="273"/>
      <c r="H3160" s="29" t="str">
        <f t="shared" si="429"/>
        <v/>
      </c>
      <c r="I3160" s="394" t="str">
        <f t="shared" si="430"/>
        <v/>
      </c>
      <c r="J3160" s="273"/>
      <c r="K3160" s="395"/>
      <c r="L3160" s="273"/>
      <c r="M3160" s="394" t="str">
        <f t="shared" si="431"/>
        <v/>
      </c>
      <c r="N3160" s="273"/>
    </row>
    <row r="3161" spans="1:14" ht="12.75" customHeight="1" x14ac:dyDescent="0.2">
      <c r="A3161" s="403"/>
      <c r="B3161" s="271"/>
      <c r="C3161" s="271"/>
      <c r="D3161" s="271"/>
      <c r="E3161" s="271"/>
      <c r="F3161" s="271"/>
      <c r="G3161" s="273"/>
      <c r="H3161" s="29" t="str">
        <f t="shared" si="429"/>
        <v/>
      </c>
      <c r="I3161" s="394" t="str">
        <f t="shared" si="430"/>
        <v/>
      </c>
      <c r="J3161" s="273"/>
      <c r="K3161" s="395"/>
      <c r="L3161" s="273"/>
      <c r="M3161" s="394" t="str">
        <f t="shared" si="431"/>
        <v/>
      </c>
      <c r="N3161" s="273"/>
    </row>
    <row r="3162" spans="1:14" ht="12.75" customHeight="1" x14ac:dyDescent="0.2">
      <c r="A3162" s="403"/>
      <c r="B3162" s="271"/>
      <c r="C3162" s="271"/>
      <c r="D3162" s="271"/>
      <c r="E3162" s="271"/>
      <c r="F3162" s="271"/>
      <c r="G3162" s="273"/>
      <c r="H3162" s="29" t="str">
        <f t="shared" si="429"/>
        <v/>
      </c>
      <c r="I3162" s="394" t="str">
        <f t="shared" si="430"/>
        <v/>
      </c>
      <c r="J3162" s="273"/>
      <c r="K3162" s="395"/>
      <c r="L3162" s="273"/>
      <c r="M3162" s="394" t="str">
        <f t="shared" si="431"/>
        <v/>
      </c>
      <c r="N3162" s="273"/>
    </row>
    <row r="3163" spans="1:14" ht="12.75" customHeight="1" x14ac:dyDescent="0.25">
      <c r="A3163" s="4"/>
      <c r="B3163" s="4"/>
      <c r="C3163" s="4"/>
      <c r="D3163" s="4"/>
      <c r="E3163" s="4"/>
      <c r="F3163" s="4"/>
      <c r="G3163" s="4"/>
      <c r="H3163" s="4"/>
      <c r="I3163" s="4"/>
      <c r="J3163" s="4"/>
      <c r="K3163" s="396" t="s">
        <v>444</v>
      </c>
      <c r="L3163" s="273"/>
      <c r="M3163" s="394">
        <f>SUM(M3157:N3162)</f>
        <v>261020</v>
      </c>
      <c r="N3163" s="273"/>
    </row>
    <row r="3164" spans="1:14" ht="12.75" customHeight="1" x14ac:dyDescent="0.25">
      <c r="A3164" s="4"/>
      <c r="B3164" s="4"/>
      <c r="C3164" s="4"/>
      <c r="D3164" s="4"/>
      <c r="E3164" s="4"/>
      <c r="F3164" s="4"/>
      <c r="G3164" s="4"/>
      <c r="H3164" s="4"/>
      <c r="I3164" s="4"/>
      <c r="J3164" s="4"/>
      <c r="K3164" s="4"/>
      <c r="L3164" s="4"/>
      <c r="M3164" s="4"/>
      <c r="N3164" s="4"/>
    </row>
    <row r="3165" spans="1:14" ht="12.75" customHeight="1" x14ac:dyDescent="0.2">
      <c r="A3165" s="398" t="s">
        <v>926</v>
      </c>
      <c r="B3165" s="271"/>
      <c r="C3165" s="271"/>
      <c r="D3165" s="271"/>
      <c r="E3165" s="271"/>
      <c r="F3165" s="271"/>
      <c r="G3165" s="271"/>
      <c r="H3165" s="271"/>
      <c r="I3165" s="271"/>
      <c r="J3165" s="271"/>
      <c r="K3165" s="271"/>
      <c r="L3165" s="271"/>
      <c r="M3165" s="271"/>
      <c r="N3165" s="273"/>
    </row>
    <row r="3166" spans="1:14" ht="12.75" customHeight="1" x14ac:dyDescent="0.2">
      <c r="A3166" s="396" t="s">
        <v>76</v>
      </c>
      <c r="B3166" s="271"/>
      <c r="C3166" s="271"/>
      <c r="D3166" s="271"/>
      <c r="E3166" s="271"/>
      <c r="F3166" s="271"/>
      <c r="G3166" s="273"/>
      <c r="H3166" s="88" t="s">
        <v>77</v>
      </c>
      <c r="I3166" s="399" t="s">
        <v>920</v>
      </c>
      <c r="J3166" s="273"/>
      <c r="K3166" s="399" t="s">
        <v>453</v>
      </c>
      <c r="L3166" s="273"/>
      <c r="M3166" s="399" t="s">
        <v>921</v>
      </c>
      <c r="N3166" s="273"/>
    </row>
    <row r="3167" spans="1:14" ht="12.75" customHeight="1" x14ac:dyDescent="0.2">
      <c r="A3167" s="400" t="s">
        <v>927</v>
      </c>
      <c r="B3167" s="271"/>
      <c r="C3167" s="271"/>
      <c r="D3167" s="271"/>
      <c r="E3167" s="271"/>
      <c r="F3167" s="271"/>
      <c r="G3167" s="273"/>
      <c r="H3167" s="29" t="str">
        <f>IF(A3167="","",VLOOKUP(A3167,AA_Equipos,7,FALSE))</f>
        <v>% M.O.</v>
      </c>
      <c r="I3167" s="394">
        <f>+M3190</f>
        <v>87778.61</v>
      </c>
      <c r="J3167" s="273"/>
      <c r="K3167" s="404">
        <v>0.05</v>
      </c>
      <c r="L3167" s="273"/>
      <c r="M3167" s="394">
        <f t="shared" ref="M3167:M3171" si="432">IF(A3167="","",I3167*K3167)</f>
        <v>4388.9305000000004</v>
      </c>
      <c r="N3167" s="273"/>
    </row>
    <row r="3168" spans="1:14" ht="12.75" customHeight="1" x14ac:dyDescent="0.2">
      <c r="A3168" s="403"/>
      <c r="B3168" s="271"/>
      <c r="C3168" s="271"/>
      <c r="D3168" s="271"/>
      <c r="E3168" s="271"/>
      <c r="F3168" s="271"/>
      <c r="G3168" s="273"/>
      <c r="H3168" s="29" t="str">
        <f>IF(A3168="","",VLOOKUP(A3168,AA_Equipos,7,FALSE))</f>
        <v/>
      </c>
      <c r="I3168" s="394" t="str">
        <f>IF(A3168="","",VLOOKUP(A3168,AA_Equipos,8,FALSE))</f>
        <v/>
      </c>
      <c r="J3168" s="273"/>
      <c r="K3168" s="402"/>
      <c r="L3168" s="273"/>
      <c r="M3168" s="394" t="str">
        <f t="shared" si="432"/>
        <v/>
      </c>
      <c r="N3168" s="273"/>
    </row>
    <row r="3169" spans="1:14" ht="12.75" customHeight="1" x14ac:dyDescent="0.2">
      <c r="A3169" s="400"/>
      <c r="B3169" s="271"/>
      <c r="C3169" s="271"/>
      <c r="D3169" s="271"/>
      <c r="E3169" s="271"/>
      <c r="F3169" s="271"/>
      <c r="G3169" s="273"/>
      <c r="H3169" s="29" t="str">
        <f>IF(A3169="","",VLOOKUP(A3169,AA_Equipos,7,FALSE))</f>
        <v/>
      </c>
      <c r="I3169" s="394" t="str">
        <f>IF(A3169="","",VLOOKUP(A3169,AA_Equipos,8,FALSE))</f>
        <v/>
      </c>
      <c r="J3169" s="273"/>
      <c r="K3169" s="401"/>
      <c r="L3169" s="273"/>
      <c r="M3169" s="394" t="str">
        <f t="shared" si="432"/>
        <v/>
      </c>
      <c r="N3169" s="273"/>
    </row>
    <row r="3170" spans="1:14" ht="12.75" customHeight="1" x14ac:dyDescent="0.2">
      <c r="A3170" s="400"/>
      <c r="B3170" s="271"/>
      <c r="C3170" s="271"/>
      <c r="D3170" s="271"/>
      <c r="E3170" s="271"/>
      <c r="F3170" s="271"/>
      <c r="G3170" s="273"/>
      <c r="H3170" s="29" t="str">
        <f>IF(A3170="","",VLOOKUP(A3170,AA_Equipos,7,FALSE))</f>
        <v/>
      </c>
      <c r="I3170" s="394" t="str">
        <f>IF(A3170="","",VLOOKUP(A3170,AA_Equipos,8,FALSE))</f>
        <v/>
      </c>
      <c r="J3170" s="273"/>
      <c r="K3170" s="395"/>
      <c r="L3170" s="273"/>
      <c r="M3170" s="394" t="str">
        <f t="shared" si="432"/>
        <v/>
      </c>
      <c r="N3170" s="273"/>
    </row>
    <row r="3171" spans="1:14" ht="12.75" customHeight="1" x14ac:dyDescent="0.2">
      <c r="A3171" s="400"/>
      <c r="B3171" s="271"/>
      <c r="C3171" s="271"/>
      <c r="D3171" s="271"/>
      <c r="E3171" s="271"/>
      <c r="F3171" s="271"/>
      <c r="G3171" s="273"/>
      <c r="H3171" s="29" t="str">
        <f>IF(A3171="","",VLOOKUP(A3171,AA_Equipos,7,FALSE))</f>
        <v/>
      </c>
      <c r="I3171" s="394" t="str">
        <f>IF(A3171="","",VLOOKUP(A3171,AA_Equipos,8,FALSE))</f>
        <v/>
      </c>
      <c r="J3171" s="273"/>
      <c r="K3171" s="395"/>
      <c r="L3171" s="273"/>
      <c r="M3171" s="394" t="str">
        <f t="shared" si="432"/>
        <v/>
      </c>
      <c r="N3171" s="273"/>
    </row>
    <row r="3172" spans="1:14" ht="12.75" customHeight="1" x14ac:dyDescent="0.25">
      <c r="A3172" s="4"/>
      <c r="B3172" s="4"/>
      <c r="C3172" s="4"/>
      <c r="D3172" s="4"/>
      <c r="E3172" s="4"/>
      <c r="F3172" s="4"/>
      <c r="G3172" s="4"/>
      <c r="H3172" s="4"/>
      <c r="I3172" s="4"/>
      <c r="J3172" s="4"/>
      <c r="K3172" s="396" t="s">
        <v>444</v>
      </c>
      <c r="L3172" s="273"/>
      <c r="M3172" s="394">
        <f>SUM(M3167:N3171)</f>
        <v>4388.9305000000004</v>
      </c>
      <c r="N3172" s="273"/>
    </row>
    <row r="3173" spans="1:14" ht="12.75" customHeight="1" x14ac:dyDescent="0.25">
      <c r="A3173" s="4"/>
      <c r="B3173" s="4"/>
      <c r="C3173" s="4"/>
      <c r="D3173" s="4"/>
      <c r="E3173" s="4"/>
      <c r="F3173" s="4"/>
      <c r="G3173" s="4"/>
      <c r="H3173" s="4"/>
      <c r="I3173" s="4"/>
      <c r="J3173" s="4"/>
      <c r="K3173" s="4"/>
      <c r="L3173" s="4"/>
      <c r="M3173" s="4"/>
      <c r="N3173" s="4"/>
    </row>
    <row r="3174" spans="1:14" ht="12.75" customHeight="1" x14ac:dyDescent="0.2">
      <c r="A3174" s="398" t="s">
        <v>929</v>
      </c>
      <c r="B3174" s="271"/>
      <c r="C3174" s="271"/>
      <c r="D3174" s="271"/>
      <c r="E3174" s="271"/>
      <c r="F3174" s="271"/>
      <c r="G3174" s="271"/>
      <c r="H3174" s="271"/>
      <c r="I3174" s="271"/>
      <c r="J3174" s="271"/>
      <c r="K3174" s="271"/>
      <c r="L3174" s="271"/>
      <c r="M3174" s="271"/>
      <c r="N3174" s="273"/>
    </row>
    <row r="3175" spans="1:14" ht="12.75" customHeight="1" x14ac:dyDescent="0.2">
      <c r="A3175" s="396" t="s">
        <v>76</v>
      </c>
      <c r="B3175" s="271"/>
      <c r="C3175" s="271"/>
      <c r="D3175" s="271"/>
      <c r="E3175" s="271"/>
      <c r="F3175" s="271"/>
      <c r="G3175" s="273"/>
      <c r="H3175" s="88" t="s">
        <v>77</v>
      </c>
      <c r="I3175" s="399" t="s">
        <v>920</v>
      </c>
      <c r="J3175" s="273"/>
      <c r="K3175" s="399" t="s">
        <v>453</v>
      </c>
      <c r="L3175" s="273"/>
      <c r="M3175" s="399" t="s">
        <v>921</v>
      </c>
      <c r="N3175" s="273"/>
    </row>
    <row r="3176" spans="1:14" ht="12.75" customHeight="1" x14ac:dyDescent="0.2">
      <c r="A3176" s="400" t="s">
        <v>966</v>
      </c>
      <c r="B3176" s="271"/>
      <c r="C3176" s="271"/>
      <c r="D3176" s="271"/>
      <c r="E3176" s="271"/>
      <c r="F3176" s="271"/>
      <c r="G3176" s="273"/>
      <c r="H3176" s="29"/>
      <c r="I3176" s="394"/>
      <c r="J3176" s="273"/>
      <c r="K3176" s="417"/>
      <c r="L3176" s="273"/>
      <c r="M3176" s="394">
        <f t="shared" ref="M3176:M3180" si="433">IF(A3176="","",I3176*K3176)</f>
        <v>0</v>
      </c>
      <c r="N3176" s="273"/>
    </row>
    <row r="3177" spans="1:14" ht="12.75" customHeight="1" x14ac:dyDescent="0.2">
      <c r="A3177" s="403"/>
      <c r="B3177" s="271"/>
      <c r="C3177" s="271"/>
      <c r="D3177" s="271"/>
      <c r="E3177" s="271"/>
      <c r="F3177" s="271"/>
      <c r="G3177" s="273"/>
      <c r="H3177" s="29"/>
      <c r="I3177" s="394"/>
      <c r="J3177" s="273"/>
      <c r="K3177" s="404"/>
      <c r="L3177" s="273"/>
      <c r="M3177" s="394" t="str">
        <f t="shared" si="433"/>
        <v/>
      </c>
      <c r="N3177" s="273"/>
    </row>
    <row r="3178" spans="1:14" ht="12.75" customHeight="1" x14ac:dyDescent="0.2">
      <c r="A3178" s="400"/>
      <c r="B3178" s="271"/>
      <c r="C3178" s="271"/>
      <c r="D3178" s="271"/>
      <c r="E3178" s="271"/>
      <c r="F3178" s="271"/>
      <c r="G3178" s="273"/>
      <c r="H3178" s="29"/>
      <c r="I3178" s="394"/>
      <c r="J3178" s="273"/>
      <c r="K3178" s="395"/>
      <c r="L3178" s="273"/>
      <c r="M3178" s="394" t="str">
        <f t="shared" si="433"/>
        <v/>
      </c>
      <c r="N3178" s="273"/>
    </row>
    <row r="3179" spans="1:14" ht="12.75" customHeight="1" x14ac:dyDescent="0.2">
      <c r="A3179" s="400"/>
      <c r="B3179" s="271"/>
      <c r="C3179" s="271"/>
      <c r="D3179" s="271"/>
      <c r="E3179" s="271"/>
      <c r="F3179" s="271"/>
      <c r="G3179" s="273"/>
      <c r="H3179" s="29"/>
      <c r="I3179" s="394"/>
      <c r="J3179" s="273"/>
      <c r="K3179" s="395"/>
      <c r="L3179" s="273"/>
      <c r="M3179" s="394" t="str">
        <f t="shared" si="433"/>
        <v/>
      </c>
      <c r="N3179" s="273"/>
    </row>
    <row r="3180" spans="1:14" ht="12.75" customHeight="1" x14ac:dyDescent="0.2">
      <c r="A3180" s="400"/>
      <c r="B3180" s="271"/>
      <c r="C3180" s="271"/>
      <c r="D3180" s="271"/>
      <c r="E3180" s="271"/>
      <c r="F3180" s="271"/>
      <c r="G3180" s="273"/>
      <c r="H3180" s="29"/>
      <c r="I3180" s="394"/>
      <c r="J3180" s="273"/>
      <c r="K3180" s="395"/>
      <c r="L3180" s="273"/>
      <c r="M3180" s="394" t="str">
        <f t="shared" si="433"/>
        <v/>
      </c>
      <c r="N3180" s="273"/>
    </row>
    <row r="3181" spans="1:14" ht="12.75" customHeight="1" x14ac:dyDescent="0.25">
      <c r="A3181" s="4"/>
      <c r="B3181" s="4"/>
      <c r="C3181" s="4"/>
      <c r="D3181" s="4"/>
      <c r="E3181" s="4"/>
      <c r="F3181" s="4"/>
      <c r="G3181" s="4"/>
      <c r="H3181" s="4"/>
      <c r="I3181" s="4"/>
      <c r="J3181" s="4"/>
      <c r="K3181" s="396" t="s">
        <v>444</v>
      </c>
      <c r="L3181" s="273"/>
      <c r="M3181" s="394">
        <f>SUM(M3176:N3180)</f>
        <v>0</v>
      </c>
      <c r="N3181" s="273"/>
    </row>
    <row r="3182" spans="1:14" ht="12.75" customHeight="1" x14ac:dyDescent="0.25">
      <c r="A3182" s="4"/>
      <c r="B3182" s="4"/>
      <c r="C3182" s="4"/>
      <c r="D3182" s="4"/>
      <c r="E3182" s="4"/>
      <c r="F3182" s="4"/>
      <c r="G3182" s="4"/>
      <c r="H3182" s="4"/>
      <c r="I3182" s="4"/>
      <c r="J3182" s="4"/>
      <c r="K3182" s="4"/>
      <c r="L3182" s="4"/>
      <c r="M3182" s="4"/>
      <c r="N3182" s="4"/>
    </row>
    <row r="3183" spans="1:14" ht="12.75" customHeight="1" x14ac:dyDescent="0.2">
      <c r="A3183" s="398" t="s">
        <v>931</v>
      </c>
      <c r="B3183" s="271"/>
      <c r="C3183" s="271"/>
      <c r="D3183" s="271"/>
      <c r="E3183" s="271"/>
      <c r="F3183" s="271"/>
      <c r="G3183" s="271"/>
      <c r="H3183" s="271"/>
      <c r="I3183" s="271"/>
      <c r="J3183" s="271"/>
      <c r="K3183" s="271"/>
      <c r="L3183" s="271"/>
      <c r="M3183" s="271"/>
      <c r="N3183" s="273"/>
    </row>
    <row r="3184" spans="1:14" ht="12.75" customHeight="1" x14ac:dyDescent="0.2">
      <c r="A3184" s="396" t="s">
        <v>76</v>
      </c>
      <c r="B3184" s="271"/>
      <c r="C3184" s="271"/>
      <c r="D3184" s="271"/>
      <c r="E3184" s="271"/>
      <c r="F3184" s="271"/>
      <c r="G3184" s="273"/>
      <c r="H3184" s="88" t="s">
        <v>77</v>
      </c>
      <c r="I3184" s="399" t="s">
        <v>920</v>
      </c>
      <c r="J3184" s="273"/>
      <c r="K3184" s="90" t="s">
        <v>514</v>
      </c>
      <c r="L3184" s="91" t="s">
        <v>932</v>
      </c>
      <c r="M3184" s="399" t="s">
        <v>921</v>
      </c>
      <c r="N3184" s="273"/>
    </row>
    <row r="3185" spans="1:14" ht="12.75" customHeight="1" x14ac:dyDescent="0.25">
      <c r="A3185" s="393" t="s">
        <v>986</v>
      </c>
      <c r="B3185" s="271"/>
      <c r="C3185" s="271"/>
      <c r="D3185" s="271"/>
      <c r="E3185" s="271"/>
      <c r="F3185" s="271"/>
      <c r="G3185" s="273"/>
      <c r="H3185" s="29" t="str">
        <f>IF(A3185="","",VLOOKUP(A3185,AA_Cuadrillas,4,FALSE))</f>
        <v>Cuadrilla</v>
      </c>
      <c r="I3185" s="394">
        <f>IF(A3185="","",VLOOKUP(A3185,AA_Cuadrillas,5,FALSE))</f>
        <v>186763</v>
      </c>
      <c r="J3185" s="273"/>
      <c r="K3185" s="9">
        <f>IF(A3185="","",F.P!$I$2)</f>
        <v>1.88</v>
      </c>
      <c r="L3185" s="97">
        <v>0.25</v>
      </c>
      <c r="M3185" s="394">
        <f t="shared" ref="M3185:M3189" si="434">IF(A3185="","",I3185*K3185*L3185)</f>
        <v>87778.61</v>
      </c>
      <c r="N3185" s="273"/>
    </row>
    <row r="3186" spans="1:14" ht="12.75" customHeight="1" x14ac:dyDescent="0.25">
      <c r="A3186" s="393"/>
      <c r="B3186" s="271"/>
      <c r="C3186" s="271"/>
      <c r="D3186" s="271"/>
      <c r="E3186" s="271"/>
      <c r="F3186" s="271"/>
      <c r="G3186" s="273"/>
      <c r="H3186" s="29" t="str">
        <f>IF(A3186="","",VLOOKUP(A3186,AA_Cuadrillas,4,FALSE))</f>
        <v/>
      </c>
      <c r="I3186" s="394" t="str">
        <f>IF(A3186="","",VLOOKUP(A3186,AA_Cuadrillas,5,FALSE))</f>
        <v/>
      </c>
      <c r="J3186" s="273"/>
      <c r="K3186" s="9" t="str">
        <f>IF(A3186="","",F.P!$I$2)</f>
        <v/>
      </c>
      <c r="L3186" s="9"/>
      <c r="M3186" s="394" t="str">
        <f t="shared" si="434"/>
        <v/>
      </c>
      <c r="N3186" s="273"/>
    </row>
    <row r="3187" spans="1:14" ht="12.75" customHeight="1" x14ac:dyDescent="0.25">
      <c r="A3187" s="393"/>
      <c r="B3187" s="271"/>
      <c r="C3187" s="271"/>
      <c r="D3187" s="271"/>
      <c r="E3187" s="271"/>
      <c r="F3187" s="271"/>
      <c r="G3187" s="273"/>
      <c r="H3187" s="29" t="str">
        <f>IF(A3187="","",VLOOKUP(A3187,AA_Cuadrillas,4,FALSE))</f>
        <v/>
      </c>
      <c r="I3187" s="394" t="str">
        <f>IF(A3187="","",VLOOKUP(A3187,AA_Cuadrillas,5,FALSE))</f>
        <v/>
      </c>
      <c r="J3187" s="273"/>
      <c r="K3187" s="9" t="str">
        <f>IF(A3187="","",F.P!$I$2)</f>
        <v/>
      </c>
      <c r="L3187" s="37"/>
      <c r="M3187" s="394" t="str">
        <f t="shared" si="434"/>
        <v/>
      </c>
      <c r="N3187" s="273"/>
    </row>
    <row r="3188" spans="1:14" ht="12.75" customHeight="1" x14ac:dyDescent="0.25">
      <c r="A3188" s="393"/>
      <c r="B3188" s="271"/>
      <c r="C3188" s="271"/>
      <c r="D3188" s="271"/>
      <c r="E3188" s="271"/>
      <c r="F3188" s="271"/>
      <c r="G3188" s="273"/>
      <c r="H3188" s="29" t="str">
        <f>IF(A3188="","",VLOOKUP(A3188,AA_Cuadrillas,4,FALSE))</f>
        <v/>
      </c>
      <c r="I3188" s="394" t="str">
        <f>IF(A3188="","",VLOOKUP(A3188,AA_Cuadrillas,5,FALSE))</f>
        <v/>
      </c>
      <c r="J3188" s="273"/>
      <c r="K3188" s="9" t="str">
        <f>IF(A3188="","",F.P!$I$2)</f>
        <v/>
      </c>
      <c r="L3188" s="37"/>
      <c r="M3188" s="394" t="str">
        <f t="shared" si="434"/>
        <v/>
      </c>
      <c r="N3188" s="273"/>
    </row>
    <row r="3189" spans="1:14" ht="12.75" customHeight="1" x14ac:dyDescent="0.25">
      <c r="A3189" s="393"/>
      <c r="B3189" s="271"/>
      <c r="C3189" s="271"/>
      <c r="D3189" s="271"/>
      <c r="E3189" s="271"/>
      <c r="F3189" s="271"/>
      <c r="G3189" s="273"/>
      <c r="H3189" s="29" t="str">
        <f>IF(A3189="","",VLOOKUP(A3189,AA_Cuadrillas,4,FALSE))</f>
        <v/>
      </c>
      <c r="I3189" s="394" t="str">
        <f>IF(A3189="","",VLOOKUP(A3189,AA_Cuadrillas,5,FALSE))</f>
        <v/>
      </c>
      <c r="J3189" s="273"/>
      <c r="K3189" s="9" t="str">
        <f>IF(A3189="","",F.P!$I$2)</f>
        <v/>
      </c>
      <c r="L3189" s="37"/>
      <c r="M3189" s="394" t="str">
        <f t="shared" si="434"/>
        <v/>
      </c>
      <c r="N3189" s="273"/>
    </row>
    <row r="3190" spans="1:14" ht="12.75" customHeight="1" x14ac:dyDescent="0.25">
      <c r="A3190" s="4"/>
      <c r="B3190" s="4"/>
      <c r="C3190" s="4"/>
      <c r="D3190" s="4"/>
      <c r="E3190" s="4"/>
      <c r="F3190" s="4"/>
      <c r="G3190" s="4"/>
      <c r="H3190" s="4"/>
      <c r="I3190" s="4"/>
      <c r="J3190" s="4"/>
      <c r="K3190" s="396" t="s">
        <v>444</v>
      </c>
      <c r="L3190" s="273"/>
      <c r="M3190" s="394">
        <f>SUM(M3185:N3189)</f>
        <v>87778.61</v>
      </c>
      <c r="N3190" s="273"/>
    </row>
    <row r="3191" spans="1:14" ht="12.75" customHeight="1" x14ac:dyDescent="0.2"/>
    <row r="3192" spans="1:14" ht="12.75" customHeight="1" x14ac:dyDescent="0.2">
      <c r="A3192" s="407" t="s">
        <v>1121</v>
      </c>
      <c r="B3192" s="275"/>
      <c r="C3192" s="275"/>
      <c r="D3192" s="275"/>
      <c r="E3192" s="275"/>
      <c r="F3192" s="275"/>
      <c r="G3192" s="275"/>
      <c r="H3192" s="275"/>
      <c r="I3192" s="275"/>
      <c r="J3192" s="275"/>
      <c r="K3192" s="275"/>
      <c r="L3192" s="275"/>
      <c r="M3192" s="275"/>
      <c r="N3192" s="276"/>
    </row>
    <row r="3193" spans="1:14" ht="12.75" customHeight="1" x14ac:dyDescent="0.2">
      <c r="A3193" s="277"/>
      <c r="B3193" s="278"/>
      <c r="C3193" s="278"/>
      <c r="D3193" s="278"/>
      <c r="E3193" s="278"/>
      <c r="F3193" s="278"/>
      <c r="G3193" s="278"/>
      <c r="H3193" s="278"/>
      <c r="I3193" s="278"/>
      <c r="J3193" s="278"/>
      <c r="K3193" s="278"/>
      <c r="L3193" s="278"/>
      <c r="M3193" s="278"/>
      <c r="N3193" s="279"/>
    </row>
    <row r="3194" spans="1:14" ht="12.75" customHeight="1" x14ac:dyDescent="0.2">
      <c r="A3194" s="75"/>
      <c r="B3194" s="75"/>
      <c r="C3194" s="75"/>
      <c r="D3194" s="75"/>
      <c r="E3194" s="75"/>
      <c r="F3194" s="75"/>
      <c r="G3194" s="75"/>
      <c r="H3194" s="75"/>
      <c r="I3194" s="75"/>
      <c r="J3194" s="75"/>
      <c r="K3194" s="75"/>
      <c r="L3194" s="75"/>
      <c r="M3194" s="75"/>
      <c r="N3194" s="75"/>
    </row>
    <row r="3195" spans="1:14" ht="12.75" customHeight="1" x14ac:dyDescent="0.3">
      <c r="A3195" s="79" t="s">
        <v>688</v>
      </c>
      <c r="B3195" s="80" t="str">
        <f>A3192</f>
        <v>SUMINISTRO E INSTALACIÓN DE PASAMURO L= 0,25m Ø3" EN HIERRO DUCTIL</v>
      </c>
      <c r="C3195" s="81" t="s">
        <v>916</v>
      </c>
      <c r="D3195" s="82" t="s">
        <v>999</v>
      </c>
      <c r="E3195" s="83" t="s">
        <v>445</v>
      </c>
      <c r="F3195" s="86">
        <f>H3195+J3195+L3195+N3195</f>
        <v>92167.540500000003</v>
      </c>
      <c r="G3195" s="83" t="s">
        <v>607</v>
      </c>
      <c r="H3195" s="86">
        <f>M3205</f>
        <v>0</v>
      </c>
      <c r="I3195" s="83" t="s">
        <v>918</v>
      </c>
      <c r="J3195" s="86">
        <f>M3214</f>
        <v>4388.9305000000004</v>
      </c>
      <c r="K3195" s="83" t="s">
        <v>609</v>
      </c>
      <c r="L3195" s="86">
        <f>M3223</f>
        <v>0</v>
      </c>
      <c r="M3195" s="83" t="s">
        <v>610</v>
      </c>
      <c r="N3195" s="86">
        <f>M3232</f>
        <v>87778.61</v>
      </c>
    </row>
    <row r="3196" spans="1:14" ht="12.75" customHeight="1" x14ac:dyDescent="0.25">
      <c r="A3196" s="87"/>
      <c r="B3196" s="87"/>
      <c r="C3196" s="87"/>
      <c r="D3196" s="87"/>
      <c r="E3196" s="87"/>
      <c r="F3196" s="87"/>
      <c r="G3196" s="87"/>
      <c r="J3196" s="87"/>
      <c r="K3196" s="215" t="s">
        <v>3217</v>
      </c>
      <c r="L3196" s="215">
        <f>+F3195*presup!$O$5</f>
        <v>119817.80265000001</v>
      </c>
      <c r="M3196" s="87"/>
      <c r="N3196" s="87"/>
    </row>
    <row r="3197" spans="1:14" ht="12.75" customHeight="1" x14ac:dyDescent="0.2">
      <c r="A3197" s="398" t="s">
        <v>919</v>
      </c>
      <c r="B3197" s="271"/>
      <c r="C3197" s="271"/>
      <c r="D3197" s="271"/>
      <c r="E3197" s="271"/>
      <c r="F3197" s="271"/>
      <c r="G3197" s="271"/>
      <c r="H3197" s="271"/>
      <c r="I3197" s="271"/>
      <c r="J3197" s="271"/>
      <c r="K3197" s="271"/>
      <c r="L3197" s="271"/>
      <c r="M3197" s="271"/>
      <c r="N3197" s="273"/>
    </row>
    <row r="3198" spans="1:14" ht="12.75" customHeight="1" x14ac:dyDescent="0.2">
      <c r="A3198" s="396" t="s">
        <v>76</v>
      </c>
      <c r="B3198" s="271"/>
      <c r="C3198" s="271"/>
      <c r="D3198" s="271"/>
      <c r="E3198" s="271"/>
      <c r="F3198" s="271"/>
      <c r="G3198" s="273"/>
      <c r="H3198" s="88" t="s">
        <v>77</v>
      </c>
      <c r="I3198" s="399" t="s">
        <v>920</v>
      </c>
      <c r="J3198" s="273"/>
      <c r="K3198" s="399" t="s">
        <v>453</v>
      </c>
      <c r="L3198" s="273"/>
      <c r="M3198" s="399" t="s">
        <v>921</v>
      </c>
      <c r="N3198" s="273"/>
    </row>
    <row r="3199" spans="1:14" ht="12.75" customHeight="1" x14ac:dyDescent="0.2">
      <c r="A3199" s="403" t="s">
        <v>1122</v>
      </c>
      <c r="B3199" s="271"/>
      <c r="C3199" s="271"/>
      <c r="D3199" s="271"/>
      <c r="E3199" s="271"/>
      <c r="F3199" s="271"/>
      <c r="G3199" s="273"/>
      <c r="H3199" s="29" t="str">
        <f t="shared" ref="H3199:H3204" si="435">IF(A3199="","",VLOOKUP(A3199,AA_Materiales,7,FALSE))</f>
        <v>Unidad</v>
      </c>
      <c r="I3199" s="394">
        <f t="shared" ref="I3199:I3204" si="436">IF(A3199="","",VLOOKUP(A3199,AA_Materiales,8,FALSE))</f>
        <v>0</v>
      </c>
      <c r="J3199" s="273"/>
      <c r="K3199" s="395">
        <v>1</v>
      </c>
      <c r="L3199" s="273"/>
      <c r="M3199" s="394">
        <f t="shared" ref="M3199:M3204" si="437">IF(A3199="","",I3199*K3199)</f>
        <v>0</v>
      </c>
      <c r="N3199" s="273"/>
    </row>
    <row r="3200" spans="1:14" ht="12.75" customHeight="1" x14ac:dyDescent="0.2">
      <c r="A3200" s="403"/>
      <c r="B3200" s="271"/>
      <c r="C3200" s="271"/>
      <c r="D3200" s="271"/>
      <c r="E3200" s="271"/>
      <c r="F3200" s="271"/>
      <c r="G3200" s="273"/>
      <c r="H3200" s="29" t="str">
        <f t="shared" si="435"/>
        <v/>
      </c>
      <c r="I3200" s="394" t="str">
        <f t="shared" si="436"/>
        <v/>
      </c>
      <c r="J3200" s="273"/>
      <c r="K3200" s="395"/>
      <c r="L3200" s="273"/>
      <c r="M3200" s="394" t="str">
        <f t="shared" si="437"/>
        <v/>
      </c>
      <c r="N3200" s="273"/>
    </row>
    <row r="3201" spans="1:14" ht="12.75" customHeight="1" x14ac:dyDescent="0.2">
      <c r="A3201" s="403"/>
      <c r="B3201" s="271"/>
      <c r="C3201" s="271"/>
      <c r="D3201" s="271"/>
      <c r="E3201" s="271"/>
      <c r="F3201" s="271"/>
      <c r="G3201" s="273"/>
      <c r="H3201" s="29" t="str">
        <f t="shared" si="435"/>
        <v/>
      </c>
      <c r="I3201" s="394" t="str">
        <f t="shared" si="436"/>
        <v/>
      </c>
      <c r="J3201" s="273"/>
      <c r="K3201" s="395"/>
      <c r="L3201" s="273"/>
      <c r="M3201" s="394" t="str">
        <f t="shared" si="437"/>
        <v/>
      </c>
      <c r="N3201" s="273"/>
    </row>
    <row r="3202" spans="1:14" ht="12.75" customHeight="1" x14ac:dyDescent="0.2">
      <c r="A3202" s="403"/>
      <c r="B3202" s="271"/>
      <c r="C3202" s="271"/>
      <c r="D3202" s="271"/>
      <c r="E3202" s="271"/>
      <c r="F3202" s="271"/>
      <c r="G3202" s="273"/>
      <c r="H3202" s="29" t="str">
        <f t="shared" si="435"/>
        <v/>
      </c>
      <c r="I3202" s="394" t="str">
        <f t="shared" si="436"/>
        <v/>
      </c>
      <c r="J3202" s="273"/>
      <c r="K3202" s="395"/>
      <c r="L3202" s="273"/>
      <c r="M3202" s="394" t="str">
        <f t="shared" si="437"/>
        <v/>
      </c>
      <c r="N3202" s="273"/>
    </row>
    <row r="3203" spans="1:14" ht="12.75" customHeight="1" x14ac:dyDescent="0.2">
      <c r="A3203" s="403"/>
      <c r="B3203" s="271"/>
      <c r="C3203" s="271"/>
      <c r="D3203" s="271"/>
      <c r="E3203" s="271"/>
      <c r="F3203" s="271"/>
      <c r="G3203" s="273"/>
      <c r="H3203" s="29" t="str">
        <f t="shared" si="435"/>
        <v/>
      </c>
      <c r="I3203" s="394" t="str">
        <f t="shared" si="436"/>
        <v/>
      </c>
      <c r="J3203" s="273"/>
      <c r="K3203" s="395"/>
      <c r="L3203" s="273"/>
      <c r="M3203" s="394" t="str">
        <f t="shared" si="437"/>
        <v/>
      </c>
      <c r="N3203" s="273"/>
    </row>
    <row r="3204" spans="1:14" ht="12.75" customHeight="1" x14ac:dyDescent="0.2">
      <c r="A3204" s="403"/>
      <c r="B3204" s="271"/>
      <c r="C3204" s="271"/>
      <c r="D3204" s="271"/>
      <c r="E3204" s="271"/>
      <c r="F3204" s="271"/>
      <c r="G3204" s="273"/>
      <c r="H3204" s="29" t="str">
        <f t="shared" si="435"/>
        <v/>
      </c>
      <c r="I3204" s="394" t="str">
        <f t="shared" si="436"/>
        <v/>
      </c>
      <c r="J3204" s="273"/>
      <c r="K3204" s="395"/>
      <c r="L3204" s="273"/>
      <c r="M3204" s="394" t="str">
        <f t="shared" si="437"/>
        <v/>
      </c>
      <c r="N3204" s="273"/>
    </row>
    <row r="3205" spans="1:14" ht="12.75" customHeight="1" x14ac:dyDescent="0.25">
      <c r="A3205" s="4"/>
      <c r="B3205" s="4"/>
      <c r="C3205" s="4"/>
      <c r="D3205" s="4"/>
      <c r="E3205" s="4"/>
      <c r="F3205" s="4"/>
      <c r="G3205" s="4"/>
      <c r="H3205" s="4"/>
      <c r="I3205" s="4"/>
      <c r="J3205" s="4"/>
      <c r="K3205" s="396" t="s">
        <v>444</v>
      </c>
      <c r="L3205" s="273"/>
      <c r="M3205" s="394">
        <f>SUM(M3199:N3204)</f>
        <v>0</v>
      </c>
      <c r="N3205" s="273"/>
    </row>
    <row r="3206" spans="1:14" ht="12.75" customHeight="1" x14ac:dyDescent="0.25">
      <c r="A3206" s="4"/>
      <c r="B3206" s="4"/>
      <c r="C3206" s="4"/>
      <c r="D3206" s="4"/>
      <c r="E3206" s="4"/>
      <c r="F3206" s="4"/>
      <c r="G3206" s="4"/>
      <c r="H3206" s="4"/>
      <c r="I3206" s="4"/>
      <c r="J3206" s="4"/>
      <c r="K3206" s="4"/>
      <c r="L3206" s="4"/>
      <c r="M3206" s="4"/>
      <c r="N3206" s="4"/>
    </row>
    <row r="3207" spans="1:14" ht="12.75" customHeight="1" x14ac:dyDescent="0.2">
      <c r="A3207" s="398" t="s">
        <v>926</v>
      </c>
      <c r="B3207" s="271"/>
      <c r="C3207" s="271"/>
      <c r="D3207" s="271"/>
      <c r="E3207" s="271"/>
      <c r="F3207" s="271"/>
      <c r="G3207" s="271"/>
      <c r="H3207" s="271"/>
      <c r="I3207" s="271"/>
      <c r="J3207" s="271"/>
      <c r="K3207" s="271"/>
      <c r="L3207" s="271"/>
      <c r="M3207" s="271"/>
      <c r="N3207" s="273"/>
    </row>
    <row r="3208" spans="1:14" ht="12.75" customHeight="1" x14ac:dyDescent="0.2">
      <c r="A3208" s="396" t="s">
        <v>76</v>
      </c>
      <c r="B3208" s="271"/>
      <c r="C3208" s="271"/>
      <c r="D3208" s="271"/>
      <c r="E3208" s="271"/>
      <c r="F3208" s="271"/>
      <c r="G3208" s="273"/>
      <c r="H3208" s="88" t="s">
        <v>77</v>
      </c>
      <c r="I3208" s="399" t="s">
        <v>920</v>
      </c>
      <c r="J3208" s="273"/>
      <c r="K3208" s="399" t="s">
        <v>453</v>
      </c>
      <c r="L3208" s="273"/>
      <c r="M3208" s="399" t="s">
        <v>921</v>
      </c>
      <c r="N3208" s="273"/>
    </row>
    <row r="3209" spans="1:14" ht="12.75" customHeight="1" x14ac:dyDescent="0.2">
      <c r="A3209" s="400" t="s">
        <v>927</v>
      </c>
      <c r="B3209" s="271"/>
      <c r="C3209" s="271"/>
      <c r="D3209" s="271"/>
      <c r="E3209" s="271"/>
      <c r="F3209" s="271"/>
      <c r="G3209" s="273"/>
      <c r="H3209" s="29" t="str">
        <f>IF(A3209="","",VLOOKUP(A3209,AA_Equipos,7,FALSE))</f>
        <v>% M.O.</v>
      </c>
      <c r="I3209" s="394">
        <f>+M3232</f>
        <v>87778.61</v>
      </c>
      <c r="J3209" s="273"/>
      <c r="K3209" s="404">
        <v>0.05</v>
      </c>
      <c r="L3209" s="273"/>
      <c r="M3209" s="394">
        <f t="shared" ref="M3209:M3213" si="438">IF(A3209="","",I3209*K3209)</f>
        <v>4388.9305000000004</v>
      </c>
      <c r="N3209" s="273"/>
    </row>
    <row r="3210" spans="1:14" ht="12.75" customHeight="1" x14ac:dyDescent="0.2">
      <c r="A3210" s="403"/>
      <c r="B3210" s="271"/>
      <c r="C3210" s="271"/>
      <c r="D3210" s="271"/>
      <c r="E3210" s="271"/>
      <c r="F3210" s="271"/>
      <c r="G3210" s="273"/>
      <c r="H3210" s="29" t="str">
        <f>IF(A3210="","",VLOOKUP(A3210,AA_Equipos,7,FALSE))</f>
        <v/>
      </c>
      <c r="I3210" s="394" t="str">
        <f>IF(A3210="","",VLOOKUP(A3210,AA_Equipos,8,FALSE))</f>
        <v/>
      </c>
      <c r="J3210" s="273"/>
      <c r="K3210" s="402"/>
      <c r="L3210" s="273"/>
      <c r="M3210" s="394" t="str">
        <f t="shared" si="438"/>
        <v/>
      </c>
      <c r="N3210" s="273"/>
    </row>
    <row r="3211" spans="1:14" ht="12.75" customHeight="1" x14ac:dyDescent="0.2">
      <c r="A3211" s="400"/>
      <c r="B3211" s="271"/>
      <c r="C3211" s="271"/>
      <c r="D3211" s="271"/>
      <c r="E3211" s="271"/>
      <c r="F3211" s="271"/>
      <c r="G3211" s="273"/>
      <c r="H3211" s="29" t="str">
        <f>IF(A3211="","",VLOOKUP(A3211,AA_Equipos,7,FALSE))</f>
        <v/>
      </c>
      <c r="I3211" s="394" t="str">
        <f>IF(A3211="","",VLOOKUP(A3211,AA_Equipos,8,FALSE))</f>
        <v/>
      </c>
      <c r="J3211" s="273"/>
      <c r="K3211" s="401"/>
      <c r="L3211" s="273"/>
      <c r="M3211" s="394" t="str">
        <f t="shared" si="438"/>
        <v/>
      </c>
      <c r="N3211" s="273"/>
    </row>
    <row r="3212" spans="1:14" ht="12.75" customHeight="1" x14ac:dyDescent="0.2">
      <c r="A3212" s="400"/>
      <c r="B3212" s="271"/>
      <c r="C3212" s="271"/>
      <c r="D3212" s="271"/>
      <c r="E3212" s="271"/>
      <c r="F3212" s="271"/>
      <c r="G3212" s="273"/>
      <c r="H3212" s="29" t="str">
        <f>IF(A3212="","",VLOOKUP(A3212,AA_Equipos,7,FALSE))</f>
        <v/>
      </c>
      <c r="I3212" s="394" t="str">
        <f>IF(A3212="","",VLOOKUP(A3212,AA_Equipos,8,FALSE))</f>
        <v/>
      </c>
      <c r="J3212" s="273"/>
      <c r="K3212" s="395"/>
      <c r="L3212" s="273"/>
      <c r="M3212" s="394" t="str">
        <f t="shared" si="438"/>
        <v/>
      </c>
      <c r="N3212" s="273"/>
    </row>
    <row r="3213" spans="1:14" ht="12.75" customHeight="1" x14ac:dyDescent="0.2">
      <c r="A3213" s="400"/>
      <c r="B3213" s="271"/>
      <c r="C3213" s="271"/>
      <c r="D3213" s="271"/>
      <c r="E3213" s="271"/>
      <c r="F3213" s="271"/>
      <c r="G3213" s="273"/>
      <c r="H3213" s="29" t="str">
        <f>IF(A3213="","",VLOOKUP(A3213,AA_Equipos,7,FALSE))</f>
        <v/>
      </c>
      <c r="I3213" s="394" t="str">
        <f>IF(A3213="","",VLOOKUP(A3213,AA_Equipos,8,FALSE))</f>
        <v/>
      </c>
      <c r="J3213" s="273"/>
      <c r="K3213" s="395"/>
      <c r="L3213" s="273"/>
      <c r="M3213" s="394" t="str">
        <f t="shared" si="438"/>
        <v/>
      </c>
      <c r="N3213" s="273"/>
    </row>
    <row r="3214" spans="1:14" ht="12.75" customHeight="1" x14ac:dyDescent="0.25">
      <c r="A3214" s="4"/>
      <c r="B3214" s="4"/>
      <c r="C3214" s="4"/>
      <c r="D3214" s="4"/>
      <c r="E3214" s="4"/>
      <c r="F3214" s="4"/>
      <c r="G3214" s="4"/>
      <c r="H3214" s="4"/>
      <c r="I3214" s="4"/>
      <c r="J3214" s="4"/>
      <c r="K3214" s="396" t="s">
        <v>444</v>
      </c>
      <c r="L3214" s="273"/>
      <c r="M3214" s="394">
        <f>SUM(M3209:N3213)</f>
        <v>4388.9305000000004</v>
      </c>
      <c r="N3214" s="273"/>
    </row>
    <row r="3215" spans="1:14" ht="12.75" customHeight="1" x14ac:dyDescent="0.25">
      <c r="A3215" s="4"/>
      <c r="B3215" s="4"/>
      <c r="C3215" s="4"/>
      <c r="D3215" s="4"/>
      <c r="E3215" s="4"/>
      <c r="F3215" s="4"/>
      <c r="G3215" s="4"/>
      <c r="H3215" s="4"/>
      <c r="I3215" s="4"/>
      <c r="J3215" s="4"/>
      <c r="K3215" s="4"/>
      <c r="L3215" s="4"/>
      <c r="M3215" s="4"/>
      <c r="N3215" s="4"/>
    </row>
    <row r="3216" spans="1:14" ht="12.75" customHeight="1" x14ac:dyDescent="0.2">
      <c r="A3216" s="398" t="s">
        <v>929</v>
      </c>
      <c r="B3216" s="271"/>
      <c r="C3216" s="271"/>
      <c r="D3216" s="271"/>
      <c r="E3216" s="271"/>
      <c r="F3216" s="271"/>
      <c r="G3216" s="271"/>
      <c r="H3216" s="271"/>
      <c r="I3216" s="271"/>
      <c r="J3216" s="271"/>
      <c r="K3216" s="271"/>
      <c r="L3216" s="271"/>
      <c r="M3216" s="271"/>
      <c r="N3216" s="273"/>
    </row>
    <row r="3217" spans="1:14" ht="12.75" customHeight="1" x14ac:dyDescent="0.2">
      <c r="A3217" s="396" t="s">
        <v>76</v>
      </c>
      <c r="B3217" s="271"/>
      <c r="C3217" s="271"/>
      <c r="D3217" s="271"/>
      <c r="E3217" s="271"/>
      <c r="F3217" s="271"/>
      <c r="G3217" s="273"/>
      <c r="H3217" s="88" t="s">
        <v>77</v>
      </c>
      <c r="I3217" s="399" t="s">
        <v>920</v>
      </c>
      <c r="J3217" s="273"/>
      <c r="K3217" s="399" t="s">
        <v>453</v>
      </c>
      <c r="L3217" s="273"/>
      <c r="M3217" s="399" t="s">
        <v>921</v>
      </c>
      <c r="N3217" s="273"/>
    </row>
    <row r="3218" spans="1:14" ht="12.75" customHeight="1" x14ac:dyDescent="0.2">
      <c r="A3218" s="400" t="s">
        <v>966</v>
      </c>
      <c r="B3218" s="271"/>
      <c r="C3218" s="271"/>
      <c r="D3218" s="271"/>
      <c r="E3218" s="271"/>
      <c r="F3218" s="271"/>
      <c r="G3218" s="273"/>
      <c r="H3218" s="29"/>
      <c r="I3218" s="394"/>
      <c r="J3218" s="273"/>
      <c r="K3218" s="417"/>
      <c r="L3218" s="273"/>
      <c r="M3218" s="394">
        <f t="shared" ref="M3218:M3222" si="439">IF(A3218="","",I3218*K3218)</f>
        <v>0</v>
      </c>
      <c r="N3218" s="273"/>
    </row>
    <row r="3219" spans="1:14" ht="12.75" customHeight="1" x14ac:dyDescent="0.2">
      <c r="A3219" s="403"/>
      <c r="B3219" s="271"/>
      <c r="C3219" s="271"/>
      <c r="D3219" s="271"/>
      <c r="E3219" s="271"/>
      <c r="F3219" s="271"/>
      <c r="G3219" s="273"/>
      <c r="H3219" s="29"/>
      <c r="I3219" s="394"/>
      <c r="J3219" s="273"/>
      <c r="K3219" s="404"/>
      <c r="L3219" s="273"/>
      <c r="M3219" s="394" t="str">
        <f t="shared" si="439"/>
        <v/>
      </c>
      <c r="N3219" s="273"/>
    </row>
    <row r="3220" spans="1:14" ht="12.75" customHeight="1" x14ac:dyDescent="0.2">
      <c r="A3220" s="400"/>
      <c r="B3220" s="271"/>
      <c r="C3220" s="271"/>
      <c r="D3220" s="271"/>
      <c r="E3220" s="271"/>
      <c r="F3220" s="271"/>
      <c r="G3220" s="273"/>
      <c r="H3220" s="29"/>
      <c r="I3220" s="394"/>
      <c r="J3220" s="273"/>
      <c r="K3220" s="395"/>
      <c r="L3220" s="273"/>
      <c r="M3220" s="394" t="str">
        <f t="shared" si="439"/>
        <v/>
      </c>
      <c r="N3220" s="273"/>
    </row>
    <row r="3221" spans="1:14" ht="12.75" customHeight="1" x14ac:dyDescent="0.2">
      <c r="A3221" s="400"/>
      <c r="B3221" s="271"/>
      <c r="C3221" s="271"/>
      <c r="D3221" s="271"/>
      <c r="E3221" s="271"/>
      <c r="F3221" s="271"/>
      <c r="G3221" s="273"/>
      <c r="H3221" s="29"/>
      <c r="I3221" s="394"/>
      <c r="J3221" s="273"/>
      <c r="K3221" s="395"/>
      <c r="L3221" s="273"/>
      <c r="M3221" s="394" t="str">
        <f t="shared" si="439"/>
        <v/>
      </c>
      <c r="N3221" s="273"/>
    </row>
    <row r="3222" spans="1:14" ht="12.75" customHeight="1" x14ac:dyDescent="0.2">
      <c r="A3222" s="400"/>
      <c r="B3222" s="271"/>
      <c r="C3222" s="271"/>
      <c r="D3222" s="271"/>
      <c r="E3222" s="271"/>
      <c r="F3222" s="271"/>
      <c r="G3222" s="273"/>
      <c r="H3222" s="29"/>
      <c r="I3222" s="394"/>
      <c r="J3222" s="273"/>
      <c r="K3222" s="395"/>
      <c r="L3222" s="273"/>
      <c r="M3222" s="394" t="str">
        <f t="shared" si="439"/>
        <v/>
      </c>
      <c r="N3222" s="273"/>
    </row>
    <row r="3223" spans="1:14" ht="12.75" customHeight="1" x14ac:dyDescent="0.25">
      <c r="A3223" s="4"/>
      <c r="B3223" s="4"/>
      <c r="C3223" s="4"/>
      <c r="D3223" s="4"/>
      <c r="E3223" s="4"/>
      <c r="F3223" s="4"/>
      <c r="G3223" s="4"/>
      <c r="H3223" s="4"/>
      <c r="I3223" s="4"/>
      <c r="J3223" s="4"/>
      <c r="K3223" s="396" t="s">
        <v>444</v>
      </c>
      <c r="L3223" s="273"/>
      <c r="M3223" s="394">
        <f>SUM(M3218:N3222)</f>
        <v>0</v>
      </c>
      <c r="N3223" s="273"/>
    </row>
    <row r="3224" spans="1:14" ht="12.75" customHeight="1" x14ac:dyDescent="0.25">
      <c r="A3224" s="4"/>
      <c r="B3224" s="4"/>
      <c r="C3224" s="4"/>
      <c r="D3224" s="4"/>
      <c r="E3224" s="4"/>
      <c r="F3224" s="4"/>
      <c r="G3224" s="4"/>
      <c r="H3224" s="4"/>
      <c r="I3224" s="4"/>
      <c r="J3224" s="4"/>
      <c r="K3224" s="4"/>
      <c r="L3224" s="4"/>
      <c r="M3224" s="4"/>
      <c r="N3224" s="4"/>
    </row>
    <row r="3225" spans="1:14" ht="12.75" customHeight="1" x14ac:dyDescent="0.2">
      <c r="A3225" s="398" t="s">
        <v>931</v>
      </c>
      <c r="B3225" s="271"/>
      <c r="C3225" s="271"/>
      <c r="D3225" s="271"/>
      <c r="E3225" s="271"/>
      <c r="F3225" s="271"/>
      <c r="G3225" s="271"/>
      <c r="H3225" s="271"/>
      <c r="I3225" s="271"/>
      <c r="J3225" s="271"/>
      <c r="K3225" s="271"/>
      <c r="L3225" s="271"/>
      <c r="M3225" s="271"/>
      <c r="N3225" s="273"/>
    </row>
    <row r="3226" spans="1:14" ht="12.75" customHeight="1" x14ac:dyDescent="0.2">
      <c r="A3226" s="396" t="s">
        <v>76</v>
      </c>
      <c r="B3226" s="271"/>
      <c r="C3226" s="271"/>
      <c r="D3226" s="271"/>
      <c r="E3226" s="271"/>
      <c r="F3226" s="271"/>
      <c r="G3226" s="273"/>
      <c r="H3226" s="88" t="s">
        <v>77</v>
      </c>
      <c r="I3226" s="399" t="s">
        <v>920</v>
      </c>
      <c r="J3226" s="273"/>
      <c r="K3226" s="90" t="s">
        <v>514</v>
      </c>
      <c r="L3226" s="91" t="s">
        <v>932</v>
      </c>
      <c r="M3226" s="399" t="s">
        <v>921</v>
      </c>
      <c r="N3226" s="273"/>
    </row>
    <row r="3227" spans="1:14" ht="12.75" customHeight="1" x14ac:dyDescent="0.25">
      <c r="A3227" s="393" t="s">
        <v>986</v>
      </c>
      <c r="B3227" s="271"/>
      <c r="C3227" s="271"/>
      <c r="D3227" s="271"/>
      <c r="E3227" s="271"/>
      <c r="F3227" s="271"/>
      <c r="G3227" s="273"/>
      <c r="H3227" s="29" t="str">
        <f>IF(A3227="","",VLOOKUP(A3227,AA_Cuadrillas,4,FALSE))</f>
        <v>Cuadrilla</v>
      </c>
      <c r="I3227" s="394">
        <f>IF(A3227="","",VLOOKUP(A3227,AA_Cuadrillas,5,FALSE))</f>
        <v>186763</v>
      </c>
      <c r="J3227" s="273"/>
      <c r="K3227" s="9">
        <f>IF(A3227="","",F.P!$I$2)</f>
        <v>1.88</v>
      </c>
      <c r="L3227" s="97">
        <v>0.25</v>
      </c>
      <c r="M3227" s="394">
        <f t="shared" ref="M3227:M3231" si="440">IF(A3227="","",I3227*K3227*L3227)</f>
        <v>87778.61</v>
      </c>
      <c r="N3227" s="273"/>
    </row>
    <row r="3228" spans="1:14" ht="12.75" customHeight="1" x14ac:dyDescent="0.25">
      <c r="A3228" s="393"/>
      <c r="B3228" s="271"/>
      <c r="C3228" s="271"/>
      <c r="D3228" s="271"/>
      <c r="E3228" s="271"/>
      <c r="F3228" s="271"/>
      <c r="G3228" s="273"/>
      <c r="H3228" s="29" t="str">
        <f>IF(A3228="","",VLOOKUP(A3228,AA_Cuadrillas,4,FALSE))</f>
        <v/>
      </c>
      <c r="I3228" s="394" t="str">
        <f>IF(A3228="","",VLOOKUP(A3228,AA_Cuadrillas,5,FALSE))</f>
        <v/>
      </c>
      <c r="J3228" s="273"/>
      <c r="K3228" s="9" t="str">
        <f>IF(A3228="","",F.P!$I$2)</f>
        <v/>
      </c>
      <c r="L3228" s="9"/>
      <c r="M3228" s="394" t="str">
        <f t="shared" si="440"/>
        <v/>
      </c>
      <c r="N3228" s="273"/>
    </row>
    <row r="3229" spans="1:14" ht="12.75" customHeight="1" x14ac:dyDescent="0.25">
      <c r="A3229" s="393"/>
      <c r="B3229" s="271"/>
      <c r="C3229" s="271"/>
      <c r="D3229" s="271"/>
      <c r="E3229" s="271"/>
      <c r="F3229" s="271"/>
      <c r="G3229" s="273"/>
      <c r="H3229" s="29" t="str">
        <f>IF(A3229="","",VLOOKUP(A3229,AA_Cuadrillas,4,FALSE))</f>
        <v/>
      </c>
      <c r="I3229" s="394" t="str">
        <f>IF(A3229="","",VLOOKUP(A3229,AA_Cuadrillas,5,FALSE))</f>
        <v/>
      </c>
      <c r="J3229" s="273"/>
      <c r="K3229" s="9" t="str">
        <f>IF(A3229="","",F.P!$I$2)</f>
        <v/>
      </c>
      <c r="L3229" s="37"/>
      <c r="M3229" s="394" t="str">
        <f t="shared" si="440"/>
        <v/>
      </c>
      <c r="N3229" s="273"/>
    </row>
    <row r="3230" spans="1:14" ht="12.75" customHeight="1" x14ac:dyDescent="0.25">
      <c r="A3230" s="393"/>
      <c r="B3230" s="271"/>
      <c r="C3230" s="271"/>
      <c r="D3230" s="271"/>
      <c r="E3230" s="271"/>
      <c r="F3230" s="271"/>
      <c r="G3230" s="273"/>
      <c r="H3230" s="29" t="str">
        <f>IF(A3230="","",VLOOKUP(A3230,AA_Cuadrillas,4,FALSE))</f>
        <v/>
      </c>
      <c r="I3230" s="394" t="str">
        <f>IF(A3230="","",VLOOKUP(A3230,AA_Cuadrillas,5,FALSE))</f>
        <v/>
      </c>
      <c r="J3230" s="273"/>
      <c r="K3230" s="9" t="str">
        <f>IF(A3230="","",F.P!$I$2)</f>
        <v/>
      </c>
      <c r="L3230" s="37"/>
      <c r="M3230" s="394" t="str">
        <f t="shared" si="440"/>
        <v/>
      </c>
      <c r="N3230" s="273"/>
    </row>
    <row r="3231" spans="1:14" ht="12.75" customHeight="1" x14ac:dyDescent="0.25">
      <c r="A3231" s="393"/>
      <c r="B3231" s="271"/>
      <c r="C3231" s="271"/>
      <c r="D3231" s="271"/>
      <c r="E3231" s="271"/>
      <c r="F3231" s="271"/>
      <c r="G3231" s="273"/>
      <c r="H3231" s="29" t="str">
        <f>IF(A3231="","",VLOOKUP(A3231,AA_Cuadrillas,4,FALSE))</f>
        <v/>
      </c>
      <c r="I3231" s="394" t="str">
        <f>IF(A3231="","",VLOOKUP(A3231,AA_Cuadrillas,5,FALSE))</f>
        <v/>
      </c>
      <c r="J3231" s="273"/>
      <c r="K3231" s="9" t="str">
        <f>IF(A3231="","",F.P!$I$2)</f>
        <v/>
      </c>
      <c r="L3231" s="37"/>
      <c r="M3231" s="394" t="str">
        <f t="shared" si="440"/>
        <v/>
      </c>
      <c r="N3231" s="273"/>
    </row>
    <row r="3232" spans="1:14" ht="12.75" customHeight="1" x14ac:dyDescent="0.25">
      <c r="A3232" s="4"/>
      <c r="B3232" s="4"/>
      <c r="C3232" s="4"/>
      <c r="D3232" s="4"/>
      <c r="E3232" s="4"/>
      <c r="F3232" s="4"/>
      <c r="G3232" s="4"/>
      <c r="H3232" s="4"/>
      <c r="I3232" s="4"/>
      <c r="J3232" s="4"/>
      <c r="K3232" s="396" t="s">
        <v>444</v>
      </c>
      <c r="L3232" s="273"/>
      <c r="M3232" s="394">
        <f>SUM(M3227:N3231)</f>
        <v>87778.61</v>
      </c>
      <c r="N3232" s="273"/>
    </row>
    <row r="3233" spans="1:14" ht="12.75" customHeight="1" x14ac:dyDescent="0.2"/>
    <row r="3234" spans="1:14" ht="12.75" customHeight="1" x14ac:dyDescent="0.2">
      <c r="A3234" s="407" t="s">
        <v>1123</v>
      </c>
      <c r="B3234" s="275"/>
      <c r="C3234" s="275"/>
      <c r="D3234" s="275"/>
      <c r="E3234" s="275"/>
      <c r="F3234" s="275"/>
      <c r="G3234" s="275"/>
      <c r="H3234" s="275"/>
      <c r="I3234" s="275"/>
      <c r="J3234" s="275"/>
      <c r="K3234" s="275"/>
      <c r="L3234" s="275"/>
      <c r="M3234" s="275"/>
      <c r="N3234" s="276"/>
    </row>
    <row r="3235" spans="1:14" ht="12.75" customHeight="1" x14ac:dyDescent="0.2">
      <c r="A3235" s="277"/>
      <c r="B3235" s="278"/>
      <c r="C3235" s="278"/>
      <c r="D3235" s="278"/>
      <c r="E3235" s="278"/>
      <c r="F3235" s="278"/>
      <c r="G3235" s="278"/>
      <c r="H3235" s="278"/>
      <c r="I3235" s="278"/>
      <c r="J3235" s="278"/>
      <c r="K3235" s="278"/>
      <c r="L3235" s="278"/>
      <c r="M3235" s="278"/>
      <c r="N3235" s="279"/>
    </row>
    <row r="3236" spans="1:14" ht="12.75" customHeight="1" x14ac:dyDescent="0.2">
      <c r="A3236" s="75"/>
      <c r="B3236" s="75"/>
      <c r="C3236" s="75"/>
      <c r="D3236" s="75"/>
      <c r="E3236" s="75"/>
      <c r="F3236" s="75"/>
      <c r="G3236" s="75"/>
      <c r="H3236" s="75"/>
      <c r="I3236" s="75"/>
      <c r="J3236" s="75"/>
      <c r="K3236" s="75"/>
      <c r="L3236" s="75"/>
      <c r="M3236" s="75"/>
      <c r="N3236" s="75"/>
    </row>
    <row r="3237" spans="1:14" ht="12.75" customHeight="1" x14ac:dyDescent="0.3">
      <c r="A3237" s="79" t="s">
        <v>689</v>
      </c>
      <c r="B3237" s="80" t="str">
        <f>A3234</f>
        <v>SUMINISTRO E INSTALACIÓN DE PASAMURO L= 0,50m Ø3" EN HIERRO DUCTIL</v>
      </c>
      <c r="C3237" s="81" t="s">
        <v>916</v>
      </c>
      <c r="D3237" s="82" t="s">
        <v>999</v>
      </c>
      <c r="E3237" s="83" t="s">
        <v>445</v>
      </c>
      <c r="F3237" s="86">
        <f>H3237+J3237+L3237+N3237</f>
        <v>282167.5405</v>
      </c>
      <c r="G3237" s="83" t="s">
        <v>607</v>
      </c>
      <c r="H3237" s="86">
        <f>M3247</f>
        <v>190000</v>
      </c>
      <c r="I3237" s="83" t="s">
        <v>918</v>
      </c>
      <c r="J3237" s="86">
        <f>M3256</f>
        <v>4388.9305000000004</v>
      </c>
      <c r="K3237" s="83" t="s">
        <v>609</v>
      </c>
      <c r="L3237" s="86">
        <f>M3265</f>
        <v>0</v>
      </c>
      <c r="M3237" s="83" t="s">
        <v>610</v>
      </c>
      <c r="N3237" s="86">
        <f>M3274</f>
        <v>87778.61</v>
      </c>
    </row>
    <row r="3238" spans="1:14" ht="12.75" customHeight="1" x14ac:dyDescent="0.25">
      <c r="A3238" s="87"/>
      <c r="B3238" s="87"/>
      <c r="C3238" s="87"/>
      <c r="D3238" s="87"/>
      <c r="E3238" s="87"/>
      <c r="F3238" s="87"/>
      <c r="G3238" s="87"/>
      <c r="J3238" s="87"/>
      <c r="K3238" s="215" t="s">
        <v>3217</v>
      </c>
      <c r="L3238" s="215">
        <f>+F3237*presup!$O$5</f>
        <v>366817.80265000003</v>
      </c>
      <c r="M3238" s="87"/>
      <c r="N3238" s="87"/>
    </row>
    <row r="3239" spans="1:14" ht="12.75" customHeight="1" x14ac:dyDescent="0.2">
      <c r="A3239" s="398" t="s">
        <v>919</v>
      </c>
      <c r="B3239" s="271"/>
      <c r="C3239" s="271"/>
      <c r="D3239" s="271"/>
      <c r="E3239" s="271"/>
      <c r="F3239" s="271"/>
      <c r="G3239" s="271"/>
      <c r="H3239" s="271"/>
      <c r="I3239" s="271"/>
      <c r="J3239" s="271"/>
      <c r="K3239" s="271"/>
      <c r="L3239" s="271"/>
      <c r="M3239" s="271"/>
      <c r="N3239" s="273"/>
    </row>
    <row r="3240" spans="1:14" ht="12.75" customHeight="1" x14ac:dyDescent="0.2">
      <c r="A3240" s="396" t="s">
        <v>76</v>
      </c>
      <c r="B3240" s="271"/>
      <c r="C3240" s="271"/>
      <c r="D3240" s="271"/>
      <c r="E3240" s="271"/>
      <c r="F3240" s="271"/>
      <c r="G3240" s="273"/>
      <c r="H3240" s="88" t="s">
        <v>77</v>
      </c>
      <c r="I3240" s="399" t="s">
        <v>920</v>
      </c>
      <c r="J3240" s="273"/>
      <c r="K3240" s="399" t="s">
        <v>453</v>
      </c>
      <c r="L3240" s="273"/>
      <c r="M3240" s="399" t="s">
        <v>921</v>
      </c>
      <c r="N3240" s="273"/>
    </row>
    <row r="3241" spans="1:14" ht="12.75" customHeight="1" x14ac:dyDescent="0.2">
      <c r="A3241" s="403" t="s">
        <v>1124</v>
      </c>
      <c r="B3241" s="271"/>
      <c r="C3241" s="271"/>
      <c r="D3241" s="271"/>
      <c r="E3241" s="271"/>
      <c r="F3241" s="271"/>
      <c r="G3241" s="273"/>
      <c r="H3241" s="29" t="str">
        <f t="shared" ref="H3241:H3246" si="441">IF(A3241="","",VLOOKUP(A3241,AA_Materiales,7,FALSE))</f>
        <v>Unidad</v>
      </c>
      <c r="I3241" s="394">
        <f t="shared" ref="I3241:I3246" si="442">IF(A3241="","",VLOOKUP(A3241,AA_Materiales,8,FALSE))</f>
        <v>190000</v>
      </c>
      <c r="J3241" s="273"/>
      <c r="K3241" s="395">
        <v>1</v>
      </c>
      <c r="L3241" s="273"/>
      <c r="M3241" s="394">
        <f t="shared" ref="M3241:M3246" si="443">IF(A3241="","",I3241*K3241)</f>
        <v>190000</v>
      </c>
      <c r="N3241" s="273"/>
    </row>
    <row r="3242" spans="1:14" ht="12.75" customHeight="1" x14ac:dyDescent="0.2">
      <c r="A3242" s="403"/>
      <c r="B3242" s="271"/>
      <c r="C3242" s="271"/>
      <c r="D3242" s="271"/>
      <c r="E3242" s="271"/>
      <c r="F3242" s="271"/>
      <c r="G3242" s="273"/>
      <c r="H3242" s="29" t="str">
        <f t="shared" si="441"/>
        <v/>
      </c>
      <c r="I3242" s="394" t="str">
        <f t="shared" si="442"/>
        <v/>
      </c>
      <c r="J3242" s="273"/>
      <c r="K3242" s="395"/>
      <c r="L3242" s="273"/>
      <c r="M3242" s="394" t="str">
        <f t="shared" si="443"/>
        <v/>
      </c>
      <c r="N3242" s="273"/>
    </row>
    <row r="3243" spans="1:14" ht="12.75" customHeight="1" x14ac:dyDescent="0.2">
      <c r="A3243" s="403"/>
      <c r="B3243" s="271"/>
      <c r="C3243" s="271"/>
      <c r="D3243" s="271"/>
      <c r="E3243" s="271"/>
      <c r="F3243" s="271"/>
      <c r="G3243" s="273"/>
      <c r="H3243" s="29" t="str">
        <f t="shared" si="441"/>
        <v/>
      </c>
      <c r="I3243" s="394" t="str">
        <f t="shared" si="442"/>
        <v/>
      </c>
      <c r="J3243" s="273"/>
      <c r="K3243" s="395"/>
      <c r="L3243" s="273"/>
      <c r="M3243" s="394" t="str">
        <f t="shared" si="443"/>
        <v/>
      </c>
      <c r="N3243" s="273"/>
    </row>
    <row r="3244" spans="1:14" ht="12.75" customHeight="1" x14ac:dyDescent="0.2">
      <c r="A3244" s="403"/>
      <c r="B3244" s="271"/>
      <c r="C3244" s="271"/>
      <c r="D3244" s="271"/>
      <c r="E3244" s="271"/>
      <c r="F3244" s="271"/>
      <c r="G3244" s="273"/>
      <c r="H3244" s="29" t="str">
        <f t="shared" si="441"/>
        <v/>
      </c>
      <c r="I3244" s="394" t="str">
        <f t="shared" si="442"/>
        <v/>
      </c>
      <c r="J3244" s="273"/>
      <c r="K3244" s="395"/>
      <c r="L3244" s="273"/>
      <c r="M3244" s="394" t="str">
        <f t="shared" si="443"/>
        <v/>
      </c>
      <c r="N3244" s="273"/>
    </row>
    <row r="3245" spans="1:14" ht="12.75" customHeight="1" x14ac:dyDescent="0.2">
      <c r="A3245" s="403"/>
      <c r="B3245" s="271"/>
      <c r="C3245" s="271"/>
      <c r="D3245" s="271"/>
      <c r="E3245" s="271"/>
      <c r="F3245" s="271"/>
      <c r="G3245" s="273"/>
      <c r="H3245" s="29" t="str">
        <f t="shared" si="441"/>
        <v/>
      </c>
      <c r="I3245" s="394" t="str">
        <f t="shared" si="442"/>
        <v/>
      </c>
      <c r="J3245" s="273"/>
      <c r="K3245" s="395"/>
      <c r="L3245" s="273"/>
      <c r="M3245" s="394" t="str">
        <f t="shared" si="443"/>
        <v/>
      </c>
      <c r="N3245" s="273"/>
    </row>
    <row r="3246" spans="1:14" ht="12.75" customHeight="1" x14ac:dyDescent="0.2">
      <c r="A3246" s="403"/>
      <c r="B3246" s="271"/>
      <c r="C3246" s="271"/>
      <c r="D3246" s="271"/>
      <c r="E3246" s="271"/>
      <c r="F3246" s="271"/>
      <c r="G3246" s="273"/>
      <c r="H3246" s="29" t="str">
        <f t="shared" si="441"/>
        <v/>
      </c>
      <c r="I3246" s="394" t="str">
        <f t="shared" si="442"/>
        <v/>
      </c>
      <c r="J3246" s="273"/>
      <c r="K3246" s="395"/>
      <c r="L3246" s="273"/>
      <c r="M3246" s="394" t="str">
        <f t="shared" si="443"/>
        <v/>
      </c>
      <c r="N3246" s="273"/>
    </row>
    <row r="3247" spans="1:14" ht="12.75" customHeight="1" x14ac:dyDescent="0.25">
      <c r="A3247" s="4"/>
      <c r="B3247" s="4"/>
      <c r="C3247" s="4"/>
      <c r="D3247" s="4"/>
      <c r="E3247" s="4"/>
      <c r="F3247" s="4"/>
      <c r="G3247" s="4"/>
      <c r="H3247" s="4"/>
      <c r="I3247" s="4"/>
      <c r="J3247" s="4"/>
      <c r="K3247" s="396" t="s">
        <v>444</v>
      </c>
      <c r="L3247" s="273"/>
      <c r="M3247" s="394">
        <f>SUM(M3241:N3246)</f>
        <v>190000</v>
      </c>
      <c r="N3247" s="273"/>
    </row>
    <row r="3248" spans="1:14" ht="12.75" customHeight="1" x14ac:dyDescent="0.25">
      <c r="A3248" s="4"/>
      <c r="B3248" s="4"/>
      <c r="C3248" s="4"/>
      <c r="D3248" s="4"/>
      <c r="E3248" s="4"/>
      <c r="F3248" s="4"/>
      <c r="G3248" s="4"/>
      <c r="H3248" s="4"/>
      <c r="I3248" s="4"/>
      <c r="J3248" s="4"/>
      <c r="K3248" s="4"/>
      <c r="L3248" s="4"/>
      <c r="M3248" s="4"/>
      <c r="N3248" s="4"/>
    </row>
    <row r="3249" spans="1:14" ht="12.75" customHeight="1" x14ac:dyDescent="0.2">
      <c r="A3249" s="398" t="s">
        <v>926</v>
      </c>
      <c r="B3249" s="271"/>
      <c r="C3249" s="271"/>
      <c r="D3249" s="271"/>
      <c r="E3249" s="271"/>
      <c r="F3249" s="271"/>
      <c r="G3249" s="271"/>
      <c r="H3249" s="271"/>
      <c r="I3249" s="271"/>
      <c r="J3249" s="271"/>
      <c r="K3249" s="271"/>
      <c r="L3249" s="271"/>
      <c r="M3249" s="271"/>
      <c r="N3249" s="273"/>
    </row>
    <row r="3250" spans="1:14" ht="12.75" customHeight="1" x14ac:dyDescent="0.2">
      <c r="A3250" s="396" t="s">
        <v>76</v>
      </c>
      <c r="B3250" s="271"/>
      <c r="C3250" s="271"/>
      <c r="D3250" s="271"/>
      <c r="E3250" s="271"/>
      <c r="F3250" s="271"/>
      <c r="G3250" s="273"/>
      <c r="H3250" s="88" t="s">
        <v>77</v>
      </c>
      <c r="I3250" s="399" t="s">
        <v>920</v>
      </c>
      <c r="J3250" s="273"/>
      <c r="K3250" s="399" t="s">
        <v>453</v>
      </c>
      <c r="L3250" s="273"/>
      <c r="M3250" s="399" t="s">
        <v>921</v>
      </c>
      <c r="N3250" s="273"/>
    </row>
    <row r="3251" spans="1:14" ht="12.75" customHeight="1" x14ac:dyDescent="0.2">
      <c r="A3251" s="400" t="s">
        <v>927</v>
      </c>
      <c r="B3251" s="271"/>
      <c r="C3251" s="271"/>
      <c r="D3251" s="271"/>
      <c r="E3251" s="271"/>
      <c r="F3251" s="271"/>
      <c r="G3251" s="273"/>
      <c r="H3251" s="29" t="str">
        <f>IF(A3251="","",VLOOKUP(A3251,AA_Equipos,7,FALSE))</f>
        <v>% M.O.</v>
      </c>
      <c r="I3251" s="394">
        <f>+M3274</f>
        <v>87778.61</v>
      </c>
      <c r="J3251" s="273"/>
      <c r="K3251" s="404">
        <v>0.05</v>
      </c>
      <c r="L3251" s="273"/>
      <c r="M3251" s="394">
        <f t="shared" ref="M3251:M3255" si="444">IF(A3251="","",I3251*K3251)</f>
        <v>4388.9305000000004</v>
      </c>
      <c r="N3251" s="273"/>
    </row>
    <row r="3252" spans="1:14" ht="12.75" customHeight="1" x14ac:dyDescent="0.2">
      <c r="A3252" s="403"/>
      <c r="B3252" s="271"/>
      <c r="C3252" s="271"/>
      <c r="D3252" s="271"/>
      <c r="E3252" s="271"/>
      <c r="F3252" s="271"/>
      <c r="G3252" s="273"/>
      <c r="H3252" s="29" t="str">
        <f>IF(A3252="","",VLOOKUP(A3252,AA_Equipos,7,FALSE))</f>
        <v/>
      </c>
      <c r="I3252" s="394" t="str">
        <f>IF(A3252="","",VLOOKUP(A3252,AA_Equipos,8,FALSE))</f>
        <v/>
      </c>
      <c r="J3252" s="273"/>
      <c r="K3252" s="402"/>
      <c r="L3252" s="273"/>
      <c r="M3252" s="394" t="str">
        <f t="shared" si="444"/>
        <v/>
      </c>
      <c r="N3252" s="273"/>
    </row>
    <row r="3253" spans="1:14" ht="12.75" customHeight="1" x14ac:dyDescent="0.2">
      <c r="A3253" s="400"/>
      <c r="B3253" s="271"/>
      <c r="C3253" s="271"/>
      <c r="D3253" s="271"/>
      <c r="E3253" s="271"/>
      <c r="F3253" s="271"/>
      <c r="G3253" s="273"/>
      <c r="H3253" s="29" t="str">
        <f>IF(A3253="","",VLOOKUP(A3253,AA_Equipos,7,FALSE))</f>
        <v/>
      </c>
      <c r="I3253" s="394" t="str">
        <f>IF(A3253="","",VLOOKUP(A3253,AA_Equipos,8,FALSE))</f>
        <v/>
      </c>
      <c r="J3253" s="273"/>
      <c r="K3253" s="401"/>
      <c r="L3253" s="273"/>
      <c r="M3253" s="394" t="str">
        <f t="shared" si="444"/>
        <v/>
      </c>
      <c r="N3253" s="273"/>
    </row>
    <row r="3254" spans="1:14" ht="12.75" customHeight="1" x14ac:dyDescent="0.2">
      <c r="A3254" s="400"/>
      <c r="B3254" s="271"/>
      <c r="C3254" s="271"/>
      <c r="D3254" s="271"/>
      <c r="E3254" s="271"/>
      <c r="F3254" s="271"/>
      <c r="G3254" s="273"/>
      <c r="H3254" s="29" t="str">
        <f>IF(A3254="","",VLOOKUP(A3254,AA_Equipos,7,FALSE))</f>
        <v/>
      </c>
      <c r="I3254" s="394" t="str">
        <f>IF(A3254="","",VLOOKUP(A3254,AA_Equipos,8,FALSE))</f>
        <v/>
      </c>
      <c r="J3254" s="273"/>
      <c r="K3254" s="395"/>
      <c r="L3254" s="273"/>
      <c r="M3254" s="394" t="str">
        <f t="shared" si="444"/>
        <v/>
      </c>
      <c r="N3254" s="273"/>
    </row>
    <row r="3255" spans="1:14" ht="12.75" customHeight="1" x14ac:dyDescent="0.2">
      <c r="A3255" s="400"/>
      <c r="B3255" s="271"/>
      <c r="C3255" s="271"/>
      <c r="D3255" s="271"/>
      <c r="E3255" s="271"/>
      <c r="F3255" s="271"/>
      <c r="G3255" s="273"/>
      <c r="H3255" s="29" t="str">
        <f>IF(A3255="","",VLOOKUP(A3255,AA_Equipos,7,FALSE))</f>
        <v/>
      </c>
      <c r="I3255" s="394" t="str">
        <f>IF(A3255="","",VLOOKUP(A3255,AA_Equipos,8,FALSE))</f>
        <v/>
      </c>
      <c r="J3255" s="273"/>
      <c r="K3255" s="395"/>
      <c r="L3255" s="273"/>
      <c r="M3255" s="394" t="str">
        <f t="shared" si="444"/>
        <v/>
      </c>
      <c r="N3255" s="273"/>
    </row>
    <row r="3256" spans="1:14" ht="12.75" customHeight="1" x14ac:dyDescent="0.25">
      <c r="A3256" s="4"/>
      <c r="B3256" s="4"/>
      <c r="C3256" s="4"/>
      <c r="D3256" s="4"/>
      <c r="E3256" s="4"/>
      <c r="F3256" s="4"/>
      <c r="G3256" s="4"/>
      <c r="H3256" s="4"/>
      <c r="I3256" s="4"/>
      <c r="J3256" s="4"/>
      <c r="K3256" s="396" t="s">
        <v>444</v>
      </c>
      <c r="L3256" s="273"/>
      <c r="M3256" s="394">
        <f>SUM(M3251:N3255)</f>
        <v>4388.9305000000004</v>
      </c>
      <c r="N3256" s="273"/>
    </row>
    <row r="3257" spans="1:14" ht="12.75" customHeight="1" x14ac:dyDescent="0.25">
      <c r="A3257" s="4"/>
      <c r="B3257" s="4"/>
      <c r="C3257" s="4"/>
      <c r="D3257" s="4"/>
      <c r="E3257" s="4"/>
      <c r="F3257" s="4"/>
      <c r="G3257" s="4"/>
      <c r="H3257" s="4"/>
      <c r="I3257" s="4"/>
      <c r="J3257" s="4"/>
      <c r="K3257" s="4"/>
      <c r="L3257" s="4"/>
      <c r="M3257" s="4"/>
      <c r="N3257" s="4"/>
    </row>
    <row r="3258" spans="1:14" ht="12.75" customHeight="1" x14ac:dyDescent="0.2">
      <c r="A3258" s="398" t="s">
        <v>929</v>
      </c>
      <c r="B3258" s="271"/>
      <c r="C3258" s="271"/>
      <c r="D3258" s="271"/>
      <c r="E3258" s="271"/>
      <c r="F3258" s="271"/>
      <c r="G3258" s="271"/>
      <c r="H3258" s="271"/>
      <c r="I3258" s="271"/>
      <c r="J3258" s="271"/>
      <c r="K3258" s="271"/>
      <c r="L3258" s="271"/>
      <c r="M3258" s="271"/>
      <c r="N3258" s="273"/>
    </row>
    <row r="3259" spans="1:14" ht="12.75" customHeight="1" x14ac:dyDescent="0.2">
      <c r="A3259" s="396" t="s">
        <v>76</v>
      </c>
      <c r="B3259" s="271"/>
      <c r="C3259" s="271"/>
      <c r="D3259" s="271"/>
      <c r="E3259" s="271"/>
      <c r="F3259" s="271"/>
      <c r="G3259" s="273"/>
      <c r="H3259" s="88" t="s">
        <v>77</v>
      </c>
      <c r="I3259" s="399" t="s">
        <v>920</v>
      </c>
      <c r="J3259" s="273"/>
      <c r="K3259" s="399" t="s">
        <v>453</v>
      </c>
      <c r="L3259" s="273"/>
      <c r="M3259" s="399" t="s">
        <v>921</v>
      </c>
      <c r="N3259" s="273"/>
    </row>
    <row r="3260" spans="1:14" ht="12.75" customHeight="1" x14ac:dyDescent="0.2">
      <c r="A3260" s="400" t="s">
        <v>966</v>
      </c>
      <c r="B3260" s="271"/>
      <c r="C3260" s="271"/>
      <c r="D3260" s="271"/>
      <c r="E3260" s="271"/>
      <c r="F3260" s="271"/>
      <c r="G3260" s="273"/>
      <c r="H3260" s="29"/>
      <c r="I3260" s="394"/>
      <c r="J3260" s="273"/>
      <c r="K3260" s="417"/>
      <c r="L3260" s="273"/>
      <c r="M3260" s="394">
        <f t="shared" ref="M3260:M3264" si="445">IF(A3260="","",I3260*K3260)</f>
        <v>0</v>
      </c>
      <c r="N3260" s="273"/>
    </row>
    <row r="3261" spans="1:14" ht="12.75" customHeight="1" x14ac:dyDescent="0.2">
      <c r="A3261" s="403"/>
      <c r="B3261" s="271"/>
      <c r="C3261" s="271"/>
      <c r="D3261" s="271"/>
      <c r="E3261" s="271"/>
      <c r="F3261" s="271"/>
      <c r="G3261" s="273"/>
      <c r="H3261" s="29"/>
      <c r="I3261" s="394"/>
      <c r="J3261" s="273"/>
      <c r="K3261" s="404"/>
      <c r="L3261" s="273"/>
      <c r="M3261" s="394" t="str">
        <f t="shared" si="445"/>
        <v/>
      </c>
      <c r="N3261" s="273"/>
    </row>
    <row r="3262" spans="1:14" ht="12.75" customHeight="1" x14ac:dyDescent="0.2">
      <c r="A3262" s="400"/>
      <c r="B3262" s="271"/>
      <c r="C3262" s="271"/>
      <c r="D3262" s="271"/>
      <c r="E3262" s="271"/>
      <c r="F3262" s="271"/>
      <c r="G3262" s="273"/>
      <c r="H3262" s="29"/>
      <c r="I3262" s="394"/>
      <c r="J3262" s="273"/>
      <c r="K3262" s="395"/>
      <c r="L3262" s="273"/>
      <c r="M3262" s="394" t="str">
        <f t="shared" si="445"/>
        <v/>
      </c>
      <c r="N3262" s="273"/>
    </row>
    <row r="3263" spans="1:14" ht="12.75" customHeight="1" x14ac:dyDescent="0.2">
      <c r="A3263" s="400"/>
      <c r="B3263" s="271"/>
      <c r="C3263" s="271"/>
      <c r="D3263" s="271"/>
      <c r="E3263" s="271"/>
      <c r="F3263" s="271"/>
      <c r="G3263" s="273"/>
      <c r="H3263" s="29"/>
      <c r="I3263" s="394"/>
      <c r="J3263" s="273"/>
      <c r="K3263" s="395"/>
      <c r="L3263" s="273"/>
      <c r="M3263" s="394" t="str">
        <f t="shared" si="445"/>
        <v/>
      </c>
      <c r="N3263" s="273"/>
    </row>
    <row r="3264" spans="1:14" ht="12.75" customHeight="1" x14ac:dyDescent="0.2">
      <c r="A3264" s="400"/>
      <c r="B3264" s="271"/>
      <c r="C3264" s="271"/>
      <c r="D3264" s="271"/>
      <c r="E3264" s="271"/>
      <c r="F3264" s="271"/>
      <c r="G3264" s="273"/>
      <c r="H3264" s="29"/>
      <c r="I3264" s="394"/>
      <c r="J3264" s="273"/>
      <c r="K3264" s="395"/>
      <c r="L3264" s="273"/>
      <c r="M3264" s="394" t="str">
        <f t="shared" si="445"/>
        <v/>
      </c>
      <c r="N3264" s="273"/>
    </row>
    <row r="3265" spans="1:14" ht="12.75" customHeight="1" x14ac:dyDescent="0.25">
      <c r="A3265" s="4"/>
      <c r="B3265" s="4"/>
      <c r="C3265" s="4"/>
      <c r="D3265" s="4"/>
      <c r="E3265" s="4"/>
      <c r="F3265" s="4"/>
      <c r="G3265" s="4"/>
      <c r="H3265" s="4"/>
      <c r="I3265" s="4"/>
      <c r="J3265" s="4"/>
      <c r="K3265" s="396" t="s">
        <v>444</v>
      </c>
      <c r="L3265" s="273"/>
      <c r="M3265" s="394">
        <f>SUM(M3260:N3264)</f>
        <v>0</v>
      </c>
      <c r="N3265" s="273"/>
    </row>
    <row r="3266" spans="1:14" ht="12.75" customHeight="1" x14ac:dyDescent="0.25">
      <c r="A3266" s="4"/>
      <c r="B3266" s="4"/>
      <c r="C3266" s="4"/>
      <c r="D3266" s="4"/>
      <c r="E3266" s="4"/>
      <c r="F3266" s="4"/>
      <c r="G3266" s="4"/>
      <c r="H3266" s="4"/>
      <c r="I3266" s="4"/>
      <c r="J3266" s="4"/>
      <c r="K3266" s="4"/>
      <c r="L3266" s="4"/>
      <c r="M3266" s="4"/>
      <c r="N3266" s="4"/>
    </row>
    <row r="3267" spans="1:14" ht="12.75" customHeight="1" x14ac:dyDescent="0.2">
      <c r="A3267" s="398" t="s">
        <v>931</v>
      </c>
      <c r="B3267" s="271"/>
      <c r="C3267" s="271"/>
      <c r="D3267" s="271"/>
      <c r="E3267" s="271"/>
      <c r="F3267" s="271"/>
      <c r="G3267" s="271"/>
      <c r="H3267" s="271"/>
      <c r="I3267" s="271"/>
      <c r="J3267" s="271"/>
      <c r="K3267" s="271"/>
      <c r="L3267" s="271"/>
      <c r="M3267" s="271"/>
      <c r="N3267" s="273"/>
    </row>
    <row r="3268" spans="1:14" ht="12.75" customHeight="1" x14ac:dyDescent="0.2">
      <c r="A3268" s="396" t="s">
        <v>76</v>
      </c>
      <c r="B3268" s="271"/>
      <c r="C3268" s="271"/>
      <c r="D3268" s="271"/>
      <c r="E3268" s="271"/>
      <c r="F3268" s="271"/>
      <c r="G3268" s="273"/>
      <c r="H3268" s="88" t="s">
        <v>77</v>
      </c>
      <c r="I3268" s="399" t="s">
        <v>920</v>
      </c>
      <c r="J3268" s="273"/>
      <c r="K3268" s="90" t="s">
        <v>514</v>
      </c>
      <c r="L3268" s="91" t="s">
        <v>932</v>
      </c>
      <c r="M3268" s="399" t="s">
        <v>921</v>
      </c>
      <c r="N3268" s="273"/>
    </row>
    <row r="3269" spans="1:14" ht="12.75" customHeight="1" x14ac:dyDescent="0.25">
      <c r="A3269" s="393" t="s">
        <v>986</v>
      </c>
      <c r="B3269" s="271"/>
      <c r="C3269" s="271"/>
      <c r="D3269" s="271"/>
      <c r="E3269" s="271"/>
      <c r="F3269" s="271"/>
      <c r="G3269" s="273"/>
      <c r="H3269" s="29" t="str">
        <f>IF(A3269="","",VLOOKUP(A3269,AA_Cuadrillas,4,FALSE))</f>
        <v>Cuadrilla</v>
      </c>
      <c r="I3269" s="394">
        <f>IF(A3269="","",VLOOKUP(A3269,AA_Cuadrillas,5,FALSE))</f>
        <v>186763</v>
      </c>
      <c r="J3269" s="273"/>
      <c r="K3269" s="9">
        <f>IF(A3269="","",F.P!$I$2)</f>
        <v>1.88</v>
      </c>
      <c r="L3269" s="97">
        <v>0.25</v>
      </c>
      <c r="M3269" s="394">
        <f t="shared" ref="M3269:M3273" si="446">IF(A3269="","",I3269*K3269*L3269)</f>
        <v>87778.61</v>
      </c>
      <c r="N3269" s="273"/>
    </row>
    <row r="3270" spans="1:14" ht="12.75" customHeight="1" x14ac:dyDescent="0.25">
      <c r="A3270" s="393"/>
      <c r="B3270" s="271"/>
      <c r="C3270" s="271"/>
      <c r="D3270" s="271"/>
      <c r="E3270" s="271"/>
      <c r="F3270" s="271"/>
      <c r="G3270" s="273"/>
      <c r="H3270" s="29" t="str">
        <f>IF(A3270="","",VLOOKUP(A3270,AA_Cuadrillas,4,FALSE))</f>
        <v/>
      </c>
      <c r="I3270" s="394" t="str">
        <f>IF(A3270="","",VLOOKUP(A3270,AA_Cuadrillas,5,FALSE))</f>
        <v/>
      </c>
      <c r="J3270" s="273"/>
      <c r="K3270" s="9" t="str">
        <f>IF(A3270="","",F.P!$I$2)</f>
        <v/>
      </c>
      <c r="L3270" s="9"/>
      <c r="M3270" s="394" t="str">
        <f t="shared" si="446"/>
        <v/>
      </c>
      <c r="N3270" s="273"/>
    </row>
    <row r="3271" spans="1:14" ht="12.75" customHeight="1" x14ac:dyDescent="0.25">
      <c r="A3271" s="393"/>
      <c r="B3271" s="271"/>
      <c r="C3271" s="271"/>
      <c r="D3271" s="271"/>
      <c r="E3271" s="271"/>
      <c r="F3271" s="271"/>
      <c r="G3271" s="273"/>
      <c r="H3271" s="29" t="str">
        <f>IF(A3271="","",VLOOKUP(A3271,AA_Cuadrillas,4,FALSE))</f>
        <v/>
      </c>
      <c r="I3271" s="394" t="str">
        <f>IF(A3271="","",VLOOKUP(A3271,AA_Cuadrillas,5,FALSE))</f>
        <v/>
      </c>
      <c r="J3271" s="273"/>
      <c r="K3271" s="9" t="str">
        <f>IF(A3271="","",F.P!$I$2)</f>
        <v/>
      </c>
      <c r="L3271" s="37"/>
      <c r="M3271" s="394" t="str">
        <f t="shared" si="446"/>
        <v/>
      </c>
      <c r="N3271" s="273"/>
    </row>
    <row r="3272" spans="1:14" ht="12.75" customHeight="1" x14ac:dyDescent="0.25">
      <c r="A3272" s="393"/>
      <c r="B3272" s="271"/>
      <c r="C3272" s="271"/>
      <c r="D3272" s="271"/>
      <c r="E3272" s="271"/>
      <c r="F3272" s="271"/>
      <c r="G3272" s="273"/>
      <c r="H3272" s="29" t="str">
        <f>IF(A3272="","",VLOOKUP(A3272,AA_Cuadrillas,4,FALSE))</f>
        <v/>
      </c>
      <c r="I3272" s="394" t="str">
        <f>IF(A3272="","",VLOOKUP(A3272,AA_Cuadrillas,5,FALSE))</f>
        <v/>
      </c>
      <c r="J3272" s="273"/>
      <c r="K3272" s="9" t="str">
        <f>IF(A3272="","",F.P!$I$2)</f>
        <v/>
      </c>
      <c r="L3272" s="37"/>
      <c r="M3272" s="394" t="str">
        <f t="shared" si="446"/>
        <v/>
      </c>
      <c r="N3272" s="273"/>
    </row>
    <row r="3273" spans="1:14" ht="12.75" customHeight="1" x14ac:dyDescent="0.25">
      <c r="A3273" s="393"/>
      <c r="B3273" s="271"/>
      <c r="C3273" s="271"/>
      <c r="D3273" s="271"/>
      <c r="E3273" s="271"/>
      <c r="F3273" s="271"/>
      <c r="G3273" s="273"/>
      <c r="H3273" s="29" t="str">
        <f>IF(A3273="","",VLOOKUP(A3273,AA_Cuadrillas,4,FALSE))</f>
        <v/>
      </c>
      <c r="I3273" s="394" t="str">
        <f>IF(A3273="","",VLOOKUP(A3273,AA_Cuadrillas,5,FALSE))</f>
        <v/>
      </c>
      <c r="J3273" s="273"/>
      <c r="K3273" s="9" t="str">
        <f>IF(A3273="","",F.P!$I$2)</f>
        <v/>
      </c>
      <c r="L3273" s="37"/>
      <c r="M3273" s="394" t="str">
        <f t="shared" si="446"/>
        <v/>
      </c>
      <c r="N3273" s="273"/>
    </row>
    <row r="3274" spans="1:14" ht="12.75" customHeight="1" x14ac:dyDescent="0.25">
      <c r="A3274" s="4"/>
      <c r="B3274" s="4"/>
      <c r="C3274" s="4"/>
      <c r="D3274" s="4"/>
      <c r="E3274" s="4"/>
      <c r="F3274" s="4"/>
      <c r="G3274" s="4"/>
      <c r="H3274" s="4"/>
      <c r="I3274" s="4"/>
      <c r="J3274" s="4"/>
      <c r="K3274" s="396" t="s">
        <v>444</v>
      </c>
      <c r="L3274" s="273"/>
      <c r="M3274" s="394">
        <f>SUM(M3269:N3273)</f>
        <v>87778.61</v>
      </c>
      <c r="N3274" s="273"/>
    </row>
    <row r="3275" spans="1:14" ht="12.75" customHeight="1" x14ac:dyDescent="0.2"/>
    <row r="3276" spans="1:14" ht="12.75" customHeight="1" x14ac:dyDescent="0.2">
      <c r="A3276" s="407" t="s">
        <v>1125</v>
      </c>
      <c r="B3276" s="275"/>
      <c r="C3276" s="275"/>
      <c r="D3276" s="275"/>
      <c r="E3276" s="275"/>
      <c r="F3276" s="275"/>
      <c r="G3276" s="275"/>
      <c r="H3276" s="275"/>
      <c r="I3276" s="275"/>
      <c r="J3276" s="275"/>
      <c r="K3276" s="275"/>
      <c r="L3276" s="275"/>
      <c r="M3276" s="275"/>
      <c r="N3276" s="276"/>
    </row>
    <row r="3277" spans="1:14" ht="12.75" customHeight="1" x14ac:dyDescent="0.2">
      <c r="A3277" s="277"/>
      <c r="B3277" s="278"/>
      <c r="C3277" s="278"/>
      <c r="D3277" s="278"/>
      <c r="E3277" s="278"/>
      <c r="F3277" s="278"/>
      <c r="G3277" s="278"/>
      <c r="H3277" s="278"/>
      <c r="I3277" s="278"/>
      <c r="J3277" s="278"/>
      <c r="K3277" s="278"/>
      <c r="L3277" s="278"/>
      <c r="M3277" s="278"/>
      <c r="N3277" s="279"/>
    </row>
    <row r="3278" spans="1:14" ht="12.75" customHeight="1" x14ac:dyDescent="0.2">
      <c r="A3278" s="75"/>
      <c r="B3278" s="75"/>
      <c r="C3278" s="75"/>
      <c r="D3278" s="75"/>
      <c r="E3278" s="75"/>
      <c r="F3278" s="75"/>
      <c r="G3278" s="75"/>
      <c r="H3278" s="75"/>
      <c r="I3278" s="75"/>
      <c r="J3278" s="75"/>
      <c r="K3278" s="75"/>
      <c r="L3278" s="75"/>
      <c r="M3278" s="75"/>
      <c r="N3278" s="75"/>
    </row>
    <row r="3279" spans="1:14" ht="12.75" customHeight="1" x14ac:dyDescent="0.3">
      <c r="A3279" s="79" t="s">
        <v>690</v>
      </c>
      <c r="B3279" s="80" t="str">
        <f>A3276</f>
        <v>SUMINISTRO E INSTALACIÓN DE PASAMURO L= 1m Ø3" EN HIERRO DUCTIL</v>
      </c>
      <c r="C3279" s="81" t="s">
        <v>916</v>
      </c>
      <c r="D3279" s="82" t="s">
        <v>999</v>
      </c>
      <c r="E3279" s="83" t="s">
        <v>445</v>
      </c>
      <c r="F3279" s="86">
        <f>H3279+J3279+L3279+N3279</f>
        <v>483697.5405</v>
      </c>
      <c r="G3279" s="83" t="s">
        <v>607</v>
      </c>
      <c r="H3279" s="86">
        <f>M3289</f>
        <v>391530</v>
      </c>
      <c r="I3279" s="83" t="s">
        <v>918</v>
      </c>
      <c r="J3279" s="86">
        <f>M3298</f>
        <v>4388.9305000000004</v>
      </c>
      <c r="K3279" s="83" t="s">
        <v>609</v>
      </c>
      <c r="L3279" s="86">
        <f>M3307</f>
        <v>0</v>
      </c>
      <c r="M3279" s="83" t="s">
        <v>610</v>
      </c>
      <c r="N3279" s="86">
        <f>M3316</f>
        <v>87778.61</v>
      </c>
    </row>
    <row r="3280" spans="1:14" ht="12.75" customHeight="1" x14ac:dyDescent="0.25">
      <c r="A3280" s="87"/>
      <c r="B3280" s="87"/>
      <c r="C3280" s="87"/>
      <c r="D3280" s="87"/>
      <c r="E3280" s="87"/>
      <c r="F3280" s="87"/>
      <c r="G3280" s="87"/>
      <c r="J3280" s="87"/>
      <c r="K3280" s="215" t="s">
        <v>3217</v>
      </c>
      <c r="L3280" s="215">
        <f>+F3279*presup!$O$5</f>
        <v>628806.80264999997</v>
      </c>
      <c r="M3280" s="87"/>
      <c r="N3280" s="87"/>
    </row>
    <row r="3281" spans="1:14" ht="12.75" customHeight="1" x14ac:dyDescent="0.2">
      <c r="A3281" s="398" t="s">
        <v>919</v>
      </c>
      <c r="B3281" s="271"/>
      <c r="C3281" s="271"/>
      <c r="D3281" s="271"/>
      <c r="E3281" s="271"/>
      <c r="F3281" s="271"/>
      <c r="G3281" s="271"/>
      <c r="H3281" s="271"/>
      <c r="I3281" s="271"/>
      <c r="J3281" s="271"/>
      <c r="K3281" s="271"/>
      <c r="L3281" s="271"/>
      <c r="M3281" s="271"/>
      <c r="N3281" s="273"/>
    </row>
    <row r="3282" spans="1:14" ht="12.75" customHeight="1" x14ac:dyDescent="0.2">
      <c r="A3282" s="396" t="s">
        <v>76</v>
      </c>
      <c r="B3282" s="271"/>
      <c r="C3282" s="271"/>
      <c r="D3282" s="271"/>
      <c r="E3282" s="271"/>
      <c r="F3282" s="271"/>
      <c r="G3282" s="273"/>
      <c r="H3282" s="88" t="s">
        <v>77</v>
      </c>
      <c r="I3282" s="399" t="s">
        <v>920</v>
      </c>
      <c r="J3282" s="273"/>
      <c r="K3282" s="399" t="s">
        <v>453</v>
      </c>
      <c r="L3282" s="273"/>
      <c r="M3282" s="399" t="s">
        <v>921</v>
      </c>
      <c r="N3282" s="273"/>
    </row>
    <row r="3283" spans="1:14" ht="12.75" customHeight="1" x14ac:dyDescent="0.2">
      <c r="A3283" s="403" t="s">
        <v>1126</v>
      </c>
      <c r="B3283" s="271"/>
      <c r="C3283" s="271"/>
      <c r="D3283" s="271"/>
      <c r="E3283" s="271"/>
      <c r="F3283" s="271"/>
      <c r="G3283" s="273"/>
      <c r="H3283" s="29" t="str">
        <f t="shared" ref="H3283:H3288" si="447">IF(A3283="","",VLOOKUP(A3283,AA_Materiales,7,FALSE))</f>
        <v>Unidad</v>
      </c>
      <c r="I3283" s="394">
        <f t="shared" ref="I3283:I3288" si="448">IF(A3283="","",VLOOKUP(A3283,AA_Materiales,8,FALSE))</f>
        <v>391530</v>
      </c>
      <c r="J3283" s="273"/>
      <c r="K3283" s="395">
        <v>1</v>
      </c>
      <c r="L3283" s="273"/>
      <c r="M3283" s="394">
        <f t="shared" ref="M3283:M3288" si="449">IF(A3283="","",I3283*K3283)</f>
        <v>391530</v>
      </c>
      <c r="N3283" s="273"/>
    </row>
    <row r="3284" spans="1:14" ht="12.75" customHeight="1" x14ac:dyDescent="0.2">
      <c r="A3284" s="403"/>
      <c r="B3284" s="271"/>
      <c r="C3284" s="271"/>
      <c r="D3284" s="271"/>
      <c r="E3284" s="271"/>
      <c r="F3284" s="271"/>
      <c r="G3284" s="273"/>
      <c r="H3284" s="29" t="str">
        <f t="shared" si="447"/>
        <v/>
      </c>
      <c r="I3284" s="394" t="str">
        <f t="shared" si="448"/>
        <v/>
      </c>
      <c r="J3284" s="273"/>
      <c r="K3284" s="395"/>
      <c r="L3284" s="273"/>
      <c r="M3284" s="394" t="str">
        <f t="shared" si="449"/>
        <v/>
      </c>
      <c r="N3284" s="273"/>
    </row>
    <row r="3285" spans="1:14" ht="12.75" customHeight="1" x14ac:dyDescent="0.2">
      <c r="A3285" s="403"/>
      <c r="B3285" s="271"/>
      <c r="C3285" s="271"/>
      <c r="D3285" s="271"/>
      <c r="E3285" s="271"/>
      <c r="F3285" s="271"/>
      <c r="G3285" s="273"/>
      <c r="H3285" s="29" t="str">
        <f t="shared" si="447"/>
        <v/>
      </c>
      <c r="I3285" s="394" t="str">
        <f t="shared" si="448"/>
        <v/>
      </c>
      <c r="J3285" s="273"/>
      <c r="K3285" s="395"/>
      <c r="L3285" s="273"/>
      <c r="M3285" s="394" t="str">
        <f t="shared" si="449"/>
        <v/>
      </c>
      <c r="N3285" s="273"/>
    </row>
    <row r="3286" spans="1:14" ht="12.75" customHeight="1" x14ac:dyDescent="0.2">
      <c r="A3286" s="403"/>
      <c r="B3286" s="271"/>
      <c r="C3286" s="271"/>
      <c r="D3286" s="271"/>
      <c r="E3286" s="271"/>
      <c r="F3286" s="271"/>
      <c r="G3286" s="273"/>
      <c r="H3286" s="29" t="str">
        <f t="shared" si="447"/>
        <v/>
      </c>
      <c r="I3286" s="394" t="str">
        <f t="shared" si="448"/>
        <v/>
      </c>
      <c r="J3286" s="273"/>
      <c r="K3286" s="395"/>
      <c r="L3286" s="273"/>
      <c r="M3286" s="394" t="str">
        <f t="shared" si="449"/>
        <v/>
      </c>
      <c r="N3286" s="273"/>
    </row>
    <row r="3287" spans="1:14" ht="12.75" customHeight="1" x14ac:dyDescent="0.2">
      <c r="A3287" s="403"/>
      <c r="B3287" s="271"/>
      <c r="C3287" s="271"/>
      <c r="D3287" s="271"/>
      <c r="E3287" s="271"/>
      <c r="F3287" s="271"/>
      <c r="G3287" s="273"/>
      <c r="H3287" s="29" t="str">
        <f t="shared" si="447"/>
        <v/>
      </c>
      <c r="I3287" s="394" t="str">
        <f t="shared" si="448"/>
        <v/>
      </c>
      <c r="J3287" s="273"/>
      <c r="K3287" s="395"/>
      <c r="L3287" s="273"/>
      <c r="M3287" s="394" t="str">
        <f t="shared" si="449"/>
        <v/>
      </c>
      <c r="N3287" s="273"/>
    </row>
    <row r="3288" spans="1:14" ht="12.75" customHeight="1" x14ac:dyDescent="0.2">
      <c r="A3288" s="403"/>
      <c r="B3288" s="271"/>
      <c r="C3288" s="271"/>
      <c r="D3288" s="271"/>
      <c r="E3288" s="271"/>
      <c r="F3288" s="271"/>
      <c r="G3288" s="273"/>
      <c r="H3288" s="29" t="str">
        <f t="shared" si="447"/>
        <v/>
      </c>
      <c r="I3288" s="394" t="str">
        <f t="shared" si="448"/>
        <v/>
      </c>
      <c r="J3288" s="273"/>
      <c r="K3288" s="395"/>
      <c r="L3288" s="273"/>
      <c r="M3288" s="394" t="str">
        <f t="shared" si="449"/>
        <v/>
      </c>
      <c r="N3288" s="273"/>
    </row>
    <row r="3289" spans="1:14" ht="12.75" customHeight="1" x14ac:dyDescent="0.25">
      <c r="A3289" s="4"/>
      <c r="B3289" s="4"/>
      <c r="C3289" s="4"/>
      <c r="D3289" s="4"/>
      <c r="E3289" s="4"/>
      <c r="F3289" s="4"/>
      <c r="G3289" s="4"/>
      <c r="H3289" s="4"/>
      <c r="I3289" s="4"/>
      <c r="J3289" s="4"/>
      <c r="K3289" s="396" t="s">
        <v>444</v>
      </c>
      <c r="L3289" s="273"/>
      <c r="M3289" s="394">
        <f>SUM(M3283:N3288)</f>
        <v>391530</v>
      </c>
      <c r="N3289" s="273"/>
    </row>
    <row r="3290" spans="1:14" ht="12.75" customHeight="1" x14ac:dyDescent="0.25">
      <c r="A3290" s="4"/>
      <c r="B3290" s="4"/>
      <c r="C3290" s="4"/>
      <c r="D3290" s="4"/>
      <c r="E3290" s="4"/>
      <c r="F3290" s="4"/>
      <c r="G3290" s="4"/>
      <c r="H3290" s="4"/>
      <c r="I3290" s="4"/>
      <c r="J3290" s="4"/>
      <c r="K3290" s="4"/>
      <c r="L3290" s="4"/>
      <c r="M3290" s="4"/>
      <c r="N3290" s="4"/>
    </row>
    <row r="3291" spans="1:14" ht="12.75" customHeight="1" x14ac:dyDescent="0.2">
      <c r="A3291" s="398" t="s">
        <v>926</v>
      </c>
      <c r="B3291" s="271"/>
      <c r="C3291" s="271"/>
      <c r="D3291" s="271"/>
      <c r="E3291" s="271"/>
      <c r="F3291" s="271"/>
      <c r="G3291" s="271"/>
      <c r="H3291" s="271"/>
      <c r="I3291" s="271"/>
      <c r="J3291" s="271"/>
      <c r="K3291" s="271"/>
      <c r="L3291" s="271"/>
      <c r="M3291" s="271"/>
      <c r="N3291" s="273"/>
    </row>
    <row r="3292" spans="1:14" ht="12.75" customHeight="1" x14ac:dyDescent="0.2">
      <c r="A3292" s="396" t="s">
        <v>76</v>
      </c>
      <c r="B3292" s="271"/>
      <c r="C3292" s="271"/>
      <c r="D3292" s="271"/>
      <c r="E3292" s="271"/>
      <c r="F3292" s="271"/>
      <c r="G3292" s="273"/>
      <c r="H3292" s="88" t="s">
        <v>77</v>
      </c>
      <c r="I3292" s="399" t="s">
        <v>920</v>
      </c>
      <c r="J3292" s="273"/>
      <c r="K3292" s="399" t="s">
        <v>453</v>
      </c>
      <c r="L3292" s="273"/>
      <c r="M3292" s="399" t="s">
        <v>921</v>
      </c>
      <c r="N3292" s="273"/>
    </row>
    <row r="3293" spans="1:14" ht="12.75" customHeight="1" x14ac:dyDescent="0.2">
      <c r="A3293" s="400" t="s">
        <v>927</v>
      </c>
      <c r="B3293" s="271"/>
      <c r="C3293" s="271"/>
      <c r="D3293" s="271"/>
      <c r="E3293" s="271"/>
      <c r="F3293" s="271"/>
      <c r="G3293" s="273"/>
      <c r="H3293" s="29" t="str">
        <f>IF(A3293="","",VLOOKUP(A3293,AA_Equipos,7,FALSE))</f>
        <v>% M.O.</v>
      </c>
      <c r="I3293" s="394">
        <f>+M3316</f>
        <v>87778.61</v>
      </c>
      <c r="J3293" s="273"/>
      <c r="K3293" s="404">
        <v>0.05</v>
      </c>
      <c r="L3293" s="273"/>
      <c r="M3293" s="394">
        <f t="shared" ref="M3293:M3297" si="450">IF(A3293="","",I3293*K3293)</f>
        <v>4388.9305000000004</v>
      </c>
      <c r="N3293" s="273"/>
    </row>
    <row r="3294" spans="1:14" ht="12.75" customHeight="1" x14ac:dyDescent="0.2">
      <c r="A3294" s="403"/>
      <c r="B3294" s="271"/>
      <c r="C3294" s="271"/>
      <c r="D3294" s="271"/>
      <c r="E3294" s="271"/>
      <c r="F3294" s="271"/>
      <c r="G3294" s="273"/>
      <c r="H3294" s="29" t="str">
        <f>IF(A3294="","",VLOOKUP(A3294,AA_Equipos,7,FALSE))</f>
        <v/>
      </c>
      <c r="I3294" s="394" t="str">
        <f>IF(A3294="","",VLOOKUP(A3294,AA_Equipos,8,FALSE))</f>
        <v/>
      </c>
      <c r="J3294" s="273"/>
      <c r="K3294" s="402"/>
      <c r="L3294" s="273"/>
      <c r="M3294" s="394" t="str">
        <f t="shared" si="450"/>
        <v/>
      </c>
      <c r="N3294" s="273"/>
    </row>
    <row r="3295" spans="1:14" ht="12.75" customHeight="1" x14ac:dyDescent="0.2">
      <c r="A3295" s="400"/>
      <c r="B3295" s="271"/>
      <c r="C3295" s="271"/>
      <c r="D3295" s="271"/>
      <c r="E3295" s="271"/>
      <c r="F3295" s="271"/>
      <c r="G3295" s="273"/>
      <c r="H3295" s="29" t="str">
        <f>IF(A3295="","",VLOOKUP(A3295,AA_Equipos,7,FALSE))</f>
        <v/>
      </c>
      <c r="I3295" s="394" t="str">
        <f>IF(A3295="","",VLOOKUP(A3295,AA_Equipos,8,FALSE))</f>
        <v/>
      </c>
      <c r="J3295" s="273"/>
      <c r="K3295" s="401"/>
      <c r="L3295" s="273"/>
      <c r="M3295" s="394" t="str">
        <f t="shared" si="450"/>
        <v/>
      </c>
      <c r="N3295" s="273"/>
    </row>
    <row r="3296" spans="1:14" ht="12.75" customHeight="1" x14ac:dyDescent="0.2">
      <c r="A3296" s="400"/>
      <c r="B3296" s="271"/>
      <c r="C3296" s="271"/>
      <c r="D3296" s="271"/>
      <c r="E3296" s="271"/>
      <c r="F3296" s="271"/>
      <c r="G3296" s="273"/>
      <c r="H3296" s="29" t="str">
        <f>IF(A3296="","",VLOOKUP(A3296,AA_Equipos,7,FALSE))</f>
        <v/>
      </c>
      <c r="I3296" s="394" t="str">
        <f>IF(A3296="","",VLOOKUP(A3296,AA_Equipos,8,FALSE))</f>
        <v/>
      </c>
      <c r="J3296" s="273"/>
      <c r="K3296" s="395"/>
      <c r="L3296" s="273"/>
      <c r="M3296" s="394" t="str">
        <f t="shared" si="450"/>
        <v/>
      </c>
      <c r="N3296" s="273"/>
    </row>
    <row r="3297" spans="1:14" ht="12.75" customHeight="1" x14ac:dyDescent="0.2">
      <c r="A3297" s="400"/>
      <c r="B3297" s="271"/>
      <c r="C3297" s="271"/>
      <c r="D3297" s="271"/>
      <c r="E3297" s="271"/>
      <c r="F3297" s="271"/>
      <c r="G3297" s="273"/>
      <c r="H3297" s="29" t="str">
        <f>IF(A3297="","",VLOOKUP(A3297,AA_Equipos,7,FALSE))</f>
        <v/>
      </c>
      <c r="I3297" s="394" t="str">
        <f>IF(A3297="","",VLOOKUP(A3297,AA_Equipos,8,FALSE))</f>
        <v/>
      </c>
      <c r="J3297" s="273"/>
      <c r="K3297" s="395"/>
      <c r="L3297" s="273"/>
      <c r="M3297" s="394" t="str">
        <f t="shared" si="450"/>
        <v/>
      </c>
      <c r="N3297" s="273"/>
    </row>
    <row r="3298" spans="1:14" ht="12.75" customHeight="1" x14ac:dyDescent="0.25">
      <c r="A3298" s="4"/>
      <c r="B3298" s="4"/>
      <c r="C3298" s="4"/>
      <c r="D3298" s="4"/>
      <c r="E3298" s="4"/>
      <c r="F3298" s="4"/>
      <c r="G3298" s="4"/>
      <c r="H3298" s="4"/>
      <c r="I3298" s="4"/>
      <c r="J3298" s="4"/>
      <c r="K3298" s="396" t="s">
        <v>444</v>
      </c>
      <c r="L3298" s="273"/>
      <c r="M3298" s="394">
        <f>SUM(M3293:N3297)</f>
        <v>4388.9305000000004</v>
      </c>
      <c r="N3298" s="273"/>
    </row>
    <row r="3299" spans="1:14" ht="12.75" customHeight="1" x14ac:dyDescent="0.25">
      <c r="A3299" s="4"/>
      <c r="B3299" s="4"/>
      <c r="C3299" s="4"/>
      <c r="D3299" s="4"/>
      <c r="E3299" s="4"/>
      <c r="F3299" s="4"/>
      <c r="G3299" s="4"/>
      <c r="H3299" s="4"/>
      <c r="I3299" s="4"/>
      <c r="J3299" s="4"/>
      <c r="K3299" s="4"/>
      <c r="L3299" s="4"/>
      <c r="M3299" s="4"/>
      <c r="N3299" s="4"/>
    </row>
    <row r="3300" spans="1:14" ht="12.75" customHeight="1" x14ac:dyDescent="0.2">
      <c r="A3300" s="398" t="s">
        <v>929</v>
      </c>
      <c r="B3300" s="271"/>
      <c r="C3300" s="271"/>
      <c r="D3300" s="271"/>
      <c r="E3300" s="271"/>
      <c r="F3300" s="271"/>
      <c r="G3300" s="271"/>
      <c r="H3300" s="271"/>
      <c r="I3300" s="271"/>
      <c r="J3300" s="271"/>
      <c r="K3300" s="271"/>
      <c r="L3300" s="271"/>
      <c r="M3300" s="271"/>
      <c r="N3300" s="273"/>
    </row>
    <row r="3301" spans="1:14" ht="12.75" customHeight="1" x14ac:dyDescent="0.2">
      <c r="A3301" s="396" t="s">
        <v>76</v>
      </c>
      <c r="B3301" s="271"/>
      <c r="C3301" s="271"/>
      <c r="D3301" s="271"/>
      <c r="E3301" s="271"/>
      <c r="F3301" s="271"/>
      <c r="G3301" s="273"/>
      <c r="H3301" s="88" t="s">
        <v>77</v>
      </c>
      <c r="I3301" s="399" t="s">
        <v>920</v>
      </c>
      <c r="J3301" s="273"/>
      <c r="K3301" s="399" t="s">
        <v>453</v>
      </c>
      <c r="L3301" s="273"/>
      <c r="M3301" s="399" t="s">
        <v>921</v>
      </c>
      <c r="N3301" s="273"/>
    </row>
    <row r="3302" spans="1:14" ht="12.75" customHeight="1" x14ac:dyDescent="0.2">
      <c r="A3302" s="400" t="s">
        <v>966</v>
      </c>
      <c r="B3302" s="271"/>
      <c r="C3302" s="271"/>
      <c r="D3302" s="271"/>
      <c r="E3302" s="271"/>
      <c r="F3302" s="271"/>
      <c r="G3302" s="273"/>
      <c r="H3302" s="29"/>
      <c r="I3302" s="394"/>
      <c r="J3302" s="273"/>
      <c r="K3302" s="417"/>
      <c r="L3302" s="273"/>
      <c r="M3302" s="394">
        <f t="shared" ref="M3302:M3306" si="451">IF(A3302="","",I3302*K3302)</f>
        <v>0</v>
      </c>
      <c r="N3302" s="273"/>
    </row>
    <row r="3303" spans="1:14" ht="12.75" customHeight="1" x14ac:dyDescent="0.2">
      <c r="A3303" s="403"/>
      <c r="B3303" s="271"/>
      <c r="C3303" s="271"/>
      <c r="D3303" s="271"/>
      <c r="E3303" s="271"/>
      <c r="F3303" s="271"/>
      <c r="G3303" s="273"/>
      <c r="H3303" s="29"/>
      <c r="I3303" s="394"/>
      <c r="J3303" s="273"/>
      <c r="K3303" s="404"/>
      <c r="L3303" s="273"/>
      <c r="M3303" s="394" t="str">
        <f t="shared" si="451"/>
        <v/>
      </c>
      <c r="N3303" s="273"/>
    </row>
    <row r="3304" spans="1:14" ht="12.75" customHeight="1" x14ac:dyDescent="0.2">
      <c r="A3304" s="400"/>
      <c r="B3304" s="271"/>
      <c r="C3304" s="271"/>
      <c r="D3304" s="271"/>
      <c r="E3304" s="271"/>
      <c r="F3304" s="271"/>
      <c r="G3304" s="273"/>
      <c r="H3304" s="29"/>
      <c r="I3304" s="394"/>
      <c r="J3304" s="273"/>
      <c r="K3304" s="395"/>
      <c r="L3304" s="273"/>
      <c r="M3304" s="394" t="str">
        <f t="shared" si="451"/>
        <v/>
      </c>
      <c r="N3304" s="273"/>
    </row>
    <row r="3305" spans="1:14" ht="12.75" customHeight="1" x14ac:dyDescent="0.2">
      <c r="A3305" s="400"/>
      <c r="B3305" s="271"/>
      <c r="C3305" s="271"/>
      <c r="D3305" s="271"/>
      <c r="E3305" s="271"/>
      <c r="F3305" s="271"/>
      <c r="G3305" s="273"/>
      <c r="H3305" s="29"/>
      <c r="I3305" s="394"/>
      <c r="J3305" s="273"/>
      <c r="K3305" s="395"/>
      <c r="L3305" s="273"/>
      <c r="M3305" s="394" t="str">
        <f t="shared" si="451"/>
        <v/>
      </c>
      <c r="N3305" s="273"/>
    </row>
    <row r="3306" spans="1:14" ht="12.75" customHeight="1" x14ac:dyDescent="0.2">
      <c r="A3306" s="400"/>
      <c r="B3306" s="271"/>
      <c r="C3306" s="271"/>
      <c r="D3306" s="271"/>
      <c r="E3306" s="271"/>
      <c r="F3306" s="271"/>
      <c r="G3306" s="273"/>
      <c r="H3306" s="29"/>
      <c r="I3306" s="394"/>
      <c r="J3306" s="273"/>
      <c r="K3306" s="395"/>
      <c r="L3306" s="273"/>
      <c r="M3306" s="394" t="str">
        <f t="shared" si="451"/>
        <v/>
      </c>
      <c r="N3306" s="273"/>
    </row>
    <row r="3307" spans="1:14" ht="12.75" customHeight="1" x14ac:dyDescent="0.25">
      <c r="A3307" s="4"/>
      <c r="B3307" s="4"/>
      <c r="C3307" s="4"/>
      <c r="D3307" s="4"/>
      <c r="E3307" s="4"/>
      <c r="F3307" s="4"/>
      <c r="G3307" s="4"/>
      <c r="H3307" s="4"/>
      <c r="I3307" s="4"/>
      <c r="J3307" s="4"/>
      <c r="K3307" s="396" t="s">
        <v>444</v>
      </c>
      <c r="L3307" s="273"/>
      <c r="M3307" s="394">
        <f>SUM(M3302:N3306)</f>
        <v>0</v>
      </c>
      <c r="N3307" s="273"/>
    </row>
    <row r="3308" spans="1:14" ht="12.75" customHeight="1" x14ac:dyDescent="0.25">
      <c r="A3308" s="4"/>
      <c r="B3308" s="4"/>
      <c r="C3308" s="4"/>
      <c r="D3308" s="4"/>
      <c r="E3308" s="4"/>
      <c r="F3308" s="4"/>
      <c r="G3308" s="4"/>
      <c r="H3308" s="4"/>
      <c r="I3308" s="4"/>
      <c r="J3308" s="4"/>
      <c r="K3308" s="4"/>
      <c r="L3308" s="4"/>
      <c r="M3308" s="4"/>
      <c r="N3308" s="4"/>
    </row>
    <row r="3309" spans="1:14" ht="12.75" customHeight="1" x14ac:dyDescent="0.2">
      <c r="A3309" s="398" t="s">
        <v>931</v>
      </c>
      <c r="B3309" s="271"/>
      <c r="C3309" s="271"/>
      <c r="D3309" s="271"/>
      <c r="E3309" s="271"/>
      <c r="F3309" s="271"/>
      <c r="G3309" s="271"/>
      <c r="H3309" s="271"/>
      <c r="I3309" s="271"/>
      <c r="J3309" s="271"/>
      <c r="K3309" s="271"/>
      <c r="L3309" s="271"/>
      <c r="M3309" s="271"/>
      <c r="N3309" s="273"/>
    </row>
    <row r="3310" spans="1:14" ht="12.75" customHeight="1" x14ac:dyDescent="0.2">
      <c r="A3310" s="396" t="s">
        <v>76</v>
      </c>
      <c r="B3310" s="271"/>
      <c r="C3310" s="271"/>
      <c r="D3310" s="271"/>
      <c r="E3310" s="271"/>
      <c r="F3310" s="271"/>
      <c r="G3310" s="273"/>
      <c r="H3310" s="88" t="s">
        <v>77</v>
      </c>
      <c r="I3310" s="399" t="s">
        <v>920</v>
      </c>
      <c r="J3310" s="273"/>
      <c r="K3310" s="90" t="s">
        <v>514</v>
      </c>
      <c r="L3310" s="91" t="s">
        <v>932</v>
      </c>
      <c r="M3310" s="399" t="s">
        <v>921</v>
      </c>
      <c r="N3310" s="273"/>
    </row>
    <row r="3311" spans="1:14" ht="12.75" customHeight="1" x14ac:dyDescent="0.25">
      <c r="A3311" s="393" t="s">
        <v>986</v>
      </c>
      <c r="B3311" s="271"/>
      <c r="C3311" s="271"/>
      <c r="D3311" s="271"/>
      <c r="E3311" s="271"/>
      <c r="F3311" s="271"/>
      <c r="G3311" s="273"/>
      <c r="H3311" s="29" t="str">
        <f>IF(A3311="","",VLOOKUP(A3311,AA_Cuadrillas,4,FALSE))</f>
        <v>Cuadrilla</v>
      </c>
      <c r="I3311" s="394">
        <f>IF(A3311="","",VLOOKUP(A3311,AA_Cuadrillas,5,FALSE))</f>
        <v>186763</v>
      </c>
      <c r="J3311" s="273"/>
      <c r="K3311" s="9">
        <f>IF(A3311="","",F.P!$I$2)</f>
        <v>1.88</v>
      </c>
      <c r="L3311" s="97">
        <v>0.25</v>
      </c>
      <c r="M3311" s="394">
        <f t="shared" ref="M3311:M3315" si="452">IF(A3311="","",I3311*K3311*L3311)</f>
        <v>87778.61</v>
      </c>
      <c r="N3311" s="273"/>
    </row>
    <row r="3312" spans="1:14" ht="12.75" customHeight="1" x14ac:dyDescent="0.25">
      <c r="A3312" s="393"/>
      <c r="B3312" s="271"/>
      <c r="C3312" s="271"/>
      <c r="D3312" s="271"/>
      <c r="E3312" s="271"/>
      <c r="F3312" s="271"/>
      <c r="G3312" s="273"/>
      <c r="H3312" s="29" t="str">
        <f>IF(A3312="","",VLOOKUP(A3312,AA_Cuadrillas,4,FALSE))</f>
        <v/>
      </c>
      <c r="I3312" s="394" t="str">
        <f>IF(A3312="","",VLOOKUP(A3312,AA_Cuadrillas,5,FALSE))</f>
        <v/>
      </c>
      <c r="J3312" s="273"/>
      <c r="K3312" s="9" t="str">
        <f>IF(A3312="","",F.P!$I$2)</f>
        <v/>
      </c>
      <c r="L3312" s="9"/>
      <c r="M3312" s="394" t="str">
        <f t="shared" si="452"/>
        <v/>
      </c>
      <c r="N3312" s="273"/>
    </row>
    <row r="3313" spans="1:14" ht="12.75" customHeight="1" x14ac:dyDescent="0.25">
      <c r="A3313" s="393"/>
      <c r="B3313" s="271"/>
      <c r="C3313" s="271"/>
      <c r="D3313" s="271"/>
      <c r="E3313" s="271"/>
      <c r="F3313" s="271"/>
      <c r="G3313" s="273"/>
      <c r="H3313" s="29" t="str">
        <f>IF(A3313="","",VLOOKUP(A3313,AA_Cuadrillas,4,FALSE))</f>
        <v/>
      </c>
      <c r="I3313" s="394" t="str">
        <f>IF(A3313="","",VLOOKUP(A3313,AA_Cuadrillas,5,FALSE))</f>
        <v/>
      </c>
      <c r="J3313" s="273"/>
      <c r="K3313" s="9" t="str">
        <f>IF(A3313="","",F.P!$I$2)</f>
        <v/>
      </c>
      <c r="L3313" s="37"/>
      <c r="M3313" s="394" t="str">
        <f t="shared" si="452"/>
        <v/>
      </c>
      <c r="N3313" s="273"/>
    </row>
    <row r="3314" spans="1:14" ht="12.75" customHeight="1" x14ac:dyDescent="0.25">
      <c r="A3314" s="393"/>
      <c r="B3314" s="271"/>
      <c r="C3314" s="271"/>
      <c r="D3314" s="271"/>
      <c r="E3314" s="271"/>
      <c r="F3314" s="271"/>
      <c r="G3314" s="273"/>
      <c r="H3314" s="29" t="str">
        <f>IF(A3314="","",VLOOKUP(A3314,AA_Cuadrillas,4,FALSE))</f>
        <v/>
      </c>
      <c r="I3314" s="394" t="str">
        <f>IF(A3314="","",VLOOKUP(A3314,AA_Cuadrillas,5,FALSE))</f>
        <v/>
      </c>
      <c r="J3314" s="273"/>
      <c r="K3314" s="9" t="str">
        <f>IF(A3314="","",F.P!$I$2)</f>
        <v/>
      </c>
      <c r="L3314" s="37"/>
      <c r="M3314" s="394" t="str">
        <f t="shared" si="452"/>
        <v/>
      </c>
      <c r="N3314" s="273"/>
    </row>
    <row r="3315" spans="1:14" ht="12.75" customHeight="1" x14ac:dyDescent="0.25">
      <c r="A3315" s="393"/>
      <c r="B3315" s="271"/>
      <c r="C3315" s="271"/>
      <c r="D3315" s="271"/>
      <c r="E3315" s="271"/>
      <c r="F3315" s="271"/>
      <c r="G3315" s="273"/>
      <c r="H3315" s="29" t="str">
        <f>IF(A3315="","",VLOOKUP(A3315,AA_Cuadrillas,4,FALSE))</f>
        <v/>
      </c>
      <c r="I3315" s="394" t="str">
        <f>IF(A3315="","",VLOOKUP(A3315,AA_Cuadrillas,5,FALSE))</f>
        <v/>
      </c>
      <c r="J3315" s="273"/>
      <c r="K3315" s="9" t="str">
        <f>IF(A3315="","",F.P!$I$2)</f>
        <v/>
      </c>
      <c r="L3315" s="37"/>
      <c r="M3315" s="394" t="str">
        <f t="shared" si="452"/>
        <v/>
      </c>
      <c r="N3315" s="273"/>
    </row>
    <row r="3316" spans="1:14" ht="12.75" customHeight="1" x14ac:dyDescent="0.25">
      <c r="A3316" s="4"/>
      <c r="B3316" s="4"/>
      <c r="C3316" s="4"/>
      <c r="D3316" s="4"/>
      <c r="E3316" s="4"/>
      <c r="F3316" s="4"/>
      <c r="G3316" s="4"/>
      <c r="H3316" s="4"/>
      <c r="I3316" s="4"/>
      <c r="J3316" s="4"/>
      <c r="K3316" s="396" t="s">
        <v>444</v>
      </c>
      <c r="L3316" s="273"/>
      <c r="M3316" s="394">
        <f>SUM(M3311:N3315)</f>
        <v>87778.61</v>
      </c>
      <c r="N3316" s="273"/>
    </row>
    <row r="3317" spans="1:14" ht="12.75" customHeight="1" x14ac:dyDescent="0.2"/>
    <row r="3318" spans="1:14" ht="12.75" customHeight="1" x14ac:dyDescent="0.2">
      <c r="A3318" s="407" t="s">
        <v>1127</v>
      </c>
      <c r="B3318" s="275"/>
      <c r="C3318" s="275"/>
      <c r="D3318" s="275"/>
      <c r="E3318" s="275"/>
      <c r="F3318" s="275"/>
      <c r="G3318" s="275"/>
      <c r="H3318" s="275"/>
      <c r="I3318" s="275"/>
      <c r="J3318" s="275"/>
      <c r="K3318" s="275"/>
      <c r="L3318" s="275"/>
      <c r="M3318" s="275"/>
      <c r="N3318" s="276"/>
    </row>
    <row r="3319" spans="1:14" ht="12.75" customHeight="1" x14ac:dyDescent="0.2">
      <c r="A3319" s="277"/>
      <c r="B3319" s="278"/>
      <c r="C3319" s="278"/>
      <c r="D3319" s="278"/>
      <c r="E3319" s="278"/>
      <c r="F3319" s="278"/>
      <c r="G3319" s="278"/>
      <c r="H3319" s="278"/>
      <c r="I3319" s="278"/>
      <c r="J3319" s="278"/>
      <c r="K3319" s="278"/>
      <c r="L3319" s="278"/>
      <c r="M3319" s="278"/>
      <c r="N3319" s="279"/>
    </row>
    <row r="3320" spans="1:14" ht="12.75" customHeight="1" x14ac:dyDescent="0.2">
      <c r="A3320" s="75"/>
      <c r="B3320" s="75"/>
      <c r="C3320" s="75"/>
      <c r="D3320" s="75"/>
      <c r="E3320" s="75"/>
      <c r="F3320" s="75"/>
      <c r="G3320" s="75"/>
      <c r="H3320" s="75"/>
      <c r="I3320" s="75"/>
      <c r="J3320" s="75"/>
      <c r="K3320" s="75"/>
      <c r="L3320" s="75"/>
      <c r="M3320" s="75"/>
      <c r="N3320" s="75"/>
    </row>
    <row r="3321" spans="1:14" ht="12.75" customHeight="1" x14ac:dyDescent="0.3">
      <c r="A3321" s="79" t="s">
        <v>691</v>
      </c>
      <c r="B3321" s="80" t="str">
        <f>A3318</f>
        <v>SUMINISTRO E INSTALACIÓN DE PASAMURO L= 0,25m Ø4" EN HIERRO DUCTIL</v>
      </c>
      <c r="C3321" s="81" t="s">
        <v>916</v>
      </c>
      <c r="D3321" s="82" t="s">
        <v>999</v>
      </c>
      <c r="E3321" s="83" t="s">
        <v>445</v>
      </c>
      <c r="F3321" s="86">
        <f>H3321+J3321+L3321+N3321</f>
        <v>92167.540500000003</v>
      </c>
      <c r="G3321" s="83" t="s">
        <v>607</v>
      </c>
      <c r="H3321" s="86">
        <f>M3331</f>
        <v>0</v>
      </c>
      <c r="I3321" s="83" t="s">
        <v>918</v>
      </c>
      <c r="J3321" s="86">
        <f>M3340</f>
        <v>4388.9305000000004</v>
      </c>
      <c r="K3321" s="83" t="s">
        <v>609</v>
      </c>
      <c r="L3321" s="86">
        <f>M3349</f>
        <v>0</v>
      </c>
      <c r="M3321" s="83" t="s">
        <v>610</v>
      </c>
      <c r="N3321" s="86">
        <f>M3358</f>
        <v>87778.61</v>
      </c>
    </row>
    <row r="3322" spans="1:14" ht="12.75" customHeight="1" x14ac:dyDescent="0.25">
      <c r="A3322" s="87"/>
      <c r="B3322" s="87"/>
      <c r="C3322" s="87"/>
      <c r="D3322" s="87"/>
      <c r="E3322" s="87"/>
      <c r="F3322" s="87"/>
      <c r="G3322" s="87"/>
      <c r="J3322" s="87"/>
      <c r="K3322" s="215" t="s">
        <v>3217</v>
      </c>
      <c r="L3322" s="215">
        <f>+F3321*presup!$O$5</f>
        <v>119817.80265000001</v>
      </c>
      <c r="M3322" s="87"/>
      <c r="N3322" s="87"/>
    </row>
    <row r="3323" spans="1:14" ht="12.75" customHeight="1" x14ac:dyDescent="0.2">
      <c r="A3323" s="398" t="s">
        <v>919</v>
      </c>
      <c r="B3323" s="271"/>
      <c r="C3323" s="271"/>
      <c r="D3323" s="271"/>
      <c r="E3323" s="271"/>
      <c r="F3323" s="271"/>
      <c r="G3323" s="271"/>
      <c r="H3323" s="271"/>
      <c r="I3323" s="271"/>
      <c r="J3323" s="271"/>
      <c r="K3323" s="271"/>
      <c r="L3323" s="271"/>
      <c r="M3323" s="271"/>
      <c r="N3323" s="273"/>
    </row>
    <row r="3324" spans="1:14" ht="12.75" customHeight="1" x14ac:dyDescent="0.2">
      <c r="A3324" s="396" t="s">
        <v>76</v>
      </c>
      <c r="B3324" s="271"/>
      <c r="C3324" s="271"/>
      <c r="D3324" s="271"/>
      <c r="E3324" s="271"/>
      <c r="F3324" s="271"/>
      <c r="G3324" s="273"/>
      <c r="H3324" s="88" t="s">
        <v>77</v>
      </c>
      <c r="I3324" s="399" t="s">
        <v>920</v>
      </c>
      <c r="J3324" s="273"/>
      <c r="K3324" s="399" t="s">
        <v>453</v>
      </c>
      <c r="L3324" s="273"/>
      <c r="M3324" s="399" t="s">
        <v>921</v>
      </c>
      <c r="N3324" s="273"/>
    </row>
    <row r="3325" spans="1:14" ht="12.75" customHeight="1" x14ac:dyDescent="0.2">
      <c r="A3325" s="403" t="s">
        <v>1128</v>
      </c>
      <c r="B3325" s="271"/>
      <c r="C3325" s="271"/>
      <c r="D3325" s="271"/>
      <c r="E3325" s="271"/>
      <c r="F3325" s="271"/>
      <c r="G3325" s="273"/>
      <c r="H3325" s="29" t="str">
        <f t="shared" ref="H3325:H3330" si="453">IF(A3325="","",VLOOKUP(A3325,AA_Materiales,7,FALSE))</f>
        <v>Unidad</v>
      </c>
      <c r="I3325" s="394">
        <f t="shared" ref="I3325:I3330" si="454">IF(A3325="","",VLOOKUP(A3325,AA_Materiales,8,FALSE))</f>
        <v>0</v>
      </c>
      <c r="J3325" s="273"/>
      <c r="K3325" s="395">
        <v>1</v>
      </c>
      <c r="L3325" s="273"/>
      <c r="M3325" s="394">
        <f t="shared" ref="M3325:M3330" si="455">IF(A3325="","",I3325*K3325)</f>
        <v>0</v>
      </c>
      <c r="N3325" s="273"/>
    </row>
    <row r="3326" spans="1:14" ht="12.75" customHeight="1" x14ac:dyDescent="0.2">
      <c r="A3326" s="403"/>
      <c r="B3326" s="271"/>
      <c r="C3326" s="271"/>
      <c r="D3326" s="271"/>
      <c r="E3326" s="271"/>
      <c r="F3326" s="271"/>
      <c r="G3326" s="273"/>
      <c r="H3326" s="29" t="str">
        <f t="shared" si="453"/>
        <v/>
      </c>
      <c r="I3326" s="394" t="str">
        <f t="shared" si="454"/>
        <v/>
      </c>
      <c r="J3326" s="273"/>
      <c r="K3326" s="395"/>
      <c r="L3326" s="273"/>
      <c r="M3326" s="394" t="str">
        <f t="shared" si="455"/>
        <v/>
      </c>
      <c r="N3326" s="273"/>
    </row>
    <row r="3327" spans="1:14" ht="12.75" customHeight="1" x14ac:dyDescent="0.2">
      <c r="A3327" s="403"/>
      <c r="B3327" s="271"/>
      <c r="C3327" s="271"/>
      <c r="D3327" s="271"/>
      <c r="E3327" s="271"/>
      <c r="F3327" s="271"/>
      <c r="G3327" s="273"/>
      <c r="H3327" s="29" t="str">
        <f t="shared" si="453"/>
        <v/>
      </c>
      <c r="I3327" s="394" t="str">
        <f t="shared" si="454"/>
        <v/>
      </c>
      <c r="J3327" s="273"/>
      <c r="K3327" s="395"/>
      <c r="L3327" s="273"/>
      <c r="M3327" s="394" t="str">
        <f t="shared" si="455"/>
        <v/>
      </c>
      <c r="N3327" s="273"/>
    </row>
    <row r="3328" spans="1:14" ht="12.75" customHeight="1" x14ac:dyDescent="0.2">
      <c r="A3328" s="403"/>
      <c r="B3328" s="271"/>
      <c r="C3328" s="271"/>
      <c r="D3328" s="271"/>
      <c r="E3328" s="271"/>
      <c r="F3328" s="271"/>
      <c r="G3328" s="273"/>
      <c r="H3328" s="29" t="str">
        <f t="shared" si="453"/>
        <v/>
      </c>
      <c r="I3328" s="394" t="str">
        <f t="shared" si="454"/>
        <v/>
      </c>
      <c r="J3328" s="273"/>
      <c r="K3328" s="395"/>
      <c r="L3328" s="273"/>
      <c r="M3328" s="394" t="str">
        <f t="shared" si="455"/>
        <v/>
      </c>
      <c r="N3328" s="273"/>
    </row>
    <row r="3329" spans="1:14" ht="12.75" customHeight="1" x14ac:dyDescent="0.2">
      <c r="A3329" s="403"/>
      <c r="B3329" s="271"/>
      <c r="C3329" s="271"/>
      <c r="D3329" s="271"/>
      <c r="E3329" s="271"/>
      <c r="F3329" s="271"/>
      <c r="G3329" s="273"/>
      <c r="H3329" s="29" t="str">
        <f t="shared" si="453"/>
        <v/>
      </c>
      <c r="I3329" s="394" t="str">
        <f t="shared" si="454"/>
        <v/>
      </c>
      <c r="J3329" s="273"/>
      <c r="K3329" s="395"/>
      <c r="L3329" s="273"/>
      <c r="M3329" s="394" t="str">
        <f t="shared" si="455"/>
        <v/>
      </c>
      <c r="N3329" s="273"/>
    </row>
    <row r="3330" spans="1:14" ht="12.75" customHeight="1" x14ac:dyDescent="0.2">
      <c r="A3330" s="403"/>
      <c r="B3330" s="271"/>
      <c r="C3330" s="271"/>
      <c r="D3330" s="271"/>
      <c r="E3330" s="271"/>
      <c r="F3330" s="271"/>
      <c r="G3330" s="273"/>
      <c r="H3330" s="29" t="str">
        <f t="shared" si="453"/>
        <v/>
      </c>
      <c r="I3330" s="394" t="str">
        <f t="shared" si="454"/>
        <v/>
      </c>
      <c r="J3330" s="273"/>
      <c r="K3330" s="395"/>
      <c r="L3330" s="273"/>
      <c r="M3330" s="394" t="str">
        <f t="shared" si="455"/>
        <v/>
      </c>
      <c r="N3330" s="273"/>
    </row>
    <row r="3331" spans="1:14" ht="12.75" customHeight="1" x14ac:dyDescent="0.25">
      <c r="A3331" s="4"/>
      <c r="B3331" s="4"/>
      <c r="C3331" s="4"/>
      <c r="D3331" s="4"/>
      <c r="E3331" s="4"/>
      <c r="F3331" s="4"/>
      <c r="G3331" s="4"/>
      <c r="H3331" s="4"/>
      <c r="I3331" s="4"/>
      <c r="J3331" s="4"/>
      <c r="K3331" s="396" t="s">
        <v>444</v>
      </c>
      <c r="L3331" s="273"/>
      <c r="M3331" s="394">
        <f>SUM(M3325:N3330)</f>
        <v>0</v>
      </c>
      <c r="N3331" s="273"/>
    </row>
    <row r="3332" spans="1:14" ht="12.75" customHeight="1" x14ac:dyDescent="0.25">
      <c r="A3332" s="4"/>
      <c r="B3332" s="4"/>
      <c r="C3332" s="4"/>
      <c r="D3332" s="4"/>
      <c r="E3332" s="4"/>
      <c r="F3332" s="4"/>
      <c r="G3332" s="4"/>
      <c r="H3332" s="4"/>
      <c r="I3332" s="4"/>
      <c r="J3332" s="4"/>
      <c r="K3332" s="4"/>
      <c r="L3332" s="4"/>
      <c r="M3332" s="4"/>
      <c r="N3332" s="4"/>
    </row>
    <row r="3333" spans="1:14" ht="12.75" customHeight="1" x14ac:dyDescent="0.2">
      <c r="A3333" s="398" t="s">
        <v>926</v>
      </c>
      <c r="B3333" s="271"/>
      <c r="C3333" s="271"/>
      <c r="D3333" s="271"/>
      <c r="E3333" s="271"/>
      <c r="F3333" s="271"/>
      <c r="G3333" s="271"/>
      <c r="H3333" s="271"/>
      <c r="I3333" s="271"/>
      <c r="J3333" s="271"/>
      <c r="K3333" s="271"/>
      <c r="L3333" s="271"/>
      <c r="M3333" s="271"/>
      <c r="N3333" s="273"/>
    </row>
    <row r="3334" spans="1:14" ht="12.75" customHeight="1" x14ac:dyDescent="0.2">
      <c r="A3334" s="396" t="s">
        <v>76</v>
      </c>
      <c r="B3334" s="271"/>
      <c r="C3334" s="271"/>
      <c r="D3334" s="271"/>
      <c r="E3334" s="271"/>
      <c r="F3334" s="271"/>
      <c r="G3334" s="273"/>
      <c r="H3334" s="88" t="s">
        <v>77</v>
      </c>
      <c r="I3334" s="399" t="s">
        <v>920</v>
      </c>
      <c r="J3334" s="273"/>
      <c r="K3334" s="399" t="s">
        <v>453</v>
      </c>
      <c r="L3334" s="273"/>
      <c r="M3334" s="399" t="s">
        <v>921</v>
      </c>
      <c r="N3334" s="273"/>
    </row>
    <row r="3335" spans="1:14" ht="12.75" customHeight="1" x14ac:dyDescent="0.2">
      <c r="A3335" s="400" t="s">
        <v>927</v>
      </c>
      <c r="B3335" s="271"/>
      <c r="C3335" s="271"/>
      <c r="D3335" s="271"/>
      <c r="E3335" s="271"/>
      <c r="F3335" s="271"/>
      <c r="G3335" s="273"/>
      <c r="H3335" s="29" t="str">
        <f>IF(A3335="","",VLOOKUP(A3335,AA_Equipos,7,FALSE))</f>
        <v>% M.O.</v>
      </c>
      <c r="I3335" s="394">
        <f>+M3358</f>
        <v>87778.61</v>
      </c>
      <c r="J3335" s="273"/>
      <c r="K3335" s="404">
        <v>0.05</v>
      </c>
      <c r="L3335" s="273"/>
      <c r="M3335" s="394">
        <f t="shared" ref="M3335:M3339" si="456">IF(A3335="","",I3335*K3335)</f>
        <v>4388.9305000000004</v>
      </c>
      <c r="N3335" s="273"/>
    </row>
    <row r="3336" spans="1:14" ht="12.75" customHeight="1" x14ac:dyDescent="0.2">
      <c r="A3336" s="403"/>
      <c r="B3336" s="271"/>
      <c r="C3336" s="271"/>
      <c r="D3336" s="271"/>
      <c r="E3336" s="271"/>
      <c r="F3336" s="271"/>
      <c r="G3336" s="273"/>
      <c r="H3336" s="29" t="str">
        <f>IF(A3336="","",VLOOKUP(A3336,AA_Equipos,7,FALSE))</f>
        <v/>
      </c>
      <c r="I3336" s="394" t="str">
        <f>IF(A3336="","",VLOOKUP(A3336,AA_Equipos,8,FALSE))</f>
        <v/>
      </c>
      <c r="J3336" s="273"/>
      <c r="K3336" s="402"/>
      <c r="L3336" s="273"/>
      <c r="M3336" s="394" t="str">
        <f t="shared" si="456"/>
        <v/>
      </c>
      <c r="N3336" s="273"/>
    </row>
    <row r="3337" spans="1:14" ht="12.75" customHeight="1" x14ac:dyDescent="0.2">
      <c r="A3337" s="400"/>
      <c r="B3337" s="271"/>
      <c r="C3337" s="271"/>
      <c r="D3337" s="271"/>
      <c r="E3337" s="271"/>
      <c r="F3337" s="271"/>
      <c r="G3337" s="273"/>
      <c r="H3337" s="29" t="str">
        <f>IF(A3337="","",VLOOKUP(A3337,AA_Equipos,7,FALSE))</f>
        <v/>
      </c>
      <c r="I3337" s="394" t="str">
        <f>IF(A3337="","",VLOOKUP(A3337,AA_Equipos,8,FALSE))</f>
        <v/>
      </c>
      <c r="J3337" s="273"/>
      <c r="K3337" s="401"/>
      <c r="L3337" s="273"/>
      <c r="M3337" s="394" t="str">
        <f t="shared" si="456"/>
        <v/>
      </c>
      <c r="N3337" s="273"/>
    </row>
    <row r="3338" spans="1:14" ht="12.75" customHeight="1" x14ac:dyDescent="0.2">
      <c r="A3338" s="400"/>
      <c r="B3338" s="271"/>
      <c r="C3338" s="271"/>
      <c r="D3338" s="271"/>
      <c r="E3338" s="271"/>
      <c r="F3338" s="271"/>
      <c r="G3338" s="273"/>
      <c r="H3338" s="29" t="str">
        <f>IF(A3338="","",VLOOKUP(A3338,AA_Equipos,7,FALSE))</f>
        <v/>
      </c>
      <c r="I3338" s="394" t="str">
        <f>IF(A3338="","",VLOOKUP(A3338,AA_Equipos,8,FALSE))</f>
        <v/>
      </c>
      <c r="J3338" s="273"/>
      <c r="K3338" s="395"/>
      <c r="L3338" s="273"/>
      <c r="M3338" s="394" t="str">
        <f t="shared" si="456"/>
        <v/>
      </c>
      <c r="N3338" s="273"/>
    </row>
    <row r="3339" spans="1:14" ht="12.75" customHeight="1" x14ac:dyDescent="0.2">
      <c r="A3339" s="400"/>
      <c r="B3339" s="271"/>
      <c r="C3339" s="271"/>
      <c r="D3339" s="271"/>
      <c r="E3339" s="271"/>
      <c r="F3339" s="271"/>
      <c r="G3339" s="273"/>
      <c r="H3339" s="29" t="str">
        <f>IF(A3339="","",VLOOKUP(A3339,AA_Equipos,7,FALSE))</f>
        <v/>
      </c>
      <c r="I3339" s="394" t="str">
        <f>IF(A3339="","",VLOOKUP(A3339,AA_Equipos,8,FALSE))</f>
        <v/>
      </c>
      <c r="J3339" s="273"/>
      <c r="K3339" s="395"/>
      <c r="L3339" s="273"/>
      <c r="M3339" s="394" t="str">
        <f t="shared" si="456"/>
        <v/>
      </c>
      <c r="N3339" s="273"/>
    </row>
    <row r="3340" spans="1:14" ht="12.75" customHeight="1" x14ac:dyDescent="0.25">
      <c r="A3340" s="4"/>
      <c r="B3340" s="4"/>
      <c r="C3340" s="4"/>
      <c r="D3340" s="4"/>
      <c r="E3340" s="4"/>
      <c r="F3340" s="4"/>
      <c r="G3340" s="4"/>
      <c r="H3340" s="4"/>
      <c r="I3340" s="4"/>
      <c r="J3340" s="4"/>
      <c r="K3340" s="396" t="s">
        <v>444</v>
      </c>
      <c r="L3340" s="273"/>
      <c r="M3340" s="394">
        <f>SUM(M3335:N3339)</f>
        <v>4388.9305000000004</v>
      </c>
      <c r="N3340" s="273"/>
    </row>
    <row r="3341" spans="1:14" ht="12.75" customHeight="1" x14ac:dyDescent="0.25">
      <c r="A3341" s="4"/>
      <c r="B3341" s="4"/>
      <c r="C3341" s="4"/>
      <c r="D3341" s="4"/>
      <c r="E3341" s="4"/>
      <c r="F3341" s="4"/>
      <c r="G3341" s="4"/>
      <c r="H3341" s="4"/>
      <c r="I3341" s="4"/>
      <c r="J3341" s="4"/>
      <c r="K3341" s="4"/>
      <c r="L3341" s="4"/>
      <c r="M3341" s="4"/>
      <c r="N3341" s="4"/>
    </row>
    <row r="3342" spans="1:14" ht="12.75" customHeight="1" x14ac:dyDescent="0.2">
      <c r="A3342" s="398" t="s">
        <v>929</v>
      </c>
      <c r="B3342" s="271"/>
      <c r="C3342" s="271"/>
      <c r="D3342" s="271"/>
      <c r="E3342" s="271"/>
      <c r="F3342" s="271"/>
      <c r="G3342" s="271"/>
      <c r="H3342" s="271"/>
      <c r="I3342" s="271"/>
      <c r="J3342" s="271"/>
      <c r="K3342" s="271"/>
      <c r="L3342" s="271"/>
      <c r="M3342" s="271"/>
      <c r="N3342" s="273"/>
    </row>
    <row r="3343" spans="1:14" ht="12.75" customHeight="1" x14ac:dyDescent="0.2">
      <c r="A3343" s="396" t="s">
        <v>76</v>
      </c>
      <c r="B3343" s="271"/>
      <c r="C3343" s="271"/>
      <c r="D3343" s="271"/>
      <c r="E3343" s="271"/>
      <c r="F3343" s="271"/>
      <c r="G3343" s="273"/>
      <c r="H3343" s="88" t="s">
        <v>77</v>
      </c>
      <c r="I3343" s="399" t="s">
        <v>920</v>
      </c>
      <c r="J3343" s="273"/>
      <c r="K3343" s="399" t="s">
        <v>453</v>
      </c>
      <c r="L3343" s="273"/>
      <c r="M3343" s="399" t="s">
        <v>921</v>
      </c>
      <c r="N3343" s="273"/>
    </row>
    <row r="3344" spans="1:14" ht="12.75" customHeight="1" x14ac:dyDescent="0.2">
      <c r="A3344" s="400" t="s">
        <v>966</v>
      </c>
      <c r="B3344" s="271"/>
      <c r="C3344" s="271"/>
      <c r="D3344" s="271"/>
      <c r="E3344" s="271"/>
      <c r="F3344" s="271"/>
      <c r="G3344" s="273"/>
      <c r="H3344" s="29"/>
      <c r="I3344" s="394"/>
      <c r="J3344" s="273"/>
      <c r="K3344" s="417"/>
      <c r="L3344" s="273"/>
      <c r="M3344" s="394">
        <f t="shared" ref="M3344:M3348" si="457">IF(A3344="","",I3344*K3344)</f>
        <v>0</v>
      </c>
      <c r="N3344" s="273"/>
    </row>
    <row r="3345" spans="1:14" ht="12.75" customHeight="1" x14ac:dyDescent="0.2">
      <c r="A3345" s="403"/>
      <c r="B3345" s="271"/>
      <c r="C3345" s="271"/>
      <c r="D3345" s="271"/>
      <c r="E3345" s="271"/>
      <c r="F3345" s="271"/>
      <c r="G3345" s="273"/>
      <c r="H3345" s="29"/>
      <c r="I3345" s="394"/>
      <c r="J3345" s="273"/>
      <c r="K3345" s="404"/>
      <c r="L3345" s="273"/>
      <c r="M3345" s="394" t="str">
        <f t="shared" si="457"/>
        <v/>
      </c>
      <c r="N3345" s="273"/>
    </row>
    <row r="3346" spans="1:14" ht="12.75" customHeight="1" x14ac:dyDescent="0.2">
      <c r="A3346" s="400"/>
      <c r="B3346" s="271"/>
      <c r="C3346" s="271"/>
      <c r="D3346" s="271"/>
      <c r="E3346" s="271"/>
      <c r="F3346" s="271"/>
      <c r="G3346" s="273"/>
      <c r="H3346" s="29"/>
      <c r="I3346" s="394"/>
      <c r="J3346" s="273"/>
      <c r="K3346" s="395"/>
      <c r="L3346" s="273"/>
      <c r="M3346" s="394" t="str">
        <f t="shared" si="457"/>
        <v/>
      </c>
      <c r="N3346" s="273"/>
    </row>
    <row r="3347" spans="1:14" ht="12.75" customHeight="1" x14ac:dyDescent="0.2">
      <c r="A3347" s="400"/>
      <c r="B3347" s="271"/>
      <c r="C3347" s="271"/>
      <c r="D3347" s="271"/>
      <c r="E3347" s="271"/>
      <c r="F3347" s="271"/>
      <c r="G3347" s="273"/>
      <c r="H3347" s="29"/>
      <c r="I3347" s="394"/>
      <c r="J3347" s="273"/>
      <c r="K3347" s="395"/>
      <c r="L3347" s="273"/>
      <c r="M3347" s="394" t="str">
        <f t="shared" si="457"/>
        <v/>
      </c>
      <c r="N3347" s="273"/>
    </row>
    <row r="3348" spans="1:14" ht="12.75" customHeight="1" x14ac:dyDescent="0.2">
      <c r="A3348" s="400"/>
      <c r="B3348" s="271"/>
      <c r="C3348" s="271"/>
      <c r="D3348" s="271"/>
      <c r="E3348" s="271"/>
      <c r="F3348" s="271"/>
      <c r="G3348" s="273"/>
      <c r="H3348" s="29"/>
      <c r="I3348" s="394"/>
      <c r="J3348" s="273"/>
      <c r="K3348" s="395"/>
      <c r="L3348" s="273"/>
      <c r="M3348" s="394" t="str">
        <f t="shared" si="457"/>
        <v/>
      </c>
      <c r="N3348" s="273"/>
    </row>
    <row r="3349" spans="1:14" ht="12.75" customHeight="1" x14ac:dyDescent="0.25">
      <c r="A3349" s="4"/>
      <c r="B3349" s="4"/>
      <c r="C3349" s="4"/>
      <c r="D3349" s="4"/>
      <c r="E3349" s="4"/>
      <c r="F3349" s="4"/>
      <c r="G3349" s="4"/>
      <c r="H3349" s="4"/>
      <c r="I3349" s="4"/>
      <c r="J3349" s="4"/>
      <c r="K3349" s="396" t="s">
        <v>444</v>
      </c>
      <c r="L3349" s="273"/>
      <c r="M3349" s="394">
        <f>SUM(M3344:N3348)</f>
        <v>0</v>
      </c>
      <c r="N3349" s="273"/>
    </row>
    <row r="3350" spans="1:14" ht="12.75" customHeight="1" x14ac:dyDescent="0.25">
      <c r="A3350" s="4"/>
      <c r="B3350" s="4"/>
      <c r="C3350" s="4"/>
      <c r="D3350" s="4"/>
      <c r="E3350" s="4"/>
      <c r="F3350" s="4"/>
      <c r="G3350" s="4"/>
      <c r="H3350" s="4"/>
      <c r="I3350" s="4"/>
      <c r="J3350" s="4"/>
      <c r="K3350" s="4"/>
      <c r="L3350" s="4"/>
      <c r="M3350" s="4"/>
      <c r="N3350" s="4"/>
    </row>
    <row r="3351" spans="1:14" ht="12.75" customHeight="1" x14ac:dyDescent="0.2">
      <c r="A3351" s="398" t="s">
        <v>931</v>
      </c>
      <c r="B3351" s="271"/>
      <c r="C3351" s="271"/>
      <c r="D3351" s="271"/>
      <c r="E3351" s="271"/>
      <c r="F3351" s="271"/>
      <c r="G3351" s="271"/>
      <c r="H3351" s="271"/>
      <c r="I3351" s="271"/>
      <c r="J3351" s="271"/>
      <c r="K3351" s="271"/>
      <c r="L3351" s="271"/>
      <c r="M3351" s="271"/>
      <c r="N3351" s="273"/>
    </row>
    <row r="3352" spans="1:14" ht="12.75" customHeight="1" x14ac:dyDescent="0.2">
      <c r="A3352" s="396" t="s">
        <v>76</v>
      </c>
      <c r="B3352" s="271"/>
      <c r="C3352" s="271"/>
      <c r="D3352" s="271"/>
      <c r="E3352" s="271"/>
      <c r="F3352" s="271"/>
      <c r="G3352" s="273"/>
      <c r="H3352" s="88" t="s">
        <v>77</v>
      </c>
      <c r="I3352" s="399" t="s">
        <v>920</v>
      </c>
      <c r="J3352" s="273"/>
      <c r="K3352" s="90" t="s">
        <v>514</v>
      </c>
      <c r="L3352" s="91" t="s">
        <v>932</v>
      </c>
      <c r="M3352" s="399" t="s">
        <v>921</v>
      </c>
      <c r="N3352" s="273"/>
    </row>
    <row r="3353" spans="1:14" ht="12.75" customHeight="1" x14ac:dyDescent="0.25">
      <c r="A3353" s="393" t="s">
        <v>986</v>
      </c>
      <c r="B3353" s="271"/>
      <c r="C3353" s="271"/>
      <c r="D3353" s="271"/>
      <c r="E3353" s="271"/>
      <c r="F3353" s="271"/>
      <c r="G3353" s="273"/>
      <c r="H3353" s="29" t="str">
        <f>IF(A3353="","",VLOOKUP(A3353,AA_Cuadrillas,4,FALSE))</f>
        <v>Cuadrilla</v>
      </c>
      <c r="I3353" s="394">
        <f>IF(A3353="","",VLOOKUP(A3353,AA_Cuadrillas,5,FALSE))</f>
        <v>186763</v>
      </c>
      <c r="J3353" s="273"/>
      <c r="K3353" s="9">
        <f>IF(A3353="","",F.P!$I$2)</f>
        <v>1.88</v>
      </c>
      <c r="L3353" s="97">
        <v>0.25</v>
      </c>
      <c r="M3353" s="394">
        <f t="shared" ref="M3353:M3357" si="458">IF(A3353="","",I3353*K3353*L3353)</f>
        <v>87778.61</v>
      </c>
      <c r="N3353" s="273"/>
    </row>
    <row r="3354" spans="1:14" ht="12.75" customHeight="1" x14ac:dyDescent="0.25">
      <c r="A3354" s="393"/>
      <c r="B3354" s="271"/>
      <c r="C3354" s="271"/>
      <c r="D3354" s="271"/>
      <c r="E3354" s="271"/>
      <c r="F3354" s="271"/>
      <c r="G3354" s="273"/>
      <c r="H3354" s="29" t="str">
        <f>IF(A3354="","",VLOOKUP(A3354,AA_Cuadrillas,4,FALSE))</f>
        <v/>
      </c>
      <c r="I3354" s="394" t="str">
        <f>IF(A3354="","",VLOOKUP(A3354,AA_Cuadrillas,5,FALSE))</f>
        <v/>
      </c>
      <c r="J3354" s="273"/>
      <c r="K3354" s="9" t="str">
        <f>IF(A3354="","",F.P!$I$2)</f>
        <v/>
      </c>
      <c r="L3354" s="9"/>
      <c r="M3354" s="394" t="str">
        <f t="shared" si="458"/>
        <v/>
      </c>
      <c r="N3354" s="273"/>
    </row>
    <row r="3355" spans="1:14" ht="12.75" customHeight="1" x14ac:dyDescent="0.25">
      <c r="A3355" s="393"/>
      <c r="B3355" s="271"/>
      <c r="C3355" s="271"/>
      <c r="D3355" s="271"/>
      <c r="E3355" s="271"/>
      <c r="F3355" s="271"/>
      <c r="G3355" s="273"/>
      <c r="H3355" s="29" t="str">
        <f>IF(A3355="","",VLOOKUP(A3355,AA_Cuadrillas,4,FALSE))</f>
        <v/>
      </c>
      <c r="I3355" s="394" t="str">
        <f>IF(A3355="","",VLOOKUP(A3355,AA_Cuadrillas,5,FALSE))</f>
        <v/>
      </c>
      <c r="J3355" s="273"/>
      <c r="K3355" s="9" t="str">
        <f>IF(A3355="","",F.P!$I$2)</f>
        <v/>
      </c>
      <c r="L3355" s="37"/>
      <c r="M3355" s="394" t="str">
        <f t="shared" si="458"/>
        <v/>
      </c>
      <c r="N3355" s="273"/>
    </row>
    <row r="3356" spans="1:14" ht="12.75" customHeight="1" x14ac:dyDescent="0.25">
      <c r="A3356" s="393"/>
      <c r="B3356" s="271"/>
      <c r="C3356" s="271"/>
      <c r="D3356" s="271"/>
      <c r="E3356" s="271"/>
      <c r="F3356" s="271"/>
      <c r="G3356" s="273"/>
      <c r="H3356" s="29" t="str">
        <f>IF(A3356="","",VLOOKUP(A3356,AA_Cuadrillas,4,FALSE))</f>
        <v/>
      </c>
      <c r="I3356" s="394" t="str">
        <f>IF(A3356="","",VLOOKUP(A3356,AA_Cuadrillas,5,FALSE))</f>
        <v/>
      </c>
      <c r="J3356" s="273"/>
      <c r="K3356" s="9" t="str">
        <f>IF(A3356="","",F.P!$I$2)</f>
        <v/>
      </c>
      <c r="L3356" s="37"/>
      <c r="M3356" s="394" t="str">
        <f t="shared" si="458"/>
        <v/>
      </c>
      <c r="N3356" s="273"/>
    </row>
    <row r="3357" spans="1:14" ht="12.75" customHeight="1" x14ac:dyDescent="0.25">
      <c r="A3357" s="393"/>
      <c r="B3357" s="271"/>
      <c r="C3357" s="271"/>
      <c r="D3357" s="271"/>
      <c r="E3357" s="271"/>
      <c r="F3357" s="271"/>
      <c r="G3357" s="273"/>
      <c r="H3357" s="29" t="str">
        <f>IF(A3357="","",VLOOKUP(A3357,AA_Cuadrillas,4,FALSE))</f>
        <v/>
      </c>
      <c r="I3357" s="394" t="str">
        <f>IF(A3357="","",VLOOKUP(A3357,AA_Cuadrillas,5,FALSE))</f>
        <v/>
      </c>
      <c r="J3357" s="273"/>
      <c r="K3357" s="9" t="str">
        <f>IF(A3357="","",F.P!$I$2)</f>
        <v/>
      </c>
      <c r="L3357" s="37"/>
      <c r="M3357" s="394" t="str">
        <f t="shared" si="458"/>
        <v/>
      </c>
      <c r="N3357" s="273"/>
    </row>
    <row r="3358" spans="1:14" ht="12.75" customHeight="1" x14ac:dyDescent="0.25">
      <c r="A3358" s="4"/>
      <c r="B3358" s="4"/>
      <c r="C3358" s="4"/>
      <c r="D3358" s="4"/>
      <c r="E3358" s="4"/>
      <c r="F3358" s="4"/>
      <c r="G3358" s="4"/>
      <c r="H3358" s="4"/>
      <c r="I3358" s="4"/>
      <c r="J3358" s="4"/>
      <c r="K3358" s="396" t="s">
        <v>444</v>
      </c>
      <c r="L3358" s="273"/>
      <c r="M3358" s="394">
        <f>SUM(M3353:N3357)</f>
        <v>87778.61</v>
      </c>
      <c r="N3358" s="273"/>
    </row>
    <row r="3359" spans="1:14" ht="12.75" customHeight="1" x14ac:dyDescent="0.2"/>
    <row r="3360" spans="1:14" ht="12.75" customHeight="1" x14ac:dyDescent="0.2">
      <c r="A3360" s="407" t="s">
        <v>1129</v>
      </c>
      <c r="B3360" s="275"/>
      <c r="C3360" s="275"/>
      <c r="D3360" s="275"/>
      <c r="E3360" s="275"/>
      <c r="F3360" s="275"/>
      <c r="G3360" s="275"/>
      <c r="H3360" s="275"/>
      <c r="I3360" s="275"/>
      <c r="J3360" s="275"/>
      <c r="K3360" s="275"/>
      <c r="L3360" s="275"/>
      <c r="M3360" s="275"/>
      <c r="N3360" s="276"/>
    </row>
    <row r="3361" spans="1:14" ht="12.75" customHeight="1" x14ac:dyDescent="0.2">
      <c r="A3361" s="277"/>
      <c r="B3361" s="278"/>
      <c r="C3361" s="278"/>
      <c r="D3361" s="278"/>
      <c r="E3361" s="278"/>
      <c r="F3361" s="278"/>
      <c r="G3361" s="278"/>
      <c r="H3361" s="278"/>
      <c r="I3361" s="278"/>
      <c r="J3361" s="278"/>
      <c r="K3361" s="278"/>
      <c r="L3361" s="278"/>
      <c r="M3361" s="278"/>
      <c r="N3361" s="279"/>
    </row>
    <row r="3362" spans="1:14" ht="12.75" customHeight="1" x14ac:dyDescent="0.2">
      <c r="A3362" s="75"/>
      <c r="B3362" s="75"/>
      <c r="C3362" s="75"/>
      <c r="D3362" s="75"/>
      <c r="E3362" s="75"/>
      <c r="F3362" s="75"/>
      <c r="G3362" s="75"/>
      <c r="H3362" s="75"/>
      <c r="I3362" s="75"/>
      <c r="J3362" s="75"/>
      <c r="K3362" s="75"/>
      <c r="L3362" s="75"/>
      <c r="M3362" s="75"/>
      <c r="N3362" s="75"/>
    </row>
    <row r="3363" spans="1:14" ht="12.75" customHeight="1" x14ac:dyDescent="0.3">
      <c r="A3363" s="79" t="s">
        <v>692</v>
      </c>
      <c r="B3363" s="80" t="str">
        <f>A3360</f>
        <v>SUMINISTRO E INSTALACIÓN DE PASAMURO L= 0,50m Ø4" EN HIERRO DUCTIL</v>
      </c>
      <c r="C3363" s="81" t="s">
        <v>916</v>
      </c>
      <c r="D3363" s="82" t="s">
        <v>999</v>
      </c>
      <c r="E3363" s="83" t="s">
        <v>445</v>
      </c>
      <c r="F3363" s="86">
        <f>H3363+J3363+L3363+N3363</f>
        <v>337167.5405</v>
      </c>
      <c r="G3363" s="83" t="s">
        <v>607</v>
      </c>
      <c r="H3363" s="86">
        <f>M3373</f>
        <v>245000</v>
      </c>
      <c r="I3363" s="83" t="s">
        <v>918</v>
      </c>
      <c r="J3363" s="86">
        <f>M3382</f>
        <v>4388.9305000000004</v>
      </c>
      <c r="K3363" s="83" t="s">
        <v>609</v>
      </c>
      <c r="L3363" s="86">
        <f>M3391</f>
        <v>0</v>
      </c>
      <c r="M3363" s="83" t="s">
        <v>610</v>
      </c>
      <c r="N3363" s="86">
        <f>M3400</f>
        <v>87778.61</v>
      </c>
    </row>
    <row r="3364" spans="1:14" ht="12.75" customHeight="1" x14ac:dyDescent="0.25">
      <c r="A3364" s="87"/>
      <c r="B3364" s="87"/>
      <c r="C3364" s="87"/>
      <c r="D3364" s="87"/>
      <c r="E3364" s="87"/>
      <c r="F3364" s="87"/>
      <c r="G3364" s="87"/>
      <c r="J3364" s="87"/>
      <c r="K3364" s="215" t="s">
        <v>3217</v>
      </c>
      <c r="L3364" s="215">
        <f>+F3363*presup!$O$5</f>
        <v>438317.80265000003</v>
      </c>
      <c r="M3364" s="87"/>
      <c r="N3364" s="87"/>
    </row>
    <row r="3365" spans="1:14" ht="12.75" customHeight="1" x14ac:dyDescent="0.2">
      <c r="A3365" s="398" t="s">
        <v>919</v>
      </c>
      <c r="B3365" s="271"/>
      <c r="C3365" s="271"/>
      <c r="D3365" s="271"/>
      <c r="E3365" s="271"/>
      <c r="F3365" s="271"/>
      <c r="G3365" s="271"/>
      <c r="H3365" s="271"/>
      <c r="I3365" s="271"/>
      <c r="J3365" s="271"/>
      <c r="K3365" s="271"/>
      <c r="L3365" s="271"/>
      <c r="M3365" s="271"/>
      <c r="N3365" s="273"/>
    </row>
    <row r="3366" spans="1:14" ht="12.75" customHeight="1" x14ac:dyDescent="0.2">
      <c r="A3366" s="396" t="s">
        <v>76</v>
      </c>
      <c r="B3366" s="271"/>
      <c r="C3366" s="271"/>
      <c r="D3366" s="271"/>
      <c r="E3366" s="271"/>
      <c r="F3366" s="271"/>
      <c r="G3366" s="273"/>
      <c r="H3366" s="88" t="s">
        <v>77</v>
      </c>
      <c r="I3366" s="399" t="s">
        <v>920</v>
      </c>
      <c r="J3366" s="273"/>
      <c r="K3366" s="399" t="s">
        <v>453</v>
      </c>
      <c r="L3366" s="273"/>
      <c r="M3366" s="399" t="s">
        <v>921</v>
      </c>
      <c r="N3366" s="273"/>
    </row>
    <row r="3367" spans="1:14" ht="12.75" customHeight="1" x14ac:dyDescent="0.2">
      <c r="A3367" s="403" t="s">
        <v>1130</v>
      </c>
      <c r="B3367" s="271"/>
      <c r="C3367" s="271"/>
      <c r="D3367" s="271"/>
      <c r="E3367" s="271"/>
      <c r="F3367" s="271"/>
      <c r="G3367" s="273"/>
      <c r="H3367" s="29" t="str">
        <f t="shared" ref="H3367:H3372" si="459">IF(A3367="","",VLOOKUP(A3367,AA_Materiales,7,FALSE))</f>
        <v>Unidad</v>
      </c>
      <c r="I3367" s="394">
        <f t="shared" ref="I3367:I3372" si="460">IF(A3367="","",VLOOKUP(A3367,AA_Materiales,8,FALSE))</f>
        <v>245000</v>
      </c>
      <c r="J3367" s="273"/>
      <c r="K3367" s="395">
        <v>1</v>
      </c>
      <c r="L3367" s="273"/>
      <c r="M3367" s="394">
        <f t="shared" ref="M3367:M3372" si="461">IF(A3367="","",I3367*K3367)</f>
        <v>245000</v>
      </c>
      <c r="N3367" s="273"/>
    </row>
    <row r="3368" spans="1:14" ht="12.75" customHeight="1" x14ac:dyDescent="0.2">
      <c r="A3368" s="403"/>
      <c r="B3368" s="271"/>
      <c r="C3368" s="271"/>
      <c r="D3368" s="271"/>
      <c r="E3368" s="271"/>
      <c r="F3368" s="271"/>
      <c r="G3368" s="273"/>
      <c r="H3368" s="29" t="str">
        <f t="shared" si="459"/>
        <v/>
      </c>
      <c r="I3368" s="394" t="str">
        <f t="shared" si="460"/>
        <v/>
      </c>
      <c r="J3368" s="273"/>
      <c r="K3368" s="395"/>
      <c r="L3368" s="273"/>
      <c r="M3368" s="394" t="str">
        <f t="shared" si="461"/>
        <v/>
      </c>
      <c r="N3368" s="273"/>
    </row>
    <row r="3369" spans="1:14" ht="12.75" customHeight="1" x14ac:dyDescent="0.2">
      <c r="A3369" s="403"/>
      <c r="B3369" s="271"/>
      <c r="C3369" s="271"/>
      <c r="D3369" s="271"/>
      <c r="E3369" s="271"/>
      <c r="F3369" s="271"/>
      <c r="G3369" s="273"/>
      <c r="H3369" s="29" t="str">
        <f t="shared" si="459"/>
        <v/>
      </c>
      <c r="I3369" s="394" t="str">
        <f t="shared" si="460"/>
        <v/>
      </c>
      <c r="J3369" s="273"/>
      <c r="K3369" s="395"/>
      <c r="L3369" s="273"/>
      <c r="M3369" s="394" t="str">
        <f t="shared" si="461"/>
        <v/>
      </c>
      <c r="N3369" s="273"/>
    </row>
    <row r="3370" spans="1:14" ht="12.75" customHeight="1" x14ac:dyDescent="0.2">
      <c r="A3370" s="403"/>
      <c r="B3370" s="271"/>
      <c r="C3370" s="271"/>
      <c r="D3370" s="271"/>
      <c r="E3370" s="271"/>
      <c r="F3370" s="271"/>
      <c r="G3370" s="273"/>
      <c r="H3370" s="29" t="str">
        <f t="shared" si="459"/>
        <v/>
      </c>
      <c r="I3370" s="394" t="str">
        <f t="shared" si="460"/>
        <v/>
      </c>
      <c r="J3370" s="273"/>
      <c r="K3370" s="395"/>
      <c r="L3370" s="273"/>
      <c r="M3370" s="394" t="str">
        <f t="shared" si="461"/>
        <v/>
      </c>
      <c r="N3370" s="273"/>
    </row>
    <row r="3371" spans="1:14" ht="12.75" customHeight="1" x14ac:dyDescent="0.2">
      <c r="A3371" s="403"/>
      <c r="B3371" s="271"/>
      <c r="C3371" s="271"/>
      <c r="D3371" s="271"/>
      <c r="E3371" s="271"/>
      <c r="F3371" s="271"/>
      <c r="G3371" s="273"/>
      <c r="H3371" s="29" t="str">
        <f t="shared" si="459"/>
        <v/>
      </c>
      <c r="I3371" s="394" t="str">
        <f t="shared" si="460"/>
        <v/>
      </c>
      <c r="J3371" s="273"/>
      <c r="K3371" s="395"/>
      <c r="L3371" s="273"/>
      <c r="M3371" s="394" t="str">
        <f t="shared" si="461"/>
        <v/>
      </c>
      <c r="N3371" s="273"/>
    </row>
    <row r="3372" spans="1:14" ht="12.75" customHeight="1" x14ac:dyDescent="0.2">
      <c r="A3372" s="403"/>
      <c r="B3372" s="271"/>
      <c r="C3372" s="271"/>
      <c r="D3372" s="271"/>
      <c r="E3372" s="271"/>
      <c r="F3372" s="271"/>
      <c r="G3372" s="273"/>
      <c r="H3372" s="29" t="str">
        <f t="shared" si="459"/>
        <v/>
      </c>
      <c r="I3372" s="394" t="str">
        <f t="shared" si="460"/>
        <v/>
      </c>
      <c r="J3372" s="273"/>
      <c r="K3372" s="395"/>
      <c r="L3372" s="273"/>
      <c r="M3372" s="394" t="str">
        <f t="shared" si="461"/>
        <v/>
      </c>
      <c r="N3372" s="273"/>
    </row>
    <row r="3373" spans="1:14" ht="12.75" customHeight="1" x14ac:dyDescent="0.25">
      <c r="A3373" s="4"/>
      <c r="B3373" s="4"/>
      <c r="C3373" s="4"/>
      <c r="D3373" s="4"/>
      <c r="E3373" s="4"/>
      <c r="F3373" s="4"/>
      <c r="G3373" s="4"/>
      <c r="H3373" s="4"/>
      <c r="I3373" s="4"/>
      <c r="J3373" s="4"/>
      <c r="K3373" s="396" t="s">
        <v>444</v>
      </c>
      <c r="L3373" s="273"/>
      <c r="M3373" s="394">
        <f>SUM(M3367:N3372)</f>
        <v>245000</v>
      </c>
      <c r="N3373" s="273"/>
    </row>
    <row r="3374" spans="1:14" ht="12.75" customHeight="1" x14ac:dyDescent="0.25">
      <c r="A3374" s="4"/>
      <c r="B3374" s="4"/>
      <c r="C3374" s="4"/>
      <c r="D3374" s="4"/>
      <c r="E3374" s="4"/>
      <c r="F3374" s="4"/>
      <c r="G3374" s="4"/>
      <c r="H3374" s="4"/>
      <c r="I3374" s="4"/>
      <c r="J3374" s="4"/>
      <c r="K3374" s="4"/>
      <c r="L3374" s="4"/>
      <c r="M3374" s="4"/>
      <c r="N3374" s="4"/>
    </row>
    <row r="3375" spans="1:14" ht="12.75" customHeight="1" x14ac:dyDescent="0.2">
      <c r="A3375" s="398" t="s">
        <v>926</v>
      </c>
      <c r="B3375" s="271"/>
      <c r="C3375" s="271"/>
      <c r="D3375" s="271"/>
      <c r="E3375" s="271"/>
      <c r="F3375" s="271"/>
      <c r="G3375" s="271"/>
      <c r="H3375" s="271"/>
      <c r="I3375" s="271"/>
      <c r="J3375" s="271"/>
      <c r="K3375" s="271"/>
      <c r="L3375" s="271"/>
      <c r="M3375" s="271"/>
      <c r="N3375" s="273"/>
    </row>
    <row r="3376" spans="1:14" ht="12.75" customHeight="1" x14ac:dyDescent="0.2">
      <c r="A3376" s="396" t="s">
        <v>76</v>
      </c>
      <c r="B3376" s="271"/>
      <c r="C3376" s="271"/>
      <c r="D3376" s="271"/>
      <c r="E3376" s="271"/>
      <c r="F3376" s="271"/>
      <c r="G3376" s="273"/>
      <c r="H3376" s="88" t="s">
        <v>77</v>
      </c>
      <c r="I3376" s="399" t="s">
        <v>920</v>
      </c>
      <c r="J3376" s="273"/>
      <c r="K3376" s="399" t="s">
        <v>453</v>
      </c>
      <c r="L3376" s="273"/>
      <c r="M3376" s="399" t="s">
        <v>921</v>
      </c>
      <c r="N3376" s="273"/>
    </row>
    <row r="3377" spans="1:14" ht="12.75" customHeight="1" x14ac:dyDescent="0.2">
      <c r="A3377" s="400" t="s">
        <v>927</v>
      </c>
      <c r="B3377" s="271"/>
      <c r="C3377" s="271"/>
      <c r="D3377" s="271"/>
      <c r="E3377" s="271"/>
      <c r="F3377" s="271"/>
      <c r="G3377" s="273"/>
      <c r="H3377" s="29" t="str">
        <f>IF(A3377="","",VLOOKUP(A3377,AA_Equipos,7,FALSE))</f>
        <v>% M.O.</v>
      </c>
      <c r="I3377" s="394">
        <f>+M3400</f>
        <v>87778.61</v>
      </c>
      <c r="J3377" s="273"/>
      <c r="K3377" s="404">
        <v>0.05</v>
      </c>
      <c r="L3377" s="273"/>
      <c r="M3377" s="394">
        <f t="shared" ref="M3377:M3381" si="462">IF(A3377="","",I3377*K3377)</f>
        <v>4388.9305000000004</v>
      </c>
      <c r="N3377" s="273"/>
    </row>
    <row r="3378" spans="1:14" ht="12.75" customHeight="1" x14ac:dyDescent="0.2">
      <c r="A3378" s="403"/>
      <c r="B3378" s="271"/>
      <c r="C3378" s="271"/>
      <c r="D3378" s="271"/>
      <c r="E3378" s="271"/>
      <c r="F3378" s="271"/>
      <c r="G3378" s="273"/>
      <c r="H3378" s="29" t="str">
        <f>IF(A3378="","",VLOOKUP(A3378,AA_Equipos,7,FALSE))</f>
        <v/>
      </c>
      <c r="I3378" s="394" t="str">
        <f>IF(A3378="","",VLOOKUP(A3378,AA_Equipos,8,FALSE))</f>
        <v/>
      </c>
      <c r="J3378" s="273"/>
      <c r="K3378" s="402"/>
      <c r="L3378" s="273"/>
      <c r="M3378" s="394" t="str">
        <f t="shared" si="462"/>
        <v/>
      </c>
      <c r="N3378" s="273"/>
    </row>
    <row r="3379" spans="1:14" ht="12.75" customHeight="1" x14ac:dyDescent="0.2">
      <c r="A3379" s="400"/>
      <c r="B3379" s="271"/>
      <c r="C3379" s="271"/>
      <c r="D3379" s="271"/>
      <c r="E3379" s="271"/>
      <c r="F3379" s="271"/>
      <c r="G3379" s="273"/>
      <c r="H3379" s="29" t="str">
        <f>IF(A3379="","",VLOOKUP(A3379,AA_Equipos,7,FALSE))</f>
        <v/>
      </c>
      <c r="I3379" s="394" t="str">
        <f>IF(A3379="","",VLOOKUP(A3379,AA_Equipos,8,FALSE))</f>
        <v/>
      </c>
      <c r="J3379" s="273"/>
      <c r="K3379" s="401"/>
      <c r="L3379" s="273"/>
      <c r="M3379" s="394" t="str">
        <f t="shared" si="462"/>
        <v/>
      </c>
      <c r="N3379" s="273"/>
    </row>
    <row r="3380" spans="1:14" ht="12.75" customHeight="1" x14ac:dyDescent="0.2">
      <c r="A3380" s="400"/>
      <c r="B3380" s="271"/>
      <c r="C3380" s="271"/>
      <c r="D3380" s="271"/>
      <c r="E3380" s="271"/>
      <c r="F3380" s="271"/>
      <c r="G3380" s="273"/>
      <c r="H3380" s="29" t="str">
        <f>IF(A3380="","",VLOOKUP(A3380,AA_Equipos,7,FALSE))</f>
        <v/>
      </c>
      <c r="I3380" s="394" t="str">
        <f>IF(A3380="","",VLOOKUP(A3380,AA_Equipos,8,FALSE))</f>
        <v/>
      </c>
      <c r="J3380" s="273"/>
      <c r="K3380" s="395"/>
      <c r="L3380" s="273"/>
      <c r="M3380" s="394" t="str">
        <f t="shared" si="462"/>
        <v/>
      </c>
      <c r="N3380" s="273"/>
    </row>
    <row r="3381" spans="1:14" ht="12.75" customHeight="1" x14ac:dyDescent="0.2">
      <c r="A3381" s="400"/>
      <c r="B3381" s="271"/>
      <c r="C3381" s="271"/>
      <c r="D3381" s="271"/>
      <c r="E3381" s="271"/>
      <c r="F3381" s="271"/>
      <c r="G3381" s="273"/>
      <c r="H3381" s="29" t="str">
        <f>IF(A3381="","",VLOOKUP(A3381,AA_Equipos,7,FALSE))</f>
        <v/>
      </c>
      <c r="I3381" s="394" t="str">
        <f>IF(A3381="","",VLOOKUP(A3381,AA_Equipos,8,FALSE))</f>
        <v/>
      </c>
      <c r="J3381" s="273"/>
      <c r="K3381" s="395"/>
      <c r="L3381" s="273"/>
      <c r="M3381" s="394" t="str">
        <f t="shared" si="462"/>
        <v/>
      </c>
      <c r="N3381" s="273"/>
    </row>
    <row r="3382" spans="1:14" ht="12.75" customHeight="1" x14ac:dyDescent="0.25">
      <c r="A3382" s="4"/>
      <c r="B3382" s="4"/>
      <c r="C3382" s="4"/>
      <c r="D3382" s="4"/>
      <c r="E3382" s="4"/>
      <c r="F3382" s="4"/>
      <c r="G3382" s="4"/>
      <c r="H3382" s="4"/>
      <c r="I3382" s="4"/>
      <c r="J3382" s="4"/>
      <c r="K3382" s="396" t="s">
        <v>444</v>
      </c>
      <c r="L3382" s="273"/>
      <c r="M3382" s="394">
        <f>SUM(M3377:N3381)</f>
        <v>4388.9305000000004</v>
      </c>
      <c r="N3382" s="273"/>
    </row>
    <row r="3383" spans="1:14" ht="12.75" customHeight="1" x14ac:dyDescent="0.25">
      <c r="A3383" s="4"/>
      <c r="B3383" s="4"/>
      <c r="C3383" s="4"/>
      <c r="D3383" s="4"/>
      <c r="E3383" s="4"/>
      <c r="F3383" s="4"/>
      <c r="G3383" s="4"/>
      <c r="H3383" s="4"/>
      <c r="I3383" s="4"/>
      <c r="J3383" s="4"/>
      <c r="K3383" s="4"/>
      <c r="L3383" s="4"/>
      <c r="M3383" s="4"/>
      <c r="N3383" s="4"/>
    </row>
    <row r="3384" spans="1:14" ht="12.75" customHeight="1" x14ac:dyDescent="0.2">
      <c r="A3384" s="398" t="s">
        <v>929</v>
      </c>
      <c r="B3384" s="271"/>
      <c r="C3384" s="271"/>
      <c r="D3384" s="271"/>
      <c r="E3384" s="271"/>
      <c r="F3384" s="271"/>
      <c r="G3384" s="271"/>
      <c r="H3384" s="271"/>
      <c r="I3384" s="271"/>
      <c r="J3384" s="271"/>
      <c r="K3384" s="271"/>
      <c r="L3384" s="271"/>
      <c r="M3384" s="271"/>
      <c r="N3384" s="273"/>
    </row>
    <row r="3385" spans="1:14" ht="12.75" customHeight="1" x14ac:dyDescent="0.2">
      <c r="A3385" s="396" t="s">
        <v>76</v>
      </c>
      <c r="B3385" s="271"/>
      <c r="C3385" s="271"/>
      <c r="D3385" s="271"/>
      <c r="E3385" s="271"/>
      <c r="F3385" s="271"/>
      <c r="G3385" s="273"/>
      <c r="H3385" s="88" t="s">
        <v>77</v>
      </c>
      <c r="I3385" s="399" t="s">
        <v>920</v>
      </c>
      <c r="J3385" s="273"/>
      <c r="K3385" s="399" t="s">
        <v>453</v>
      </c>
      <c r="L3385" s="273"/>
      <c r="M3385" s="399" t="s">
        <v>921</v>
      </c>
      <c r="N3385" s="273"/>
    </row>
    <row r="3386" spans="1:14" ht="12.75" customHeight="1" x14ac:dyDescent="0.2">
      <c r="A3386" s="400" t="s">
        <v>966</v>
      </c>
      <c r="B3386" s="271"/>
      <c r="C3386" s="271"/>
      <c r="D3386" s="271"/>
      <c r="E3386" s="271"/>
      <c r="F3386" s="271"/>
      <c r="G3386" s="273"/>
      <c r="H3386" s="29"/>
      <c r="I3386" s="394"/>
      <c r="J3386" s="273"/>
      <c r="K3386" s="417"/>
      <c r="L3386" s="273"/>
      <c r="M3386" s="394">
        <f t="shared" ref="M3386:M3390" si="463">IF(A3386="","",I3386*K3386)</f>
        <v>0</v>
      </c>
      <c r="N3386" s="273"/>
    </row>
    <row r="3387" spans="1:14" ht="12.75" customHeight="1" x14ac:dyDescent="0.2">
      <c r="A3387" s="403"/>
      <c r="B3387" s="271"/>
      <c r="C3387" s="271"/>
      <c r="D3387" s="271"/>
      <c r="E3387" s="271"/>
      <c r="F3387" s="271"/>
      <c r="G3387" s="273"/>
      <c r="H3387" s="29"/>
      <c r="I3387" s="394"/>
      <c r="J3387" s="273"/>
      <c r="K3387" s="404"/>
      <c r="L3387" s="273"/>
      <c r="M3387" s="394" t="str">
        <f t="shared" si="463"/>
        <v/>
      </c>
      <c r="N3387" s="273"/>
    </row>
    <row r="3388" spans="1:14" ht="12.75" customHeight="1" x14ac:dyDescent="0.2">
      <c r="A3388" s="400"/>
      <c r="B3388" s="271"/>
      <c r="C3388" s="271"/>
      <c r="D3388" s="271"/>
      <c r="E3388" s="271"/>
      <c r="F3388" s="271"/>
      <c r="G3388" s="273"/>
      <c r="H3388" s="29"/>
      <c r="I3388" s="394"/>
      <c r="J3388" s="273"/>
      <c r="K3388" s="395"/>
      <c r="L3388" s="273"/>
      <c r="M3388" s="394" t="str">
        <f t="shared" si="463"/>
        <v/>
      </c>
      <c r="N3388" s="273"/>
    </row>
    <row r="3389" spans="1:14" ht="12.75" customHeight="1" x14ac:dyDescent="0.2">
      <c r="A3389" s="400"/>
      <c r="B3389" s="271"/>
      <c r="C3389" s="271"/>
      <c r="D3389" s="271"/>
      <c r="E3389" s="271"/>
      <c r="F3389" s="271"/>
      <c r="G3389" s="273"/>
      <c r="H3389" s="29"/>
      <c r="I3389" s="394"/>
      <c r="J3389" s="273"/>
      <c r="K3389" s="395"/>
      <c r="L3389" s="273"/>
      <c r="M3389" s="394" t="str">
        <f t="shared" si="463"/>
        <v/>
      </c>
      <c r="N3389" s="273"/>
    </row>
    <row r="3390" spans="1:14" ht="12.75" customHeight="1" x14ac:dyDescent="0.2">
      <c r="A3390" s="400"/>
      <c r="B3390" s="271"/>
      <c r="C3390" s="271"/>
      <c r="D3390" s="271"/>
      <c r="E3390" s="271"/>
      <c r="F3390" s="271"/>
      <c r="G3390" s="273"/>
      <c r="H3390" s="29"/>
      <c r="I3390" s="394"/>
      <c r="J3390" s="273"/>
      <c r="K3390" s="395"/>
      <c r="L3390" s="273"/>
      <c r="M3390" s="394" t="str">
        <f t="shared" si="463"/>
        <v/>
      </c>
      <c r="N3390" s="273"/>
    </row>
    <row r="3391" spans="1:14" ht="12.75" customHeight="1" x14ac:dyDescent="0.25">
      <c r="A3391" s="4"/>
      <c r="B3391" s="4"/>
      <c r="C3391" s="4"/>
      <c r="D3391" s="4"/>
      <c r="E3391" s="4"/>
      <c r="F3391" s="4"/>
      <c r="G3391" s="4"/>
      <c r="H3391" s="4"/>
      <c r="I3391" s="4"/>
      <c r="J3391" s="4"/>
      <c r="K3391" s="396" t="s">
        <v>444</v>
      </c>
      <c r="L3391" s="273"/>
      <c r="M3391" s="394">
        <f>SUM(M3386:N3390)</f>
        <v>0</v>
      </c>
      <c r="N3391" s="273"/>
    </row>
    <row r="3392" spans="1:14" ht="12.75" customHeight="1" x14ac:dyDescent="0.25">
      <c r="A3392" s="4"/>
      <c r="B3392" s="4"/>
      <c r="C3392" s="4"/>
      <c r="D3392" s="4"/>
      <c r="E3392" s="4"/>
      <c r="F3392" s="4"/>
      <c r="G3392" s="4"/>
      <c r="H3392" s="4"/>
      <c r="I3392" s="4"/>
      <c r="J3392" s="4"/>
      <c r="K3392" s="4"/>
      <c r="L3392" s="4"/>
      <c r="M3392" s="4"/>
      <c r="N3392" s="4"/>
    </row>
    <row r="3393" spans="1:14" ht="12.75" customHeight="1" x14ac:dyDescent="0.2">
      <c r="A3393" s="398" t="s">
        <v>931</v>
      </c>
      <c r="B3393" s="271"/>
      <c r="C3393" s="271"/>
      <c r="D3393" s="271"/>
      <c r="E3393" s="271"/>
      <c r="F3393" s="271"/>
      <c r="G3393" s="271"/>
      <c r="H3393" s="271"/>
      <c r="I3393" s="271"/>
      <c r="J3393" s="271"/>
      <c r="K3393" s="271"/>
      <c r="L3393" s="271"/>
      <c r="M3393" s="271"/>
      <c r="N3393" s="273"/>
    </row>
    <row r="3394" spans="1:14" ht="12.75" customHeight="1" x14ac:dyDescent="0.2">
      <c r="A3394" s="396" t="s">
        <v>76</v>
      </c>
      <c r="B3394" s="271"/>
      <c r="C3394" s="271"/>
      <c r="D3394" s="271"/>
      <c r="E3394" s="271"/>
      <c r="F3394" s="271"/>
      <c r="G3394" s="273"/>
      <c r="H3394" s="88" t="s">
        <v>77</v>
      </c>
      <c r="I3394" s="399" t="s">
        <v>920</v>
      </c>
      <c r="J3394" s="273"/>
      <c r="K3394" s="90" t="s">
        <v>514</v>
      </c>
      <c r="L3394" s="91" t="s">
        <v>932</v>
      </c>
      <c r="M3394" s="399" t="s">
        <v>921</v>
      </c>
      <c r="N3394" s="273"/>
    </row>
    <row r="3395" spans="1:14" ht="12.75" customHeight="1" x14ac:dyDescent="0.25">
      <c r="A3395" s="393" t="s">
        <v>986</v>
      </c>
      <c r="B3395" s="271"/>
      <c r="C3395" s="271"/>
      <c r="D3395" s="271"/>
      <c r="E3395" s="271"/>
      <c r="F3395" s="271"/>
      <c r="G3395" s="273"/>
      <c r="H3395" s="29" t="str">
        <f>IF(A3395="","",VLOOKUP(A3395,AA_Cuadrillas,4,FALSE))</f>
        <v>Cuadrilla</v>
      </c>
      <c r="I3395" s="394">
        <f>IF(A3395="","",VLOOKUP(A3395,AA_Cuadrillas,5,FALSE))</f>
        <v>186763</v>
      </c>
      <c r="J3395" s="273"/>
      <c r="K3395" s="9">
        <f>IF(A3395="","",F.P!$I$2)</f>
        <v>1.88</v>
      </c>
      <c r="L3395" s="97">
        <v>0.25</v>
      </c>
      <c r="M3395" s="394">
        <f t="shared" ref="M3395:M3399" si="464">IF(A3395="","",I3395*K3395*L3395)</f>
        <v>87778.61</v>
      </c>
      <c r="N3395" s="273"/>
    </row>
    <row r="3396" spans="1:14" ht="12.75" customHeight="1" x14ac:dyDescent="0.25">
      <c r="A3396" s="393"/>
      <c r="B3396" s="271"/>
      <c r="C3396" s="271"/>
      <c r="D3396" s="271"/>
      <c r="E3396" s="271"/>
      <c r="F3396" s="271"/>
      <c r="G3396" s="273"/>
      <c r="H3396" s="29" t="str">
        <f>IF(A3396="","",VLOOKUP(A3396,AA_Cuadrillas,4,FALSE))</f>
        <v/>
      </c>
      <c r="I3396" s="394" t="str">
        <f>IF(A3396="","",VLOOKUP(A3396,AA_Cuadrillas,5,FALSE))</f>
        <v/>
      </c>
      <c r="J3396" s="273"/>
      <c r="K3396" s="9" t="str">
        <f>IF(A3396="","",F.P!$I$2)</f>
        <v/>
      </c>
      <c r="L3396" s="9"/>
      <c r="M3396" s="394" t="str">
        <f t="shared" si="464"/>
        <v/>
      </c>
      <c r="N3396" s="273"/>
    </row>
    <row r="3397" spans="1:14" ht="12.75" customHeight="1" x14ac:dyDescent="0.25">
      <c r="A3397" s="393"/>
      <c r="B3397" s="271"/>
      <c r="C3397" s="271"/>
      <c r="D3397" s="271"/>
      <c r="E3397" s="271"/>
      <c r="F3397" s="271"/>
      <c r="G3397" s="273"/>
      <c r="H3397" s="29" t="str">
        <f>IF(A3397="","",VLOOKUP(A3397,AA_Cuadrillas,4,FALSE))</f>
        <v/>
      </c>
      <c r="I3397" s="394" t="str">
        <f>IF(A3397="","",VLOOKUP(A3397,AA_Cuadrillas,5,FALSE))</f>
        <v/>
      </c>
      <c r="J3397" s="273"/>
      <c r="K3397" s="9" t="str">
        <f>IF(A3397="","",F.P!$I$2)</f>
        <v/>
      </c>
      <c r="L3397" s="37"/>
      <c r="M3397" s="394" t="str">
        <f t="shared" si="464"/>
        <v/>
      </c>
      <c r="N3397" s="273"/>
    </row>
    <row r="3398" spans="1:14" ht="12.75" customHeight="1" x14ac:dyDescent="0.25">
      <c r="A3398" s="393"/>
      <c r="B3398" s="271"/>
      <c r="C3398" s="271"/>
      <c r="D3398" s="271"/>
      <c r="E3398" s="271"/>
      <c r="F3398" s="271"/>
      <c r="G3398" s="273"/>
      <c r="H3398" s="29" t="str">
        <f>IF(A3398="","",VLOOKUP(A3398,AA_Cuadrillas,4,FALSE))</f>
        <v/>
      </c>
      <c r="I3398" s="394" t="str">
        <f>IF(A3398="","",VLOOKUP(A3398,AA_Cuadrillas,5,FALSE))</f>
        <v/>
      </c>
      <c r="J3398" s="273"/>
      <c r="K3398" s="9" t="str">
        <f>IF(A3398="","",F.P!$I$2)</f>
        <v/>
      </c>
      <c r="L3398" s="37"/>
      <c r="M3398" s="394" t="str">
        <f t="shared" si="464"/>
        <v/>
      </c>
      <c r="N3398" s="273"/>
    </row>
    <row r="3399" spans="1:14" ht="12.75" customHeight="1" x14ac:dyDescent="0.25">
      <c r="A3399" s="393"/>
      <c r="B3399" s="271"/>
      <c r="C3399" s="271"/>
      <c r="D3399" s="271"/>
      <c r="E3399" s="271"/>
      <c r="F3399" s="271"/>
      <c r="G3399" s="273"/>
      <c r="H3399" s="29" t="str">
        <f>IF(A3399="","",VLOOKUP(A3399,AA_Cuadrillas,4,FALSE))</f>
        <v/>
      </c>
      <c r="I3399" s="394" t="str">
        <f>IF(A3399="","",VLOOKUP(A3399,AA_Cuadrillas,5,FALSE))</f>
        <v/>
      </c>
      <c r="J3399" s="273"/>
      <c r="K3399" s="9" t="str">
        <f>IF(A3399="","",F.P!$I$2)</f>
        <v/>
      </c>
      <c r="L3399" s="37"/>
      <c r="M3399" s="394" t="str">
        <f t="shared" si="464"/>
        <v/>
      </c>
      <c r="N3399" s="273"/>
    </row>
    <row r="3400" spans="1:14" ht="12.75" customHeight="1" x14ac:dyDescent="0.25">
      <c r="A3400" s="4"/>
      <c r="B3400" s="4"/>
      <c r="C3400" s="4"/>
      <c r="D3400" s="4"/>
      <c r="E3400" s="4"/>
      <c r="F3400" s="4"/>
      <c r="G3400" s="4"/>
      <c r="H3400" s="4"/>
      <c r="I3400" s="4"/>
      <c r="J3400" s="4"/>
      <c r="K3400" s="396" t="s">
        <v>444</v>
      </c>
      <c r="L3400" s="273"/>
      <c r="M3400" s="394">
        <f>SUM(M3395:N3399)</f>
        <v>87778.61</v>
      </c>
      <c r="N3400" s="273"/>
    </row>
    <row r="3401" spans="1:14" ht="12.75" customHeight="1" x14ac:dyDescent="0.2"/>
    <row r="3402" spans="1:14" ht="12.75" customHeight="1" x14ac:dyDescent="0.2">
      <c r="A3402" s="407" t="s">
        <v>1131</v>
      </c>
      <c r="B3402" s="275"/>
      <c r="C3402" s="275"/>
      <c r="D3402" s="275"/>
      <c r="E3402" s="275"/>
      <c r="F3402" s="275"/>
      <c r="G3402" s="275"/>
      <c r="H3402" s="275"/>
      <c r="I3402" s="275"/>
      <c r="J3402" s="275"/>
      <c r="K3402" s="275"/>
      <c r="L3402" s="275"/>
      <c r="M3402" s="275"/>
      <c r="N3402" s="276"/>
    </row>
    <row r="3403" spans="1:14" ht="12.75" customHeight="1" x14ac:dyDescent="0.2">
      <c r="A3403" s="277"/>
      <c r="B3403" s="278"/>
      <c r="C3403" s="278"/>
      <c r="D3403" s="278"/>
      <c r="E3403" s="278"/>
      <c r="F3403" s="278"/>
      <c r="G3403" s="278"/>
      <c r="H3403" s="278"/>
      <c r="I3403" s="278"/>
      <c r="J3403" s="278"/>
      <c r="K3403" s="278"/>
      <c r="L3403" s="278"/>
      <c r="M3403" s="278"/>
      <c r="N3403" s="279"/>
    </row>
    <row r="3404" spans="1:14" ht="12.75" customHeight="1" x14ac:dyDescent="0.2">
      <c r="A3404" s="75"/>
      <c r="B3404" s="75"/>
      <c r="C3404" s="75"/>
      <c r="D3404" s="75"/>
      <c r="E3404" s="75"/>
      <c r="F3404" s="75"/>
      <c r="G3404" s="75"/>
      <c r="H3404" s="75"/>
      <c r="I3404" s="75"/>
      <c r="J3404" s="75"/>
      <c r="K3404" s="75"/>
      <c r="L3404" s="75"/>
      <c r="M3404" s="75"/>
      <c r="N3404" s="75"/>
    </row>
    <row r="3405" spans="1:14" ht="12.75" customHeight="1" x14ac:dyDescent="0.3">
      <c r="A3405" s="79" t="s">
        <v>693</v>
      </c>
      <c r="B3405" s="80" t="str">
        <f>A3402</f>
        <v>SUMINISTRO E INSTALACIÓN DE PASAMURO L= 1m Ø4" EN HIERRO DUCTIL</v>
      </c>
      <c r="C3405" s="81" t="s">
        <v>916</v>
      </c>
      <c r="D3405" s="82" t="s">
        <v>999</v>
      </c>
      <c r="E3405" s="83" t="s">
        <v>445</v>
      </c>
      <c r="F3405" s="86">
        <f>H3405+J3405+L3405+N3405</f>
        <v>572167.5405</v>
      </c>
      <c r="G3405" s="83" t="s">
        <v>607</v>
      </c>
      <c r="H3405" s="86">
        <f>M3415</f>
        <v>480000</v>
      </c>
      <c r="I3405" s="83" t="s">
        <v>918</v>
      </c>
      <c r="J3405" s="86">
        <f>M3424</f>
        <v>4388.9305000000004</v>
      </c>
      <c r="K3405" s="83" t="s">
        <v>609</v>
      </c>
      <c r="L3405" s="86">
        <f>M3433</f>
        <v>0</v>
      </c>
      <c r="M3405" s="83" t="s">
        <v>610</v>
      </c>
      <c r="N3405" s="86">
        <f>M3442</f>
        <v>87778.61</v>
      </c>
    </row>
    <row r="3406" spans="1:14" ht="12.75" customHeight="1" x14ac:dyDescent="0.25">
      <c r="A3406" s="87"/>
      <c r="B3406" s="87"/>
      <c r="C3406" s="87"/>
      <c r="D3406" s="87"/>
      <c r="E3406" s="87"/>
      <c r="F3406" s="87"/>
      <c r="G3406" s="87"/>
      <c r="J3406" s="87"/>
      <c r="K3406" s="215" t="s">
        <v>3217</v>
      </c>
      <c r="L3406" s="215">
        <f>+F3405*presup!$O$5</f>
        <v>743817.80265000009</v>
      </c>
      <c r="M3406" s="87"/>
      <c r="N3406" s="87"/>
    </row>
    <row r="3407" spans="1:14" ht="12.75" customHeight="1" x14ac:dyDescent="0.2">
      <c r="A3407" s="398" t="s">
        <v>919</v>
      </c>
      <c r="B3407" s="271"/>
      <c r="C3407" s="271"/>
      <c r="D3407" s="271"/>
      <c r="E3407" s="271"/>
      <c r="F3407" s="271"/>
      <c r="G3407" s="271"/>
      <c r="H3407" s="271"/>
      <c r="I3407" s="271"/>
      <c r="J3407" s="271"/>
      <c r="K3407" s="271"/>
      <c r="L3407" s="271"/>
      <c r="M3407" s="271"/>
      <c r="N3407" s="273"/>
    </row>
    <row r="3408" spans="1:14" ht="12.75" customHeight="1" x14ac:dyDescent="0.2">
      <c r="A3408" s="396" t="s">
        <v>76</v>
      </c>
      <c r="B3408" s="271"/>
      <c r="C3408" s="271"/>
      <c r="D3408" s="271"/>
      <c r="E3408" s="271"/>
      <c r="F3408" s="271"/>
      <c r="G3408" s="273"/>
      <c r="H3408" s="88" t="s">
        <v>77</v>
      </c>
      <c r="I3408" s="399" t="s">
        <v>920</v>
      </c>
      <c r="J3408" s="273"/>
      <c r="K3408" s="399" t="s">
        <v>453</v>
      </c>
      <c r="L3408" s="273"/>
      <c r="M3408" s="399" t="s">
        <v>921</v>
      </c>
      <c r="N3408" s="273"/>
    </row>
    <row r="3409" spans="1:14" ht="12.75" customHeight="1" x14ac:dyDescent="0.2">
      <c r="A3409" s="403" t="s">
        <v>1132</v>
      </c>
      <c r="B3409" s="271"/>
      <c r="C3409" s="271"/>
      <c r="D3409" s="271"/>
      <c r="E3409" s="271"/>
      <c r="F3409" s="271"/>
      <c r="G3409" s="273"/>
      <c r="H3409" s="29" t="str">
        <f t="shared" ref="H3409:H3414" si="465">IF(A3409="","",VLOOKUP(A3409,AA_Materiales,7,FALSE))</f>
        <v>Unidad</v>
      </c>
      <c r="I3409" s="394">
        <f t="shared" ref="I3409:I3414" si="466">IF(A3409="","",VLOOKUP(A3409,AA_Materiales,8,FALSE))</f>
        <v>480000</v>
      </c>
      <c r="J3409" s="273"/>
      <c r="K3409" s="395">
        <v>1</v>
      </c>
      <c r="L3409" s="273"/>
      <c r="M3409" s="394">
        <f t="shared" ref="M3409:M3414" si="467">IF(A3409="","",I3409*K3409)</f>
        <v>480000</v>
      </c>
      <c r="N3409" s="273"/>
    </row>
    <row r="3410" spans="1:14" ht="12.75" customHeight="1" x14ac:dyDescent="0.2">
      <c r="A3410" s="403"/>
      <c r="B3410" s="271"/>
      <c r="C3410" s="271"/>
      <c r="D3410" s="271"/>
      <c r="E3410" s="271"/>
      <c r="F3410" s="271"/>
      <c r="G3410" s="273"/>
      <c r="H3410" s="29" t="str">
        <f t="shared" si="465"/>
        <v/>
      </c>
      <c r="I3410" s="394" t="str">
        <f t="shared" si="466"/>
        <v/>
      </c>
      <c r="J3410" s="273"/>
      <c r="K3410" s="395"/>
      <c r="L3410" s="273"/>
      <c r="M3410" s="394" t="str">
        <f t="shared" si="467"/>
        <v/>
      </c>
      <c r="N3410" s="273"/>
    </row>
    <row r="3411" spans="1:14" ht="12.75" customHeight="1" x14ac:dyDescent="0.2">
      <c r="A3411" s="403"/>
      <c r="B3411" s="271"/>
      <c r="C3411" s="271"/>
      <c r="D3411" s="271"/>
      <c r="E3411" s="271"/>
      <c r="F3411" s="271"/>
      <c r="G3411" s="273"/>
      <c r="H3411" s="29" t="str">
        <f t="shared" si="465"/>
        <v/>
      </c>
      <c r="I3411" s="394" t="str">
        <f t="shared" si="466"/>
        <v/>
      </c>
      <c r="J3411" s="273"/>
      <c r="K3411" s="395"/>
      <c r="L3411" s="273"/>
      <c r="M3411" s="394" t="str">
        <f t="shared" si="467"/>
        <v/>
      </c>
      <c r="N3411" s="273"/>
    </row>
    <row r="3412" spans="1:14" ht="12.75" customHeight="1" x14ac:dyDescent="0.2">
      <c r="A3412" s="403"/>
      <c r="B3412" s="271"/>
      <c r="C3412" s="271"/>
      <c r="D3412" s="271"/>
      <c r="E3412" s="271"/>
      <c r="F3412" s="271"/>
      <c r="G3412" s="273"/>
      <c r="H3412" s="29" t="str">
        <f t="shared" si="465"/>
        <v/>
      </c>
      <c r="I3412" s="394" t="str">
        <f t="shared" si="466"/>
        <v/>
      </c>
      <c r="J3412" s="273"/>
      <c r="K3412" s="395"/>
      <c r="L3412" s="273"/>
      <c r="M3412" s="394" t="str">
        <f t="shared" si="467"/>
        <v/>
      </c>
      <c r="N3412" s="273"/>
    </row>
    <row r="3413" spans="1:14" ht="12.75" customHeight="1" x14ac:dyDescent="0.2">
      <c r="A3413" s="403"/>
      <c r="B3413" s="271"/>
      <c r="C3413" s="271"/>
      <c r="D3413" s="271"/>
      <c r="E3413" s="271"/>
      <c r="F3413" s="271"/>
      <c r="G3413" s="273"/>
      <c r="H3413" s="29" t="str">
        <f t="shared" si="465"/>
        <v/>
      </c>
      <c r="I3413" s="394" t="str">
        <f t="shared" si="466"/>
        <v/>
      </c>
      <c r="J3413" s="273"/>
      <c r="K3413" s="395"/>
      <c r="L3413" s="273"/>
      <c r="M3413" s="394" t="str">
        <f t="shared" si="467"/>
        <v/>
      </c>
      <c r="N3413" s="273"/>
    </row>
    <row r="3414" spans="1:14" ht="12.75" customHeight="1" x14ac:dyDescent="0.2">
      <c r="A3414" s="403"/>
      <c r="B3414" s="271"/>
      <c r="C3414" s="271"/>
      <c r="D3414" s="271"/>
      <c r="E3414" s="271"/>
      <c r="F3414" s="271"/>
      <c r="G3414" s="273"/>
      <c r="H3414" s="29" t="str">
        <f t="shared" si="465"/>
        <v/>
      </c>
      <c r="I3414" s="394" t="str">
        <f t="shared" si="466"/>
        <v/>
      </c>
      <c r="J3414" s="273"/>
      <c r="K3414" s="395"/>
      <c r="L3414" s="273"/>
      <c r="M3414" s="394" t="str">
        <f t="shared" si="467"/>
        <v/>
      </c>
      <c r="N3414" s="273"/>
    </row>
    <row r="3415" spans="1:14" ht="12.75" customHeight="1" x14ac:dyDescent="0.25">
      <c r="A3415" s="4"/>
      <c r="B3415" s="4"/>
      <c r="C3415" s="4"/>
      <c r="D3415" s="4"/>
      <c r="E3415" s="4"/>
      <c r="F3415" s="4"/>
      <c r="G3415" s="4"/>
      <c r="H3415" s="4"/>
      <c r="I3415" s="4"/>
      <c r="J3415" s="4"/>
      <c r="K3415" s="396" t="s">
        <v>444</v>
      </c>
      <c r="L3415" s="273"/>
      <c r="M3415" s="394">
        <f>SUM(M3409:N3414)</f>
        <v>480000</v>
      </c>
      <c r="N3415" s="273"/>
    </row>
    <row r="3416" spans="1:14" ht="12.75" customHeight="1" x14ac:dyDescent="0.25">
      <c r="A3416" s="4"/>
      <c r="B3416" s="4"/>
      <c r="C3416" s="4"/>
      <c r="D3416" s="4"/>
      <c r="E3416" s="4"/>
      <c r="F3416" s="4"/>
      <c r="G3416" s="4"/>
      <c r="H3416" s="4"/>
      <c r="I3416" s="4"/>
      <c r="J3416" s="4"/>
      <c r="K3416" s="4"/>
      <c r="L3416" s="4"/>
      <c r="M3416" s="4"/>
      <c r="N3416" s="4"/>
    </row>
    <row r="3417" spans="1:14" ht="12.75" customHeight="1" x14ac:dyDescent="0.2">
      <c r="A3417" s="398" t="s">
        <v>926</v>
      </c>
      <c r="B3417" s="271"/>
      <c r="C3417" s="271"/>
      <c r="D3417" s="271"/>
      <c r="E3417" s="271"/>
      <c r="F3417" s="271"/>
      <c r="G3417" s="271"/>
      <c r="H3417" s="271"/>
      <c r="I3417" s="271"/>
      <c r="J3417" s="271"/>
      <c r="K3417" s="271"/>
      <c r="L3417" s="271"/>
      <c r="M3417" s="271"/>
      <c r="N3417" s="273"/>
    </row>
    <row r="3418" spans="1:14" ht="12.75" customHeight="1" x14ac:dyDescent="0.2">
      <c r="A3418" s="396" t="s">
        <v>76</v>
      </c>
      <c r="B3418" s="271"/>
      <c r="C3418" s="271"/>
      <c r="D3418" s="271"/>
      <c r="E3418" s="271"/>
      <c r="F3418" s="271"/>
      <c r="G3418" s="273"/>
      <c r="H3418" s="88" t="s">
        <v>77</v>
      </c>
      <c r="I3418" s="399" t="s">
        <v>920</v>
      </c>
      <c r="J3418" s="273"/>
      <c r="K3418" s="399" t="s">
        <v>453</v>
      </c>
      <c r="L3418" s="273"/>
      <c r="M3418" s="399" t="s">
        <v>921</v>
      </c>
      <c r="N3418" s="273"/>
    </row>
    <row r="3419" spans="1:14" ht="12.75" customHeight="1" x14ac:dyDescent="0.2">
      <c r="A3419" s="400" t="s">
        <v>927</v>
      </c>
      <c r="B3419" s="271"/>
      <c r="C3419" s="271"/>
      <c r="D3419" s="271"/>
      <c r="E3419" s="271"/>
      <c r="F3419" s="271"/>
      <c r="G3419" s="273"/>
      <c r="H3419" s="29" t="str">
        <f>IF(A3419="","",VLOOKUP(A3419,AA_Equipos,7,FALSE))</f>
        <v>% M.O.</v>
      </c>
      <c r="I3419" s="394">
        <f>+M3442</f>
        <v>87778.61</v>
      </c>
      <c r="J3419" s="273"/>
      <c r="K3419" s="404">
        <v>0.05</v>
      </c>
      <c r="L3419" s="273"/>
      <c r="M3419" s="394">
        <f t="shared" ref="M3419:M3423" si="468">IF(A3419="","",I3419*K3419)</f>
        <v>4388.9305000000004</v>
      </c>
      <c r="N3419" s="273"/>
    </row>
    <row r="3420" spans="1:14" ht="12.75" customHeight="1" x14ac:dyDescent="0.2">
      <c r="A3420" s="403"/>
      <c r="B3420" s="271"/>
      <c r="C3420" s="271"/>
      <c r="D3420" s="271"/>
      <c r="E3420" s="271"/>
      <c r="F3420" s="271"/>
      <c r="G3420" s="273"/>
      <c r="H3420" s="29" t="str">
        <f>IF(A3420="","",VLOOKUP(A3420,AA_Equipos,7,FALSE))</f>
        <v/>
      </c>
      <c r="I3420" s="394" t="str">
        <f>IF(A3420="","",VLOOKUP(A3420,AA_Equipos,8,FALSE))</f>
        <v/>
      </c>
      <c r="J3420" s="273"/>
      <c r="K3420" s="402"/>
      <c r="L3420" s="273"/>
      <c r="M3420" s="394" t="str">
        <f t="shared" si="468"/>
        <v/>
      </c>
      <c r="N3420" s="273"/>
    </row>
    <row r="3421" spans="1:14" ht="12.75" customHeight="1" x14ac:dyDescent="0.2">
      <c r="A3421" s="400"/>
      <c r="B3421" s="271"/>
      <c r="C3421" s="271"/>
      <c r="D3421" s="271"/>
      <c r="E3421" s="271"/>
      <c r="F3421" s="271"/>
      <c r="G3421" s="273"/>
      <c r="H3421" s="29" t="str">
        <f>IF(A3421="","",VLOOKUP(A3421,AA_Equipos,7,FALSE))</f>
        <v/>
      </c>
      <c r="I3421" s="394" t="str">
        <f>IF(A3421="","",VLOOKUP(A3421,AA_Equipos,8,FALSE))</f>
        <v/>
      </c>
      <c r="J3421" s="273"/>
      <c r="K3421" s="401"/>
      <c r="L3421" s="273"/>
      <c r="M3421" s="394" t="str">
        <f t="shared" si="468"/>
        <v/>
      </c>
      <c r="N3421" s="273"/>
    </row>
    <row r="3422" spans="1:14" ht="12.75" customHeight="1" x14ac:dyDescent="0.2">
      <c r="A3422" s="400"/>
      <c r="B3422" s="271"/>
      <c r="C3422" s="271"/>
      <c r="D3422" s="271"/>
      <c r="E3422" s="271"/>
      <c r="F3422" s="271"/>
      <c r="G3422" s="273"/>
      <c r="H3422" s="29" t="str">
        <f>IF(A3422="","",VLOOKUP(A3422,AA_Equipos,7,FALSE))</f>
        <v/>
      </c>
      <c r="I3422" s="394" t="str">
        <f>IF(A3422="","",VLOOKUP(A3422,AA_Equipos,8,FALSE))</f>
        <v/>
      </c>
      <c r="J3422" s="273"/>
      <c r="K3422" s="395"/>
      <c r="L3422" s="273"/>
      <c r="M3422" s="394" t="str">
        <f t="shared" si="468"/>
        <v/>
      </c>
      <c r="N3422" s="273"/>
    </row>
    <row r="3423" spans="1:14" ht="12.75" customHeight="1" x14ac:dyDescent="0.2">
      <c r="A3423" s="400"/>
      <c r="B3423" s="271"/>
      <c r="C3423" s="271"/>
      <c r="D3423" s="271"/>
      <c r="E3423" s="271"/>
      <c r="F3423" s="271"/>
      <c r="G3423" s="273"/>
      <c r="H3423" s="29" t="str">
        <f>IF(A3423="","",VLOOKUP(A3423,AA_Equipos,7,FALSE))</f>
        <v/>
      </c>
      <c r="I3423" s="394" t="str">
        <f>IF(A3423="","",VLOOKUP(A3423,AA_Equipos,8,FALSE))</f>
        <v/>
      </c>
      <c r="J3423" s="273"/>
      <c r="K3423" s="395"/>
      <c r="L3423" s="273"/>
      <c r="M3423" s="394" t="str">
        <f t="shared" si="468"/>
        <v/>
      </c>
      <c r="N3423" s="273"/>
    </row>
    <row r="3424" spans="1:14" ht="12.75" customHeight="1" x14ac:dyDescent="0.25">
      <c r="A3424" s="4"/>
      <c r="B3424" s="4"/>
      <c r="C3424" s="4"/>
      <c r="D3424" s="4"/>
      <c r="E3424" s="4"/>
      <c r="F3424" s="4"/>
      <c r="G3424" s="4"/>
      <c r="H3424" s="4"/>
      <c r="I3424" s="4"/>
      <c r="J3424" s="4"/>
      <c r="K3424" s="396" t="s">
        <v>444</v>
      </c>
      <c r="L3424" s="273"/>
      <c r="M3424" s="394">
        <f>SUM(M3419:N3423)</f>
        <v>4388.9305000000004</v>
      </c>
      <c r="N3424" s="273"/>
    </row>
    <row r="3425" spans="1:14" ht="12.75" customHeight="1" x14ac:dyDescent="0.25">
      <c r="A3425" s="4"/>
      <c r="B3425" s="4"/>
      <c r="C3425" s="4"/>
      <c r="D3425" s="4"/>
      <c r="E3425" s="4"/>
      <c r="F3425" s="4"/>
      <c r="G3425" s="4"/>
      <c r="H3425" s="4"/>
      <c r="I3425" s="4"/>
      <c r="J3425" s="4"/>
      <c r="K3425" s="4"/>
      <c r="L3425" s="4"/>
      <c r="M3425" s="4"/>
      <c r="N3425" s="4"/>
    </row>
    <row r="3426" spans="1:14" ht="12.75" customHeight="1" x14ac:dyDescent="0.2">
      <c r="A3426" s="398" t="s">
        <v>929</v>
      </c>
      <c r="B3426" s="271"/>
      <c r="C3426" s="271"/>
      <c r="D3426" s="271"/>
      <c r="E3426" s="271"/>
      <c r="F3426" s="271"/>
      <c r="G3426" s="271"/>
      <c r="H3426" s="271"/>
      <c r="I3426" s="271"/>
      <c r="J3426" s="271"/>
      <c r="K3426" s="271"/>
      <c r="L3426" s="271"/>
      <c r="M3426" s="271"/>
      <c r="N3426" s="273"/>
    </row>
    <row r="3427" spans="1:14" ht="12.75" customHeight="1" x14ac:dyDescent="0.2">
      <c r="A3427" s="396" t="s">
        <v>76</v>
      </c>
      <c r="B3427" s="271"/>
      <c r="C3427" s="271"/>
      <c r="D3427" s="271"/>
      <c r="E3427" s="271"/>
      <c r="F3427" s="271"/>
      <c r="G3427" s="273"/>
      <c r="H3427" s="88" t="s">
        <v>77</v>
      </c>
      <c r="I3427" s="399" t="s">
        <v>920</v>
      </c>
      <c r="J3427" s="273"/>
      <c r="K3427" s="399" t="s">
        <v>453</v>
      </c>
      <c r="L3427" s="273"/>
      <c r="M3427" s="399" t="s">
        <v>921</v>
      </c>
      <c r="N3427" s="273"/>
    </row>
    <row r="3428" spans="1:14" ht="12.75" customHeight="1" x14ac:dyDescent="0.2">
      <c r="A3428" s="400" t="s">
        <v>966</v>
      </c>
      <c r="B3428" s="271"/>
      <c r="C3428" s="271"/>
      <c r="D3428" s="271"/>
      <c r="E3428" s="271"/>
      <c r="F3428" s="271"/>
      <c r="G3428" s="273"/>
      <c r="H3428" s="29"/>
      <c r="I3428" s="394"/>
      <c r="J3428" s="273"/>
      <c r="K3428" s="417"/>
      <c r="L3428" s="273"/>
      <c r="M3428" s="394">
        <f t="shared" ref="M3428:M3432" si="469">IF(A3428="","",I3428*K3428)</f>
        <v>0</v>
      </c>
      <c r="N3428" s="273"/>
    </row>
    <row r="3429" spans="1:14" ht="12.75" customHeight="1" x14ac:dyDescent="0.2">
      <c r="A3429" s="403"/>
      <c r="B3429" s="271"/>
      <c r="C3429" s="271"/>
      <c r="D3429" s="271"/>
      <c r="E3429" s="271"/>
      <c r="F3429" s="271"/>
      <c r="G3429" s="273"/>
      <c r="H3429" s="29"/>
      <c r="I3429" s="394"/>
      <c r="J3429" s="273"/>
      <c r="K3429" s="404"/>
      <c r="L3429" s="273"/>
      <c r="M3429" s="394" t="str">
        <f t="shared" si="469"/>
        <v/>
      </c>
      <c r="N3429" s="273"/>
    </row>
    <row r="3430" spans="1:14" ht="12.75" customHeight="1" x14ac:dyDescent="0.2">
      <c r="A3430" s="400"/>
      <c r="B3430" s="271"/>
      <c r="C3430" s="271"/>
      <c r="D3430" s="271"/>
      <c r="E3430" s="271"/>
      <c r="F3430" s="271"/>
      <c r="G3430" s="273"/>
      <c r="H3430" s="29"/>
      <c r="I3430" s="394"/>
      <c r="J3430" s="273"/>
      <c r="K3430" s="395"/>
      <c r="L3430" s="273"/>
      <c r="M3430" s="394" t="str">
        <f t="shared" si="469"/>
        <v/>
      </c>
      <c r="N3430" s="273"/>
    </row>
    <row r="3431" spans="1:14" ht="12.75" customHeight="1" x14ac:dyDescent="0.2">
      <c r="A3431" s="400"/>
      <c r="B3431" s="271"/>
      <c r="C3431" s="271"/>
      <c r="D3431" s="271"/>
      <c r="E3431" s="271"/>
      <c r="F3431" s="271"/>
      <c r="G3431" s="273"/>
      <c r="H3431" s="29"/>
      <c r="I3431" s="394"/>
      <c r="J3431" s="273"/>
      <c r="K3431" s="395"/>
      <c r="L3431" s="273"/>
      <c r="M3431" s="394" t="str">
        <f t="shared" si="469"/>
        <v/>
      </c>
      <c r="N3431" s="273"/>
    </row>
    <row r="3432" spans="1:14" ht="12.75" customHeight="1" x14ac:dyDescent="0.2">
      <c r="A3432" s="400"/>
      <c r="B3432" s="271"/>
      <c r="C3432" s="271"/>
      <c r="D3432" s="271"/>
      <c r="E3432" s="271"/>
      <c r="F3432" s="271"/>
      <c r="G3432" s="273"/>
      <c r="H3432" s="29"/>
      <c r="I3432" s="394"/>
      <c r="J3432" s="273"/>
      <c r="K3432" s="395"/>
      <c r="L3432" s="273"/>
      <c r="M3432" s="394" t="str">
        <f t="shared" si="469"/>
        <v/>
      </c>
      <c r="N3432" s="273"/>
    </row>
    <row r="3433" spans="1:14" ht="12.75" customHeight="1" x14ac:dyDescent="0.25">
      <c r="A3433" s="4"/>
      <c r="B3433" s="4"/>
      <c r="C3433" s="4"/>
      <c r="D3433" s="4"/>
      <c r="E3433" s="4"/>
      <c r="F3433" s="4"/>
      <c r="G3433" s="4"/>
      <c r="H3433" s="4"/>
      <c r="I3433" s="4"/>
      <c r="J3433" s="4"/>
      <c r="K3433" s="396" t="s">
        <v>444</v>
      </c>
      <c r="L3433" s="273"/>
      <c r="M3433" s="394">
        <f>SUM(M3428:N3432)</f>
        <v>0</v>
      </c>
      <c r="N3433" s="273"/>
    </row>
    <row r="3434" spans="1:14" ht="12.75" customHeight="1" x14ac:dyDescent="0.25">
      <c r="A3434" s="4"/>
      <c r="B3434" s="4"/>
      <c r="C3434" s="4"/>
      <c r="D3434" s="4"/>
      <c r="E3434" s="4"/>
      <c r="F3434" s="4"/>
      <c r="G3434" s="4"/>
      <c r="H3434" s="4"/>
      <c r="I3434" s="4"/>
      <c r="J3434" s="4"/>
      <c r="K3434" s="4"/>
      <c r="L3434" s="4"/>
      <c r="M3434" s="4"/>
      <c r="N3434" s="4"/>
    </row>
    <row r="3435" spans="1:14" ht="12.75" customHeight="1" x14ac:dyDescent="0.2">
      <c r="A3435" s="398" t="s">
        <v>931</v>
      </c>
      <c r="B3435" s="271"/>
      <c r="C3435" s="271"/>
      <c r="D3435" s="271"/>
      <c r="E3435" s="271"/>
      <c r="F3435" s="271"/>
      <c r="G3435" s="271"/>
      <c r="H3435" s="271"/>
      <c r="I3435" s="271"/>
      <c r="J3435" s="271"/>
      <c r="K3435" s="271"/>
      <c r="L3435" s="271"/>
      <c r="M3435" s="271"/>
      <c r="N3435" s="273"/>
    </row>
    <row r="3436" spans="1:14" ht="12.75" customHeight="1" x14ac:dyDescent="0.2">
      <c r="A3436" s="396" t="s">
        <v>76</v>
      </c>
      <c r="B3436" s="271"/>
      <c r="C3436" s="271"/>
      <c r="D3436" s="271"/>
      <c r="E3436" s="271"/>
      <c r="F3436" s="271"/>
      <c r="G3436" s="273"/>
      <c r="H3436" s="88" t="s">
        <v>77</v>
      </c>
      <c r="I3436" s="399" t="s">
        <v>920</v>
      </c>
      <c r="J3436" s="273"/>
      <c r="K3436" s="90" t="s">
        <v>514</v>
      </c>
      <c r="L3436" s="91" t="s">
        <v>932</v>
      </c>
      <c r="M3436" s="399" t="s">
        <v>921</v>
      </c>
      <c r="N3436" s="273"/>
    </row>
    <row r="3437" spans="1:14" ht="12.75" customHeight="1" x14ac:dyDescent="0.25">
      <c r="A3437" s="393" t="s">
        <v>986</v>
      </c>
      <c r="B3437" s="271"/>
      <c r="C3437" s="271"/>
      <c r="D3437" s="271"/>
      <c r="E3437" s="271"/>
      <c r="F3437" s="271"/>
      <c r="G3437" s="273"/>
      <c r="H3437" s="29" t="str">
        <f>IF(A3437="","",VLOOKUP(A3437,AA_Cuadrillas,4,FALSE))</f>
        <v>Cuadrilla</v>
      </c>
      <c r="I3437" s="394">
        <f>IF(A3437="","",VLOOKUP(A3437,AA_Cuadrillas,5,FALSE))</f>
        <v>186763</v>
      </c>
      <c r="J3437" s="273"/>
      <c r="K3437" s="9">
        <f>IF(A3437="","",F.P!$I$2)</f>
        <v>1.88</v>
      </c>
      <c r="L3437" s="97">
        <v>0.25</v>
      </c>
      <c r="M3437" s="394">
        <f t="shared" ref="M3437:M3441" si="470">IF(A3437="","",I3437*K3437*L3437)</f>
        <v>87778.61</v>
      </c>
      <c r="N3437" s="273"/>
    </row>
    <row r="3438" spans="1:14" ht="12.75" customHeight="1" x14ac:dyDescent="0.25">
      <c r="A3438" s="393"/>
      <c r="B3438" s="271"/>
      <c r="C3438" s="271"/>
      <c r="D3438" s="271"/>
      <c r="E3438" s="271"/>
      <c r="F3438" s="271"/>
      <c r="G3438" s="273"/>
      <c r="H3438" s="29" t="str">
        <f>IF(A3438="","",VLOOKUP(A3438,AA_Cuadrillas,4,FALSE))</f>
        <v/>
      </c>
      <c r="I3438" s="394" t="str">
        <f>IF(A3438="","",VLOOKUP(A3438,AA_Cuadrillas,5,FALSE))</f>
        <v/>
      </c>
      <c r="J3438" s="273"/>
      <c r="K3438" s="9" t="str">
        <f>IF(A3438="","",F.P!$I$2)</f>
        <v/>
      </c>
      <c r="L3438" s="9"/>
      <c r="M3438" s="394" t="str">
        <f t="shared" si="470"/>
        <v/>
      </c>
      <c r="N3438" s="273"/>
    </row>
    <row r="3439" spans="1:14" ht="12.75" customHeight="1" x14ac:dyDescent="0.25">
      <c r="A3439" s="393"/>
      <c r="B3439" s="271"/>
      <c r="C3439" s="271"/>
      <c r="D3439" s="271"/>
      <c r="E3439" s="271"/>
      <c r="F3439" s="271"/>
      <c r="G3439" s="273"/>
      <c r="H3439" s="29" t="str">
        <f>IF(A3439="","",VLOOKUP(A3439,AA_Cuadrillas,4,FALSE))</f>
        <v/>
      </c>
      <c r="I3439" s="394" t="str">
        <f>IF(A3439="","",VLOOKUP(A3439,AA_Cuadrillas,5,FALSE))</f>
        <v/>
      </c>
      <c r="J3439" s="273"/>
      <c r="K3439" s="9" t="str">
        <f>IF(A3439="","",F.P!$I$2)</f>
        <v/>
      </c>
      <c r="L3439" s="37"/>
      <c r="M3439" s="394" t="str">
        <f t="shared" si="470"/>
        <v/>
      </c>
      <c r="N3439" s="273"/>
    </row>
    <row r="3440" spans="1:14" ht="12.75" customHeight="1" x14ac:dyDescent="0.25">
      <c r="A3440" s="393"/>
      <c r="B3440" s="271"/>
      <c r="C3440" s="271"/>
      <c r="D3440" s="271"/>
      <c r="E3440" s="271"/>
      <c r="F3440" s="271"/>
      <c r="G3440" s="273"/>
      <c r="H3440" s="29" t="str">
        <f>IF(A3440="","",VLOOKUP(A3440,AA_Cuadrillas,4,FALSE))</f>
        <v/>
      </c>
      <c r="I3440" s="394" t="str">
        <f>IF(A3440="","",VLOOKUP(A3440,AA_Cuadrillas,5,FALSE))</f>
        <v/>
      </c>
      <c r="J3440" s="273"/>
      <c r="K3440" s="9" t="str">
        <f>IF(A3440="","",F.P!$I$2)</f>
        <v/>
      </c>
      <c r="L3440" s="37"/>
      <c r="M3440" s="394" t="str">
        <f t="shared" si="470"/>
        <v/>
      </c>
      <c r="N3440" s="273"/>
    </row>
    <row r="3441" spans="1:14" ht="12.75" customHeight="1" x14ac:dyDescent="0.25">
      <c r="A3441" s="393"/>
      <c r="B3441" s="271"/>
      <c r="C3441" s="271"/>
      <c r="D3441" s="271"/>
      <c r="E3441" s="271"/>
      <c r="F3441" s="271"/>
      <c r="G3441" s="273"/>
      <c r="H3441" s="29" t="str">
        <f>IF(A3441="","",VLOOKUP(A3441,AA_Cuadrillas,4,FALSE))</f>
        <v/>
      </c>
      <c r="I3441" s="394" t="str">
        <f>IF(A3441="","",VLOOKUP(A3441,AA_Cuadrillas,5,FALSE))</f>
        <v/>
      </c>
      <c r="J3441" s="273"/>
      <c r="K3441" s="9" t="str">
        <f>IF(A3441="","",F.P!$I$2)</f>
        <v/>
      </c>
      <c r="L3441" s="37"/>
      <c r="M3441" s="394" t="str">
        <f t="shared" si="470"/>
        <v/>
      </c>
      <c r="N3441" s="273"/>
    </row>
    <row r="3442" spans="1:14" ht="12.75" customHeight="1" x14ac:dyDescent="0.25">
      <c r="A3442" s="4"/>
      <c r="B3442" s="4"/>
      <c r="C3442" s="4"/>
      <c r="D3442" s="4"/>
      <c r="E3442" s="4"/>
      <c r="F3442" s="4"/>
      <c r="G3442" s="4"/>
      <c r="H3442" s="4"/>
      <c r="I3442" s="4"/>
      <c r="J3442" s="4"/>
      <c r="K3442" s="396" t="s">
        <v>444</v>
      </c>
      <c r="L3442" s="273"/>
      <c r="M3442" s="394">
        <f>SUM(M3437:N3441)</f>
        <v>87778.61</v>
      </c>
      <c r="N3442" s="273"/>
    </row>
    <row r="3443" spans="1:14" ht="12.75" customHeight="1" x14ac:dyDescent="0.2"/>
    <row r="3444" spans="1:14" ht="12.75" customHeight="1" x14ac:dyDescent="0.2">
      <c r="A3444" s="407" t="s">
        <v>1133</v>
      </c>
      <c r="B3444" s="275"/>
      <c r="C3444" s="275"/>
      <c r="D3444" s="275"/>
      <c r="E3444" s="275"/>
      <c r="F3444" s="275"/>
      <c r="G3444" s="275"/>
      <c r="H3444" s="275"/>
      <c r="I3444" s="275"/>
      <c r="J3444" s="275"/>
      <c r="K3444" s="275"/>
      <c r="L3444" s="275"/>
      <c r="M3444" s="275"/>
      <c r="N3444" s="276"/>
    </row>
    <row r="3445" spans="1:14" ht="12.75" customHeight="1" x14ac:dyDescent="0.2">
      <c r="A3445" s="277"/>
      <c r="B3445" s="278"/>
      <c r="C3445" s="278"/>
      <c r="D3445" s="278"/>
      <c r="E3445" s="278"/>
      <c r="F3445" s="278"/>
      <c r="G3445" s="278"/>
      <c r="H3445" s="278"/>
      <c r="I3445" s="278"/>
      <c r="J3445" s="278"/>
      <c r="K3445" s="278"/>
      <c r="L3445" s="278"/>
      <c r="M3445" s="278"/>
      <c r="N3445" s="279"/>
    </row>
    <row r="3446" spans="1:14" ht="12.75" customHeight="1" x14ac:dyDescent="0.2">
      <c r="A3446" s="75"/>
      <c r="B3446" s="75"/>
      <c r="C3446" s="75"/>
      <c r="D3446" s="75"/>
      <c r="E3446" s="75"/>
      <c r="F3446" s="75"/>
      <c r="G3446" s="75"/>
      <c r="H3446" s="75"/>
      <c r="I3446" s="75"/>
      <c r="J3446" s="75"/>
      <c r="K3446" s="75"/>
      <c r="L3446" s="75"/>
      <c r="M3446" s="75"/>
      <c r="N3446" s="75"/>
    </row>
    <row r="3447" spans="1:14" ht="12.75" customHeight="1" x14ac:dyDescent="0.3">
      <c r="A3447" s="79" t="s">
        <v>694</v>
      </c>
      <c r="B3447" s="80" t="str">
        <f>A3444</f>
        <v>SUMINISTRO E INSTALACIÓN DE VÁLVULA COMPUERTA CON VOLANTE Ø2" EN HIERRO DUCTIL</v>
      </c>
      <c r="C3447" s="81" t="s">
        <v>916</v>
      </c>
      <c r="D3447" s="82" t="s">
        <v>999</v>
      </c>
      <c r="E3447" s="83" t="s">
        <v>445</v>
      </c>
      <c r="F3447" s="86">
        <f>H3447+J3447+L3447+N3447</f>
        <v>686890.054</v>
      </c>
      <c r="G3447" s="83" t="s">
        <v>607</v>
      </c>
      <c r="H3447" s="86">
        <f>M3457</f>
        <v>564000</v>
      </c>
      <c r="I3447" s="83" t="s">
        <v>918</v>
      </c>
      <c r="J3447" s="86">
        <f>M3466</f>
        <v>5851.9073333333336</v>
      </c>
      <c r="K3447" s="83" t="s">
        <v>609</v>
      </c>
      <c r="L3447" s="86">
        <f>M3475</f>
        <v>0</v>
      </c>
      <c r="M3447" s="83" t="s">
        <v>610</v>
      </c>
      <c r="N3447" s="86">
        <f>M3484</f>
        <v>117038.14666666667</v>
      </c>
    </row>
    <row r="3448" spans="1:14" ht="12.75" customHeight="1" x14ac:dyDescent="0.25">
      <c r="A3448" s="87"/>
      <c r="B3448" s="87"/>
      <c r="C3448" s="87"/>
      <c r="D3448" s="87"/>
      <c r="E3448" s="87"/>
      <c r="F3448" s="87"/>
      <c r="G3448" s="87"/>
      <c r="J3448" s="87"/>
      <c r="K3448" s="215" t="s">
        <v>3217</v>
      </c>
      <c r="L3448" s="215">
        <f>+F3447*presup!$O$5</f>
        <v>892957.07020000007</v>
      </c>
      <c r="M3448" s="87"/>
      <c r="N3448" s="87"/>
    </row>
    <row r="3449" spans="1:14" ht="12.75" customHeight="1" x14ac:dyDescent="0.2">
      <c r="A3449" s="398" t="s">
        <v>919</v>
      </c>
      <c r="B3449" s="271"/>
      <c r="C3449" s="271"/>
      <c r="D3449" s="271"/>
      <c r="E3449" s="271"/>
      <c r="F3449" s="271"/>
      <c r="G3449" s="271"/>
      <c r="H3449" s="271"/>
      <c r="I3449" s="271"/>
      <c r="J3449" s="271"/>
      <c r="K3449" s="271"/>
      <c r="L3449" s="271"/>
      <c r="M3449" s="271"/>
      <c r="N3449" s="273"/>
    </row>
    <row r="3450" spans="1:14" ht="12.75" customHeight="1" x14ac:dyDescent="0.2">
      <c r="A3450" s="396" t="s">
        <v>76</v>
      </c>
      <c r="B3450" s="271"/>
      <c r="C3450" s="271"/>
      <c r="D3450" s="271"/>
      <c r="E3450" s="271"/>
      <c r="F3450" s="271"/>
      <c r="G3450" s="273"/>
      <c r="H3450" s="88" t="s">
        <v>77</v>
      </c>
      <c r="I3450" s="399" t="s">
        <v>920</v>
      </c>
      <c r="J3450" s="273"/>
      <c r="K3450" s="399" t="s">
        <v>453</v>
      </c>
      <c r="L3450" s="273"/>
      <c r="M3450" s="399" t="s">
        <v>921</v>
      </c>
      <c r="N3450" s="273"/>
    </row>
    <row r="3451" spans="1:14" ht="12.75" customHeight="1" x14ac:dyDescent="0.2">
      <c r="A3451" s="403" t="s">
        <v>1134</v>
      </c>
      <c r="B3451" s="271"/>
      <c r="C3451" s="271"/>
      <c r="D3451" s="271"/>
      <c r="E3451" s="271"/>
      <c r="F3451" s="271"/>
      <c r="G3451" s="273"/>
      <c r="H3451" s="29" t="str">
        <f t="shared" ref="H3451:H3456" si="471">IF(A3451="","",VLOOKUP(A3451,AA_Materiales,7,FALSE))</f>
        <v>Unidad</v>
      </c>
      <c r="I3451" s="394">
        <f t="shared" ref="I3451:I3456" si="472">IF(A3451="","",VLOOKUP(A3451,AA_Materiales,8,FALSE))</f>
        <v>564000</v>
      </c>
      <c r="J3451" s="273"/>
      <c r="K3451" s="395">
        <v>1</v>
      </c>
      <c r="L3451" s="273"/>
      <c r="M3451" s="394">
        <f t="shared" ref="M3451:M3456" si="473">IF(A3451="","",I3451*K3451)</f>
        <v>564000</v>
      </c>
      <c r="N3451" s="273"/>
    </row>
    <row r="3452" spans="1:14" ht="12.75" customHeight="1" x14ac:dyDescent="0.2">
      <c r="A3452" s="403"/>
      <c r="B3452" s="271"/>
      <c r="C3452" s="271"/>
      <c r="D3452" s="271"/>
      <c r="E3452" s="271"/>
      <c r="F3452" s="271"/>
      <c r="G3452" s="273"/>
      <c r="H3452" s="29" t="str">
        <f t="shared" si="471"/>
        <v/>
      </c>
      <c r="I3452" s="394" t="str">
        <f t="shared" si="472"/>
        <v/>
      </c>
      <c r="J3452" s="273"/>
      <c r="K3452" s="395"/>
      <c r="L3452" s="273"/>
      <c r="M3452" s="394" t="str">
        <f t="shared" si="473"/>
        <v/>
      </c>
      <c r="N3452" s="273"/>
    </row>
    <row r="3453" spans="1:14" ht="12.75" customHeight="1" x14ac:dyDescent="0.2">
      <c r="A3453" s="403"/>
      <c r="B3453" s="271"/>
      <c r="C3453" s="271"/>
      <c r="D3453" s="271"/>
      <c r="E3453" s="271"/>
      <c r="F3453" s="271"/>
      <c r="G3453" s="273"/>
      <c r="H3453" s="29" t="str">
        <f t="shared" si="471"/>
        <v/>
      </c>
      <c r="I3453" s="394" t="str">
        <f t="shared" si="472"/>
        <v/>
      </c>
      <c r="J3453" s="273"/>
      <c r="K3453" s="395"/>
      <c r="L3453" s="273"/>
      <c r="M3453" s="394" t="str">
        <f t="shared" si="473"/>
        <v/>
      </c>
      <c r="N3453" s="273"/>
    </row>
    <row r="3454" spans="1:14" ht="12.75" customHeight="1" x14ac:dyDescent="0.2">
      <c r="A3454" s="403"/>
      <c r="B3454" s="271"/>
      <c r="C3454" s="271"/>
      <c r="D3454" s="271"/>
      <c r="E3454" s="271"/>
      <c r="F3454" s="271"/>
      <c r="G3454" s="273"/>
      <c r="H3454" s="29" t="str">
        <f t="shared" si="471"/>
        <v/>
      </c>
      <c r="I3454" s="394" t="str">
        <f t="shared" si="472"/>
        <v/>
      </c>
      <c r="J3454" s="273"/>
      <c r="K3454" s="395"/>
      <c r="L3454" s="273"/>
      <c r="M3454" s="394" t="str">
        <f t="shared" si="473"/>
        <v/>
      </c>
      <c r="N3454" s="273"/>
    </row>
    <row r="3455" spans="1:14" ht="12.75" customHeight="1" x14ac:dyDescent="0.2">
      <c r="A3455" s="403"/>
      <c r="B3455" s="271"/>
      <c r="C3455" s="271"/>
      <c r="D3455" s="271"/>
      <c r="E3455" s="271"/>
      <c r="F3455" s="271"/>
      <c r="G3455" s="273"/>
      <c r="H3455" s="29" t="str">
        <f t="shared" si="471"/>
        <v/>
      </c>
      <c r="I3455" s="394" t="str">
        <f t="shared" si="472"/>
        <v/>
      </c>
      <c r="J3455" s="273"/>
      <c r="K3455" s="395"/>
      <c r="L3455" s="273"/>
      <c r="M3455" s="394" t="str">
        <f t="shared" si="473"/>
        <v/>
      </c>
      <c r="N3455" s="273"/>
    </row>
    <row r="3456" spans="1:14" ht="12.75" customHeight="1" x14ac:dyDescent="0.2">
      <c r="A3456" s="403"/>
      <c r="B3456" s="271"/>
      <c r="C3456" s="271"/>
      <c r="D3456" s="271"/>
      <c r="E3456" s="271"/>
      <c r="F3456" s="271"/>
      <c r="G3456" s="273"/>
      <c r="H3456" s="29" t="str">
        <f t="shared" si="471"/>
        <v/>
      </c>
      <c r="I3456" s="394" t="str">
        <f t="shared" si="472"/>
        <v/>
      </c>
      <c r="J3456" s="273"/>
      <c r="K3456" s="395"/>
      <c r="L3456" s="273"/>
      <c r="M3456" s="394" t="str">
        <f t="shared" si="473"/>
        <v/>
      </c>
      <c r="N3456" s="273"/>
    </row>
    <row r="3457" spans="1:14" ht="12.75" customHeight="1" x14ac:dyDescent="0.25">
      <c r="A3457" s="4"/>
      <c r="B3457" s="4"/>
      <c r="C3457" s="4"/>
      <c r="D3457" s="4"/>
      <c r="E3457" s="4"/>
      <c r="F3457" s="4"/>
      <c r="G3457" s="4"/>
      <c r="H3457" s="4"/>
      <c r="I3457" s="4"/>
      <c r="J3457" s="4"/>
      <c r="K3457" s="396" t="s">
        <v>444</v>
      </c>
      <c r="L3457" s="273"/>
      <c r="M3457" s="394">
        <f>SUM(M3451:N3456)</f>
        <v>564000</v>
      </c>
      <c r="N3457" s="273"/>
    </row>
    <row r="3458" spans="1:14" ht="12.75" customHeight="1" x14ac:dyDescent="0.25">
      <c r="A3458" s="4"/>
      <c r="B3458" s="4"/>
      <c r="C3458" s="4"/>
      <c r="D3458" s="4"/>
      <c r="E3458" s="4"/>
      <c r="F3458" s="4"/>
      <c r="G3458" s="4"/>
      <c r="H3458" s="4"/>
      <c r="I3458" s="4"/>
      <c r="J3458" s="4"/>
      <c r="K3458" s="4"/>
      <c r="L3458" s="4"/>
      <c r="M3458" s="4"/>
      <c r="N3458" s="4"/>
    </row>
    <row r="3459" spans="1:14" ht="12.75" customHeight="1" x14ac:dyDescent="0.2">
      <c r="A3459" s="398" t="s">
        <v>926</v>
      </c>
      <c r="B3459" s="271"/>
      <c r="C3459" s="271"/>
      <c r="D3459" s="271"/>
      <c r="E3459" s="271"/>
      <c r="F3459" s="271"/>
      <c r="G3459" s="271"/>
      <c r="H3459" s="271"/>
      <c r="I3459" s="271"/>
      <c r="J3459" s="271"/>
      <c r="K3459" s="271"/>
      <c r="L3459" s="271"/>
      <c r="M3459" s="271"/>
      <c r="N3459" s="273"/>
    </row>
    <row r="3460" spans="1:14" ht="12.75" customHeight="1" x14ac:dyDescent="0.2">
      <c r="A3460" s="396" t="s">
        <v>76</v>
      </c>
      <c r="B3460" s="271"/>
      <c r="C3460" s="271"/>
      <c r="D3460" s="271"/>
      <c r="E3460" s="271"/>
      <c r="F3460" s="271"/>
      <c r="G3460" s="273"/>
      <c r="H3460" s="88" t="s">
        <v>77</v>
      </c>
      <c r="I3460" s="399" t="s">
        <v>920</v>
      </c>
      <c r="J3460" s="273"/>
      <c r="K3460" s="399" t="s">
        <v>453</v>
      </c>
      <c r="L3460" s="273"/>
      <c r="M3460" s="399" t="s">
        <v>921</v>
      </c>
      <c r="N3460" s="273"/>
    </row>
    <row r="3461" spans="1:14" ht="12.75" customHeight="1" x14ac:dyDescent="0.2">
      <c r="A3461" s="400" t="s">
        <v>927</v>
      </c>
      <c r="B3461" s="271"/>
      <c r="C3461" s="271"/>
      <c r="D3461" s="271"/>
      <c r="E3461" s="271"/>
      <c r="F3461" s="271"/>
      <c r="G3461" s="273"/>
      <c r="H3461" s="29" t="str">
        <f>IF(A3461="","",VLOOKUP(A3461,AA_Equipos,7,FALSE))</f>
        <v>% M.O.</v>
      </c>
      <c r="I3461" s="394">
        <f>+M3484</f>
        <v>117038.14666666667</v>
      </c>
      <c r="J3461" s="273"/>
      <c r="K3461" s="404">
        <v>0.05</v>
      </c>
      <c r="L3461" s="273"/>
      <c r="M3461" s="394">
        <f t="shared" ref="M3461:M3465" si="474">IF(A3461="","",I3461*K3461)</f>
        <v>5851.9073333333336</v>
      </c>
      <c r="N3461" s="273"/>
    </row>
    <row r="3462" spans="1:14" ht="12.75" customHeight="1" x14ac:dyDescent="0.2">
      <c r="A3462" s="403"/>
      <c r="B3462" s="271"/>
      <c r="C3462" s="271"/>
      <c r="D3462" s="271"/>
      <c r="E3462" s="271"/>
      <c r="F3462" s="271"/>
      <c r="G3462" s="273"/>
      <c r="H3462" s="29" t="str">
        <f>IF(A3462="","",VLOOKUP(A3462,AA_Equipos,7,FALSE))</f>
        <v/>
      </c>
      <c r="I3462" s="394" t="str">
        <f>IF(A3462="","",VLOOKUP(A3462,AA_Equipos,8,FALSE))</f>
        <v/>
      </c>
      <c r="J3462" s="273"/>
      <c r="K3462" s="402"/>
      <c r="L3462" s="273"/>
      <c r="M3462" s="394" t="str">
        <f t="shared" si="474"/>
        <v/>
      </c>
      <c r="N3462" s="273"/>
    </row>
    <row r="3463" spans="1:14" ht="12.75" customHeight="1" x14ac:dyDescent="0.2">
      <c r="A3463" s="400"/>
      <c r="B3463" s="271"/>
      <c r="C3463" s="271"/>
      <c r="D3463" s="271"/>
      <c r="E3463" s="271"/>
      <c r="F3463" s="271"/>
      <c r="G3463" s="273"/>
      <c r="H3463" s="29" t="str">
        <f>IF(A3463="","",VLOOKUP(A3463,AA_Equipos,7,FALSE))</f>
        <v/>
      </c>
      <c r="I3463" s="394" t="str">
        <f>IF(A3463="","",VLOOKUP(A3463,AA_Equipos,8,FALSE))</f>
        <v/>
      </c>
      <c r="J3463" s="273"/>
      <c r="K3463" s="401"/>
      <c r="L3463" s="273"/>
      <c r="M3463" s="394" t="str">
        <f t="shared" si="474"/>
        <v/>
      </c>
      <c r="N3463" s="273"/>
    </row>
    <row r="3464" spans="1:14" ht="12.75" customHeight="1" x14ac:dyDescent="0.2">
      <c r="A3464" s="400"/>
      <c r="B3464" s="271"/>
      <c r="C3464" s="271"/>
      <c r="D3464" s="271"/>
      <c r="E3464" s="271"/>
      <c r="F3464" s="271"/>
      <c r="G3464" s="273"/>
      <c r="H3464" s="29" t="str">
        <f>IF(A3464="","",VLOOKUP(A3464,AA_Equipos,7,FALSE))</f>
        <v/>
      </c>
      <c r="I3464" s="394" t="str">
        <f>IF(A3464="","",VLOOKUP(A3464,AA_Equipos,8,FALSE))</f>
        <v/>
      </c>
      <c r="J3464" s="273"/>
      <c r="K3464" s="395"/>
      <c r="L3464" s="273"/>
      <c r="M3464" s="394" t="str">
        <f t="shared" si="474"/>
        <v/>
      </c>
      <c r="N3464" s="273"/>
    </row>
    <row r="3465" spans="1:14" ht="12.75" customHeight="1" x14ac:dyDescent="0.2">
      <c r="A3465" s="400"/>
      <c r="B3465" s="271"/>
      <c r="C3465" s="271"/>
      <c r="D3465" s="271"/>
      <c r="E3465" s="271"/>
      <c r="F3465" s="271"/>
      <c r="G3465" s="273"/>
      <c r="H3465" s="29" t="str">
        <f>IF(A3465="","",VLOOKUP(A3465,AA_Equipos,7,FALSE))</f>
        <v/>
      </c>
      <c r="I3465" s="394" t="str">
        <f>IF(A3465="","",VLOOKUP(A3465,AA_Equipos,8,FALSE))</f>
        <v/>
      </c>
      <c r="J3465" s="273"/>
      <c r="K3465" s="395"/>
      <c r="L3465" s="273"/>
      <c r="M3465" s="394" t="str">
        <f t="shared" si="474"/>
        <v/>
      </c>
      <c r="N3465" s="273"/>
    </row>
    <row r="3466" spans="1:14" ht="12.75" customHeight="1" x14ac:dyDescent="0.25">
      <c r="A3466" s="4"/>
      <c r="B3466" s="4"/>
      <c r="C3466" s="4"/>
      <c r="D3466" s="4"/>
      <c r="E3466" s="4"/>
      <c r="F3466" s="4"/>
      <c r="G3466" s="4"/>
      <c r="H3466" s="4"/>
      <c r="I3466" s="4"/>
      <c r="J3466" s="4"/>
      <c r="K3466" s="396" t="s">
        <v>444</v>
      </c>
      <c r="L3466" s="273"/>
      <c r="M3466" s="394">
        <f>SUM(M3461:N3465)</f>
        <v>5851.9073333333336</v>
      </c>
      <c r="N3466" s="273"/>
    </row>
    <row r="3467" spans="1:14" ht="12.75" customHeight="1" x14ac:dyDescent="0.25">
      <c r="A3467" s="4"/>
      <c r="B3467" s="4"/>
      <c r="C3467" s="4"/>
      <c r="D3467" s="4"/>
      <c r="E3467" s="4"/>
      <c r="F3467" s="4"/>
      <c r="G3467" s="4"/>
      <c r="H3467" s="4"/>
      <c r="I3467" s="4"/>
      <c r="J3467" s="4"/>
      <c r="K3467" s="4"/>
      <c r="L3467" s="4"/>
      <c r="M3467" s="4"/>
      <c r="N3467" s="4"/>
    </row>
    <row r="3468" spans="1:14" ht="12.75" customHeight="1" x14ac:dyDescent="0.2">
      <c r="A3468" s="398" t="s">
        <v>929</v>
      </c>
      <c r="B3468" s="271"/>
      <c r="C3468" s="271"/>
      <c r="D3468" s="271"/>
      <c r="E3468" s="271"/>
      <c r="F3468" s="271"/>
      <c r="G3468" s="271"/>
      <c r="H3468" s="271"/>
      <c r="I3468" s="271"/>
      <c r="J3468" s="271"/>
      <c r="K3468" s="271"/>
      <c r="L3468" s="271"/>
      <c r="M3468" s="271"/>
      <c r="N3468" s="273"/>
    </row>
    <row r="3469" spans="1:14" ht="12.75" customHeight="1" x14ac:dyDescent="0.2">
      <c r="A3469" s="396" t="s">
        <v>76</v>
      </c>
      <c r="B3469" s="271"/>
      <c r="C3469" s="271"/>
      <c r="D3469" s="271"/>
      <c r="E3469" s="271"/>
      <c r="F3469" s="271"/>
      <c r="G3469" s="273"/>
      <c r="H3469" s="88" t="s">
        <v>77</v>
      </c>
      <c r="I3469" s="399" t="s">
        <v>920</v>
      </c>
      <c r="J3469" s="273"/>
      <c r="K3469" s="399" t="s">
        <v>453</v>
      </c>
      <c r="L3469" s="273"/>
      <c r="M3469" s="399" t="s">
        <v>921</v>
      </c>
      <c r="N3469" s="273"/>
    </row>
    <row r="3470" spans="1:14" ht="12.75" customHeight="1" x14ac:dyDescent="0.2">
      <c r="A3470" s="400"/>
      <c r="B3470" s="271"/>
      <c r="C3470" s="271"/>
      <c r="D3470" s="271"/>
      <c r="E3470" s="271"/>
      <c r="F3470" s="271"/>
      <c r="G3470" s="273"/>
      <c r="H3470" s="29"/>
      <c r="I3470" s="394"/>
      <c r="J3470" s="273"/>
      <c r="K3470" s="404"/>
      <c r="L3470" s="273"/>
      <c r="M3470" s="394" t="str">
        <f t="shared" ref="M3470:M3474" si="475">IF(A3470="","",I3470*K3470)</f>
        <v/>
      </c>
      <c r="N3470" s="273"/>
    </row>
    <row r="3471" spans="1:14" ht="12.75" customHeight="1" x14ac:dyDescent="0.2">
      <c r="A3471" s="403"/>
      <c r="B3471" s="271"/>
      <c r="C3471" s="271"/>
      <c r="D3471" s="271"/>
      <c r="E3471" s="271"/>
      <c r="F3471" s="271"/>
      <c r="G3471" s="273"/>
      <c r="H3471" s="29"/>
      <c r="I3471" s="394"/>
      <c r="J3471" s="273"/>
      <c r="K3471" s="404"/>
      <c r="L3471" s="273"/>
      <c r="M3471" s="394" t="str">
        <f t="shared" si="475"/>
        <v/>
      </c>
      <c r="N3471" s="273"/>
    </row>
    <row r="3472" spans="1:14" ht="12.75" customHeight="1" x14ac:dyDescent="0.2">
      <c r="A3472" s="400"/>
      <c r="B3472" s="271"/>
      <c r="C3472" s="271"/>
      <c r="D3472" s="271"/>
      <c r="E3472" s="271"/>
      <c r="F3472" s="271"/>
      <c r="G3472" s="273"/>
      <c r="H3472" s="29"/>
      <c r="I3472" s="394"/>
      <c r="J3472" s="273"/>
      <c r="K3472" s="395"/>
      <c r="L3472" s="273"/>
      <c r="M3472" s="394" t="str">
        <f t="shared" si="475"/>
        <v/>
      </c>
      <c r="N3472" s="273"/>
    </row>
    <row r="3473" spans="1:15" ht="12.75" customHeight="1" x14ac:dyDescent="0.2">
      <c r="A3473" s="400"/>
      <c r="B3473" s="271"/>
      <c r="C3473" s="271"/>
      <c r="D3473" s="271"/>
      <c r="E3473" s="271"/>
      <c r="F3473" s="271"/>
      <c r="G3473" s="273"/>
      <c r="H3473" s="29"/>
      <c r="I3473" s="394"/>
      <c r="J3473" s="273"/>
      <c r="K3473" s="395"/>
      <c r="L3473" s="273"/>
      <c r="M3473" s="394" t="str">
        <f t="shared" si="475"/>
        <v/>
      </c>
      <c r="N3473" s="273"/>
    </row>
    <row r="3474" spans="1:15" ht="12.75" customHeight="1" x14ac:dyDescent="0.2">
      <c r="A3474" s="400"/>
      <c r="B3474" s="271"/>
      <c r="C3474" s="271"/>
      <c r="D3474" s="271"/>
      <c r="E3474" s="271"/>
      <c r="F3474" s="271"/>
      <c r="G3474" s="273"/>
      <c r="H3474" s="29"/>
      <c r="I3474" s="394"/>
      <c r="J3474" s="273"/>
      <c r="K3474" s="395"/>
      <c r="L3474" s="273"/>
      <c r="M3474" s="394" t="str">
        <f t="shared" si="475"/>
        <v/>
      </c>
      <c r="N3474" s="273"/>
    </row>
    <row r="3475" spans="1:15" ht="12.75" customHeight="1" x14ac:dyDescent="0.25">
      <c r="A3475" s="4"/>
      <c r="B3475" s="4"/>
      <c r="C3475" s="4"/>
      <c r="D3475" s="4"/>
      <c r="E3475" s="4"/>
      <c r="F3475" s="4"/>
      <c r="G3475" s="4"/>
      <c r="H3475" s="4"/>
      <c r="I3475" s="4"/>
      <c r="J3475" s="4"/>
      <c r="K3475" s="396" t="s">
        <v>444</v>
      </c>
      <c r="L3475" s="273"/>
      <c r="M3475" s="394">
        <f>SUM(M3470:N3474)</f>
        <v>0</v>
      </c>
      <c r="N3475" s="273"/>
    </row>
    <row r="3476" spans="1:15" ht="12.75" customHeight="1" x14ac:dyDescent="0.25">
      <c r="A3476" s="4"/>
      <c r="B3476" s="4"/>
      <c r="C3476" s="4"/>
      <c r="D3476" s="4"/>
      <c r="E3476" s="4"/>
      <c r="F3476" s="4"/>
      <c r="G3476" s="4"/>
      <c r="H3476" s="4"/>
      <c r="I3476" s="4"/>
      <c r="J3476" s="4"/>
      <c r="K3476" s="4"/>
      <c r="L3476" s="4"/>
      <c r="M3476" s="4"/>
      <c r="N3476" s="4"/>
    </row>
    <row r="3477" spans="1:15" ht="12.75" customHeight="1" x14ac:dyDescent="0.2">
      <c r="A3477" s="398" t="s">
        <v>931</v>
      </c>
      <c r="B3477" s="271"/>
      <c r="C3477" s="271"/>
      <c r="D3477" s="271"/>
      <c r="E3477" s="271"/>
      <c r="F3477" s="271"/>
      <c r="G3477" s="271"/>
      <c r="H3477" s="271"/>
      <c r="I3477" s="271"/>
      <c r="J3477" s="271"/>
      <c r="K3477" s="271"/>
      <c r="L3477" s="271"/>
      <c r="M3477" s="271"/>
      <c r="N3477" s="273"/>
    </row>
    <row r="3478" spans="1:15" ht="12.75" customHeight="1" x14ac:dyDescent="0.2">
      <c r="A3478" s="396" t="s">
        <v>76</v>
      </c>
      <c r="B3478" s="271"/>
      <c r="C3478" s="271"/>
      <c r="D3478" s="271"/>
      <c r="E3478" s="271"/>
      <c r="F3478" s="271"/>
      <c r="G3478" s="273"/>
      <c r="H3478" s="88" t="s">
        <v>77</v>
      </c>
      <c r="I3478" s="399" t="s">
        <v>920</v>
      </c>
      <c r="J3478" s="273"/>
      <c r="K3478" s="90" t="s">
        <v>514</v>
      </c>
      <c r="L3478" s="91" t="s">
        <v>932</v>
      </c>
      <c r="M3478" s="399" t="s">
        <v>921</v>
      </c>
      <c r="N3478" s="273"/>
    </row>
    <row r="3479" spans="1:15" ht="12.75" customHeight="1" x14ac:dyDescent="0.25">
      <c r="A3479" s="393" t="s">
        <v>986</v>
      </c>
      <c r="B3479" s="271"/>
      <c r="C3479" s="271"/>
      <c r="D3479" s="271"/>
      <c r="E3479" s="271"/>
      <c r="F3479" s="271"/>
      <c r="G3479" s="273"/>
      <c r="H3479" s="29" t="str">
        <f>IF(A3479="","",VLOOKUP(A3479,AA_Cuadrillas,4,FALSE))</f>
        <v>Cuadrilla</v>
      </c>
      <c r="I3479" s="394">
        <f>IF(A3479="","",VLOOKUP(A3479,AA_Cuadrillas,5,FALSE))</f>
        <v>186763</v>
      </c>
      <c r="J3479" s="273"/>
      <c r="K3479" s="9">
        <f>IF(A3479="","",F.P!$I$2)</f>
        <v>1.88</v>
      </c>
      <c r="L3479" s="97">
        <v>0.33333333333333331</v>
      </c>
      <c r="M3479" s="394">
        <f t="shared" ref="M3479:M3483" si="476">IF(A3479="","",I3479*K3479*L3479)</f>
        <v>117038.14666666667</v>
      </c>
      <c r="N3479" s="273"/>
    </row>
    <row r="3480" spans="1:15" ht="12.75" customHeight="1" x14ac:dyDescent="0.25">
      <c r="A3480" s="393"/>
      <c r="B3480" s="271"/>
      <c r="C3480" s="271"/>
      <c r="D3480" s="271"/>
      <c r="E3480" s="271"/>
      <c r="F3480" s="271"/>
      <c r="G3480" s="273"/>
      <c r="H3480" s="29" t="str">
        <f>IF(A3480="","",VLOOKUP(A3480,AA_Cuadrillas,4,FALSE))</f>
        <v/>
      </c>
      <c r="I3480" s="394" t="str">
        <f>IF(A3480="","",VLOOKUP(A3480,AA_Cuadrillas,5,FALSE))</f>
        <v/>
      </c>
      <c r="J3480" s="273"/>
      <c r="K3480" s="9" t="str">
        <f>IF(A3480="","",F.P!$I$2)</f>
        <v/>
      </c>
      <c r="L3480" s="9"/>
      <c r="M3480" s="394" t="str">
        <f t="shared" si="476"/>
        <v/>
      </c>
      <c r="N3480" s="273"/>
    </row>
    <row r="3481" spans="1:15" ht="12.75" customHeight="1" x14ac:dyDescent="0.25">
      <c r="A3481" s="393"/>
      <c r="B3481" s="271"/>
      <c r="C3481" s="271"/>
      <c r="D3481" s="271"/>
      <c r="E3481" s="271"/>
      <c r="F3481" s="271"/>
      <c r="G3481" s="273"/>
      <c r="H3481" s="29" t="str">
        <f>IF(A3481="","",VLOOKUP(A3481,AA_Cuadrillas,4,FALSE))</f>
        <v/>
      </c>
      <c r="I3481" s="394" t="str">
        <f>IF(A3481="","",VLOOKUP(A3481,AA_Cuadrillas,5,FALSE))</f>
        <v/>
      </c>
      <c r="J3481" s="273"/>
      <c r="K3481" s="9" t="str">
        <f>IF(A3481="","",F.P!$I$2)</f>
        <v/>
      </c>
      <c r="L3481" s="37"/>
      <c r="M3481" s="394" t="str">
        <f t="shared" si="476"/>
        <v/>
      </c>
      <c r="N3481" s="273"/>
    </row>
    <row r="3482" spans="1:15" ht="12.75" customHeight="1" x14ac:dyDescent="0.25">
      <c r="A3482" s="393"/>
      <c r="B3482" s="271"/>
      <c r="C3482" s="271"/>
      <c r="D3482" s="271"/>
      <c r="E3482" s="271"/>
      <c r="F3482" s="271"/>
      <c r="G3482" s="273"/>
      <c r="H3482" s="29" t="str">
        <f>IF(A3482="","",VLOOKUP(A3482,AA_Cuadrillas,4,FALSE))</f>
        <v/>
      </c>
      <c r="I3482" s="394" t="str">
        <f>IF(A3482="","",VLOOKUP(A3482,AA_Cuadrillas,5,FALSE))</f>
        <v/>
      </c>
      <c r="J3482" s="273"/>
      <c r="K3482" s="9" t="str">
        <f>IF(A3482="","",F.P!$I$2)</f>
        <v/>
      </c>
      <c r="L3482" s="97"/>
      <c r="M3482" s="394" t="str">
        <f t="shared" si="476"/>
        <v/>
      </c>
      <c r="N3482" s="273"/>
    </row>
    <row r="3483" spans="1:15" ht="12.75" customHeight="1" x14ac:dyDescent="0.25">
      <c r="A3483" s="393"/>
      <c r="B3483" s="271"/>
      <c r="C3483" s="271"/>
      <c r="D3483" s="271"/>
      <c r="E3483" s="271"/>
      <c r="F3483" s="271"/>
      <c r="G3483" s="273"/>
      <c r="H3483" s="29" t="str">
        <f>IF(A3483="","",VLOOKUP(A3483,AA_Cuadrillas,4,FALSE))</f>
        <v/>
      </c>
      <c r="I3483" s="394" t="str">
        <f>IF(A3483="","",VLOOKUP(A3483,AA_Cuadrillas,5,FALSE))</f>
        <v/>
      </c>
      <c r="J3483" s="273"/>
      <c r="K3483" s="9" t="str">
        <f>IF(A3483="","",F.P!$I$2)</f>
        <v/>
      </c>
      <c r="L3483" s="37"/>
      <c r="M3483" s="394" t="str">
        <f t="shared" si="476"/>
        <v/>
      </c>
      <c r="N3483" s="273"/>
    </row>
    <row r="3484" spans="1:15" ht="12.75" customHeight="1" x14ac:dyDescent="0.25">
      <c r="A3484" s="4"/>
      <c r="B3484" s="4"/>
      <c r="C3484" s="4"/>
      <c r="D3484" s="4"/>
      <c r="E3484" s="4"/>
      <c r="F3484" s="4"/>
      <c r="G3484" s="4"/>
      <c r="H3484" s="4"/>
      <c r="I3484" s="4"/>
      <c r="J3484" s="4"/>
      <c r="K3484" s="396" t="s">
        <v>444</v>
      </c>
      <c r="L3484" s="273"/>
      <c r="M3484" s="394">
        <f>SUM(M3479:N3483)</f>
        <v>117038.14666666667</v>
      </c>
      <c r="N3484" s="273"/>
    </row>
    <row r="3485" spans="1:15" ht="12.75" customHeight="1" x14ac:dyDescent="0.2"/>
    <row r="3486" spans="1:15" ht="12.75" customHeight="1" x14ac:dyDescent="0.2">
      <c r="A3486" s="407" t="s">
        <v>316</v>
      </c>
      <c r="B3486" s="275"/>
      <c r="C3486" s="275"/>
      <c r="D3486" s="275"/>
      <c r="E3486" s="275"/>
      <c r="F3486" s="275"/>
      <c r="G3486" s="275"/>
      <c r="H3486" s="275"/>
      <c r="I3486" s="275"/>
      <c r="J3486" s="275"/>
      <c r="K3486" s="275"/>
      <c r="L3486" s="275"/>
      <c r="M3486" s="275"/>
      <c r="N3486" s="276"/>
      <c r="O3486" s="166"/>
    </row>
    <row r="3487" spans="1:15" ht="12.75" customHeight="1" x14ac:dyDescent="0.2">
      <c r="A3487" s="277"/>
      <c r="B3487" s="278"/>
      <c r="C3487" s="278"/>
      <c r="D3487" s="278"/>
      <c r="E3487" s="278"/>
      <c r="F3487" s="278"/>
      <c r="G3487" s="278"/>
      <c r="H3487" s="278"/>
      <c r="I3487" s="278"/>
      <c r="J3487" s="278"/>
      <c r="K3487" s="278"/>
      <c r="L3487" s="278"/>
      <c r="M3487" s="278"/>
      <c r="N3487" s="279"/>
      <c r="O3487" s="166"/>
    </row>
    <row r="3488" spans="1:15" ht="12.75" customHeight="1" x14ac:dyDescent="0.2">
      <c r="A3488" s="75"/>
      <c r="B3488" s="75"/>
      <c r="C3488" s="75"/>
      <c r="D3488" s="75"/>
      <c r="E3488" s="75"/>
      <c r="F3488" s="75"/>
      <c r="G3488" s="75"/>
      <c r="H3488" s="75"/>
      <c r="I3488" s="75"/>
      <c r="J3488" s="75"/>
      <c r="K3488" s="75"/>
      <c r="L3488" s="75"/>
      <c r="M3488" s="75"/>
      <c r="N3488" s="75"/>
    </row>
    <row r="3489" spans="1:14" ht="12.75" customHeight="1" x14ac:dyDescent="0.3">
      <c r="A3489" s="79" t="s">
        <v>695</v>
      </c>
      <c r="B3489" s="80" t="str">
        <f>A3486</f>
        <v>SUMINISTRO E INSTALACIÓN DE VÁLVULA COMPUERTA CON VOLANTE Ø3" EN HIERRO DUCTIL (INCLUYE MATERIALES, HERRAMIENTAS Y MANO DE OBRA)</v>
      </c>
      <c r="C3489" s="81" t="s">
        <v>916</v>
      </c>
      <c r="D3489" s="82" t="s">
        <v>999</v>
      </c>
      <c r="E3489" s="83" t="s">
        <v>445</v>
      </c>
      <c r="F3489" s="240">
        <f>H3489+J3489+L3489+N3489</f>
        <v>1053482.6493666666</v>
      </c>
      <c r="G3489" s="83" t="s">
        <v>607</v>
      </c>
      <c r="H3489" s="86">
        <f>M3508</f>
        <v>5851.9073333333336</v>
      </c>
      <c r="I3489" s="83" t="s">
        <v>918</v>
      </c>
      <c r="J3489" s="86">
        <f>M3499</f>
        <v>886000</v>
      </c>
      <c r="K3489" s="83" t="s">
        <v>609</v>
      </c>
      <c r="L3489" s="86">
        <f>M3517</f>
        <v>44592.595366666668</v>
      </c>
      <c r="M3489" s="83" t="s">
        <v>610</v>
      </c>
      <c r="N3489" s="86">
        <f>M3526</f>
        <v>117038.14666666667</v>
      </c>
    </row>
    <row r="3490" spans="1:14" ht="12.75" customHeight="1" x14ac:dyDescent="0.25">
      <c r="A3490" s="87"/>
      <c r="B3490" s="87"/>
      <c r="C3490" s="87"/>
      <c r="D3490" s="87"/>
      <c r="E3490" s="242" t="s">
        <v>3246</v>
      </c>
      <c r="F3490" s="259">
        <f>F3489*1.3</f>
        <v>1369527.4441766667</v>
      </c>
      <c r="G3490" s="87"/>
      <c r="J3490" s="87"/>
      <c r="K3490" s="215" t="s">
        <v>3217</v>
      </c>
      <c r="L3490" s="215">
        <f>+F3489*presup!$O$5</f>
        <v>1369527.4441766667</v>
      </c>
      <c r="M3490" s="87"/>
      <c r="N3490" s="87"/>
    </row>
    <row r="3491" spans="1:14" ht="12.75" customHeight="1" x14ac:dyDescent="0.2">
      <c r="A3491" s="398" t="s">
        <v>919</v>
      </c>
      <c r="B3491" s="271"/>
      <c r="C3491" s="271"/>
      <c r="D3491" s="271"/>
      <c r="E3491" s="271"/>
      <c r="F3491" s="271"/>
      <c r="G3491" s="271"/>
      <c r="H3491" s="271"/>
      <c r="I3491" s="271"/>
      <c r="J3491" s="271"/>
      <c r="K3491" s="271"/>
      <c r="L3491" s="271"/>
      <c r="M3491" s="271"/>
      <c r="N3491" s="273"/>
    </row>
    <row r="3492" spans="1:14" ht="12.75" customHeight="1" x14ac:dyDescent="0.2">
      <c r="A3492" s="396" t="s">
        <v>76</v>
      </c>
      <c r="B3492" s="271"/>
      <c r="C3492" s="271"/>
      <c r="D3492" s="271"/>
      <c r="E3492" s="271"/>
      <c r="F3492" s="271"/>
      <c r="G3492" s="273"/>
      <c r="H3492" s="88" t="s">
        <v>77</v>
      </c>
      <c r="I3492" s="399" t="s">
        <v>920</v>
      </c>
      <c r="J3492" s="273"/>
      <c r="K3492" s="399" t="s">
        <v>453</v>
      </c>
      <c r="L3492" s="273"/>
      <c r="M3492" s="399" t="s">
        <v>921</v>
      </c>
      <c r="N3492" s="273"/>
    </row>
    <row r="3493" spans="1:14" ht="12.75" customHeight="1" x14ac:dyDescent="0.2">
      <c r="A3493" s="403" t="s">
        <v>1135</v>
      </c>
      <c r="B3493" s="271"/>
      <c r="C3493" s="271"/>
      <c r="D3493" s="271"/>
      <c r="E3493" s="271"/>
      <c r="F3493" s="271"/>
      <c r="G3493" s="273"/>
      <c r="H3493" s="29" t="str">
        <f t="shared" ref="H3493:H3498" si="477">IF(A3493="","",VLOOKUP(A3493,AA_Materiales,7,FALSE))</f>
        <v>Unidad</v>
      </c>
      <c r="I3493" s="394">
        <f t="shared" ref="I3493:I3498" si="478">IF(A3493="","",VLOOKUP(A3493,AA_Materiales,8,FALSE))</f>
        <v>886000</v>
      </c>
      <c r="J3493" s="273"/>
      <c r="K3493" s="395">
        <v>1</v>
      </c>
      <c r="L3493" s="273"/>
      <c r="M3493" s="394">
        <f t="shared" ref="M3493:M3498" si="479">IF(A3493="","",I3493*K3493)</f>
        <v>886000</v>
      </c>
      <c r="N3493" s="273"/>
    </row>
    <row r="3494" spans="1:14" ht="12.75" customHeight="1" x14ac:dyDescent="0.2">
      <c r="A3494" s="403"/>
      <c r="B3494" s="271"/>
      <c r="C3494" s="271"/>
      <c r="D3494" s="271"/>
      <c r="E3494" s="271"/>
      <c r="F3494" s="271"/>
      <c r="G3494" s="273"/>
      <c r="H3494" s="29" t="str">
        <f t="shared" si="477"/>
        <v/>
      </c>
      <c r="I3494" s="394" t="str">
        <f t="shared" si="478"/>
        <v/>
      </c>
      <c r="J3494" s="273"/>
      <c r="K3494" s="395"/>
      <c r="L3494" s="273"/>
      <c r="M3494" s="394" t="str">
        <f t="shared" si="479"/>
        <v/>
      </c>
      <c r="N3494" s="273"/>
    </row>
    <row r="3495" spans="1:14" ht="12.75" customHeight="1" x14ac:dyDescent="0.2">
      <c r="A3495" s="403"/>
      <c r="B3495" s="271"/>
      <c r="C3495" s="271"/>
      <c r="D3495" s="271"/>
      <c r="E3495" s="271"/>
      <c r="F3495" s="271"/>
      <c r="G3495" s="273"/>
      <c r="H3495" s="29" t="str">
        <f t="shared" si="477"/>
        <v/>
      </c>
      <c r="I3495" s="394" t="str">
        <f t="shared" si="478"/>
        <v/>
      </c>
      <c r="J3495" s="273"/>
      <c r="K3495" s="395"/>
      <c r="L3495" s="273"/>
      <c r="M3495" s="394" t="str">
        <f t="shared" si="479"/>
        <v/>
      </c>
      <c r="N3495" s="273"/>
    </row>
    <row r="3496" spans="1:14" ht="12.75" customHeight="1" x14ac:dyDescent="0.2">
      <c r="A3496" s="403"/>
      <c r="B3496" s="271"/>
      <c r="C3496" s="271"/>
      <c r="D3496" s="271"/>
      <c r="E3496" s="271"/>
      <c r="F3496" s="271"/>
      <c r="G3496" s="273"/>
      <c r="H3496" s="29" t="str">
        <f t="shared" si="477"/>
        <v/>
      </c>
      <c r="I3496" s="394" t="str">
        <f t="shared" si="478"/>
        <v/>
      </c>
      <c r="J3496" s="273"/>
      <c r="K3496" s="395"/>
      <c r="L3496" s="273"/>
      <c r="M3496" s="394" t="str">
        <f t="shared" si="479"/>
        <v/>
      </c>
      <c r="N3496" s="273"/>
    </row>
    <row r="3497" spans="1:14" ht="12.75" customHeight="1" x14ac:dyDescent="0.2">
      <c r="A3497" s="403"/>
      <c r="B3497" s="271"/>
      <c r="C3497" s="271"/>
      <c r="D3497" s="271"/>
      <c r="E3497" s="271"/>
      <c r="F3497" s="271"/>
      <c r="G3497" s="273"/>
      <c r="H3497" s="29" t="str">
        <f t="shared" si="477"/>
        <v/>
      </c>
      <c r="I3497" s="394" t="str">
        <f t="shared" si="478"/>
        <v/>
      </c>
      <c r="J3497" s="273"/>
      <c r="K3497" s="395"/>
      <c r="L3497" s="273"/>
      <c r="M3497" s="394" t="str">
        <f t="shared" si="479"/>
        <v/>
      </c>
      <c r="N3497" s="273"/>
    </row>
    <row r="3498" spans="1:14" ht="12.75" customHeight="1" x14ac:dyDescent="0.2">
      <c r="A3498" s="403"/>
      <c r="B3498" s="271"/>
      <c r="C3498" s="271"/>
      <c r="D3498" s="271"/>
      <c r="E3498" s="271"/>
      <c r="F3498" s="271"/>
      <c r="G3498" s="273"/>
      <c r="H3498" s="29" t="str">
        <f t="shared" si="477"/>
        <v/>
      </c>
      <c r="I3498" s="394" t="str">
        <f t="shared" si="478"/>
        <v/>
      </c>
      <c r="J3498" s="273"/>
      <c r="K3498" s="395"/>
      <c r="L3498" s="273"/>
      <c r="M3498" s="394" t="str">
        <f t="shared" si="479"/>
        <v/>
      </c>
      <c r="N3498" s="273"/>
    </row>
    <row r="3499" spans="1:14" ht="12.75" customHeight="1" x14ac:dyDescent="0.25">
      <c r="A3499" s="4"/>
      <c r="B3499" s="4"/>
      <c r="C3499" s="4"/>
      <c r="D3499" s="4"/>
      <c r="E3499" s="4"/>
      <c r="F3499" s="4"/>
      <c r="G3499" s="4"/>
      <c r="H3499" s="4"/>
      <c r="I3499" s="4"/>
      <c r="J3499" s="4"/>
      <c r="K3499" s="396" t="s">
        <v>444</v>
      </c>
      <c r="L3499" s="273"/>
      <c r="M3499" s="394">
        <f>SUM(M3493:N3498)</f>
        <v>886000</v>
      </c>
      <c r="N3499" s="273"/>
    </row>
    <row r="3500" spans="1:14" ht="12.75" customHeight="1" x14ac:dyDescent="0.25">
      <c r="A3500" s="4"/>
      <c r="B3500" s="4"/>
      <c r="C3500" s="4"/>
      <c r="D3500" s="4"/>
      <c r="E3500" s="4"/>
      <c r="F3500" s="4"/>
      <c r="G3500" s="4"/>
      <c r="H3500" s="4"/>
      <c r="I3500" s="4"/>
      <c r="J3500" s="4"/>
      <c r="K3500" s="4"/>
      <c r="L3500" s="4"/>
      <c r="M3500" s="4"/>
      <c r="N3500" s="4"/>
    </row>
    <row r="3501" spans="1:14" ht="12.75" customHeight="1" x14ac:dyDescent="0.2">
      <c r="A3501" s="398" t="s">
        <v>926</v>
      </c>
      <c r="B3501" s="271"/>
      <c r="C3501" s="271"/>
      <c r="D3501" s="271"/>
      <c r="E3501" s="271"/>
      <c r="F3501" s="271"/>
      <c r="G3501" s="271"/>
      <c r="H3501" s="271"/>
      <c r="I3501" s="271"/>
      <c r="J3501" s="271"/>
      <c r="K3501" s="271"/>
      <c r="L3501" s="271"/>
      <c r="M3501" s="271"/>
      <c r="N3501" s="273"/>
    </row>
    <row r="3502" spans="1:14" ht="12.75" customHeight="1" x14ac:dyDescent="0.2">
      <c r="A3502" s="396" t="s">
        <v>76</v>
      </c>
      <c r="B3502" s="271"/>
      <c r="C3502" s="271"/>
      <c r="D3502" s="271"/>
      <c r="E3502" s="271"/>
      <c r="F3502" s="271"/>
      <c r="G3502" s="273"/>
      <c r="H3502" s="88" t="s">
        <v>77</v>
      </c>
      <c r="I3502" s="399" t="s">
        <v>920</v>
      </c>
      <c r="J3502" s="273"/>
      <c r="K3502" s="399" t="s">
        <v>453</v>
      </c>
      <c r="L3502" s="273"/>
      <c r="M3502" s="399" t="s">
        <v>921</v>
      </c>
      <c r="N3502" s="273"/>
    </row>
    <row r="3503" spans="1:14" ht="12.75" customHeight="1" x14ac:dyDescent="0.2">
      <c r="A3503" s="400" t="s">
        <v>927</v>
      </c>
      <c r="B3503" s="271"/>
      <c r="C3503" s="271"/>
      <c r="D3503" s="271"/>
      <c r="E3503" s="271"/>
      <c r="F3503" s="271"/>
      <c r="G3503" s="273"/>
      <c r="H3503" s="29" t="str">
        <f>IF(A3503="","",VLOOKUP(A3503,AA_Equipos,7,FALSE))</f>
        <v>% M.O.</v>
      </c>
      <c r="I3503" s="394">
        <f>+M3526</f>
        <v>117038.14666666667</v>
      </c>
      <c r="J3503" s="273"/>
      <c r="K3503" s="404">
        <v>0.05</v>
      </c>
      <c r="L3503" s="273"/>
      <c r="M3503" s="394">
        <f t="shared" ref="M3503:M3507" si="480">IF(A3503="","",I3503*K3503)</f>
        <v>5851.9073333333336</v>
      </c>
      <c r="N3503" s="273"/>
    </row>
    <row r="3504" spans="1:14" ht="12.75" customHeight="1" x14ac:dyDescent="0.2">
      <c r="A3504" s="403"/>
      <c r="B3504" s="271"/>
      <c r="C3504" s="271"/>
      <c r="D3504" s="271"/>
      <c r="E3504" s="271"/>
      <c r="F3504" s="271"/>
      <c r="G3504" s="273"/>
      <c r="H3504" s="29" t="str">
        <f>IF(A3504="","",VLOOKUP(A3504,AA_Equipos,7,FALSE))</f>
        <v/>
      </c>
      <c r="I3504" s="394" t="str">
        <f>IF(A3504="","",VLOOKUP(A3504,AA_Equipos,8,FALSE))</f>
        <v/>
      </c>
      <c r="J3504" s="273"/>
      <c r="K3504" s="402"/>
      <c r="L3504" s="273"/>
      <c r="M3504" s="394" t="str">
        <f t="shared" si="480"/>
        <v/>
      </c>
      <c r="N3504" s="273"/>
    </row>
    <row r="3505" spans="1:14" ht="12.75" customHeight="1" x14ac:dyDescent="0.2">
      <c r="A3505" s="400"/>
      <c r="B3505" s="271"/>
      <c r="C3505" s="271"/>
      <c r="D3505" s="271"/>
      <c r="E3505" s="271"/>
      <c r="F3505" s="271"/>
      <c r="G3505" s="273"/>
      <c r="H3505" s="29" t="str">
        <f>IF(A3505="","",VLOOKUP(A3505,AA_Equipos,7,FALSE))</f>
        <v/>
      </c>
      <c r="I3505" s="394" t="str">
        <f>IF(A3505="","",VLOOKUP(A3505,AA_Equipos,8,FALSE))</f>
        <v/>
      </c>
      <c r="J3505" s="273"/>
      <c r="K3505" s="401"/>
      <c r="L3505" s="273"/>
      <c r="M3505" s="394" t="str">
        <f t="shared" si="480"/>
        <v/>
      </c>
      <c r="N3505" s="273"/>
    </row>
    <row r="3506" spans="1:14" ht="12.75" customHeight="1" x14ac:dyDescent="0.2">
      <c r="A3506" s="400"/>
      <c r="B3506" s="271"/>
      <c r="C3506" s="271"/>
      <c r="D3506" s="271"/>
      <c r="E3506" s="271"/>
      <c r="F3506" s="271"/>
      <c r="G3506" s="273"/>
      <c r="H3506" s="29" t="str">
        <f>IF(A3506="","",VLOOKUP(A3506,AA_Equipos,7,FALSE))</f>
        <v/>
      </c>
      <c r="I3506" s="394" t="str">
        <f>IF(A3506="","",VLOOKUP(A3506,AA_Equipos,8,FALSE))</f>
        <v/>
      </c>
      <c r="J3506" s="273"/>
      <c r="K3506" s="395"/>
      <c r="L3506" s="273"/>
      <c r="M3506" s="394" t="str">
        <f t="shared" si="480"/>
        <v/>
      </c>
      <c r="N3506" s="273"/>
    </row>
    <row r="3507" spans="1:14" ht="12.75" customHeight="1" x14ac:dyDescent="0.2">
      <c r="A3507" s="400"/>
      <c r="B3507" s="271"/>
      <c r="C3507" s="271"/>
      <c r="D3507" s="271"/>
      <c r="E3507" s="271"/>
      <c r="F3507" s="271"/>
      <c r="G3507" s="273"/>
      <c r="H3507" s="29" t="str">
        <f>IF(A3507="","",VLOOKUP(A3507,AA_Equipos,7,FALSE))</f>
        <v/>
      </c>
      <c r="I3507" s="394" t="str">
        <f>IF(A3507="","",VLOOKUP(A3507,AA_Equipos,8,FALSE))</f>
        <v/>
      </c>
      <c r="J3507" s="273"/>
      <c r="K3507" s="395"/>
      <c r="L3507" s="273"/>
      <c r="M3507" s="394" t="str">
        <f t="shared" si="480"/>
        <v/>
      </c>
      <c r="N3507" s="273"/>
    </row>
    <row r="3508" spans="1:14" ht="12.75" customHeight="1" x14ac:dyDescent="0.25">
      <c r="A3508" s="4"/>
      <c r="B3508" s="4"/>
      <c r="C3508" s="4"/>
      <c r="D3508" s="4"/>
      <c r="E3508" s="4"/>
      <c r="F3508" s="4"/>
      <c r="G3508" s="4"/>
      <c r="H3508" s="4"/>
      <c r="I3508" s="4"/>
      <c r="J3508" s="4"/>
      <c r="K3508" s="396" t="s">
        <v>444</v>
      </c>
      <c r="L3508" s="273"/>
      <c r="M3508" s="394">
        <f>SUM(M3503:N3507)</f>
        <v>5851.9073333333336</v>
      </c>
      <c r="N3508" s="273"/>
    </row>
    <row r="3509" spans="1:14" ht="12.75" customHeight="1" x14ac:dyDescent="0.25">
      <c r="A3509" s="4"/>
      <c r="B3509" s="4"/>
      <c r="C3509" s="4"/>
      <c r="D3509" s="4"/>
      <c r="E3509" s="4"/>
      <c r="F3509" s="4"/>
      <c r="G3509" s="4"/>
      <c r="H3509" s="4"/>
      <c r="I3509" s="4"/>
      <c r="J3509" s="4"/>
      <c r="K3509" s="4"/>
      <c r="L3509" s="4"/>
      <c r="M3509" s="4"/>
      <c r="N3509" s="4"/>
    </row>
    <row r="3510" spans="1:14" ht="12.75" customHeight="1" x14ac:dyDescent="0.2">
      <c r="A3510" s="398" t="s">
        <v>929</v>
      </c>
      <c r="B3510" s="271"/>
      <c r="C3510" s="271"/>
      <c r="D3510" s="271"/>
      <c r="E3510" s="271"/>
      <c r="F3510" s="271"/>
      <c r="G3510" s="271"/>
      <c r="H3510" s="271"/>
      <c r="I3510" s="271"/>
      <c r="J3510" s="271"/>
      <c r="K3510" s="271"/>
      <c r="L3510" s="271"/>
      <c r="M3510" s="271"/>
      <c r="N3510" s="273"/>
    </row>
    <row r="3511" spans="1:14" ht="12.75" customHeight="1" x14ac:dyDescent="0.2">
      <c r="A3511" s="396" t="s">
        <v>76</v>
      </c>
      <c r="B3511" s="271"/>
      <c r="C3511" s="271"/>
      <c r="D3511" s="271"/>
      <c r="E3511" s="271"/>
      <c r="F3511" s="271"/>
      <c r="G3511" s="273"/>
      <c r="H3511" s="88" t="s">
        <v>77</v>
      </c>
      <c r="I3511" s="399" t="s">
        <v>920</v>
      </c>
      <c r="J3511" s="273"/>
      <c r="K3511" s="399" t="s">
        <v>453</v>
      </c>
      <c r="L3511" s="273"/>
      <c r="M3511" s="399" t="s">
        <v>921</v>
      </c>
      <c r="N3511" s="273"/>
    </row>
    <row r="3512" spans="1:14" ht="12.75" customHeight="1" x14ac:dyDescent="0.2">
      <c r="A3512" s="400" t="s">
        <v>966</v>
      </c>
      <c r="B3512" s="271"/>
      <c r="C3512" s="271"/>
      <c r="D3512" s="271"/>
      <c r="E3512" s="271"/>
      <c r="F3512" s="271"/>
      <c r="G3512" s="273"/>
      <c r="H3512" s="29" t="s">
        <v>24</v>
      </c>
      <c r="I3512" s="394">
        <f>+M3499</f>
        <v>886000</v>
      </c>
      <c r="J3512" s="273"/>
      <c r="K3512" s="404">
        <v>0.05</v>
      </c>
      <c r="L3512" s="273"/>
      <c r="M3512" s="394">
        <f t="shared" ref="M3512:M3516" si="481">IF(A3512="","",I3512*K3512)</f>
        <v>44300</v>
      </c>
      <c r="N3512" s="273"/>
    </row>
    <row r="3513" spans="1:14" ht="12.75" customHeight="1" x14ac:dyDescent="0.2">
      <c r="A3513" s="403" t="s">
        <v>3174</v>
      </c>
      <c r="B3513" s="271"/>
      <c r="C3513" s="271"/>
      <c r="D3513" s="271"/>
      <c r="E3513" s="271"/>
      <c r="F3513" s="271"/>
      <c r="G3513" s="273"/>
      <c r="H3513" s="29" t="s">
        <v>24</v>
      </c>
      <c r="I3513" s="394">
        <f>+M3508</f>
        <v>5851.9073333333336</v>
      </c>
      <c r="J3513" s="273"/>
      <c r="K3513" s="404">
        <v>0.05</v>
      </c>
      <c r="L3513" s="273"/>
      <c r="M3513" s="394">
        <f t="shared" si="481"/>
        <v>292.59536666666668</v>
      </c>
      <c r="N3513" s="273"/>
    </row>
    <row r="3514" spans="1:14" ht="12.75" customHeight="1" x14ac:dyDescent="0.2">
      <c r="A3514" s="400"/>
      <c r="B3514" s="271"/>
      <c r="C3514" s="271"/>
      <c r="D3514" s="271"/>
      <c r="E3514" s="271"/>
      <c r="F3514" s="271"/>
      <c r="G3514" s="273"/>
      <c r="H3514" s="29"/>
      <c r="I3514" s="394"/>
      <c r="J3514" s="273"/>
      <c r="K3514" s="395"/>
      <c r="L3514" s="273"/>
      <c r="M3514" s="394" t="str">
        <f t="shared" si="481"/>
        <v/>
      </c>
      <c r="N3514" s="273"/>
    </row>
    <row r="3515" spans="1:14" ht="12.75" customHeight="1" x14ac:dyDescent="0.2">
      <c r="A3515" s="400"/>
      <c r="B3515" s="271"/>
      <c r="C3515" s="271"/>
      <c r="D3515" s="271"/>
      <c r="E3515" s="271"/>
      <c r="F3515" s="271"/>
      <c r="G3515" s="273"/>
      <c r="H3515" s="29"/>
      <c r="I3515" s="394"/>
      <c r="J3515" s="273"/>
      <c r="K3515" s="395"/>
      <c r="L3515" s="273"/>
      <c r="M3515" s="394" t="str">
        <f t="shared" si="481"/>
        <v/>
      </c>
      <c r="N3515" s="273"/>
    </row>
    <row r="3516" spans="1:14" ht="12.75" customHeight="1" x14ac:dyDescent="0.2">
      <c r="A3516" s="400"/>
      <c r="B3516" s="271"/>
      <c r="C3516" s="271"/>
      <c r="D3516" s="271"/>
      <c r="E3516" s="271"/>
      <c r="F3516" s="271"/>
      <c r="G3516" s="273"/>
      <c r="H3516" s="29"/>
      <c r="I3516" s="394"/>
      <c r="J3516" s="273"/>
      <c r="K3516" s="395"/>
      <c r="L3516" s="273"/>
      <c r="M3516" s="394" t="str">
        <f t="shared" si="481"/>
        <v/>
      </c>
      <c r="N3516" s="273"/>
    </row>
    <row r="3517" spans="1:14" ht="12.75" customHeight="1" x14ac:dyDescent="0.25">
      <c r="A3517" s="4"/>
      <c r="B3517" s="4"/>
      <c r="C3517" s="4"/>
      <c r="D3517" s="4"/>
      <c r="E3517" s="4"/>
      <c r="F3517" s="4"/>
      <c r="G3517" s="4"/>
      <c r="H3517" s="4"/>
      <c r="I3517" s="4"/>
      <c r="J3517" s="4"/>
      <c r="K3517" s="396" t="s">
        <v>444</v>
      </c>
      <c r="L3517" s="273"/>
      <c r="M3517" s="394">
        <f>SUM(M3512:N3516)</f>
        <v>44592.595366666668</v>
      </c>
      <c r="N3517" s="273"/>
    </row>
    <row r="3518" spans="1:14" ht="12.75" customHeight="1" x14ac:dyDescent="0.25">
      <c r="A3518" s="4"/>
      <c r="B3518" s="4"/>
      <c r="C3518" s="4"/>
      <c r="D3518" s="4"/>
      <c r="E3518" s="4"/>
      <c r="F3518" s="4"/>
      <c r="G3518" s="4"/>
      <c r="H3518" s="4"/>
      <c r="I3518" s="4"/>
      <c r="J3518" s="4"/>
      <c r="K3518" s="4"/>
      <c r="L3518" s="4"/>
      <c r="M3518" s="4"/>
      <c r="N3518" s="4"/>
    </row>
    <row r="3519" spans="1:14" ht="12.75" customHeight="1" x14ac:dyDescent="0.2">
      <c r="A3519" s="398" t="s">
        <v>931</v>
      </c>
      <c r="B3519" s="271"/>
      <c r="C3519" s="271"/>
      <c r="D3519" s="271"/>
      <c r="E3519" s="271"/>
      <c r="F3519" s="271"/>
      <c r="G3519" s="271"/>
      <c r="H3519" s="271"/>
      <c r="I3519" s="271"/>
      <c r="J3519" s="271"/>
      <c r="K3519" s="271"/>
      <c r="L3519" s="271"/>
      <c r="M3519" s="271"/>
      <c r="N3519" s="273"/>
    </row>
    <row r="3520" spans="1:14" ht="12.75" customHeight="1" x14ac:dyDescent="0.2">
      <c r="A3520" s="396" t="s">
        <v>76</v>
      </c>
      <c r="B3520" s="271"/>
      <c r="C3520" s="271"/>
      <c r="D3520" s="271"/>
      <c r="E3520" s="271"/>
      <c r="F3520" s="271"/>
      <c r="G3520" s="273"/>
      <c r="H3520" s="88" t="s">
        <v>77</v>
      </c>
      <c r="I3520" s="399" t="s">
        <v>920</v>
      </c>
      <c r="J3520" s="273"/>
      <c r="K3520" s="90" t="s">
        <v>514</v>
      </c>
      <c r="L3520" s="91" t="s">
        <v>932</v>
      </c>
      <c r="M3520" s="399" t="s">
        <v>921</v>
      </c>
      <c r="N3520" s="273"/>
    </row>
    <row r="3521" spans="1:14" ht="12.75" customHeight="1" x14ac:dyDescent="0.25">
      <c r="A3521" s="393" t="s">
        <v>986</v>
      </c>
      <c r="B3521" s="271"/>
      <c r="C3521" s="271"/>
      <c r="D3521" s="271"/>
      <c r="E3521" s="271"/>
      <c r="F3521" s="271"/>
      <c r="G3521" s="273"/>
      <c r="H3521" s="29" t="str">
        <f>IF(A3521="","",VLOOKUP(A3521,AA_Cuadrillas,4,FALSE))</f>
        <v>Cuadrilla</v>
      </c>
      <c r="I3521" s="394">
        <f>IF(A3521="","",VLOOKUP(A3521,AA_Cuadrillas,5,FALSE))</f>
        <v>186763</v>
      </c>
      <c r="J3521" s="273"/>
      <c r="K3521" s="9">
        <f>IF(A3521="","",F.P!$I$2)</f>
        <v>1.88</v>
      </c>
      <c r="L3521" s="97">
        <v>0.33333333333333331</v>
      </c>
      <c r="M3521" s="394">
        <f t="shared" ref="M3521:M3525" si="482">IF(A3521="","",I3521*K3521*L3521)</f>
        <v>117038.14666666667</v>
      </c>
      <c r="N3521" s="273"/>
    </row>
    <row r="3522" spans="1:14" ht="12.75" customHeight="1" x14ac:dyDescent="0.25">
      <c r="A3522" s="393"/>
      <c r="B3522" s="271"/>
      <c r="C3522" s="271"/>
      <c r="D3522" s="271"/>
      <c r="E3522" s="271"/>
      <c r="F3522" s="271"/>
      <c r="G3522" s="273"/>
      <c r="H3522" s="29" t="str">
        <f>IF(A3522="","",VLOOKUP(A3522,AA_Cuadrillas,4,FALSE))</f>
        <v/>
      </c>
      <c r="I3522" s="394" t="str">
        <f>IF(A3522="","",VLOOKUP(A3522,AA_Cuadrillas,5,FALSE))</f>
        <v/>
      </c>
      <c r="J3522" s="273"/>
      <c r="K3522" s="9" t="str">
        <f>IF(A3522="","",F.P!$I$2)</f>
        <v/>
      </c>
      <c r="L3522" s="9"/>
      <c r="M3522" s="394" t="str">
        <f t="shared" si="482"/>
        <v/>
      </c>
      <c r="N3522" s="273"/>
    </row>
    <row r="3523" spans="1:14" ht="12.75" customHeight="1" x14ac:dyDescent="0.25">
      <c r="A3523" s="393"/>
      <c r="B3523" s="271"/>
      <c r="C3523" s="271"/>
      <c r="D3523" s="271"/>
      <c r="E3523" s="271"/>
      <c r="F3523" s="271"/>
      <c r="G3523" s="273"/>
      <c r="H3523" s="29" t="str">
        <f>IF(A3523="","",VLOOKUP(A3523,AA_Cuadrillas,4,FALSE))</f>
        <v/>
      </c>
      <c r="I3523" s="394" t="str">
        <f>IF(A3523="","",VLOOKUP(A3523,AA_Cuadrillas,5,FALSE))</f>
        <v/>
      </c>
      <c r="J3523" s="273"/>
      <c r="K3523" s="9" t="str">
        <f>IF(A3523="","",F.P!$I$2)</f>
        <v/>
      </c>
      <c r="L3523" s="37"/>
      <c r="M3523" s="394" t="str">
        <f t="shared" si="482"/>
        <v/>
      </c>
      <c r="N3523" s="273"/>
    </row>
    <row r="3524" spans="1:14" ht="12.75" customHeight="1" x14ac:dyDescent="0.25">
      <c r="A3524" s="393"/>
      <c r="B3524" s="271"/>
      <c r="C3524" s="271"/>
      <c r="D3524" s="271"/>
      <c r="E3524" s="271"/>
      <c r="F3524" s="271"/>
      <c r="G3524" s="273"/>
      <c r="H3524" s="29" t="str">
        <f>IF(A3524="","",VLOOKUP(A3524,AA_Cuadrillas,4,FALSE))</f>
        <v/>
      </c>
      <c r="I3524" s="394" t="str">
        <f>IF(A3524="","",VLOOKUP(A3524,AA_Cuadrillas,5,FALSE))</f>
        <v/>
      </c>
      <c r="J3524" s="273"/>
      <c r="K3524" s="9" t="str">
        <f>IF(A3524="","",F.P!$I$2)</f>
        <v/>
      </c>
      <c r="L3524" s="97"/>
      <c r="M3524" s="394" t="str">
        <f t="shared" si="482"/>
        <v/>
      </c>
      <c r="N3524" s="273"/>
    </row>
    <row r="3525" spans="1:14" ht="12.75" customHeight="1" x14ac:dyDescent="0.25">
      <c r="A3525" s="393"/>
      <c r="B3525" s="271"/>
      <c r="C3525" s="271"/>
      <c r="D3525" s="271"/>
      <c r="E3525" s="271"/>
      <c r="F3525" s="271"/>
      <c r="G3525" s="273"/>
      <c r="H3525" s="29" t="str">
        <f>IF(A3525="","",VLOOKUP(A3525,AA_Cuadrillas,4,FALSE))</f>
        <v/>
      </c>
      <c r="I3525" s="394" t="str">
        <f>IF(A3525="","",VLOOKUP(A3525,AA_Cuadrillas,5,FALSE))</f>
        <v/>
      </c>
      <c r="J3525" s="273"/>
      <c r="K3525" s="9" t="str">
        <f>IF(A3525="","",F.P!$I$2)</f>
        <v/>
      </c>
      <c r="L3525" s="37"/>
      <c r="M3525" s="394" t="str">
        <f t="shared" si="482"/>
        <v/>
      </c>
      <c r="N3525" s="273"/>
    </row>
    <row r="3526" spans="1:14" ht="12.75" customHeight="1" x14ac:dyDescent="0.25">
      <c r="A3526" s="4"/>
      <c r="B3526" s="4"/>
      <c r="C3526" s="4"/>
      <c r="D3526" s="4"/>
      <c r="E3526" s="4"/>
      <c r="F3526" s="4"/>
      <c r="G3526" s="4"/>
      <c r="H3526" s="4"/>
      <c r="I3526" s="4"/>
      <c r="J3526" s="4"/>
      <c r="K3526" s="396" t="s">
        <v>444</v>
      </c>
      <c r="L3526" s="273"/>
      <c r="M3526" s="394">
        <f>SUM(M3521:N3525)</f>
        <v>117038.14666666667</v>
      </c>
      <c r="N3526" s="273"/>
    </row>
    <row r="3527" spans="1:14" ht="12.75" customHeight="1" x14ac:dyDescent="0.2"/>
    <row r="3528" spans="1:14" ht="12.75" customHeight="1" x14ac:dyDescent="0.2">
      <c r="A3528" s="407" t="s">
        <v>1136</v>
      </c>
      <c r="B3528" s="275"/>
      <c r="C3528" s="275"/>
      <c r="D3528" s="275"/>
      <c r="E3528" s="275"/>
      <c r="F3528" s="275"/>
      <c r="G3528" s="275"/>
      <c r="H3528" s="275"/>
      <c r="I3528" s="275"/>
      <c r="J3528" s="275"/>
      <c r="K3528" s="275"/>
      <c r="L3528" s="275"/>
      <c r="M3528" s="275"/>
      <c r="N3528" s="276"/>
    </row>
    <row r="3529" spans="1:14" ht="12.75" customHeight="1" x14ac:dyDescent="0.2">
      <c r="A3529" s="277"/>
      <c r="B3529" s="278"/>
      <c r="C3529" s="278"/>
      <c r="D3529" s="278"/>
      <c r="E3529" s="278"/>
      <c r="F3529" s="278"/>
      <c r="G3529" s="278"/>
      <c r="H3529" s="278"/>
      <c r="I3529" s="278"/>
      <c r="J3529" s="278"/>
      <c r="K3529" s="278"/>
      <c r="L3529" s="278"/>
      <c r="M3529" s="278"/>
      <c r="N3529" s="279"/>
    </row>
    <row r="3530" spans="1:14" ht="12.75" customHeight="1" x14ac:dyDescent="0.2">
      <c r="A3530" s="75"/>
      <c r="B3530" s="75"/>
      <c r="C3530" s="75"/>
      <c r="D3530" s="75"/>
      <c r="E3530" s="75"/>
      <c r="F3530" s="75"/>
      <c r="G3530" s="75"/>
      <c r="H3530" s="75"/>
      <c r="I3530" s="75"/>
      <c r="J3530" s="75"/>
      <c r="K3530" s="75"/>
      <c r="L3530" s="75"/>
      <c r="M3530" s="75"/>
      <c r="N3530" s="75"/>
    </row>
    <row r="3531" spans="1:14" ht="12.75" customHeight="1" x14ac:dyDescent="0.3">
      <c r="A3531" s="79" t="s">
        <v>696</v>
      </c>
      <c r="B3531" s="80" t="str">
        <f>A3528</f>
        <v>SUMINISTRO E INSTALACIÓN DE NIPLE DE 0,25M Ø2" EN HIERRO DUCTIL</v>
      </c>
      <c r="C3531" s="81" t="s">
        <v>916</v>
      </c>
      <c r="D3531" s="82" t="s">
        <v>999</v>
      </c>
      <c r="E3531" s="83" t="s">
        <v>445</v>
      </c>
      <c r="F3531" s="86">
        <f>H3531+J3531+L3531+N3531</f>
        <v>68250</v>
      </c>
      <c r="G3531" s="83" t="s">
        <v>607</v>
      </c>
      <c r="H3531" s="86">
        <f>M3541</f>
        <v>65000</v>
      </c>
      <c r="I3531" s="83" t="s">
        <v>918</v>
      </c>
      <c r="J3531" s="86">
        <f>M3550</f>
        <v>0</v>
      </c>
      <c r="K3531" s="83" t="s">
        <v>609</v>
      </c>
      <c r="L3531" s="86">
        <f>M3559</f>
        <v>3250</v>
      </c>
      <c r="M3531" s="83" t="s">
        <v>610</v>
      </c>
      <c r="N3531" s="86">
        <f>M3568</f>
        <v>0</v>
      </c>
    </row>
    <row r="3532" spans="1:14" ht="12.75" customHeight="1" x14ac:dyDescent="0.25">
      <c r="A3532" s="87"/>
      <c r="B3532" s="87"/>
      <c r="C3532" s="87"/>
      <c r="D3532" s="87"/>
      <c r="E3532" s="87"/>
      <c r="F3532" s="87"/>
      <c r="G3532" s="87"/>
      <c r="J3532" s="87"/>
      <c r="K3532" s="215" t="s">
        <v>3217</v>
      </c>
      <c r="L3532" s="215">
        <f>+F3531*presup!$O$5</f>
        <v>88725</v>
      </c>
      <c r="M3532" s="87"/>
      <c r="N3532" s="87"/>
    </row>
    <row r="3533" spans="1:14" ht="12.75" customHeight="1" x14ac:dyDescent="0.2">
      <c r="A3533" s="398" t="s">
        <v>919</v>
      </c>
      <c r="B3533" s="271"/>
      <c r="C3533" s="271"/>
      <c r="D3533" s="271"/>
      <c r="E3533" s="271"/>
      <c r="F3533" s="271"/>
      <c r="G3533" s="271"/>
      <c r="H3533" s="271"/>
      <c r="I3533" s="271"/>
      <c r="J3533" s="271"/>
      <c r="K3533" s="271"/>
      <c r="L3533" s="271"/>
      <c r="M3533" s="271"/>
      <c r="N3533" s="273"/>
    </row>
    <row r="3534" spans="1:14" ht="12.75" customHeight="1" x14ac:dyDescent="0.2">
      <c r="A3534" s="396" t="s">
        <v>76</v>
      </c>
      <c r="B3534" s="271"/>
      <c r="C3534" s="271"/>
      <c r="D3534" s="271"/>
      <c r="E3534" s="271"/>
      <c r="F3534" s="271"/>
      <c r="G3534" s="273"/>
      <c r="H3534" s="88" t="s">
        <v>77</v>
      </c>
      <c r="I3534" s="399" t="s">
        <v>920</v>
      </c>
      <c r="J3534" s="273"/>
      <c r="K3534" s="399" t="s">
        <v>453</v>
      </c>
      <c r="L3534" s="273"/>
      <c r="M3534" s="399" t="s">
        <v>921</v>
      </c>
      <c r="N3534" s="273"/>
    </row>
    <row r="3535" spans="1:14" ht="12.75" customHeight="1" x14ac:dyDescent="0.2">
      <c r="A3535" s="403" t="s">
        <v>1137</v>
      </c>
      <c r="B3535" s="271"/>
      <c r="C3535" s="271"/>
      <c r="D3535" s="271"/>
      <c r="E3535" s="271"/>
      <c r="F3535" s="271"/>
      <c r="G3535" s="273"/>
      <c r="H3535" s="29" t="str">
        <f t="shared" ref="H3535:H3540" si="483">IF(A3535="","",VLOOKUP(A3535,AA_Materiales,7,FALSE))</f>
        <v>Unidad</v>
      </c>
      <c r="I3535" s="394">
        <f t="shared" ref="I3535:I3540" si="484">IF(A3535="","",VLOOKUP(A3535,AA_Materiales,8,FALSE))</f>
        <v>65000</v>
      </c>
      <c r="J3535" s="273"/>
      <c r="K3535" s="395">
        <v>1</v>
      </c>
      <c r="L3535" s="273"/>
      <c r="M3535" s="394">
        <f t="shared" ref="M3535:M3540" si="485">IF(A3535="","",I3535*K3535)</f>
        <v>65000</v>
      </c>
      <c r="N3535" s="273"/>
    </row>
    <row r="3536" spans="1:14" ht="12.75" customHeight="1" x14ac:dyDescent="0.2">
      <c r="A3536" s="403"/>
      <c r="B3536" s="271"/>
      <c r="C3536" s="271"/>
      <c r="D3536" s="271"/>
      <c r="E3536" s="271"/>
      <c r="F3536" s="271"/>
      <c r="G3536" s="273"/>
      <c r="H3536" s="29" t="str">
        <f t="shared" si="483"/>
        <v/>
      </c>
      <c r="I3536" s="394" t="str">
        <f t="shared" si="484"/>
        <v/>
      </c>
      <c r="J3536" s="273"/>
      <c r="K3536" s="395"/>
      <c r="L3536" s="273"/>
      <c r="M3536" s="394" t="str">
        <f t="shared" si="485"/>
        <v/>
      </c>
      <c r="N3536" s="273"/>
    </row>
    <row r="3537" spans="1:14" ht="12.75" customHeight="1" x14ac:dyDescent="0.2">
      <c r="A3537" s="403"/>
      <c r="B3537" s="271"/>
      <c r="C3537" s="271"/>
      <c r="D3537" s="271"/>
      <c r="E3537" s="271"/>
      <c r="F3537" s="271"/>
      <c r="G3537" s="273"/>
      <c r="H3537" s="29" t="str">
        <f t="shared" si="483"/>
        <v/>
      </c>
      <c r="I3537" s="394" t="str">
        <f t="shared" si="484"/>
        <v/>
      </c>
      <c r="J3537" s="273"/>
      <c r="K3537" s="395"/>
      <c r="L3537" s="273"/>
      <c r="M3537" s="394" t="str">
        <f t="shared" si="485"/>
        <v/>
      </c>
      <c r="N3537" s="273"/>
    </row>
    <row r="3538" spans="1:14" ht="12.75" customHeight="1" x14ac:dyDescent="0.2">
      <c r="A3538" s="403"/>
      <c r="B3538" s="271"/>
      <c r="C3538" s="271"/>
      <c r="D3538" s="271"/>
      <c r="E3538" s="271"/>
      <c r="F3538" s="271"/>
      <c r="G3538" s="273"/>
      <c r="H3538" s="29" t="str">
        <f t="shared" si="483"/>
        <v/>
      </c>
      <c r="I3538" s="394" t="str">
        <f t="shared" si="484"/>
        <v/>
      </c>
      <c r="J3538" s="273"/>
      <c r="K3538" s="395"/>
      <c r="L3538" s="273"/>
      <c r="M3538" s="394" t="str">
        <f t="shared" si="485"/>
        <v/>
      </c>
      <c r="N3538" s="273"/>
    </row>
    <row r="3539" spans="1:14" ht="12.75" customHeight="1" x14ac:dyDescent="0.2">
      <c r="A3539" s="403"/>
      <c r="B3539" s="271"/>
      <c r="C3539" s="271"/>
      <c r="D3539" s="271"/>
      <c r="E3539" s="271"/>
      <c r="F3539" s="271"/>
      <c r="G3539" s="273"/>
      <c r="H3539" s="29" t="str">
        <f t="shared" si="483"/>
        <v/>
      </c>
      <c r="I3539" s="394" t="str">
        <f t="shared" si="484"/>
        <v/>
      </c>
      <c r="J3539" s="273"/>
      <c r="K3539" s="395"/>
      <c r="L3539" s="273"/>
      <c r="M3539" s="394" t="str">
        <f t="shared" si="485"/>
        <v/>
      </c>
      <c r="N3539" s="273"/>
    </row>
    <row r="3540" spans="1:14" ht="12.75" customHeight="1" x14ac:dyDescent="0.2">
      <c r="A3540" s="403"/>
      <c r="B3540" s="271"/>
      <c r="C3540" s="271"/>
      <c r="D3540" s="271"/>
      <c r="E3540" s="271"/>
      <c r="F3540" s="271"/>
      <c r="G3540" s="273"/>
      <c r="H3540" s="29" t="str">
        <f t="shared" si="483"/>
        <v/>
      </c>
      <c r="I3540" s="394" t="str">
        <f t="shared" si="484"/>
        <v/>
      </c>
      <c r="J3540" s="273"/>
      <c r="K3540" s="395"/>
      <c r="L3540" s="273"/>
      <c r="M3540" s="394" t="str">
        <f t="shared" si="485"/>
        <v/>
      </c>
      <c r="N3540" s="273"/>
    </row>
    <row r="3541" spans="1:14" ht="12.75" customHeight="1" x14ac:dyDescent="0.25">
      <c r="A3541" s="4"/>
      <c r="B3541" s="4"/>
      <c r="C3541" s="4"/>
      <c r="D3541" s="4"/>
      <c r="E3541" s="4"/>
      <c r="F3541" s="4"/>
      <c r="G3541" s="4"/>
      <c r="H3541" s="4"/>
      <c r="I3541" s="4"/>
      <c r="J3541" s="4"/>
      <c r="K3541" s="396" t="s">
        <v>444</v>
      </c>
      <c r="L3541" s="273"/>
      <c r="M3541" s="394">
        <f>SUM(M3535:N3540)</f>
        <v>65000</v>
      </c>
      <c r="N3541" s="273"/>
    </row>
    <row r="3542" spans="1:14" ht="12.75" customHeight="1" x14ac:dyDescent="0.25">
      <c r="A3542" s="4"/>
      <c r="B3542" s="4"/>
      <c r="C3542" s="4"/>
      <c r="D3542" s="4"/>
      <c r="E3542" s="4"/>
      <c r="F3542" s="4"/>
      <c r="G3542" s="4"/>
      <c r="H3542" s="4"/>
      <c r="I3542" s="4"/>
      <c r="J3542" s="4"/>
      <c r="K3542" s="4"/>
      <c r="L3542" s="4"/>
      <c r="M3542" s="4"/>
      <c r="N3542" s="4"/>
    </row>
    <row r="3543" spans="1:14" ht="12.75" customHeight="1" x14ac:dyDescent="0.2">
      <c r="A3543" s="398" t="s">
        <v>926</v>
      </c>
      <c r="B3543" s="271"/>
      <c r="C3543" s="271"/>
      <c r="D3543" s="271"/>
      <c r="E3543" s="271"/>
      <c r="F3543" s="271"/>
      <c r="G3543" s="271"/>
      <c r="H3543" s="271"/>
      <c r="I3543" s="271"/>
      <c r="J3543" s="271"/>
      <c r="K3543" s="271"/>
      <c r="L3543" s="271"/>
      <c r="M3543" s="271"/>
      <c r="N3543" s="273"/>
    </row>
    <row r="3544" spans="1:14" ht="12.75" customHeight="1" x14ac:dyDescent="0.2">
      <c r="A3544" s="396" t="s">
        <v>76</v>
      </c>
      <c r="B3544" s="271"/>
      <c r="C3544" s="271"/>
      <c r="D3544" s="271"/>
      <c r="E3544" s="271"/>
      <c r="F3544" s="271"/>
      <c r="G3544" s="273"/>
      <c r="H3544" s="88" t="s">
        <v>77</v>
      </c>
      <c r="I3544" s="399" t="s">
        <v>920</v>
      </c>
      <c r="J3544" s="273"/>
      <c r="K3544" s="399" t="s">
        <v>453</v>
      </c>
      <c r="L3544" s="273"/>
      <c r="M3544" s="399" t="s">
        <v>921</v>
      </c>
      <c r="N3544" s="273"/>
    </row>
    <row r="3545" spans="1:14" ht="12.75" customHeight="1" x14ac:dyDescent="0.2">
      <c r="A3545" s="400" t="s">
        <v>927</v>
      </c>
      <c r="B3545" s="271"/>
      <c r="C3545" s="271"/>
      <c r="D3545" s="271"/>
      <c r="E3545" s="271"/>
      <c r="F3545" s="271"/>
      <c r="G3545" s="273"/>
      <c r="H3545" s="29" t="str">
        <f>IF(A3545="","",VLOOKUP(A3545,AA_Equipos,7,FALSE))</f>
        <v>% M.O.</v>
      </c>
      <c r="I3545" s="394">
        <f>+M3568</f>
        <v>0</v>
      </c>
      <c r="J3545" s="273"/>
      <c r="K3545" s="404">
        <v>0</v>
      </c>
      <c r="L3545" s="273"/>
      <c r="M3545" s="394">
        <f t="shared" ref="M3545:M3549" si="486">IF(A3545="","",I3545*K3545)</f>
        <v>0</v>
      </c>
      <c r="N3545" s="273"/>
    </row>
    <row r="3546" spans="1:14" ht="12.75" customHeight="1" x14ac:dyDescent="0.2">
      <c r="A3546" s="403"/>
      <c r="B3546" s="271"/>
      <c r="C3546" s="271"/>
      <c r="D3546" s="271"/>
      <c r="E3546" s="271"/>
      <c r="F3546" s="271"/>
      <c r="G3546" s="273"/>
      <c r="H3546" s="29" t="str">
        <f>IF(A3546="","",VLOOKUP(A3546,AA_Equipos,7,FALSE))</f>
        <v/>
      </c>
      <c r="I3546" s="394" t="str">
        <f>IF(A3546="","",VLOOKUP(A3546,AA_Equipos,8,FALSE))</f>
        <v/>
      </c>
      <c r="J3546" s="273"/>
      <c r="K3546" s="402"/>
      <c r="L3546" s="273"/>
      <c r="M3546" s="394" t="str">
        <f t="shared" si="486"/>
        <v/>
      </c>
      <c r="N3546" s="273"/>
    </row>
    <row r="3547" spans="1:14" ht="12.75" customHeight="1" x14ac:dyDescent="0.2">
      <c r="A3547" s="400"/>
      <c r="B3547" s="271"/>
      <c r="C3547" s="271"/>
      <c r="D3547" s="271"/>
      <c r="E3547" s="271"/>
      <c r="F3547" s="271"/>
      <c r="G3547" s="273"/>
      <c r="H3547" s="29" t="str">
        <f>IF(A3547="","",VLOOKUP(A3547,AA_Equipos,7,FALSE))</f>
        <v/>
      </c>
      <c r="I3547" s="394" t="str">
        <f>IF(A3547="","",VLOOKUP(A3547,AA_Equipos,8,FALSE))</f>
        <v/>
      </c>
      <c r="J3547" s="273"/>
      <c r="K3547" s="401"/>
      <c r="L3547" s="273"/>
      <c r="M3547" s="394" t="str">
        <f t="shared" si="486"/>
        <v/>
      </c>
      <c r="N3547" s="273"/>
    </row>
    <row r="3548" spans="1:14" ht="12.75" customHeight="1" x14ac:dyDescent="0.2">
      <c r="A3548" s="400"/>
      <c r="B3548" s="271"/>
      <c r="C3548" s="271"/>
      <c r="D3548" s="271"/>
      <c r="E3548" s="271"/>
      <c r="F3548" s="271"/>
      <c r="G3548" s="273"/>
      <c r="H3548" s="29" t="str">
        <f>IF(A3548="","",VLOOKUP(A3548,AA_Equipos,7,FALSE))</f>
        <v/>
      </c>
      <c r="I3548" s="394" t="str">
        <f>IF(A3548="","",VLOOKUP(A3548,AA_Equipos,8,FALSE))</f>
        <v/>
      </c>
      <c r="J3548" s="273"/>
      <c r="K3548" s="395"/>
      <c r="L3548" s="273"/>
      <c r="M3548" s="394" t="str">
        <f t="shared" si="486"/>
        <v/>
      </c>
      <c r="N3548" s="273"/>
    </row>
    <row r="3549" spans="1:14" ht="12.75" customHeight="1" x14ac:dyDescent="0.2">
      <c r="A3549" s="400"/>
      <c r="B3549" s="271"/>
      <c r="C3549" s="271"/>
      <c r="D3549" s="271"/>
      <c r="E3549" s="271"/>
      <c r="F3549" s="271"/>
      <c r="G3549" s="273"/>
      <c r="H3549" s="29" t="str">
        <f>IF(A3549="","",VLOOKUP(A3549,AA_Equipos,7,FALSE))</f>
        <v/>
      </c>
      <c r="I3549" s="394" t="str">
        <f>IF(A3549="","",VLOOKUP(A3549,AA_Equipos,8,FALSE))</f>
        <v/>
      </c>
      <c r="J3549" s="273"/>
      <c r="K3549" s="395"/>
      <c r="L3549" s="273"/>
      <c r="M3549" s="394" t="str">
        <f t="shared" si="486"/>
        <v/>
      </c>
      <c r="N3549" s="273"/>
    </row>
    <row r="3550" spans="1:14" ht="12.75" customHeight="1" x14ac:dyDescent="0.25">
      <c r="A3550" s="4"/>
      <c r="B3550" s="4"/>
      <c r="C3550" s="4"/>
      <c r="D3550" s="4"/>
      <c r="E3550" s="4"/>
      <c r="F3550" s="4"/>
      <c r="G3550" s="4"/>
      <c r="H3550" s="4"/>
      <c r="I3550" s="4"/>
      <c r="J3550" s="4"/>
      <c r="K3550" s="396" t="s">
        <v>444</v>
      </c>
      <c r="L3550" s="273"/>
      <c r="M3550" s="394">
        <f>SUM(M3545:N3549)</f>
        <v>0</v>
      </c>
      <c r="N3550" s="273"/>
    </row>
    <row r="3551" spans="1:14" ht="12.75" customHeight="1" x14ac:dyDescent="0.25">
      <c r="A3551" s="4"/>
      <c r="B3551" s="4"/>
      <c r="C3551" s="4"/>
      <c r="D3551" s="4"/>
      <c r="E3551" s="4"/>
      <c r="F3551" s="4"/>
      <c r="G3551" s="4"/>
      <c r="H3551" s="4"/>
      <c r="I3551" s="4"/>
      <c r="J3551" s="4"/>
      <c r="K3551" s="4"/>
      <c r="L3551" s="4"/>
      <c r="M3551" s="4"/>
      <c r="N3551" s="4"/>
    </row>
    <row r="3552" spans="1:14" ht="12.75" customHeight="1" x14ac:dyDescent="0.2">
      <c r="A3552" s="398" t="s">
        <v>929</v>
      </c>
      <c r="B3552" s="271"/>
      <c r="C3552" s="271"/>
      <c r="D3552" s="271"/>
      <c r="E3552" s="271"/>
      <c r="F3552" s="271"/>
      <c r="G3552" s="271"/>
      <c r="H3552" s="271"/>
      <c r="I3552" s="271"/>
      <c r="J3552" s="271"/>
      <c r="K3552" s="271"/>
      <c r="L3552" s="271"/>
      <c r="M3552" s="271"/>
      <c r="N3552" s="273"/>
    </row>
    <row r="3553" spans="1:14" ht="12.75" customHeight="1" x14ac:dyDescent="0.2">
      <c r="A3553" s="396" t="s">
        <v>76</v>
      </c>
      <c r="B3553" s="271"/>
      <c r="C3553" s="271"/>
      <c r="D3553" s="271"/>
      <c r="E3553" s="271"/>
      <c r="F3553" s="271"/>
      <c r="G3553" s="273"/>
      <c r="H3553" s="88" t="s">
        <v>77</v>
      </c>
      <c r="I3553" s="399" t="s">
        <v>920</v>
      </c>
      <c r="J3553" s="273"/>
      <c r="K3553" s="399" t="s">
        <v>453</v>
      </c>
      <c r="L3553" s="273"/>
      <c r="M3553" s="399" t="s">
        <v>921</v>
      </c>
      <c r="N3553" s="273"/>
    </row>
    <row r="3554" spans="1:14" ht="12.75" customHeight="1" x14ac:dyDescent="0.2">
      <c r="A3554" s="400" t="s">
        <v>966</v>
      </c>
      <c r="B3554" s="271"/>
      <c r="C3554" s="271"/>
      <c r="D3554" s="271"/>
      <c r="E3554" s="271"/>
      <c r="F3554" s="271"/>
      <c r="G3554" s="273"/>
      <c r="H3554" s="29" t="s">
        <v>950</v>
      </c>
      <c r="I3554" s="394">
        <f>+M3541</f>
        <v>65000</v>
      </c>
      <c r="J3554" s="273"/>
      <c r="K3554" s="404">
        <v>0.05</v>
      </c>
      <c r="L3554" s="273"/>
      <c r="M3554" s="394">
        <f t="shared" ref="M3554:M3558" si="487">IF(A3554="","",I3554*K3554)</f>
        <v>3250</v>
      </c>
      <c r="N3554" s="273"/>
    </row>
    <row r="3555" spans="1:14" ht="12.75" customHeight="1" x14ac:dyDescent="0.2">
      <c r="A3555" s="403"/>
      <c r="B3555" s="271"/>
      <c r="C3555" s="271"/>
      <c r="D3555" s="271"/>
      <c r="E3555" s="271"/>
      <c r="F3555" s="271"/>
      <c r="G3555" s="273"/>
      <c r="H3555" s="29"/>
      <c r="I3555" s="394"/>
      <c r="J3555" s="273"/>
      <c r="K3555" s="404"/>
      <c r="L3555" s="273"/>
      <c r="M3555" s="394" t="str">
        <f t="shared" si="487"/>
        <v/>
      </c>
      <c r="N3555" s="273"/>
    </row>
    <row r="3556" spans="1:14" ht="12.75" customHeight="1" x14ac:dyDescent="0.2">
      <c r="A3556" s="400"/>
      <c r="B3556" s="271"/>
      <c r="C3556" s="271"/>
      <c r="D3556" s="271"/>
      <c r="E3556" s="271"/>
      <c r="F3556" s="271"/>
      <c r="G3556" s="273"/>
      <c r="H3556" s="29"/>
      <c r="I3556" s="394"/>
      <c r="J3556" s="273"/>
      <c r="K3556" s="395"/>
      <c r="L3556" s="273"/>
      <c r="M3556" s="394" t="str">
        <f t="shared" si="487"/>
        <v/>
      </c>
      <c r="N3556" s="273"/>
    </row>
    <row r="3557" spans="1:14" ht="12.75" customHeight="1" x14ac:dyDescent="0.2">
      <c r="A3557" s="400"/>
      <c r="B3557" s="271"/>
      <c r="C3557" s="271"/>
      <c r="D3557" s="271"/>
      <c r="E3557" s="271"/>
      <c r="F3557" s="271"/>
      <c r="G3557" s="273"/>
      <c r="H3557" s="29"/>
      <c r="I3557" s="394"/>
      <c r="J3557" s="273"/>
      <c r="K3557" s="395"/>
      <c r="L3557" s="273"/>
      <c r="M3557" s="394" t="str">
        <f t="shared" si="487"/>
        <v/>
      </c>
      <c r="N3557" s="273"/>
    </row>
    <row r="3558" spans="1:14" ht="12.75" customHeight="1" x14ac:dyDescent="0.2">
      <c r="A3558" s="400"/>
      <c r="B3558" s="271"/>
      <c r="C3558" s="271"/>
      <c r="D3558" s="271"/>
      <c r="E3558" s="271"/>
      <c r="F3558" s="271"/>
      <c r="G3558" s="273"/>
      <c r="H3558" s="29"/>
      <c r="I3558" s="394"/>
      <c r="J3558" s="273"/>
      <c r="K3558" s="395"/>
      <c r="L3558" s="273"/>
      <c r="M3558" s="394" t="str">
        <f t="shared" si="487"/>
        <v/>
      </c>
      <c r="N3558" s="273"/>
    </row>
    <row r="3559" spans="1:14" ht="12.75" customHeight="1" x14ac:dyDescent="0.25">
      <c r="A3559" s="4"/>
      <c r="B3559" s="4"/>
      <c r="C3559" s="4"/>
      <c r="D3559" s="4"/>
      <c r="E3559" s="4"/>
      <c r="F3559" s="4"/>
      <c r="G3559" s="4"/>
      <c r="H3559" s="4"/>
      <c r="I3559" s="4"/>
      <c r="J3559" s="4"/>
      <c r="K3559" s="396" t="s">
        <v>444</v>
      </c>
      <c r="L3559" s="273"/>
      <c r="M3559" s="394">
        <f>SUM(M3554:N3558)</f>
        <v>3250</v>
      </c>
      <c r="N3559" s="273"/>
    </row>
    <row r="3560" spans="1:14" ht="12.75" customHeight="1" x14ac:dyDescent="0.25">
      <c r="A3560" s="4"/>
      <c r="B3560" s="4"/>
      <c r="C3560" s="4"/>
      <c r="D3560" s="4"/>
      <c r="E3560" s="4"/>
      <c r="F3560" s="4"/>
      <c r="G3560" s="4"/>
      <c r="H3560" s="4"/>
      <c r="I3560" s="4"/>
      <c r="J3560" s="4"/>
      <c r="K3560" s="4"/>
      <c r="L3560" s="4"/>
      <c r="M3560" s="4"/>
      <c r="N3560" s="4"/>
    </row>
    <row r="3561" spans="1:14" ht="12.75" customHeight="1" x14ac:dyDescent="0.2">
      <c r="A3561" s="398" t="s">
        <v>931</v>
      </c>
      <c r="B3561" s="271"/>
      <c r="C3561" s="271"/>
      <c r="D3561" s="271"/>
      <c r="E3561" s="271"/>
      <c r="F3561" s="271"/>
      <c r="G3561" s="271"/>
      <c r="H3561" s="271"/>
      <c r="I3561" s="271"/>
      <c r="J3561" s="271"/>
      <c r="K3561" s="271"/>
      <c r="L3561" s="271"/>
      <c r="M3561" s="271"/>
      <c r="N3561" s="273"/>
    </row>
    <row r="3562" spans="1:14" ht="12.75" customHeight="1" x14ac:dyDescent="0.2">
      <c r="A3562" s="396" t="s">
        <v>76</v>
      </c>
      <c r="B3562" s="271"/>
      <c r="C3562" s="271"/>
      <c r="D3562" s="271"/>
      <c r="E3562" s="271"/>
      <c r="F3562" s="271"/>
      <c r="G3562" s="273"/>
      <c r="H3562" s="88" t="s">
        <v>77</v>
      </c>
      <c r="I3562" s="399" t="s">
        <v>920</v>
      </c>
      <c r="J3562" s="273"/>
      <c r="K3562" s="90" t="s">
        <v>514</v>
      </c>
      <c r="L3562" s="91" t="s">
        <v>932</v>
      </c>
      <c r="M3562" s="399" t="s">
        <v>921</v>
      </c>
      <c r="N3562" s="273"/>
    </row>
    <row r="3563" spans="1:14" ht="12.75" customHeight="1" x14ac:dyDescent="0.25">
      <c r="A3563" s="393" t="s">
        <v>1106</v>
      </c>
      <c r="B3563" s="271"/>
      <c r="C3563" s="271"/>
      <c r="D3563" s="271"/>
      <c r="E3563" s="271"/>
      <c r="F3563" s="271"/>
      <c r="G3563" s="273"/>
      <c r="H3563" s="29" t="str">
        <f>IF(A3563="","",VLOOKUP(A3563,AA_Cuadrillas,4,FALSE))</f>
        <v>Cuadrilla</v>
      </c>
      <c r="I3563" s="394">
        <f>IF(A3563="","",VLOOKUP(A3563,AA_Cuadrillas,5,FALSE))</f>
        <v>256799</v>
      </c>
      <c r="J3563" s="273"/>
      <c r="K3563" s="9">
        <f>IF(A3563="","",F.P!$I$2)</f>
        <v>1.88</v>
      </c>
      <c r="L3563" s="97">
        <v>0</v>
      </c>
      <c r="M3563" s="394">
        <f t="shared" ref="M3563:M3567" si="488">IF(A3563="","",I3563*K3563*L3563)</f>
        <v>0</v>
      </c>
      <c r="N3563" s="273"/>
    </row>
    <row r="3564" spans="1:14" ht="12.75" customHeight="1" x14ac:dyDescent="0.25">
      <c r="A3564" s="393"/>
      <c r="B3564" s="271"/>
      <c r="C3564" s="271"/>
      <c r="D3564" s="271"/>
      <c r="E3564" s="271"/>
      <c r="F3564" s="271"/>
      <c r="G3564" s="273"/>
      <c r="H3564" s="29" t="str">
        <f>IF(A3564="","",VLOOKUP(A3564,AA_Cuadrillas,4,FALSE))</f>
        <v/>
      </c>
      <c r="I3564" s="394" t="str">
        <f>IF(A3564="","",VLOOKUP(A3564,AA_Cuadrillas,5,FALSE))</f>
        <v/>
      </c>
      <c r="J3564" s="273"/>
      <c r="K3564" s="9" t="str">
        <f>IF(A3564="","",F.P!$I$2)</f>
        <v/>
      </c>
      <c r="L3564" s="9"/>
      <c r="M3564" s="394" t="str">
        <f t="shared" si="488"/>
        <v/>
      </c>
      <c r="N3564" s="273"/>
    </row>
    <row r="3565" spans="1:14" ht="12.75" customHeight="1" x14ac:dyDescent="0.25">
      <c r="A3565" s="393"/>
      <c r="B3565" s="271"/>
      <c r="C3565" s="271"/>
      <c r="D3565" s="271"/>
      <c r="E3565" s="271"/>
      <c r="F3565" s="271"/>
      <c r="G3565" s="273"/>
      <c r="H3565" s="29" t="str">
        <f>IF(A3565="","",VLOOKUP(A3565,AA_Cuadrillas,4,FALSE))</f>
        <v/>
      </c>
      <c r="I3565" s="394" t="str">
        <f>IF(A3565="","",VLOOKUP(A3565,AA_Cuadrillas,5,FALSE))</f>
        <v/>
      </c>
      <c r="J3565" s="273"/>
      <c r="K3565" s="9" t="str">
        <f>IF(A3565="","",F.P!$I$2)</f>
        <v/>
      </c>
      <c r="L3565" s="37"/>
      <c r="M3565" s="394" t="str">
        <f t="shared" si="488"/>
        <v/>
      </c>
      <c r="N3565" s="273"/>
    </row>
    <row r="3566" spans="1:14" ht="12.75" customHeight="1" x14ac:dyDescent="0.25">
      <c r="A3566" s="393"/>
      <c r="B3566" s="271"/>
      <c r="C3566" s="271"/>
      <c r="D3566" s="271"/>
      <c r="E3566" s="271"/>
      <c r="F3566" s="271"/>
      <c r="G3566" s="273"/>
      <c r="H3566" s="29" t="str">
        <f>IF(A3566="","",VLOOKUP(A3566,AA_Cuadrillas,4,FALSE))</f>
        <v/>
      </c>
      <c r="I3566" s="394" t="str">
        <f>IF(A3566="","",VLOOKUP(A3566,AA_Cuadrillas,5,FALSE))</f>
        <v/>
      </c>
      <c r="J3566" s="273"/>
      <c r="K3566" s="9" t="str">
        <f>IF(A3566="","",F.P!$I$2)</f>
        <v/>
      </c>
      <c r="L3566" s="37"/>
      <c r="M3566" s="394" t="str">
        <f t="shared" si="488"/>
        <v/>
      </c>
      <c r="N3566" s="273"/>
    </row>
    <row r="3567" spans="1:14" ht="12.75" customHeight="1" x14ac:dyDescent="0.25">
      <c r="A3567" s="393"/>
      <c r="B3567" s="271"/>
      <c r="C3567" s="271"/>
      <c r="D3567" s="271"/>
      <c r="E3567" s="271"/>
      <c r="F3567" s="271"/>
      <c r="G3567" s="273"/>
      <c r="H3567" s="29" t="str">
        <f>IF(A3567="","",VLOOKUP(A3567,AA_Cuadrillas,4,FALSE))</f>
        <v/>
      </c>
      <c r="I3567" s="394" t="str">
        <f>IF(A3567="","",VLOOKUP(A3567,AA_Cuadrillas,5,FALSE))</f>
        <v/>
      </c>
      <c r="J3567" s="273"/>
      <c r="K3567" s="9" t="str">
        <f>IF(A3567="","",F.P!$I$2)</f>
        <v/>
      </c>
      <c r="L3567" s="37"/>
      <c r="M3567" s="394" t="str">
        <f t="shared" si="488"/>
        <v/>
      </c>
      <c r="N3567" s="273"/>
    </row>
    <row r="3568" spans="1:14" ht="12.75" customHeight="1" x14ac:dyDescent="0.25">
      <c r="A3568" s="4"/>
      <c r="B3568" s="4"/>
      <c r="C3568" s="4"/>
      <c r="D3568" s="4"/>
      <c r="E3568" s="4"/>
      <c r="F3568" s="4"/>
      <c r="G3568" s="4"/>
      <c r="H3568" s="4"/>
      <c r="I3568" s="4"/>
      <c r="J3568" s="4"/>
      <c r="K3568" s="396" t="s">
        <v>444</v>
      </c>
      <c r="L3568" s="273"/>
      <c r="M3568" s="394">
        <f>SUM(M3563:N3567)</f>
        <v>0</v>
      </c>
      <c r="N3568" s="273"/>
    </row>
    <row r="3569" spans="1:14" ht="12.75" customHeight="1" x14ac:dyDescent="0.2"/>
    <row r="3570" spans="1:14" ht="12.75" customHeight="1" x14ac:dyDescent="0.2">
      <c r="A3570" s="407" t="s">
        <v>1138</v>
      </c>
      <c r="B3570" s="275"/>
      <c r="C3570" s="275"/>
      <c r="D3570" s="275"/>
      <c r="E3570" s="275"/>
      <c r="F3570" s="275"/>
      <c r="G3570" s="275"/>
      <c r="H3570" s="275"/>
      <c r="I3570" s="275"/>
      <c r="J3570" s="275"/>
      <c r="K3570" s="275"/>
      <c r="L3570" s="275"/>
      <c r="M3570" s="275"/>
      <c r="N3570" s="276"/>
    </row>
    <row r="3571" spans="1:14" ht="12.75" customHeight="1" x14ac:dyDescent="0.2">
      <c r="A3571" s="277"/>
      <c r="B3571" s="278"/>
      <c r="C3571" s="278"/>
      <c r="D3571" s="278"/>
      <c r="E3571" s="278"/>
      <c r="F3571" s="278"/>
      <c r="G3571" s="278"/>
      <c r="H3571" s="278"/>
      <c r="I3571" s="278"/>
      <c r="J3571" s="278"/>
      <c r="K3571" s="278"/>
      <c r="L3571" s="278"/>
      <c r="M3571" s="278"/>
      <c r="N3571" s="279"/>
    </row>
    <row r="3572" spans="1:14" ht="12.75" customHeight="1" x14ac:dyDescent="0.2">
      <c r="A3572" s="75"/>
      <c r="B3572" s="75"/>
      <c r="C3572" s="75"/>
      <c r="D3572" s="75"/>
      <c r="E3572" s="75"/>
      <c r="F3572" s="75"/>
      <c r="G3572" s="75"/>
      <c r="H3572" s="75"/>
      <c r="I3572" s="75"/>
      <c r="J3572" s="75"/>
      <c r="K3572" s="75"/>
      <c r="L3572" s="75"/>
      <c r="M3572" s="75"/>
      <c r="N3572" s="75"/>
    </row>
    <row r="3573" spans="1:14" ht="12.75" customHeight="1" x14ac:dyDescent="0.3">
      <c r="A3573" s="79" t="s">
        <v>697</v>
      </c>
      <c r="B3573" s="80" t="str">
        <f>A3570</f>
        <v>SUMINISTRO E INSTALACIÓN DE NIPLE DE 0,50M Ø2" EN HIERRO DUCTIL</v>
      </c>
      <c r="C3573" s="81" t="s">
        <v>916</v>
      </c>
      <c r="D3573" s="82" t="s">
        <v>999</v>
      </c>
      <c r="E3573" s="83" t="s">
        <v>445</v>
      </c>
      <c r="F3573" s="86">
        <f>H3573+J3573+L3573+N3573</f>
        <v>94500</v>
      </c>
      <c r="G3573" s="83" t="s">
        <v>607</v>
      </c>
      <c r="H3573" s="86">
        <f>M3583</f>
        <v>90000</v>
      </c>
      <c r="I3573" s="83" t="s">
        <v>918</v>
      </c>
      <c r="J3573" s="86">
        <f>M3592</f>
        <v>0</v>
      </c>
      <c r="K3573" s="83" t="s">
        <v>609</v>
      </c>
      <c r="L3573" s="86">
        <f>M3601</f>
        <v>4500</v>
      </c>
      <c r="M3573" s="83" t="s">
        <v>610</v>
      </c>
      <c r="N3573" s="86">
        <f>M3610</f>
        <v>0</v>
      </c>
    </row>
    <row r="3574" spans="1:14" ht="12.75" customHeight="1" x14ac:dyDescent="0.25">
      <c r="A3574" s="87"/>
      <c r="B3574" s="87"/>
      <c r="C3574" s="87"/>
      <c r="D3574" s="87"/>
      <c r="E3574" s="87"/>
      <c r="F3574" s="87"/>
      <c r="G3574" s="87"/>
      <c r="J3574" s="87"/>
      <c r="K3574" s="215" t="s">
        <v>3217</v>
      </c>
      <c r="L3574" s="215">
        <f>+F3573*presup!$O$5</f>
        <v>122850</v>
      </c>
      <c r="M3574" s="87"/>
      <c r="N3574" s="87"/>
    </row>
    <row r="3575" spans="1:14" ht="12.75" customHeight="1" x14ac:dyDescent="0.2">
      <c r="A3575" s="398" t="s">
        <v>919</v>
      </c>
      <c r="B3575" s="271"/>
      <c r="C3575" s="271"/>
      <c r="D3575" s="271"/>
      <c r="E3575" s="271"/>
      <c r="F3575" s="271"/>
      <c r="G3575" s="271"/>
      <c r="H3575" s="271"/>
      <c r="I3575" s="271"/>
      <c r="J3575" s="271"/>
      <c r="K3575" s="271"/>
      <c r="L3575" s="271"/>
      <c r="M3575" s="271"/>
      <c r="N3575" s="273"/>
    </row>
    <row r="3576" spans="1:14" ht="12.75" customHeight="1" x14ac:dyDescent="0.2">
      <c r="A3576" s="396" t="s">
        <v>76</v>
      </c>
      <c r="B3576" s="271"/>
      <c r="C3576" s="271"/>
      <c r="D3576" s="271"/>
      <c r="E3576" s="271"/>
      <c r="F3576" s="271"/>
      <c r="G3576" s="273"/>
      <c r="H3576" s="88" t="s">
        <v>77</v>
      </c>
      <c r="I3576" s="399" t="s">
        <v>920</v>
      </c>
      <c r="J3576" s="273"/>
      <c r="K3576" s="399" t="s">
        <v>453</v>
      </c>
      <c r="L3576" s="273"/>
      <c r="M3576" s="399" t="s">
        <v>921</v>
      </c>
      <c r="N3576" s="273"/>
    </row>
    <row r="3577" spans="1:14" ht="12.75" customHeight="1" x14ac:dyDescent="0.2">
      <c r="A3577" s="403" t="s">
        <v>1139</v>
      </c>
      <c r="B3577" s="271"/>
      <c r="C3577" s="271"/>
      <c r="D3577" s="271"/>
      <c r="E3577" s="271"/>
      <c r="F3577" s="271"/>
      <c r="G3577" s="273"/>
      <c r="H3577" s="29" t="str">
        <f t="shared" ref="H3577:H3582" si="489">IF(A3577="","",VLOOKUP(A3577,AA_Materiales,7,FALSE))</f>
        <v>Unidad</v>
      </c>
      <c r="I3577" s="394">
        <f t="shared" ref="I3577:I3582" si="490">IF(A3577="","",VLOOKUP(A3577,AA_Materiales,8,FALSE))</f>
        <v>90000</v>
      </c>
      <c r="J3577" s="273"/>
      <c r="K3577" s="395">
        <v>1</v>
      </c>
      <c r="L3577" s="273"/>
      <c r="M3577" s="394">
        <f t="shared" ref="M3577:M3582" si="491">IF(A3577="","",I3577*K3577)</f>
        <v>90000</v>
      </c>
      <c r="N3577" s="273"/>
    </row>
    <row r="3578" spans="1:14" ht="12.75" customHeight="1" x14ac:dyDescent="0.2">
      <c r="A3578" s="403"/>
      <c r="B3578" s="271"/>
      <c r="C3578" s="271"/>
      <c r="D3578" s="271"/>
      <c r="E3578" s="271"/>
      <c r="F3578" s="271"/>
      <c r="G3578" s="273"/>
      <c r="H3578" s="29" t="str">
        <f t="shared" si="489"/>
        <v/>
      </c>
      <c r="I3578" s="394" t="str">
        <f t="shared" si="490"/>
        <v/>
      </c>
      <c r="J3578" s="273"/>
      <c r="K3578" s="395"/>
      <c r="L3578" s="273"/>
      <c r="M3578" s="394" t="str">
        <f t="shared" si="491"/>
        <v/>
      </c>
      <c r="N3578" s="273"/>
    </row>
    <row r="3579" spans="1:14" ht="12.75" customHeight="1" x14ac:dyDescent="0.2">
      <c r="A3579" s="403"/>
      <c r="B3579" s="271"/>
      <c r="C3579" s="271"/>
      <c r="D3579" s="271"/>
      <c r="E3579" s="271"/>
      <c r="F3579" s="271"/>
      <c r="G3579" s="273"/>
      <c r="H3579" s="29" t="str">
        <f t="shared" si="489"/>
        <v/>
      </c>
      <c r="I3579" s="394" t="str">
        <f t="shared" si="490"/>
        <v/>
      </c>
      <c r="J3579" s="273"/>
      <c r="K3579" s="395"/>
      <c r="L3579" s="273"/>
      <c r="M3579" s="394" t="str">
        <f t="shared" si="491"/>
        <v/>
      </c>
      <c r="N3579" s="273"/>
    </row>
    <row r="3580" spans="1:14" ht="12.75" customHeight="1" x14ac:dyDescent="0.2">
      <c r="A3580" s="403"/>
      <c r="B3580" s="271"/>
      <c r="C3580" s="271"/>
      <c r="D3580" s="271"/>
      <c r="E3580" s="271"/>
      <c r="F3580" s="271"/>
      <c r="G3580" s="273"/>
      <c r="H3580" s="29" t="str">
        <f t="shared" si="489"/>
        <v/>
      </c>
      <c r="I3580" s="394" t="str">
        <f t="shared" si="490"/>
        <v/>
      </c>
      <c r="J3580" s="273"/>
      <c r="K3580" s="395"/>
      <c r="L3580" s="273"/>
      <c r="M3580" s="394" t="str">
        <f t="shared" si="491"/>
        <v/>
      </c>
      <c r="N3580" s="273"/>
    </row>
    <row r="3581" spans="1:14" ht="12.75" customHeight="1" x14ac:dyDescent="0.2">
      <c r="A3581" s="403"/>
      <c r="B3581" s="271"/>
      <c r="C3581" s="271"/>
      <c r="D3581" s="271"/>
      <c r="E3581" s="271"/>
      <c r="F3581" s="271"/>
      <c r="G3581" s="273"/>
      <c r="H3581" s="29" t="str">
        <f t="shared" si="489"/>
        <v/>
      </c>
      <c r="I3581" s="394" t="str">
        <f t="shared" si="490"/>
        <v/>
      </c>
      <c r="J3581" s="273"/>
      <c r="K3581" s="395"/>
      <c r="L3581" s="273"/>
      <c r="M3581" s="394" t="str">
        <f t="shared" si="491"/>
        <v/>
      </c>
      <c r="N3581" s="273"/>
    </row>
    <row r="3582" spans="1:14" ht="12.75" customHeight="1" x14ac:dyDescent="0.2">
      <c r="A3582" s="403"/>
      <c r="B3582" s="271"/>
      <c r="C3582" s="271"/>
      <c r="D3582" s="271"/>
      <c r="E3582" s="271"/>
      <c r="F3582" s="271"/>
      <c r="G3582" s="273"/>
      <c r="H3582" s="29" t="str">
        <f t="shared" si="489"/>
        <v/>
      </c>
      <c r="I3582" s="394" t="str">
        <f t="shared" si="490"/>
        <v/>
      </c>
      <c r="J3582" s="273"/>
      <c r="K3582" s="395"/>
      <c r="L3582" s="273"/>
      <c r="M3582" s="394" t="str">
        <f t="shared" si="491"/>
        <v/>
      </c>
      <c r="N3582" s="273"/>
    </row>
    <row r="3583" spans="1:14" ht="12.75" customHeight="1" x14ac:dyDescent="0.25">
      <c r="A3583" s="4"/>
      <c r="B3583" s="4"/>
      <c r="C3583" s="4"/>
      <c r="D3583" s="4"/>
      <c r="E3583" s="4"/>
      <c r="F3583" s="4"/>
      <c r="G3583" s="4"/>
      <c r="H3583" s="4"/>
      <c r="I3583" s="4"/>
      <c r="J3583" s="4"/>
      <c r="K3583" s="396" t="s">
        <v>444</v>
      </c>
      <c r="L3583" s="273"/>
      <c r="M3583" s="394">
        <f>SUM(M3577:N3582)</f>
        <v>90000</v>
      </c>
      <c r="N3583" s="273"/>
    </row>
    <row r="3584" spans="1:14" ht="12.75" customHeight="1" x14ac:dyDescent="0.25">
      <c r="A3584" s="4"/>
      <c r="B3584" s="4"/>
      <c r="C3584" s="4"/>
      <c r="D3584" s="4"/>
      <c r="E3584" s="4"/>
      <c r="F3584" s="4"/>
      <c r="G3584" s="4"/>
      <c r="H3584" s="4"/>
      <c r="I3584" s="4"/>
      <c r="J3584" s="4"/>
      <c r="K3584" s="4"/>
      <c r="L3584" s="4"/>
      <c r="M3584" s="4"/>
      <c r="N3584" s="4"/>
    </row>
    <row r="3585" spans="1:14" ht="12.75" customHeight="1" x14ac:dyDescent="0.2">
      <c r="A3585" s="398" t="s">
        <v>926</v>
      </c>
      <c r="B3585" s="271"/>
      <c r="C3585" s="271"/>
      <c r="D3585" s="271"/>
      <c r="E3585" s="271"/>
      <c r="F3585" s="271"/>
      <c r="G3585" s="271"/>
      <c r="H3585" s="271"/>
      <c r="I3585" s="271"/>
      <c r="J3585" s="271"/>
      <c r="K3585" s="271"/>
      <c r="L3585" s="271"/>
      <c r="M3585" s="271"/>
      <c r="N3585" s="273"/>
    </row>
    <row r="3586" spans="1:14" ht="12.75" customHeight="1" x14ac:dyDescent="0.2">
      <c r="A3586" s="396" t="s">
        <v>76</v>
      </c>
      <c r="B3586" s="271"/>
      <c r="C3586" s="271"/>
      <c r="D3586" s="271"/>
      <c r="E3586" s="271"/>
      <c r="F3586" s="271"/>
      <c r="G3586" s="273"/>
      <c r="H3586" s="88" t="s">
        <v>77</v>
      </c>
      <c r="I3586" s="399" t="s">
        <v>920</v>
      </c>
      <c r="J3586" s="273"/>
      <c r="K3586" s="399" t="s">
        <v>453</v>
      </c>
      <c r="L3586" s="273"/>
      <c r="M3586" s="399" t="s">
        <v>921</v>
      </c>
      <c r="N3586" s="273"/>
    </row>
    <row r="3587" spans="1:14" ht="12.75" customHeight="1" x14ac:dyDescent="0.2">
      <c r="A3587" s="400" t="s">
        <v>927</v>
      </c>
      <c r="B3587" s="271"/>
      <c r="C3587" s="271"/>
      <c r="D3587" s="271"/>
      <c r="E3587" s="271"/>
      <c r="F3587" s="271"/>
      <c r="G3587" s="273"/>
      <c r="H3587" s="29" t="str">
        <f>IF(A3587="","",VLOOKUP(A3587,AA_Equipos,7,FALSE))</f>
        <v>% M.O.</v>
      </c>
      <c r="I3587" s="394">
        <f>+M3610</f>
        <v>0</v>
      </c>
      <c r="J3587" s="273"/>
      <c r="K3587" s="404">
        <v>0</v>
      </c>
      <c r="L3587" s="273"/>
      <c r="M3587" s="394">
        <f t="shared" ref="M3587:M3591" si="492">IF(A3587="","",I3587*K3587)</f>
        <v>0</v>
      </c>
      <c r="N3587" s="273"/>
    </row>
    <row r="3588" spans="1:14" ht="12.75" customHeight="1" x14ac:dyDescent="0.2">
      <c r="A3588" s="403"/>
      <c r="B3588" s="271"/>
      <c r="C3588" s="271"/>
      <c r="D3588" s="271"/>
      <c r="E3588" s="271"/>
      <c r="F3588" s="271"/>
      <c r="G3588" s="273"/>
      <c r="H3588" s="29" t="str">
        <f>IF(A3588="","",VLOOKUP(A3588,AA_Equipos,7,FALSE))</f>
        <v/>
      </c>
      <c r="I3588" s="394" t="str">
        <f>IF(A3588="","",VLOOKUP(A3588,AA_Equipos,8,FALSE))</f>
        <v/>
      </c>
      <c r="J3588" s="273"/>
      <c r="K3588" s="402"/>
      <c r="L3588" s="273"/>
      <c r="M3588" s="394" t="str">
        <f t="shared" si="492"/>
        <v/>
      </c>
      <c r="N3588" s="273"/>
    </row>
    <row r="3589" spans="1:14" ht="12.75" customHeight="1" x14ac:dyDescent="0.2">
      <c r="A3589" s="400"/>
      <c r="B3589" s="271"/>
      <c r="C3589" s="271"/>
      <c r="D3589" s="271"/>
      <c r="E3589" s="271"/>
      <c r="F3589" s="271"/>
      <c r="G3589" s="273"/>
      <c r="H3589" s="29" t="str">
        <f>IF(A3589="","",VLOOKUP(A3589,AA_Equipos,7,FALSE))</f>
        <v/>
      </c>
      <c r="I3589" s="394" t="str">
        <f>IF(A3589="","",VLOOKUP(A3589,AA_Equipos,8,FALSE))</f>
        <v/>
      </c>
      <c r="J3589" s="273"/>
      <c r="K3589" s="401"/>
      <c r="L3589" s="273"/>
      <c r="M3589" s="394" t="str">
        <f t="shared" si="492"/>
        <v/>
      </c>
      <c r="N3589" s="273"/>
    </row>
    <row r="3590" spans="1:14" ht="12.75" customHeight="1" x14ac:dyDescent="0.2">
      <c r="A3590" s="400"/>
      <c r="B3590" s="271"/>
      <c r="C3590" s="271"/>
      <c r="D3590" s="271"/>
      <c r="E3590" s="271"/>
      <c r="F3590" s="271"/>
      <c r="G3590" s="273"/>
      <c r="H3590" s="29" t="str">
        <f>IF(A3590="","",VLOOKUP(A3590,AA_Equipos,7,FALSE))</f>
        <v/>
      </c>
      <c r="I3590" s="394" t="str">
        <f>IF(A3590="","",VLOOKUP(A3590,AA_Equipos,8,FALSE))</f>
        <v/>
      </c>
      <c r="J3590" s="273"/>
      <c r="K3590" s="395"/>
      <c r="L3590" s="273"/>
      <c r="M3590" s="394" t="str">
        <f t="shared" si="492"/>
        <v/>
      </c>
      <c r="N3590" s="273"/>
    </row>
    <row r="3591" spans="1:14" ht="12.75" customHeight="1" x14ac:dyDescent="0.2">
      <c r="A3591" s="400"/>
      <c r="B3591" s="271"/>
      <c r="C3591" s="271"/>
      <c r="D3591" s="271"/>
      <c r="E3591" s="271"/>
      <c r="F3591" s="271"/>
      <c r="G3591" s="273"/>
      <c r="H3591" s="29" t="str">
        <f>IF(A3591="","",VLOOKUP(A3591,AA_Equipos,7,FALSE))</f>
        <v/>
      </c>
      <c r="I3591" s="394" t="str">
        <f>IF(A3591="","",VLOOKUP(A3591,AA_Equipos,8,FALSE))</f>
        <v/>
      </c>
      <c r="J3591" s="273"/>
      <c r="K3591" s="395"/>
      <c r="L3591" s="273"/>
      <c r="M3591" s="394" t="str">
        <f t="shared" si="492"/>
        <v/>
      </c>
      <c r="N3591" s="273"/>
    </row>
    <row r="3592" spans="1:14" ht="12.75" customHeight="1" x14ac:dyDescent="0.25">
      <c r="A3592" s="4"/>
      <c r="B3592" s="4"/>
      <c r="C3592" s="4"/>
      <c r="D3592" s="4"/>
      <c r="E3592" s="4"/>
      <c r="F3592" s="4"/>
      <c r="G3592" s="4"/>
      <c r="H3592" s="4"/>
      <c r="I3592" s="4"/>
      <c r="J3592" s="4"/>
      <c r="K3592" s="396" t="s">
        <v>444</v>
      </c>
      <c r="L3592" s="273"/>
      <c r="M3592" s="394">
        <f>SUM(M3587:N3591)</f>
        <v>0</v>
      </c>
      <c r="N3592" s="273"/>
    </row>
    <row r="3593" spans="1:14" ht="12.75" customHeight="1" x14ac:dyDescent="0.25">
      <c r="A3593" s="4"/>
      <c r="B3593" s="4"/>
      <c r="C3593" s="4"/>
      <c r="D3593" s="4"/>
      <c r="E3593" s="4"/>
      <c r="F3593" s="4"/>
      <c r="G3593" s="4"/>
      <c r="H3593" s="4"/>
      <c r="I3593" s="4"/>
      <c r="J3593" s="4"/>
      <c r="K3593" s="4"/>
      <c r="L3593" s="4"/>
      <c r="M3593" s="4"/>
      <c r="N3593" s="4"/>
    </row>
    <row r="3594" spans="1:14" ht="12.75" customHeight="1" x14ac:dyDescent="0.2">
      <c r="A3594" s="398" t="s">
        <v>929</v>
      </c>
      <c r="B3594" s="271"/>
      <c r="C3594" s="271"/>
      <c r="D3594" s="271"/>
      <c r="E3594" s="271"/>
      <c r="F3594" s="271"/>
      <c r="G3594" s="271"/>
      <c r="H3594" s="271"/>
      <c r="I3594" s="271"/>
      <c r="J3594" s="271"/>
      <c r="K3594" s="271"/>
      <c r="L3594" s="271"/>
      <c r="M3594" s="271"/>
      <c r="N3594" s="273"/>
    </row>
    <row r="3595" spans="1:14" ht="12.75" customHeight="1" x14ac:dyDescent="0.2">
      <c r="A3595" s="396" t="s">
        <v>76</v>
      </c>
      <c r="B3595" s="271"/>
      <c r="C3595" s="271"/>
      <c r="D3595" s="271"/>
      <c r="E3595" s="271"/>
      <c r="F3595" s="271"/>
      <c r="G3595" s="273"/>
      <c r="H3595" s="88" t="s">
        <v>77</v>
      </c>
      <c r="I3595" s="399" t="s">
        <v>920</v>
      </c>
      <c r="J3595" s="273"/>
      <c r="K3595" s="399" t="s">
        <v>453</v>
      </c>
      <c r="L3595" s="273"/>
      <c r="M3595" s="399" t="s">
        <v>921</v>
      </c>
      <c r="N3595" s="273"/>
    </row>
    <row r="3596" spans="1:14" ht="12.75" customHeight="1" x14ac:dyDescent="0.2">
      <c r="A3596" s="400" t="s">
        <v>966</v>
      </c>
      <c r="B3596" s="271"/>
      <c r="C3596" s="271"/>
      <c r="D3596" s="271"/>
      <c r="E3596" s="271"/>
      <c r="F3596" s="271"/>
      <c r="G3596" s="273"/>
      <c r="H3596" s="29" t="s">
        <v>950</v>
      </c>
      <c r="I3596" s="394">
        <f>+M3583</f>
        <v>90000</v>
      </c>
      <c r="J3596" s="273"/>
      <c r="K3596" s="404">
        <v>0.05</v>
      </c>
      <c r="L3596" s="273"/>
      <c r="M3596" s="394">
        <f t="shared" ref="M3596:M3600" si="493">IF(A3596="","",I3596*K3596)</f>
        <v>4500</v>
      </c>
      <c r="N3596" s="273"/>
    </row>
    <row r="3597" spans="1:14" ht="12.75" customHeight="1" x14ac:dyDescent="0.2">
      <c r="A3597" s="403"/>
      <c r="B3597" s="271"/>
      <c r="C3597" s="271"/>
      <c r="D3597" s="271"/>
      <c r="E3597" s="271"/>
      <c r="F3597" s="271"/>
      <c r="G3597" s="273"/>
      <c r="H3597" s="29"/>
      <c r="I3597" s="394"/>
      <c r="J3597" s="273"/>
      <c r="K3597" s="404"/>
      <c r="L3597" s="273"/>
      <c r="M3597" s="394" t="str">
        <f t="shared" si="493"/>
        <v/>
      </c>
      <c r="N3597" s="273"/>
    </row>
    <row r="3598" spans="1:14" ht="12.75" customHeight="1" x14ac:dyDescent="0.2">
      <c r="A3598" s="400"/>
      <c r="B3598" s="271"/>
      <c r="C3598" s="271"/>
      <c r="D3598" s="271"/>
      <c r="E3598" s="271"/>
      <c r="F3598" s="271"/>
      <c r="G3598" s="273"/>
      <c r="H3598" s="29"/>
      <c r="I3598" s="394"/>
      <c r="J3598" s="273"/>
      <c r="K3598" s="395"/>
      <c r="L3598" s="273"/>
      <c r="M3598" s="394" t="str">
        <f t="shared" si="493"/>
        <v/>
      </c>
      <c r="N3598" s="273"/>
    </row>
    <row r="3599" spans="1:14" ht="12.75" customHeight="1" x14ac:dyDescent="0.2">
      <c r="A3599" s="400"/>
      <c r="B3599" s="271"/>
      <c r="C3599" s="271"/>
      <c r="D3599" s="271"/>
      <c r="E3599" s="271"/>
      <c r="F3599" s="271"/>
      <c r="G3599" s="273"/>
      <c r="H3599" s="29"/>
      <c r="I3599" s="394"/>
      <c r="J3599" s="273"/>
      <c r="K3599" s="395"/>
      <c r="L3599" s="273"/>
      <c r="M3599" s="394" t="str">
        <f t="shared" si="493"/>
        <v/>
      </c>
      <c r="N3599" s="273"/>
    </row>
    <row r="3600" spans="1:14" ht="12.75" customHeight="1" x14ac:dyDescent="0.2">
      <c r="A3600" s="400"/>
      <c r="B3600" s="271"/>
      <c r="C3600" s="271"/>
      <c r="D3600" s="271"/>
      <c r="E3600" s="271"/>
      <c r="F3600" s="271"/>
      <c r="G3600" s="273"/>
      <c r="H3600" s="29"/>
      <c r="I3600" s="394"/>
      <c r="J3600" s="273"/>
      <c r="K3600" s="395"/>
      <c r="L3600" s="273"/>
      <c r="M3600" s="394" t="str">
        <f t="shared" si="493"/>
        <v/>
      </c>
      <c r="N3600" s="273"/>
    </row>
    <row r="3601" spans="1:14" ht="12.75" customHeight="1" x14ac:dyDescent="0.25">
      <c r="A3601" s="4"/>
      <c r="B3601" s="4"/>
      <c r="C3601" s="4"/>
      <c r="D3601" s="4"/>
      <c r="E3601" s="4"/>
      <c r="F3601" s="4"/>
      <c r="G3601" s="4"/>
      <c r="H3601" s="4"/>
      <c r="I3601" s="4"/>
      <c r="J3601" s="4"/>
      <c r="K3601" s="396" t="s">
        <v>444</v>
      </c>
      <c r="L3601" s="273"/>
      <c r="M3601" s="394">
        <f>SUM(M3596:N3600)</f>
        <v>4500</v>
      </c>
      <c r="N3601" s="273"/>
    </row>
    <row r="3602" spans="1:14" ht="12.75" customHeight="1" x14ac:dyDescent="0.25">
      <c r="A3602" s="4"/>
      <c r="B3602" s="4"/>
      <c r="C3602" s="4"/>
      <c r="D3602" s="4"/>
      <c r="E3602" s="4"/>
      <c r="F3602" s="4"/>
      <c r="G3602" s="4"/>
      <c r="H3602" s="4"/>
      <c r="I3602" s="4"/>
      <c r="J3602" s="4"/>
      <c r="K3602" s="4"/>
      <c r="L3602" s="4"/>
      <c r="M3602" s="4"/>
      <c r="N3602" s="4"/>
    </row>
    <row r="3603" spans="1:14" ht="12.75" customHeight="1" x14ac:dyDescent="0.2">
      <c r="A3603" s="398" t="s">
        <v>931</v>
      </c>
      <c r="B3603" s="271"/>
      <c r="C3603" s="271"/>
      <c r="D3603" s="271"/>
      <c r="E3603" s="271"/>
      <c r="F3603" s="271"/>
      <c r="G3603" s="271"/>
      <c r="H3603" s="271"/>
      <c r="I3603" s="271"/>
      <c r="J3603" s="271"/>
      <c r="K3603" s="271"/>
      <c r="L3603" s="271"/>
      <c r="M3603" s="271"/>
      <c r="N3603" s="273"/>
    </row>
    <row r="3604" spans="1:14" ht="12.75" customHeight="1" x14ac:dyDescent="0.2">
      <c r="A3604" s="396" t="s">
        <v>76</v>
      </c>
      <c r="B3604" s="271"/>
      <c r="C3604" s="271"/>
      <c r="D3604" s="271"/>
      <c r="E3604" s="271"/>
      <c r="F3604" s="271"/>
      <c r="G3604" s="273"/>
      <c r="H3604" s="88" t="s">
        <v>77</v>
      </c>
      <c r="I3604" s="399" t="s">
        <v>920</v>
      </c>
      <c r="J3604" s="273"/>
      <c r="K3604" s="90" t="s">
        <v>514</v>
      </c>
      <c r="L3604" s="91" t="s">
        <v>932</v>
      </c>
      <c r="M3604" s="399" t="s">
        <v>921</v>
      </c>
      <c r="N3604" s="273"/>
    </row>
    <row r="3605" spans="1:14" ht="12.75" customHeight="1" x14ac:dyDescent="0.25">
      <c r="A3605" s="393" t="s">
        <v>1106</v>
      </c>
      <c r="B3605" s="271"/>
      <c r="C3605" s="271"/>
      <c r="D3605" s="271"/>
      <c r="E3605" s="271"/>
      <c r="F3605" s="271"/>
      <c r="G3605" s="273"/>
      <c r="H3605" s="29" t="str">
        <f>IF(A3605="","",VLOOKUP(A3605,AA_Cuadrillas,4,FALSE))</f>
        <v>Cuadrilla</v>
      </c>
      <c r="I3605" s="394">
        <f>IF(A3605="","",VLOOKUP(A3605,AA_Cuadrillas,5,FALSE))</f>
        <v>256799</v>
      </c>
      <c r="J3605" s="273"/>
      <c r="K3605" s="9">
        <f>IF(A3605="","",F.P!$I$2)</f>
        <v>1.88</v>
      </c>
      <c r="L3605" s="97">
        <v>0</v>
      </c>
      <c r="M3605" s="394">
        <f t="shared" ref="M3605:M3609" si="494">IF(A3605="","",I3605*K3605*L3605)</f>
        <v>0</v>
      </c>
      <c r="N3605" s="273"/>
    </row>
    <row r="3606" spans="1:14" ht="12.75" customHeight="1" x14ac:dyDescent="0.25">
      <c r="A3606" s="393"/>
      <c r="B3606" s="271"/>
      <c r="C3606" s="271"/>
      <c r="D3606" s="271"/>
      <c r="E3606" s="271"/>
      <c r="F3606" s="271"/>
      <c r="G3606" s="273"/>
      <c r="H3606" s="29" t="str">
        <f>IF(A3606="","",VLOOKUP(A3606,AA_Cuadrillas,4,FALSE))</f>
        <v/>
      </c>
      <c r="I3606" s="394" t="str">
        <f>IF(A3606="","",VLOOKUP(A3606,AA_Cuadrillas,5,FALSE))</f>
        <v/>
      </c>
      <c r="J3606" s="273"/>
      <c r="K3606" s="9" t="str">
        <f>IF(A3606="","",F.P!$I$2)</f>
        <v/>
      </c>
      <c r="L3606" s="9"/>
      <c r="M3606" s="394" t="str">
        <f t="shared" si="494"/>
        <v/>
      </c>
      <c r="N3606" s="273"/>
    </row>
    <row r="3607" spans="1:14" ht="12.75" customHeight="1" x14ac:dyDescent="0.25">
      <c r="A3607" s="393"/>
      <c r="B3607" s="271"/>
      <c r="C3607" s="271"/>
      <c r="D3607" s="271"/>
      <c r="E3607" s="271"/>
      <c r="F3607" s="271"/>
      <c r="G3607" s="273"/>
      <c r="H3607" s="29" t="str">
        <f>IF(A3607="","",VLOOKUP(A3607,AA_Cuadrillas,4,FALSE))</f>
        <v/>
      </c>
      <c r="I3607" s="394" t="str">
        <f>IF(A3607="","",VLOOKUP(A3607,AA_Cuadrillas,5,FALSE))</f>
        <v/>
      </c>
      <c r="J3607" s="273"/>
      <c r="K3607" s="9" t="str">
        <f>IF(A3607="","",F.P!$I$2)</f>
        <v/>
      </c>
      <c r="L3607" s="37"/>
      <c r="M3607" s="394" t="str">
        <f t="shared" si="494"/>
        <v/>
      </c>
      <c r="N3607" s="273"/>
    </row>
    <row r="3608" spans="1:14" ht="12.75" customHeight="1" x14ac:dyDescent="0.25">
      <c r="A3608" s="393"/>
      <c r="B3608" s="271"/>
      <c r="C3608" s="271"/>
      <c r="D3608" s="271"/>
      <c r="E3608" s="271"/>
      <c r="F3608" s="271"/>
      <c r="G3608" s="273"/>
      <c r="H3608" s="29" t="str">
        <f>IF(A3608="","",VLOOKUP(A3608,AA_Cuadrillas,4,FALSE))</f>
        <v/>
      </c>
      <c r="I3608" s="394" t="str">
        <f>IF(A3608="","",VLOOKUP(A3608,AA_Cuadrillas,5,FALSE))</f>
        <v/>
      </c>
      <c r="J3608" s="273"/>
      <c r="K3608" s="9" t="str">
        <f>IF(A3608="","",F.P!$I$2)</f>
        <v/>
      </c>
      <c r="L3608" s="37"/>
      <c r="M3608" s="394" t="str">
        <f t="shared" si="494"/>
        <v/>
      </c>
      <c r="N3608" s="273"/>
    </row>
    <row r="3609" spans="1:14" ht="12.75" customHeight="1" x14ac:dyDescent="0.25">
      <c r="A3609" s="393"/>
      <c r="B3609" s="271"/>
      <c r="C3609" s="271"/>
      <c r="D3609" s="271"/>
      <c r="E3609" s="271"/>
      <c r="F3609" s="271"/>
      <c r="G3609" s="273"/>
      <c r="H3609" s="29" t="str">
        <f>IF(A3609="","",VLOOKUP(A3609,AA_Cuadrillas,4,FALSE))</f>
        <v/>
      </c>
      <c r="I3609" s="394" t="str">
        <f>IF(A3609="","",VLOOKUP(A3609,AA_Cuadrillas,5,FALSE))</f>
        <v/>
      </c>
      <c r="J3609" s="273"/>
      <c r="K3609" s="9" t="str">
        <f>IF(A3609="","",F.P!$I$2)</f>
        <v/>
      </c>
      <c r="L3609" s="37"/>
      <c r="M3609" s="394" t="str">
        <f t="shared" si="494"/>
        <v/>
      </c>
      <c r="N3609" s="273"/>
    </row>
    <row r="3610" spans="1:14" ht="12.75" customHeight="1" x14ac:dyDescent="0.25">
      <c r="A3610" s="4"/>
      <c r="B3610" s="4"/>
      <c r="C3610" s="4"/>
      <c r="D3610" s="4"/>
      <c r="E3610" s="4"/>
      <c r="F3610" s="4"/>
      <c r="G3610" s="4"/>
      <c r="H3610" s="4"/>
      <c r="I3610" s="4"/>
      <c r="J3610" s="4"/>
      <c r="K3610" s="396" t="s">
        <v>444</v>
      </c>
      <c r="L3610" s="273"/>
      <c r="M3610" s="394">
        <f>SUM(M3605:N3609)</f>
        <v>0</v>
      </c>
      <c r="N3610" s="273"/>
    </row>
    <row r="3611" spans="1:14" ht="12.75" customHeight="1" x14ac:dyDescent="0.2"/>
    <row r="3612" spans="1:14" ht="12.75" customHeight="1" x14ac:dyDescent="0.2">
      <c r="A3612" s="407" t="s">
        <v>1140</v>
      </c>
      <c r="B3612" s="275"/>
      <c r="C3612" s="275"/>
      <c r="D3612" s="275"/>
      <c r="E3612" s="275"/>
      <c r="F3612" s="275"/>
      <c r="G3612" s="275"/>
      <c r="H3612" s="275"/>
      <c r="I3612" s="275"/>
      <c r="J3612" s="275"/>
      <c r="K3612" s="275"/>
      <c r="L3612" s="275"/>
      <c r="M3612" s="275"/>
      <c r="N3612" s="276"/>
    </row>
    <row r="3613" spans="1:14" ht="12.75" customHeight="1" x14ac:dyDescent="0.2">
      <c r="A3613" s="277"/>
      <c r="B3613" s="278"/>
      <c r="C3613" s="278"/>
      <c r="D3613" s="278"/>
      <c r="E3613" s="278"/>
      <c r="F3613" s="278"/>
      <c r="G3613" s="278"/>
      <c r="H3613" s="278"/>
      <c r="I3613" s="278"/>
      <c r="J3613" s="278"/>
      <c r="K3613" s="278"/>
      <c r="L3613" s="278"/>
      <c r="M3613" s="278"/>
      <c r="N3613" s="279"/>
    </row>
    <row r="3614" spans="1:14" ht="12.75" customHeight="1" x14ac:dyDescent="0.2">
      <c r="A3614" s="75"/>
      <c r="B3614" s="75"/>
      <c r="C3614" s="75"/>
      <c r="D3614" s="75"/>
      <c r="E3614" s="75"/>
      <c r="F3614" s="75"/>
      <c r="G3614" s="75"/>
      <c r="H3614" s="75"/>
      <c r="I3614" s="75"/>
      <c r="J3614" s="75"/>
      <c r="K3614" s="75"/>
      <c r="L3614" s="75"/>
      <c r="M3614" s="75"/>
      <c r="N3614" s="75"/>
    </row>
    <row r="3615" spans="1:14" ht="12.75" customHeight="1" x14ac:dyDescent="0.3">
      <c r="A3615" s="79" t="s">
        <v>698</v>
      </c>
      <c r="B3615" s="80" t="str">
        <f>A3612</f>
        <v>SUMINISTRO E INSTALACIÓN DE NIPLE DE 1M Ø2" EN HIERRO DUCTIL</v>
      </c>
      <c r="C3615" s="81" t="s">
        <v>916</v>
      </c>
      <c r="D3615" s="82" t="s">
        <v>999</v>
      </c>
      <c r="E3615" s="83" t="s">
        <v>445</v>
      </c>
      <c r="F3615" s="86">
        <f>H3615+J3615+L3615+N3615</f>
        <v>176400</v>
      </c>
      <c r="G3615" s="83" t="s">
        <v>607</v>
      </c>
      <c r="H3615" s="86">
        <f>M3625</f>
        <v>168000</v>
      </c>
      <c r="I3615" s="83" t="s">
        <v>918</v>
      </c>
      <c r="J3615" s="86">
        <f>M3634</f>
        <v>0</v>
      </c>
      <c r="K3615" s="83" t="s">
        <v>609</v>
      </c>
      <c r="L3615" s="86">
        <f>M3643</f>
        <v>8400</v>
      </c>
      <c r="M3615" s="83" t="s">
        <v>610</v>
      </c>
      <c r="N3615" s="86">
        <f>M3652</f>
        <v>0</v>
      </c>
    </row>
    <row r="3616" spans="1:14" ht="12.75" customHeight="1" x14ac:dyDescent="0.25">
      <c r="A3616" s="87"/>
      <c r="B3616" s="87"/>
      <c r="C3616" s="87"/>
      <c r="D3616" s="87"/>
      <c r="E3616" s="87"/>
      <c r="F3616" s="87"/>
      <c r="G3616" s="87"/>
      <c r="J3616" s="87"/>
      <c r="K3616" s="215" t="s">
        <v>3217</v>
      </c>
      <c r="L3616" s="215">
        <f>+F3615*presup!$O$5</f>
        <v>229320</v>
      </c>
      <c r="M3616" s="87"/>
      <c r="N3616" s="87"/>
    </row>
    <row r="3617" spans="1:14" ht="12.75" customHeight="1" x14ac:dyDescent="0.2">
      <c r="A3617" s="398" t="s">
        <v>919</v>
      </c>
      <c r="B3617" s="271"/>
      <c r="C3617" s="271"/>
      <c r="D3617" s="271"/>
      <c r="E3617" s="271"/>
      <c r="F3617" s="271"/>
      <c r="G3617" s="271"/>
      <c r="H3617" s="271"/>
      <c r="I3617" s="271"/>
      <c r="J3617" s="271"/>
      <c r="K3617" s="271"/>
      <c r="L3617" s="271"/>
      <c r="M3617" s="271"/>
      <c r="N3617" s="273"/>
    </row>
    <row r="3618" spans="1:14" ht="12.75" customHeight="1" x14ac:dyDescent="0.2">
      <c r="A3618" s="396" t="s">
        <v>76</v>
      </c>
      <c r="B3618" s="271"/>
      <c r="C3618" s="271"/>
      <c r="D3618" s="271"/>
      <c r="E3618" s="271"/>
      <c r="F3618" s="271"/>
      <c r="G3618" s="273"/>
      <c r="H3618" s="88" t="s">
        <v>77</v>
      </c>
      <c r="I3618" s="399" t="s">
        <v>920</v>
      </c>
      <c r="J3618" s="273"/>
      <c r="K3618" s="399" t="s">
        <v>453</v>
      </c>
      <c r="L3618" s="273"/>
      <c r="M3618" s="399" t="s">
        <v>921</v>
      </c>
      <c r="N3618" s="273"/>
    </row>
    <row r="3619" spans="1:14" ht="12.75" customHeight="1" x14ac:dyDescent="0.2">
      <c r="A3619" s="403" t="s">
        <v>1141</v>
      </c>
      <c r="B3619" s="271"/>
      <c r="C3619" s="271"/>
      <c r="D3619" s="271"/>
      <c r="E3619" s="271"/>
      <c r="F3619" s="271"/>
      <c r="G3619" s="273"/>
      <c r="H3619" s="29" t="str">
        <f t="shared" ref="H3619:H3624" si="495">IF(A3619="","",VLOOKUP(A3619,AA_Materiales,7,FALSE))</f>
        <v>Unidad</v>
      </c>
      <c r="I3619" s="394">
        <f t="shared" ref="I3619:I3624" si="496">IF(A3619="","",VLOOKUP(A3619,AA_Materiales,8,FALSE))</f>
        <v>168000</v>
      </c>
      <c r="J3619" s="273"/>
      <c r="K3619" s="395">
        <v>1</v>
      </c>
      <c r="L3619" s="273"/>
      <c r="M3619" s="394">
        <f t="shared" ref="M3619:M3624" si="497">IF(A3619="","",I3619*K3619)</f>
        <v>168000</v>
      </c>
      <c r="N3619" s="273"/>
    </row>
    <row r="3620" spans="1:14" ht="12.75" customHeight="1" x14ac:dyDescent="0.2">
      <c r="A3620" s="403"/>
      <c r="B3620" s="271"/>
      <c r="C3620" s="271"/>
      <c r="D3620" s="271"/>
      <c r="E3620" s="271"/>
      <c r="F3620" s="271"/>
      <c r="G3620" s="273"/>
      <c r="H3620" s="29" t="str">
        <f t="shared" si="495"/>
        <v/>
      </c>
      <c r="I3620" s="394" t="str">
        <f t="shared" si="496"/>
        <v/>
      </c>
      <c r="J3620" s="273"/>
      <c r="K3620" s="395"/>
      <c r="L3620" s="273"/>
      <c r="M3620" s="394" t="str">
        <f t="shared" si="497"/>
        <v/>
      </c>
      <c r="N3620" s="273"/>
    </row>
    <row r="3621" spans="1:14" ht="12.75" customHeight="1" x14ac:dyDescent="0.2">
      <c r="A3621" s="403"/>
      <c r="B3621" s="271"/>
      <c r="C3621" s="271"/>
      <c r="D3621" s="271"/>
      <c r="E3621" s="271"/>
      <c r="F3621" s="271"/>
      <c r="G3621" s="273"/>
      <c r="H3621" s="29" t="str">
        <f t="shared" si="495"/>
        <v/>
      </c>
      <c r="I3621" s="394" t="str">
        <f t="shared" si="496"/>
        <v/>
      </c>
      <c r="J3621" s="273"/>
      <c r="K3621" s="395"/>
      <c r="L3621" s="273"/>
      <c r="M3621" s="394" t="str">
        <f t="shared" si="497"/>
        <v/>
      </c>
      <c r="N3621" s="273"/>
    </row>
    <row r="3622" spans="1:14" ht="12.75" customHeight="1" x14ac:dyDescent="0.2">
      <c r="A3622" s="403"/>
      <c r="B3622" s="271"/>
      <c r="C3622" s="271"/>
      <c r="D3622" s="271"/>
      <c r="E3622" s="271"/>
      <c r="F3622" s="271"/>
      <c r="G3622" s="273"/>
      <c r="H3622" s="29" t="str">
        <f t="shared" si="495"/>
        <v/>
      </c>
      <c r="I3622" s="394" t="str">
        <f t="shared" si="496"/>
        <v/>
      </c>
      <c r="J3622" s="273"/>
      <c r="K3622" s="395"/>
      <c r="L3622" s="273"/>
      <c r="M3622" s="394" t="str">
        <f t="shared" si="497"/>
        <v/>
      </c>
      <c r="N3622" s="273"/>
    </row>
    <row r="3623" spans="1:14" ht="12.75" customHeight="1" x14ac:dyDescent="0.2">
      <c r="A3623" s="403"/>
      <c r="B3623" s="271"/>
      <c r="C3623" s="271"/>
      <c r="D3623" s="271"/>
      <c r="E3623" s="271"/>
      <c r="F3623" s="271"/>
      <c r="G3623" s="273"/>
      <c r="H3623" s="29" t="str">
        <f t="shared" si="495"/>
        <v/>
      </c>
      <c r="I3623" s="394" t="str">
        <f t="shared" si="496"/>
        <v/>
      </c>
      <c r="J3623" s="273"/>
      <c r="K3623" s="395"/>
      <c r="L3623" s="273"/>
      <c r="M3623" s="394" t="str">
        <f t="shared" si="497"/>
        <v/>
      </c>
      <c r="N3623" s="273"/>
    </row>
    <row r="3624" spans="1:14" ht="12.75" customHeight="1" x14ac:dyDescent="0.2">
      <c r="A3624" s="403"/>
      <c r="B3624" s="271"/>
      <c r="C3624" s="271"/>
      <c r="D3624" s="271"/>
      <c r="E3624" s="271"/>
      <c r="F3624" s="271"/>
      <c r="G3624" s="273"/>
      <c r="H3624" s="29" t="str">
        <f t="shared" si="495"/>
        <v/>
      </c>
      <c r="I3624" s="394" t="str">
        <f t="shared" si="496"/>
        <v/>
      </c>
      <c r="J3624" s="273"/>
      <c r="K3624" s="395"/>
      <c r="L3624" s="273"/>
      <c r="M3624" s="394" t="str">
        <f t="shared" si="497"/>
        <v/>
      </c>
      <c r="N3624" s="273"/>
    </row>
    <row r="3625" spans="1:14" ht="12.75" customHeight="1" x14ac:dyDescent="0.25">
      <c r="A3625" s="4"/>
      <c r="B3625" s="4"/>
      <c r="C3625" s="4"/>
      <c r="D3625" s="4"/>
      <c r="E3625" s="4"/>
      <c r="F3625" s="4"/>
      <c r="G3625" s="4"/>
      <c r="H3625" s="4"/>
      <c r="I3625" s="4"/>
      <c r="J3625" s="4"/>
      <c r="K3625" s="396" t="s">
        <v>444</v>
      </c>
      <c r="L3625" s="273"/>
      <c r="M3625" s="394">
        <f>SUM(M3619:N3624)</f>
        <v>168000</v>
      </c>
      <c r="N3625" s="273"/>
    </row>
    <row r="3626" spans="1:14" ht="12.75" customHeight="1" x14ac:dyDescent="0.25">
      <c r="A3626" s="4"/>
      <c r="B3626" s="4"/>
      <c r="C3626" s="4"/>
      <c r="D3626" s="4"/>
      <c r="E3626" s="4"/>
      <c r="F3626" s="4"/>
      <c r="G3626" s="4"/>
      <c r="H3626" s="4"/>
      <c r="I3626" s="4"/>
      <c r="J3626" s="4"/>
      <c r="K3626" s="4"/>
      <c r="L3626" s="4"/>
      <c r="M3626" s="4"/>
      <c r="N3626" s="4"/>
    </row>
    <row r="3627" spans="1:14" ht="12.75" customHeight="1" x14ac:dyDescent="0.2">
      <c r="A3627" s="398" t="s">
        <v>926</v>
      </c>
      <c r="B3627" s="271"/>
      <c r="C3627" s="271"/>
      <c r="D3627" s="271"/>
      <c r="E3627" s="271"/>
      <c r="F3627" s="271"/>
      <c r="G3627" s="271"/>
      <c r="H3627" s="271"/>
      <c r="I3627" s="271"/>
      <c r="J3627" s="271"/>
      <c r="K3627" s="271"/>
      <c r="L3627" s="271"/>
      <c r="M3627" s="271"/>
      <c r="N3627" s="273"/>
    </row>
    <row r="3628" spans="1:14" ht="12.75" customHeight="1" x14ac:dyDescent="0.2">
      <c r="A3628" s="396" t="s">
        <v>76</v>
      </c>
      <c r="B3628" s="271"/>
      <c r="C3628" s="271"/>
      <c r="D3628" s="271"/>
      <c r="E3628" s="271"/>
      <c r="F3628" s="271"/>
      <c r="G3628" s="273"/>
      <c r="H3628" s="88" t="s">
        <v>77</v>
      </c>
      <c r="I3628" s="399" t="s">
        <v>920</v>
      </c>
      <c r="J3628" s="273"/>
      <c r="K3628" s="399" t="s">
        <v>453</v>
      </c>
      <c r="L3628" s="273"/>
      <c r="M3628" s="399" t="s">
        <v>921</v>
      </c>
      <c r="N3628" s="273"/>
    </row>
    <row r="3629" spans="1:14" ht="12.75" customHeight="1" x14ac:dyDescent="0.2">
      <c r="A3629" s="400" t="s">
        <v>927</v>
      </c>
      <c r="B3629" s="271"/>
      <c r="C3629" s="271"/>
      <c r="D3629" s="271"/>
      <c r="E3629" s="271"/>
      <c r="F3629" s="271"/>
      <c r="G3629" s="273"/>
      <c r="H3629" s="29" t="str">
        <f>IF(A3629="","",VLOOKUP(A3629,AA_Equipos,7,FALSE))</f>
        <v>% M.O.</v>
      </c>
      <c r="I3629" s="394">
        <f>+M3652</f>
        <v>0</v>
      </c>
      <c r="J3629" s="273"/>
      <c r="K3629" s="404">
        <v>0</v>
      </c>
      <c r="L3629" s="273"/>
      <c r="M3629" s="394">
        <f t="shared" ref="M3629:M3633" si="498">IF(A3629="","",I3629*K3629)</f>
        <v>0</v>
      </c>
      <c r="N3629" s="273"/>
    </row>
    <row r="3630" spans="1:14" ht="12.75" customHeight="1" x14ac:dyDescent="0.2">
      <c r="A3630" s="403"/>
      <c r="B3630" s="271"/>
      <c r="C3630" s="271"/>
      <c r="D3630" s="271"/>
      <c r="E3630" s="271"/>
      <c r="F3630" s="271"/>
      <c r="G3630" s="273"/>
      <c r="H3630" s="29" t="str">
        <f>IF(A3630="","",VLOOKUP(A3630,AA_Equipos,7,FALSE))</f>
        <v/>
      </c>
      <c r="I3630" s="394" t="str">
        <f>IF(A3630="","",VLOOKUP(A3630,AA_Equipos,8,FALSE))</f>
        <v/>
      </c>
      <c r="J3630" s="273"/>
      <c r="K3630" s="402"/>
      <c r="L3630" s="273"/>
      <c r="M3630" s="394" t="str">
        <f t="shared" si="498"/>
        <v/>
      </c>
      <c r="N3630" s="273"/>
    </row>
    <row r="3631" spans="1:14" ht="12.75" customHeight="1" x14ac:dyDescent="0.2">
      <c r="A3631" s="400"/>
      <c r="B3631" s="271"/>
      <c r="C3631" s="271"/>
      <c r="D3631" s="271"/>
      <c r="E3631" s="271"/>
      <c r="F3631" s="271"/>
      <c r="G3631" s="273"/>
      <c r="H3631" s="29" t="str">
        <f>IF(A3631="","",VLOOKUP(A3631,AA_Equipos,7,FALSE))</f>
        <v/>
      </c>
      <c r="I3631" s="394" t="str">
        <f>IF(A3631="","",VLOOKUP(A3631,AA_Equipos,8,FALSE))</f>
        <v/>
      </c>
      <c r="J3631" s="273"/>
      <c r="K3631" s="401"/>
      <c r="L3631" s="273"/>
      <c r="M3631" s="394" t="str">
        <f t="shared" si="498"/>
        <v/>
      </c>
      <c r="N3631" s="273"/>
    </row>
    <row r="3632" spans="1:14" ht="12.75" customHeight="1" x14ac:dyDescent="0.2">
      <c r="A3632" s="400"/>
      <c r="B3632" s="271"/>
      <c r="C3632" s="271"/>
      <c r="D3632" s="271"/>
      <c r="E3632" s="271"/>
      <c r="F3632" s="271"/>
      <c r="G3632" s="273"/>
      <c r="H3632" s="29" t="str">
        <f>IF(A3632="","",VLOOKUP(A3632,AA_Equipos,7,FALSE))</f>
        <v/>
      </c>
      <c r="I3632" s="394" t="str">
        <f>IF(A3632="","",VLOOKUP(A3632,AA_Equipos,8,FALSE))</f>
        <v/>
      </c>
      <c r="J3632" s="273"/>
      <c r="K3632" s="395"/>
      <c r="L3632" s="273"/>
      <c r="M3632" s="394" t="str">
        <f t="shared" si="498"/>
        <v/>
      </c>
      <c r="N3632" s="273"/>
    </row>
    <row r="3633" spans="1:14" ht="12.75" customHeight="1" x14ac:dyDescent="0.2">
      <c r="A3633" s="400"/>
      <c r="B3633" s="271"/>
      <c r="C3633" s="271"/>
      <c r="D3633" s="271"/>
      <c r="E3633" s="271"/>
      <c r="F3633" s="271"/>
      <c r="G3633" s="273"/>
      <c r="H3633" s="29" t="str">
        <f>IF(A3633="","",VLOOKUP(A3633,AA_Equipos,7,FALSE))</f>
        <v/>
      </c>
      <c r="I3633" s="394" t="str">
        <f>IF(A3633="","",VLOOKUP(A3633,AA_Equipos,8,FALSE))</f>
        <v/>
      </c>
      <c r="J3633" s="273"/>
      <c r="K3633" s="395"/>
      <c r="L3633" s="273"/>
      <c r="M3633" s="394" t="str">
        <f t="shared" si="498"/>
        <v/>
      </c>
      <c r="N3633" s="273"/>
    </row>
    <row r="3634" spans="1:14" ht="12.75" customHeight="1" x14ac:dyDescent="0.25">
      <c r="A3634" s="4"/>
      <c r="B3634" s="4"/>
      <c r="C3634" s="4"/>
      <c r="D3634" s="4"/>
      <c r="E3634" s="4"/>
      <c r="F3634" s="4"/>
      <c r="G3634" s="4"/>
      <c r="H3634" s="4"/>
      <c r="I3634" s="4"/>
      <c r="J3634" s="4"/>
      <c r="K3634" s="396" t="s">
        <v>444</v>
      </c>
      <c r="L3634" s="273"/>
      <c r="M3634" s="394">
        <f>SUM(M3629:N3633)</f>
        <v>0</v>
      </c>
      <c r="N3634" s="273"/>
    </row>
    <row r="3635" spans="1:14" ht="12.75" customHeight="1" x14ac:dyDescent="0.25">
      <c r="A3635" s="4"/>
      <c r="B3635" s="4"/>
      <c r="C3635" s="4"/>
      <c r="D3635" s="4"/>
      <c r="E3635" s="4"/>
      <c r="F3635" s="4"/>
      <c r="G3635" s="4"/>
      <c r="H3635" s="4"/>
      <c r="I3635" s="4"/>
      <c r="J3635" s="4"/>
      <c r="K3635" s="4"/>
      <c r="L3635" s="4"/>
      <c r="M3635" s="4"/>
      <c r="N3635" s="4"/>
    </row>
    <row r="3636" spans="1:14" ht="12.75" customHeight="1" x14ac:dyDescent="0.2">
      <c r="A3636" s="398" t="s">
        <v>929</v>
      </c>
      <c r="B3636" s="271"/>
      <c r="C3636" s="271"/>
      <c r="D3636" s="271"/>
      <c r="E3636" s="271"/>
      <c r="F3636" s="271"/>
      <c r="G3636" s="271"/>
      <c r="H3636" s="271"/>
      <c r="I3636" s="271"/>
      <c r="J3636" s="271"/>
      <c r="K3636" s="271"/>
      <c r="L3636" s="271"/>
      <c r="M3636" s="271"/>
      <c r="N3636" s="273"/>
    </row>
    <row r="3637" spans="1:14" ht="12.75" customHeight="1" x14ac:dyDescent="0.2">
      <c r="A3637" s="396" t="s">
        <v>76</v>
      </c>
      <c r="B3637" s="271"/>
      <c r="C3637" s="271"/>
      <c r="D3637" s="271"/>
      <c r="E3637" s="271"/>
      <c r="F3637" s="271"/>
      <c r="G3637" s="273"/>
      <c r="H3637" s="88" t="s">
        <v>77</v>
      </c>
      <c r="I3637" s="399" t="s">
        <v>920</v>
      </c>
      <c r="J3637" s="273"/>
      <c r="K3637" s="399" t="s">
        <v>453</v>
      </c>
      <c r="L3637" s="273"/>
      <c r="M3637" s="399" t="s">
        <v>921</v>
      </c>
      <c r="N3637" s="273"/>
    </row>
    <row r="3638" spans="1:14" ht="12.75" customHeight="1" x14ac:dyDescent="0.2">
      <c r="A3638" s="400" t="s">
        <v>966</v>
      </c>
      <c r="B3638" s="271"/>
      <c r="C3638" s="271"/>
      <c r="D3638" s="271"/>
      <c r="E3638" s="271"/>
      <c r="F3638" s="271"/>
      <c r="G3638" s="273"/>
      <c r="H3638" s="29" t="s">
        <v>950</v>
      </c>
      <c r="I3638" s="394">
        <f>+M3625</f>
        <v>168000</v>
      </c>
      <c r="J3638" s="273"/>
      <c r="K3638" s="404">
        <v>0.05</v>
      </c>
      <c r="L3638" s="273"/>
      <c r="M3638" s="394">
        <f t="shared" ref="M3638:M3642" si="499">IF(A3638="","",I3638*K3638)</f>
        <v>8400</v>
      </c>
      <c r="N3638" s="273"/>
    </row>
    <row r="3639" spans="1:14" ht="12.75" customHeight="1" x14ac:dyDescent="0.2">
      <c r="A3639" s="403"/>
      <c r="B3639" s="271"/>
      <c r="C3639" s="271"/>
      <c r="D3639" s="271"/>
      <c r="E3639" s="271"/>
      <c r="F3639" s="271"/>
      <c r="G3639" s="273"/>
      <c r="H3639" s="29"/>
      <c r="I3639" s="394"/>
      <c r="J3639" s="273"/>
      <c r="K3639" s="404"/>
      <c r="L3639" s="273"/>
      <c r="M3639" s="394" t="str">
        <f t="shared" si="499"/>
        <v/>
      </c>
      <c r="N3639" s="273"/>
    </row>
    <row r="3640" spans="1:14" ht="12.75" customHeight="1" x14ac:dyDescent="0.2">
      <c r="A3640" s="400"/>
      <c r="B3640" s="271"/>
      <c r="C3640" s="271"/>
      <c r="D3640" s="271"/>
      <c r="E3640" s="271"/>
      <c r="F3640" s="271"/>
      <c r="G3640" s="273"/>
      <c r="H3640" s="29"/>
      <c r="I3640" s="394"/>
      <c r="J3640" s="273"/>
      <c r="K3640" s="395"/>
      <c r="L3640" s="273"/>
      <c r="M3640" s="394" t="str">
        <f t="shared" si="499"/>
        <v/>
      </c>
      <c r="N3640" s="273"/>
    </row>
    <row r="3641" spans="1:14" ht="12.75" customHeight="1" x14ac:dyDescent="0.2">
      <c r="A3641" s="400"/>
      <c r="B3641" s="271"/>
      <c r="C3641" s="271"/>
      <c r="D3641" s="271"/>
      <c r="E3641" s="271"/>
      <c r="F3641" s="271"/>
      <c r="G3641" s="273"/>
      <c r="H3641" s="29"/>
      <c r="I3641" s="394"/>
      <c r="J3641" s="273"/>
      <c r="K3641" s="395"/>
      <c r="L3641" s="273"/>
      <c r="M3641" s="394" t="str">
        <f t="shared" si="499"/>
        <v/>
      </c>
      <c r="N3641" s="273"/>
    </row>
    <row r="3642" spans="1:14" ht="12.75" customHeight="1" x14ac:dyDescent="0.2">
      <c r="A3642" s="400"/>
      <c r="B3642" s="271"/>
      <c r="C3642" s="271"/>
      <c r="D3642" s="271"/>
      <c r="E3642" s="271"/>
      <c r="F3642" s="271"/>
      <c r="G3642" s="273"/>
      <c r="H3642" s="29"/>
      <c r="I3642" s="394"/>
      <c r="J3642" s="273"/>
      <c r="K3642" s="395"/>
      <c r="L3642" s="273"/>
      <c r="M3642" s="394" t="str">
        <f t="shared" si="499"/>
        <v/>
      </c>
      <c r="N3642" s="273"/>
    </row>
    <row r="3643" spans="1:14" ht="12.75" customHeight="1" x14ac:dyDescent="0.25">
      <c r="A3643" s="4"/>
      <c r="B3643" s="4"/>
      <c r="C3643" s="4"/>
      <c r="D3643" s="4"/>
      <c r="E3643" s="4"/>
      <c r="F3643" s="4"/>
      <c r="G3643" s="4"/>
      <c r="H3643" s="4"/>
      <c r="I3643" s="4"/>
      <c r="J3643" s="4"/>
      <c r="K3643" s="396" t="s">
        <v>444</v>
      </c>
      <c r="L3643" s="273"/>
      <c r="M3643" s="394">
        <f>SUM(M3638:N3642)</f>
        <v>8400</v>
      </c>
      <c r="N3643" s="273"/>
    </row>
    <row r="3644" spans="1:14" ht="12.75" customHeight="1" x14ac:dyDescent="0.25">
      <c r="A3644" s="4"/>
      <c r="B3644" s="4"/>
      <c r="C3644" s="4"/>
      <c r="D3644" s="4"/>
      <c r="E3644" s="4"/>
      <c r="F3644" s="4"/>
      <c r="G3644" s="4"/>
      <c r="H3644" s="4"/>
      <c r="I3644" s="4"/>
      <c r="J3644" s="4"/>
      <c r="K3644" s="4"/>
      <c r="L3644" s="4"/>
      <c r="M3644" s="4"/>
      <c r="N3644" s="4"/>
    </row>
    <row r="3645" spans="1:14" ht="12.75" customHeight="1" x14ac:dyDescent="0.2">
      <c r="A3645" s="398" t="s">
        <v>931</v>
      </c>
      <c r="B3645" s="271"/>
      <c r="C3645" s="271"/>
      <c r="D3645" s="271"/>
      <c r="E3645" s="271"/>
      <c r="F3645" s="271"/>
      <c r="G3645" s="271"/>
      <c r="H3645" s="271"/>
      <c r="I3645" s="271"/>
      <c r="J3645" s="271"/>
      <c r="K3645" s="271"/>
      <c r="L3645" s="271"/>
      <c r="M3645" s="271"/>
      <c r="N3645" s="273"/>
    </row>
    <row r="3646" spans="1:14" ht="12.75" customHeight="1" x14ac:dyDescent="0.2">
      <c r="A3646" s="396" t="s">
        <v>76</v>
      </c>
      <c r="B3646" s="271"/>
      <c r="C3646" s="271"/>
      <c r="D3646" s="271"/>
      <c r="E3646" s="271"/>
      <c r="F3646" s="271"/>
      <c r="G3646" s="273"/>
      <c r="H3646" s="88" t="s">
        <v>77</v>
      </c>
      <c r="I3646" s="399" t="s">
        <v>920</v>
      </c>
      <c r="J3646" s="273"/>
      <c r="K3646" s="90" t="s">
        <v>514</v>
      </c>
      <c r="L3646" s="91" t="s">
        <v>932</v>
      </c>
      <c r="M3646" s="399" t="s">
        <v>921</v>
      </c>
      <c r="N3646" s="273"/>
    </row>
    <row r="3647" spans="1:14" ht="12.75" customHeight="1" x14ac:dyDescent="0.25">
      <c r="A3647" s="393" t="s">
        <v>1106</v>
      </c>
      <c r="B3647" s="271"/>
      <c r="C3647" s="271"/>
      <c r="D3647" s="271"/>
      <c r="E3647" s="271"/>
      <c r="F3647" s="271"/>
      <c r="G3647" s="273"/>
      <c r="H3647" s="29" t="str">
        <f>IF(A3647="","",VLOOKUP(A3647,AA_Cuadrillas,4,FALSE))</f>
        <v>Cuadrilla</v>
      </c>
      <c r="I3647" s="394">
        <f>IF(A3647="","",VLOOKUP(A3647,AA_Cuadrillas,5,FALSE))</f>
        <v>256799</v>
      </c>
      <c r="J3647" s="273"/>
      <c r="K3647" s="9">
        <f>IF(A3647="","",F.P!$I$2)</f>
        <v>1.88</v>
      </c>
      <c r="L3647" s="97">
        <v>0</v>
      </c>
      <c r="M3647" s="394">
        <f t="shared" ref="M3647:M3651" si="500">IF(A3647="","",I3647*K3647*L3647)</f>
        <v>0</v>
      </c>
      <c r="N3647" s="273"/>
    </row>
    <row r="3648" spans="1:14" ht="12.75" customHeight="1" x14ac:dyDescent="0.25">
      <c r="A3648" s="393"/>
      <c r="B3648" s="271"/>
      <c r="C3648" s="271"/>
      <c r="D3648" s="271"/>
      <c r="E3648" s="271"/>
      <c r="F3648" s="271"/>
      <c r="G3648" s="273"/>
      <c r="H3648" s="29" t="str">
        <f>IF(A3648="","",VLOOKUP(A3648,AA_Cuadrillas,4,FALSE))</f>
        <v/>
      </c>
      <c r="I3648" s="394" t="str">
        <f>IF(A3648="","",VLOOKUP(A3648,AA_Cuadrillas,5,FALSE))</f>
        <v/>
      </c>
      <c r="J3648" s="273"/>
      <c r="K3648" s="9" t="str">
        <f>IF(A3648="","",F.P!$I$2)</f>
        <v/>
      </c>
      <c r="L3648" s="9"/>
      <c r="M3648" s="394" t="str">
        <f t="shared" si="500"/>
        <v/>
      </c>
      <c r="N3648" s="273"/>
    </row>
    <row r="3649" spans="1:14" ht="12.75" customHeight="1" x14ac:dyDescent="0.25">
      <c r="A3649" s="393"/>
      <c r="B3649" s="271"/>
      <c r="C3649" s="271"/>
      <c r="D3649" s="271"/>
      <c r="E3649" s="271"/>
      <c r="F3649" s="271"/>
      <c r="G3649" s="273"/>
      <c r="H3649" s="29" t="str">
        <f>IF(A3649="","",VLOOKUP(A3649,AA_Cuadrillas,4,FALSE))</f>
        <v/>
      </c>
      <c r="I3649" s="394" t="str">
        <f>IF(A3649="","",VLOOKUP(A3649,AA_Cuadrillas,5,FALSE))</f>
        <v/>
      </c>
      <c r="J3649" s="273"/>
      <c r="K3649" s="9" t="str">
        <f>IF(A3649="","",F.P!$I$2)</f>
        <v/>
      </c>
      <c r="L3649" s="37"/>
      <c r="M3649" s="394" t="str">
        <f t="shared" si="500"/>
        <v/>
      </c>
      <c r="N3649" s="273"/>
    </row>
    <row r="3650" spans="1:14" ht="12.75" customHeight="1" x14ac:dyDescent="0.25">
      <c r="A3650" s="393"/>
      <c r="B3650" s="271"/>
      <c r="C3650" s="271"/>
      <c r="D3650" s="271"/>
      <c r="E3650" s="271"/>
      <c r="F3650" s="271"/>
      <c r="G3650" s="273"/>
      <c r="H3650" s="29" t="str">
        <f>IF(A3650="","",VLOOKUP(A3650,AA_Cuadrillas,4,FALSE))</f>
        <v/>
      </c>
      <c r="I3650" s="394" t="str">
        <f>IF(A3650="","",VLOOKUP(A3650,AA_Cuadrillas,5,FALSE))</f>
        <v/>
      </c>
      <c r="J3650" s="273"/>
      <c r="K3650" s="9" t="str">
        <f>IF(A3650="","",F.P!$I$2)</f>
        <v/>
      </c>
      <c r="L3650" s="37"/>
      <c r="M3650" s="394" t="str">
        <f t="shared" si="500"/>
        <v/>
      </c>
      <c r="N3650" s="273"/>
    </row>
    <row r="3651" spans="1:14" ht="12.75" customHeight="1" x14ac:dyDescent="0.25">
      <c r="A3651" s="393"/>
      <c r="B3651" s="271"/>
      <c r="C3651" s="271"/>
      <c r="D3651" s="271"/>
      <c r="E3651" s="271"/>
      <c r="F3651" s="271"/>
      <c r="G3651" s="273"/>
      <c r="H3651" s="29" t="str">
        <f>IF(A3651="","",VLOOKUP(A3651,AA_Cuadrillas,4,FALSE))</f>
        <v/>
      </c>
      <c r="I3651" s="394" t="str">
        <f>IF(A3651="","",VLOOKUP(A3651,AA_Cuadrillas,5,FALSE))</f>
        <v/>
      </c>
      <c r="J3651" s="273"/>
      <c r="K3651" s="9" t="str">
        <f>IF(A3651="","",F.P!$I$2)</f>
        <v/>
      </c>
      <c r="L3651" s="37"/>
      <c r="M3651" s="394" t="str">
        <f t="shared" si="500"/>
        <v/>
      </c>
      <c r="N3651" s="273"/>
    </row>
    <row r="3652" spans="1:14" ht="12.75" customHeight="1" x14ac:dyDescent="0.25">
      <c r="A3652" s="4"/>
      <c r="B3652" s="4"/>
      <c r="C3652" s="4"/>
      <c r="D3652" s="4"/>
      <c r="E3652" s="4"/>
      <c r="F3652" s="4"/>
      <c r="G3652" s="4"/>
      <c r="H3652" s="4"/>
      <c r="I3652" s="4"/>
      <c r="J3652" s="4"/>
      <c r="K3652" s="396" t="s">
        <v>444</v>
      </c>
      <c r="L3652" s="273"/>
      <c r="M3652" s="394">
        <f>SUM(M3647:N3651)</f>
        <v>0</v>
      </c>
      <c r="N3652" s="273"/>
    </row>
    <row r="3653" spans="1:14" ht="12.75" customHeight="1" x14ac:dyDescent="0.2"/>
    <row r="3654" spans="1:14" ht="12.75" customHeight="1" x14ac:dyDescent="0.2">
      <c r="A3654" s="407" t="s">
        <v>1142</v>
      </c>
      <c r="B3654" s="275"/>
      <c r="C3654" s="275"/>
      <c r="D3654" s="275"/>
      <c r="E3654" s="275"/>
      <c r="F3654" s="275"/>
      <c r="G3654" s="275"/>
      <c r="H3654" s="275"/>
      <c r="I3654" s="275"/>
      <c r="J3654" s="275"/>
      <c r="K3654" s="275"/>
      <c r="L3654" s="275"/>
      <c r="M3654" s="275"/>
      <c r="N3654" s="276"/>
    </row>
    <row r="3655" spans="1:14" ht="12.75" customHeight="1" x14ac:dyDescent="0.2">
      <c r="A3655" s="277"/>
      <c r="B3655" s="278"/>
      <c r="C3655" s="278"/>
      <c r="D3655" s="278"/>
      <c r="E3655" s="278"/>
      <c r="F3655" s="278"/>
      <c r="G3655" s="278"/>
      <c r="H3655" s="278"/>
      <c r="I3655" s="278"/>
      <c r="J3655" s="278"/>
      <c r="K3655" s="278"/>
      <c r="L3655" s="278"/>
      <c r="M3655" s="278"/>
      <c r="N3655" s="279"/>
    </row>
    <row r="3656" spans="1:14" ht="12.75" customHeight="1" x14ac:dyDescent="0.2">
      <c r="A3656" s="75"/>
      <c r="B3656" s="75"/>
      <c r="C3656" s="75"/>
      <c r="D3656" s="75"/>
      <c r="E3656" s="75"/>
      <c r="F3656" s="75"/>
      <c r="G3656" s="75"/>
      <c r="H3656" s="75"/>
      <c r="I3656" s="75"/>
      <c r="J3656" s="75"/>
      <c r="K3656" s="75"/>
      <c r="L3656" s="75"/>
      <c r="M3656" s="75"/>
      <c r="N3656" s="75"/>
    </row>
    <row r="3657" spans="1:14" ht="12.75" customHeight="1" x14ac:dyDescent="0.3">
      <c r="A3657" s="79" t="s">
        <v>699</v>
      </c>
      <c r="B3657" s="80" t="str">
        <f>A3654</f>
        <v>SUMINISTRO E INSTALACIÓN DE NIPLE DE 0,25M Ø3" EN HIERRO DUCTIL</v>
      </c>
      <c r="C3657" s="81" t="s">
        <v>916</v>
      </c>
      <c r="D3657" s="82" t="s">
        <v>999</v>
      </c>
      <c r="E3657" s="83" t="s">
        <v>445</v>
      </c>
      <c r="F3657" s="86">
        <f>H3657+J3657+L3657+N3657</f>
        <v>0</v>
      </c>
      <c r="G3657" s="83" t="s">
        <v>607</v>
      </c>
      <c r="H3657" s="86">
        <f>M3667</f>
        <v>0</v>
      </c>
      <c r="I3657" s="83" t="s">
        <v>918</v>
      </c>
      <c r="J3657" s="86">
        <f>M3676</f>
        <v>0</v>
      </c>
      <c r="K3657" s="83" t="s">
        <v>609</v>
      </c>
      <c r="L3657" s="86">
        <f>M3685</f>
        <v>0</v>
      </c>
      <c r="M3657" s="83" t="s">
        <v>610</v>
      </c>
      <c r="N3657" s="86">
        <f>M3694</f>
        <v>0</v>
      </c>
    </row>
    <row r="3658" spans="1:14" ht="12.75" customHeight="1" x14ac:dyDescent="0.25">
      <c r="A3658" s="87"/>
      <c r="B3658" s="87"/>
      <c r="C3658" s="87"/>
      <c r="D3658" s="87"/>
      <c r="E3658" s="87"/>
      <c r="F3658" s="87"/>
      <c r="G3658" s="87"/>
      <c r="J3658" s="87"/>
      <c r="K3658" s="215" t="s">
        <v>3217</v>
      </c>
      <c r="L3658" s="215">
        <f>+F3657*presup!$O$5</f>
        <v>0</v>
      </c>
      <c r="M3658" s="87"/>
      <c r="N3658" s="87"/>
    </row>
    <row r="3659" spans="1:14" ht="12.75" customHeight="1" x14ac:dyDescent="0.2">
      <c r="A3659" s="398" t="s">
        <v>919</v>
      </c>
      <c r="B3659" s="271"/>
      <c r="C3659" s="271"/>
      <c r="D3659" s="271"/>
      <c r="E3659" s="271"/>
      <c r="F3659" s="271"/>
      <c r="G3659" s="271"/>
      <c r="H3659" s="271"/>
      <c r="I3659" s="271"/>
      <c r="J3659" s="271"/>
      <c r="K3659" s="271"/>
      <c r="L3659" s="271"/>
      <c r="M3659" s="271"/>
      <c r="N3659" s="273"/>
    </row>
    <row r="3660" spans="1:14" ht="12.75" customHeight="1" x14ac:dyDescent="0.2">
      <c r="A3660" s="396" t="s">
        <v>76</v>
      </c>
      <c r="B3660" s="271"/>
      <c r="C3660" s="271"/>
      <c r="D3660" s="271"/>
      <c r="E3660" s="271"/>
      <c r="F3660" s="271"/>
      <c r="G3660" s="273"/>
      <c r="H3660" s="88" t="s">
        <v>77</v>
      </c>
      <c r="I3660" s="399" t="s">
        <v>920</v>
      </c>
      <c r="J3660" s="273"/>
      <c r="K3660" s="399" t="s">
        <v>453</v>
      </c>
      <c r="L3660" s="273"/>
      <c r="M3660" s="399" t="s">
        <v>921</v>
      </c>
      <c r="N3660" s="273"/>
    </row>
    <row r="3661" spans="1:14" ht="12.75" customHeight="1" x14ac:dyDescent="0.2">
      <c r="A3661" s="403" t="s">
        <v>1143</v>
      </c>
      <c r="B3661" s="271"/>
      <c r="C3661" s="271"/>
      <c r="D3661" s="271"/>
      <c r="E3661" s="271"/>
      <c r="F3661" s="271"/>
      <c r="G3661" s="273"/>
      <c r="H3661" s="29" t="str">
        <f t="shared" ref="H3661:H3666" si="501">IF(A3661="","",VLOOKUP(A3661,AA_Materiales,7,FALSE))</f>
        <v>Unidad</v>
      </c>
      <c r="I3661" s="394">
        <f t="shared" ref="I3661:I3666" si="502">IF(A3661="","",VLOOKUP(A3661,AA_Materiales,8,FALSE))</f>
        <v>0</v>
      </c>
      <c r="J3661" s="273"/>
      <c r="K3661" s="395">
        <v>1</v>
      </c>
      <c r="L3661" s="273"/>
      <c r="M3661" s="394">
        <f t="shared" ref="M3661:M3666" si="503">IF(A3661="","",I3661*K3661)</f>
        <v>0</v>
      </c>
      <c r="N3661" s="273"/>
    </row>
    <row r="3662" spans="1:14" ht="12.75" customHeight="1" x14ac:dyDescent="0.2">
      <c r="A3662" s="403"/>
      <c r="B3662" s="271"/>
      <c r="C3662" s="271"/>
      <c r="D3662" s="271"/>
      <c r="E3662" s="271"/>
      <c r="F3662" s="271"/>
      <c r="G3662" s="273"/>
      <c r="H3662" s="29" t="str">
        <f t="shared" si="501"/>
        <v/>
      </c>
      <c r="I3662" s="394" t="str">
        <f t="shared" si="502"/>
        <v/>
      </c>
      <c r="J3662" s="273"/>
      <c r="K3662" s="395"/>
      <c r="L3662" s="273"/>
      <c r="M3662" s="394" t="str">
        <f t="shared" si="503"/>
        <v/>
      </c>
      <c r="N3662" s="273"/>
    </row>
    <row r="3663" spans="1:14" ht="12.75" customHeight="1" x14ac:dyDescent="0.2">
      <c r="A3663" s="403"/>
      <c r="B3663" s="271"/>
      <c r="C3663" s="271"/>
      <c r="D3663" s="271"/>
      <c r="E3663" s="271"/>
      <c r="F3663" s="271"/>
      <c r="G3663" s="273"/>
      <c r="H3663" s="29" t="str">
        <f t="shared" si="501"/>
        <v/>
      </c>
      <c r="I3663" s="394" t="str">
        <f t="shared" si="502"/>
        <v/>
      </c>
      <c r="J3663" s="273"/>
      <c r="K3663" s="395"/>
      <c r="L3663" s="273"/>
      <c r="M3663" s="394" t="str">
        <f t="shared" si="503"/>
        <v/>
      </c>
      <c r="N3663" s="273"/>
    </row>
    <row r="3664" spans="1:14" ht="12.75" customHeight="1" x14ac:dyDescent="0.2">
      <c r="A3664" s="403"/>
      <c r="B3664" s="271"/>
      <c r="C3664" s="271"/>
      <c r="D3664" s="271"/>
      <c r="E3664" s="271"/>
      <c r="F3664" s="271"/>
      <c r="G3664" s="273"/>
      <c r="H3664" s="29" t="str">
        <f t="shared" si="501"/>
        <v/>
      </c>
      <c r="I3664" s="394" t="str">
        <f t="shared" si="502"/>
        <v/>
      </c>
      <c r="J3664" s="273"/>
      <c r="K3664" s="395"/>
      <c r="L3664" s="273"/>
      <c r="M3664" s="394" t="str">
        <f t="shared" si="503"/>
        <v/>
      </c>
      <c r="N3664" s="273"/>
    </row>
    <row r="3665" spans="1:14" ht="12.75" customHeight="1" x14ac:dyDescent="0.2">
      <c r="A3665" s="403"/>
      <c r="B3665" s="271"/>
      <c r="C3665" s="271"/>
      <c r="D3665" s="271"/>
      <c r="E3665" s="271"/>
      <c r="F3665" s="271"/>
      <c r="G3665" s="273"/>
      <c r="H3665" s="29" t="str">
        <f t="shared" si="501"/>
        <v/>
      </c>
      <c r="I3665" s="394" t="str">
        <f t="shared" si="502"/>
        <v/>
      </c>
      <c r="J3665" s="273"/>
      <c r="K3665" s="395"/>
      <c r="L3665" s="273"/>
      <c r="M3665" s="394" t="str">
        <f t="shared" si="503"/>
        <v/>
      </c>
      <c r="N3665" s="273"/>
    </row>
    <row r="3666" spans="1:14" ht="12.75" customHeight="1" x14ac:dyDescent="0.2">
      <c r="A3666" s="403"/>
      <c r="B3666" s="271"/>
      <c r="C3666" s="271"/>
      <c r="D3666" s="271"/>
      <c r="E3666" s="271"/>
      <c r="F3666" s="271"/>
      <c r="G3666" s="273"/>
      <c r="H3666" s="29" t="str">
        <f t="shared" si="501"/>
        <v/>
      </c>
      <c r="I3666" s="394" t="str">
        <f t="shared" si="502"/>
        <v/>
      </c>
      <c r="J3666" s="273"/>
      <c r="K3666" s="395"/>
      <c r="L3666" s="273"/>
      <c r="M3666" s="394" t="str">
        <f t="shared" si="503"/>
        <v/>
      </c>
      <c r="N3666" s="273"/>
    </row>
    <row r="3667" spans="1:14" ht="12.75" customHeight="1" x14ac:dyDescent="0.25">
      <c r="A3667" s="4"/>
      <c r="B3667" s="4"/>
      <c r="C3667" s="4"/>
      <c r="D3667" s="4"/>
      <c r="E3667" s="4"/>
      <c r="F3667" s="4"/>
      <c r="G3667" s="4"/>
      <c r="H3667" s="4"/>
      <c r="I3667" s="4"/>
      <c r="J3667" s="4"/>
      <c r="K3667" s="396" t="s">
        <v>444</v>
      </c>
      <c r="L3667" s="273"/>
      <c r="M3667" s="394">
        <f>SUM(M3661:N3666)</f>
        <v>0</v>
      </c>
      <c r="N3667" s="273"/>
    </row>
    <row r="3668" spans="1:14" ht="12.75" customHeight="1" x14ac:dyDescent="0.25">
      <c r="A3668" s="4"/>
      <c r="B3668" s="4"/>
      <c r="C3668" s="4"/>
      <c r="D3668" s="4"/>
      <c r="E3668" s="4"/>
      <c r="F3668" s="4"/>
      <c r="G3668" s="4"/>
      <c r="H3668" s="4"/>
      <c r="I3668" s="4"/>
      <c r="J3668" s="4"/>
      <c r="K3668" s="4"/>
      <c r="L3668" s="4"/>
      <c r="M3668" s="4"/>
      <c r="N3668" s="4"/>
    </row>
    <row r="3669" spans="1:14" ht="12.75" customHeight="1" x14ac:dyDescent="0.2">
      <c r="A3669" s="398" t="s">
        <v>926</v>
      </c>
      <c r="B3669" s="271"/>
      <c r="C3669" s="271"/>
      <c r="D3669" s="271"/>
      <c r="E3669" s="271"/>
      <c r="F3669" s="271"/>
      <c r="G3669" s="271"/>
      <c r="H3669" s="271"/>
      <c r="I3669" s="271"/>
      <c r="J3669" s="271"/>
      <c r="K3669" s="271"/>
      <c r="L3669" s="271"/>
      <c r="M3669" s="271"/>
      <c r="N3669" s="273"/>
    </row>
    <row r="3670" spans="1:14" ht="12.75" customHeight="1" x14ac:dyDescent="0.2">
      <c r="A3670" s="396" t="s">
        <v>76</v>
      </c>
      <c r="B3670" s="271"/>
      <c r="C3670" s="271"/>
      <c r="D3670" s="271"/>
      <c r="E3670" s="271"/>
      <c r="F3670" s="271"/>
      <c r="G3670" s="273"/>
      <c r="H3670" s="88" t="s">
        <v>77</v>
      </c>
      <c r="I3670" s="399" t="s">
        <v>920</v>
      </c>
      <c r="J3670" s="273"/>
      <c r="K3670" s="399" t="s">
        <v>453</v>
      </c>
      <c r="L3670" s="273"/>
      <c r="M3670" s="399" t="s">
        <v>921</v>
      </c>
      <c r="N3670" s="273"/>
    </row>
    <row r="3671" spans="1:14" ht="12.75" customHeight="1" x14ac:dyDescent="0.2">
      <c r="A3671" s="400" t="s">
        <v>927</v>
      </c>
      <c r="B3671" s="271"/>
      <c r="C3671" s="271"/>
      <c r="D3671" s="271"/>
      <c r="E3671" s="271"/>
      <c r="F3671" s="271"/>
      <c r="G3671" s="273"/>
      <c r="H3671" s="29" t="str">
        <f>IF(A3671="","",VLOOKUP(A3671,AA_Equipos,7,FALSE))</f>
        <v>% M.O.</v>
      </c>
      <c r="I3671" s="394">
        <f>+M3694</f>
        <v>0</v>
      </c>
      <c r="J3671" s="273"/>
      <c r="K3671" s="404">
        <v>0</v>
      </c>
      <c r="L3671" s="273"/>
      <c r="M3671" s="394">
        <f t="shared" ref="M3671:M3675" si="504">IF(A3671="","",I3671*K3671)</f>
        <v>0</v>
      </c>
      <c r="N3671" s="273"/>
    </row>
    <row r="3672" spans="1:14" ht="12.75" customHeight="1" x14ac:dyDescent="0.2">
      <c r="A3672" s="403"/>
      <c r="B3672" s="271"/>
      <c r="C3672" s="271"/>
      <c r="D3672" s="271"/>
      <c r="E3672" s="271"/>
      <c r="F3672" s="271"/>
      <c r="G3672" s="273"/>
      <c r="H3672" s="29" t="str">
        <f>IF(A3672="","",VLOOKUP(A3672,AA_Equipos,7,FALSE))</f>
        <v/>
      </c>
      <c r="I3672" s="394" t="str">
        <f>IF(A3672="","",VLOOKUP(A3672,AA_Equipos,8,FALSE))</f>
        <v/>
      </c>
      <c r="J3672" s="273"/>
      <c r="K3672" s="402"/>
      <c r="L3672" s="273"/>
      <c r="M3672" s="394" t="str">
        <f t="shared" si="504"/>
        <v/>
      </c>
      <c r="N3672" s="273"/>
    </row>
    <row r="3673" spans="1:14" ht="12.75" customHeight="1" x14ac:dyDescent="0.2">
      <c r="A3673" s="400"/>
      <c r="B3673" s="271"/>
      <c r="C3673" s="271"/>
      <c r="D3673" s="271"/>
      <c r="E3673" s="271"/>
      <c r="F3673" s="271"/>
      <c r="G3673" s="273"/>
      <c r="H3673" s="29" t="str">
        <f>IF(A3673="","",VLOOKUP(A3673,AA_Equipos,7,FALSE))</f>
        <v/>
      </c>
      <c r="I3673" s="394" t="str">
        <f>IF(A3673="","",VLOOKUP(A3673,AA_Equipos,8,FALSE))</f>
        <v/>
      </c>
      <c r="J3673" s="273"/>
      <c r="K3673" s="401"/>
      <c r="L3673" s="273"/>
      <c r="M3673" s="394" t="str">
        <f t="shared" si="504"/>
        <v/>
      </c>
      <c r="N3673" s="273"/>
    </row>
    <row r="3674" spans="1:14" ht="12.75" customHeight="1" x14ac:dyDescent="0.2">
      <c r="A3674" s="400"/>
      <c r="B3674" s="271"/>
      <c r="C3674" s="271"/>
      <c r="D3674" s="271"/>
      <c r="E3674" s="271"/>
      <c r="F3674" s="271"/>
      <c r="G3674" s="273"/>
      <c r="H3674" s="29" t="str">
        <f>IF(A3674="","",VLOOKUP(A3674,AA_Equipos,7,FALSE))</f>
        <v/>
      </c>
      <c r="I3674" s="394" t="str">
        <f>IF(A3674="","",VLOOKUP(A3674,AA_Equipos,8,FALSE))</f>
        <v/>
      </c>
      <c r="J3674" s="273"/>
      <c r="K3674" s="395"/>
      <c r="L3674" s="273"/>
      <c r="M3674" s="394" t="str">
        <f t="shared" si="504"/>
        <v/>
      </c>
      <c r="N3674" s="273"/>
    </row>
    <row r="3675" spans="1:14" ht="12.75" customHeight="1" x14ac:dyDescent="0.2">
      <c r="A3675" s="400"/>
      <c r="B3675" s="271"/>
      <c r="C3675" s="271"/>
      <c r="D3675" s="271"/>
      <c r="E3675" s="271"/>
      <c r="F3675" s="271"/>
      <c r="G3675" s="273"/>
      <c r="H3675" s="29" t="str">
        <f>IF(A3675="","",VLOOKUP(A3675,AA_Equipos,7,FALSE))</f>
        <v/>
      </c>
      <c r="I3675" s="394" t="str">
        <f>IF(A3675="","",VLOOKUP(A3675,AA_Equipos,8,FALSE))</f>
        <v/>
      </c>
      <c r="J3675" s="273"/>
      <c r="K3675" s="395"/>
      <c r="L3675" s="273"/>
      <c r="M3675" s="394" t="str">
        <f t="shared" si="504"/>
        <v/>
      </c>
      <c r="N3675" s="273"/>
    </row>
    <row r="3676" spans="1:14" ht="12.75" customHeight="1" x14ac:dyDescent="0.25">
      <c r="A3676" s="4"/>
      <c r="B3676" s="4"/>
      <c r="C3676" s="4"/>
      <c r="D3676" s="4"/>
      <c r="E3676" s="4"/>
      <c r="F3676" s="4"/>
      <c r="G3676" s="4"/>
      <c r="H3676" s="4"/>
      <c r="I3676" s="4"/>
      <c r="J3676" s="4"/>
      <c r="K3676" s="396" t="s">
        <v>444</v>
      </c>
      <c r="L3676" s="273"/>
      <c r="M3676" s="394">
        <f>SUM(M3671:N3675)</f>
        <v>0</v>
      </c>
      <c r="N3676" s="273"/>
    </row>
    <row r="3677" spans="1:14" ht="12.75" customHeight="1" x14ac:dyDescent="0.25">
      <c r="A3677" s="4"/>
      <c r="B3677" s="4"/>
      <c r="C3677" s="4"/>
      <c r="D3677" s="4"/>
      <c r="E3677" s="4"/>
      <c r="F3677" s="4"/>
      <c r="G3677" s="4"/>
      <c r="H3677" s="4"/>
      <c r="I3677" s="4"/>
      <c r="J3677" s="4"/>
      <c r="K3677" s="4"/>
      <c r="L3677" s="4"/>
      <c r="M3677" s="4"/>
      <c r="N3677" s="4"/>
    </row>
    <row r="3678" spans="1:14" ht="12.75" customHeight="1" x14ac:dyDescent="0.2">
      <c r="A3678" s="398" t="s">
        <v>929</v>
      </c>
      <c r="B3678" s="271"/>
      <c r="C3678" s="271"/>
      <c r="D3678" s="271"/>
      <c r="E3678" s="271"/>
      <c r="F3678" s="271"/>
      <c r="G3678" s="271"/>
      <c r="H3678" s="271"/>
      <c r="I3678" s="271"/>
      <c r="J3678" s="271"/>
      <c r="K3678" s="271"/>
      <c r="L3678" s="271"/>
      <c r="M3678" s="271"/>
      <c r="N3678" s="273"/>
    </row>
    <row r="3679" spans="1:14" ht="12.75" customHeight="1" x14ac:dyDescent="0.2">
      <c r="A3679" s="396" t="s">
        <v>76</v>
      </c>
      <c r="B3679" s="271"/>
      <c r="C3679" s="271"/>
      <c r="D3679" s="271"/>
      <c r="E3679" s="271"/>
      <c r="F3679" s="271"/>
      <c r="G3679" s="273"/>
      <c r="H3679" s="88" t="s">
        <v>77</v>
      </c>
      <c r="I3679" s="399" t="s">
        <v>920</v>
      </c>
      <c r="J3679" s="273"/>
      <c r="K3679" s="399" t="s">
        <v>453</v>
      </c>
      <c r="L3679" s="273"/>
      <c r="M3679" s="399" t="s">
        <v>921</v>
      </c>
      <c r="N3679" s="273"/>
    </row>
    <row r="3680" spans="1:14" ht="12.75" customHeight="1" x14ac:dyDescent="0.2">
      <c r="A3680" s="400" t="s">
        <v>966</v>
      </c>
      <c r="B3680" s="271"/>
      <c r="C3680" s="271"/>
      <c r="D3680" s="271"/>
      <c r="E3680" s="271"/>
      <c r="F3680" s="271"/>
      <c r="G3680" s="273"/>
      <c r="H3680" s="29" t="s">
        <v>950</v>
      </c>
      <c r="I3680" s="394">
        <f>+M3667</f>
        <v>0</v>
      </c>
      <c r="J3680" s="273"/>
      <c r="K3680" s="404">
        <v>0.05</v>
      </c>
      <c r="L3680" s="273"/>
      <c r="M3680" s="394">
        <f t="shared" ref="M3680:M3684" si="505">IF(A3680="","",I3680*K3680)</f>
        <v>0</v>
      </c>
      <c r="N3680" s="273"/>
    </row>
    <row r="3681" spans="1:14" ht="12.75" customHeight="1" x14ac:dyDescent="0.2">
      <c r="A3681" s="403"/>
      <c r="B3681" s="271"/>
      <c r="C3681" s="271"/>
      <c r="D3681" s="271"/>
      <c r="E3681" s="271"/>
      <c r="F3681" s="271"/>
      <c r="G3681" s="273"/>
      <c r="H3681" s="29"/>
      <c r="I3681" s="394"/>
      <c r="J3681" s="273"/>
      <c r="K3681" s="404"/>
      <c r="L3681" s="273"/>
      <c r="M3681" s="394" t="str">
        <f t="shared" si="505"/>
        <v/>
      </c>
      <c r="N3681" s="273"/>
    </row>
    <row r="3682" spans="1:14" ht="12.75" customHeight="1" x14ac:dyDescent="0.2">
      <c r="A3682" s="400"/>
      <c r="B3682" s="271"/>
      <c r="C3682" s="271"/>
      <c r="D3682" s="271"/>
      <c r="E3682" s="271"/>
      <c r="F3682" s="271"/>
      <c r="G3682" s="273"/>
      <c r="H3682" s="29"/>
      <c r="I3682" s="394"/>
      <c r="J3682" s="273"/>
      <c r="K3682" s="395"/>
      <c r="L3682" s="273"/>
      <c r="M3682" s="394" t="str">
        <f t="shared" si="505"/>
        <v/>
      </c>
      <c r="N3682" s="273"/>
    </row>
    <row r="3683" spans="1:14" ht="12.75" customHeight="1" x14ac:dyDescent="0.2">
      <c r="A3683" s="400"/>
      <c r="B3683" s="271"/>
      <c r="C3683" s="271"/>
      <c r="D3683" s="271"/>
      <c r="E3683" s="271"/>
      <c r="F3683" s="271"/>
      <c r="G3683" s="273"/>
      <c r="H3683" s="29"/>
      <c r="I3683" s="394"/>
      <c r="J3683" s="273"/>
      <c r="K3683" s="395"/>
      <c r="L3683" s="273"/>
      <c r="M3683" s="394" t="str">
        <f t="shared" si="505"/>
        <v/>
      </c>
      <c r="N3683" s="273"/>
    </row>
    <row r="3684" spans="1:14" ht="12.75" customHeight="1" x14ac:dyDescent="0.2">
      <c r="A3684" s="400"/>
      <c r="B3684" s="271"/>
      <c r="C3684" s="271"/>
      <c r="D3684" s="271"/>
      <c r="E3684" s="271"/>
      <c r="F3684" s="271"/>
      <c r="G3684" s="273"/>
      <c r="H3684" s="29"/>
      <c r="I3684" s="394"/>
      <c r="J3684" s="273"/>
      <c r="K3684" s="395"/>
      <c r="L3684" s="273"/>
      <c r="M3684" s="394" t="str">
        <f t="shared" si="505"/>
        <v/>
      </c>
      <c r="N3684" s="273"/>
    </row>
    <row r="3685" spans="1:14" ht="12.75" customHeight="1" x14ac:dyDescent="0.25">
      <c r="A3685" s="4"/>
      <c r="B3685" s="4"/>
      <c r="C3685" s="4"/>
      <c r="D3685" s="4"/>
      <c r="E3685" s="4"/>
      <c r="F3685" s="4"/>
      <c r="G3685" s="4"/>
      <c r="H3685" s="4"/>
      <c r="I3685" s="4"/>
      <c r="J3685" s="4"/>
      <c r="K3685" s="396" t="s">
        <v>444</v>
      </c>
      <c r="L3685" s="273"/>
      <c r="M3685" s="394">
        <f>SUM(M3680:N3684)</f>
        <v>0</v>
      </c>
      <c r="N3685" s="273"/>
    </row>
    <row r="3686" spans="1:14" ht="12.75" customHeight="1" x14ac:dyDescent="0.25">
      <c r="A3686" s="4"/>
      <c r="B3686" s="4"/>
      <c r="C3686" s="4"/>
      <c r="D3686" s="4"/>
      <c r="E3686" s="4"/>
      <c r="F3686" s="4"/>
      <c r="G3686" s="4"/>
      <c r="H3686" s="4"/>
      <c r="I3686" s="4"/>
      <c r="J3686" s="4"/>
      <c r="K3686" s="4"/>
      <c r="L3686" s="4"/>
      <c r="M3686" s="4"/>
      <c r="N3686" s="4"/>
    </row>
    <row r="3687" spans="1:14" ht="12.75" customHeight="1" x14ac:dyDescent="0.2">
      <c r="A3687" s="398" t="s">
        <v>931</v>
      </c>
      <c r="B3687" s="271"/>
      <c r="C3687" s="271"/>
      <c r="D3687" s="271"/>
      <c r="E3687" s="271"/>
      <c r="F3687" s="271"/>
      <c r="G3687" s="271"/>
      <c r="H3687" s="271"/>
      <c r="I3687" s="271"/>
      <c r="J3687" s="271"/>
      <c r="K3687" s="271"/>
      <c r="L3687" s="271"/>
      <c r="M3687" s="271"/>
      <c r="N3687" s="273"/>
    </row>
    <row r="3688" spans="1:14" ht="12.75" customHeight="1" x14ac:dyDescent="0.2">
      <c r="A3688" s="396" t="s">
        <v>76</v>
      </c>
      <c r="B3688" s="271"/>
      <c r="C3688" s="271"/>
      <c r="D3688" s="271"/>
      <c r="E3688" s="271"/>
      <c r="F3688" s="271"/>
      <c r="G3688" s="273"/>
      <c r="H3688" s="88" t="s">
        <v>77</v>
      </c>
      <c r="I3688" s="399" t="s">
        <v>920</v>
      </c>
      <c r="J3688" s="273"/>
      <c r="K3688" s="90" t="s">
        <v>514</v>
      </c>
      <c r="L3688" s="91" t="s">
        <v>932</v>
      </c>
      <c r="M3688" s="399" t="s">
        <v>921</v>
      </c>
      <c r="N3688" s="273"/>
    </row>
    <row r="3689" spans="1:14" ht="12.75" customHeight="1" x14ac:dyDescent="0.25">
      <c r="A3689" s="393" t="s">
        <v>1106</v>
      </c>
      <c r="B3689" s="271"/>
      <c r="C3689" s="271"/>
      <c r="D3689" s="271"/>
      <c r="E3689" s="271"/>
      <c r="F3689" s="271"/>
      <c r="G3689" s="273"/>
      <c r="H3689" s="29" t="str">
        <f>IF(A3689="","",VLOOKUP(A3689,AA_Cuadrillas,4,FALSE))</f>
        <v>Cuadrilla</v>
      </c>
      <c r="I3689" s="394">
        <f>IF(A3689="","",VLOOKUP(A3689,AA_Cuadrillas,5,FALSE))</f>
        <v>256799</v>
      </c>
      <c r="J3689" s="273"/>
      <c r="K3689" s="9">
        <f>IF(A3689="","",F.P!$I$2)</f>
        <v>1.88</v>
      </c>
      <c r="L3689" s="97">
        <v>0</v>
      </c>
      <c r="M3689" s="394">
        <f t="shared" ref="M3689:M3693" si="506">IF(A3689="","",I3689*K3689*L3689)</f>
        <v>0</v>
      </c>
      <c r="N3689" s="273"/>
    </row>
    <row r="3690" spans="1:14" ht="12.75" customHeight="1" x14ac:dyDescent="0.25">
      <c r="A3690" s="393"/>
      <c r="B3690" s="271"/>
      <c r="C3690" s="271"/>
      <c r="D3690" s="271"/>
      <c r="E3690" s="271"/>
      <c r="F3690" s="271"/>
      <c r="G3690" s="273"/>
      <c r="H3690" s="29" t="str">
        <f>IF(A3690="","",VLOOKUP(A3690,AA_Cuadrillas,4,FALSE))</f>
        <v/>
      </c>
      <c r="I3690" s="394" t="str">
        <f>IF(A3690="","",VLOOKUP(A3690,AA_Cuadrillas,5,FALSE))</f>
        <v/>
      </c>
      <c r="J3690" s="273"/>
      <c r="K3690" s="9" t="str">
        <f>IF(A3690="","",F.P!$I$2)</f>
        <v/>
      </c>
      <c r="L3690" s="9"/>
      <c r="M3690" s="394" t="str">
        <f t="shared" si="506"/>
        <v/>
      </c>
      <c r="N3690" s="273"/>
    </row>
    <row r="3691" spans="1:14" ht="12.75" customHeight="1" x14ac:dyDescent="0.25">
      <c r="A3691" s="393"/>
      <c r="B3691" s="271"/>
      <c r="C3691" s="271"/>
      <c r="D3691" s="271"/>
      <c r="E3691" s="271"/>
      <c r="F3691" s="271"/>
      <c r="G3691" s="273"/>
      <c r="H3691" s="29" t="str">
        <f>IF(A3691="","",VLOOKUP(A3691,AA_Cuadrillas,4,FALSE))</f>
        <v/>
      </c>
      <c r="I3691" s="394" t="str">
        <f>IF(A3691="","",VLOOKUP(A3691,AA_Cuadrillas,5,FALSE))</f>
        <v/>
      </c>
      <c r="J3691" s="273"/>
      <c r="K3691" s="9" t="str">
        <f>IF(A3691="","",F.P!$I$2)</f>
        <v/>
      </c>
      <c r="L3691" s="37"/>
      <c r="M3691" s="394" t="str">
        <f t="shared" si="506"/>
        <v/>
      </c>
      <c r="N3691" s="273"/>
    </row>
    <row r="3692" spans="1:14" ht="12.75" customHeight="1" x14ac:dyDescent="0.25">
      <c r="A3692" s="393"/>
      <c r="B3692" s="271"/>
      <c r="C3692" s="271"/>
      <c r="D3692" s="271"/>
      <c r="E3692" s="271"/>
      <c r="F3692" s="271"/>
      <c r="G3692" s="273"/>
      <c r="H3692" s="29" t="str">
        <f>IF(A3692="","",VLOOKUP(A3692,AA_Cuadrillas,4,FALSE))</f>
        <v/>
      </c>
      <c r="I3692" s="394" t="str">
        <f>IF(A3692="","",VLOOKUP(A3692,AA_Cuadrillas,5,FALSE))</f>
        <v/>
      </c>
      <c r="J3692" s="273"/>
      <c r="K3692" s="9" t="str">
        <f>IF(A3692="","",F.P!$I$2)</f>
        <v/>
      </c>
      <c r="L3692" s="37"/>
      <c r="M3692" s="394" t="str">
        <f t="shared" si="506"/>
        <v/>
      </c>
      <c r="N3692" s="273"/>
    </row>
    <row r="3693" spans="1:14" ht="12.75" customHeight="1" x14ac:dyDescent="0.25">
      <c r="A3693" s="393"/>
      <c r="B3693" s="271"/>
      <c r="C3693" s="271"/>
      <c r="D3693" s="271"/>
      <c r="E3693" s="271"/>
      <c r="F3693" s="271"/>
      <c r="G3693" s="273"/>
      <c r="H3693" s="29" t="str">
        <f>IF(A3693="","",VLOOKUP(A3693,AA_Cuadrillas,4,FALSE))</f>
        <v/>
      </c>
      <c r="I3693" s="394" t="str">
        <f>IF(A3693="","",VLOOKUP(A3693,AA_Cuadrillas,5,FALSE))</f>
        <v/>
      </c>
      <c r="J3693" s="273"/>
      <c r="K3693" s="9" t="str">
        <f>IF(A3693="","",F.P!$I$2)</f>
        <v/>
      </c>
      <c r="L3693" s="37"/>
      <c r="M3693" s="394" t="str">
        <f t="shared" si="506"/>
        <v/>
      </c>
      <c r="N3693" s="273"/>
    </row>
    <row r="3694" spans="1:14" ht="12.75" customHeight="1" x14ac:dyDescent="0.25">
      <c r="A3694" s="4"/>
      <c r="B3694" s="4"/>
      <c r="C3694" s="4"/>
      <c r="D3694" s="4"/>
      <c r="E3694" s="4"/>
      <c r="F3694" s="4"/>
      <c r="G3694" s="4"/>
      <c r="H3694" s="4"/>
      <c r="I3694" s="4"/>
      <c r="J3694" s="4"/>
      <c r="K3694" s="396" t="s">
        <v>444</v>
      </c>
      <c r="L3694" s="273"/>
      <c r="M3694" s="394">
        <f>SUM(M3689:N3693)</f>
        <v>0</v>
      </c>
      <c r="N3694" s="273"/>
    </row>
    <row r="3695" spans="1:14" ht="12.75" customHeight="1" x14ac:dyDescent="0.2"/>
    <row r="3696" spans="1:14" ht="12.75" customHeight="1" x14ac:dyDescent="0.2">
      <c r="A3696" s="407" t="s">
        <v>1144</v>
      </c>
      <c r="B3696" s="275"/>
      <c r="C3696" s="275"/>
      <c r="D3696" s="275"/>
      <c r="E3696" s="275"/>
      <c r="F3696" s="275"/>
      <c r="G3696" s="275"/>
      <c r="H3696" s="275"/>
      <c r="I3696" s="275"/>
      <c r="J3696" s="275"/>
      <c r="K3696" s="275"/>
      <c r="L3696" s="275"/>
      <c r="M3696" s="275"/>
      <c r="N3696" s="276"/>
    </row>
    <row r="3697" spans="1:14" ht="12.75" customHeight="1" x14ac:dyDescent="0.2">
      <c r="A3697" s="277"/>
      <c r="B3697" s="278"/>
      <c r="C3697" s="278"/>
      <c r="D3697" s="278"/>
      <c r="E3697" s="278"/>
      <c r="F3697" s="278"/>
      <c r="G3697" s="278"/>
      <c r="H3697" s="278"/>
      <c r="I3697" s="278"/>
      <c r="J3697" s="278"/>
      <c r="K3697" s="278"/>
      <c r="L3697" s="278"/>
      <c r="M3697" s="278"/>
      <c r="N3697" s="279"/>
    </row>
    <row r="3698" spans="1:14" ht="12.75" customHeight="1" x14ac:dyDescent="0.2">
      <c r="A3698" s="75"/>
      <c r="B3698" s="75"/>
      <c r="C3698" s="75"/>
      <c r="D3698" s="75"/>
      <c r="E3698" s="75"/>
      <c r="F3698" s="75"/>
      <c r="G3698" s="75"/>
      <c r="H3698" s="75"/>
      <c r="I3698" s="75"/>
      <c r="J3698" s="75"/>
      <c r="K3698" s="75"/>
      <c r="L3698" s="75"/>
      <c r="M3698" s="75"/>
      <c r="N3698" s="75"/>
    </row>
    <row r="3699" spans="1:14" ht="12.75" customHeight="1" x14ac:dyDescent="0.3">
      <c r="A3699" s="79" t="s">
        <v>700</v>
      </c>
      <c r="B3699" s="80" t="str">
        <f>A3696</f>
        <v>SUMINISTRO E INSTALACIÓN DE NIPLE DE 0,50M Ø3" EN HIERRO DUCTIL</v>
      </c>
      <c r="C3699" s="81" t="s">
        <v>916</v>
      </c>
      <c r="D3699" s="82" t="s">
        <v>999</v>
      </c>
      <c r="E3699" s="83" t="s">
        <v>445</v>
      </c>
      <c r="F3699" s="86">
        <f>H3699+J3699+L3699+N3699</f>
        <v>136500</v>
      </c>
      <c r="G3699" s="83" t="s">
        <v>607</v>
      </c>
      <c r="H3699" s="86">
        <f>M3709</f>
        <v>130000</v>
      </c>
      <c r="I3699" s="83" t="s">
        <v>918</v>
      </c>
      <c r="J3699" s="86">
        <f>M3718</f>
        <v>0</v>
      </c>
      <c r="K3699" s="83" t="s">
        <v>609</v>
      </c>
      <c r="L3699" s="86">
        <f>M3727</f>
        <v>6500</v>
      </c>
      <c r="M3699" s="83" t="s">
        <v>610</v>
      </c>
      <c r="N3699" s="86">
        <f>M3736</f>
        <v>0</v>
      </c>
    </row>
    <row r="3700" spans="1:14" ht="12.75" customHeight="1" x14ac:dyDescent="0.25">
      <c r="A3700" s="87"/>
      <c r="B3700" s="87"/>
      <c r="C3700" s="87"/>
      <c r="D3700" s="87"/>
      <c r="E3700" s="87"/>
      <c r="F3700" s="87"/>
      <c r="G3700" s="87"/>
      <c r="J3700" s="87"/>
      <c r="K3700" s="215" t="s">
        <v>3217</v>
      </c>
      <c r="L3700" s="215">
        <f>+F3699*presup!$O$5</f>
        <v>177450</v>
      </c>
      <c r="M3700" s="87"/>
      <c r="N3700" s="87"/>
    </row>
    <row r="3701" spans="1:14" ht="12.75" customHeight="1" x14ac:dyDescent="0.2">
      <c r="A3701" s="398" t="s">
        <v>919</v>
      </c>
      <c r="B3701" s="271"/>
      <c r="C3701" s="271"/>
      <c r="D3701" s="271"/>
      <c r="E3701" s="271"/>
      <c r="F3701" s="271"/>
      <c r="G3701" s="271"/>
      <c r="H3701" s="271"/>
      <c r="I3701" s="271"/>
      <c r="J3701" s="271"/>
      <c r="K3701" s="271"/>
      <c r="L3701" s="271"/>
      <c r="M3701" s="271"/>
      <c r="N3701" s="273"/>
    </row>
    <row r="3702" spans="1:14" ht="12.75" customHeight="1" x14ac:dyDescent="0.2">
      <c r="A3702" s="396" t="s">
        <v>76</v>
      </c>
      <c r="B3702" s="271"/>
      <c r="C3702" s="271"/>
      <c r="D3702" s="271"/>
      <c r="E3702" s="271"/>
      <c r="F3702" s="271"/>
      <c r="G3702" s="273"/>
      <c r="H3702" s="88" t="s">
        <v>77</v>
      </c>
      <c r="I3702" s="399" t="s">
        <v>920</v>
      </c>
      <c r="J3702" s="273"/>
      <c r="K3702" s="399" t="s">
        <v>453</v>
      </c>
      <c r="L3702" s="273"/>
      <c r="M3702" s="399" t="s">
        <v>921</v>
      </c>
      <c r="N3702" s="273"/>
    </row>
    <row r="3703" spans="1:14" ht="12.75" customHeight="1" x14ac:dyDescent="0.2">
      <c r="A3703" s="403" t="s">
        <v>1145</v>
      </c>
      <c r="B3703" s="271"/>
      <c r="C3703" s="271"/>
      <c r="D3703" s="271"/>
      <c r="E3703" s="271"/>
      <c r="F3703" s="271"/>
      <c r="G3703" s="273"/>
      <c r="H3703" s="29" t="str">
        <f t="shared" ref="H3703:H3708" si="507">IF(A3703="","",VLOOKUP(A3703,AA_Materiales,7,FALSE))</f>
        <v>Unidad</v>
      </c>
      <c r="I3703" s="394">
        <f t="shared" ref="I3703:I3708" si="508">IF(A3703="","",VLOOKUP(A3703,AA_Materiales,8,FALSE))</f>
        <v>130000</v>
      </c>
      <c r="J3703" s="273"/>
      <c r="K3703" s="395">
        <v>1</v>
      </c>
      <c r="L3703" s="273"/>
      <c r="M3703" s="394">
        <f t="shared" ref="M3703:M3708" si="509">IF(A3703="","",I3703*K3703)</f>
        <v>130000</v>
      </c>
      <c r="N3703" s="273"/>
    </row>
    <row r="3704" spans="1:14" ht="12.75" customHeight="1" x14ac:dyDescent="0.2">
      <c r="A3704" s="403"/>
      <c r="B3704" s="271"/>
      <c r="C3704" s="271"/>
      <c r="D3704" s="271"/>
      <c r="E3704" s="271"/>
      <c r="F3704" s="271"/>
      <c r="G3704" s="273"/>
      <c r="H3704" s="29" t="str">
        <f t="shared" si="507"/>
        <v/>
      </c>
      <c r="I3704" s="394" t="str">
        <f t="shared" si="508"/>
        <v/>
      </c>
      <c r="J3704" s="273"/>
      <c r="K3704" s="395"/>
      <c r="L3704" s="273"/>
      <c r="M3704" s="394" t="str">
        <f t="shared" si="509"/>
        <v/>
      </c>
      <c r="N3704" s="273"/>
    </row>
    <row r="3705" spans="1:14" ht="12.75" customHeight="1" x14ac:dyDescent="0.2">
      <c r="A3705" s="403"/>
      <c r="B3705" s="271"/>
      <c r="C3705" s="271"/>
      <c r="D3705" s="271"/>
      <c r="E3705" s="271"/>
      <c r="F3705" s="271"/>
      <c r="G3705" s="273"/>
      <c r="H3705" s="29" t="str">
        <f t="shared" si="507"/>
        <v/>
      </c>
      <c r="I3705" s="394" t="str">
        <f t="shared" si="508"/>
        <v/>
      </c>
      <c r="J3705" s="273"/>
      <c r="K3705" s="395"/>
      <c r="L3705" s="273"/>
      <c r="M3705" s="394" t="str">
        <f t="shared" si="509"/>
        <v/>
      </c>
      <c r="N3705" s="273"/>
    </row>
    <row r="3706" spans="1:14" ht="12.75" customHeight="1" x14ac:dyDescent="0.2">
      <c r="A3706" s="403"/>
      <c r="B3706" s="271"/>
      <c r="C3706" s="271"/>
      <c r="D3706" s="271"/>
      <c r="E3706" s="271"/>
      <c r="F3706" s="271"/>
      <c r="G3706" s="273"/>
      <c r="H3706" s="29" t="str">
        <f t="shared" si="507"/>
        <v/>
      </c>
      <c r="I3706" s="394" t="str">
        <f t="shared" si="508"/>
        <v/>
      </c>
      <c r="J3706" s="273"/>
      <c r="K3706" s="395"/>
      <c r="L3706" s="273"/>
      <c r="M3706" s="394" t="str">
        <f t="shared" si="509"/>
        <v/>
      </c>
      <c r="N3706" s="273"/>
    </row>
    <row r="3707" spans="1:14" ht="12.75" customHeight="1" x14ac:dyDescent="0.2">
      <c r="A3707" s="403"/>
      <c r="B3707" s="271"/>
      <c r="C3707" s="271"/>
      <c r="D3707" s="271"/>
      <c r="E3707" s="271"/>
      <c r="F3707" s="271"/>
      <c r="G3707" s="273"/>
      <c r="H3707" s="29" t="str">
        <f t="shared" si="507"/>
        <v/>
      </c>
      <c r="I3707" s="394" t="str">
        <f t="shared" si="508"/>
        <v/>
      </c>
      <c r="J3707" s="273"/>
      <c r="K3707" s="395"/>
      <c r="L3707" s="273"/>
      <c r="M3707" s="394" t="str">
        <f t="shared" si="509"/>
        <v/>
      </c>
      <c r="N3707" s="273"/>
    </row>
    <row r="3708" spans="1:14" ht="12.75" customHeight="1" x14ac:dyDescent="0.2">
      <c r="A3708" s="403"/>
      <c r="B3708" s="271"/>
      <c r="C3708" s="271"/>
      <c r="D3708" s="271"/>
      <c r="E3708" s="271"/>
      <c r="F3708" s="271"/>
      <c r="G3708" s="273"/>
      <c r="H3708" s="29" t="str">
        <f t="shared" si="507"/>
        <v/>
      </c>
      <c r="I3708" s="394" t="str">
        <f t="shared" si="508"/>
        <v/>
      </c>
      <c r="J3708" s="273"/>
      <c r="K3708" s="395"/>
      <c r="L3708" s="273"/>
      <c r="M3708" s="394" t="str">
        <f t="shared" si="509"/>
        <v/>
      </c>
      <c r="N3708" s="273"/>
    </row>
    <row r="3709" spans="1:14" ht="12.75" customHeight="1" x14ac:dyDescent="0.25">
      <c r="A3709" s="4"/>
      <c r="B3709" s="4"/>
      <c r="C3709" s="4"/>
      <c r="D3709" s="4"/>
      <c r="E3709" s="4"/>
      <c r="F3709" s="4"/>
      <c r="G3709" s="4"/>
      <c r="H3709" s="4"/>
      <c r="I3709" s="4"/>
      <c r="J3709" s="4"/>
      <c r="K3709" s="396" t="s">
        <v>444</v>
      </c>
      <c r="L3709" s="273"/>
      <c r="M3709" s="394">
        <f>SUM(M3703:N3708)</f>
        <v>130000</v>
      </c>
      <c r="N3709" s="273"/>
    </row>
    <row r="3710" spans="1:14" ht="12.75" customHeight="1" x14ac:dyDescent="0.25">
      <c r="A3710" s="4"/>
      <c r="B3710" s="4"/>
      <c r="C3710" s="4"/>
      <c r="D3710" s="4"/>
      <c r="E3710" s="4"/>
      <c r="F3710" s="4"/>
      <c r="G3710" s="4"/>
      <c r="H3710" s="4"/>
      <c r="I3710" s="4"/>
      <c r="J3710" s="4"/>
      <c r="K3710" s="4"/>
      <c r="L3710" s="4"/>
      <c r="M3710" s="4"/>
      <c r="N3710" s="4"/>
    </row>
    <row r="3711" spans="1:14" ht="12.75" customHeight="1" x14ac:dyDescent="0.2">
      <c r="A3711" s="398" t="s">
        <v>926</v>
      </c>
      <c r="B3711" s="271"/>
      <c r="C3711" s="271"/>
      <c r="D3711" s="271"/>
      <c r="E3711" s="271"/>
      <c r="F3711" s="271"/>
      <c r="G3711" s="271"/>
      <c r="H3711" s="271"/>
      <c r="I3711" s="271"/>
      <c r="J3711" s="271"/>
      <c r="K3711" s="271"/>
      <c r="L3711" s="271"/>
      <c r="M3711" s="271"/>
      <c r="N3711" s="273"/>
    </row>
    <row r="3712" spans="1:14" ht="12.75" customHeight="1" x14ac:dyDescent="0.2">
      <c r="A3712" s="396" t="s">
        <v>76</v>
      </c>
      <c r="B3712" s="271"/>
      <c r="C3712" s="271"/>
      <c r="D3712" s="271"/>
      <c r="E3712" s="271"/>
      <c r="F3712" s="271"/>
      <c r="G3712" s="273"/>
      <c r="H3712" s="88" t="s">
        <v>77</v>
      </c>
      <c r="I3712" s="399" t="s">
        <v>920</v>
      </c>
      <c r="J3712" s="273"/>
      <c r="K3712" s="399" t="s">
        <v>453</v>
      </c>
      <c r="L3712" s="273"/>
      <c r="M3712" s="399" t="s">
        <v>921</v>
      </c>
      <c r="N3712" s="273"/>
    </row>
    <row r="3713" spans="1:14" ht="12.75" customHeight="1" x14ac:dyDescent="0.2">
      <c r="A3713" s="400" t="s">
        <v>927</v>
      </c>
      <c r="B3713" s="271"/>
      <c r="C3713" s="271"/>
      <c r="D3713" s="271"/>
      <c r="E3713" s="271"/>
      <c r="F3713" s="271"/>
      <c r="G3713" s="273"/>
      <c r="H3713" s="29" t="str">
        <f>IF(A3713="","",VLOOKUP(A3713,AA_Equipos,7,FALSE))</f>
        <v>% M.O.</v>
      </c>
      <c r="I3713" s="394">
        <f>+M3736</f>
        <v>0</v>
      </c>
      <c r="J3713" s="273"/>
      <c r="K3713" s="404">
        <v>0</v>
      </c>
      <c r="L3713" s="273"/>
      <c r="M3713" s="394">
        <f t="shared" ref="M3713:M3717" si="510">IF(A3713="","",I3713*K3713)</f>
        <v>0</v>
      </c>
      <c r="N3713" s="273"/>
    </row>
    <row r="3714" spans="1:14" ht="12.75" customHeight="1" x14ac:dyDescent="0.2">
      <c r="A3714" s="403"/>
      <c r="B3714" s="271"/>
      <c r="C3714" s="271"/>
      <c r="D3714" s="271"/>
      <c r="E3714" s="271"/>
      <c r="F3714" s="271"/>
      <c r="G3714" s="273"/>
      <c r="H3714" s="29" t="str">
        <f>IF(A3714="","",VLOOKUP(A3714,AA_Equipos,7,FALSE))</f>
        <v/>
      </c>
      <c r="I3714" s="394" t="str">
        <f>IF(A3714="","",VLOOKUP(A3714,AA_Equipos,8,FALSE))</f>
        <v/>
      </c>
      <c r="J3714" s="273"/>
      <c r="K3714" s="402"/>
      <c r="L3714" s="273"/>
      <c r="M3714" s="394" t="str">
        <f t="shared" si="510"/>
        <v/>
      </c>
      <c r="N3714" s="273"/>
    </row>
    <row r="3715" spans="1:14" ht="12.75" customHeight="1" x14ac:dyDescent="0.2">
      <c r="A3715" s="400"/>
      <c r="B3715" s="271"/>
      <c r="C3715" s="271"/>
      <c r="D3715" s="271"/>
      <c r="E3715" s="271"/>
      <c r="F3715" s="271"/>
      <c r="G3715" s="273"/>
      <c r="H3715" s="29" t="str">
        <f>IF(A3715="","",VLOOKUP(A3715,AA_Equipos,7,FALSE))</f>
        <v/>
      </c>
      <c r="I3715" s="394" t="str">
        <f>IF(A3715="","",VLOOKUP(A3715,AA_Equipos,8,FALSE))</f>
        <v/>
      </c>
      <c r="J3715" s="273"/>
      <c r="K3715" s="401"/>
      <c r="L3715" s="273"/>
      <c r="M3715" s="394" t="str">
        <f t="shared" si="510"/>
        <v/>
      </c>
      <c r="N3715" s="273"/>
    </row>
    <row r="3716" spans="1:14" ht="12.75" customHeight="1" x14ac:dyDescent="0.2">
      <c r="A3716" s="400"/>
      <c r="B3716" s="271"/>
      <c r="C3716" s="271"/>
      <c r="D3716" s="271"/>
      <c r="E3716" s="271"/>
      <c r="F3716" s="271"/>
      <c r="G3716" s="273"/>
      <c r="H3716" s="29" t="str">
        <f>IF(A3716="","",VLOOKUP(A3716,AA_Equipos,7,FALSE))</f>
        <v/>
      </c>
      <c r="I3716" s="394" t="str">
        <f>IF(A3716="","",VLOOKUP(A3716,AA_Equipos,8,FALSE))</f>
        <v/>
      </c>
      <c r="J3716" s="273"/>
      <c r="K3716" s="395"/>
      <c r="L3716" s="273"/>
      <c r="M3716" s="394" t="str">
        <f t="shared" si="510"/>
        <v/>
      </c>
      <c r="N3716" s="273"/>
    </row>
    <row r="3717" spans="1:14" ht="12.75" customHeight="1" x14ac:dyDescent="0.2">
      <c r="A3717" s="400"/>
      <c r="B3717" s="271"/>
      <c r="C3717" s="271"/>
      <c r="D3717" s="271"/>
      <c r="E3717" s="271"/>
      <c r="F3717" s="271"/>
      <c r="G3717" s="273"/>
      <c r="H3717" s="29" t="str">
        <f>IF(A3717="","",VLOOKUP(A3717,AA_Equipos,7,FALSE))</f>
        <v/>
      </c>
      <c r="I3717" s="394" t="str">
        <f>IF(A3717="","",VLOOKUP(A3717,AA_Equipos,8,FALSE))</f>
        <v/>
      </c>
      <c r="J3717" s="273"/>
      <c r="K3717" s="395"/>
      <c r="L3717" s="273"/>
      <c r="M3717" s="394" t="str">
        <f t="shared" si="510"/>
        <v/>
      </c>
      <c r="N3717" s="273"/>
    </row>
    <row r="3718" spans="1:14" ht="12.75" customHeight="1" x14ac:dyDescent="0.25">
      <c r="A3718" s="4"/>
      <c r="B3718" s="4"/>
      <c r="C3718" s="4"/>
      <c r="D3718" s="4"/>
      <c r="E3718" s="4"/>
      <c r="F3718" s="4"/>
      <c r="G3718" s="4"/>
      <c r="H3718" s="4"/>
      <c r="I3718" s="4"/>
      <c r="J3718" s="4"/>
      <c r="K3718" s="396" t="s">
        <v>444</v>
      </c>
      <c r="L3718" s="273"/>
      <c r="M3718" s="394">
        <f>SUM(M3713:N3717)</f>
        <v>0</v>
      </c>
      <c r="N3718" s="273"/>
    </row>
    <row r="3719" spans="1:14" ht="12.75" customHeight="1" x14ac:dyDescent="0.25">
      <c r="A3719" s="4"/>
      <c r="B3719" s="4"/>
      <c r="C3719" s="4"/>
      <c r="D3719" s="4"/>
      <c r="E3719" s="4"/>
      <c r="F3719" s="4"/>
      <c r="G3719" s="4"/>
      <c r="H3719" s="4"/>
      <c r="I3719" s="4"/>
      <c r="J3719" s="4"/>
      <c r="K3719" s="4"/>
      <c r="L3719" s="4"/>
      <c r="M3719" s="4"/>
      <c r="N3719" s="4"/>
    </row>
    <row r="3720" spans="1:14" ht="12.75" customHeight="1" x14ac:dyDescent="0.2">
      <c r="A3720" s="398" t="s">
        <v>929</v>
      </c>
      <c r="B3720" s="271"/>
      <c r="C3720" s="271"/>
      <c r="D3720" s="271"/>
      <c r="E3720" s="271"/>
      <c r="F3720" s="271"/>
      <c r="G3720" s="271"/>
      <c r="H3720" s="271"/>
      <c r="I3720" s="271"/>
      <c r="J3720" s="271"/>
      <c r="K3720" s="271"/>
      <c r="L3720" s="271"/>
      <c r="M3720" s="271"/>
      <c r="N3720" s="273"/>
    </row>
    <row r="3721" spans="1:14" ht="12.75" customHeight="1" x14ac:dyDescent="0.2">
      <c r="A3721" s="396" t="s">
        <v>76</v>
      </c>
      <c r="B3721" s="271"/>
      <c r="C3721" s="271"/>
      <c r="D3721" s="271"/>
      <c r="E3721" s="271"/>
      <c r="F3721" s="271"/>
      <c r="G3721" s="273"/>
      <c r="H3721" s="88" t="s">
        <v>77</v>
      </c>
      <c r="I3721" s="399" t="s">
        <v>920</v>
      </c>
      <c r="J3721" s="273"/>
      <c r="K3721" s="399" t="s">
        <v>453</v>
      </c>
      <c r="L3721" s="273"/>
      <c r="M3721" s="399" t="s">
        <v>921</v>
      </c>
      <c r="N3721" s="273"/>
    </row>
    <row r="3722" spans="1:14" ht="12.75" customHeight="1" x14ac:dyDescent="0.2">
      <c r="A3722" s="400" t="s">
        <v>966</v>
      </c>
      <c r="B3722" s="271"/>
      <c r="C3722" s="271"/>
      <c r="D3722" s="271"/>
      <c r="E3722" s="271"/>
      <c r="F3722" s="271"/>
      <c r="G3722" s="273"/>
      <c r="H3722" s="29" t="s">
        <v>950</v>
      </c>
      <c r="I3722" s="394">
        <f>+M3709</f>
        <v>130000</v>
      </c>
      <c r="J3722" s="273"/>
      <c r="K3722" s="404">
        <v>0.05</v>
      </c>
      <c r="L3722" s="273"/>
      <c r="M3722" s="394">
        <f t="shared" ref="M3722:M3726" si="511">IF(A3722="","",I3722*K3722)</f>
        <v>6500</v>
      </c>
      <c r="N3722" s="273"/>
    </row>
    <row r="3723" spans="1:14" ht="12.75" customHeight="1" x14ac:dyDescent="0.2">
      <c r="A3723" s="403"/>
      <c r="B3723" s="271"/>
      <c r="C3723" s="271"/>
      <c r="D3723" s="271"/>
      <c r="E3723" s="271"/>
      <c r="F3723" s="271"/>
      <c r="G3723" s="273"/>
      <c r="H3723" s="29"/>
      <c r="I3723" s="394"/>
      <c r="J3723" s="273"/>
      <c r="K3723" s="404"/>
      <c r="L3723" s="273"/>
      <c r="M3723" s="394" t="str">
        <f t="shared" si="511"/>
        <v/>
      </c>
      <c r="N3723" s="273"/>
    </row>
    <row r="3724" spans="1:14" ht="12.75" customHeight="1" x14ac:dyDescent="0.2">
      <c r="A3724" s="400"/>
      <c r="B3724" s="271"/>
      <c r="C3724" s="271"/>
      <c r="D3724" s="271"/>
      <c r="E3724" s="271"/>
      <c r="F3724" s="271"/>
      <c r="G3724" s="273"/>
      <c r="H3724" s="29"/>
      <c r="I3724" s="394"/>
      <c r="J3724" s="273"/>
      <c r="K3724" s="395"/>
      <c r="L3724" s="273"/>
      <c r="M3724" s="394" t="str">
        <f t="shared" si="511"/>
        <v/>
      </c>
      <c r="N3724" s="273"/>
    </row>
    <row r="3725" spans="1:14" ht="12.75" customHeight="1" x14ac:dyDescent="0.2">
      <c r="A3725" s="400"/>
      <c r="B3725" s="271"/>
      <c r="C3725" s="271"/>
      <c r="D3725" s="271"/>
      <c r="E3725" s="271"/>
      <c r="F3725" s="271"/>
      <c r="G3725" s="273"/>
      <c r="H3725" s="29"/>
      <c r="I3725" s="394"/>
      <c r="J3725" s="273"/>
      <c r="K3725" s="395"/>
      <c r="L3725" s="273"/>
      <c r="M3725" s="394" t="str">
        <f t="shared" si="511"/>
        <v/>
      </c>
      <c r="N3725" s="273"/>
    </row>
    <row r="3726" spans="1:14" ht="12.75" customHeight="1" x14ac:dyDescent="0.2">
      <c r="A3726" s="400"/>
      <c r="B3726" s="271"/>
      <c r="C3726" s="271"/>
      <c r="D3726" s="271"/>
      <c r="E3726" s="271"/>
      <c r="F3726" s="271"/>
      <c r="G3726" s="273"/>
      <c r="H3726" s="29"/>
      <c r="I3726" s="394"/>
      <c r="J3726" s="273"/>
      <c r="K3726" s="395"/>
      <c r="L3726" s="273"/>
      <c r="M3726" s="394" t="str">
        <f t="shared" si="511"/>
        <v/>
      </c>
      <c r="N3726" s="273"/>
    </row>
    <row r="3727" spans="1:14" ht="12.75" customHeight="1" x14ac:dyDescent="0.25">
      <c r="A3727" s="4"/>
      <c r="B3727" s="4"/>
      <c r="C3727" s="4"/>
      <c r="D3727" s="4"/>
      <c r="E3727" s="4"/>
      <c r="F3727" s="4"/>
      <c r="G3727" s="4"/>
      <c r="H3727" s="4"/>
      <c r="I3727" s="4"/>
      <c r="J3727" s="4"/>
      <c r="K3727" s="396" t="s">
        <v>444</v>
      </c>
      <c r="L3727" s="273"/>
      <c r="M3727" s="394">
        <f>SUM(M3722:N3726)</f>
        <v>6500</v>
      </c>
      <c r="N3727" s="273"/>
    </row>
    <row r="3728" spans="1:14" ht="12.75" customHeight="1" x14ac:dyDescent="0.25">
      <c r="A3728" s="4"/>
      <c r="B3728" s="4"/>
      <c r="C3728" s="4"/>
      <c r="D3728" s="4"/>
      <c r="E3728" s="4"/>
      <c r="F3728" s="4"/>
      <c r="G3728" s="4"/>
      <c r="H3728" s="4"/>
      <c r="I3728" s="4"/>
      <c r="J3728" s="4"/>
      <c r="K3728" s="4"/>
      <c r="L3728" s="4"/>
      <c r="M3728" s="4"/>
      <c r="N3728" s="4"/>
    </row>
    <row r="3729" spans="1:14" ht="12.75" customHeight="1" x14ac:dyDescent="0.2">
      <c r="A3729" s="398" t="s">
        <v>931</v>
      </c>
      <c r="B3729" s="271"/>
      <c r="C3729" s="271"/>
      <c r="D3729" s="271"/>
      <c r="E3729" s="271"/>
      <c r="F3729" s="271"/>
      <c r="G3729" s="271"/>
      <c r="H3729" s="271"/>
      <c r="I3729" s="271"/>
      <c r="J3729" s="271"/>
      <c r="K3729" s="271"/>
      <c r="L3729" s="271"/>
      <c r="M3729" s="271"/>
      <c r="N3729" s="273"/>
    </row>
    <row r="3730" spans="1:14" ht="12.75" customHeight="1" x14ac:dyDescent="0.2">
      <c r="A3730" s="396" t="s">
        <v>76</v>
      </c>
      <c r="B3730" s="271"/>
      <c r="C3730" s="271"/>
      <c r="D3730" s="271"/>
      <c r="E3730" s="271"/>
      <c r="F3730" s="271"/>
      <c r="G3730" s="273"/>
      <c r="H3730" s="88" t="s">
        <v>77</v>
      </c>
      <c r="I3730" s="399" t="s">
        <v>920</v>
      </c>
      <c r="J3730" s="273"/>
      <c r="K3730" s="90" t="s">
        <v>514</v>
      </c>
      <c r="L3730" s="91" t="s">
        <v>932</v>
      </c>
      <c r="M3730" s="399" t="s">
        <v>921</v>
      </c>
      <c r="N3730" s="273"/>
    </row>
    <row r="3731" spans="1:14" ht="12.75" customHeight="1" x14ac:dyDescent="0.25">
      <c r="A3731" s="393" t="s">
        <v>1106</v>
      </c>
      <c r="B3731" s="271"/>
      <c r="C3731" s="271"/>
      <c r="D3731" s="271"/>
      <c r="E3731" s="271"/>
      <c r="F3731" s="271"/>
      <c r="G3731" s="273"/>
      <c r="H3731" s="29" t="str">
        <f>IF(A3731="","",VLOOKUP(A3731,AA_Cuadrillas,4,FALSE))</f>
        <v>Cuadrilla</v>
      </c>
      <c r="I3731" s="394">
        <f>IF(A3731="","",VLOOKUP(A3731,AA_Cuadrillas,5,FALSE))</f>
        <v>256799</v>
      </c>
      <c r="J3731" s="273"/>
      <c r="K3731" s="9">
        <f>IF(A3731="","",F.P!$I$2)</f>
        <v>1.88</v>
      </c>
      <c r="L3731" s="97">
        <v>0</v>
      </c>
      <c r="M3731" s="394">
        <f t="shared" ref="M3731:M3735" si="512">IF(A3731="","",I3731*K3731*L3731)</f>
        <v>0</v>
      </c>
      <c r="N3731" s="273"/>
    </row>
    <row r="3732" spans="1:14" ht="12.75" customHeight="1" x14ac:dyDescent="0.25">
      <c r="A3732" s="393"/>
      <c r="B3732" s="271"/>
      <c r="C3732" s="271"/>
      <c r="D3732" s="271"/>
      <c r="E3732" s="271"/>
      <c r="F3732" s="271"/>
      <c r="G3732" s="273"/>
      <c r="H3732" s="29" t="str">
        <f>IF(A3732="","",VLOOKUP(A3732,AA_Cuadrillas,4,FALSE))</f>
        <v/>
      </c>
      <c r="I3732" s="394" t="str">
        <f>IF(A3732="","",VLOOKUP(A3732,AA_Cuadrillas,5,FALSE))</f>
        <v/>
      </c>
      <c r="J3732" s="273"/>
      <c r="K3732" s="9" t="str">
        <f>IF(A3732="","",F.P!$I$2)</f>
        <v/>
      </c>
      <c r="L3732" s="9"/>
      <c r="M3732" s="394" t="str">
        <f t="shared" si="512"/>
        <v/>
      </c>
      <c r="N3732" s="273"/>
    </row>
    <row r="3733" spans="1:14" ht="12.75" customHeight="1" x14ac:dyDescent="0.25">
      <c r="A3733" s="393"/>
      <c r="B3733" s="271"/>
      <c r="C3733" s="271"/>
      <c r="D3733" s="271"/>
      <c r="E3733" s="271"/>
      <c r="F3733" s="271"/>
      <c r="G3733" s="273"/>
      <c r="H3733" s="29" t="str">
        <f>IF(A3733="","",VLOOKUP(A3733,AA_Cuadrillas,4,FALSE))</f>
        <v/>
      </c>
      <c r="I3733" s="394" t="str">
        <f>IF(A3733="","",VLOOKUP(A3733,AA_Cuadrillas,5,FALSE))</f>
        <v/>
      </c>
      <c r="J3733" s="273"/>
      <c r="K3733" s="9" t="str">
        <f>IF(A3733="","",F.P!$I$2)</f>
        <v/>
      </c>
      <c r="L3733" s="37"/>
      <c r="M3733" s="394" t="str">
        <f t="shared" si="512"/>
        <v/>
      </c>
      <c r="N3733" s="273"/>
    </row>
    <row r="3734" spans="1:14" ht="12.75" customHeight="1" x14ac:dyDescent="0.25">
      <c r="A3734" s="393"/>
      <c r="B3734" s="271"/>
      <c r="C3734" s="271"/>
      <c r="D3734" s="271"/>
      <c r="E3734" s="271"/>
      <c r="F3734" s="271"/>
      <c r="G3734" s="273"/>
      <c r="H3734" s="29" t="str">
        <f>IF(A3734="","",VLOOKUP(A3734,AA_Cuadrillas,4,FALSE))</f>
        <v/>
      </c>
      <c r="I3734" s="394" t="str">
        <f>IF(A3734="","",VLOOKUP(A3734,AA_Cuadrillas,5,FALSE))</f>
        <v/>
      </c>
      <c r="J3734" s="273"/>
      <c r="K3734" s="9" t="str">
        <f>IF(A3734="","",F.P!$I$2)</f>
        <v/>
      </c>
      <c r="L3734" s="37"/>
      <c r="M3734" s="394" t="str">
        <f t="shared" si="512"/>
        <v/>
      </c>
      <c r="N3734" s="273"/>
    </row>
    <row r="3735" spans="1:14" ht="12.75" customHeight="1" x14ac:dyDescent="0.25">
      <c r="A3735" s="393"/>
      <c r="B3735" s="271"/>
      <c r="C3735" s="271"/>
      <c r="D3735" s="271"/>
      <c r="E3735" s="271"/>
      <c r="F3735" s="271"/>
      <c r="G3735" s="273"/>
      <c r="H3735" s="29" t="str">
        <f>IF(A3735="","",VLOOKUP(A3735,AA_Cuadrillas,4,FALSE))</f>
        <v/>
      </c>
      <c r="I3735" s="394" t="str">
        <f>IF(A3735="","",VLOOKUP(A3735,AA_Cuadrillas,5,FALSE))</f>
        <v/>
      </c>
      <c r="J3735" s="273"/>
      <c r="K3735" s="9" t="str">
        <f>IF(A3735="","",F.P!$I$2)</f>
        <v/>
      </c>
      <c r="L3735" s="37"/>
      <c r="M3735" s="394" t="str">
        <f t="shared" si="512"/>
        <v/>
      </c>
      <c r="N3735" s="273"/>
    </row>
    <row r="3736" spans="1:14" ht="12.75" customHeight="1" x14ac:dyDescent="0.25">
      <c r="A3736" s="4"/>
      <c r="B3736" s="4"/>
      <c r="C3736" s="4"/>
      <c r="D3736" s="4"/>
      <c r="E3736" s="4"/>
      <c r="F3736" s="4"/>
      <c r="G3736" s="4"/>
      <c r="H3736" s="4"/>
      <c r="I3736" s="4"/>
      <c r="J3736" s="4"/>
      <c r="K3736" s="396" t="s">
        <v>444</v>
      </c>
      <c r="L3736" s="273"/>
      <c r="M3736" s="394">
        <f>SUM(M3731:N3735)</f>
        <v>0</v>
      </c>
      <c r="N3736" s="273"/>
    </row>
    <row r="3737" spans="1:14" ht="12.75" customHeight="1" x14ac:dyDescent="0.2"/>
    <row r="3738" spans="1:14" ht="12.75" customHeight="1" x14ac:dyDescent="0.2">
      <c r="A3738" s="407" t="s">
        <v>1146</v>
      </c>
      <c r="B3738" s="275"/>
      <c r="C3738" s="275"/>
      <c r="D3738" s="275"/>
      <c r="E3738" s="275"/>
      <c r="F3738" s="275"/>
      <c r="G3738" s="275"/>
      <c r="H3738" s="275"/>
      <c r="I3738" s="275"/>
      <c r="J3738" s="275"/>
      <c r="K3738" s="275"/>
      <c r="L3738" s="275"/>
      <c r="M3738" s="275"/>
      <c r="N3738" s="276"/>
    </row>
    <row r="3739" spans="1:14" ht="12.75" customHeight="1" x14ac:dyDescent="0.2">
      <c r="A3739" s="277"/>
      <c r="B3739" s="278"/>
      <c r="C3739" s="278"/>
      <c r="D3739" s="278"/>
      <c r="E3739" s="278"/>
      <c r="F3739" s="278"/>
      <c r="G3739" s="278"/>
      <c r="H3739" s="278"/>
      <c r="I3739" s="278"/>
      <c r="J3739" s="278"/>
      <c r="K3739" s="278"/>
      <c r="L3739" s="278"/>
      <c r="M3739" s="278"/>
      <c r="N3739" s="279"/>
    </row>
    <row r="3740" spans="1:14" ht="12.75" customHeight="1" x14ac:dyDescent="0.2">
      <c r="A3740" s="75"/>
      <c r="B3740" s="75"/>
      <c r="C3740" s="75"/>
      <c r="D3740" s="75"/>
      <c r="E3740" s="75"/>
      <c r="F3740" s="75"/>
      <c r="G3740" s="75"/>
      <c r="H3740" s="75"/>
      <c r="I3740" s="75"/>
      <c r="J3740" s="75"/>
      <c r="K3740" s="75"/>
      <c r="L3740" s="75"/>
      <c r="M3740" s="75"/>
      <c r="N3740" s="75"/>
    </row>
    <row r="3741" spans="1:14" ht="12.75" customHeight="1" x14ac:dyDescent="0.3">
      <c r="A3741" s="79" t="s">
        <v>701</v>
      </c>
      <c r="B3741" s="80" t="str">
        <f>A3738</f>
        <v>SUMINISTRO E INSTALACIÓN DE NIPLE DE 1M Ø3" EN HIERRO DUCTIL</v>
      </c>
      <c r="C3741" s="81" t="s">
        <v>916</v>
      </c>
      <c r="D3741" s="82" t="s">
        <v>999</v>
      </c>
      <c r="E3741" s="83" t="s">
        <v>445</v>
      </c>
      <c r="F3741" s="86">
        <f>H3741+J3741+L3741+N3741</f>
        <v>262500</v>
      </c>
      <c r="G3741" s="83" t="s">
        <v>607</v>
      </c>
      <c r="H3741" s="86">
        <f>M3751</f>
        <v>250000</v>
      </c>
      <c r="I3741" s="83" t="s">
        <v>918</v>
      </c>
      <c r="J3741" s="86">
        <f>M3760</f>
        <v>0</v>
      </c>
      <c r="K3741" s="83" t="s">
        <v>609</v>
      </c>
      <c r="L3741" s="86">
        <f>M3769</f>
        <v>12500</v>
      </c>
      <c r="M3741" s="83" t="s">
        <v>610</v>
      </c>
      <c r="N3741" s="86">
        <f>M3778</f>
        <v>0</v>
      </c>
    </row>
    <row r="3742" spans="1:14" ht="12.75" customHeight="1" x14ac:dyDescent="0.25">
      <c r="A3742" s="87"/>
      <c r="B3742" s="87"/>
      <c r="C3742" s="87"/>
      <c r="D3742" s="87"/>
      <c r="E3742" s="87"/>
      <c r="F3742" s="87"/>
      <c r="G3742" s="87"/>
      <c r="J3742" s="87"/>
      <c r="K3742" s="215" t="s">
        <v>3217</v>
      </c>
      <c r="L3742" s="215">
        <f>+F3741*presup!$O$5</f>
        <v>341250</v>
      </c>
      <c r="M3742" s="87"/>
      <c r="N3742" s="87"/>
    </row>
    <row r="3743" spans="1:14" ht="12.75" customHeight="1" x14ac:dyDescent="0.2">
      <c r="A3743" s="398" t="s">
        <v>919</v>
      </c>
      <c r="B3743" s="271"/>
      <c r="C3743" s="271"/>
      <c r="D3743" s="271"/>
      <c r="E3743" s="271"/>
      <c r="F3743" s="271"/>
      <c r="G3743" s="271"/>
      <c r="H3743" s="271"/>
      <c r="I3743" s="271"/>
      <c r="J3743" s="271"/>
      <c r="K3743" s="271"/>
      <c r="L3743" s="271"/>
      <c r="M3743" s="271"/>
      <c r="N3743" s="273"/>
    </row>
    <row r="3744" spans="1:14" ht="12.75" customHeight="1" x14ac:dyDescent="0.2">
      <c r="A3744" s="396" t="s">
        <v>76</v>
      </c>
      <c r="B3744" s="271"/>
      <c r="C3744" s="271"/>
      <c r="D3744" s="271"/>
      <c r="E3744" s="271"/>
      <c r="F3744" s="271"/>
      <c r="G3744" s="273"/>
      <c r="H3744" s="88" t="s">
        <v>77</v>
      </c>
      <c r="I3744" s="399" t="s">
        <v>920</v>
      </c>
      <c r="J3744" s="273"/>
      <c r="K3744" s="399" t="s">
        <v>453</v>
      </c>
      <c r="L3744" s="273"/>
      <c r="M3744" s="399" t="s">
        <v>921</v>
      </c>
      <c r="N3744" s="273"/>
    </row>
    <row r="3745" spans="1:14" ht="12.75" customHeight="1" x14ac:dyDescent="0.2">
      <c r="A3745" s="403" t="s">
        <v>1147</v>
      </c>
      <c r="B3745" s="271"/>
      <c r="C3745" s="271"/>
      <c r="D3745" s="271"/>
      <c r="E3745" s="271"/>
      <c r="F3745" s="271"/>
      <c r="G3745" s="273"/>
      <c r="H3745" s="29" t="str">
        <f t="shared" ref="H3745:H3750" si="513">IF(A3745="","",VLOOKUP(A3745,AA_Materiales,7,FALSE))</f>
        <v>Unidad</v>
      </c>
      <c r="I3745" s="394">
        <f t="shared" ref="I3745:I3750" si="514">IF(A3745="","",VLOOKUP(A3745,AA_Materiales,8,FALSE))</f>
        <v>250000</v>
      </c>
      <c r="J3745" s="273"/>
      <c r="K3745" s="395">
        <v>1</v>
      </c>
      <c r="L3745" s="273"/>
      <c r="M3745" s="394">
        <f t="shared" ref="M3745:M3750" si="515">IF(A3745="","",I3745*K3745)</f>
        <v>250000</v>
      </c>
      <c r="N3745" s="273"/>
    </row>
    <row r="3746" spans="1:14" ht="12.75" customHeight="1" x14ac:dyDescent="0.2">
      <c r="A3746" s="403"/>
      <c r="B3746" s="271"/>
      <c r="C3746" s="271"/>
      <c r="D3746" s="271"/>
      <c r="E3746" s="271"/>
      <c r="F3746" s="271"/>
      <c r="G3746" s="273"/>
      <c r="H3746" s="29" t="str">
        <f t="shared" si="513"/>
        <v/>
      </c>
      <c r="I3746" s="394" t="str">
        <f t="shared" si="514"/>
        <v/>
      </c>
      <c r="J3746" s="273"/>
      <c r="K3746" s="395"/>
      <c r="L3746" s="273"/>
      <c r="M3746" s="394" t="str">
        <f t="shared" si="515"/>
        <v/>
      </c>
      <c r="N3746" s="273"/>
    </row>
    <row r="3747" spans="1:14" ht="12.75" customHeight="1" x14ac:dyDescent="0.2">
      <c r="A3747" s="403"/>
      <c r="B3747" s="271"/>
      <c r="C3747" s="271"/>
      <c r="D3747" s="271"/>
      <c r="E3747" s="271"/>
      <c r="F3747" s="271"/>
      <c r="G3747" s="273"/>
      <c r="H3747" s="29" t="str">
        <f t="shared" si="513"/>
        <v/>
      </c>
      <c r="I3747" s="394" t="str">
        <f t="shared" si="514"/>
        <v/>
      </c>
      <c r="J3747" s="273"/>
      <c r="K3747" s="395"/>
      <c r="L3747" s="273"/>
      <c r="M3747" s="394" t="str">
        <f t="shared" si="515"/>
        <v/>
      </c>
      <c r="N3747" s="273"/>
    </row>
    <row r="3748" spans="1:14" ht="12.75" customHeight="1" x14ac:dyDescent="0.2">
      <c r="A3748" s="403"/>
      <c r="B3748" s="271"/>
      <c r="C3748" s="271"/>
      <c r="D3748" s="271"/>
      <c r="E3748" s="271"/>
      <c r="F3748" s="271"/>
      <c r="G3748" s="273"/>
      <c r="H3748" s="29" t="str">
        <f t="shared" si="513"/>
        <v/>
      </c>
      <c r="I3748" s="394" t="str">
        <f t="shared" si="514"/>
        <v/>
      </c>
      <c r="J3748" s="273"/>
      <c r="K3748" s="395"/>
      <c r="L3748" s="273"/>
      <c r="M3748" s="394" t="str">
        <f t="shared" si="515"/>
        <v/>
      </c>
      <c r="N3748" s="273"/>
    </row>
    <row r="3749" spans="1:14" ht="12.75" customHeight="1" x14ac:dyDescent="0.2">
      <c r="A3749" s="403"/>
      <c r="B3749" s="271"/>
      <c r="C3749" s="271"/>
      <c r="D3749" s="271"/>
      <c r="E3749" s="271"/>
      <c r="F3749" s="271"/>
      <c r="G3749" s="273"/>
      <c r="H3749" s="29" t="str">
        <f t="shared" si="513"/>
        <v/>
      </c>
      <c r="I3749" s="394" t="str">
        <f t="shared" si="514"/>
        <v/>
      </c>
      <c r="J3749" s="273"/>
      <c r="K3749" s="395"/>
      <c r="L3749" s="273"/>
      <c r="M3749" s="394" t="str">
        <f t="shared" si="515"/>
        <v/>
      </c>
      <c r="N3749" s="273"/>
    </row>
    <row r="3750" spans="1:14" ht="12.75" customHeight="1" x14ac:dyDescent="0.2">
      <c r="A3750" s="403"/>
      <c r="B3750" s="271"/>
      <c r="C3750" s="271"/>
      <c r="D3750" s="271"/>
      <c r="E3750" s="271"/>
      <c r="F3750" s="271"/>
      <c r="G3750" s="273"/>
      <c r="H3750" s="29" t="str">
        <f t="shared" si="513"/>
        <v/>
      </c>
      <c r="I3750" s="394" t="str">
        <f t="shared" si="514"/>
        <v/>
      </c>
      <c r="J3750" s="273"/>
      <c r="K3750" s="395"/>
      <c r="L3750" s="273"/>
      <c r="M3750" s="394" t="str">
        <f t="shared" si="515"/>
        <v/>
      </c>
      <c r="N3750" s="273"/>
    </row>
    <row r="3751" spans="1:14" ht="12.75" customHeight="1" x14ac:dyDescent="0.25">
      <c r="A3751" s="4"/>
      <c r="B3751" s="4"/>
      <c r="C3751" s="4"/>
      <c r="D3751" s="4"/>
      <c r="E3751" s="4"/>
      <c r="F3751" s="4"/>
      <c r="G3751" s="4"/>
      <c r="H3751" s="4"/>
      <c r="I3751" s="4"/>
      <c r="J3751" s="4"/>
      <c r="K3751" s="396" t="s">
        <v>444</v>
      </c>
      <c r="L3751" s="273"/>
      <c r="M3751" s="394">
        <f>SUM(M3745:N3750)</f>
        <v>250000</v>
      </c>
      <c r="N3751" s="273"/>
    </row>
    <row r="3752" spans="1:14" ht="12.75" customHeight="1" x14ac:dyDescent="0.25">
      <c r="A3752" s="4"/>
      <c r="B3752" s="4"/>
      <c r="C3752" s="4"/>
      <c r="D3752" s="4"/>
      <c r="E3752" s="4"/>
      <c r="F3752" s="4"/>
      <c r="G3752" s="4"/>
      <c r="H3752" s="4"/>
      <c r="I3752" s="4"/>
      <c r="J3752" s="4"/>
      <c r="K3752" s="4"/>
      <c r="L3752" s="4"/>
      <c r="M3752" s="4"/>
      <c r="N3752" s="4"/>
    </row>
    <row r="3753" spans="1:14" ht="12.75" customHeight="1" x14ac:dyDescent="0.2">
      <c r="A3753" s="398" t="s">
        <v>926</v>
      </c>
      <c r="B3753" s="271"/>
      <c r="C3753" s="271"/>
      <c r="D3753" s="271"/>
      <c r="E3753" s="271"/>
      <c r="F3753" s="271"/>
      <c r="G3753" s="271"/>
      <c r="H3753" s="271"/>
      <c r="I3753" s="271"/>
      <c r="J3753" s="271"/>
      <c r="K3753" s="271"/>
      <c r="L3753" s="271"/>
      <c r="M3753" s="271"/>
      <c r="N3753" s="273"/>
    </row>
    <row r="3754" spans="1:14" ht="12.75" customHeight="1" x14ac:dyDescent="0.2">
      <c r="A3754" s="396" t="s">
        <v>76</v>
      </c>
      <c r="B3754" s="271"/>
      <c r="C3754" s="271"/>
      <c r="D3754" s="271"/>
      <c r="E3754" s="271"/>
      <c r="F3754" s="271"/>
      <c r="G3754" s="273"/>
      <c r="H3754" s="88" t="s">
        <v>77</v>
      </c>
      <c r="I3754" s="399" t="s">
        <v>920</v>
      </c>
      <c r="J3754" s="273"/>
      <c r="K3754" s="399" t="s">
        <v>453</v>
      </c>
      <c r="L3754" s="273"/>
      <c r="M3754" s="399" t="s">
        <v>921</v>
      </c>
      <c r="N3754" s="273"/>
    </row>
    <row r="3755" spans="1:14" ht="12.75" customHeight="1" x14ac:dyDescent="0.2">
      <c r="A3755" s="400" t="s">
        <v>927</v>
      </c>
      <c r="B3755" s="271"/>
      <c r="C3755" s="271"/>
      <c r="D3755" s="271"/>
      <c r="E3755" s="271"/>
      <c r="F3755" s="271"/>
      <c r="G3755" s="273"/>
      <c r="H3755" s="29" t="str">
        <f>IF(A3755="","",VLOOKUP(A3755,AA_Equipos,7,FALSE))</f>
        <v>% M.O.</v>
      </c>
      <c r="I3755" s="394">
        <f>+M3778</f>
        <v>0</v>
      </c>
      <c r="J3755" s="273"/>
      <c r="K3755" s="404">
        <v>0</v>
      </c>
      <c r="L3755" s="273"/>
      <c r="M3755" s="394">
        <f t="shared" ref="M3755:M3759" si="516">IF(A3755="","",I3755*K3755)</f>
        <v>0</v>
      </c>
      <c r="N3755" s="273"/>
    </row>
    <row r="3756" spans="1:14" ht="12.75" customHeight="1" x14ac:dyDescent="0.2">
      <c r="A3756" s="403"/>
      <c r="B3756" s="271"/>
      <c r="C3756" s="271"/>
      <c r="D3756" s="271"/>
      <c r="E3756" s="271"/>
      <c r="F3756" s="271"/>
      <c r="G3756" s="273"/>
      <c r="H3756" s="29" t="str">
        <f>IF(A3756="","",VLOOKUP(A3756,AA_Equipos,7,FALSE))</f>
        <v/>
      </c>
      <c r="I3756" s="394" t="str">
        <f>IF(A3756="","",VLOOKUP(A3756,AA_Equipos,8,FALSE))</f>
        <v/>
      </c>
      <c r="J3756" s="273"/>
      <c r="K3756" s="402"/>
      <c r="L3756" s="273"/>
      <c r="M3756" s="394" t="str">
        <f t="shared" si="516"/>
        <v/>
      </c>
      <c r="N3756" s="273"/>
    </row>
    <row r="3757" spans="1:14" ht="12.75" customHeight="1" x14ac:dyDescent="0.2">
      <c r="A3757" s="400"/>
      <c r="B3757" s="271"/>
      <c r="C3757" s="271"/>
      <c r="D3757" s="271"/>
      <c r="E3757" s="271"/>
      <c r="F3757" s="271"/>
      <c r="G3757" s="273"/>
      <c r="H3757" s="29" t="str">
        <f>IF(A3757="","",VLOOKUP(A3757,AA_Equipos,7,FALSE))</f>
        <v/>
      </c>
      <c r="I3757" s="394" t="str">
        <f>IF(A3757="","",VLOOKUP(A3757,AA_Equipos,8,FALSE))</f>
        <v/>
      </c>
      <c r="J3757" s="273"/>
      <c r="K3757" s="401"/>
      <c r="L3757" s="273"/>
      <c r="M3757" s="394" t="str">
        <f t="shared" si="516"/>
        <v/>
      </c>
      <c r="N3757" s="273"/>
    </row>
    <row r="3758" spans="1:14" ht="12.75" customHeight="1" x14ac:dyDescent="0.2">
      <c r="A3758" s="400"/>
      <c r="B3758" s="271"/>
      <c r="C3758" s="271"/>
      <c r="D3758" s="271"/>
      <c r="E3758" s="271"/>
      <c r="F3758" s="271"/>
      <c r="G3758" s="273"/>
      <c r="H3758" s="29" t="str">
        <f>IF(A3758="","",VLOOKUP(A3758,AA_Equipos,7,FALSE))</f>
        <v/>
      </c>
      <c r="I3758" s="394" t="str">
        <f>IF(A3758="","",VLOOKUP(A3758,AA_Equipos,8,FALSE))</f>
        <v/>
      </c>
      <c r="J3758" s="273"/>
      <c r="K3758" s="395"/>
      <c r="L3758" s="273"/>
      <c r="M3758" s="394" t="str">
        <f t="shared" si="516"/>
        <v/>
      </c>
      <c r="N3758" s="273"/>
    </row>
    <row r="3759" spans="1:14" ht="12.75" customHeight="1" x14ac:dyDescent="0.2">
      <c r="A3759" s="400"/>
      <c r="B3759" s="271"/>
      <c r="C3759" s="271"/>
      <c r="D3759" s="271"/>
      <c r="E3759" s="271"/>
      <c r="F3759" s="271"/>
      <c r="G3759" s="273"/>
      <c r="H3759" s="29" t="str">
        <f>IF(A3759="","",VLOOKUP(A3759,AA_Equipos,7,FALSE))</f>
        <v/>
      </c>
      <c r="I3759" s="394" t="str">
        <f>IF(A3759="","",VLOOKUP(A3759,AA_Equipos,8,FALSE))</f>
        <v/>
      </c>
      <c r="J3759" s="273"/>
      <c r="K3759" s="395"/>
      <c r="L3759" s="273"/>
      <c r="M3759" s="394" t="str">
        <f t="shared" si="516"/>
        <v/>
      </c>
      <c r="N3759" s="273"/>
    </row>
    <row r="3760" spans="1:14" ht="12.75" customHeight="1" x14ac:dyDescent="0.25">
      <c r="A3760" s="4"/>
      <c r="B3760" s="4"/>
      <c r="C3760" s="4"/>
      <c r="D3760" s="4"/>
      <c r="E3760" s="4"/>
      <c r="F3760" s="4"/>
      <c r="G3760" s="4"/>
      <c r="H3760" s="4"/>
      <c r="I3760" s="4"/>
      <c r="J3760" s="4"/>
      <c r="K3760" s="396" t="s">
        <v>444</v>
      </c>
      <c r="L3760" s="273"/>
      <c r="M3760" s="394">
        <f>SUM(M3755:N3759)</f>
        <v>0</v>
      </c>
      <c r="N3760" s="273"/>
    </row>
    <row r="3761" spans="1:14" ht="12.75" customHeight="1" x14ac:dyDescent="0.25">
      <c r="A3761" s="4"/>
      <c r="B3761" s="4"/>
      <c r="C3761" s="4"/>
      <c r="D3761" s="4"/>
      <c r="E3761" s="4"/>
      <c r="F3761" s="4"/>
      <c r="G3761" s="4"/>
      <c r="H3761" s="4"/>
      <c r="I3761" s="4"/>
      <c r="J3761" s="4"/>
      <c r="K3761" s="4"/>
      <c r="L3761" s="4"/>
      <c r="M3761" s="4"/>
      <c r="N3761" s="4"/>
    </row>
    <row r="3762" spans="1:14" ht="12.75" customHeight="1" x14ac:dyDescent="0.2">
      <c r="A3762" s="398" t="s">
        <v>929</v>
      </c>
      <c r="B3762" s="271"/>
      <c r="C3762" s="271"/>
      <c r="D3762" s="271"/>
      <c r="E3762" s="271"/>
      <c r="F3762" s="271"/>
      <c r="G3762" s="271"/>
      <c r="H3762" s="271"/>
      <c r="I3762" s="271"/>
      <c r="J3762" s="271"/>
      <c r="K3762" s="271"/>
      <c r="L3762" s="271"/>
      <c r="M3762" s="271"/>
      <c r="N3762" s="273"/>
    </row>
    <row r="3763" spans="1:14" ht="12.75" customHeight="1" x14ac:dyDescent="0.2">
      <c r="A3763" s="396" t="s">
        <v>76</v>
      </c>
      <c r="B3763" s="271"/>
      <c r="C3763" s="271"/>
      <c r="D3763" s="271"/>
      <c r="E3763" s="271"/>
      <c r="F3763" s="271"/>
      <c r="G3763" s="273"/>
      <c r="H3763" s="88" t="s">
        <v>77</v>
      </c>
      <c r="I3763" s="399" t="s">
        <v>920</v>
      </c>
      <c r="J3763" s="273"/>
      <c r="K3763" s="399" t="s">
        <v>453</v>
      </c>
      <c r="L3763" s="273"/>
      <c r="M3763" s="399" t="s">
        <v>921</v>
      </c>
      <c r="N3763" s="273"/>
    </row>
    <row r="3764" spans="1:14" ht="12.75" customHeight="1" x14ac:dyDescent="0.2">
      <c r="A3764" s="400" t="s">
        <v>966</v>
      </c>
      <c r="B3764" s="271"/>
      <c r="C3764" s="271"/>
      <c r="D3764" s="271"/>
      <c r="E3764" s="271"/>
      <c r="F3764" s="271"/>
      <c r="G3764" s="273"/>
      <c r="H3764" s="29" t="s">
        <v>950</v>
      </c>
      <c r="I3764" s="394">
        <f>+M3751</f>
        <v>250000</v>
      </c>
      <c r="J3764" s="273"/>
      <c r="K3764" s="404">
        <v>0.05</v>
      </c>
      <c r="L3764" s="273"/>
      <c r="M3764" s="394">
        <f t="shared" ref="M3764:M3768" si="517">IF(A3764="","",I3764*K3764)</f>
        <v>12500</v>
      </c>
      <c r="N3764" s="273"/>
    </row>
    <row r="3765" spans="1:14" ht="12.75" customHeight="1" x14ac:dyDescent="0.2">
      <c r="A3765" s="403"/>
      <c r="B3765" s="271"/>
      <c r="C3765" s="271"/>
      <c r="D3765" s="271"/>
      <c r="E3765" s="271"/>
      <c r="F3765" s="271"/>
      <c r="G3765" s="273"/>
      <c r="H3765" s="29"/>
      <c r="I3765" s="394"/>
      <c r="J3765" s="273"/>
      <c r="K3765" s="404"/>
      <c r="L3765" s="273"/>
      <c r="M3765" s="394" t="str">
        <f t="shared" si="517"/>
        <v/>
      </c>
      <c r="N3765" s="273"/>
    </row>
    <row r="3766" spans="1:14" ht="12.75" customHeight="1" x14ac:dyDescent="0.2">
      <c r="A3766" s="400"/>
      <c r="B3766" s="271"/>
      <c r="C3766" s="271"/>
      <c r="D3766" s="271"/>
      <c r="E3766" s="271"/>
      <c r="F3766" s="271"/>
      <c r="G3766" s="273"/>
      <c r="H3766" s="29"/>
      <c r="I3766" s="394"/>
      <c r="J3766" s="273"/>
      <c r="K3766" s="395"/>
      <c r="L3766" s="273"/>
      <c r="M3766" s="394" t="str">
        <f t="shared" si="517"/>
        <v/>
      </c>
      <c r="N3766" s="273"/>
    </row>
    <row r="3767" spans="1:14" ht="12.75" customHeight="1" x14ac:dyDescent="0.2">
      <c r="A3767" s="400"/>
      <c r="B3767" s="271"/>
      <c r="C3767" s="271"/>
      <c r="D3767" s="271"/>
      <c r="E3767" s="271"/>
      <c r="F3767" s="271"/>
      <c r="G3767" s="273"/>
      <c r="H3767" s="29"/>
      <c r="I3767" s="394"/>
      <c r="J3767" s="273"/>
      <c r="K3767" s="395"/>
      <c r="L3767" s="273"/>
      <c r="M3767" s="394" t="str">
        <f t="shared" si="517"/>
        <v/>
      </c>
      <c r="N3767" s="273"/>
    </row>
    <row r="3768" spans="1:14" ht="12.75" customHeight="1" x14ac:dyDescent="0.2">
      <c r="A3768" s="400"/>
      <c r="B3768" s="271"/>
      <c r="C3768" s="271"/>
      <c r="D3768" s="271"/>
      <c r="E3768" s="271"/>
      <c r="F3768" s="271"/>
      <c r="G3768" s="273"/>
      <c r="H3768" s="29"/>
      <c r="I3768" s="394"/>
      <c r="J3768" s="273"/>
      <c r="K3768" s="395"/>
      <c r="L3768" s="273"/>
      <c r="M3768" s="394" t="str">
        <f t="shared" si="517"/>
        <v/>
      </c>
      <c r="N3768" s="273"/>
    </row>
    <row r="3769" spans="1:14" ht="12.75" customHeight="1" x14ac:dyDescent="0.25">
      <c r="A3769" s="4"/>
      <c r="B3769" s="4"/>
      <c r="C3769" s="4"/>
      <c r="D3769" s="4"/>
      <c r="E3769" s="4"/>
      <c r="F3769" s="4"/>
      <c r="G3769" s="4"/>
      <c r="H3769" s="4"/>
      <c r="I3769" s="4"/>
      <c r="J3769" s="4"/>
      <c r="K3769" s="396" t="s">
        <v>444</v>
      </c>
      <c r="L3769" s="273"/>
      <c r="M3769" s="394">
        <f>SUM(M3764:N3768)</f>
        <v>12500</v>
      </c>
      <c r="N3769" s="273"/>
    </row>
    <row r="3770" spans="1:14" ht="12.75" customHeight="1" x14ac:dyDescent="0.25">
      <c r="A3770" s="4"/>
      <c r="B3770" s="4"/>
      <c r="C3770" s="4"/>
      <c r="D3770" s="4"/>
      <c r="E3770" s="4"/>
      <c r="F3770" s="4"/>
      <c r="G3770" s="4"/>
      <c r="H3770" s="4"/>
      <c r="I3770" s="4"/>
      <c r="J3770" s="4"/>
      <c r="K3770" s="4"/>
      <c r="L3770" s="4"/>
      <c r="M3770" s="4"/>
      <c r="N3770" s="4"/>
    </row>
    <row r="3771" spans="1:14" ht="12.75" customHeight="1" x14ac:dyDescent="0.2">
      <c r="A3771" s="398" t="s">
        <v>931</v>
      </c>
      <c r="B3771" s="271"/>
      <c r="C3771" s="271"/>
      <c r="D3771" s="271"/>
      <c r="E3771" s="271"/>
      <c r="F3771" s="271"/>
      <c r="G3771" s="271"/>
      <c r="H3771" s="271"/>
      <c r="I3771" s="271"/>
      <c r="J3771" s="271"/>
      <c r="K3771" s="271"/>
      <c r="L3771" s="271"/>
      <c r="M3771" s="271"/>
      <c r="N3771" s="273"/>
    </row>
    <row r="3772" spans="1:14" ht="12.75" customHeight="1" x14ac:dyDescent="0.2">
      <c r="A3772" s="396" t="s">
        <v>76</v>
      </c>
      <c r="B3772" s="271"/>
      <c r="C3772" s="271"/>
      <c r="D3772" s="271"/>
      <c r="E3772" s="271"/>
      <c r="F3772" s="271"/>
      <c r="G3772" s="273"/>
      <c r="H3772" s="88" t="s">
        <v>77</v>
      </c>
      <c r="I3772" s="399" t="s">
        <v>920</v>
      </c>
      <c r="J3772" s="273"/>
      <c r="K3772" s="90" t="s">
        <v>514</v>
      </c>
      <c r="L3772" s="91" t="s">
        <v>932</v>
      </c>
      <c r="M3772" s="399" t="s">
        <v>921</v>
      </c>
      <c r="N3772" s="273"/>
    </row>
    <row r="3773" spans="1:14" ht="12.75" customHeight="1" x14ac:dyDescent="0.25">
      <c r="A3773" s="393" t="s">
        <v>1106</v>
      </c>
      <c r="B3773" s="271"/>
      <c r="C3773" s="271"/>
      <c r="D3773" s="271"/>
      <c r="E3773" s="271"/>
      <c r="F3773" s="271"/>
      <c r="G3773" s="273"/>
      <c r="H3773" s="29" t="str">
        <f>IF(A3773="","",VLOOKUP(A3773,AA_Cuadrillas,4,FALSE))</f>
        <v>Cuadrilla</v>
      </c>
      <c r="I3773" s="394">
        <f>IF(A3773="","",VLOOKUP(A3773,AA_Cuadrillas,5,FALSE))</f>
        <v>256799</v>
      </c>
      <c r="J3773" s="273"/>
      <c r="K3773" s="9">
        <f>IF(A3773="","",F.P!$I$2)</f>
        <v>1.88</v>
      </c>
      <c r="L3773" s="97">
        <v>0</v>
      </c>
      <c r="M3773" s="394">
        <f t="shared" ref="M3773:M3777" si="518">IF(A3773="","",I3773*K3773*L3773)</f>
        <v>0</v>
      </c>
      <c r="N3773" s="273"/>
    </row>
    <row r="3774" spans="1:14" ht="12.75" customHeight="1" x14ac:dyDescent="0.25">
      <c r="A3774" s="393"/>
      <c r="B3774" s="271"/>
      <c r="C3774" s="271"/>
      <c r="D3774" s="271"/>
      <c r="E3774" s="271"/>
      <c r="F3774" s="271"/>
      <c r="G3774" s="273"/>
      <c r="H3774" s="29" t="str">
        <f>IF(A3774="","",VLOOKUP(A3774,AA_Cuadrillas,4,FALSE))</f>
        <v/>
      </c>
      <c r="I3774" s="394" t="str">
        <f>IF(A3774="","",VLOOKUP(A3774,AA_Cuadrillas,5,FALSE))</f>
        <v/>
      </c>
      <c r="J3774" s="273"/>
      <c r="K3774" s="9" t="str">
        <f>IF(A3774="","",F.P!$I$2)</f>
        <v/>
      </c>
      <c r="L3774" s="9"/>
      <c r="M3774" s="394" t="str">
        <f t="shared" si="518"/>
        <v/>
      </c>
      <c r="N3774" s="273"/>
    </row>
    <row r="3775" spans="1:14" ht="12.75" customHeight="1" x14ac:dyDescent="0.25">
      <c r="A3775" s="393"/>
      <c r="B3775" s="271"/>
      <c r="C3775" s="271"/>
      <c r="D3775" s="271"/>
      <c r="E3775" s="271"/>
      <c r="F3775" s="271"/>
      <c r="G3775" s="273"/>
      <c r="H3775" s="29" t="str">
        <f>IF(A3775="","",VLOOKUP(A3775,AA_Cuadrillas,4,FALSE))</f>
        <v/>
      </c>
      <c r="I3775" s="394" t="str">
        <f>IF(A3775="","",VLOOKUP(A3775,AA_Cuadrillas,5,FALSE))</f>
        <v/>
      </c>
      <c r="J3775" s="273"/>
      <c r="K3775" s="9" t="str">
        <f>IF(A3775="","",F.P!$I$2)</f>
        <v/>
      </c>
      <c r="L3775" s="37"/>
      <c r="M3775" s="394" t="str">
        <f t="shared" si="518"/>
        <v/>
      </c>
      <c r="N3775" s="273"/>
    </row>
    <row r="3776" spans="1:14" ht="12.75" customHeight="1" x14ac:dyDescent="0.25">
      <c r="A3776" s="393"/>
      <c r="B3776" s="271"/>
      <c r="C3776" s="271"/>
      <c r="D3776" s="271"/>
      <c r="E3776" s="271"/>
      <c r="F3776" s="271"/>
      <c r="G3776" s="273"/>
      <c r="H3776" s="29" t="str">
        <f>IF(A3776="","",VLOOKUP(A3776,AA_Cuadrillas,4,FALSE))</f>
        <v/>
      </c>
      <c r="I3776" s="394" t="str">
        <f>IF(A3776="","",VLOOKUP(A3776,AA_Cuadrillas,5,FALSE))</f>
        <v/>
      </c>
      <c r="J3776" s="273"/>
      <c r="K3776" s="9" t="str">
        <f>IF(A3776="","",F.P!$I$2)</f>
        <v/>
      </c>
      <c r="L3776" s="37"/>
      <c r="M3776" s="394" t="str">
        <f t="shared" si="518"/>
        <v/>
      </c>
      <c r="N3776" s="273"/>
    </row>
    <row r="3777" spans="1:14" ht="12.75" customHeight="1" x14ac:dyDescent="0.25">
      <c r="A3777" s="393"/>
      <c r="B3777" s="271"/>
      <c r="C3777" s="271"/>
      <c r="D3777" s="271"/>
      <c r="E3777" s="271"/>
      <c r="F3777" s="271"/>
      <c r="G3777" s="273"/>
      <c r="H3777" s="29" t="str">
        <f>IF(A3777="","",VLOOKUP(A3777,AA_Cuadrillas,4,FALSE))</f>
        <v/>
      </c>
      <c r="I3777" s="394" t="str">
        <f>IF(A3777="","",VLOOKUP(A3777,AA_Cuadrillas,5,FALSE))</f>
        <v/>
      </c>
      <c r="J3777" s="273"/>
      <c r="K3777" s="9" t="str">
        <f>IF(A3777="","",F.P!$I$2)</f>
        <v/>
      </c>
      <c r="L3777" s="37"/>
      <c r="M3777" s="394" t="str">
        <f t="shared" si="518"/>
        <v/>
      </c>
      <c r="N3777" s="273"/>
    </row>
    <row r="3778" spans="1:14" ht="12.75" customHeight="1" x14ac:dyDescent="0.25">
      <c r="A3778" s="4"/>
      <c r="B3778" s="4"/>
      <c r="C3778" s="4"/>
      <c r="D3778" s="4"/>
      <c r="E3778" s="4"/>
      <c r="F3778" s="4"/>
      <c r="G3778" s="4"/>
      <c r="H3778" s="4"/>
      <c r="I3778" s="4"/>
      <c r="J3778" s="4"/>
      <c r="K3778" s="396" t="s">
        <v>444</v>
      </c>
      <c r="L3778" s="273"/>
      <c r="M3778" s="394">
        <f>SUM(M3773:N3777)</f>
        <v>0</v>
      </c>
      <c r="N3778" s="273"/>
    </row>
    <row r="3779" spans="1:14" ht="12.75" customHeight="1" x14ac:dyDescent="0.2"/>
    <row r="3780" spans="1:14" ht="12.75" customHeight="1" x14ac:dyDescent="0.2">
      <c r="A3780" s="407" t="s">
        <v>1148</v>
      </c>
      <c r="B3780" s="275"/>
      <c r="C3780" s="275"/>
      <c r="D3780" s="275"/>
      <c r="E3780" s="275"/>
      <c r="F3780" s="275"/>
      <c r="G3780" s="275"/>
      <c r="H3780" s="275"/>
      <c r="I3780" s="275"/>
      <c r="J3780" s="275"/>
      <c r="K3780" s="275"/>
      <c r="L3780" s="275"/>
      <c r="M3780" s="275"/>
      <c r="N3780" s="276"/>
    </row>
    <row r="3781" spans="1:14" ht="12.75" customHeight="1" x14ac:dyDescent="0.2">
      <c r="A3781" s="277"/>
      <c r="B3781" s="278"/>
      <c r="C3781" s="278"/>
      <c r="D3781" s="278"/>
      <c r="E3781" s="278"/>
      <c r="F3781" s="278"/>
      <c r="G3781" s="278"/>
      <c r="H3781" s="278"/>
      <c r="I3781" s="278"/>
      <c r="J3781" s="278"/>
      <c r="K3781" s="278"/>
      <c r="L3781" s="278"/>
      <c r="M3781" s="278"/>
      <c r="N3781" s="279"/>
    </row>
    <row r="3782" spans="1:14" ht="12.75" customHeight="1" x14ac:dyDescent="0.2">
      <c r="A3782" s="75"/>
      <c r="B3782" s="75"/>
      <c r="C3782" s="75"/>
      <c r="D3782" s="75"/>
      <c r="E3782" s="75"/>
      <c r="F3782" s="75"/>
      <c r="G3782" s="75"/>
      <c r="H3782" s="75"/>
      <c r="I3782" s="75"/>
      <c r="J3782" s="75"/>
      <c r="K3782" s="75"/>
      <c r="L3782" s="75"/>
      <c r="M3782" s="75"/>
      <c r="N3782" s="75"/>
    </row>
    <row r="3783" spans="1:14" ht="12.75" customHeight="1" x14ac:dyDescent="0.3">
      <c r="A3783" s="79" t="s">
        <v>702</v>
      </c>
      <c r="B3783" s="80" t="str">
        <f>A3780</f>
        <v>SUMINISTRO E INSTALACIÓN DE NIPLE DE 1M Ø4" EN HIERRO DUCTIL</v>
      </c>
      <c r="C3783" s="81" t="s">
        <v>916</v>
      </c>
      <c r="D3783" s="82" t="s">
        <v>999</v>
      </c>
      <c r="E3783" s="83" t="s">
        <v>445</v>
      </c>
      <c r="F3783" s="86">
        <f>H3783+J3783+L3783+N3783</f>
        <v>1135010.2733333334</v>
      </c>
      <c r="G3783" s="83" t="s">
        <v>607</v>
      </c>
      <c r="H3783" s="86">
        <f>M3793</f>
        <v>927698</v>
      </c>
      <c r="I3783" s="83" t="s">
        <v>918</v>
      </c>
      <c r="J3783" s="86">
        <f>M3802</f>
        <v>0</v>
      </c>
      <c r="K3783" s="83" t="s">
        <v>609</v>
      </c>
      <c r="L3783" s="86">
        <f>M3811</f>
        <v>46384.9</v>
      </c>
      <c r="M3783" s="83" t="s">
        <v>610</v>
      </c>
      <c r="N3783" s="86">
        <f>M3820</f>
        <v>160927.37333333332</v>
      </c>
    </row>
    <row r="3784" spans="1:14" ht="12.75" customHeight="1" x14ac:dyDescent="0.25">
      <c r="A3784" s="87"/>
      <c r="B3784" s="87"/>
      <c r="C3784" s="87"/>
      <c r="D3784" s="87"/>
      <c r="E3784" s="87"/>
      <c r="F3784" s="87"/>
      <c r="G3784" s="87"/>
      <c r="J3784" s="87"/>
      <c r="K3784" s="215" t="s">
        <v>3217</v>
      </c>
      <c r="L3784" s="215">
        <f>+F3783*presup!$O$5</f>
        <v>1475513.3553333336</v>
      </c>
      <c r="M3784" s="87"/>
      <c r="N3784" s="87"/>
    </row>
    <row r="3785" spans="1:14" ht="12.75" customHeight="1" x14ac:dyDescent="0.2">
      <c r="A3785" s="398" t="s">
        <v>919</v>
      </c>
      <c r="B3785" s="271"/>
      <c r="C3785" s="271"/>
      <c r="D3785" s="271"/>
      <c r="E3785" s="271"/>
      <c r="F3785" s="271"/>
      <c r="G3785" s="271"/>
      <c r="H3785" s="271"/>
      <c r="I3785" s="271"/>
      <c r="J3785" s="271"/>
      <c r="K3785" s="271"/>
      <c r="L3785" s="271"/>
      <c r="M3785" s="271"/>
      <c r="N3785" s="273"/>
    </row>
    <row r="3786" spans="1:14" ht="12.75" customHeight="1" x14ac:dyDescent="0.2">
      <c r="A3786" s="396" t="s">
        <v>76</v>
      </c>
      <c r="B3786" s="271"/>
      <c r="C3786" s="271"/>
      <c r="D3786" s="271"/>
      <c r="E3786" s="271"/>
      <c r="F3786" s="271"/>
      <c r="G3786" s="273"/>
      <c r="H3786" s="88" t="s">
        <v>77</v>
      </c>
      <c r="I3786" s="399" t="s">
        <v>920</v>
      </c>
      <c r="J3786" s="273"/>
      <c r="K3786" s="399" t="s">
        <v>453</v>
      </c>
      <c r="L3786" s="273"/>
      <c r="M3786" s="399" t="s">
        <v>921</v>
      </c>
      <c r="N3786" s="273"/>
    </row>
    <row r="3787" spans="1:14" ht="12.75" customHeight="1" x14ac:dyDescent="0.2">
      <c r="A3787" s="403" t="s">
        <v>1149</v>
      </c>
      <c r="B3787" s="271"/>
      <c r="C3787" s="271"/>
      <c r="D3787" s="271"/>
      <c r="E3787" s="271"/>
      <c r="F3787" s="271"/>
      <c r="G3787" s="273"/>
      <c r="H3787" s="29" t="str">
        <f t="shared" ref="H3787:H3792" si="519">IF(A3787="","",VLOOKUP(A3787,AA_Materiales,7,FALSE))</f>
        <v>Unidad</v>
      </c>
      <c r="I3787" s="394">
        <f t="shared" ref="I3787:I3792" si="520">IF(A3787="","",VLOOKUP(A3787,AA_Materiales,8,FALSE))</f>
        <v>927698</v>
      </c>
      <c r="J3787" s="273"/>
      <c r="K3787" s="395">
        <v>1</v>
      </c>
      <c r="L3787" s="273"/>
      <c r="M3787" s="394">
        <f t="shared" ref="M3787:M3792" si="521">IF(A3787="","",I3787*K3787)</f>
        <v>927698</v>
      </c>
      <c r="N3787" s="273"/>
    </row>
    <row r="3788" spans="1:14" ht="12.75" customHeight="1" x14ac:dyDescent="0.2">
      <c r="A3788" s="403"/>
      <c r="B3788" s="271"/>
      <c r="C3788" s="271"/>
      <c r="D3788" s="271"/>
      <c r="E3788" s="271"/>
      <c r="F3788" s="271"/>
      <c r="G3788" s="273"/>
      <c r="H3788" s="29" t="str">
        <f t="shared" si="519"/>
        <v/>
      </c>
      <c r="I3788" s="394" t="str">
        <f t="shared" si="520"/>
        <v/>
      </c>
      <c r="J3788" s="273"/>
      <c r="K3788" s="395"/>
      <c r="L3788" s="273"/>
      <c r="M3788" s="394" t="str">
        <f t="shared" si="521"/>
        <v/>
      </c>
      <c r="N3788" s="273"/>
    </row>
    <row r="3789" spans="1:14" ht="12.75" customHeight="1" x14ac:dyDescent="0.2">
      <c r="A3789" s="403"/>
      <c r="B3789" s="271"/>
      <c r="C3789" s="271"/>
      <c r="D3789" s="271"/>
      <c r="E3789" s="271"/>
      <c r="F3789" s="271"/>
      <c r="G3789" s="273"/>
      <c r="H3789" s="29" t="str">
        <f t="shared" si="519"/>
        <v/>
      </c>
      <c r="I3789" s="394" t="str">
        <f t="shared" si="520"/>
        <v/>
      </c>
      <c r="J3789" s="273"/>
      <c r="K3789" s="395"/>
      <c r="L3789" s="273"/>
      <c r="M3789" s="394" t="str">
        <f t="shared" si="521"/>
        <v/>
      </c>
      <c r="N3789" s="273"/>
    </row>
    <row r="3790" spans="1:14" ht="12.75" customHeight="1" x14ac:dyDescent="0.2">
      <c r="A3790" s="403"/>
      <c r="B3790" s="271"/>
      <c r="C3790" s="271"/>
      <c r="D3790" s="271"/>
      <c r="E3790" s="271"/>
      <c r="F3790" s="271"/>
      <c r="G3790" s="273"/>
      <c r="H3790" s="29" t="str">
        <f t="shared" si="519"/>
        <v/>
      </c>
      <c r="I3790" s="394" t="str">
        <f t="shared" si="520"/>
        <v/>
      </c>
      <c r="J3790" s="273"/>
      <c r="K3790" s="395"/>
      <c r="L3790" s="273"/>
      <c r="M3790" s="394" t="str">
        <f t="shared" si="521"/>
        <v/>
      </c>
      <c r="N3790" s="273"/>
    </row>
    <row r="3791" spans="1:14" ht="12.75" customHeight="1" x14ac:dyDescent="0.2">
      <c r="A3791" s="403"/>
      <c r="B3791" s="271"/>
      <c r="C3791" s="271"/>
      <c r="D3791" s="271"/>
      <c r="E3791" s="271"/>
      <c r="F3791" s="271"/>
      <c r="G3791" s="273"/>
      <c r="H3791" s="29" t="str">
        <f t="shared" si="519"/>
        <v/>
      </c>
      <c r="I3791" s="394" t="str">
        <f t="shared" si="520"/>
        <v/>
      </c>
      <c r="J3791" s="273"/>
      <c r="K3791" s="395"/>
      <c r="L3791" s="273"/>
      <c r="M3791" s="394" t="str">
        <f t="shared" si="521"/>
        <v/>
      </c>
      <c r="N3791" s="273"/>
    </row>
    <row r="3792" spans="1:14" ht="12.75" customHeight="1" x14ac:dyDescent="0.2">
      <c r="A3792" s="403"/>
      <c r="B3792" s="271"/>
      <c r="C3792" s="271"/>
      <c r="D3792" s="271"/>
      <c r="E3792" s="271"/>
      <c r="F3792" s="271"/>
      <c r="G3792" s="273"/>
      <c r="H3792" s="29" t="str">
        <f t="shared" si="519"/>
        <v/>
      </c>
      <c r="I3792" s="394" t="str">
        <f t="shared" si="520"/>
        <v/>
      </c>
      <c r="J3792" s="273"/>
      <c r="K3792" s="395"/>
      <c r="L3792" s="273"/>
      <c r="M3792" s="394" t="str">
        <f t="shared" si="521"/>
        <v/>
      </c>
      <c r="N3792" s="273"/>
    </row>
    <row r="3793" spans="1:14" ht="12.75" customHeight="1" x14ac:dyDescent="0.25">
      <c r="A3793" s="4"/>
      <c r="B3793" s="4"/>
      <c r="C3793" s="4"/>
      <c r="D3793" s="4"/>
      <c r="E3793" s="4"/>
      <c r="F3793" s="4"/>
      <c r="G3793" s="4"/>
      <c r="H3793" s="4"/>
      <c r="I3793" s="4"/>
      <c r="J3793" s="4"/>
      <c r="K3793" s="396" t="s">
        <v>444</v>
      </c>
      <c r="L3793" s="273"/>
      <c r="M3793" s="394">
        <f>SUM(M3787:N3792)</f>
        <v>927698</v>
      </c>
      <c r="N3793" s="273"/>
    </row>
    <row r="3794" spans="1:14" ht="12.75" customHeight="1" x14ac:dyDescent="0.25">
      <c r="A3794" s="4"/>
      <c r="B3794" s="4"/>
      <c r="C3794" s="4"/>
      <c r="D3794" s="4"/>
      <c r="E3794" s="4"/>
      <c r="F3794" s="4"/>
      <c r="G3794" s="4"/>
      <c r="H3794" s="4"/>
      <c r="I3794" s="4"/>
      <c r="J3794" s="4"/>
      <c r="K3794" s="4"/>
      <c r="L3794" s="4"/>
      <c r="M3794" s="4"/>
      <c r="N3794" s="4"/>
    </row>
    <row r="3795" spans="1:14" ht="12.75" customHeight="1" x14ac:dyDescent="0.2">
      <c r="A3795" s="398" t="s">
        <v>926</v>
      </c>
      <c r="B3795" s="271"/>
      <c r="C3795" s="271"/>
      <c r="D3795" s="271"/>
      <c r="E3795" s="271"/>
      <c r="F3795" s="271"/>
      <c r="G3795" s="271"/>
      <c r="H3795" s="271"/>
      <c r="I3795" s="271"/>
      <c r="J3795" s="271"/>
      <c r="K3795" s="271"/>
      <c r="L3795" s="271"/>
      <c r="M3795" s="271"/>
      <c r="N3795" s="273"/>
    </row>
    <row r="3796" spans="1:14" ht="12.75" customHeight="1" x14ac:dyDescent="0.2">
      <c r="A3796" s="396" t="s">
        <v>76</v>
      </c>
      <c r="B3796" s="271"/>
      <c r="C3796" s="271"/>
      <c r="D3796" s="271"/>
      <c r="E3796" s="271"/>
      <c r="F3796" s="271"/>
      <c r="G3796" s="273"/>
      <c r="H3796" s="88" t="s">
        <v>77</v>
      </c>
      <c r="I3796" s="399" t="s">
        <v>920</v>
      </c>
      <c r="J3796" s="273"/>
      <c r="K3796" s="399" t="s">
        <v>453</v>
      </c>
      <c r="L3796" s="273"/>
      <c r="M3796" s="399" t="s">
        <v>921</v>
      </c>
      <c r="N3796" s="273"/>
    </row>
    <row r="3797" spans="1:14" ht="12.75" customHeight="1" x14ac:dyDescent="0.2">
      <c r="A3797" s="400" t="s">
        <v>927</v>
      </c>
      <c r="B3797" s="271"/>
      <c r="C3797" s="271"/>
      <c r="D3797" s="271"/>
      <c r="E3797" s="271"/>
      <c r="F3797" s="271"/>
      <c r="G3797" s="273"/>
      <c r="H3797" s="29" t="str">
        <f>IF(A3797="","",VLOOKUP(A3797,AA_Equipos,7,FALSE))</f>
        <v>% M.O.</v>
      </c>
      <c r="I3797" s="394">
        <f>+M3820</f>
        <v>160927.37333333332</v>
      </c>
      <c r="J3797" s="273"/>
      <c r="K3797" s="404">
        <v>0</v>
      </c>
      <c r="L3797" s="273"/>
      <c r="M3797" s="394">
        <f t="shared" ref="M3797:M3801" si="522">IF(A3797="","",I3797*K3797)</f>
        <v>0</v>
      </c>
      <c r="N3797" s="273"/>
    </row>
    <row r="3798" spans="1:14" ht="12.75" customHeight="1" x14ac:dyDescent="0.2">
      <c r="A3798" s="403"/>
      <c r="B3798" s="271"/>
      <c r="C3798" s="271"/>
      <c r="D3798" s="271"/>
      <c r="E3798" s="271"/>
      <c r="F3798" s="271"/>
      <c r="G3798" s="273"/>
      <c r="H3798" s="29" t="str">
        <f>IF(A3798="","",VLOOKUP(A3798,AA_Equipos,7,FALSE))</f>
        <v/>
      </c>
      <c r="I3798" s="394" t="str">
        <f>IF(A3798="","",VLOOKUP(A3798,AA_Equipos,8,FALSE))</f>
        <v/>
      </c>
      <c r="J3798" s="273"/>
      <c r="K3798" s="402"/>
      <c r="L3798" s="273"/>
      <c r="M3798" s="394" t="str">
        <f t="shared" si="522"/>
        <v/>
      </c>
      <c r="N3798" s="273"/>
    </row>
    <row r="3799" spans="1:14" ht="12.75" customHeight="1" x14ac:dyDescent="0.2">
      <c r="A3799" s="400"/>
      <c r="B3799" s="271"/>
      <c r="C3799" s="271"/>
      <c r="D3799" s="271"/>
      <c r="E3799" s="271"/>
      <c r="F3799" s="271"/>
      <c r="G3799" s="273"/>
      <c r="H3799" s="29" t="str">
        <f>IF(A3799="","",VLOOKUP(A3799,AA_Equipos,7,FALSE))</f>
        <v/>
      </c>
      <c r="I3799" s="394" t="str">
        <f>IF(A3799="","",VLOOKUP(A3799,AA_Equipos,8,FALSE))</f>
        <v/>
      </c>
      <c r="J3799" s="273"/>
      <c r="K3799" s="401"/>
      <c r="L3799" s="273"/>
      <c r="M3799" s="394" t="str">
        <f t="shared" si="522"/>
        <v/>
      </c>
      <c r="N3799" s="273"/>
    </row>
    <row r="3800" spans="1:14" ht="12.75" customHeight="1" x14ac:dyDescent="0.2">
      <c r="A3800" s="400"/>
      <c r="B3800" s="271"/>
      <c r="C3800" s="271"/>
      <c r="D3800" s="271"/>
      <c r="E3800" s="271"/>
      <c r="F3800" s="271"/>
      <c r="G3800" s="273"/>
      <c r="H3800" s="29" t="str">
        <f>IF(A3800="","",VLOOKUP(A3800,AA_Equipos,7,FALSE))</f>
        <v/>
      </c>
      <c r="I3800" s="394" t="str">
        <f>IF(A3800="","",VLOOKUP(A3800,AA_Equipos,8,FALSE))</f>
        <v/>
      </c>
      <c r="J3800" s="273"/>
      <c r="K3800" s="395"/>
      <c r="L3800" s="273"/>
      <c r="M3800" s="394" t="str">
        <f t="shared" si="522"/>
        <v/>
      </c>
      <c r="N3800" s="273"/>
    </row>
    <row r="3801" spans="1:14" ht="12.75" customHeight="1" x14ac:dyDescent="0.2">
      <c r="A3801" s="400"/>
      <c r="B3801" s="271"/>
      <c r="C3801" s="271"/>
      <c r="D3801" s="271"/>
      <c r="E3801" s="271"/>
      <c r="F3801" s="271"/>
      <c r="G3801" s="273"/>
      <c r="H3801" s="29" t="str">
        <f>IF(A3801="","",VLOOKUP(A3801,AA_Equipos,7,FALSE))</f>
        <v/>
      </c>
      <c r="I3801" s="394" t="str">
        <f>IF(A3801="","",VLOOKUP(A3801,AA_Equipos,8,FALSE))</f>
        <v/>
      </c>
      <c r="J3801" s="273"/>
      <c r="K3801" s="395"/>
      <c r="L3801" s="273"/>
      <c r="M3801" s="394" t="str">
        <f t="shared" si="522"/>
        <v/>
      </c>
      <c r="N3801" s="273"/>
    </row>
    <row r="3802" spans="1:14" ht="12.75" customHeight="1" x14ac:dyDescent="0.25">
      <c r="A3802" s="4"/>
      <c r="B3802" s="4"/>
      <c r="C3802" s="4"/>
      <c r="D3802" s="4"/>
      <c r="E3802" s="4"/>
      <c r="F3802" s="4"/>
      <c r="G3802" s="4"/>
      <c r="H3802" s="4"/>
      <c r="I3802" s="4"/>
      <c r="J3802" s="4"/>
      <c r="K3802" s="396" t="s">
        <v>444</v>
      </c>
      <c r="L3802" s="273"/>
      <c r="M3802" s="394">
        <f>SUM(M3797:N3801)</f>
        <v>0</v>
      </c>
      <c r="N3802" s="273"/>
    </row>
    <row r="3803" spans="1:14" ht="12.75" customHeight="1" x14ac:dyDescent="0.25">
      <c r="A3803" s="4"/>
      <c r="B3803" s="4"/>
      <c r="C3803" s="4"/>
      <c r="D3803" s="4"/>
      <c r="E3803" s="4"/>
      <c r="F3803" s="4"/>
      <c r="G3803" s="4"/>
      <c r="H3803" s="4"/>
      <c r="I3803" s="4"/>
      <c r="J3803" s="4"/>
      <c r="K3803" s="4"/>
      <c r="L3803" s="4"/>
      <c r="M3803" s="4"/>
      <c r="N3803" s="4"/>
    </row>
    <row r="3804" spans="1:14" ht="12.75" customHeight="1" x14ac:dyDescent="0.2">
      <c r="A3804" s="398" t="s">
        <v>929</v>
      </c>
      <c r="B3804" s="271"/>
      <c r="C3804" s="271"/>
      <c r="D3804" s="271"/>
      <c r="E3804" s="271"/>
      <c r="F3804" s="271"/>
      <c r="G3804" s="271"/>
      <c r="H3804" s="271"/>
      <c r="I3804" s="271"/>
      <c r="J3804" s="271"/>
      <c r="K3804" s="271"/>
      <c r="L3804" s="271"/>
      <c r="M3804" s="271"/>
      <c r="N3804" s="273"/>
    </row>
    <row r="3805" spans="1:14" ht="12.75" customHeight="1" x14ac:dyDescent="0.2">
      <c r="A3805" s="396" t="s">
        <v>76</v>
      </c>
      <c r="B3805" s="271"/>
      <c r="C3805" s="271"/>
      <c r="D3805" s="271"/>
      <c r="E3805" s="271"/>
      <c r="F3805" s="271"/>
      <c r="G3805" s="273"/>
      <c r="H3805" s="88" t="s">
        <v>77</v>
      </c>
      <c r="I3805" s="399" t="s">
        <v>920</v>
      </c>
      <c r="J3805" s="273"/>
      <c r="K3805" s="399" t="s">
        <v>453</v>
      </c>
      <c r="L3805" s="273"/>
      <c r="M3805" s="399" t="s">
        <v>921</v>
      </c>
      <c r="N3805" s="273"/>
    </row>
    <row r="3806" spans="1:14" ht="12.75" customHeight="1" x14ac:dyDescent="0.2">
      <c r="A3806" s="400" t="s">
        <v>966</v>
      </c>
      <c r="B3806" s="271"/>
      <c r="C3806" s="271"/>
      <c r="D3806" s="271"/>
      <c r="E3806" s="271"/>
      <c r="F3806" s="271"/>
      <c r="G3806" s="273"/>
      <c r="H3806" s="29" t="s">
        <v>950</v>
      </c>
      <c r="I3806" s="394">
        <f>+M3793</f>
        <v>927698</v>
      </c>
      <c r="J3806" s="273"/>
      <c r="K3806" s="404">
        <v>0.05</v>
      </c>
      <c r="L3806" s="273"/>
      <c r="M3806" s="394">
        <f t="shared" ref="M3806:M3810" si="523">IF(A3806="","",I3806*K3806)</f>
        <v>46384.9</v>
      </c>
      <c r="N3806" s="273"/>
    </row>
    <row r="3807" spans="1:14" ht="12.75" customHeight="1" x14ac:dyDescent="0.2">
      <c r="A3807" s="403"/>
      <c r="B3807" s="271"/>
      <c r="C3807" s="271"/>
      <c r="D3807" s="271"/>
      <c r="E3807" s="271"/>
      <c r="F3807" s="271"/>
      <c r="G3807" s="273"/>
      <c r="H3807" s="29"/>
      <c r="I3807" s="394"/>
      <c r="J3807" s="273"/>
      <c r="K3807" s="404"/>
      <c r="L3807" s="273"/>
      <c r="M3807" s="394" t="str">
        <f t="shared" si="523"/>
        <v/>
      </c>
      <c r="N3807" s="273"/>
    </row>
    <row r="3808" spans="1:14" ht="12.75" customHeight="1" x14ac:dyDescent="0.2">
      <c r="A3808" s="400"/>
      <c r="B3808" s="271"/>
      <c r="C3808" s="271"/>
      <c r="D3808" s="271"/>
      <c r="E3808" s="271"/>
      <c r="F3808" s="271"/>
      <c r="G3808" s="273"/>
      <c r="H3808" s="29"/>
      <c r="I3808" s="394"/>
      <c r="J3808" s="273"/>
      <c r="K3808" s="395"/>
      <c r="L3808" s="273"/>
      <c r="M3808" s="394" t="str">
        <f t="shared" si="523"/>
        <v/>
      </c>
      <c r="N3808" s="273"/>
    </row>
    <row r="3809" spans="1:14" ht="12.75" customHeight="1" x14ac:dyDescent="0.2">
      <c r="A3809" s="400"/>
      <c r="B3809" s="271"/>
      <c r="C3809" s="271"/>
      <c r="D3809" s="271"/>
      <c r="E3809" s="271"/>
      <c r="F3809" s="271"/>
      <c r="G3809" s="273"/>
      <c r="H3809" s="29"/>
      <c r="I3809" s="394"/>
      <c r="J3809" s="273"/>
      <c r="K3809" s="395"/>
      <c r="L3809" s="273"/>
      <c r="M3809" s="394" t="str">
        <f t="shared" si="523"/>
        <v/>
      </c>
      <c r="N3809" s="273"/>
    </row>
    <row r="3810" spans="1:14" ht="12.75" customHeight="1" x14ac:dyDescent="0.2">
      <c r="A3810" s="400"/>
      <c r="B3810" s="271"/>
      <c r="C3810" s="271"/>
      <c r="D3810" s="271"/>
      <c r="E3810" s="271"/>
      <c r="F3810" s="271"/>
      <c r="G3810" s="273"/>
      <c r="H3810" s="29"/>
      <c r="I3810" s="394"/>
      <c r="J3810" s="273"/>
      <c r="K3810" s="395"/>
      <c r="L3810" s="273"/>
      <c r="M3810" s="394" t="str">
        <f t="shared" si="523"/>
        <v/>
      </c>
      <c r="N3810" s="273"/>
    </row>
    <row r="3811" spans="1:14" ht="12.75" customHeight="1" x14ac:dyDescent="0.25">
      <c r="A3811" s="4"/>
      <c r="B3811" s="4"/>
      <c r="C3811" s="4"/>
      <c r="D3811" s="4"/>
      <c r="E3811" s="4"/>
      <c r="F3811" s="4"/>
      <c r="G3811" s="4"/>
      <c r="H3811" s="4"/>
      <c r="I3811" s="4"/>
      <c r="J3811" s="4"/>
      <c r="K3811" s="396" t="s">
        <v>444</v>
      </c>
      <c r="L3811" s="273"/>
      <c r="M3811" s="394">
        <f>SUM(M3806:N3810)</f>
        <v>46384.9</v>
      </c>
      <c r="N3811" s="273"/>
    </row>
    <row r="3812" spans="1:14" ht="12.75" customHeight="1" x14ac:dyDescent="0.25">
      <c r="A3812" s="4"/>
      <c r="B3812" s="4"/>
      <c r="C3812" s="4"/>
      <c r="D3812" s="4"/>
      <c r="E3812" s="4"/>
      <c r="F3812" s="4"/>
      <c r="G3812" s="4"/>
      <c r="H3812" s="4"/>
      <c r="I3812" s="4"/>
      <c r="J3812" s="4"/>
      <c r="K3812" s="4"/>
      <c r="L3812" s="4"/>
      <c r="M3812" s="4"/>
      <c r="N3812" s="4"/>
    </row>
    <row r="3813" spans="1:14" ht="12.75" customHeight="1" x14ac:dyDescent="0.2">
      <c r="A3813" s="398" t="s">
        <v>931</v>
      </c>
      <c r="B3813" s="271"/>
      <c r="C3813" s="271"/>
      <c r="D3813" s="271"/>
      <c r="E3813" s="271"/>
      <c r="F3813" s="271"/>
      <c r="G3813" s="271"/>
      <c r="H3813" s="271"/>
      <c r="I3813" s="271"/>
      <c r="J3813" s="271"/>
      <c r="K3813" s="271"/>
      <c r="L3813" s="271"/>
      <c r="M3813" s="271"/>
      <c r="N3813" s="273"/>
    </row>
    <row r="3814" spans="1:14" ht="12.75" customHeight="1" x14ac:dyDescent="0.2">
      <c r="A3814" s="396" t="s">
        <v>76</v>
      </c>
      <c r="B3814" s="271"/>
      <c r="C3814" s="271"/>
      <c r="D3814" s="271"/>
      <c r="E3814" s="271"/>
      <c r="F3814" s="271"/>
      <c r="G3814" s="273"/>
      <c r="H3814" s="88" t="s">
        <v>77</v>
      </c>
      <c r="I3814" s="399" t="s">
        <v>920</v>
      </c>
      <c r="J3814" s="273"/>
      <c r="K3814" s="90" t="s">
        <v>514</v>
      </c>
      <c r="L3814" s="91" t="s">
        <v>932</v>
      </c>
      <c r="M3814" s="399" t="s">
        <v>921</v>
      </c>
      <c r="N3814" s="273"/>
    </row>
    <row r="3815" spans="1:14" ht="12.75" customHeight="1" x14ac:dyDescent="0.25">
      <c r="A3815" s="393" t="s">
        <v>1106</v>
      </c>
      <c r="B3815" s="271"/>
      <c r="C3815" s="271"/>
      <c r="D3815" s="271"/>
      <c r="E3815" s="271"/>
      <c r="F3815" s="271"/>
      <c r="G3815" s="273"/>
      <c r="H3815" s="29" t="str">
        <f>IF(A3815="","",VLOOKUP(A3815,AA_Cuadrillas,4,FALSE))</f>
        <v>Cuadrilla</v>
      </c>
      <c r="I3815" s="394">
        <f>IF(A3815="","",VLOOKUP(A3815,AA_Cuadrillas,5,FALSE))</f>
        <v>256799</v>
      </c>
      <c r="J3815" s="273"/>
      <c r="K3815" s="9">
        <f>IF(A3815="","",F.P!$I$2)</f>
        <v>1.88</v>
      </c>
      <c r="L3815" s="97">
        <v>0.33333333333333331</v>
      </c>
      <c r="M3815" s="394">
        <f t="shared" ref="M3815:M3819" si="524">IF(A3815="","",I3815*K3815*L3815)</f>
        <v>160927.37333333332</v>
      </c>
      <c r="N3815" s="273"/>
    </row>
    <row r="3816" spans="1:14" ht="12.75" customHeight="1" x14ac:dyDescent="0.25">
      <c r="A3816" s="393"/>
      <c r="B3816" s="271"/>
      <c r="C3816" s="271"/>
      <c r="D3816" s="271"/>
      <c r="E3816" s="271"/>
      <c r="F3816" s="271"/>
      <c r="G3816" s="273"/>
      <c r="H3816" s="29" t="str">
        <f>IF(A3816="","",VLOOKUP(A3816,AA_Cuadrillas,4,FALSE))</f>
        <v/>
      </c>
      <c r="I3816" s="394" t="str">
        <f>IF(A3816="","",VLOOKUP(A3816,AA_Cuadrillas,5,FALSE))</f>
        <v/>
      </c>
      <c r="J3816" s="273"/>
      <c r="K3816" s="9" t="str">
        <f>IF(A3816="","",F.P!$I$2)</f>
        <v/>
      </c>
      <c r="L3816" s="9"/>
      <c r="M3816" s="394" t="str">
        <f t="shared" si="524"/>
        <v/>
      </c>
      <c r="N3816" s="273"/>
    </row>
    <row r="3817" spans="1:14" ht="12.75" customHeight="1" x14ac:dyDescent="0.25">
      <c r="A3817" s="393"/>
      <c r="B3817" s="271"/>
      <c r="C3817" s="271"/>
      <c r="D3817" s="271"/>
      <c r="E3817" s="271"/>
      <c r="F3817" s="271"/>
      <c r="G3817" s="273"/>
      <c r="H3817" s="29" t="str">
        <f>IF(A3817="","",VLOOKUP(A3817,AA_Cuadrillas,4,FALSE))</f>
        <v/>
      </c>
      <c r="I3817" s="394" t="str">
        <f>IF(A3817="","",VLOOKUP(A3817,AA_Cuadrillas,5,FALSE))</f>
        <v/>
      </c>
      <c r="J3817" s="273"/>
      <c r="K3817" s="9" t="str">
        <f>IF(A3817="","",F.P!$I$2)</f>
        <v/>
      </c>
      <c r="L3817" s="37"/>
      <c r="M3817" s="394" t="str">
        <f t="shared" si="524"/>
        <v/>
      </c>
      <c r="N3817" s="273"/>
    </row>
    <row r="3818" spans="1:14" ht="12.75" customHeight="1" x14ac:dyDescent="0.25">
      <c r="A3818" s="393"/>
      <c r="B3818" s="271"/>
      <c r="C3818" s="271"/>
      <c r="D3818" s="271"/>
      <c r="E3818" s="271"/>
      <c r="F3818" s="271"/>
      <c r="G3818" s="273"/>
      <c r="H3818" s="29" t="str">
        <f>IF(A3818="","",VLOOKUP(A3818,AA_Cuadrillas,4,FALSE))</f>
        <v/>
      </c>
      <c r="I3818" s="394" t="str">
        <f>IF(A3818="","",VLOOKUP(A3818,AA_Cuadrillas,5,FALSE))</f>
        <v/>
      </c>
      <c r="J3818" s="273"/>
      <c r="K3818" s="9" t="str">
        <f>IF(A3818="","",F.P!$I$2)</f>
        <v/>
      </c>
      <c r="L3818" s="37"/>
      <c r="M3818" s="394" t="str">
        <f t="shared" si="524"/>
        <v/>
      </c>
      <c r="N3818" s="273"/>
    </row>
    <row r="3819" spans="1:14" ht="12.75" customHeight="1" x14ac:dyDescent="0.25">
      <c r="A3819" s="393"/>
      <c r="B3819" s="271"/>
      <c r="C3819" s="271"/>
      <c r="D3819" s="271"/>
      <c r="E3819" s="271"/>
      <c r="F3819" s="271"/>
      <c r="G3819" s="273"/>
      <c r="H3819" s="29" t="str">
        <f>IF(A3819="","",VLOOKUP(A3819,AA_Cuadrillas,4,FALSE))</f>
        <v/>
      </c>
      <c r="I3819" s="394" t="str">
        <f>IF(A3819="","",VLOOKUP(A3819,AA_Cuadrillas,5,FALSE))</f>
        <v/>
      </c>
      <c r="J3819" s="273"/>
      <c r="K3819" s="9" t="str">
        <f>IF(A3819="","",F.P!$I$2)</f>
        <v/>
      </c>
      <c r="L3819" s="37"/>
      <c r="M3819" s="394" t="str">
        <f t="shared" si="524"/>
        <v/>
      </c>
      <c r="N3819" s="273"/>
    </row>
    <row r="3820" spans="1:14" ht="12.75" customHeight="1" x14ac:dyDescent="0.25">
      <c r="A3820" s="4"/>
      <c r="B3820" s="4"/>
      <c r="C3820" s="4"/>
      <c r="D3820" s="4"/>
      <c r="E3820" s="4"/>
      <c r="F3820" s="4"/>
      <c r="G3820" s="4"/>
      <c r="H3820" s="4"/>
      <c r="I3820" s="4"/>
      <c r="J3820" s="4"/>
      <c r="K3820" s="396" t="s">
        <v>444</v>
      </c>
      <c r="L3820" s="273"/>
      <c r="M3820" s="394">
        <f>SUM(M3815:N3819)</f>
        <v>160927.37333333332</v>
      </c>
      <c r="N3820" s="273"/>
    </row>
    <row r="3821" spans="1:14" ht="12.75" customHeight="1" x14ac:dyDescent="0.2"/>
    <row r="3822" spans="1:14" ht="12.75" customHeight="1" x14ac:dyDescent="0.2">
      <c r="A3822" s="407" t="s">
        <v>1150</v>
      </c>
      <c r="B3822" s="275"/>
      <c r="C3822" s="275"/>
      <c r="D3822" s="275"/>
      <c r="E3822" s="275"/>
      <c r="F3822" s="275"/>
      <c r="G3822" s="275"/>
      <c r="H3822" s="275"/>
      <c r="I3822" s="275"/>
      <c r="J3822" s="275"/>
      <c r="K3822" s="275"/>
      <c r="L3822" s="275"/>
      <c r="M3822" s="275"/>
      <c r="N3822" s="276"/>
    </row>
    <row r="3823" spans="1:14" ht="12.75" customHeight="1" x14ac:dyDescent="0.2">
      <c r="A3823" s="277"/>
      <c r="B3823" s="278"/>
      <c r="C3823" s="278"/>
      <c r="D3823" s="278"/>
      <c r="E3823" s="278"/>
      <c r="F3823" s="278"/>
      <c r="G3823" s="278"/>
      <c r="H3823" s="278"/>
      <c r="I3823" s="278"/>
      <c r="J3823" s="278"/>
      <c r="K3823" s="278"/>
      <c r="L3823" s="278"/>
      <c r="M3823" s="278"/>
      <c r="N3823" s="279"/>
    </row>
    <row r="3824" spans="1:14" ht="12.75" customHeight="1" x14ac:dyDescent="0.2">
      <c r="A3824" s="75"/>
      <c r="B3824" s="75"/>
      <c r="C3824" s="75"/>
      <c r="D3824" s="75"/>
      <c r="E3824" s="75"/>
      <c r="F3824" s="75"/>
      <c r="G3824" s="75"/>
      <c r="H3824" s="75"/>
      <c r="I3824" s="75"/>
      <c r="J3824" s="75"/>
      <c r="K3824" s="75"/>
      <c r="L3824" s="75"/>
      <c r="M3824" s="75"/>
      <c r="N3824" s="75"/>
    </row>
    <row r="3825" spans="1:15" ht="12.75" customHeight="1" x14ac:dyDescent="0.3">
      <c r="A3825" s="79" t="s">
        <v>703</v>
      </c>
      <c r="B3825" s="80" t="str">
        <f>A3822</f>
        <v>SUMINISTRO E INSTALACIÓN DE UNIÓN DE DESMONTAJE Ø2" EN HIERRO DUCTIL</v>
      </c>
      <c r="C3825" s="81" t="s">
        <v>916</v>
      </c>
      <c r="D3825" s="82" t="s">
        <v>999</v>
      </c>
      <c r="E3825" s="83" t="s">
        <v>445</v>
      </c>
      <c r="F3825" s="240">
        <f>H3825+J3825+L3825+N3825</f>
        <v>440738.29800000001</v>
      </c>
      <c r="G3825" s="83" t="s">
        <v>607</v>
      </c>
      <c r="H3825" s="86">
        <f>M3835</f>
        <v>321000</v>
      </c>
      <c r="I3825" s="83" t="s">
        <v>918</v>
      </c>
      <c r="J3825" s="86">
        <f>M3844</f>
        <v>4937.5380000000005</v>
      </c>
      <c r="K3825" s="83" t="s">
        <v>609</v>
      </c>
      <c r="L3825" s="86">
        <f>M3853</f>
        <v>16050</v>
      </c>
      <c r="M3825" s="83" t="s">
        <v>610</v>
      </c>
      <c r="N3825" s="86">
        <f>M3862</f>
        <v>98750.76</v>
      </c>
      <c r="O3825" t="s">
        <v>3222</v>
      </c>
    </row>
    <row r="3826" spans="1:15" ht="12.75" customHeight="1" x14ac:dyDescent="0.25">
      <c r="A3826" s="87"/>
      <c r="B3826" s="87"/>
      <c r="C3826" s="87"/>
      <c r="D3826" s="87"/>
      <c r="E3826" s="87"/>
      <c r="F3826" s="87"/>
      <c r="G3826" s="87"/>
      <c r="J3826" s="87"/>
      <c r="K3826" s="215" t="s">
        <v>3217</v>
      </c>
      <c r="L3826" s="215">
        <f>+F3825*presup!$O$5</f>
        <v>572959.78740000003</v>
      </c>
      <c r="M3826" s="87"/>
      <c r="N3826" s="87"/>
    </row>
    <row r="3827" spans="1:15" ht="12.75" customHeight="1" x14ac:dyDescent="0.2">
      <c r="A3827" s="398" t="s">
        <v>919</v>
      </c>
      <c r="B3827" s="271"/>
      <c r="C3827" s="271"/>
      <c r="D3827" s="271"/>
      <c r="E3827" s="271"/>
      <c r="F3827" s="271"/>
      <c r="G3827" s="271"/>
      <c r="H3827" s="271"/>
      <c r="I3827" s="271"/>
      <c r="J3827" s="271"/>
      <c r="K3827" s="271"/>
      <c r="L3827" s="271"/>
      <c r="M3827" s="271"/>
      <c r="N3827" s="273"/>
    </row>
    <row r="3828" spans="1:15" ht="12.75" customHeight="1" x14ac:dyDescent="0.2">
      <c r="A3828" s="396" t="s">
        <v>76</v>
      </c>
      <c r="B3828" s="271"/>
      <c r="C3828" s="271"/>
      <c r="D3828" s="271"/>
      <c r="E3828" s="271"/>
      <c r="F3828" s="271"/>
      <c r="G3828" s="273"/>
      <c r="H3828" s="88" t="s">
        <v>77</v>
      </c>
      <c r="I3828" s="399" t="s">
        <v>920</v>
      </c>
      <c r="J3828" s="273"/>
      <c r="K3828" s="399" t="s">
        <v>453</v>
      </c>
      <c r="L3828" s="273"/>
      <c r="M3828" s="399" t="s">
        <v>921</v>
      </c>
      <c r="N3828" s="273"/>
    </row>
    <row r="3829" spans="1:15" ht="12.75" customHeight="1" x14ac:dyDescent="0.2">
      <c r="A3829" s="403" t="s">
        <v>1151</v>
      </c>
      <c r="B3829" s="271"/>
      <c r="C3829" s="271"/>
      <c r="D3829" s="271"/>
      <c r="E3829" s="271"/>
      <c r="F3829" s="271"/>
      <c r="G3829" s="273"/>
      <c r="H3829" s="29" t="str">
        <f t="shared" ref="H3829:H3834" si="525">IF(A3829="","",VLOOKUP(A3829,AA_Materiales,7,FALSE))</f>
        <v>Unidad</v>
      </c>
      <c r="I3829" s="394">
        <f t="shared" ref="I3829:I3834" si="526">IF(A3829="","",VLOOKUP(A3829,AA_Materiales,8,FALSE))</f>
        <v>321000</v>
      </c>
      <c r="J3829" s="273"/>
      <c r="K3829" s="395">
        <v>1</v>
      </c>
      <c r="L3829" s="273"/>
      <c r="M3829" s="394">
        <f t="shared" ref="M3829:M3834" si="527">IF(A3829="","",I3829*K3829)</f>
        <v>321000</v>
      </c>
      <c r="N3829" s="273"/>
    </row>
    <row r="3830" spans="1:15" ht="12.75" customHeight="1" x14ac:dyDescent="0.2">
      <c r="A3830" s="403"/>
      <c r="B3830" s="271"/>
      <c r="C3830" s="271"/>
      <c r="D3830" s="271"/>
      <c r="E3830" s="271"/>
      <c r="F3830" s="271"/>
      <c r="G3830" s="273"/>
      <c r="H3830" s="29" t="str">
        <f t="shared" si="525"/>
        <v/>
      </c>
      <c r="I3830" s="394" t="str">
        <f t="shared" si="526"/>
        <v/>
      </c>
      <c r="J3830" s="273"/>
      <c r="K3830" s="395"/>
      <c r="L3830" s="273"/>
      <c r="M3830" s="394" t="str">
        <f t="shared" si="527"/>
        <v/>
      </c>
      <c r="N3830" s="273"/>
    </row>
    <row r="3831" spans="1:15" ht="12.75" customHeight="1" x14ac:dyDescent="0.2">
      <c r="A3831" s="403"/>
      <c r="B3831" s="271"/>
      <c r="C3831" s="271"/>
      <c r="D3831" s="271"/>
      <c r="E3831" s="271"/>
      <c r="F3831" s="271"/>
      <c r="G3831" s="273"/>
      <c r="H3831" s="29" t="str">
        <f t="shared" si="525"/>
        <v/>
      </c>
      <c r="I3831" s="394" t="str">
        <f t="shared" si="526"/>
        <v/>
      </c>
      <c r="J3831" s="273"/>
      <c r="K3831" s="395"/>
      <c r="L3831" s="273"/>
      <c r="M3831" s="394" t="str">
        <f t="shared" si="527"/>
        <v/>
      </c>
      <c r="N3831" s="273"/>
    </row>
    <row r="3832" spans="1:15" ht="12.75" customHeight="1" x14ac:dyDescent="0.2">
      <c r="A3832" s="403"/>
      <c r="B3832" s="271"/>
      <c r="C3832" s="271"/>
      <c r="D3832" s="271"/>
      <c r="E3832" s="271"/>
      <c r="F3832" s="271"/>
      <c r="G3832" s="273"/>
      <c r="H3832" s="29" t="str">
        <f t="shared" si="525"/>
        <v/>
      </c>
      <c r="I3832" s="394" t="str">
        <f t="shared" si="526"/>
        <v/>
      </c>
      <c r="J3832" s="273"/>
      <c r="K3832" s="395"/>
      <c r="L3832" s="273"/>
      <c r="M3832" s="394" t="str">
        <f t="shared" si="527"/>
        <v/>
      </c>
      <c r="N3832" s="273"/>
    </row>
    <row r="3833" spans="1:15" ht="12.75" customHeight="1" x14ac:dyDescent="0.2">
      <c r="A3833" s="403"/>
      <c r="B3833" s="271"/>
      <c r="C3833" s="271"/>
      <c r="D3833" s="271"/>
      <c r="E3833" s="271"/>
      <c r="F3833" s="271"/>
      <c r="G3833" s="273"/>
      <c r="H3833" s="29" t="str">
        <f t="shared" si="525"/>
        <v/>
      </c>
      <c r="I3833" s="394" t="str">
        <f t="shared" si="526"/>
        <v/>
      </c>
      <c r="J3833" s="273"/>
      <c r="K3833" s="395"/>
      <c r="L3833" s="273"/>
      <c r="M3833" s="394" t="str">
        <f t="shared" si="527"/>
        <v/>
      </c>
      <c r="N3833" s="273"/>
    </row>
    <row r="3834" spans="1:15" ht="12.75" customHeight="1" x14ac:dyDescent="0.2">
      <c r="A3834" s="403"/>
      <c r="B3834" s="271"/>
      <c r="C3834" s="271"/>
      <c r="D3834" s="271"/>
      <c r="E3834" s="271"/>
      <c r="F3834" s="271"/>
      <c r="G3834" s="273"/>
      <c r="H3834" s="29" t="str">
        <f t="shared" si="525"/>
        <v/>
      </c>
      <c r="I3834" s="394" t="str">
        <f t="shared" si="526"/>
        <v/>
      </c>
      <c r="J3834" s="273"/>
      <c r="K3834" s="395"/>
      <c r="L3834" s="273"/>
      <c r="M3834" s="394" t="str">
        <f t="shared" si="527"/>
        <v/>
      </c>
      <c r="N3834" s="273"/>
    </row>
    <row r="3835" spans="1:15" ht="12.75" customHeight="1" x14ac:dyDescent="0.25">
      <c r="A3835" s="4"/>
      <c r="B3835" s="4"/>
      <c r="C3835" s="4"/>
      <c r="D3835" s="4"/>
      <c r="E3835" s="4"/>
      <c r="F3835" s="4"/>
      <c r="G3835" s="4"/>
      <c r="H3835" s="4"/>
      <c r="I3835" s="4"/>
      <c r="J3835" s="4"/>
      <c r="K3835" s="396" t="s">
        <v>444</v>
      </c>
      <c r="L3835" s="273"/>
      <c r="M3835" s="394">
        <f>SUM(M3829:N3834)</f>
        <v>321000</v>
      </c>
      <c r="N3835" s="273"/>
    </row>
    <row r="3836" spans="1:15" ht="12.75" customHeight="1" x14ac:dyDescent="0.25">
      <c r="A3836" s="4"/>
      <c r="B3836" s="4"/>
      <c r="C3836" s="4"/>
      <c r="D3836" s="4"/>
      <c r="E3836" s="4"/>
      <c r="F3836" s="4"/>
      <c r="G3836" s="4"/>
      <c r="H3836" s="4"/>
      <c r="I3836" s="4"/>
      <c r="J3836" s="4"/>
      <c r="K3836" s="4"/>
      <c r="L3836" s="4"/>
      <c r="M3836" s="4"/>
      <c r="N3836" s="4"/>
    </row>
    <row r="3837" spans="1:15" ht="12.75" customHeight="1" x14ac:dyDescent="0.2">
      <c r="A3837" s="398" t="s">
        <v>926</v>
      </c>
      <c r="B3837" s="271"/>
      <c r="C3837" s="271"/>
      <c r="D3837" s="271"/>
      <c r="E3837" s="271"/>
      <c r="F3837" s="271"/>
      <c r="G3837" s="271"/>
      <c r="H3837" s="271"/>
      <c r="I3837" s="271"/>
      <c r="J3837" s="271"/>
      <c r="K3837" s="271"/>
      <c r="L3837" s="271"/>
      <c r="M3837" s="271"/>
      <c r="N3837" s="273"/>
    </row>
    <row r="3838" spans="1:15" ht="12.75" customHeight="1" x14ac:dyDescent="0.2">
      <c r="A3838" s="396" t="s">
        <v>76</v>
      </c>
      <c r="B3838" s="271"/>
      <c r="C3838" s="271"/>
      <c r="D3838" s="271"/>
      <c r="E3838" s="271"/>
      <c r="F3838" s="271"/>
      <c r="G3838" s="273"/>
      <c r="H3838" s="88" t="s">
        <v>77</v>
      </c>
      <c r="I3838" s="399" t="s">
        <v>920</v>
      </c>
      <c r="J3838" s="273"/>
      <c r="K3838" s="399" t="s">
        <v>453</v>
      </c>
      <c r="L3838" s="273"/>
      <c r="M3838" s="399" t="s">
        <v>921</v>
      </c>
      <c r="N3838" s="273"/>
    </row>
    <row r="3839" spans="1:15" ht="12.75" customHeight="1" x14ac:dyDescent="0.2">
      <c r="A3839" s="400" t="s">
        <v>927</v>
      </c>
      <c r="B3839" s="271"/>
      <c r="C3839" s="271"/>
      <c r="D3839" s="271"/>
      <c r="E3839" s="271"/>
      <c r="F3839" s="271"/>
      <c r="G3839" s="273"/>
      <c r="H3839" s="29" t="str">
        <f>IF(A3839="","",VLOOKUP(A3839,AA_Equipos,7,FALSE))</f>
        <v>% M.O.</v>
      </c>
      <c r="I3839" s="394">
        <f>+M3862</f>
        <v>98750.76</v>
      </c>
      <c r="J3839" s="273"/>
      <c r="K3839" s="404">
        <v>0.05</v>
      </c>
      <c r="L3839" s="273"/>
      <c r="M3839" s="394">
        <f t="shared" ref="M3839:M3843" si="528">IF(A3839="","",I3839*K3839)</f>
        <v>4937.5380000000005</v>
      </c>
      <c r="N3839" s="273"/>
    </row>
    <row r="3840" spans="1:15" ht="12.75" customHeight="1" x14ac:dyDescent="0.2">
      <c r="A3840" s="403"/>
      <c r="B3840" s="271"/>
      <c r="C3840" s="271"/>
      <c r="D3840" s="271"/>
      <c r="E3840" s="271"/>
      <c r="F3840" s="271"/>
      <c r="G3840" s="273"/>
      <c r="H3840" s="29" t="str">
        <f>IF(A3840="","",VLOOKUP(A3840,AA_Equipos,7,FALSE))</f>
        <v/>
      </c>
      <c r="I3840" s="394" t="str">
        <f>IF(A3840="","",VLOOKUP(A3840,AA_Equipos,8,FALSE))</f>
        <v/>
      </c>
      <c r="J3840" s="273"/>
      <c r="K3840" s="402"/>
      <c r="L3840" s="273"/>
      <c r="M3840" s="394" t="str">
        <f t="shared" si="528"/>
        <v/>
      </c>
      <c r="N3840" s="273"/>
    </row>
    <row r="3841" spans="1:14" ht="12.75" customHeight="1" x14ac:dyDescent="0.2">
      <c r="A3841" s="400"/>
      <c r="B3841" s="271"/>
      <c r="C3841" s="271"/>
      <c r="D3841" s="271"/>
      <c r="E3841" s="271"/>
      <c r="F3841" s="271"/>
      <c r="G3841" s="273"/>
      <c r="H3841" s="29" t="str">
        <f>IF(A3841="","",VLOOKUP(A3841,AA_Equipos,7,FALSE))</f>
        <v/>
      </c>
      <c r="I3841" s="394" t="str">
        <f>IF(A3841="","",VLOOKUP(A3841,AA_Equipos,8,FALSE))</f>
        <v/>
      </c>
      <c r="J3841" s="273"/>
      <c r="K3841" s="401"/>
      <c r="L3841" s="273"/>
      <c r="M3841" s="394" t="str">
        <f t="shared" si="528"/>
        <v/>
      </c>
      <c r="N3841" s="273"/>
    </row>
    <row r="3842" spans="1:14" ht="12.75" customHeight="1" x14ac:dyDescent="0.2">
      <c r="A3842" s="400"/>
      <c r="B3842" s="271"/>
      <c r="C3842" s="271"/>
      <c r="D3842" s="271"/>
      <c r="E3842" s="271"/>
      <c r="F3842" s="271"/>
      <c r="G3842" s="273"/>
      <c r="H3842" s="29" t="str">
        <f>IF(A3842="","",VLOOKUP(A3842,AA_Equipos,7,FALSE))</f>
        <v/>
      </c>
      <c r="I3842" s="394" t="str">
        <f>IF(A3842="","",VLOOKUP(A3842,AA_Equipos,8,FALSE))</f>
        <v/>
      </c>
      <c r="J3842" s="273"/>
      <c r="K3842" s="395"/>
      <c r="L3842" s="273"/>
      <c r="M3842" s="394" t="str">
        <f t="shared" si="528"/>
        <v/>
      </c>
      <c r="N3842" s="273"/>
    </row>
    <row r="3843" spans="1:14" ht="12.75" customHeight="1" x14ac:dyDescent="0.2">
      <c r="A3843" s="400"/>
      <c r="B3843" s="271"/>
      <c r="C3843" s="271"/>
      <c r="D3843" s="271"/>
      <c r="E3843" s="271"/>
      <c r="F3843" s="271"/>
      <c r="G3843" s="273"/>
      <c r="H3843" s="29" t="str">
        <f>IF(A3843="","",VLOOKUP(A3843,AA_Equipos,7,FALSE))</f>
        <v/>
      </c>
      <c r="I3843" s="394" t="str">
        <f>IF(A3843="","",VLOOKUP(A3843,AA_Equipos,8,FALSE))</f>
        <v/>
      </c>
      <c r="J3843" s="273"/>
      <c r="K3843" s="395"/>
      <c r="L3843" s="273"/>
      <c r="M3843" s="394" t="str">
        <f t="shared" si="528"/>
        <v/>
      </c>
      <c r="N3843" s="273"/>
    </row>
    <row r="3844" spans="1:14" ht="12.75" customHeight="1" x14ac:dyDescent="0.25">
      <c r="A3844" s="4"/>
      <c r="B3844" s="4"/>
      <c r="C3844" s="4"/>
      <c r="D3844" s="4"/>
      <c r="E3844" s="4"/>
      <c r="F3844" s="4"/>
      <c r="G3844" s="4"/>
      <c r="H3844" s="4"/>
      <c r="I3844" s="4"/>
      <c r="J3844" s="4"/>
      <c r="K3844" s="396" t="s">
        <v>444</v>
      </c>
      <c r="L3844" s="273"/>
      <c r="M3844" s="394">
        <f>SUM(M3839:N3843)</f>
        <v>4937.5380000000005</v>
      </c>
      <c r="N3844" s="273"/>
    </row>
    <row r="3845" spans="1:14" ht="12.75" customHeight="1" x14ac:dyDescent="0.25">
      <c r="A3845" s="4"/>
      <c r="B3845" s="4"/>
      <c r="C3845" s="4"/>
      <c r="D3845" s="4"/>
      <c r="E3845" s="4"/>
      <c r="F3845" s="4"/>
      <c r="G3845" s="4"/>
      <c r="H3845" s="4"/>
      <c r="I3845" s="4"/>
      <c r="J3845" s="4"/>
      <c r="K3845" s="4"/>
      <c r="L3845" s="4"/>
      <c r="M3845" s="4"/>
      <c r="N3845" s="4"/>
    </row>
    <row r="3846" spans="1:14" ht="12.75" customHeight="1" x14ac:dyDescent="0.2">
      <c r="A3846" s="398" t="s">
        <v>929</v>
      </c>
      <c r="B3846" s="271"/>
      <c r="C3846" s="271"/>
      <c r="D3846" s="271"/>
      <c r="E3846" s="271"/>
      <c r="F3846" s="271"/>
      <c r="G3846" s="271"/>
      <c r="H3846" s="271"/>
      <c r="I3846" s="271"/>
      <c r="J3846" s="271"/>
      <c r="K3846" s="271"/>
      <c r="L3846" s="271"/>
      <c r="M3846" s="271"/>
      <c r="N3846" s="273"/>
    </row>
    <row r="3847" spans="1:14" ht="12.75" customHeight="1" x14ac:dyDescent="0.2">
      <c r="A3847" s="396" t="s">
        <v>76</v>
      </c>
      <c r="B3847" s="271"/>
      <c r="C3847" s="271"/>
      <c r="D3847" s="271"/>
      <c r="E3847" s="271"/>
      <c r="F3847" s="271"/>
      <c r="G3847" s="273"/>
      <c r="H3847" s="88" t="s">
        <v>77</v>
      </c>
      <c r="I3847" s="399" t="s">
        <v>920</v>
      </c>
      <c r="J3847" s="273"/>
      <c r="K3847" s="399" t="s">
        <v>453</v>
      </c>
      <c r="L3847" s="273"/>
      <c r="M3847" s="399" t="s">
        <v>921</v>
      </c>
      <c r="N3847" s="273"/>
    </row>
    <row r="3848" spans="1:14" ht="12.75" customHeight="1" x14ac:dyDescent="0.2">
      <c r="A3848" s="400" t="s">
        <v>966</v>
      </c>
      <c r="B3848" s="271"/>
      <c r="C3848" s="271"/>
      <c r="D3848" s="271"/>
      <c r="E3848" s="271"/>
      <c r="F3848" s="271"/>
      <c r="G3848" s="273"/>
      <c r="H3848" s="29" t="s">
        <v>950</v>
      </c>
      <c r="I3848" s="394">
        <f>+M3835</f>
        <v>321000</v>
      </c>
      <c r="J3848" s="273"/>
      <c r="K3848" s="404">
        <v>0.05</v>
      </c>
      <c r="L3848" s="273"/>
      <c r="M3848" s="394">
        <f t="shared" ref="M3848:M3852" si="529">IF(A3848="","",I3848*K3848)</f>
        <v>16050</v>
      </c>
      <c r="N3848" s="273"/>
    </row>
    <row r="3849" spans="1:14" ht="12.75" customHeight="1" x14ac:dyDescent="0.2">
      <c r="A3849" s="403"/>
      <c r="B3849" s="271"/>
      <c r="C3849" s="271"/>
      <c r="D3849" s="271"/>
      <c r="E3849" s="271"/>
      <c r="F3849" s="271"/>
      <c r="G3849" s="273"/>
      <c r="H3849" s="29"/>
      <c r="I3849" s="394"/>
      <c r="J3849" s="273"/>
      <c r="K3849" s="404"/>
      <c r="L3849" s="273"/>
      <c r="M3849" s="394" t="str">
        <f t="shared" si="529"/>
        <v/>
      </c>
      <c r="N3849" s="273"/>
    </row>
    <row r="3850" spans="1:14" ht="12.75" customHeight="1" x14ac:dyDescent="0.2">
      <c r="A3850" s="400"/>
      <c r="B3850" s="271"/>
      <c r="C3850" s="271"/>
      <c r="D3850" s="271"/>
      <c r="E3850" s="271"/>
      <c r="F3850" s="271"/>
      <c r="G3850" s="273"/>
      <c r="H3850" s="29"/>
      <c r="I3850" s="394"/>
      <c r="J3850" s="273"/>
      <c r="K3850" s="395"/>
      <c r="L3850" s="273"/>
      <c r="M3850" s="394" t="str">
        <f t="shared" si="529"/>
        <v/>
      </c>
      <c r="N3850" s="273"/>
    </row>
    <row r="3851" spans="1:14" ht="12.75" customHeight="1" x14ac:dyDescent="0.2">
      <c r="A3851" s="400"/>
      <c r="B3851" s="271"/>
      <c r="C3851" s="271"/>
      <c r="D3851" s="271"/>
      <c r="E3851" s="271"/>
      <c r="F3851" s="271"/>
      <c r="G3851" s="273"/>
      <c r="H3851" s="29"/>
      <c r="I3851" s="394"/>
      <c r="J3851" s="273"/>
      <c r="K3851" s="395"/>
      <c r="L3851" s="273"/>
      <c r="M3851" s="394" t="str">
        <f t="shared" si="529"/>
        <v/>
      </c>
      <c r="N3851" s="273"/>
    </row>
    <row r="3852" spans="1:14" ht="12.75" customHeight="1" x14ac:dyDescent="0.2">
      <c r="A3852" s="400"/>
      <c r="B3852" s="271"/>
      <c r="C3852" s="271"/>
      <c r="D3852" s="271"/>
      <c r="E3852" s="271"/>
      <c r="F3852" s="271"/>
      <c r="G3852" s="273"/>
      <c r="H3852" s="29"/>
      <c r="I3852" s="394"/>
      <c r="J3852" s="273"/>
      <c r="K3852" s="395"/>
      <c r="L3852" s="273"/>
      <c r="M3852" s="394" t="str">
        <f t="shared" si="529"/>
        <v/>
      </c>
      <c r="N3852" s="273"/>
    </row>
    <row r="3853" spans="1:14" ht="12.75" customHeight="1" x14ac:dyDescent="0.25">
      <c r="A3853" s="4"/>
      <c r="B3853" s="4"/>
      <c r="C3853" s="4"/>
      <c r="D3853" s="4"/>
      <c r="E3853" s="4"/>
      <c r="F3853" s="4"/>
      <c r="G3853" s="4"/>
      <c r="H3853" s="4"/>
      <c r="I3853" s="4"/>
      <c r="J3853" s="4"/>
      <c r="K3853" s="396" t="s">
        <v>444</v>
      </c>
      <c r="L3853" s="273"/>
      <c r="M3853" s="394">
        <f>SUM(M3848:N3852)</f>
        <v>16050</v>
      </c>
      <c r="N3853" s="273"/>
    </row>
    <row r="3854" spans="1:14" ht="12.75" customHeight="1" x14ac:dyDescent="0.25">
      <c r="A3854" s="4"/>
      <c r="B3854" s="4"/>
      <c r="C3854" s="4"/>
      <c r="D3854" s="4"/>
      <c r="E3854" s="4"/>
      <c r="F3854" s="4"/>
      <c r="G3854" s="4"/>
      <c r="H3854" s="4"/>
      <c r="I3854" s="4"/>
      <c r="J3854" s="4"/>
      <c r="K3854" s="4"/>
      <c r="L3854" s="4"/>
      <c r="M3854" s="4"/>
      <c r="N3854" s="4"/>
    </row>
    <row r="3855" spans="1:14" ht="12.75" customHeight="1" x14ac:dyDescent="0.2">
      <c r="A3855" s="398" t="s">
        <v>931</v>
      </c>
      <c r="B3855" s="271"/>
      <c r="C3855" s="271"/>
      <c r="D3855" s="271"/>
      <c r="E3855" s="271"/>
      <c r="F3855" s="271"/>
      <c r="G3855" s="271"/>
      <c r="H3855" s="271"/>
      <c r="I3855" s="271"/>
      <c r="J3855" s="271"/>
      <c r="K3855" s="271"/>
      <c r="L3855" s="271"/>
      <c r="M3855" s="271"/>
      <c r="N3855" s="273"/>
    </row>
    <row r="3856" spans="1:14" ht="12.75" customHeight="1" x14ac:dyDescent="0.2">
      <c r="A3856" s="396" t="s">
        <v>76</v>
      </c>
      <c r="B3856" s="271"/>
      <c r="C3856" s="271"/>
      <c r="D3856" s="271"/>
      <c r="E3856" s="271"/>
      <c r="F3856" s="271"/>
      <c r="G3856" s="273"/>
      <c r="H3856" s="88" t="s">
        <v>77</v>
      </c>
      <c r="I3856" s="399" t="s">
        <v>920</v>
      </c>
      <c r="J3856" s="273"/>
      <c r="K3856" s="90" t="s">
        <v>514</v>
      </c>
      <c r="L3856" s="91" t="s">
        <v>932</v>
      </c>
      <c r="M3856" s="399" t="s">
        <v>921</v>
      </c>
      <c r="N3856" s="273"/>
    </row>
    <row r="3857" spans="1:15" ht="12.75" customHeight="1" x14ac:dyDescent="0.25">
      <c r="A3857" s="393" t="s">
        <v>1112</v>
      </c>
      <c r="B3857" s="271"/>
      <c r="C3857" s="271"/>
      <c r="D3857" s="271"/>
      <c r="E3857" s="271"/>
      <c r="F3857" s="271"/>
      <c r="G3857" s="273"/>
      <c r="H3857" s="29" t="str">
        <f>IF(A3857="","",VLOOKUP(A3857,AA_Cuadrillas,4,FALSE))</f>
        <v>Cuadrilla</v>
      </c>
      <c r="I3857" s="394">
        <f>IF(A3857="","",VLOOKUP(A3857,AA_Cuadrillas,5,FALSE))</f>
        <v>210108</v>
      </c>
      <c r="J3857" s="273"/>
      <c r="K3857" s="9">
        <f>IF(A3857="","",F.P!$I$2)</f>
        <v>1.88</v>
      </c>
      <c r="L3857" s="97">
        <v>0.25</v>
      </c>
      <c r="M3857" s="394">
        <f t="shared" ref="M3857:M3861" si="530">IF(A3857="","",I3857*K3857*L3857)</f>
        <v>98750.76</v>
      </c>
      <c r="N3857" s="273"/>
    </row>
    <row r="3858" spans="1:15" ht="12.75" customHeight="1" x14ac:dyDescent="0.25">
      <c r="A3858" s="393"/>
      <c r="B3858" s="271"/>
      <c r="C3858" s="271"/>
      <c r="D3858" s="271"/>
      <c r="E3858" s="271"/>
      <c r="F3858" s="271"/>
      <c r="G3858" s="273"/>
      <c r="H3858" s="29" t="str">
        <f>IF(A3858="","",VLOOKUP(A3858,AA_Cuadrillas,4,FALSE))</f>
        <v/>
      </c>
      <c r="I3858" s="394" t="str">
        <f>IF(A3858="","",VLOOKUP(A3858,AA_Cuadrillas,5,FALSE))</f>
        <v/>
      </c>
      <c r="J3858" s="273"/>
      <c r="K3858" s="9" t="str">
        <f>IF(A3858="","",F.P!$I$2)</f>
        <v/>
      </c>
      <c r="L3858" s="9"/>
      <c r="M3858" s="394" t="str">
        <f t="shared" si="530"/>
        <v/>
      </c>
      <c r="N3858" s="273"/>
    </row>
    <row r="3859" spans="1:15" ht="12.75" customHeight="1" x14ac:dyDescent="0.25">
      <c r="A3859" s="393"/>
      <c r="B3859" s="271"/>
      <c r="C3859" s="271"/>
      <c r="D3859" s="271"/>
      <c r="E3859" s="271"/>
      <c r="F3859" s="271"/>
      <c r="G3859" s="273"/>
      <c r="H3859" s="29" t="str">
        <f>IF(A3859="","",VLOOKUP(A3859,AA_Cuadrillas,4,FALSE))</f>
        <v/>
      </c>
      <c r="I3859" s="394" t="str">
        <f>IF(A3859="","",VLOOKUP(A3859,AA_Cuadrillas,5,FALSE))</f>
        <v/>
      </c>
      <c r="J3859" s="273"/>
      <c r="K3859" s="9" t="str">
        <f>IF(A3859="","",F.P!$I$2)</f>
        <v/>
      </c>
      <c r="L3859" s="37"/>
      <c r="M3859" s="394" t="str">
        <f t="shared" si="530"/>
        <v/>
      </c>
      <c r="N3859" s="273"/>
    </row>
    <row r="3860" spans="1:15" ht="12.75" customHeight="1" x14ac:dyDescent="0.25">
      <c r="A3860" s="393"/>
      <c r="B3860" s="271"/>
      <c r="C3860" s="271"/>
      <c r="D3860" s="271"/>
      <c r="E3860" s="271"/>
      <c r="F3860" s="271"/>
      <c r="G3860" s="273"/>
      <c r="H3860" s="29" t="str">
        <f>IF(A3860="","",VLOOKUP(A3860,AA_Cuadrillas,4,FALSE))</f>
        <v/>
      </c>
      <c r="I3860" s="394" t="str">
        <f>IF(A3860="","",VLOOKUP(A3860,AA_Cuadrillas,5,FALSE))</f>
        <v/>
      </c>
      <c r="J3860" s="273"/>
      <c r="K3860" s="9" t="str">
        <f>IF(A3860="","",F.P!$I$2)</f>
        <v/>
      </c>
      <c r="L3860" s="37"/>
      <c r="M3860" s="394" t="str">
        <f t="shared" si="530"/>
        <v/>
      </c>
      <c r="N3860" s="273"/>
    </row>
    <row r="3861" spans="1:15" ht="12.75" customHeight="1" x14ac:dyDescent="0.25">
      <c r="A3861" s="393"/>
      <c r="B3861" s="271"/>
      <c r="C3861" s="271"/>
      <c r="D3861" s="271"/>
      <c r="E3861" s="271"/>
      <c r="F3861" s="271"/>
      <c r="G3861" s="273"/>
      <c r="H3861" s="29" t="str">
        <f>IF(A3861="","",VLOOKUP(A3861,AA_Cuadrillas,4,FALSE))</f>
        <v/>
      </c>
      <c r="I3861" s="394" t="str">
        <f>IF(A3861="","",VLOOKUP(A3861,AA_Cuadrillas,5,FALSE))</f>
        <v/>
      </c>
      <c r="J3861" s="273"/>
      <c r="K3861" s="9" t="str">
        <f>IF(A3861="","",F.P!$I$2)</f>
        <v/>
      </c>
      <c r="L3861" s="37"/>
      <c r="M3861" s="394" t="str">
        <f t="shared" si="530"/>
        <v/>
      </c>
      <c r="N3861" s="273"/>
    </row>
    <row r="3862" spans="1:15" ht="12.75" customHeight="1" x14ac:dyDescent="0.25">
      <c r="A3862" s="4"/>
      <c r="B3862" s="4"/>
      <c r="C3862" s="4"/>
      <c r="D3862" s="4"/>
      <c r="E3862" s="4"/>
      <c r="F3862" s="4"/>
      <c r="G3862" s="4"/>
      <c r="H3862" s="4"/>
      <c r="I3862" s="4"/>
      <c r="J3862" s="4"/>
      <c r="K3862" s="396" t="s">
        <v>444</v>
      </c>
      <c r="L3862" s="273"/>
      <c r="M3862" s="394">
        <f>SUM(M3857:N3861)</f>
        <v>98750.76</v>
      </c>
      <c r="N3862" s="273"/>
    </row>
    <row r="3863" spans="1:15" ht="12.75" customHeight="1" x14ac:dyDescent="0.2"/>
    <row r="3864" spans="1:15" ht="12.75" customHeight="1" x14ac:dyDescent="0.2">
      <c r="A3864" s="407" t="s">
        <v>321</v>
      </c>
      <c r="B3864" s="275"/>
      <c r="C3864" s="275"/>
      <c r="D3864" s="275"/>
      <c r="E3864" s="275"/>
      <c r="F3864" s="275"/>
      <c r="G3864" s="275"/>
      <c r="H3864" s="275"/>
      <c r="I3864" s="275"/>
      <c r="J3864" s="275"/>
      <c r="K3864" s="275"/>
      <c r="L3864" s="275"/>
      <c r="M3864" s="275"/>
      <c r="N3864" s="276"/>
      <c r="O3864" s="166"/>
    </row>
    <row r="3865" spans="1:15" ht="12.75" customHeight="1" x14ac:dyDescent="0.2">
      <c r="A3865" s="277"/>
      <c r="B3865" s="278"/>
      <c r="C3865" s="278"/>
      <c r="D3865" s="278"/>
      <c r="E3865" s="278"/>
      <c r="F3865" s="278"/>
      <c r="G3865" s="278"/>
      <c r="H3865" s="278"/>
      <c r="I3865" s="278"/>
      <c r="J3865" s="278"/>
      <c r="K3865" s="278"/>
      <c r="L3865" s="278"/>
      <c r="M3865" s="278"/>
      <c r="N3865" s="279"/>
      <c r="O3865" s="166"/>
    </row>
    <row r="3866" spans="1:15" ht="12.75" customHeight="1" x14ac:dyDescent="0.2">
      <c r="A3866" s="75"/>
      <c r="B3866" s="75"/>
      <c r="C3866" s="75"/>
      <c r="D3866" s="75"/>
      <c r="E3866" s="75"/>
      <c r="F3866" s="75"/>
      <c r="G3866" s="75"/>
      <c r="H3866" s="75"/>
      <c r="I3866" s="75"/>
      <c r="J3866" s="75"/>
      <c r="K3866" s="75"/>
      <c r="L3866" s="75"/>
      <c r="M3866" s="75"/>
      <c r="N3866" s="75"/>
    </row>
    <row r="3867" spans="1:15" ht="12.75" customHeight="1" x14ac:dyDescent="0.3">
      <c r="A3867" s="79" t="s">
        <v>704</v>
      </c>
      <c r="B3867" s="80" t="str">
        <f>A3864</f>
        <v>SUMINISTRO E INSTALACIÓN DE UNIÓN DE DESMONTAJE Ø3" EN HIERRO DUCTIL (INCLUYE MATERIALES, HERRAMIENTAS Y MANO DE OBRA)</v>
      </c>
      <c r="C3867" s="81" t="s">
        <v>916</v>
      </c>
      <c r="D3867" s="82" t="s">
        <v>999</v>
      </c>
      <c r="E3867" s="83" t="s">
        <v>445</v>
      </c>
      <c r="F3867" s="240">
        <f>H3867+J3867+L3867+N3867</f>
        <v>633135.17489999998</v>
      </c>
      <c r="G3867" s="83" t="s">
        <v>607</v>
      </c>
      <c r="H3867" s="86">
        <f>M3886</f>
        <v>4937.5380000000005</v>
      </c>
      <c r="I3867" s="83" t="s">
        <v>918</v>
      </c>
      <c r="J3867" s="86">
        <f>M3877</f>
        <v>504000</v>
      </c>
      <c r="K3867" s="83" t="s">
        <v>609</v>
      </c>
      <c r="L3867" s="86">
        <f>M3895</f>
        <v>25446.876899999999</v>
      </c>
      <c r="M3867" s="83" t="s">
        <v>610</v>
      </c>
      <c r="N3867" s="86">
        <f>M3904</f>
        <v>98750.76</v>
      </c>
      <c r="O3867" t="s">
        <v>3222</v>
      </c>
    </row>
    <row r="3868" spans="1:15" ht="12.75" customHeight="1" x14ac:dyDescent="0.25">
      <c r="A3868" s="87"/>
      <c r="B3868" s="87"/>
      <c r="C3868" s="87"/>
      <c r="D3868" s="87"/>
      <c r="E3868" s="242" t="s">
        <v>3246</v>
      </c>
      <c r="F3868" s="259">
        <f>F3867*1.3</f>
        <v>823075.72736999998</v>
      </c>
      <c r="G3868" s="87"/>
      <c r="J3868" s="87"/>
      <c r="K3868" s="215" t="s">
        <v>3217</v>
      </c>
      <c r="L3868" s="215">
        <f>+F3867*presup!$O$5</f>
        <v>823075.72736999998</v>
      </c>
      <c r="M3868" s="87"/>
      <c r="N3868" s="87"/>
    </row>
    <row r="3869" spans="1:15" ht="12.75" customHeight="1" x14ac:dyDescent="0.2">
      <c r="A3869" s="398" t="s">
        <v>919</v>
      </c>
      <c r="B3869" s="271"/>
      <c r="C3869" s="271"/>
      <c r="D3869" s="271"/>
      <c r="E3869" s="271"/>
      <c r="F3869" s="271"/>
      <c r="G3869" s="271"/>
      <c r="H3869" s="271"/>
      <c r="I3869" s="271"/>
      <c r="J3869" s="271"/>
      <c r="K3869" s="271"/>
      <c r="L3869" s="271"/>
      <c r="M3869" s="271"/>
      <c r="N3869" s="273"/>
    </row>
    <row r="3870" spans="1:15" ht="12.75" customHeight="1" x14ac:dyDescent="0.2">
      <c r="A3870" s="396" t="s">
        <v>76</v>
      </c>
      <c r="B3870" s="271"/>
      <c r="C3870" s="271"/>
      <c r="D3870" s="271"/>
      <c r="E3870" s="271"/>
      <c r="F3870" s="271"/>
      <c r="G3870" s="273"/>
      <c r="H3870" s="88" t="s">
        <v>77</v>
      </c>
      <c r="I3870" s="399" t="s">
        <v>920</v>
      </c>
      <c r="J3870" s="273"/>
      <c r="K3870" s="399" t="s">
        <v>453</v>
      </c>
      <c r="L3870" s="273"/>
      <c r="M3870" s="399" t="s">
        <v>921</v>
      </c>
      <c r="N3870" s="273"/>
    </row>
    <row r="3871" spans="1:15" ht="12.75" customHeight="1" x14ac:dyDescent="0.2">
      <c r="A3871" s="403" t="s">
        <v>1152</v>
      </c>
      <c r="B3871" s="271"/>
      <c r="C3871" s="271"/>
      <c r="D3871" s="271"/>
      <c r="E3871" s="271"/>
      <c r="F3871" s="271"/>
      <c r="G3871" s="273"/>
      <c r="H3871" s="29" t="str">
        <f t="shared" ref="H3871:H3876" si="531">IF(A3871="","",VLOOKUP(A3871,AA_Materiales,7,FALSE))</f>
        <v>Unidad</v>
      </c>
      <c r="I3871" s="394">
        <f t="shared" ref="I3871:I3876" si="532">IF(A3871="","",VLOOKUP(A3871,AA_Materiales,8,FALSE))</f>
        <v>504000</v>
      </c>
      <c r="J3871" s="273"/>
      <c r="K3871" s="395">
        <v>1</v>
      </c>
      <c r="L3871" s="273"/>
      <c r="M3871" s="394">
        <f t="shared" ref="M3871:M3876" si="533">IF(A3871="","",I3871*K3871)</f>
        <v>504000</v>
      </c>
      <c r="N3871" s="273"/>
    </row>
    <row r="3872" spans="1:15" ht="12.75" customHeight="1" x14ac:dyDescent="0.2">
      <c r="A3872" s="403"/>
      <c r="B3872" s="271"/>
      <c r="C3872" s="271"/>
      <c r="D3872" s="271"/>
      <c r="E3872" s="271"/>
      <c r="F3872" s="271"/>
      <c r="G3872" s="273"/>
      <c r="H3872" s="29" t="str">
        <f t="shared" si="531"/>
        <v/>
      </c>
      <c r="I3872" s="394" t="str">
        <f t="shared" si="532"/>
        <v/>
      </c>
      <c r="J3872" s="273"/>
      <c r="K3872" s="395"/>
      <c r="L3872" s="273"/>
      <c r="M3872" s="394" t="str">
        <f t="shared" si="533"/>
        <v/>
      </c>
      <c r="N3872" s="273"/>
    </row>
    <row r="3873" spans="1:14" ht="12.75" customHeight="1" x14ac:dyDescent="0.2">
      <c r="A3873" s="403"/>
      <c r="B3873" s="271"/>
      <c r="C3873" s="271"/>
      <c r="D3873" s="271"/>
      <c r="E3873" s="271"/>
      <c r="F3873" s="271"/>
      <c r="G3873" s="273"/>
      <c r="H3873" s="29" t="str">
        <f t="shared" si="531"/>
        <v/>
      </c>
      <c r="I3873" s="394" t="str">
        <f t="shared" si="532"/>
        <v/>
      </c>
      <c r="J3873" s="273"/>
      <c r="K3873" s="395"/>
      <c r="L3873" s="273"/>
      <c r="M3873" s="394" t="str">
        <f t="shared" si="533"/>
        <v/>
      </c>
      <c r="N3873" s="273"/>
    </row>
    <row r="3874" spans="1:14" ht="12.75" customHeight="1" x14ac:dyDescent="0.2">
      <c r="A3874" s="403"/>
      <c r="B3874" s="271"/>
      <c r="C3874" s="271"/>
      <c r="D3874" s="271"/>
      <c r="E3874" s="271"/>
      <c r="F3874" s="271"/>
      <c r="G3874" s="273"/>
      <c r="H3874" s="29" t="str">
        <f t="shared" si="531"/>
        <v/>
      </c>
      <c r="I3874" s="394" t="str">
        <f t="shared" si="532"/>
        <v/>
      </c>
      <c r="J3874" s="273"/>
      <c r="K3874" s="395"/>
      <c r="L3874" s="273"/>
      <c r="M3874" s="394" t="str">
        <f t="shared" si="533"/>
        <v/>
      </c>
      <c r="N3874" s="273"/>
    </row>
    <row r="3875" spans="1:14" ht="12.75" customHeight="1" x14ac:dyDescent="0.2">
      <c r="A3875" s="403"/>
      <c r="B3875" s="271"/>
      <c r="C3875" s="271"/>
      <c r="D3875" s="271"/>
      <c r="E3875" s="271"/>
      <c r="F3875" s="271"/>
      <c r="G3875" s="273"/>
      <c r="H3875" s="29" t="str">
        <f t="shared" si="531"/>
        <v/>
      </c>
      <c r="I3875" s="394" t="str">
        <f t="shared" si="532"/>
        <v/>
      </c>
      <c r="J3875" s="273"/>
      <c r="K3875" s="395"/>
      <c r="L3875" s="273"/>
      <c r="M3875" s="394" t="str">
        <f t="shared" si="533"/>
        <v/>
      </c>
      <c r="N3875" s="273"/>
    </row>
    <row r="3876" spans="1:14" ht="12.75" customHeight="1" x14ac:dyDescent="0.2">
      <c r="A3876" s="403"/>
      <c r="B3876" s="271"/>
      <c r="C3876" s="271"/>
      <c r="D3876" s="271"/>
      <c r="E3876" s="271"/>
      <c r="F3876" s="271"/>
      <c r="G3876" s="273"/>
      <c r="H3876" s="29" t="str">
        <f t="shared" si="531"/>
        <v/>
      </c>
      <c r="I3876" s="394" t="str">
        <f t="shared" si="532"/>
        <v/>
      </c>
      <c r="J3876" s="273"/>
      <c r="K3876" s="395"/>
      <c r="L3876" s="273"/>
      <c r="M3876" s="394" t="str">
        <f t="shared" si="533"/>
        <v/>
      </c>
      <c r="N3876" s="273"/>
    </row>
    <row r="3877" spans="1:14" ht="12.75" customHeight="1" x14ac:dyDescent="0.25">
      <c r="A3877" s="4"/>
      <c r="B3877" s="4"/>
      <c r="C3877" s="4"/>
      <c r="D3877" s="4"/>
      <c r="E3877" s="4"/>
      <c r="F3877" s="4"/>
      <c r="G3877" s="4"/>
      <c r="H3877" s="4"/>
      <c r="I3877" s="4"/>
      <c r="J3877" s="4"/>
      <c r="K3877" s="396" t="s">
        <v>444</v>
      </c>
      <c r="L3877" s="273"/>
      <c r="M3877" s="394">
        <f>SUM(M3871:N3876)</f>
        <v>504000</v>
      </c>
      <c r="N3877" s="273"/>
    </row>
    <row r="3878" spans="1:14" ht="12.75" customHeight="1" x14ac:dyDescent="0.25">
      <c r="A3878" s="4"/>
      <c r="B3878" s="4"/>
      <c r="C3878" s="4"/>
      <c r="D3878" s="4"/>
      <c r="E3878" s="4"/>
      <c r="F3878" s="4"/>
      <c r="G3878" s="4"/>
      <c r="H3878" s="4"/>
      <c r="I3878" s="4"/>
      <c r="J3878" s="4"/>
      <c r="K3878" s="4"/>
      <c r="L3878" s="4"/>
      <c r="M3878" s="4"/>
      <c r="N3878" s="4"/>
    </row>
    <row r="3879" spans="1:14" ht="12.75" customHeight="1" x14ac:dyDescent="0.2">
      <c r="A3879" s="398" t="s">
        <v>926</v>
      </c>
      <c r="B3879" s="271"/>
      <c r="C3879" s="271"/>
      <c r="D3879" s="271"/>
      <c r="E3879" s="271"/>
      <c r="F3879" s="271"/>
      <c r="G3879" s="271"/>
      <c r="H3879" s="271"/>
      <c r="I3879" s="271"/>
      <c r="J3879" s="271"/>
      <c r="K3879" s="271"/>
      <c r="L3879" s="271"/>
      <c r="M3879" s="271"/>
      <c r="N3879" s="273"/>
    </row>
    <row r="3880" spans="1:14" ht="12.75" customHeight="1" x14ac:dyDescent="0.2">
      <c r="A3880" s="396" t="s">
        <v>76</v>
      </c>
      <c r="B3880" s="271"/>
      <c r="C3880" s="271"/>
      <c r="D3880" s="271"/>
      <c r="E3880" s="271"/>
      <c r="F3880" s="271"/>
      <c r="G3880" s="273"/>
      <c r="H3880" s="88" t="s">
        <v>77</v>
      </c>
      <c r="I3880" s="399" t="s">
        <v>920</v>
      </c>
      <c r="J3880" s="273"/>
      <c r="K3880" s="399" t="s">
        <v>453</v>
      </c>
      <c r="L3880" s="273"/>
      <c r="M3880" s="399" t="s">
        <v>921</v>
      </c>
      <c r="N3880" s="273"/>
    </row>
    <row r="3881" spans="1:14" ht="12.75" customHeight="1" x14ac:dyDescent="0.2">
      <c r="A3881" s="400" t="s">
        <v>927</v>
      </c>
      <c r="B3881" s="271"/>
      <c r="C3881" s="271"/>
      <c r="D3881" s="271"/>
      <c r="E3881" s="271"/>
      <c r="F3881" s="271"/>
      <c r="G3881" s="273"/>
      <c r="H3881" s="29" t="str">
        <f>IF(A3881="","",VLOOKUP(A3881,AA_Equipos,7,FALSE))</f>
        <v>% M.O.</v>
      </c>
      <c r="I3881" s="394">
        <f>+M3904</f>
        <v>98750.76</v>
      </c>
      <c r="J3881" s="273"/>
      <c r="K3881" s="404">
        <v>0.05</v>
      </c>
      <c r="L3881" s="273"/>
      <c r="M3881" s="394">
        <f t="shared" ref="M3881:M3885" si="534">IF(A3881="","",I3881*K3881)</f>
        <v>4937.5380000000005</v>
      </c>
      <c r="N3881" s="273"/>
    </row>
    <row r="3882" spans="1:14" ht="12.75" customHeight="1" x14ac:dyDescent="0.2">
      <c r="A3882" s="403"/>
      <c r="B3882" s="271"/>
      <c r="C3882" s="271"/>
      <c r="D3882" s="271"/>
      <c r="E3882" s="271"/>
      <c r="F3882" s="271"/>
      <c r="G3882" s="273"/>
      <c r="H3882" s="29" t="str">
        <f>IF(A3882="","",VLOOKUP(A3882,AA_Equipos,7,FALSE))</f>
        <v/>
      </c>
      <c r="I3882" s="394" t="str">
        <f>IF(A3882="","",VLOOKUP(A3882,AA_Equipos,8,FALSE))</f>
        <v/>
      </c>
      <c r="J3882" s="273"/>
      <c r="K3882" s="402"/>
      <c r="L3882" s="273"/>
      <c r="M3882" s="394" t="str">
        <f t="shared" si="534"/>
        <v/>
      </c>
      <c r="N3882" s="273"/>
    </row>
    <row r="3883" spans="1:14" ht="12.75" customHeight="1" x14ac:dyDescent="0.2">
      <c r="A3883" s="400"/>
      <c r="B3883" s="271"/>
      <c r="C3883" s="271"/>
      <c r="D3883" s="271"/>
      <c r="E3883" s="271"/>
      <c r="F3883" s="271"/>
      <c r="G3883" s="273"/>
      <c r="H3883" s="29" t="str">
        <f>IF(A3883="","",VLOOKUP(A3883,AA_Equipos,7,FALSE))</f>
        <v/>
      </c>
      <c r="I3883" s="394" t="str">
        <f>IF(A3883="","",VLOOKUP(A3883,AA_Equipos,8,FALSE))</f>
        <v/>
      </c>
      <c r="J3883" s="273"/>
      <c r="K3883" s="401"/>
      <c r="L3883" s="273"/>
      <c r="M3883" s="394" t="str">
        <f t="shared" si="534"/>
        <v/>
      </c>
      <c r="N3883" s="273"/>
    </row>
    <row r="3884" spans="1:14" ht="12.75" customHeight="1" x14ac:dyDescent="0.2">
      <c r="A3884" s="400"/>
      <c r="B3884" s="271"/>
      <c r="C3884" s="271"/>
      <c r="D3884" s="271"/>
      <c r="E3884" s="271"/>
      <c r="F3884" s="271"/>
      <c r="G3884" s="273"/>
      <c r="H3884" s="29" t="str">
        <f>IF(A3884="","",VLOOKUP(A3884,AA_Equipos,7,FALSE))</f>
        <v/>
      </c>
      <c r="I3884" s="394" t="str">
        <f>IF(A3884="","",VLOOKUP(A3884,AA_Equipos,8,FALSE))</f>
        <v/>
      </c>
      <c r="J3884" s="273"/>
      <c r="K3884" s="395"/>
      <c r="L3884" s="273"/>
      <c r="M3884" s="394" t="str">
        <f t="shared" si="534"/>
        <v/>
      </c>
      <c r="N3884" s="273"/>
    </row>
    <row r="3885" spans="1:14" ht="12.75" customHeight="1" x14ac:dyDescent="0.2">
      <c r="A3885" s="400"/>
      <c r="B3885" s="271"/>
      <c r="C3885" s="271"/>
      <c r="D3885" s="271"/>
      <c r="E3885" s="271"/>
      <c r="F3885" s="271"/>
      <c r="G3885" s="273"/>
      <c r="H3885" s="29" t="str">
        <f>IF(A3885="","",VLOOKUP(A3885,AA_Equipos,7,FALSE))</f>
        <v/>
      </c>
      <c r="I3885" s="394" t="str">
        <f>IF(A3885="","",VLOOKUP(A3885,AA_Equipos,8,FALSE))</f>
        <v/>
      </c>
      <c r="J3885" s="273"/>
      <c r="K3885" s="395"/>
      <c r="L3885" s="273"/>
      <c r="M3885" s="394" t="str">
        <f t="shared" si="534"/>
        <v/>
      </c>
      <c r="N3885" s="273"/>
    </row>
    <row r="3886" spans="1:14" ht="12.75" customHeight="1" x14ac:dyDescent="0.25">
      <c r="A3886" s="4"/>
      <c r="B3886" s="4"/>
      <c r="C3886" s="4"/>
      <c r="D3886" s="4"/>
      <c r="E3886" s="4"/>
      <c r="F3886" s="4"/>
      <c r="G3886" s="4"/>
      <c r="H3886" s="4"/>
      <c r="I3886" s="4"/>
      <c r="J3886" s="4"/>
      <c r="K3886" s="396" t="s">
        <v>444</v>
      </c>
      <c r="L3886" s="273"/>
      <c r="M3886" s="394">
        <f>SUM(M3881:N3885)</f>
        <v>4937.5380000000005</v>
      </c>
      <c r="N3886" s="273"/>
    </row>
    <row r="3887" spans="1:14" ht="12.75" customHeight="1" x14ac:dyDescent="0.25">
      <c r="A3887" s="4"/>
      <c r="B3887" s="4"/>
      <c r="C3887" s="4"/>
      <c r="D3887" s="4"/>
      <c r="E3887" s="4"/>
      <c r="F3887" s="4"/>
      <c r="G3887" s="4"/>
      <c r="H3887" s="4"/>
      <c r="I3887" s="4"/>
      <c r="J3887" s="4"/>
      <c r="K3887" s="4"/>
      <c r="L3887" s="4"/>
      <c r="M3887" s="4"/>
      <c r="N3887" s="4"/>
    </row>
    <row r="3888" spans="1:14" ht="12.75" customHeight="1" x14ac:dyDescent="0.2">
      <c r="A3888" s="398" t="s">
        <v>929</v>
      </c>
      <c r="B3888" s="271"/>
      <c r="C3888" s="271"/>
      <c r="D3888" s="271"/>
      <c r="E3888" s="271"/>
      <c r="F3888" s="271"/>
      <c r="G3888" s="271"/>
      <c r="H3888" s="271"/>
      <c r="I3888" s="271"/>
      <c r="J3888" s="271"/>
      <c r="K3888" s="271"/>
      <c r="L3888" s="271"/>
      <c r="M3888" s="271"/>
      <c r="N3888" s="273"/>
    </row>
    <row r="3889" spans="1:14" ht="12.75" customHeight="1" x14ac:dyDescent="0.2">
      <c r="A3889" s="396" t="s">
        <v>76</v>
      </c>
      <c r="B3889" s="271"/>
      <c r="C3889" s="271"/>
      <c r="D3889" s="271"/>
      <c r="E3889" s="271"/>
      <c r="F3889" s="271"/>
      <c r="G3889" s="273"/>
      <c r="H3889" s="88" t="s">
        <v>77</v>
      </c>
      <c r="I3889" s="399" t="s">
        <v>920</v>
      </c>
      <c r="J3889" s="273"/>
      <c r="K3889" s="399" t="s">
        <v>453</v>
      </c>
      <c r="L3889" s="273"/>
      <c r="M3889" s="399" t="s">
        <v>921</v>
      </c>
      <c r="N3889" s="273"/>
    </row>
    <row r="3890" spans="1:14" ht="12.75" customHeight="1" x14ac:dyDescent="0.2">
      <c r="A3890" s="400" t="s">
        <v>966</v>
      </c>
      <c r="B3890" s="271"/>
      <c r="C3890" s="271"/>
      <c r="D3890" s="271"/>
      <c r="E3890" s="271"/>
      <c r="F3890" s="271"/>
      <c r="G3890" s="273"/>
      <c r="H3890" s="29" t="s">
        <v>950</v>
      </c>
      <c r="I3890" s="394">
        <f>+M3877</f>
        <v>504000</v>
      </c>
      <c r="J3890" s="273"/>
      <c r="K3890" s="404">
        <v>0.05</v>
      </c>
      <c r="L3890" s="273"/>
      <c r="M3890" s="394">
        <f t="shared" ref="M3890:M3894" si="535">IF(A3890="","",I3890*K3890)</f>
        <v>25200</v>
      </c>
      <c r="N3890" s="273"/>
    </row>
    <row r="3891" spans="1:14" ht="12.75" customHeight="1" x14ac:dyDescent="0.2">
      <c r="A3891" s="403" t="s">
        <v>3174</v>
      </c>
      <c r="B3891" s="271"/>
      <c r="C3891" s="271"/>
      <c r="D3891" s="271"/>
      <c r="E3891" s="271"/>
      <c r="F3891" s="271"/>
      <c r="G3891" s="273"/>
      <c r="H3891" s="29" t="s">
        <v>24</v>
      </c>
      <c r="I3891" s="394">
        <f>+M3886</f>
        <v>4937.5380000000005</v>
      </c>
      <c r="J3891" s="273"/>
      <c r="K3891" s="404">
        <v>0.05</v>
      </c>
      <c r="L3891" s="273"/>
      <c r="M3891" s="394">
        <f t="shared" si="535"/>
        <v>246.87690000000003</v>
      </c>
      <c r="N3891" s="273"/>
    </row>
    <row r="3892" spans="1:14" ht="12.75" customHeight="1" x14ac:dyDescent="0.2">
      <c r="A3892" s="400"/>
      <c r="B3892" s="271"/>
      <c r="C3892" s="271"/>
      <c r="D3892" s="271"/>
      <c r="E3892" s="271"/>
      <c r="F3892" s="271"/>
      <c r="G3892" s="273"/>
      <c r="H3892" s="29"/>
      <c r="I3892" s="394"/>
      <c r="J3892" s="273"/>
      <c r="K3892" s="395"/>
      <c r="L3892" s="273"/>
      <c r="M3892" s="394" t="str">
        <f t="shared" si="535"/>
        <v/>
      </c>
      <c r="N3892" s="273"/>
    </row>
    <row r="3893" spans="1:14" ht="12.75" customHeight="1" x14ac:dyDescent="0.2">
      <c r="A3893" s="400"/>
      <c r="B3893" s="271"/>
      <c r="C3893" s="271"/>
      <c r="D3893" s="271"/>
      <c r="E3893" s="271"/>
      <c r="F3893" s="271"/>
      <c r="G3893" s="273"/>
      <c r="H3893" s="29"/>
      <c r="I3893" s="394"/>
      <c r="J3893" s="273"/>
      <c r="K3893" s="395"/>
      <c r="L3893" s="273"/>
      <c r="M3893" s="394" t="str">
        <f t="shared" si="535"/>
        <v/>
      </c>
      <c r="N3893" s="273"/>
    </row>
    <row r="3894" spans="1:14" ht="12.75" customHeight="1" x14ac:dyDescent="0.2">
      <c r="A3894" s="400"/>
      <c r="B3894" s="271"/>
      <c r="C3894" s="271"/>
      <c r="D3894" s="271"/>
      <c r="E3894" s="271"/>
      <c r="F3894" s="271"/>
      <c r="G3894" s="273"/>
      <c r="H3894" s="29"/>
      <c r="I3894" s="394"/>
      <c r="J3894" s="273"/>
      <c r="K3894" s="395"/>
      <c r="L3894" s="273"/>
      <c r="M3894" s="394" t="str">
        <f t="shared" si="535"/>
        <v/>
      </c>
      <c r="N3894" s="273"/>
    </row>
    <row r="3895" spans="1:14" ht="12.75" customHeight="1" x14ac:dyDescent="0.25">
      <c r="A3895" s="4"/>
      <c r="B3895" s="4"/>
      <c r="C3895" s="4"/>
      <c r="D3895" s="4"/>
      <c r="E3895" s="4"/>
      <c r="F3895" s="4"/>
      <c r="G3895" s="4"/>
      <c r="H3895" s="4"/>
      <c r="I3895" s="4"/>
      <c r="J3895" s="4"/>
      <c r="K3895" s="396" t="s">
        <v>444</v>
      </c>
      <c r="L3895" s="273"/>
      <c r="M3895" s="394">
        <f>SUM(M3890:N3894)</f>
        <v>25446.876899999999</v>
      </c>
      <c r="N3895" s="273"/>
    </row>
    <row r="3896" spans="1:14" ht="12.75" customHeight="1" x14ac:dyDescent="0.25">
      <c r="A3896" s="4"/>
      <c r="B3896" s="4"/>
      <c r="C3896" s="4"/>
      <c r="D3896" s="4"/>
      <c r="E3896" s="4"/>
      <c r="F3896" s="4"/>
      <c r="G3896" s="4"/>
      <c r="H3896" s="4"/>
      <c r="I3896" s="4"/>
      <c r="J3896" s="4"/>
      <c r="K3896" s="4"/>
      <c r="L3896" s="4"/>
      <c r="M3896" s="4"/>
      <c r="N3896" s="4"/>
    </row>
    <row r="3897" spans="1:14" ht="12.75" customHeight="1" x14ac:dyDescent="0.2">
      <c r="A3897" s="398" t="s">
        <v>931</v>
      </c>
      <c r="B3897" s="271"/>
      <c r="C3897" s="271"/>
      <c r="D3897" s="271"/>
      <c r="E3897" s="271"/>
      <c r="F3897" s="271"/>
      <c r="G3897" s="271"/>
      <c r="H3897" s="271"/>
      <c r="I3897" s="271"/>
      <c r="J3897" s="271"/>
      <c r="K3897" s="271"/>
      <c r="L3897" s="271"/>
      <c r="M3897" s="271"/>
      <c r="N3897" s="273"/>
    </row>
    <row r="3898" spans="1:14" ht="12.75" customHeight="1" x14ac:dyDescent="0.2">
      <c r="A3898" s="396" t="s">
        <v>76</v>
      </c>
      <c r="B3898" s="271"/>
      <c r="C3898" s="271"/>
      <c r="D3898" s="271"/>
      <c r="E3898" s="271"/>
      <c r="F3898" s="271"/>
      <c r="G3898" s="273"/>
      <c r="H3898" s="88" t="s">
        <v>77</v>
      </c>
      <c r="I3898" s="399" t="s">
        <v>920</v>
      </c>
      <c r="J3898" s="273"/>
      <c r="K3898" s="90" t="s">
        <v>514</v>
      </c>
      <c r="L3898" s="91" t="s">
        <v>932</v>
      </c>
      <c r="M3898" s="399" t="s">
        <v>921</v>
      </c>
      <c r="N3898" s="273"/>
    </row>
    <row r="3899" spans="1:14" ht="12.75" customHeight="1" x14ac:dyDescent="0.25">
      <c r="A3899" s="393" t="s">
        <v>1112</v>
      </c>
      <c r="B3899" s="271"/>
      <c r="C3899" s="271"/>
      <c r="D3899" s="271"/>
      <c r="E3899" s="271"/>
      <c r="F3899" s="271"/>
      <c r="G3899" s="273"/>
      <c r="H3899" s="29" t="str">
        <f>IF(A3899="","",VLOOKUP(A3899,AA_Cuadrillas,4,FALSE))</f>
        <v>Cuadrilla</v>
      </c>
      <c r="I3899" s="394">
        <f>IF(A3899="","",VLOOKUP(A3899,AA_Cuadrillas,5,FALSE))</f>
        <v>210108</v>
      </c>
      <c r="J3899" s="273"/>
      <c r="K3899" s="9">
        <f>IF(A3899="","",F.P!$I$2)</f>
        <v>1.88</v>
      </c>
      <c r="L3899" s="97">
        <v>0.25</v>
      </c>
      <c r="M3899" s="394">
        <f t="shared" ref="M3899:M3903" si="536">IF(A3899="","",I3899*K3899*L3899)</f>
        <v>98750.76</v>
      </c>
      <c r="N3899" s="273"/>
    </row>
    <row r="3900" spans="1:14" ht="12.75" customHeight="1" x14ac:dyDescent="0.25">
      <c r="A3900" s="393"/>
      <c r="B3900" s="271"/>
      <c r="C3900" s="271"/>
      <c r="D3900" s="271"/>
      <c r="E3900" s="271"/>
      <c r="F3900" s="271"/>
      <c r="G3900" s="273"/>
      <c r="H3900" s="29" t="str">
        <f>IF(A3900="","",VLOOKUP(A3900,AA_Cuadrillas,4,FALSE))</f>
        <v/>
      </c>
      <c r="I3900" s="394" t="str">
        <f>IF(A3900="","",VLOOKUP(A3900,AA_Cuadrillas,5,FALSE))</f>
        <v/>
      </c>
      <c r="J3900" s="273"/>
      <c r="K3900" s="9" t="str">
        <f>IF(A3900="","",F.P!$I$2)</f>
        <v/>
      </c>
      <c r="L3900" s="9"/>
      <c r="M3900" s="394" t="str">
        <f t="shared" si="536"/>
        <v/>
      </c>
      <c r="N3900" s="273"/>
    </row>
    <row r="3901" spans="1:14" ht="12.75" customHeight="1" x14ac:dyDescent="0.25">
      <c r="A3901" s="393"/>
      <c r="B3901" s="271"/>
      <c r="C3901" s="271"/>
      <c r="D3901" s="271"/>
      <c r="E3901" s="271"/>
      <c r="F3901" s="271"/>
      <c r="G3901" s="273"/>
      <c r="H3901" s="29" t="str">
        <f>IF(A3901="","",VLOOKUP(A3901,AA_Cuadrillas,4,FALSE))</f>
        <v/>
      </c>
      <c r="I3901" s="394" t="str">
        <f>IF(A3901="","",VLOOKUP(A3901,AA_Cuadrillas,5,FALSE))</f>
        <v/>
      </c>
      <c r="J3901" s="273"/>
      <c r="K3901" s="9" t="str">
        <f>IF(A3901="","",F.P!$I$2)</f>
        <v/>
      </c>
      <c r="L3901" s="37"/>
      <c r="M3901" s="394" t="str">
        <f t="shared" si="536"/>
        <v/>
      </c>
      <c r="N3901" s="273"/>
    </row>
    <row r="3902" spans="1:14" ht="12.75" customHeight="1" x14ac:dyDescent="0.25">
      <c r="A3902" s="393"/>
      <c r="B3902" s="271"/>
      <c r="C3902" s="271"/>
      <c r="D3902" s="271"/>
      <c r="E3902" s="271"/>
      <c r="F3902" s="271"/>
      <c r="G3902" s="273"/>
      <c r="H3902" s="29" t="str">
        <f>IF(A3902="","",VLOOKUP(A3902,AA_Cuadrillas,4,FALSE))</f>
        <v/>
      </c>
      <c r="I3902" s="394" t="str">
        <f>IF(A3902="","",VLOOKUP(A3902,AA_Cuadrillas,5,FALSE))</f>
        <v/>
      </c>
      <c r="J3902" s="273"/>
      <c r="K3902" s="9" t="str">
        <f>IF(A3902="","",F.P!$I$2)</f>
        <v/>
      </c>
      <c r="L3902" s="37"/>
      <c r="M3902" s="394" t="str">
        <f t="shared" si="536"/>
        <v/>
      </c>
      <c r="N3902" s="273"/>
    </row>
    <row r="3903" spans="1:14" ht="12.75" customHeight="1" x14ac:dyDescent="0.25">
      <c r="A3903" s="393"/>
      <c r="B3903" s="271"/>
      <c r="C3903" s="271"/>
      <c r="D3903" s="271"/>
      <c r="E3903" s="271"/>
      <c r="F3903" s="271"/>
      <c r="G3903" s="273"/>
      <c r="H3903" s="29" t="str">
        <f>IF(A3903="","",VLOOKUP(A3903,AA_Cuadrillas,4,FALSE))</f>
        <v/>
      </c>
      <c r="I3903" s="394" t="str">
        <f>IF(A3903="","",VLOOKUP(A3903,AA_Cuadrillas,5,FALSE))</f>
        <v/>
      </c>
      <c r="J3903" s="273"/>
      <c r="K3903" s="9" t="str">
        <f>IF(A3903="","",F.P!$I$2)</f>
        <v/>
      </c>
      <c r="L3903" s="37"/>
      <c r="M3903" s="394" t="str">
        <f t="shared" si="536"/>
        <v/>
      </c>
      <c r="N3903" s="273"/>
    </row>
    <row r="3904" spans="1:14" ht="12.75" customHeight="1" x14ac:dyDescent="0.25">
      <c r="A3904" s="4"/>
      <c r="B3904" s="4"/>
      <c r="C3904" s="4"/>
      <c r="D3904" s="4"/>
      <c r="E3904" s="4"/>
      <c r="F3904" s="4"/>
      <c r="G3904" s="4"/>
      <c r="H3904" s="4"/>
      <c r="I3904" s="4"/>
      <c r="J3904" s="4"/>
      <c r="K3904" s="396" t="s">
        <v>444</v>
      </c>
      <c r="L3904" s="273"/>
      <c r="M3904" s="394">
        <f>SUM(M3899:N3903)</f>
        <v>98750.76</v>
      </c>
      <c r="N3904" s="273"/>
    </row>
    <row r="3905" spans="1:15" ht="12.75" customHeight="1" x14ac:dyDescent="0.2"/>
    <row r="3906" spans="1:15" ht="12.75" customHeight="1" x14ac:dyDescent="0.2">
      <c r="A3906" s="407" t="s">
        <v>1153</v>
      </c>
      <c r="B3906" s="275"/>
      <c r="C3906" s="275"/>
      <c r="D3906" s="275"/>
      <c r="E3906" s="275"/>
      <c r="F3906" s="275"/>
      <c r="G3906" s="275"/>
      <c r="H3906" s="275"/>
      <c r="I3906" s="275"/>
      <c r="J3906" s="275"/>
      <c r="K3906" s="275"/>
      <c r="L3906" s="275"/>
      <c r="M3906" s="275"/>
      <c r="N3906" s="276"/>
      <c r="O3906" s="166"/>
    </row>
    <row r="3907" spans="1:15" ht="12.75" customHeight="1" x14ac:dyDescent="0.2">
      <c r="A3907" s="277"/>
      <c r="B3907" s="278"/>
      <c r="C3907" s="278"/>
      <c r="D3907" s="278"/>
      <c r="E3907" s="278"/>
      <c r="F3907" s="278"/>
      <c r="G3907" s="278"/>
      <c r="H3907" s="278"/>
      <c r="I3907" s="278"/>
      <c r="J3907" s="278"/>
      <c r="K3907" s="278"/>
      <c r="L3907" s="278"/>
      <c r="M3907" s="278"/>
      <c r="N3907" s="279"/>
      <c r="O3907" s="166"/>
    </row>
    <row r="3908" spans="1:15" ht="12.75" customHeight="1" x14ac:dyDescent="0.2">
      <c r="A3908" s="75"/>
      <c r="B3908" s="75"/>
      <c r="C3908" s="75"/>
      <c r="D3908" s="75"/>
      <c r="E3908" s="75"/>
      <c r="F3908" s="75"/>
      <c r="G3908" s="75"/>
      <c r="H3908" s="75"/>
      <c r="I3908" s="75"/>
      <c r="J3908" s="75"/>
      <c r="K3908" s="75"/>
      <c r="L3908" s="75"/>
      <c r="M3908" s="75"/>
      <c r="N3908" s="75"/>
    </row>
    <row r="3909" spans="1:15" ht="12.75" customHeight="1" x14ac:dyDescent="0.3">
      <c r="A3909" s="79" t="s">
        <v>705</v>
      </c>
      <c r="B3909" s="80" t="str">
        <f>A3906</f>
        <v>SUMINISTRO E INSTALACIÓN DE UNIÓN DE DESMONTAJE Ø4" EN HIERRO DUCTIL</v>
      </c>
      <c r="C3909" s="81" t="s">
        <v>916</v>
      </c>
      <c r="D3909" s="82" t="s">
        <v>999</v>
      </c>
      <c r="E3909" s="83" t="s">
        <v>445</v>
      </c>
      <c r="F3909" s="240">
        <f>H3909+J3909+L3909+N3909</f>
        <v>825285.17489999998</v>
      </c>
      <c r="G3909" s="83" t="s">
        <v>607</v>
      </c>
      <c r="H3909" s="86">
        <f>M3919</f>
        <v>687000</v>
      </c>
      <c r="I3909" s="83" t="s">
        <v>918</v>
      </c>
      <c r="J3909" s="86">
        <f>M3928</f>
        <v>4937.5380000000005</v>
      </c>
      <c r="K3909" s="83" t="s">
        <v>609</v>
      </c>
      <c r="L3909" s="86">
        <f>M3937</f>
        <v>34596.876900000003</v>
      </c>
      <c r="M3909" s="83" t="s">
        <v>610</v>
      </c>
      <c r="N3909" s="86">
        <f>M3946</f>
        <v>98750.76</v>
      </c>
      <c r="O3909" t="s">
        <v>3222</v>
      </c>
    </row>
    <row r="3910" spans="1:15" ht="12.75" customHeight="1" x14ac:dyDescent="0.25">
      <c r="A3910" s="87"/>
      <c r="B3910" s="87"/>
      <c r="C3910" s="87"/>
      <c r="D3910" s="87"/>
      <c r="E3910" s="87"/>
      <c r="F3910" s="87"/>
      <c r="G3910" s="87"/>
      <c r="J3910" s="87"/>
      <c r="K3910" s="215" t="s">
        <v>3217</v>
      </c>
      <c r="L3910" s="215">
        <f>+F3909*presup!$O$5</f>
        <v>1072870.72737</v>
      </c>
      <c r="M3910" s="87"/>
      <c r="N3910" s="87"/>
    </row>
    <row r="3911" spans="1:15" ht="12.75" customHeight="1" x14ac:dyDescent="0.2">
      <c r="A3911" s="398" t="s">
        <v>919</v>
      </c>
      <c r="B3911" s="271"/>
      <c r="C3911" s="271"/>
      <c r="D3911" s="271"/>
      <c r="E3911" s="271"/>
      <c r="F3911" s="271"/>
      <c r="G3911" s="271"/>
      <c r="H3911" s="271"/>
      <c r="I3911" s="271"/>
      <c r="J3911" s="271"/>
      <c r="K3911" s="271"/>
      <c r="L3911" s="271"/>
      <c r="M3911" s="271"/>
      <c r="N3911" s="273"/>
    </row>
    <row r="3912" spans="1:15" ht="12.75" customHeight="1" x14ac:dyDescent="0.2">
      <c r="A3912" s="396" t="s">
        <v>76</v>
      </c>
      <c r="B3912" s="271"/>
      <c r="C3912" s="271"/>
      <c r="D3912" s="271"/>
      <c r="E3912" s="271"/>
      <c r="F3912" s="271"/>
      <c r="G3912" s="273"/>
      <c r="H3912" s="88" t="s">
        <v>77</v>
      </c>
      <c r="I3912" s="399" t="s">
        <v>920</v>
      </c>
      <c r="J3912" s="273"/>
      <c r="K3912" s="399" t="s">
        <v>453</v>
      </c>
      <c r="L3912" s="273"/>
      <c r="M3912" s="399" t="s">
        <v>921</v>
      </c>
      <c r="N3912" s="273"/>
    </row>
    <row r="3913" spans="1:15" ht="12.75" customHeight="1" x14ac:dyDescent="0.2">
      <c r="A3913" s="403" t="s">
        <v>1154</v>
      </c>
      <c r="B3913" s="271"/>
      <c r="C3913" s="271"/>
      <c r="D3913" s="271"/>
      <c r="E3913" s="271"/>
      <c r="F3913" s="271"/>
      <c r="G3913" s="273"/>
      <c r="H3913" s="29" t="str">
        <f t="shared" ref="H3913:H3918" si="537">IF(A3913="","",VLOOKUP(A3913,AA_Materiales,7,FALSE))</f>
        <v>Unidad</v>
      </c>
      <c r="I3913" s="394">
        <f t="shared" ref="I3913:I3918" si="538">IF(A3913="","",VLOOKUP(A3913,AA_Materiales,8,FALSE))</f>
        <v>687000</v>
      </c>
      <c r="J3913" s="273"/>
      <c r="K3913" s="395">
        <v>1</v>
      </c>
      <c r="L3913" s="273"/>
      <c r="M3913" s="394">
        <f t="shared" ref="M3913:M3918" si="539">IF(A3913="","",I3913*K3913)</f>
        <v>687000</v>
      </c>
      <c r="N3913" s="273"/>
    </row>
    <row r="3914" spans="1:15" ht="12.75" customHeight="1" x14ac:dyDescent="0.2">
      <c r="A3914" s="403"/>
      <c r="B3914" s="271"/>
      <c r="C3914" s="271"/>
      <c r="D3914" s="271"/>
      <c r="E3914" s="271"/>
      <c r="F3914" s="271"/>
      <c r="G3914" s="273"/>
      <c r="H3914" s="29" t="str">
        <f t="shared" si="537"/>
        <v/>
      </c>
      <c r="I3914" s="394" t="str">
        <f t="shared" si="538"/>
        <v/>
      </c>
      <c r="J3914" s="273"/>
      <c r="K3914" s="395"/>
      <c r="L3914" s="273"/>
      <c r="M3914" s="394" t="str">
        <f t="shared" si="539"/>
        <v/>
      </c>
      <c r="N3914" s="273"/>
    </row>
    <row r="3915" spans="1:15" ht="12.75" customHeight="1" x14ac:dyDescent="0.2">
      <c r="A3915" s="403"/>
      <c r="B3915" s="271"/>
      <c r="C3915" s="271"/>
      <c r="D3915" s="271"/>
      <c r="E3915" s="271"/>
      <c r="F3915" s="271"/>
      <c r="G3915" s="273"/>
      <c r="H3915" s="29" t="str">
        <f t="shared" si="537"/>
        <v/>
      </c>
      <c r="I3915" s="394" t="str">
        <f t="shared" si="538"/>
        <v/>
      </c>
      <c r="J3915" s="273"/>
      <c r="K3915" s="395"/>
      <c r="L3915" s="273"/>
      <c r="M3915" s="394" t="str">
        <f t="shared" si="539"/>
        <v/>
      </c>
      <c r="N3915" s="273"/>
    </row>
    <row r="3916" spans="1:15" ht="12.75" customHeight="1" x14ac:dyDescent="0.2">
      <c r="A3916" s="403"/>
      <c r="B3916" s="271"/>
      <c r="C3916" s="271"/>
      <c r="D3916" s="271"/>
      <c r="E3916" s="271"/>
      <c r="F3916" s="271"/>
      <c r="G3916" s="273"/>
      <c r="H3916" s="29" t="str">
        <f t="shared" si="537"/>
        <v/>
      </c>
      <c r="I3916" s="394" t="str">
        <f t="shared" si="538"/>
        <v/>
      </c>
      <c r="J3916" s="273"/>
      <c r="K3916" s="395"/>
      <c r="L3916" s="273"/>
      <c r="M3916" s="394" t="str">
        <f t="shared" si="539"/>
        <v/>
      </c>
      <c r="N3916" s="273"/>
    </row>
    <row r="3917" spans="1:15" ht="12.75" customHeight="1" x14ac:dyDescent="0.2">
      <c r="A3917" s="403"/>
      <c r="B3917" s="271"/>
      <c r="C3917" s="271"/>
      <c r="D3917" s="271"/>
      <c r="E3917" s="271"/>
      <c r="F3917" s="271"/>
      <c r="G3917" s="273"/>
      <c r="H3917" s="29" t="str">
        <f t="shared" si="537"/>
        <v/>
      </c>
      <c r="I3917" s="394" t="str">
        <f t="shared" si="538"/>
        <v/>
      </c>
      <c r="J3917" s="273"/>
      <c r="K3917" s="395"/>
      <c r="L3917" s="273"/>
      <c r="M3917" s="394" t="str">
        <f t="shared" si="539"/>
        <v/>
      </c>
      <c r="N3917" s="273"/>
    </row>
    <row r="3918" spans="1:15" ht="12.75" customHeight="1" x14ac:dyDescent="0.2">
      <c r="A3918" s="403"/>
      <c r="B3918" s="271"/>
      <c r="C3918" s="271"/>
      <c r="D3918" s="271"/>
      <c r="E3918" s="271"/>
      <c r="F3918" s="271"/>
      <c r="G3918" s="273"/>
      <c r="H3918" s="29" t="str">
        <f t="shared" si="537"/>
        <v/>
      </c>
      <c r="I3918" s="394" t="str">
        <f t="shared" si="538"/>
        <v/>
      </c>
      <c r="J3918" s="273"/>
      <c r="K3918" s="395"/>
      <c r="L3918" s="273"/>
      <c r="M3918" s="394" t="str">
        <f t="shared" si="539"/>
        <v/>
      </c>
      <c r="N3918" s="273"/>
    </row>
    <row r="3919" spans="1:15" ht="12.75" customHeight="1" x14ac:dyDescent="0.25">
      <c r="A3919" s="4"/>
      <c r="B3919" s="4"/>
      <c r="C3919" s="4"/>
      <c r="D3919" s="4"/>
      <c r="E3919" s="4"/>
      <c r="F3919" s="4"/>
      <c r="G3919" s="4"/>
      <c r="H3919" s="4"/>
      <c r="I3919" s="4"/>
      <c r="J3919" s="4"/>
      <c r="K3919" s="396" t="s">
        <v>444</v>
      </c>
      <c r="L3919" s="273"/>
      <c r="M3919" s="394">
        <f>SUM(M3913:N3918)</f>
        <v>687000</v>
      </c>
      <c r="N3919" s="273"/>
    </row>
    <row r="3920" spans="1:15" ht="12.75" customHeight="1" x14ac:dyDescent="0.25">
      <c r="A3920" s="4"/>
      <c r="B3920" s="4"/>
      <c r="C3920" s="4"/>
      <c r="D3920" s="4"/>
      <c r="E3920" s="4"/>
      <c r="F3920" s="4"/>
      <c r="G3920" s="4"/>
      <c r="H3920" s="4"/>
      <c r="I3920" s="4"/>
      <c r="J3920" s="4"/>
      <c r="K3920" s="4"/>
      <c r="L3920" s="4"/>
      <c r="M3920" s="4"/>
      <c r="N3920" s="4"/>
    </row>
    <row r="3921" spans="1:14" ht="12.75" customHeight="1" x14ac:dyDescent="0.2">
      <c r="A3921" s="398" t="s">
        <v>926</v>
      </c>
      <c r="B3921" s="271"/>
      <c r="C3921" s="271"/>
      <c r="D3921" s="271"/>
      <c r="E3921" s="271"/>
      <c r="F3921" s="271"/>
      <c r="G3921" s="271"/>
      <c r="H3921" s="271"/>
      <c r="I3921" s="271"/>
      <c r="J3921" s="271"/>
      <c r="K3921" s="271"/>
      <c r="L3921" s="271"/>
      <c r="M3921" s="271"/>
      <c r="N3921" s="273"/>
    </row>
    <row r="3922" spans="1:14" ht="12.75" customHeight="1" x14ac:dyDescent="0.2">
      <c r="A3922" s="396" t="s">
        <v>76</v>
      </c>
      <c r="B3922" s="271"/>
      <c r="C3922" s="271"/>
      <c r="D3922" s="271"/>
      <c r="E3922" s="271"/>
      <c r="F3922" s="271"/>
      <c r="G3922" s="273"/>
      <c r="H3922" s="88" t="s">
        <v>77</v>
      </c>
      <c r="I3922" s="399" t="s">
        <v>920</v>
      </c>
      <c r="J3922" s="273"/>
      <c r="K3922" s="399" t="s">
        <v>453</v>
      </c>
      <c r="L3922" s="273"/>
      <c r="M3922" s="399" t="s">
        <v>921</v>
      </c>
      <c r="N3922" s="273"/>
    </row>
    <row r="3923" spans="1:14" ht="12.75" customHeight="1" x14ac:dyDescent="0.2">
      <c r="A3923" s="400" t="s">
        <v>927</v>
      </c>
      <c r="B3923" s="271"/>
      <c r="C3923" s="271"/>
      <c r="D3923" s="271"/>
      <c r="E3923" s="271"/>
      <c r="F3923" s="271"/>
      <c r="G3923" s="273"/>
      <c r="H3923" s="29" t="str">
        <f>IF(A3923="","",VLOOKUP(A3923,AA_Equipos,7,FALSE))</f>
        <v>% M.O.</v>
      </c>
      <c r="I3923" s="394">
        <f>+M3946</f>
        <v>98750.76</v>
      </c>
      <c r="J3923" s="273"/>
      <c r="K3923" s="404">
        <v>0.05</v>
      </c>
      <c r="L3923" s="273"/>
      <c r="M3923" s="394">
        <f t="shared" ref="M3923:M3927" si="540">IF(A3923="","",I3923*K3923)</f>
        <v>4937.5380000000005</v>
      </c>
      <c r="N3923" s="273"/>
    </row>
    <row r="3924" spans="1:14" ht="12.75" customHeight="1" x14ac:dyDescent="0.2">
      <c r="A3924" s="403"/>
      <c r="B3924" s="271"/>
      <c r="C3924" s="271"/>
      <c r="D3924" s="271"/>
      <c r="E3924" s="271"/>
      <c r="F3924" s="271"/>
      <c r="G3924" s="273"/>
      <c r="H3924" s="29" t="str">
        <f>IF(A3924="","",VLOOKUP(A3924,AA_Equipos,7,FALSE))</f>
        <v/>
      </c>
      <c r="I3924" s="394" t="str">
        <f>IF(A3924="","",VLOOKUP(A3924,AA_Equipos,8,FALSE))</f>
        <v/>
      </c>
      <c r="J3924" s="273"/>
      <c r="K3924" s="402"/>
      <c r="L3924" s="273"/>
      <c r="M3924" s="394" t="str">
        <f t="shared" si="540"/>
        <v/>
      </c>
      <c r="N3924" s="273"/>
    </row>
    <row r="3925" spans="1:14" ht="12.75" customHeight="1" x14ac:dyDescent="0.2">
      <c r="A3925" s="400"/>
      <c r="B3925" s="271"/>
      <c r="C3925" s="271"/>
      <c r="D3925" s="271"/>
      <c r="E3925" s="271"/>
      <c r="F3925" s="271"/>
      <c r="G3925" s="273"/>
      <c r="H3925" s="29" t="str">
        <f>IF(A3925="","",VLOOKUP(A3925,AA_Equipos,7,FALSE))</f>
        <v/>
      </c>
      <c r="I3925" s="394" t="str">
        <f>IF(A3925="","",VLOOKUP(A3925,AA_Equipos,8,FALSE))</f>
        <v/>
      </c>
      <c r="J3925" s="273"/>
      <c r="K3925" s="401"/>
      <c r="L3925" s="273"/>
      <c r="M3925" s="394" t="str">
        <f t="shared" si="540"/>
        <v/>
      </c>
      <c r="N3925" s="273"/>
    </row>
    <row r="3926" spans="1:14" ht="12.75" customHeight="1" x14ac:dyDescent="0.2">
      <c r="A3926" s="400"/>
      <c r="B3926" s="271"/>
      <c r="C3926" s="271"/>
      <c r="D3926" s="271"/>
      <c r="E3926" s="271"/>
      <c r="F3926" s="271"/>
      <c r="G3926" s="273"/>
      <c r="H3926" s="29" t="str">
        <f>IF(A3926="","",VLOOKUP(A3926,AA_Equipos,7,FALSE))</f>
        <v/>
      </c>
      <c r="I3926" s="394" t="str">
        <f>IF(A3926="","",VLOOKUP(A3926,AA_Equipos,8,FALSE))</f>
        <v/>
      </c>
      <c r="J3926" s="273"/>
      <c r="K3926" s="395"/>
      <c r="L3926" s="273"/>
      <c r="M3926" s="394" t="str">
        <f t="shared" si="540"/>
        <v/>
      </c>
      <c r="N3926" s="273"/>
    </row>
    <row r="3927" spans="1:14" ht="12.75" customHeight="1" x14ac:dyDescent="0.2">
      <c r="A3927" s="400"/>
      <c r="B3927" s="271"/>
      <c r="C3927" s="271"/>
      <c r="D3927" s="271"/>
      <c r="E3927" s="271"/>
      <c r="F3927" s="271"/>
      <c r="G3927" s="273"/>
      <c r="H3927" s="29" t="str">
        <f>IF(A3927="","",VLOOKUP(A3927,AA_Equipos,7,FALSE))</f>
        <v/>
      </c>
      <c r="I3927" s="394" t="str">
        <f>IF(A3927="","",VLOOKUP(A3927,AA_Equipos,8,FALSE))</f>
        <v/>
      </c>
      <c r="J3927" s="273"/>
      <c r="K3927" s="395"/>
      <c r="L3927" s="273"/>
      <c r="M3927" s="394" t="str">
        <f t="shared" si="540"/>
        <v/>
      </c>
      <c r="N3927" s="273"/>
    </row>
    <row r="3928" spans="1:14" ht="12.75" customHeight="1" x14ac:dyDescent="0.25">
      <c r="A3928" s="4"/>
      <c r="B3928" s="4"/>
      <c r="C3928" s="4"/>
      <c r="D3928" s="4"/>
      <c r="E3928" s="4"/>
      <c r="F3928" s="4"/>
      <c r="G3928" s="4"/>
      <c r="H3928" s="4"/>
      <c r="I3928" s="4"/>
      <c r="J3928" s="4"/>
      <c r="K3928" s="396" t="s">
        <v>444</v>
      </c>
      <c r="L3928" s="273"/>
      <c r="M3928" s="394">
        <f>SUM(M3923:N3927)</f>
        <v>4937.5380000000005</v>
      </c>
      <c r="N3928" s="273"/>
    </row>
    <row r="3929" spans="1:14" ht="12.75" customHeight="1" x14ac:dyDescent="0.25">
      <c r="A3929" s="4"/>
      <c r="B3929" s="4"/>
      <c r="C3929" s="4"/>
      <c r="D3929" s="4"/>
      <c r="E3929" s="4"/>
      <c r="F3929" s="4"/>
      <c r="G3929" s="4"/>
      <c r="H3929" s="4"/>
      <c r="I3929" s="4"/>
      <c r="J3929" s="4"/>
      <c r="K3929" s="4"/>
      <c r="L3929" s="4"/>
      <c r="M3929" s="4"/>
      <c r="N3929" s="4"/>
    </row>
    <row r="3930" spans="1:14" ht="12.75" customHeight="1" x14ac:dyDescent="0.2">
      <c r="A3930" s="398" t="s">
        <v>929</v>
      </c>
      <c r="B3930" s="271"/>
      <c r="C3930" s="271"/>
      <c r="D3930" s="271"/>
      <c r="E3930" s="271"/>
      <c r="F3930" s="271"/>
      <c r="G3930" s="271"/>
      <c r="H3930" s="271"/>
      <c r="I3930" s="271"/>
      <c r="J3930" s="271"/>
      <c r="K3930" s="271"/>
      <c r="L3930" s="271"/>
      <c r="M3930" s="271"/>
      <c r="N3930" s="273"/>
    </row>
    <row r="3931" spans="1:14" ht="12.75" customHeight="1" x14ac:dyDescent="0.2">
      <c r="A3931" s="396" t="s">
        <v>76</v>
      </c>
      <c r="B3931" s="271"/>
      <c r="C3931" s="271"/>
      <c r="D3931" s="271"/>
      <c r="E3931" s="271"/>
      <c r="F3931" s="271"/>
      <c r="G3931" s="273"/>
      <c r="H3931" s="88" t="s">
        <v>77</v>
      </c>
      <c r="I3931" s="399" t="s">
        <v>920</v>
      </c>
      <c r="J3931" s="273"/>
      <c r="K3931" s="399" t="s">
        <v>453</v>
      </c>
      <c r="L3931" s="273"/>
      <c r="M3931" s="399" t="s">
        <v>921</v>
      </c>
      <c r="N3931" s="273"/>
    </row>
    <row r="3932" spans="1:14" ht="12.75" customHeight="1" x14ac:dyDescent="0.2">
      <c r="A3932" s="400" t="s">
        <v>966</v>
      </c>
      <c r="B3932" s="271"/>
      <c r="C3932" s="271"/>
      <c r="D3932" s="271"/>
      <c r="E3932" s="271"/>
      <c r="F3932" s="271"/>
      <c r="G3932" s="273"/>
      <c r="H3932" s="29" t="s">
        <v>950</v>
      </c>
      <c r="I3932" s="394">
        <f>+M3919</f>
        <v>687000</v>
      </c>
      <c r="J3932" s="273"/>
      <c r="K3932" s="404">
        <v>0.05</v>
      </c>
      <c r="L3932" s="273"/>
      <c r="M3932" s="394">
        <f t="shared" ref="M3932:M3936" si="541">IF(A3932="","",I3932*K3932)</f>
        <v>34350</v>
      </c>
      <c r="N3932" s="273"/>
    </row>
    <row r="3933" spans="1:14" ht="12.75" customHeight="1" x14ac:dyDescent="0.2">
      <c r="A3933" s="403" t="s">
        <v>3174</v>
      </c>
      <c r="B3933" s="271"/>
      <c r="C3933" s="271"/>
      <c r="D3933" s="271"/>
      <c r="E3933" s="271"/>
      <c r="F3933" s="271"/>
      <c r="G3933" s="273"/>
      <c r="H3933" s="29" t="s">
        <v>24</v>
      </c>
      <c r="I3933" s="394">
        <f>+M3928</f>
        <v>4937.5380000000005</v>
      </c>
      <c r="J3933" s="273"/>
      <c r="K3933" s="404">
        <v>0.05</v>
      </c>
      <c r="L3933" s="273"/>
      <c r="M3933" s="394">
        <f t="shared" si="541"/>
        <v>246.87690000000003</v>
      </c>
      <c r="N3933" s="273"/>
    </row>
    <row r="3934" spans="1:14" ht="12.75" customHeight="1" x14ac:dyDescent="0.2">
      <c r="A3934" s="400"/>
      <c r="B3934" s="271"/>
      <c r="C3934" s="271"/>
      <c r="D3934" s="271"/>
      <c r="E3934" s="271"/>
      <c r="F3934" s="271"/>
      <c r="G3934" s="273"/>
      <c r="H3934" s="29"/>
      <c r="I3934" s="394"/>
      <c r="J3934" s="273"/>
      <c r="K3934" s="395"/>
      <c r="L3934" s="273"/>
      <c r="M3934" s="394" t="str">
        <f t="shared" si="541"/>
        <v/>
      </c>
      <c r="N3934" s="273"/>
    </row>
    <row r="3935" spans="1:14" ht="12.75" customHeight="1" x14ac:dyDescent="0.2">
      <c r="A3935" s="400"/>
      <c r="B3935" s="271"/>
      <c r="C3935" s="271"/>
      <c r="D3935" s="271"/>
      <c r="E3935" s="271"/>
      <c r="F3935" s="271"/>
      <c r="G3935" s="273"/>
      <c r="H3935" s="29"/>
      <c r="I3935" s="394"/>
      <c r="J3935" s="273"/>
      <c r="K3935" s="395"/>
      <c r="L3935" s="273"/>
      <c r="M3935" s="394" t="str">
        <f t="shared" si="541"/>
        <v/>
      </c>
      <c r="N3935" s="273"/>
    </row>
    <row r="3936" spans="1:14" ht="12.75" customHeight="1" x14ac:dyDescent="0.2">
      <c r="A3936" s="400"/>
      <c r="B3936" s="271"/>
      <c r="C3936" s="271"/>
      <c r="D3936" s="271"/>
      <c r="E3936" s="271"/>
      <c r="F3936" s="271"/>
      <c r="G3936" s="273"/>
      <c r="H3936" s="29"/>
      <c r="I3936" s="394"/>
      <c r="J3936" s="273"/>
      <c r="K3936" s="395"/>
      <c r="L3936" s="273"/>
      <c r="M3936" s="394" t="str">
        <f t="shared" si="541"/>
        <v/>
      </c>
      <c r="N3936" s="273"/>
    </row>
    <row r="3937" spans="1:15" ht="12.75" customHeight="1" x14ac:dyDescent="0.25">
      <c r="A3937" s="4"/>
      <c r="B3937" s="4"/>
      <c r="C3937" s="4"/>
      <c r="D3937" s="4"/>
      <c r="E3937" s="4"/>
      <c r="F3937" s="4"/>
      <c r="G3937" s="4"/>
      <c r="H3937" s="4"/>
      <c r="I3937" s="4"/>
      <c r="J3937" s="4"/>
      <c r="K3937" s="396" t="s">
        <v>444</v>
      </c>
      <c r="L3937" s="273"/>
      <c r="M3937" s="394">
        <f>SUM(M3932:N3936)</f>
        <v>34596.876900000003</v>
      </c>
      <c r="N3937" s="273"/>
    </row>
    <row r="3938" spans="1:15" ht="12.75" customHeight="1" x14ac:dyDescent="0.25">
      <c r="A3938" s="4"/>
      <c r="B3938" s="4"/>
      <c r="C3938" s="4"/>
      <c r="D3938" s="4"/>
      <c r="E3938" s="4"/>
      <c r="F3938" s="4"/>
      <c r="G3938" s="4"/>
      <c r="H3938" s="4"/>
      <c r="I3938" s="4"/>
      <c r="J3938" s="4"/>
      <c r="K3938" s="4"/>
      <c r="L3938" s="4"/>
      <c r="M3938" s="4"/>
      <c r="N3938" s="4"/>
    </row>
    <row r="3939" spans="1:15" ht="12.75" customHeight="1" x14ac:dyDescent="0.2">
      <c r="A3939" s="398" t="s">
        <v>931</v>
      </c>
      <c r="B3939" s="271"/>
      <c r="C3939" s="271"/>
      <c r="D3939" s="271"/>
      <c r="E3939" s="271"/>
      <c r="F3939" s="271"/>
      <c r="G3939" s="271"/>
      <c r="H3939" s="271"/>
      <c r="I3939" s="271"/>
      <c r="J3939" s="271"/>
      <c r="K3939" s="271"/>
      <c r="L3939" s="271"/>
      <c r="M3939" s="271"/>
      <c r="N3939" s="273"/>
    </row>
    <row r="3940" spans="1:15" ht="12.75" customHeight="1" x14ac:dyDescent="0.2">
      <c r="A3940" s="396" t="s">
        <v>76</v>
      </c>
      <c r="B3940" s="271"/>
      <c r="C3940" s="271"/>
      <c r="D3940" s="271"/>
      <c r="E3940" s="271"/>
      <c r="F3940" s="271"/>
      <c r="G3940" s="273"/>
      <c r="H3940" s="88" t="s">
        <v>77</v>
      </c>
      <c r="I3940" s="399" t="s">
        <v>920</v>
      </c>
      <c r="J3940" s="273"/>
      <c r="K3940" s="90" t="s">
        <v>514</v>
      </c>
      <c r="L3940" s="91" t="s">
        <v>932</v>
      </c>
      <c r="M3940" s="399" t="s">
        <v>921</v>
      </c>
      <c r="N3940" s="273"/>
    </row>
    <row r="3941" spans="1:15" ht="12.75" customHeight="1" x14ac:dyDescent="0.25">
      <c r="A3941" s="393" t="s">
        <v>1112</v>
      </c>
      <c r="B3941" s="271"/>
      <c r="C3941" s="271"/>
      <c r="D3941" s="271"/>
      <c r="E3941" s="271"/>
      <c r="F3941" s="271"/>
      <c r="G3941" s="273"/>
      <c r="H3941" s="29" t="str">
        <f>IF(A3941="","",VLOOKUP(A3941,AA_Cuadrillas,4,FALSE))</f>
        <v>Cuadrilla</v>
      </c>
      <c r="I3941" s="394">
        <f>IF(A3941="","",VLOOKUP(A3941,AA_Cuadrillas,5,FALSE))</f>
        <v>210108</v>
      </c>
      <c r="J3941" s="273"/>
      <c r="K3941" s="9">
        <f>IF(A3941="","",F.P!$I$2)</f>
        <v>1.88</v>
      </c>
      <c r="L3941" s="97">
        <v>0.25</v>
      </c>
      <c r="M3941" s="394">
        <f t="shared" ref="M3941:M3945" si="542">IF(A3941="","",I3941*K3941*L3941)</f>
        <v>98750.76</v>
      </c>
      <c r="N3941" s="273"/>
    </row>
    <row r="3942" spans="1:15" ht="12.75" customHeight="1" x14ac:dyDescent="0.25">
      <c r="A3942" s="393"/>
      <c r="B3942" s="271"/>
      <c r="C3942" s="271"/>
      <c r="D3942" s="271"/>
      <c r="E3942" s="271"/>
      <c r="F3942" s="271"/>
      <c r="G3942" s="273"/>
      <c r="H3942" s="29" t="str">
        <f>IF(A3942="","",VLOOKUP(A3942,AA_Cuadrillas,4,FALSE))</f>
        <v/>
      </c>
      <c r="I3942" s="394" t="str">
        <f>IF(A3942="","",VLOOKUP(A3942,AA_Cuadrillas,5,FALSE))</f>
        <v/>
      </c>
      <c r="J3942" s="273"/>
      <c r="K3942" s="9" t="str">
        <f>IF(A3942="","",F.P!$I$2)</f>
        <v/>
      </c>
      <c r="L3942" s="9"/>
      <c r="M3942" s="394" t="str">
        <f t="shared" si="542"/>
        <v/>
      </c>
      <c r="N3942" s="273"/>
    </row>
    <row r="3943" spans="1:15" ht="12.75" customHeight="1" x14ac:dyDescent="0.25">
      <c r="A3943" s="393"/>
      <c r="B3943" s="271"/>
      <c r="C3943" s="271"/>
      <c r="D3943" s="271"/>
      <c r="E3943" s="271"/>
      <c r="F3943" s="271"/>
      <c r="G3943" s="273"/>
      <c r="H3943" s="29" t="str">
        <f>IF(A3943="","",VLOOKUP(A3943,AA_Cuadrillas,4,FALSE))</f>
        <v/>
      </c>
      <c r="I3943" s="394" t="str">
        <f>IF(A3943="","",VLOOKUP(A3943,AA_Cuadrillas,5,FALSE))</f>
        <v/>
      </c>
      <c r="J3943" s="273"/>
      <c r="K3943" s="9" t="str">
        <f>IF(A3943="","",F.P!$I$2)</f>
        <v/>
      </c>
      <c r="L3943" s="37"/>
      <c r="M3943" s="394" t="str">
        <f t="shared" si="542"/>
        <v/>
      </c>
      <c r="N3943" s="273"/>
    </row>
    <row r="3944" spans="1:15" ht="12.75" customHeight="1" x14ac:dyDescent="0.25">
      <c r="A3944" s="393"/>
      <c r="B3944" s="271"/>
      <c r="C3944" s="271"/>
      <c r="D3944" s="271"/>
      <c r="E3944" s="271"/>
      <c r="F3944" s="271"/>
      <c r="G3944" s="273"/>
      <c r="H3944" s="29" t="str">
        <f>IF(A3944="","",VLOOKUP(A3944,AA_Cuadrillas,4,FALSE))</f>
        <v/>
      </c>
      <c r="I3944" s="394" t="str">
        <f>IF(A3944="","",VLOOKUP(A3944,AA_Cuadrillas,5,FALSE))</f>
        <v/>
      </c>
      <c r="J3944" s="273"/>
      <c r="K3944" s="9" t="str">
        <f>IF(A3944="","",F.P!$I$2)</f>
        <v/>
      </c>
      <c r="L3944" s="37"/>
      <c r="M3944" s="394" t="str">
        <f t="shared" si="542"/>
        <v/>
      </c>
      <c r="N3944" s="273"/>
    </row>
    <row r="3945" spans="1:15" ht="12.75" customHeight="1" x14ac:dyDescent="0.25">
      <c r="A3945" s="393"/>
      <c r="B3945" s="271"/>
      <c r="C3945" s="271"/>
      <c r="D3945" s="271"/>
      <c r="E3945" s="271"/>
      <c r="F3945" s="271"/>
      <c r="G3945" s="273"/>
      <c r="H3945" s="29" t="str">
        <f>IF(A3945="","",VLOOKUP(A3945,AA_Cuadrillas,4,FALSE))</f>
        <v/>
      </c>
      <c r="I3945" s="394" t="str">
        <f>IF(A3945="","",VLOOKUP(A3945,AA_Cuadrillas,5,FALSE))</f>
        <v/>
      </c>
      <c r="J3945" s="273"/>
      <c r="K3945" s="9" t="str">
        <f>IF(A3945="","",F.P!$I$2)</f>
        <v/>
      </c>
      <c r="L3945" s="37"/>
      <c r="M3945" s="394" t="str">
        <f t="shared" si="542"/>
        <v/>
      </c>
      <c r="N3945" s="273"/>
    </row>
    <row r="3946" spans="1:15" ht="12.75" customHeight="1" x14ac:dyDescent="0.25">
      <c r="A3946" s="4"/>
      <c r="B3946" s="4"/>
      <c r="C3946" s="4"/>
      <c r="D3946" s="4"/>
      <c r="E3946" s="4"/>
      <c r="F3946" s="4"/>
      <c r="G3946" s="4"/>
      <c r="H3946" s="4"/>
      <c r="I3946" s="4"/>
      <c r="J3946" s="4"/>
      <c r="K3946" s="396" t="s">
        <v>444</v>
      </c>
      <c r="L3946" s="273"/>
      <c r="M3946" s="394">
        <f>SUM(M3941:N3945)</f>
        <v>98750.76</v>
      </c>
      <c r="N3946" s="273"/>
    </row>
    <row r="3947" spans="1:15" ht="12.75" customHeight="1" x14ac:dyDescent="0.2"/>
    <row r="3948" spans="1:15" ht="12.75" customHeight="1" x14ac:dyDescent="0.2">
      <c r="A3948" s="407" t="s">
        <v>1155</v>
      </c>
      <c r="B3948" s="275"/>
      <c r="C3948" s="275"/>
      <c r="D3948" s="275"/>
      <c r="E3948" s="275"/>
      <c r="F3948" s="275"/>
      <c r="G3948" s="275"/>
      <c r="H3948" s="275"/>
      <c r="I3948" s="275"/>
      <c r="J3948" s="275"/>
      <c r="K3948" s="275"/>
      <c r="L3948" s="275"/>
      <c r="M3948" s="275"/>
      <c r="N3948" s="276"/>
    </row>
    <row r="3949" spans="1:15" ht="12.75" customHeight="1" x14ac:dyDescent="0.2">
      <c r="A3949" s="277"/>
      <c r="B3949" s="278"/>
      <c r="C3949" s="278"/>
      <c r="D3949" s="278"/>
      <c r="E3949" s="278"/>
      <c r="F3949" s="278"/>
      <c r="G3949" s="278"/>
      <c r="H3949" s="278"/>
      <c r="I3949" s="278"/>
      <c r="J3949" s="278"/>
      <c r="K3949" s="278"/>
      <c r="L3949" s="278"/>
      <c r="M3949" s="278"/>
      <c r="N3949" s="279"/>
    </row>
    <row r="3950" spans="1:15" ht="12.75" customHeight="1" x14ac:dyDescent="0.2">
      <c r="A3950" s="75"/>
      <c r="B3950" s="75"/>
      <c r="C3950" s="75"/>
      <c r="D3950" s="75"/>
      <c r="E3950" s="75"/>
      <c r="F3950" s="75"/>
      <c r="G3950" s="75"/>
      <c r="H3950" s="75"/>
      <c r="I3950" s="75"/>
      <c r="J3950" s="75"/>
      <c r="K3950" s="75"/>
      <c r="L3950" s="75"/>
      <c r="M3950" s="75"/>
      <c r="N3950" s="75"/>
    </row>
    <row r="3951" spans="1:15" ht="12.75" customHeight="1" x14ac:dyDescent="0.3">
      <c r="A3951" s="79" t="s">
        <v>706</v>
      </c>
      <c r="B3951" s="80" t="str">
        <f>A3948</f>
        <v>SUMINISTRO E INSTALACIÓN DE VÁLVULA VENTOSA TRIPLE ACCIÓN Ø2" EN HIERRO DUCTIL</v>
      </c>
      <c r="C3951" s="81" t="s">
        <v>916</v>
      </c>
      <c r="D3951" s="82" t="s">
        <v>999</v>
      </c>
      <c r="E3951" s="83" t="s">
        <v>445</v>
      </c>
      <c r="F3951" s="240">
        <f>H3951+J3951+L3951+N3951</f>
        <v>1530940.054</v>
      </c>
      <c r="G3951" s="83" t="s">
        <v>607</v>
      </c>
      <c r="H3951" s="86">
        <f>M3961</f>
        <v>1341000</v>
      </c>
      <c r="I3951" s="83" t="s">
        <v>918</v>
      </c>
      <c r="J3951" s="86">
        <f>M3970</f>
        <v>5851.9073333333336</v>
      </c>
      <c r="K3951" s="83" t="s">
        <v>609</v>
      </c>
      <c r="L3951" s="86">
        <f>M3979</f>
        <v>67050</v>
      </c>
      <c r="M3951" s="83" t="s">
        <v>610</v>
      </c>
      <c r="N3951" s="86">
        <f>M3988</f>
        <v>117038.14666666667</v>
      </c>
      <c r="O3951" t="s">
        <v>3222</v>
      </c>
    </row>
    <row r="3952" spans="1:15" ht="12.75" customHeight="1" x14ac:dyDescent="0.25">
      <c r="A3952" s="87"/>
      <c r="B3952" s="87"/>
      <c r="C3952" s="87"/>
      <c r="D3952" s="87"/>
      <c r="E3952" s="87"/>
      <c r="F3952" s="87"/>
      <c r="G3952" s="87"/>
      <c r="J3952" s="87"/>
      <c r="K3952" s="215" t="s">
        <v>3217</v>
      </c>
      <c r="L3952" s="215">
        <f>+F3951*presup!$O$5</f>
        <v>1990222.0702</v>
      </c>
      <c r="M3952" s="87"/>
      <c r="N3952" s="87"/>
    </row>
    <row r="3953" spans="1:14" ht="12.75" customHeight="1" x14ac:dyDescent="0.2">
      <c r="A3953" s="398" t="s">
        <v>919</v>
      </c>
      <c r="B3953" s="271"/>
      <c r="C3953" s="271"/>
      <c r="D3953" s="271"/>
      <c r="E3953" s="271"/>
      <c r="F3953" s="271"/>
      <c r="G3953" s="271"/>
      <c r="H3953" s="271"/>
      <c r="I3953" s="271"/>
      <c r="J3953" s="271"/>
      <c r="K3953" s="271"/>
      <c r="L3953" s="271"/>
      <c r="M3953" s="271"/>
      <c r="N3953" s="273"/>
    </row>
    <row r="3954" spans="1:14" ht="12.75" customHeight="1" x14ac:dyDescent="0.2">
      <c r="A3954" s="396" t="s">
        <v>76</v>
      </c>
      <c r="B3954" s="271"/>
      <c r="C3954" s="271"/>
      <c r="D3954" s="271"/>
      <c r="E3954" s="271"/>
      <c r="F3954" s="271"/>
      <c r="G3954" s="273"/>
      <c r="H3954" s="88" t="s">
        <v>77</v>
      </c>
      <c r="I3954" s="399" t="s">
        <v>920</v>
      </c>
      <c r="J3954" s="273"/>
      <c r="K3954" s="399" t="s">
        <v>453</v>
      </c>
      <c r="L3954" s="273"/>
      <c r="M3954" s="399" t="s">
        <v>921</v>
      </c>
      <c r="N3954" s="273"/>
    </row>
    <row r="3955" spans="1:14" ht="12.75" customHeight="1" x14ac:dyDescent="0.2">
      <c r="A3955" s="403" t="s">
        <v>1156</v>
      </c>
      <c r="B3955" s="271"/>
      <c r="C3955" s="271"/>
      <c r="D3955" s="271"/>
      <c r="E3955" s="271"/>
      <c r="F3955" s="271"/>
      <c r="G3955" s="273"/>
      <c r="H3955" s="29" t="str">
        <f t="shared" ref="H3955:H3960" si="543">IF(A3955="","",VLOOKUP(A3955,AA_Materiales,7,FALSE))</f>
        <v>Unidad</v>
      </c>
      <c r="I3955" s="394">
        <f t="shared" ref="I3955:I3960" si="544">IF(A3955="","",VLOOKUP(A3955,AA_Materiales,8,FALSE))</f>
        <v>1341000</v>
      </c>
      <c r="J3955" s="273"/>
      <c r="K3955" s="395">
        <v>1</v>
      </c>
      <c r="L3955" s="273"/>
      <c r="M3955" s="394">
        <f t="shared" ref="M3955:M3960" si="545">IF(A3955="","",I3955*K3955)</f>
        <v>1341000</v>
      </c>
      <c r="N3955" s="273"/>
    </row>
    <row r="3956" spans="1:14" ht="12.75" customHeight="1" x14ac:dyDescent="0.2">
      <c r="A3956" s="403"/>
      <c r="B3956" s="271"/>
      <c r="C3956" s="271"/>
      <c r="D3956" s="271"/>
      <c r="E3956" s="271"/>
      <c r="F3956" s="271"/>
      <c r="G3956" s="273"/>
      <c r="H3956" s="29" t="str">
        <f t="shared" si="543"/>
        <v/>
      </c>
      <c r="I3956" s="394" t="str">
        <f t="shared" si="544"/>
        <v/>
      </c>
      <c r="J3956" s="273"/>
      <c r="K3956" s="395"/>
      <c r="L3956" s="273"/>
      <c r="M3956" s="394" t="str">
        <f t="shared" si="545"/>
        <v/>
      </c>
      <c r="N3956" s="273"/>
    </row>
    <row r="3957" spans="1:14" ht="12.75" customHeight="1" x14ac:dyDescent="0.2">
      <c r="A3957" s="403"/>
      <c r="B3957" s="271"/>
      <c r="C3957" s="271"/>
      <c r="D3957" s="271"/>
      <c r="E3957" s="271"/>
      <c r="F3957" s="271"/>
      <c r="G3957" s="273"/>
      <c r="H3957" s="29" t="str">
        <f t="shared" si="543"/>
        <v/>
      </c>
      <c r="I3957" s="394" t="str">
        <f t="shared" si="544"/>
        <v/>
      </c>
      <c r="J3957" s="273"/>
      <c r="K3957" s="395"/>
      <c r="L3957" s="273"/>
      <c r="M3957" s="394" t="str">
        <f t="shared" si="545"/>
        <v/>
      </c>
      <c r="N3957" s="273"/>
    </row>
    <row r="3958" spans="1:14" ht="12.75" customHeight="1" x14ac:dyDescent="0.2">
      <c r="A3958" s="403"/>
      <c r="B3958" s="271"/>
      <c r="C3958" s="271"/>
      <c r="D3958" s="271"/>
      <c r="E3958" s="271"/>
      <c r="F3958" s="271"/>
      <c r="G3958" s="273"/>
      <c r="H3958" s="29" t="str">
        <f t="shared" si="543"/>
        <v/>
      </c>
      <c r="I3958" s="394" t="str">
        <f t="shared" si="544"/>
        <v/>
      </c>
      <c r="J3958" s="273"/>
      <c r="K3958" s="395"/>
      <c r="L3958" s="273"/>
      <c r="M3958" s="394" t="str">
        <f t="shared" si="545"/>
        <v/>
      </c>
      <c r="N3958" s="273"/>
    </row>
    <row r="3959" spans="1:14" ht="12.75" customHeight="1" x14ac:dyDescent="0.2">
      <c r="A3959" s="403"/>
      <c r="B3959" s="271"/>
      <c r="C3959" s="271"/>
      <c r="D3959" s="271"/>
      <c r="E3959" s="271"/>
      <c r="F3959" s="271"/>
      <c r="G3959" s="273"/>
      <c r="H3959" s="29" t="str">
        <f t="shared" si="543"/>
        <v/>
      </c>
      <c r="I3959" s="394" t="str">
        <f t="shared" si="544"/>
        <v/>
      </c>
      <c r="J3959" s="273"/>
      <c r="K3959" s="395"/>
      <c r="L3959" s="273"/>
      <c r="M3959" s="394" t="str">
        <f t="shared" si="545"/>
        <v/>
      </c>
      <c r="N3959" s="273"/>
    </row>
    <row r="3960" spans="1:14" ht="12.75" customHeight="1" x14ac:dyDescent="0.2">
      <c r="A3960" s="403"/>
      <c r="B3960" s="271"/>
      <c r="C3960" s="271"/>
      <c r="D3960" s="271"/>
      <c r="E3960" s="271"/>
      <c r="F3960" s="271"/>
      <c r="G3960" s="273"/>
      <c r="H3960" s="29" t="str">
        <f t="shared" si="543"/>
        <v/>
      </c>
      <c r="I3960" s="394" t="str">
        <f t="shared" si="544"/>
        <v/>
      </c>
      <c r="J3960" s="273"/>
      <c r="K3960" s="395"/>
      <c r="L3960" s="273"/>
      <c r="M3960" s="394" t="str">
        <f t="shared" si="545"/>
        <v/>
      </c>
      <c r="N3960" s="273"/>
    </row>
    <row r="3961" spans="1:14" ht="12.75" customHeight="1" x14ac:dyDescent="0.25">
      <c r="A3961" s="4"/>
      <c r="B3961" s="4"/>
      <c r="C3961" s="4"/>
      <c r="D3961" s="4"/>
      <c r="E3961" s="4"/>
      <c r="F3961" s="4"/>
      <c r="G3961" s="4"/>
      <c r="H3961" s="4"/>
      <c r="I3961" s="4"/>
      <c r="J3961" s="4"/>
      <c r="K3961" s="396" t="s">
        <v>444</v>
      </c>
      <c r="L3961" s="273"/>
      <c r="M3961" s="394">
        <f>SUM(M3955:N3960)</f>
        <v>1341000</v>
      </c>
      <c r="N3961" s="273"/>
    </row>
    <row r="3962" spans="1:14" ht="12.75" customHeight="1" x14ac:dyDescent="0.25">
      <c r="A3962" s="4"/>
      <c r="B3962" s="4"/>
      <c r="C3962" s="4"/>
      <c r="D3962" s="4"/>
      <c r="E3962" s="4"/>
      <c r="F3962" s="4"/>
      <c r="G3962" s="4"/>
      <c r="H3962" s="4"/>
      <c r="I3962" s="4"/>
      <c r="J3962" s="4"/>
      <c r="K3962" s="4"/>
      <c r="L3962" s="4"/>
      <c r="M3962" s="4"/>
      <c r="N3962" s="4"/>
    </row>
    <row r="3963" spans="1:14" ht="12.75" customHeight="1" x14ac:dyDescent="0.2">
      <c r="A3963" s="398" t="s">
        <v>926</v>
      </c>
      <c r="B3963" s="271"/>
      <c r="C3963" s="271"/>
      <c r="D3963" s="271"/>
      <c r="E3963" s="271"/>
      <c r="F3963" s="271"/>
      <c r="G3963" s="271"/>
      <c r="H3963" s="271"/>
      <c r="I3963" s="271"/>
      <c r="J3963" s="271"/>
      <c r="K3963" s="271"/>
      <c r="L3963" s="271"/>
      <c r="M3963" s="271"/>
      <c r="N3963" s="273"/>
    </row>
    <row r="3964" spans="1:14" ht="12.75" customHeight="1" x14ac:dyDescent="0.2">
      <c r="A3964" s="396" t="s">
        <v>76</v>
      </c>
      <c r="B3964" s="271"/>
      <c r="C3964" s="271"/>
      <c r="D3964" s="271"/>
      <c r="E3964" s="271"/>
      <c r="F3964" s="271"/>
      <c r="G3964" s="273"/>
      <c r="H3964" s="88" t="s">
        <v>77</v>
      </c>
      <c r="I3964" s="399" t="s">
        <v>920</v>
      </c>
      <c r="J3964" s="273"/>
      <c r="K3964" s="399" t="s">
        <v>453</v>
      </c>
      <c r="L3964" s="273"/>
      <c r="M3964" s="399" t="s">
        <v>921</v>
      </c>
      <c r="N3964" s="273"/>
    </row>
    <row r="3965" spans="1:14" ht="12.75" customHeight="1" x14ac:dyDescent="0.2">
      <c r="A3965" s="400" t="s">
        <v>927</v>
      </c>
      <c r="B3965" s="271"/>
      <c r="C3965" s="271"/>
      <c r="D3965" s="271"/>
      <c r="E3965" s="271"/>
      <c r="F3965" s="271"/>
      <c r="G3965" s="273"/>
      <c r="H3965" s="29" t="str">
        <f>IF(A3965="","",VLOOKUP(A3965,AA_Equipos,7,FALSE))</f>
        <v>% M.O.</v>
      </c>
      <c r="I3965" s="394">
        <f>+M3988</f>
        <v>117038.14666666667</v>
      </c>
      <c r="J3965" s="273"/>
      <c r="K3965" s="404">
        <v>0.05</v>
      </c>
      <c r="L3965" s="273"/>
      <c r="M3965" s="394">
        <f t="shared" ref="M3965:M3969" si="546">IF(A3965="","",I3965*K3965)</f>
        <v>5851.9073333333336</v>
      </c>
      <c r="N3965" s="273"/>
    </row>
    <row r="3966" spans="1:14" ht="12.75" customHeight="1" x14ac:dyDescent="0.2">
      <c r="A3966" s="403"/>
      <c r="B3966" s="271"/>
      <c r="C3966" s="271"/>
      <c r="D3966" s="271"/>
      <c r="E3966" s="271"/>
      <c r="F3966" s="271"/>
      <c r="G3966" s="273"/>
      <c r="H3966" s="29" t="str">
        <f>IF(A3966="","",VLOOKUP(A3966,AA_Equipos,7,FALSE))</f>
        <v/>
      </c>
      <c r="I3966" s="394" t="str">
        <f>IF(A3966="","",VLOOKUP(A3966,AA_Equipos,8,FALSE))</f>
        <v/>
      </c>
      <c r="J3966" s="273"/>
      <c r="K3966" s="402"/>
      <c r="L3966" s="273"/>
      <c r="M3966" s="394" t="str">
        <f t="shared" si="546"/>
        <v/>
      </c>
      <c r="N3966" s="273"/>
    </row>
    <row r="3967" spans="1:14" ht="12.75" customHeight="1" x14ac:dyDescent="0.2">
      <c r="A3967" s="400"/>
      <c r="B3967" s="271"/>
      <c r="C3967" s="271"/>
      <c r="D3967" s="271"/>
      <c r="E3967" s="271"/>
      <c r="F3967" s="271"/>
      <c r="G3967" s="273"/>
      <c r="H3967" s="29" t="str">
        <f>IF(A3967="","",VLOOKUP(A3967,AA_Equipos,7,FALSE))</f>
        <v/>
      </c>
      <c r="I3967" s="394" t="str">
        <f>IF(A3967="","",VLOOKUP(A3967,AA_Equipos,8,FALSE))</f>
        <v/>
      </c>
      <c r="J3967" s="273"/>
      <c r="K3967" s="401"/>
      <c r="L3967" s="273"/>
      <c r="M3967" s="394" t="str">
        <f t="shared" si="546"/>
        <v/>
      </c>
      <c r="N3967" s="273"/>
    </row>
    <row r="3968" spans="1:14" ht="12.75" customHeight="1" x14ac:dyDescent="0.2">
      <c r="A3968" s="400"/>
      <c r="B3968" s="271"/>
      <c r="C3968" s="271"/>
      <c r="D3968" s="271"/>
      <c r="E3968" s="271"/>
      <c r="F3968" s="271"/>
      <c r="G3968" s="273"/>
      <c r="H3968" s="29" t="str">
        <f>IF(A3968="","",VLOOKUP(A3968,AA_Equipos,7,FALSE))</f>
        <v/>
      </c>
      <c r="I3968" s="394" t="str">
        <f>IF(A3968="","",VLOOKUP(A3968,AA_Equipos,8,FALSE))</f>
        <v/>
      </c>
      <c r="J3968" s="273"/>
      <c r="K3968" s="395"/>
      <c r="L3968" s="273"/>
      <c r="M3968" s="394" t="str">
        <f t="shared" si="546"/>
        <v/>
      </c>
      <c r="N3968" s="273"/>
    </row>
    <row r="3969" spans="1:14" ht="12.75" customHeight="1" x14ac:dyDescent="0.2">
      <c r="A3969" s="400"/>
      <c r="B3969" s="271"/>
      <c r="C3969" s="271"/>
      <c r="D3969" s="271"/>
      <c r="E3969" s="271"/>
      <c r="F3969" s="271"/>
      <c r="G3969" s="273"/>
      <c r="H3969" s="29" t="str">
        <f>IF(A3969="","",VLOOKUP(A3969,AA_Equipos,7,FALSE))</f>
        <v/>
      </c>
      <c r="I3969" s="394" t="str">
        <f>IF(A3969="","",VLOOKUP(A3969,AA_Equipos,8,FALSE))</f>
        <v/>
      </c>
      <c r="J3969" s="273"/>
      <c r="K3969" s="395"/>
      <c r="L3969" s="273"/>
      <c r="M3969" s="394" t="str">
        <f t="shared" si="546"/>
        <v/>
      </c>
      <c r="N3969" s="273"/>
    </row>
    <row r="3970" spans="1:14" ht="12.75" customHeight="1" x14ac:dyDescent="0.25">
      <c r="A3970" s="4"/>
      <c r="B3970" s="4"/>
      <c r="C3970" s="4"/>
      <c r="D3970" s="4"/>
      <c r="E3970" s="4"/>
      <c r="F3970" s="4"/>
      <c r="G3970" s="4"/>
      <c r="H3970" s="4"/>
      <c r="I3970" s="4"/>
      <c r="J3970" s="4"/>
      <c r="K3970" s="396" t="s">
        <v>444</v>
      </c>
      <c r="L3970" s="273"/>
      <c r="M3970" s="394">
        <f>SUM(M3965:N3969)</f>
        <v>5851.9073333333336</v>
      </c>
      <c r="N3970" s="273"/>
    </row>
    <row r="3971" spans="1:14" ht="12.75" customHeight="1" x14ac:dyDescent="0.25">
      <c r="A3971" s="4"/>
      <c r="B3971" s="4"/>
      <c r="C3971" s="4"/>
      <c r="D3971" s="4"/>
      <c r="E3971" s="4"/>
      <c r="F3971" s="4"/>
      <c r="G3971" s="4"/>
      <c r="H3971" s="4"/>
      <c r="I3971" s="4"/>
      <c r="J3971" s="4"/>
      <c r="K3971" s="4"/>
      <c r="L3971" s="4"/>
      <c r="M3971" s="4"/>
      <c r="N3971" s="4"/>
    </row>
    <row r="3972" spans="1:14" ht="12.75" customHeight="1" x14ac:dyDescent="0.2">
      <c r="A3972" s="398" t="s">
        <v>929</v>
      </c>
      <c r="B3972" s="271"/>
      <c r="C3972" s="271"/>
      <c r="D3972" s="271"/>
      <c r="E3972" s="271"/>
      <c r="F3972" s="271"/>
      <c r="G3972" s="271"/>
      <c r="H3972" s="271"/>
      <c r="I3972" s="271"/>
      <c r="J3972" s="271"/>
      <c r="K3972" s="271"/>
      <c r="L3972" s="271"/>
      <c r="M3972" s="271"/>
      <c r="N3972" s="273"/>
    </row>
    <row r="3973" spans="1:14" ht="12.75" customHeight="1" x14ac:dyDescent="0.2">
      <c r="A3973" s="396" t="s">
        <v>76</v>
      </c>
      <c r="B3973" s="271"/>
      <c r="C3973" s="271"/>
      <c r="D3973" s="271"/>
      <c r="E3973" s="271"/>
      <c r="F3973" s="271"/>
      <c r="G3973" s="273"/>
      <c r="H3973" s="88" t="s">
        <v>77</v>
      </c>
      <c r="I3973" s="399" t="s">
        <v>920</v>
      </c>
      <c r="J3973" s="273"/>
      <c r="K3973" s="399" t="s">
        <v>453</v>
      </c>
      <c r="L3973" s="273"/>
      <c r="M3973" s="399" t="s">
        <v>921</v>
      </c>
      <c r="N3973" s="273"/>
    </row>
    <row r="3974" spans="1:14" ht="12.75" customHeight="1" x14ac:dyDescent="0.2">
      <c r="A3974" s="400" t="s">
        <v>966</v>
      </c>
      <c r="B3974" s="271"/>
      <c r="C3974" s="271"/>
      <c r="D3974" s="271"/>
      <c r="E3974" s="271"/>
      <c r="F3974" s="271"/>
      <c r="G3974" s="273"/>
      <c r="H3974" s="29" t="s">
        <v>950</v>
      </c>
      <c r="I3974" s="394">
        <f>+M3961</f>
        <v>1341000</v>
      </c>
      <c r="J3974" s="273"/>
      <c r="K3974" s="404">
        <v>0.05</v>
      </c>
      <c r="L3974" s="273"/>
      <c r="M3974" s="394">
        <f t="shared" ref="M3974:M3978" si="547">IF(A3974="","",I3974*K3974)</f>
        <v>67050</v>
      </c>
      <c r="N3974" s="273"/>
    </row>
    <row r="3975" spans="1:14" ht="12.75" customHeight="1" x14ac:dyDescent="0.2">
      <c r="A3975" s="403"/>
      <c r="B3975" s="271"/>
      <c r="C3975" s="271"/>
      <c r="D3975" s="271"/>
      <c r="E3975" s="271"/>
      <c r="F3975" s="271"/>
      <c r="G3975" s="273"/>
      <c r="H3975" s="29"/>
      <c r="I3975" s="394"/>
      <c r="J3975" s="273"/>
      <c r="K3975" s="404"/>
      <c r="L3975" s="273"/>
      <c r="M3975" s="394" t="str">
        <f t="shared" si="547"/>
        <v/>
      </c>
      <c r="N3975" s="273"/>
    </row>
    <row r="3976" spans="1:14" ht="12.75" customHeight="1" x14ac:dyDescent="0.2">
      <c r="A3976" s="400"/>
      <c r="B3976" s="271"/>
      <c r="C3976" s="271"/>
      <c r="D3976" s="271"/>
      <c r="E3976" s="271"/>
      <c r="F3976" s="271"/>
      <c r="G3976" s="273"/>
      <c r="H3976" s="29"/>
      <c r="I3976" s="394"/>
      <c r="J3976" s="273"/>
      <c r="K3976" s="395"/>
      <c r="L3976" s="273"/>
      <c r="M3976" s="394" t="str">
        <f t="shared" si="547"/>
        <v/>
      </c>
      <c r="N3976" s="273"/>
    </row>
    <row r="3977" spans="1:14" ht="12.75" customHeight="1" x14ac:dyDescent="0.2">
      <c r="A3977" s="400"/>
      <c r="B3977" s="271"/>
      <c r="C3977" s="271"/>
      <c r="D3977" s="271"/>
      <c r="E3977" s="271"/>
      <c r="F3977" s="271"/>
      <c r="G3977" s="273"/>
      <c r="H3977" s="29"/>
      <c r="I3977" s="394"/>
      <c r="J3977" s="273"/>
      <c r="K3977" s="395"/>
      <c r="L3977" s="273"/>
      <c r="M3977" s="394" t="str">
        <f t="shared" si="547"/>
        <v/>
      </c>
      <c r="N3977" s="273"/>
    </row>
    <row r="3978" spans="1:14" ht="12.75" customHeight="1" x14ac:dyDescent="0.2">
      <c r="A3978" s="400"/>
      <c r="B3978" s="271"/>
      <c r="C3978" s="271"/>
      <c r="D3978" s="271"/>
      <c r="E3978" s="271"/>
      <c r="F3978" s="271"/>
      <c r="G3978" s="273"/>
      <c r="H3978" s="29"/>
      <c r="I3978" s="394"/>
      <c r="J3978" s="273"/>
      <c r="K3978" s="395"/>
      <c r="L3978" s="273"/>
      <c r="M3978" s="394" t="str">
        <f t="shared" si="547"/>
        <v/>
      </c>
      <c r="N3978" s="273"/>
    </row>
    <row r="3979" spans="1:14" ht="12.75" customHeight="1" x14ac:dyDescent="0.25">
      <c r="A3979" s="4"/>
      <c r="B3979" s="4"/>
      <c r="C3979" s="4"/>
      <c r="D3979" s="4"/>
      <c r="E3979" s="4"/>
      <c r="F3979" s="4"/>
      <c r="G3979" s="4"/>
      <c r="H3979" s="4"/>
      <c r="I3979" s="4"/>
      <c r="J3979" s="4"/>
      <c r="K3979" s="396" t="s">
        <v>444</v>
      </c>
      <c r="L3979" s="273"/>
      <c r="M3979" s="394">
        <f>SUM(M3974:N3978)</f>
        <v>67050</v>
      </c>
      <c r="N3979" s="273"/>
    </row>
    <row r="3980" spans="1:14" ht="12.75" customHeight="1" x14ac:dyDescent="0.25">
      <c r="A3980" s="4"/>
      <c r="B3980" s="4"/>
      <c r="C3980" s="4"/>
      <c r="D3980" s="4"/>
      <c r="E3980" s="4"/>
      <c r="F3980" s="4"/>
      <c r="G3980" s="4"/>
      <c r="H3980" s="4"/>
      <c r="I3980" s="4"/>
      <c r="J3980" s="4"/>
      <c r="K3980" s="4"/>
      <c r="L3980" s="4"/>
      <c r="M3980" s="4"/>
      <c r="N3980" s="4"/>
    </row>
    <row r="3981" spans="1:14" ht="12.75" customHeight="1" x14ac:dyDescent="0.2">
      <c r="A3981" s="398" t="s">
        <v>931</v>
      </c>
      <c r="B3981" s="271"/>
      <c r="C3981" s="271"/>
      <c r="D3981" s="271"/>
      <c r="E3981" s="271"/>
      <c r="F3981" s="271"/>
      <c r="G3981" s="271"/>
      <c r="H3981" s="271"/>
      <c r="I3981" s="271"/>
      <c r="J3981" s="271"/>
      <c r="K3981" s="271"/>
      <c r="L3981" s="271"/>
      <c r="M3981" s="271"/>
      <c r="N3981" s="273"/>
    </row>
    <row r="3982" spans="1:14" ht="12.75" customHeight="1" x14ac:dyDescent="0.2">
      <c r="A3982" s="396" t="s">
        <v>76</v>
      </c>
      <c r="B3982" s="271"/>
      <c r="C3982" s="271"/>
      <c r="D3982" s="271"/>
      <c r="E3982" s="271"/>
      <c r="F3982" s="271"/>
      <c r="G3982" s="273"/>
      <c r="H3982" s="88" t="s">
        <v>77</v>
      </c>
      <c r="I3982" s="399" t="s">
        <v>920</v>
      </c>
      <c r="J3982" s="273"/>
      <c r="K3982" s="90" t="s">
        <v>514</v>
      </c>
      <c r="L3982" s="91" t="s">
        <v>932</v>
      </c>
      <c r="M3982" s="399" t="s">
        <v>921</v>
      </c>
      <c r="N3982" s="273"/>
    </row>
    <row r="3983" spans="1:14" ht="12.75" customHeight="1" x14ac:dyDescent="0.25">
      <c r="A3983" s="393" t="s">
        <v>951</v>
      </c>
      <c r="B3983" s="271"/>
      <c r="C3983" s="271"/>
      <c r="D3983" s="271"/>
      <c r="E3983" s="271"/>
      <c r="F3983" s="271"/>
      <c r="G3983" s="273"/>
      <c r="H3983" s="29" t="str">
        <f>IF(A3983="","",VLOOKUP(A3983,AA_Cuadrillas,4,FALSE))</f>
        <v>Cuadrilla</v>
      </c>
      <c r="I3983" s="394">
        <f>IF(A3983="","",VLOOKUP(A3983,AA_Cuadrillas,5,FALSE))</f>
        <v>186763</v>
      </c>
      <c r="J3983" s="273"/>
      <c r="K3983" s="9">
        <f>IF(A3983="","",F.P!$I$2)</f>
        <v>1.88</v>
      </c>
      <c r="L3983" s="97">
        <v>0.33333333333333331</v>
      </c>
      <c r="M3983" s="394">
        <f t="shared" ref="M3983:M3987" si="548">IF(A3983="","",I3983*K3983*L3983)</f>
        <v>117038.14666666667</v>
      </c>
      <c r="N3983" s="273"/>
    </row>
    <row r="3984" spans="1:14" ht="12.75" customHeight="1" x14ac:dyDescent="0.25">
      <c r="A3984" s="393"/>
      <c r="B3984" s="271"/>
      <c r="C3984" s="271"/>
      <c r="D3984" s="271"/>
      <c r="E3984" s="271"/>
      <c r="F3984" s="271"/>
      <c r="G3984" s="273"/>
      <c r="H3984" s="29" t="str">
        <f>IF(A3984="","",VLOOKUP(A3984,AA_Cuadrillas,4,FALSE))</f>
        <v/>
      </c>
      <c r="I3984" s="394" t="str">
        <f>IF(A3984="","",VLOOKUP(A3984,AA_Cuadrillas,5,FALSE))</f>
        <v/>
      </c>
      <c r="J3984" s="273"/>
      <c r="K3984" s="9" t="str">
        <f>IF(A3984="","",F.P!$I$2)</f>
        <v/>
      </c>
      <c r="L3984" s="9"/>
      <c r="M3984" s="394" t="str">
        <f t="shared" si="548"/>
        <v/>
      </c>
      <c r="N3984" s="273"/>
    </row>
    <row r="3985" spans="1:15" ht="12.75" customHeight="1" x14ac:dyDescent="0.25">
      <c r="A3985" s="393"/>
      <c r="B3985" s="271"/>
      <c r="C3985" s="271"/>
      <c r="D3985" s="271"/>
      <c r="E3985" s="271"/>
      <c r="F3985" s="271"/>
      <c r="G3985" s="273"/>
      <c r="H3985" s="29" t="str">
        <f>IF(A3985="","",VLOOKUP(A3985,AA_Cuadrillas,4,FALSE))</f>
        <v/>
      </c>
      <c r="I3985" s="394" t="str">
        <f>IF(A3985="","",VLOOKUP(A3985,AA_Cuadrillas,5,FALSE))</f>
        <v/>
      </c>
      <c r="J3985" s="273"/>
      <c r="K3985" s="9" t="str">
        <f>IF(A3985="","",F.P!$I$2)</f>
        <v/>
      </c>
      <c r="L3985" s="37"/>
      <c r="M3985" s="394" t="str">
        <f t="shared" si="548"/>
        <v/>
      </c>
      <c r="N3985" s="273"/>
    </row>
    <row r="3986" spans="1:15" ht="12.75" customHeight="1" x14ac:dyDescent="0.25">
      <c r="A3986" s="393"/>
      <c r="B3986" s="271"/>
      <c r="C3986" s="271"/>
      <c r="D3986" s="271"/>
      <c r="E3986" s="271"/>
      <c r="F3986" s="271"/>
      <c r="G3986" s="273"/>
      <c r="H3986" s="29" t="str">
        <f>IF(A3986="","",VLOOKUP(A3986,AA_Cuadrillas,4,FALSE))</f>
        <v/>
      </c>
      <c r="I3986" s="394" t="str">
        <f>IF(A3986="","",VLOOKUP(A3986,AA_Cuadrillas,5,FALSE))</f>
        <v/>
      </c>
      <c r="J3986" s="273"/>
      <c r="K3986" s="9" t="str">
        <f>IF(A3986="","",F.P!$I$2)</f>
        <v/>
      </c>
      <c r="L3986" s="37"/>
      <c r="M3986" s="394" t="str">
        <f t="shared" si="548"/>
        <v/>
      </c>
      <c r="N3986" s="273"/>
    </row>
    <row r="3987" spans="1:15" ht="12.75" customHeight="1" x14ac:dyDescent="0.25">
      <c r="A3987" s="393"/>
      <c r="B3987" s="271"/>
      <c r="C3987" s="271"/>
      <c r="D3987" s="271"/>
      <c r="E3987" s="271"/>
      <c r="F3987" s="271"/>
      <c r="G3987" s="273"/>
      <c r="H3987" s="29" t="str">
        <f>IF(A3987="","",VLOOKUP(A3987,AA_Cuadrillas,4,FALSE))</f>
        <v/>
      </c>
      <c r="I3987" s="394" t="str">
        <f>IF(A3987="","",VLOOKUP(A3987,AA_Cuadrillas,5,FALSE))</f>
        <v/>
      </c>
      <c r="J3987" s="273"/>
      <c r="K3987" s="9" t="str">
        <f>IF(A3987="","",F.P!$I$2)</f>
        <v/>
      </c>
      <c r="L3987" s="37"/>
      <c r="M3987" s="394" t="str">
        <f t="shared" si="548"/>
        <v/>
      </c>
      <c r="N3987" s="273"/>
    </row>
    <row r="3988" spans="1:15" ht="12.75" customHeight="1" x14ac:dyDescent="0.25">
      <c r="A3988" s="4"/>
      <c r="B3988" s="4"/>
      <c r="C3988" s="4"/>
      <c r="D3988" s="4"/>
      <c r="E3988" s="4"/>
      <c r="F3988" s="4"/>
      <c r="G3988" s="4"/>
      <c r="H3988" s="4"/>
      <c r="I3988" s="4"/>
      <c r="J3988" s="4"/>
      <c r="K3988" s="396" t="s">
        <v>444</v>
      </c>
      <c r="L3988" s="273"/>
      <c r="M3988" s="394">
        <f>SUM(M3983:N3987)</f>
        <v>117038.14666666667</v>
      </c>
      <c r="N3988" s="273"/>
    </row>
    <row r="3989" spans="1:15" ht="12.75" customHeight="1" x14ac:dyDescent="0.2"/>
    <row r="3990" spans="1:15" ht="12.75" customHeight="1" x14ac:dyDescent="0.2">
      <c r="A3990" s="407" t="s">
        <v>1157</v>
      </c>
      <c r="B3990" s="275"/>
      <c r="C3990" s="275"/>
      <c r="D3990" s="275"/>
      <c r="E3990" s="275"/>
      <c r="F3990" s="275"/>
      <c r="G3990" s="275"/>
      <c r="H3990" s="275"/>
      <c r="I3990" s="275"/>
      <c r="J3990" s="275"/>
      <c r="K3990" s="275"/>
      <c r="L3990" s="275"/>
      <c r="M3990" s="275"/>
      <c r="N3990" s="276"/>
      <c r="O3990" s="166"/>
    </row>
    <row r="3991" spans="1:15" ht="12.75" customHeight="1" x14ac:dyDescent="0.2">
      <c r="A3991" s="277"/>
      <c r="B3991" s="278"/>
      <c r="C3991" s="278"/>
      <c r="D3991" s="278"/>
      <c r="E3991" s="278"/>
      <c r="F3991" s="278"/>
      <c r="G3991" s="278"/>
      <c r="H3991" s="278"/>
      <c r="I3991" s="278"/>
      <c r="J3991" s="278"/>
      <c r="K3991" s="278"/>
      <c r="L3991" s="278"/>
      <c r="M3991" s="278"/>
      <c r="N3991" s="279"/>
      <c r="O3991" s="166"/>
    </row>
    <row r="3992" spans="1:15" ht="12.75" customHeight="1" x14ac:dyDescent="0.2">
      <c r="A3992" s="75"/>
      <c r="B3992" s="75"/>
      <c r="C3992" s="75"/>
      <c r="D3992" s="75"/>
      <c r="E3992" s="75"/>
      <c r="F3992" s="75"/>
      <c r="G3992" s="75"/>
      <c r="H3992" s="75"/>
      <c r="I3992" s="75"/>
      <c r="J3992" s="75"/>
      <c r="K3992" s="75"/>
      <c r="L3992" s="75"/>
      <c r="M3992" s="75"/>
      <c r="N3992" s="75"/>
    </row>
    <row r="3993" spans="1:15" ht="12.75" customHeight="1" x14ac:dyDescent="0.3">
      <c r="A3993" s="79" t="s">
        <v>707</v>
      </c>
      <c r="B3993" s="80" t="str">
        <f>A3990</f>
        <v>SUMINISTRO E INSTALACIÓN DE VÁLVULA VENTOSA TRIPLE ACCIÓN Ø3" EN HIERRO DUCTIL</v>
      </c>
      <c r="C3993" s="81" t="s">
        <v>916</v>
      </c>
      <c r="D3993" s="82" t="s">
        <v>999</v>
      </c>
      <c r="E3993" s="83" t="s">
        <v>445</v>
      </c>
      <c r="F3993" s="240">
        <f>(H3993+J3993+L3993+N3993)</f>
        <v>1873532.6493666666</v>
      </c>
      <c r="G3993" s="83" t="s">
        <v>607</v>
      </c>
      <c r="H3993" s="86">
        <f>M4003</f>
        <v>1667000</v>
      </c>
      <c r="I3993" s="83" t="s">
        <v>918</v>
      </c>
      <c r="J3993" s="86">
        <f>M4012</f>
        <v>5851.9073333333336</v>
      </c>
      <c r="K3993" s="83" t="s">
        <v>609</v>
      </c>
      <c r="L3993" s="86">
        <f>M4021</f>
        <v>83642.595366666661</v>
      </c>
      <c r="M3993" s="83" t="s">
        <v>610</v>
      </c>
      <c r="N3993" s="86">
        <f>M4030</f>
        <v>117038.14666666667</v>
      </c>
      <c r="O3993" s="221" t="s">
        <v>3232</v>
      </c>
    </row>
    <row r="3994" spans="1:15" ht="12.75" customHeight="1" x14ac:dyDescent="0.25">
      <c r="A3994" s="87"/>
      <c r="B3994" s="87"/>
      <c r="C3994" s="87"/>
      <c r="D3994" s="87"/>
      <c r="E3994" s="87"/>
      <c r="F3994" s="87"/>
      <c r="G3994" s="87"/>
      <c r="J3994" s="87"/>
      <c r="K3994" s="215" t="s">
        <v>3217</v>
      </c>
      <c r="L3994" s="215">
        <f>+F3993*presup!$O$5</f>
        <v>2435592.4441766664</v>
      </c>
      <c r="M3994" s="87"/>
      <c r="N3994" s="87"/>
    </row>
    <row r="3995" spans="1:15" ht="12.75" customHeight="1" x14ac:dyDescent="0.2">
      <c r="A3995" s="398" t="s">
        <v>919</v>
      </c>
      <c r="B3995" s="271"/>
      <c r="C3995" s="271"/>
      <c r="D3995" s="271"/>
      <c r="E3995" s="271"/>
      <c r="F3995" s="271"/>
      <c r="G3995" s="271"/>
      <c r="H3995" s="271"/>
      <c r="I3995" s="271"/>
      <c r="J3995" s="271"/>
      <c r="K3995" s="271"/>
      <c r="L3995" s="271"/>
      <c r="M3995" s="271"/>
      <c r="N3995" s="273"/>
    </row>
    <row r="3996" spans="1:15" ht="12.75" customHeight="1" x14ac:dyDescent="0.2">
      <c r="A3996" s="396" t="s">
        <v>76</v>
      </c>
      <c r="B3996" s="271"/>
      <c r="C3996" s="271"/>
      <c r="D3996" s="271"/>
      <c r="E3996" s="271"/>
      <c r="F3996" s="271"/>
      <c r="G3996" s="273"/>
      <c r="H3996" s="88" t="s">
        <v>77</v>
      </c>
      <c r="I3996" s="399" t="s">
        <v>920</v>
      </c>
      <c r="J3996" s="273"/>
      <c r="K3996" s="399" t="s">
        <v>453</v>
      </c>
      <c r="L3996" s="273"/>
      <c r="M3996" s="399" t="s">
        <v>921</v>
      </c>
      <c r="N3996" s="273"/>
    </row>
    <row r="3997" spans="1:15" ht="12.75" customHeight="1" x14ac:dyDescent="0.2">
      <c r="A3997" s="403" t="s">
        <v>1158</v>
      </c>
      <c r="B3997" s="271"/>
      <c r="C3997" s="271"/>
      <c r="D3997" s="271"/>
      <c r="E3997" s="271"/>
      <c r="F3997" s="271"/>
      <c r="G3997" s="273"/>
      <c r="H3997" s="29" t="str">
        <f t="shared" ref="H3997:H4002" si="549">IF(A3997="","",VLOOKUP(A3997,AA_Materiales,7,FALSE))</f>
        <v>Unidad</v>
      </c>
      <c r="I3997" s="394">
        <f t="shared" ref="I3997:I4002" si="550">IF(A3997="","",VLOOKUP(A3997,AA_Materiales,8,FALSE))</f>
        <v>1667000</v>
      </c>
      <c r="J3997" s="273"/>
      <c r="K3997" s="395">
        <v>1</v>
      </c>
      <c r="L3997" s="273"/>
      <c r="M3997" s="394">
        <f t="shared" ref="M3997:M4002" si="551">IF(A3997="","",I3997*K3997)</f>
        <v>1667000</v>
      </c>
      <c r="N3997" s="273"/>
    </row>
    <row r="3998" spans="1:15" ht="12.75" customHeight="1" x14ac:dyDescent="0.2">
      <c r="A3998" s="403"/>
      <c r="B3998" s="271"/>
      <c r="C3998" s="271"/>
      <c r="D3998" s="271"/>
      <c r="E3998" s="271"/>
      <c r="F3998" s="271"/>
      <c r="G3998" s="273"/>
      <c r="H3998" s="29" t="str">
        <f t="shared" si="549"/>
        <v/>
      </c>
      <c r="I3998" s="394" t="str">
        <f t="shared" si="550"/>
        <v/>
      </c>
      <c r="J3998" s="273"/>
      <c r="K3998" s="395"/>
      <c r="L3998" s="273"/>
      <c r="M3998" s="394" t="str">
        <f t="shared" si="551"/>
        <v/>
      </c>
      <c r="N3998" s="273"/>
    </row>
    <row r="3999" spans="1:15" ht="12.75" customHeight="1" x14ac:dyDescent="0.2">
      <c r="A3999" s="403"/>
      <c r="B3999" s="271"/>
      <c r="C3999" s="271"/>
      <c r="D3999" s="271"/>
      <c r="E3999" s="271"/>
      <c r="F3999" s="271"/>
      <c r="G3999" s="273"/>
      <c r="H3999" s="29" t="str">
        <f t="shared" si="549"/>
        <v/>
      </c>
      <c r="I3999" s="394" t="str">
        <f t="shared" si="550"/>
        <v/>
      </c>
      <c r="J3999" s="273"/>
      <c r="K3999" s="395"/>
      <c r="L3999" s="273"/>
      <c r="M3999" s="394" t="str">
        <f t="shared" si="551"/>
        <v/>
      </c>
      <c r="N3999" s="273"/>
    </row>
    <row r="4000" spans="1:15" ht="12.75" customHeight="1" x14ac:dyDescent="0.2">
      <c r="A4000" s="403"/>
      <c r="B4000" s="271"/>
      <c r="C4000" s="271"/>
      <c r="D4000" s="271"/>
      <c r="E4000" s="271"/>
      <c r="F4000" s="271"/>
      <c r="G4000" s="273"/>
      <c r="H4000" s="29" t="str">
        <f t="shared" si="549"/>
        <v/>
      </c>
      <c r="I4000" s="394" t="str">
        <f t="shared" si="550"/>
        <v/>
      </c>
      <c r="J4000" s="273"/>
      <c r="K4000" s="395"/>
      <c r="L4000" s="273"/>
      <c r="M4000" s="394" t="str">
        <f t="shared" si="551"/>
        <v/>
      </c>
      <c r="N4000" s="273"/>
    </row>
    <row r="4001" spans="1:14" ht="12.75" customHeight="1" x14ac:dyDescent="0.2">
      <c r="A4001" s="403"/>
      <c r="B4001" s="271"/>
      <c r="C4001" s="271"/>
      <c r="D4001" s="271"/>
      <c r="E4001" s="271"/>
      <c r="F4001" s="271"/>
      <c r="G4001" s="273"/>
      <c r="H4001" s="29" t="str">
        <f t="shared" si="549"/>
        <v/>
      </c>
      <c r="I4001" s="394" t="str">
        <f t="shared" si="550"/>
        <v/>
      </c>
      <c r="J4001" s="273"/>
      <c r="K4001" s="395"/>
      <c r="L4001" s="273"/>
      <c r="M4001" s="394" t="str">
        <f t="shared" si="551"/>
        <v/>
      </c>
      <c r="N4001" s="273"/>
    </row>
    <row r="4002" spans="1:14" ht="12.75" customHeight="1" x14ac:dyDescent="0.2">
      <c r="A4002" s="403"/>
      <c r="B4002" s="271"/>
      <c r="C4002" s="271"/>
      <c r="D4002" s="271"/>
      <c r="E4002" s="271"/>
      <c r="F4002" s="271"/>
      <c r="G4002" s="273"/>
      <c r="H4002" s="29" t="str">
        <f t="shared" si="549"/>
        <v/>
      </c>
      <c r="I4002" s="394" t="str">
        <f t="shared" si="550"/>
        <v/>
      </c>
      <c r="J4002" s="273"/>
      <c r="K4002" s="395"/>
      <c r="L4002" s="273"/>
      <c r="M4002" s="394" t="str">
        <f t="shared" si="551"/>
        <v/>
      </c>
      <c r="N4002" s="273"/>
    </row>
    <row r="4003" spans="1:14" ht="12.75" customHeight="1" x14ac:dyDescent="0.25">
      <c r="A4003" s="4"/>
      <c r="B4003" s="4"/>
      <c r="C4003" s="4"/>
      <c r="D4003" s="4"/>
      <c r="E4003" s="4"/>
      <c r="F4003" s="4"/>
      <c r="G4003" s="4"/>
      <c r="H4003" s="4"/>
      <c r="I4003" s="4"/>
      <c r="J4003" s="4"/>
      <c r="K4003" s="396" t="s">
        <v>444</v>
      </c>
      <c r="L4003" s="273"/>
      <c r="M4003" s="394">
        <f>SUM(M3997:N4002)</f>
        <v>1667000</v>
      </c>
      <c r="N4003" s="273"/>
    </row>
    <row r="4004" spans="1:14" ht="12.75" customHeight="1" x14ac:dyDescent="0.25">
      <c r="A4004" s="4"/>
      <c r="B4004" s="4"/>
      <c r="C4004" s="4"/>
      <c r="D4004" s="4"/>
      <c r="E4004" s="4"/>
      <c r="F4004" s="4"/>
      <c r="G4004" s="4"/>
      <c r="H4004" s="4"/>
      <c r="I4004" s="4"/>
      <c r="J4004" s="4"/>
      <c r="K4004" s="4"/>
      <c r="L4004" s="4"/>
      <c r="M4004" s="4"/>
      <c r="N4004" s="4"/>
    </row>
    <row r="4005" spans="1:14" ht="12.75" customHeight="1" x14ac:dyDescent="0.2">
      <c r="A4005" s="398" t="s">
        <v>926</v>
      </c>
      <c r="B4005" s="271"/>
      <c r="C4005" s="271"/>
      <c r="D4005" s="271"/>
      <c r="E4005" s="271"/>
      <c r="F4005" s="271"/>
      <c r="G4005" s="271"/>
      <c r="H4005" s="271"/>
      <c r="I4005" s="271"/>
      <c r="J4005" s="271"/>
      <c r="K4005" s="271"/>
      <c r="L4005" s="271"/>
      <c r="M4005" s="271"/>
      <c r="N4005" s="273"/>
    </row>
    <row r="4006" spans="1:14" ht="12.75" customHeight="1" x14ac:dyDescent="0.2">
      <c r="A4006" s="396" t="s">
        <v>76</v>
      </c>
      <c r="B4006" s="271"/>
      <c r="C4006" s="271"/>
      <c r="D4006" s="271"/>
      <c r="E4006" s="271"/>
      <c r="F4006" s="271"/>
      <c r="G4006" s="273"/>
      <c r="H4006" s="88" t="s">
        <v>77</v>
      </c>
      <c r="I4006" s="399" t="s">
        <v>920</v>
      </c>
      <c r="J4006" s="273"/>
      <c r="K4006" s="399" t="s">
        <v>453</v>
      </c>
      <c r="L4006" s="273"/>
      <c r="M4006" s="399" t="s">
        <v>921</v>
      </c>
      <c r="N4006" s="273"/>
    </row>
    <row r="4007" spans="1:14" ht="12.75" customHeight="1" x14ac:dyDescent="0.2">
      <c r="A4007" s="400" t="s">
        <v>927</v>
      </c>
      <c r="B4007" s="271"/>
      <c r="C4007" s="271"/>
      <c r="D4007" s="271"/>
      <c r="E4007" s="271"/>
      <c r="F4007" s="271"/>
      <c r="G4007" s="273"/>
      <c r="H4007" s="29" t="str">
        <f>IF(A4007="","",VLOOKUP(A4007,AA_Equipos,7,FALSE))</f>
        <v>% M.O.</v>
      </c>
      <c r="I4007" s="394">
        <f>+M4030</f>
        <v>117038.14666666667</v>
      </c>
      <c r="J4007" s="273"/>
      <c r="K4007" s="404">
        <v>0.05</v>
      </c>
      <c r="L4007" s="273"/>
      <c r="M4007" s="394">
        <f t="shared" ref="M4007:M4011" si="552">IF(A4007="","",I4007*K4007)</f>
        <v>5851.9073333333336</v>
      </c>
      <c r="N4007" s="273"/>
    </row>
    <row r="4008" spans="1:14" ht="12.75" customHeight="1" x14ac:dyDescent="0.2">
      <c r="A4008" s="403"/>
      <c r="B4008" s="271"/>
      <c r="C4008" s="271"/>
      <c r="D4008" s="271"/>
      <c r="E4008" s="271"/>
      <c r="F4008" s="271"/>
      <c r="G4008" s="273"/>
      <c r="H4008" s="29" t="str">
        <f>IF(A4008="","",VLOOKUP(A4008,AA_Equipos,7,FALSE))</f>
        <v/>
      </c>
      <c r="I4008" s="394" t="str">
        <f>IF(A4008="","",VLOOKUP(A4008,AA_Equipos,8,FALSE))</f>
        <v/>
      </c>
      <c r="J4008" s="273"/>
      <c r="K4008" s="402"/>
      <c r="L4008" s="273"/>
      <c r="M4008" s="394" t="str">
        <f t="shared" si="552"/>
        <v/>
      </c>
      <c r="N4008" s="273"/>
    </row>
    <row r="4009" spans="1:14" ht="12.75" customHeight="1" x14ac:dyDescent="0.2">
      <c r="A4009" s="400"/>
      <c r="B4009" s="271"/>
      <c r="C4009" s="271"/>
      <c r="D4009" s="271"/>
      <c r="E4009" s="271"/>
      <c r="F4009" s="271"/>
      <c r="G4009" s="273"/>
      <c r="H4009" s="29" t="str">
        <f>IF(A4009="","",VLOOKUP(A4009,AA_Equipos,7,FALSE))</f>
        <v/>
      </c>
      <c r="I4009" s="394" t="str">
        <f>IF(A4009="","",VLOOKUP(A4009,AA_Equipos,8,FALSE))</f>
        <v/>
      </c>
      <c r="J4009" s="273"/>
      <c r="K4009" s="401"/>
      <c r="L4009" s="273"/>
      <c r="M4009" s="394" t="str">
        <f t="shared" si="552"/>
        <v/>
      </c>
      <c r="N4009" s="273"/>
    </row>
    <row r="4010" spans="1:14" ht="12.75" customHeight="1" x14ac:dyDescent="0.2">
      <c r="A4010" s="400"/>
      <c r="B4010" s="271"/>
      <c r="C4010" s="271"/>
      <c r="D4010" s="271"/>
      <c r="E4010" s="271"/>
      <c r="F4010" s="271"/>
      <c r="G4010" s="273"/>
      <c r="H4010" s="29" t="str">
        <f>IF(A4010="","",VLOOKUP(A4010,AA_Equipos,7,FALSE))</f>
        <v/>
      </c>
      <c r="I4010" s="394" t="str">
        <f>IF(A4010="","",VLOOKUP(A4010,AA_Equipos,8,FALSE))</f>
        <v/>
      </c>
      <c r="J4010" s="273"/>
      <c r="K4010" s="395"/>
      <c r="L4010" s="273"/>
      <c r="M4010" s="394" t="str">
        <f t="shared" si="552"/>
        <v/>
      </c>
      <c r="N4010" s="273"/>
    </row>
    <row r="4011" spans="1:14" ht="12.75" customHeight="1" x14ac:dyDescent="0.2">
      <c r="A4011" s="400"/>
      <c r="B4011" s="271"/>
      <c r="C4011" s="271"/>
      <c r="D4011" s="271"/>
      <c r="E4011" s="271"/>
      <c r="F4011" s="271"/>
      <c r="G4011" s="273"/>
      <c r="H4011" s="29" t="str">
        <f>IF(A4011="","",VLOOKUP(A4011,AA_Equipos,7,FALSE))</f>
        <v/>
      </c>
      <c r="I4011" s="394" t="str">
        <f>IF(A4011="","",VLOOKUP(A4011,AA_Equipos,8,FALSE))</f>
        <v/>
      </c>
      <c r="J4011" s="273"/>
      <c r="K4011" s="395"/>
      <c r="L4011" s="273"/>
      <c r="M4011" s="394" t="str">
        <f t="shared" si="552"/>
        <v/>
      </c>
      <c r="N4011" s="273"/>
    </row>
    <row r="4012" spans="1:14" ht="12.75" customHeight="1" x14ac:dyDescent="0.25">
      <c r="A4012" s="4"/>
      <c r="B4012" s="4"/>
      <c r="C4012" s="4"/>
      <c r="D4012" s="4"/>
      <c r="E4012" s="4"/>
      <c r="F4012" s="4"/>
      <c r="G4012" s="4"/>
      <c r="H4012" s="4"/>
      <c r="I4012" s="4"/>
      <c r="J4012" s="4"/>
      <c r="K4012" s="396" t="s">
        <v>444</v>
      </c>
      <c r="L4012" s="273"/>
      <c r="M4012" s="394">
        <f>SUM(M4007:N4011)</f>
        <v>5851.9073333333336</v>
      </c>
      <c r="N4012" s="273"/>
    </row>
    <row r="4013" spans="1:14" ht="12.75" customHeight="1" x14ac:dyDescent="0.25">
      <c r="A4013" s="4"/>
      <c r="B4013" s="4"/>
      <c r="C4013" s="4"/>
      <c r="D4013" s="4"/>
      <c r="E4013" s="4"/>
      <c r="F4013" s="4"/>
      <c r="G4013" s="4"/>
      <c r="H4013" s="4"/>
      <c r="I4013" s="4"/>
      <c r="J4013" s="4"/>
      <c r="K4013" s="4"/>
      <c r="L4013" s="4"/>
      <c r="M4013" s="4"/>
      <c r="N4013" s="4"/>
    </row>
    <row r="4014" spans="1:14" ht="12.75" customHeight="1" x14ac:dyDescent="0.2">
      <c r="A4014" s="398" t="s">
        <v>929</v>
      </c>
      <c r="B4014" s="271"/>
      <c r="C4014" s="271"/>
      <c r="D4014" s="271"/>
      <c r="E4014" s="271"/>
      <c r="F4014" s="271"/>
      <c r="G4014" s="271"/>
      <c r="H4014" s="271"/>
      <c r="I4014" s="271"/>
      <c r="J4014" s="271"/>
      <c r="K4014" s="271"/>
      <c r="L4014" s="271"/>
      <c r="M4014" s="271"/>
      <c r="N4014" s="273"/>
    </row>
    <row r="4015" spans="1:14" ht="12.75" customHeight="1" x14ac:dyDescent="0.2">
      <c r="A4015" s="396" t="s">
        <v>76</v>
      </c>
      <c r="B4015" s="271"/>
      <c r="C4015" s="271"/>
      <c r="D4015" s="271"/>
      <c r="E4015" s="271"/>
      <c r="F4015" s="271"/>
      <c r="G4015" s="273"/>
      <c r="H4015" s="88" t="s">
        <v>77</v>
      </c>
      <c r="I4015" s="399" t="s">
        <v>920</v>
      </c>
      <c r="J4015" s="273"/>
      <c r="K4015" s="399" t="s">
        <v>453</v>
      </c>
      <c r="L4015" s="273"/>
      <c r="M4015" s="399" t="s">
        <v>921</v>
      </c>
      <c r="N4015" s="273"/>
    </row>
    <row r="4016" spans="1:14" ht="12.75" customHeight="1" x14ac:dyDescent="0.2">
      <c r="A4016" s="400" t="s">
        <v>966</v>
      </c>
      <c r="B4016" s="271"/>
      <c r="C4016" s="271"/>
      <c r="D4016" s="271"/>
      <c r="E4016" s="271"/>
      <c r="F4016" s="271"/>
      <c r="G4016" s="273"/>
      <c r="H4016" s="29" t="s">
        <v>950</v>
      </c>
      <c r="I4016" s="394">
        <f>+M4003</f>
        <v>1667000</v>
      </c>
      <c r="J4016" s="273"/>
      <c r="K4016" s="404">
        <v>0.05</v>
      </c>
      <c r="L4016" s="273"/>
      <c r="M4016" s="394">
        <f t="shared" ref="M4016:M4020" si="553">IF(A4016="","",I4016*K4016)</f>
        <v>83350</v>
      </c>
      <c r="N4016" s="273"/>
    </row>
    <row r="4017" spans="1:14" ht="12.75" customHeight="1" x14ac:dyDescent="0.2">
      <c r="A4017" s="403" t="s">
        <v>3174</v>
      </c>
      <c r="B4017" s="271"/>
      <c r="C4017" s="271"/>
      <c r="D4017" s="271"/>
      <c r="E4017" s="271"/>
      <c r="F4017" s="271"/>
      <c r="G4017" s="273"/>
      <c r="H4017" s="29" t="s">
        <v>24</v>
      </c>
      <c r="I4017" s="394">
        <f>+M4012</f>
        <v>5851.9073333333336</v>
      </c>
      <c r="J4017" s="273"/>
      <c r="K4017" s="404">
        <v>0.05</v>
      </c>
      <c r="L4017" s="273"/>
      <c r="M4017" s="394">
        <f t="shared" si="553"/>
        <v>292.59536666666668</v>
      </c>
      <c r="N4017" s="273"/>
    </row>
    <row r="4018" spans="1:14" ht="12.75" customHeight="1" x14ac:dyDescent="0.2">
      <c r="A4018" s="400"/>
      <c r="B4018" s="271"/>
      <c r="C4018" s="271"/>
      <c r="D4018" s="271"/>
      <c r="E4018" s="271"/>
      <c r="F4018" s="271"/>
      <c r="G4018" s="273"/>
      <c r="H4018" s="29"/>
      <c r="I4018" s="394"/>
      <c r="J4018" s="273"/>
      <c r="K4018" s="395"/>
      <c r="L4018" s="273"/>
      <c r="M4018" s="394" t="str">
        <f t="shared" si="553"/>
        <v/>
      </c>
      <c r="N4018" s="273"/>
    </row>
    <row r="4019" spans="1:14" ht="12.75" customHeight="1" x14ac:dyDescent="0.2">
      <c r="A4019" s="400"/>
      <c r="B4019" s="271"/>
      <c r="C4019" s="271"/>
      <c r="D4019" s="271"/>
      <c r="E4019" s="271"/>
      <c r="F4019" s="271"/>
      <c r="G4019" s="273"/>
      <c r="H4019" s="29"/>
      <c r="I4019" s="394"/>
      <c r="J4019" s="273"/>
      <c r="K4019" s="395"/>
      <c r="L4019" s="273"/>
      <c r="M4019" s="394" t="str">
        <f t="shared" si="553"/>
        <v/>
      </c>
      <c r="N4019" s="273"/>
    </row>
    <row r="4020" spans="1:14" ht="12.75" customHeight="1" x14ac:dyDescent="0.2">
      <c r="A4020" s="400"/>
      <c r="B4020" s="271"/>
      <c r="C4020" s="271"/>
      <c r="D4020" s="271"/>
      <c r="E4020" s="271"/>
      <c r="F4020" s="271"/>
      <c r="G4020" s="273"/>
      <c r="H4020" s="29"/>
      <c r="I4020" s="394"/>
      <c r="J4020" s="273"/>
      <c r="K4020" s="395"/>
      <c r="L4020" s="273"/>
      <c r="M4020" s="394" t="str">
        <f t="shared" si="553"/>
        <v/>
      </c>
      <c r="N4020" s="273"/>
    </row>
    <row r="4021" spans="1:14" ht="12.75" customHeight="1" x14ac:dyDescent="0.25">
      <c r="A4021" s="4"/>
      <c r="B4021" s="4"/>
      <c r="C4021" s="4"/>
      <c r="D4021" s="4"/>
      <c r="E4021" s="4"/>
      <c r="F4021" s="4"/>
      <c r="G4021" s="4"/>
      <c r="H4021" s="4"/>
      <c r="I4021" s="4"/>
      <c r="J4021" s="4"/>
      <c r="K4021" s="396" t="s">
        <v>444</v>
      </c>
      <c r="L4021" s="273"/>
      <c r="M4021" s="394">
        <f>SUM(M4016:N4020)</f>
        <v>83642.595366666661</v>
      </c>
      <c r="N4021" s="273"/>
    </row>
    <row r="4022" spans="1:14" ht="12.75" customHeight="1" x14ac:dyDescent="0.25">
      <c r="A4022" s="4"/>
      <c r="B4022" s="4"/>
      <c r="C4022" s="4"/>
      <c r="D4022" s="4"/>
      <c r="E4022" s="4"/>
      <c r="F4022" s="4"/>
      <c r="G4022" s="4"/>
      <c r="H4022" s="4"/>
      <c r="I4022" s="4"/>
      <c r="J4022" s="4"/>
      <c r="K4022" s="4"/>
      <c r="L4022" s="4"/>
      <c r="M4022" s="4"/>
      <c r="N4022" s="4"/>
    </row>
    <row r="4023" spans="1:14" ht="12.75" customHeight="1" x14ac:dyDescent="0.2">
      <c r="A4023" s="398" t="s">
        <v>931</v>
      </c>
      <c r="B4023" s="271"/>
      <c r="C4023" s="271"/>
      <c r="D4023" s="271"/>
      <c r="E4023" s="271"/>
      <c r="F4023" s="271"/>
      <c r="G4023" s="271"/>
      <c r="H4023" s="271"/>
      <c r="I4023" s="271"/>
      <c r="J4023" s="271"/>
      <c r="K4023" s="271"/>
      <c r="L4023" s="271"/>
      <c r="M4023" s="271"/>
      <c r="N4023" s="273"/>
    </row>
    <row r="4024" spans="1:14" ht="12.75" customHeight="1" x14ac:dyDescent="0.2">
      <c r="A4024" s="396" t="s">
        <v>76</v>
      </c>
      <c r="B4024" s="271"/>
      <c r="C4024" s="271"/>
      <c r="D4024" s="271"/>
      <c r="E4024" s="271"/>
      <c r="F4024" s="271"/>
      <c r="G4024" s="273"/>
      <c r="H4024" s="88" t="s">
        <v>77</v>
      </c>
      <c r="I4024" s="399" t="s">
        <v>920</v>
      </c>
      <c r="J4024" s="273"/>
      <c r="K4024" s="90" t="s">
        <v>514</v>
      </c>
      <c r="L4024" s="91" t="s">
        <v>932</v>
      </c>
      <c r="M4024" s="399" t="s">
        <v>921</v>
      </c>
      <c r="N4024" s="273"/>
    </row>
    <row r="4025" spans="1:14" ht="12.75" customHeight="1" x14ac:dyDescent="0.25">
      <c r="A4025" s="393" t="s">
        <v>951</v>
      </c>
      <c r="B4025" s="271"/>
      <c r="C4025" s="271"/>
      <c r="D4025" s="271"/>
      <c r="E4025" s="271"/>
      <c r="F4025" s="271"/>
      <c r="G4025" s="273"/>
      <c r="H4025" s="29" t="str">
        <f>IF(A4025="","",VLOOKUP(A4025,AA_Cuadrillas,4,FALSE))</f>
        <v>Cuadrilla</v>
      </c>
      <c r="I4025" s="394">
        <f>IF(A4025="","",VLOOKUP(A4025,AA_Cuadrillas,5,FALSE))</f>
        <v>186763</v>
      </c>
      <c r="J4025" s="273"/>
      <c r="K4025" s="9">
        <f>IF(A4025="","",F.P!$I$2)</f>
        <v>1.88</v>
      </c>
      <c r="L4025" s="97">
        <v>0.33333333333333331</v>
      </c>
      <c r="M4025" s="394">
        <f t="shared" ref="M4025:M4029" si="554">IF(A4025="","",I4025*K4025*L4025)</f>
        <v>117038.14666666667</v>
      </c>
      <c r="N4025" s="273"/>
    </row>
    <row r="4026" spans="1:14" ht="12.75" customHeight="1" x14ac:dyDescent="0.25">
      <c r="A4026" s="393"/>
      <c r="B4026" s="271"/>
      <c r="C4026" s="271"/>
      <c r="D4026" s="271"/>
      <c r="E4026" s="271"/>
      <c r="F4026" s="271"/>
      <c r="G4026" s="273"/>
      <c r="H4026" s="29" t="str">
        <f>IF(A4026="","",VLOOKUP(A4026,AA_Cuadrillas,4,FALSE))</f>
        <v/>
      </c>
      <c r="I4026" s="394" t="str">
        <f>IF(A4026="","",VLOOKUP(A4026,AA_Cuadrillas,5,FALSE))</f>
        <v/>
      </c>
      <c r="J4026" s="273"/>
      <c r="K4026" s="9" t="str">
        <f>IF(A4026="","",F.P!$I$2)</f>
        <v/>
      </c>
      <c r="L4026" s="9"/>
      <c r="M4026" s="394" t="str">
        <f t="shared" si="554"/>
        <v/>
      </c>
      <c r="N4026" s="273"/>
    </row>
    <row r="4027" spans="1:14" ht="12.75" customHeight="1" x14ac:dyDescent="0.25">
      <c r="A4027" s="393"/>
      <c r="B4027" s="271"/>
      <c r="C4027" s="271"/>
      <c r="D4027" s="271"/>
      <c r="E4027" s="271"/>
      <c r="F4027" s="271"/>
      <c r="G4027" s="273"/>
      <c r="H4027" s="29" t="str">
        <f>IF(A4027="","",VLOOKUP(A4027,AA_Cuadrillas,4,FALSE))</f>
        <v/>
      </c>
      <c r="I4027" s="394" t="str">
        <f>IF(A4027="","",VLOOKUP(A4027,AA_Cuadrillas,5,FALSE))</f>
        <v/>
      </c>
      <c r="J4027" s="273"/>
      <c r="K4027" s="9" t="str">
        <f>IF(A4027="","",F.P!$I$2)</f>
        <v/>
      </c>
      <c r="L4027" s="37"/>
      <c r="M4027" s="394" t="str">
        <f t="shared" si="554"/>
        <v/>
      </c>
      <c r="N4027" s="273"/>
    </row>
    <row r="4028" spans="1:14" ht="12.75" customHeight="1" x14ac:dyDescent="0.25">
      <c r="A4028" s="393"/>
      <c r="B4028" s="271"/>
      <c r="C4028" s="271"/>
      <c r="D4028" s="271"/>
      <c r="E4028" s="271"/>
      <c r="F4028" s="271"/>
      <c r="G4028" s="273"/>
      <c r="H4028" s="29" t="str">
        <f>IF(A4028="","",VLOOKUP(A4028,AA_Cuadrillas,4,FALSE))</f>
        <v/>
      </c>
      <c r="I4028" s="394" t="str">
        <f>IF(A4028="","",VLOOKUP(A4028,AA_Cuadrillas,5,FALSE))</f>
        <v/>
      </c>
      <c r="J4028" s="273"/>
      <c r="K4028" s="9" t="str">
        <f>IF(A4028="","",F.P!$I$2)</f>
        <v/>
      </c>
      <c r="L4028" s="37"/>
      <c r="M4028" s="394" t="str">
        <f t="shared" si="554"/>
        <v/>
      </c>
      <c r="N4028" s="273"/>
    </row>
    <row r="4029" spans="1:14" ht="12.75" customHeight="1" x14ac:dyDescent="0.25">
      <c r="A4029" s="393"/>
      <c r="B4029" s="271"/>
      <c r="C4029" s="271"/>
      <c r="D4029" s="271"/>
      <c r="E4029" s="271"/>
      <c r="F4029" s="271"/>
      <c r="G4029" s="273"/>
      <c r="H4029" s="29" t="str">
        <f>IF(A4029="","",VLOOKUP(A4029,AA_Cuadrillas,4,FALSE))</f>
        <v/>
      </c>
      <c r="I4029" s="394" t="str">
        <f>IF(A4029="","",VLOOKUP(A4029,AA_Cuadrillas,5,FALSE))</f>
        <v/>
      </c>
      <c r="J4029" s="273"/>
      <c r="K4029" s="9" t="str">
        <f>IF(A4029="","",F.P!$I$2)</f>
        <v/>
      </c>
      <c r="L4029" s="37"/>
      <c r="M4029" s="394" t="str">
        <f t="shared" si="554"/>
        <v/>
      </c>
      <c r="N4029" s="273"/>
    </row>
    <row r="4030" spans="1:14" ht="12.75" customHeight="1" x14ac:dyDescent="0.25">
      <c r="A4030" s="4"/>
      <c r="B4030" s="4"/>
      <c r="C4030" s="4"/>
      <c r="D4030" s="4"/>
      <c r="E4030" s="4"/>
      <c r="F4030" s="4"/>
      <c r="G4030" s="4"/>
      <c r="H4030" s="4"/>
      <c r="I4030" s="4"/>
      <c r="J4030" s="4"/>
      <c r="K4030" s="396" t="s">
        <v>444</v>
      </c>
      <c r="L4030" s="273"/>
      <c r="M4030" s="394">
        <f>SUM(M4025:N4029)</f>
        <v>117038.14666666667</v>
      </c>
      <c r="N4030" s="273"/>
    </row>
    <row r="4031" spans="1:14" ht="12.75" customHeight="1" x14ac:dyDescent="0.2"/>
    <row r="4032" spans="1:14" ht="12.75" customHeight="1" x14ac:dyDescent="0.2">
      <c r="A4032" s="407" t="s">
        <v>1159</v>
      </c>
      <c r="B4032" s="275"/>
      <c r="C4032" s="275"/>
      <c r="D4032" s="275"/>
      <c r="E4032" s="275"/>
      <c r="F4032" s="275"/>
      <c r="G4032" s="275"/>
      <c r="H4032" s="275"/>
      <c r="I4032" s="275"/>
      <c r="J4032" s="275"/>
      <c r="K4032" s="275"/>
      <c r="L4032" s="275"/>
      <c r="M4032" s="275"/>
      <c r="N4032" s="276"/>
    </row>
    <row r="4033" spans="1:15" ht="12.75" customHeight="1" x14ac:dyDescent="0.2">
      <c r="A4033" s="277"/>
      <c r="B4033" s="278"/>
      <c r="C4033" s="278"/>
      <c r="D4033" s="278"/>
      <c r="E4033" s="278"/>
      <c r="F4033" s="278"/>
      <c r="G4033" s="278"/>
      <c r="H4033" s="278"/>
      <c r="I4033" s="278"/>
      <c r="J4033" s="278"/>
      <c r="K4033" s="278"/>
      <c r="L4033" s="278"/>
      <c r="M4033" s="278"/>
      <c r="N4033" s="279"/>
    </row>
    <row r="4034" spans="1:15" ht="12.75" customHeight="1" x14ac:dyDescent="0.2">
      <c r="A4034" s="75"/>
      <c r="B4034" s="75"/>
      <c r="C4034" s="75"/>
      <c r="D4034" s="75"/>
      <c r="E4034" s="75"/>
      <c r="F4034" s="75"/>
      <c r="G4034" s="75"/>
      <c r="H4034" s="75"/>
      <c r="I4034" s="75"/>
      <c r="J4034" s="75"/>
      <c r="K4034" s="75"/>
      <c r="L4034" s="75"/>
      <c r="M4034" s="75"/>
      <c r="N4034" s="75"/>
    </row>
    <row r="4035" spans="1:15" ht="12.75" customHeight="1" x14ac:dyDescent="0.3">
      <c r="A4035" s="79" t="s">
        <v>708</v>
      </c>
      <c r="B4035" s="80" t="str">
        <f>A4032</f>
        <v>SUMINISTRO E INSTALACIÓN DE VÁLVULA VENTOSA TRIPLE ACCIÓN Ø4" EN HIERRO DUCTIL</v>
      </c>
      <c r="C4035" s="81" t="s">
        <v>916</v>
      </c>
      <c r="D4035" s="82" t="s">
        <v>999</v>
      </c>
      <c r="E4035" s="83" t="s">
        <v>445</v>
      </c>
      <c r="F4035" s="240">
        <f>H4035+J4035+L4035+N4035</f>
        <v>2439190.054</v>
      </c>
      <c r="G4035" s="83" t="s">
        <v>607</v>
      </c>
      <c r="H4035" s="86">
        <f>M4045</f>
        <v>2206000</v>
      </c>
      <c r="I4035" s="83" t="s">
        <v>918</v>
      </c>
      <c r="J4035" s="86">
        <f>M4054</f>
        <v>5851.9073333333336</v>
      </c>
      <c r="K4035" s="83" t="s">
        <v>609</v>
      </c>
      <c r="L4035" s="86">
        <f>M4063</f>
        <v>110300</v>
      </c>
      <c r="M4035" s="83" t="s">
        <v>610</v>
      </c>
      <c r="N4035" s="86">
        <f>M4072</f>
        <v>117038.14666666667</v>
      </c>
      <c r="O4035" t="s">
        <v>3222</v>
      </c>
    </row>
    <row r="4036" spans="1:15" ht="12.75" customHeight="1" x14ac:dyDescent="0.25">
      <c r="A4036" s="87"/>
      <c r="B4036" s="87"/>
      <c r="C4036" s="87"/>
      <c r="D4036" s="87"/>
      <c r="E4036" s="87"/>
      <c r="F4036" s="87"/>
      <c r="G4036" s="87"/>
      <c r="J4036" s="87"/>
      <c r="K4036" s="215" t="s">
        <v>3217</v>
      </c>
      <c r="L4036" s="215">
        <f>+F4035*presup!$O$5</f>
        <v>3170947.0702</v>
      </c>
      <c r="M4036" s="87"/>
      <c r="N4036" s="87"/>
    </row>
    <row r="4037" spans="1:15" ht="12.75" customHeight="1" x14ac:dyDescent="0.2">
      <c r="A4037" s="398" t="s">
        <v>919</v>
      </c>
      <c r="B4037" s="271"/>
      <c r="C4037" s="271"/>
      <c r="D4037" s="271"/>
      <c r="E4037" s="271"/>
      <c r="F4037" s="271"/>
      <c r="G4037" s="271"/>
      <c r="H4037" s="271"/>
      <c r="I4037" s="271"/>
      <c r="J4037" s="271"/>
      <c r="K4037" s="271"/>
      <c r="L4037" s="271"/>
      <c r="M4037" s="271"/>
      <c r="N4037" s="273"/>
    </row>
    <row r="4038" spans="1:15" ht="12.75" customHeight="1" x14ac:dyDescent="0.2">
      <c r="A4038" s="396" t="s">
        <v>76</v>
      </c>
      <c r="B4038" s="271"/>
      <c r="C4038" s="271"/>
      <c r="D4038" s="271"/>
      <c r="E4038" s="271"/>
      <c r="F4038" s="271"/>
      <c r="G4038" s="273"/>
      <c r="H4038" s="88" t="s">
        <v>77</v>
      </c>
      <c r="I4038" s="399" t="s">
        <v>920</v>
      </c>
      <c r="J4038" s="273"/>
      <c r="K4038" s="399" t="s">
        <v>453</v>
      </c>
      <c r="L4038" s="273"/>
      <c r="M4038" s="399" t="s">
        <v>921</v>
      </c>
      <c r="N4038" s="273"/>
    </row>
    <row r="4039" spans="1:15" ht="12.75" customHeight="1" x14ac:dyDescent="0.2">
      <c r="A4039" s="403" t="s">
        <v>1160</v>
      </c>
      <c r="B4039" s="271"/>
      <c r="C4039" s="271"/>
      <c r="D4039" s="271"/>
      <c r="E4039" s="271"/>
      <c r="F4039" s="271"/>
      <c r="G4039" s="273"/>
      <c r="H4039" s="29" t="str">
        <f t="shared" ref="H4039:H4044" si="555">IF(A4039="","",VLOOKUP(A4039,AA_Materiales,7,FALSE))</f>
        <v>Unidad</v>
      </c>
      <c r="I4039" s="394">
        <f t="shared" ref="I4039:I4044" si="556">IF(A4039="","",VLOOKUP(A4039,AA_Materiales,8,FALSE))</f>
        <v>2206000</v>
      </c>
      <c r="J4039" s="273"/>
      <c r="K4039" s="395">
        <v>1</v>
      </c>
      <c r="L4039" s="273"/>
      <c r="M4039" s="394">
        <f t="shared" ref="M4039:M4044" si="557">IF(A4039="","",I4039*K4039)</f>
        <v>2206000</v>
      </c>
      <c r="N4039" s="273"/>
    </row>
    <row r="4040" spans="1:15" ht="12.75" customHeight="1" x14ac:dyDescent="0.2">
      <c r="A4040" s="403"/>
      <c r="B4040" s="271"/>
      <c r="C4040" s="271"/>
      <c r="D4040" s="271"/>
      <c r="E4040" s="271"/>
      <c r="F4040" s="271"/>
      <c r="G4040" s="273"/>
      <c r="H4040" s="29" t="str">
        <f t="shared" si="555"/>
        <v/>
      </c>
      <c r="I4040" s="394" t="str">
        <f t="shared" si="556"/>
        <v/>
      </c>
      <c r="J4040" s="273"/>
      <c r="K4040" s="395"/>
      <c r="L4040" s="273"/>
      <c r="M4040" s="394" t="str">
        <f t="shared" si="557"/>
        <v/>
      </c>
      <c r="N4040" s="273"/>
    </row>
    <row r="4041" spans="1:15" ht="12.75" customHeight="1" x14ac:dyDescent="0.2">
      <c r="A4041" s="403"/>
      <c r="B4041" s="271"/>
      <c r="C4041" s="271"/>
      <c r="D4041" s="271"/>
      <c r="E4041" s="271"/>
      <c r="F4041" s="271"/>
      <c r="G4041" s="273"/>
      <c r="H4041" s="29" t="str">
        <f t="shared" si="555"/>
        <v/>
      </c>
      <c r="I4041" s="394" t="str">
        <f t="shared" si="556"/>
        <v/>
      </c>
      <c r="J4041" s="273"/>
      <c r="K4041" s="395"/>
      <c r="L4041" s="273"/>
      <c r="M4041" s="394" t="str">
        <f t="shared" si="557"/>
        <v/>
      </c>
      <c r="N4041" s="273"/>
    </row>
    <row r="4042" spans="1:15" ht="12.75" customHeight="1" x14ac:dyDescent="0.2">
      <c r="A4042" s="403"/>
      <c r="B4042" s="271"/>
      <c r="C4042" s="271"/>
      <c r="D4042" s="271"/>
      <c r="E4042" s="271"/>
      <c r="F4042" s="271"/>
      <c r="G4042" s="273"/>
      <c r="H4042" s="29" t="str">
        <f t="shared" si="555"/>
        <v/>
      </c>
      <c r="I4042" s="394" t="str">
        <f t="shared" si="556"/>
        <v/>
      </c>
      <c r="J4042" s="273"/>
      <c r="K4042" s="395"/>
      <c r="L4042" s="273"/>
      <c r="M4042" s="394" t="str">
        <f t="shared" si="557"/>
        <v/>
      </c>
      <c r="N4042" s="273"/>
    </row>
    <row r="4043" spans="1:15" ht="12.75" customHeight="1" x14ac:dyDescent="0.2">
      <c r="A4043" s="403"/>
      <c r="B4043" s="271"/>
      <c r="C4043" s="271"/>
      <c r="D4043" s="271"/>
      <c r="E4043" s="271"/>
      <c r="F4043" s="271"/>
      <c r="G4043" s="273"/>
      <c r="H4043" s="29" t="str">
        <f t="shared" si="555"/>
        <v/>
      </c>
      <c r="I4043" s="394" t="str">
        <f t="shared" si="556"/>
        <v/>
      </c>
      <c r="J4043" s="273"/>
      <c r="K4043" s="395"/>
      <c r="L4043" s="273"/>
      <c r="M4043" s="394" t="str">
        <f t="shared" si="557"/>
        <v/>
      </c>
      <c r="N4043" s="273"/>
    </row>
    <row r="4044" spans="1:15" ht="12.75" customHeight="1" x14ac:dyDescent="0.2">
      <c r="A4044" s="403"/>
      <c r="B4044" s="271"/>
      <c r="C4044" s="271"/>
      <c r="D4044" s="271"/>
      <c r="E4044" s="271"/>
      <c r="F4044" s="271"/>
      <c r="G4044" s="273"/>
      <c r="H4044" s="29" t="str">
        <f t="shared" si="555"/>
        <v/>
      </c>
      <c r="I4044" s="394" t="str">
        <f t="shared" si="556"/>
        <v/>
      </c>
      <c r="J4044" s="273"/>
      <c r="K4044" s="395"/>
      <c r="L4044" s="273"/>
      <c r="M4044" s="394" t="str">
        <f t="shared" si="557"/>
        <v/>
      </c>
      <c r="N4044" s="273"/>
    </row>
    <row r="4045" spans="1:15" ht="12.75" customHeight="1" x14ac:dyDescent="0.25">
      <c r="A4045" s="4"/>
      <c r="B4045" s="4"/>
      <c r="C4045" s="4"/>
      <c r="D4045" s="4"/>
      <c r="E4045" s="4"/>
      <c r="F4045" s="4"/>
      <c r="G4045" s="4"/>
      <c r="H4045" s="4"/>
      <c r="I4045" s="4"/>
      <c r="J4045" s="4"/>
      <c r="K4045" s="396" t="s">
        <v>444</v>
      </c>
      <c r="L4045" s="273"/>
      <c r="M4045" s="394">
        <f>SUM(M4039:N4044)</f>
        <v>2206000</v>
      </c>
      <c r="N4045" s="273"/>
    </row>
    <row r="4046" spans="1:15" ht="12.75" customHeight="1" x14ac:dyDescent="0.25">
      <c r="A4046" s="4"/>
      <c r="B4046" s="4"/>
      <c r="C4046" s="4"/>
      <c r="D4046" s="4"/>
      <c r="E4046" s="4"/>
      <c r="F4046" s="4"/>
      <c r="G4046" s="4"/>
      <c r="H4046" s="4"/>
      <c r="I4046" s="4"/>
      <c r="J4046" s="4"/>
      <c r="K4046" s="4"/>
      <c r="L4046" s="4"/>
      <c r="M4046" s="4"/>
      <c r="N4046" s="4"/>
    </row>
    <row r="4047" spans="1:15" ht="12.75" customHeight="1" x14ac:dyDescent="0.2">
      <c r="A4047" s="398" t="s">
        <v>926</v>
      </c>
      <c r="B4047" s="271"/>
      <c r="C4047" s="271"/>
      <c r="D4047" s="271"/>
      <c r="E4047" s="271"/>
      <c r="F4047" s="271"/>
      <c r="G4047" s="271"/>
      <c r="H4047" s="271"/>
      <c r="I4047" s="271"/>
      <c r="J4047" s="271"/>
      <c r="K4047" s="271"/>
      <c r="L4047" s="271"/>
      <c r="M4047" s="271"/>
      <c r="N4047" s="273"/>
    </row>
    <row r="4048" spans="1:15" ht="12.75" customHeight="1" x14ac:dyDescent="0.2">
      <c r="A4048" s="396" t="s">
        <v>76</v>
      </c>
      <c r="B4048" s="271"/>
      <c r="C4048" s="271"/>
      <c r="D4048" s="271"/>
      <c r="E4048" s="271"/>
      <c r="F4048" s="271"/>
      <c r="G4048" s="273"/>
      <c r="H4048" s="88" t="s">
        <v>77</v>
      </c>
      <c r="I4048" s="399" t="s">
        <v>920</v>
      </c>
      <c r="J4048" s="273"/>
      <c r="K4048" s="399" t="s">
        <v>453</v>
      </c>
      <c r="L4048" s="273"/>
      <c r="M4048" s="399" t="s">
        <v>921</v>
      </c>
      <c r="N4048" s="273"/>
    </row>
    <row r="4049" spans="1:14" ht="12.75" customHeight="1" x14ac:dyDescent="0.2">
      <c r="A4049" s="400" t="s">
        <v>927</v>
      </c>
      <c r="B4049" s="271"/>
      <c r="C4049" s="271"/>
      <c r="D4049" s="271"/>
      <c r="E4049" s="271"/>
      <c r="F4049" s="271"/>
      <c r="G4049" s="273"/>
      <c r="H4049" s="29" t="str">
        <f>IF(A4049="","",VLOOKUP(A4049,AA_Equipos,7,FALSE))</f>
        <v>% M.O.</v>
      </c>
      <c r="I4049" s="394">
        <f>+M4072</f>
        <v>117038.14666666667</v>
      </c>
      <c r="J4049" s="273"/>
      <c r="K4049" s="404">
        <v>0.05</v>
      </c>
      <c r="L4049" s="273"/>
      <c r="M4049" s="394">
        <f t="shared" ref="M4049:M4053" si="558">IF(A4049="","",I4049*K4049)</f>
        <v>5851.9073333333336</v>
      </c>
      <c r="N4049" s="273"/>
    </row>
    <row r="4050" spans="1:14" ht="12.75" customHeight="1" x14ac:dyDescent="0.2">
      <c r="A4050" s="403"/>
      <c r="B4050" s="271"/>
      <c r="C4050" s="271"/>
      <c r="D4050" s="271"/>
      <c r="E4050" s="271"/>
      <c r="F4050" s="271"/>
      <c r="G4050" s="273"/>
      <c r="H4050" s="29" t="str">
        <f>IF(A4050="","",VLOOKUP(A4050,AA_Equipos,7,FALSE))</f>
        <v/>
      </c>
      <c r="I4050" s="394" t="str">
        <f>IF(A4050="","",VLOOKUP(A4050,AA_Equipos,8,FALSE))</f>
        <v/>
      </c>
      <c r="J4050" s="273"/>
      <c r="K4050" s="402"/>
      <c r="L4050" s="273"/>
      <c r="M4050" s="394" t="str">
        <f t="shared" si="558"/>
        <v/>
      </c>
      <c r="N4050" s="273"/>
    </row>
    <row r="4051" spans="1:14" ht="12.75" customHeight="1" x14ac:dyDescent="0.2">
      <c r="A4051" s="400"/>
      <c r="B4051" s="271"/>
      <c r="C4051" s="271"/>
      <c r="D4051" s="271"/>
      <c r="E4051" s="271"/>
      <c r="F4051" s="271"/>
      <c r="G4051" s="273"/>
      <c r="H4051" s="29" t="str">
        <f>IF(A4051="","",VLOOKUP(A4051,AA_Equipos,7,FALSE))</f>
        <v/>
      </c>
      <c r="I4051" s="394" t="str">
        <f>IF(A4051="","",VLOOKUP(A4051,AA_Equipos,8,FALSE))</f>
        <v/>
      </c>
      <c r="J4051" s="273"/>
      <c r="K4051" s="401"/>
      <c r="L4051" s="273"/>
      <c r="M4051" s="394" t="str">
        <f t="shared" si="558"/>
        <v/>
      </c>
      <c r="N4051" s="273"/>
    </row>
    <row r="4052" spans="1:14" ht="12.75" customHeight="1" x14ac:dyDescent="0.2">
      <c r="A4052" s="400"/>
      <c r="B4052" s="271"/>
      <c r="C4052" s="271"/>
      <c r="D4052" s="271"/>
      <c r="E4052" s="271"/>
      <c r="F4052" s="271"/>
      <c r="G4052" s="273"/>
      <c r="H4052" s="29" t="str">
        <f>IF(A4052="","",VLOOKUP(A4052,AA_Equipos,7,FALSE))</f>
        <v/>
      </c>
      <c r="I4052" s="394" t="str">
        <f>IF(A4052="","",VLOOKUP(A4052,AA_Equipos,8,FALSE))</f>
        <v/>
      </c>
      <c r="J4052" s="273"/>
      <c r="K4052" s="395"/>
      <c r="L4052" s="273"/>
      <c r="M4052" s="394" t="str">
        <f t="shared" si="558"/>
        <v/>
      </c>
      <c r="N4052" s="273"/>
    </row>
    <row r="4053" spans="1:14" ht="12.75" customHeight="1" x14ac:dyDescent="0.2">
      <c r="A4053" s="400"/>
      <c r="B4053" s="271"/>
      <c r="C4053" s="271"/>
      <c r="D4053" s="271"/>
      <c r="E4053" s="271"/>
      <c r="F4053" s="271"/>
      <c r="G4053" s="273"/>
      <c r="H4053" s="29" t="str">
        <f>IF(A4053="","",VLOOKUP(A4053,AA_Equipos,7,FALSE))</f>
        <v/>
      </c>
      <c r="I4053" s="394" t="str">
        <f>IF(A4053="","",VLOOKUP(A4053,AA_Equipos,8,FALSE))</f>
        <v/>
      </c>
      <c r="J4053" s="273"/>
      <c r="K4053" s="395"/>
      <c r="L4053" s="273"/>
      <c r="M4053" s="394" t="str">
        <f t="shared" si="558"/>
        <v/>
      </c>
      <c r="N4053" s="273"/>
    </row>
    <row r="4054" spans="1:14" ht="12.75" customHeight="1" x14ac:dyDescent="0.25">
      <c r="A4054" s="4"/>
      <c r="B4054" s="4"/>
      <c r="C4054" s="4"/>
      <c r="D4054" s="4"/>
      <c r="E4054" s="4"/>
      <c r="F4054" s="4"/>
      <c r="G4054" s="4"/>
      <c r="H4054" s="4"/>
      <c r="I4054" s="4"/>
      <c r="J4054" s="4"/>
      <c r="K4054" s="396" t="s">
        <v>444</v>
      </c>
      <c r="L4054" s="273"/>
      <c r="M4054" s="394">
        <f>SUM(M4049:N4053)</f>
        <v>5851.9073333333336</v>
      </c>
      <c r="N4054" s="273"/>
    </row>
    <row r="4055" spans="1:14" ht="12.75" customHeight="1" x14ac:dyDescent="0.25">
      <c r="A4055" s="4"/>
      <c r="B4055" s="4"/>
      <c r="C4055" s="4"/>
      <c r="D4055" s="4"/>
      <c r="E4055" s="4"/>
      <c r="F4055" s="4"/>
      <c r="G4055" s="4"/>
      <c r="H4055" s="4"/>
      <c r="I4055" s="4"/>
      <c r="J4055" s="4"/>
      <c r="K4055" s="4"/>
      <c r="L4055" s="4"/>
      <c r="M4055" s="4"/>
      <c r="N4055" s="4"/>
    </row>
    <row r="4056" spans="1:14" ht="12.75" customHeight="1" x14ac:dyDescent="0.2">
      <c r="A4056" s="398" t="s">
        <v>929</v>
      </c>
      <c r="B4056" s="271"/>
      <c r="C4056" s="271"/>
      <c r="D4056" s="271"/>
      <c r="E4056" s="271"/>
      <c r="F4056" s="271"/>
      <c r="G4056" s="271"/>
      <c r="H4056" s="271"/>
      <c r="I4056" s="271"/>
      <c r="J4056" s="271"/>
      <c r="K4056" s="271"/>
      <c r="L4056" s="271"/>
      <c r="M4056" s="271"/>
      <c r="N4056" s="273"/>
    </row>
    <row r="4057" spans="1:14" ht="12.75" customHeight="1" x14ac:dyDescent="0.2">
      <c r="A4057" s="396" t="s">
        <v>76</v>
      </c>
      <c r="B4057" s="271"/>
      <c r="C4057" s="271"/>
      <c r="D4057" s="271"/>
      <c r="E4057" s="271"/>
      <c r="F4057" s="271"/>
      <c r="G4057" s="273"/>
      <c r="H4057" s="88" t="s">
        <v>77</v>
      </c>
      <c r="I4057" s="399" t="s">
        <v>920</v>
      </c>
      <c r="J4057" s="273"/>
      <c r="K4057" s="399" t="s">
        <v>453</v>
      </c>
      <c r="L4057" s="273"/>
      <c r="M4057" s="399" t="s">
        <v>921</v>
      </c>
      <c r="N4057" s="273"/>
    </row>
    <row r="4058" spans="1:14" ht="12.75" customHeight="1" x14ac:dyDescent="0.2">
      <c r="A4058" s="400" t="s">
        <v>966</v>
      </c>
      <c r="B4058" s="271"/>
      <c r="C4058" s="271"/>
      <c r="D4058" s="271"/>
      <c r="E4058" s="271"/>
      <c r="F4058" s="271"/>
      <c r="G4058" s="273"/>
      <c r="H4058" s="29" t="s">
        <v>950</v>
      </c>
      <c r="I4058" s="394">
        <f>+M4045</f>
        <v>2206000</v>
      </c>
      <c r="J4058" s="273"/>
      <c r="K4058" s="404">
        <v>0.05</v>
      </c>
      <c r="L4058" s="273"/>
      <c r="M4058" s="394">
        <f t="shared" ref="M4058:M4062" si="559">IF(A4058="","",I4058*K4058)</f>
        <v>110300</v>
      </c>
      <c r="N4058" s="273"/>
    </row>
    <row r="4059" spans="1:14" ht="12.75" customHeight="1" x14ac:dyDescent="0.2">
      <c r="A4059" s="403"/>
      <c r="B4059" s="271"/>
      <c r="C4059" s="271"/>
      <c r="D4059" s="271"/>
      <c r="E4059" s="271"/>
      <c r="F4059" s="271"/>
      <c r="G4059" s="273"/>
      <c r="H4059" s="29"/>
      <c r="I4059" s="394"/>
      <c r="J4059" s="273"/>
      <c r="K4059" s="404"/>
      <c r="L4059" s="273"/>
      <c r="M4059" s="394" t="str">
        <f t="shared" si="559"/>
        <v/>
      </c>
      <c r="N4059" s="273"/>
    </row>
    <row r="4060" spans="1:14" ht="12.75" customHeight="1" x14ac:dyDescent="0.2">
      <c r="A4060" s="400"/>
      <c r="B4060" s="271"/>
      <c r="C4060" s="271"/>
      <c r="D4060" s="271"/>
      <c r="E4060" s="271"/>
      <c r="F4060" s="271"/>
      <c r="G4060" s="273"/>
      <c r="H4060" s="29"/>
      <c r="I4060" s="394"/>
      <c r="J4060" s="273"/>
      <c r="K4060" s="395"/>
      <c r="L4060" s="273"/>
      <c r="M4060" s="394" t="str">
        <f t="shared" si="559"/>
        <v/>
      </c>
      <c r="N4060" s="273"/>
    </row>
    <row r="4061" spans="1:14" ht="12.75" customHeight="1" x14ac:dyDescent="0.2">
      <c r="A4061" s="400"/>
      <c r="B4061" s="271"/>
      <c r="C4061" s="271"/>
      <c r="D4061" s="271"/>
      <c r="E4061" s="271"/>
      <c r="F4061" s="271"/>
      <c r="G4061" s="273"/>
      <c r="H4061" s="29"/>
      <c r="I4061" s="394"/>
      <c r="J4061" s="273"/>
      <c r="K4061" s="395"/>
      <c r="L4061" s="273"/>
      <c r="M4061" s="394" t="str">
        <f t="shared" si="559"/>
        <v/>
      </c>
      <c r="N4061" s="273"/>
    </row>
    <row r="4062" spans="1:14" ht="12.75" customHeight="1" x14ac:dyDescent="0.2">
      <c r="A4062" s="400"/>
      <c r="B4062" s="271"/>
      <c r="C4062" s="271"/>
      <c r="D4062" s="271"/>
      <c r="E4062" s="271"/>
      <c r="F4062" s="271"/>
      <c r="G4062" s="273"/>
      <c r="H4062" s="29"/>
      <c r="I4062" s="394"/>
      <c r="J4062" s="273"/>
      <c r="K4062" s="395"/>
      <c r="L4062" s="273"/>
      <c r="M4062" s="394" t="str">
        <f t="shared" si="559"/>
        <v/>
      </c>
      <c r="N4062" s="273"/>
    </row>
    <row r="4063" spans="1:14" ht="12.75" customHeight="1" x14ac:dyDescent="0.25">
      <c r="A4063" s="4"/>
      <c r="B4063" s="4"/>
      <c r="C4063" s="4"/>
      <c r="D4063" s="4"/>
      <c r="E4063" s="4"/>
      <c r="F4063" s="4"/>
      <c r="G4063" s="4"/>
      <c r="H4063" s="4"/>
      <c r="I4063" s="4"/>
      <c r="J4063" s="4"/>
      <c r="K4063" s="396" t="s">
        <v>444</v>
      </c>
      <c r="L4063" s="273"/>
      <c r="M4063" s="394">
        <f>SUM(M4058:N4062)</f>
        <v>110300</v>
      </c>
      <c r="N4063" s="273"/>
    </row>
    <row r="4064" spans="1:14" ht="12.75" customHeight="1" x14ac:dyDescent="0.25">
      <c r="A4064" s="4"/>
      <c r="B4064" s="4"/>
      <c r="C4064" s="4"/>
      <c r="D4064" s="4"/>
      <c r="E4064" s="4"/>
      <c r="F4064" s="4"/>
      <c r="G4064" s="4"/>
      <c r="H4064" s="4"/>
      <c r="I4064" s="4"/>
      <c r="J4064" s="4"/>
      <c r="K4064" s="4"/>
      <c r="L4064" s="4"/>
      <c r="M4064" s="4"/>
      <c r="N4064" s="4"/>
    </row>
    <row r="4065" spans="1:15" ht="12.75" customHeight="1" x14ac:dyDescent="0.2">
      <c r="A4065" s="398" t="s">
        <v>931</v>
      </c>
      <c r="B4065" s="271"/>
      <c r="C4065" s="271"/>
      <c r="D4065" s="271"/>
      <c r="E4065" s="271"/>
      <c r="F4065" s="271"/>
      <c r="G4065" s="271"/>
      <c r="H4065" s="271"/>
      <c r="I4065" s="271"/>
      <c r="J4065" s="271"/>
      <c r="K4065" s="271"/>
      <c r="L4065" s="271"/>
      <c r="M4065" s="271"/>
      <c r="N4065" s="273"/>
    </row>
    <row r="4066" spans="1:15" ht="12.75" customHeight="1" x14ac:dyDescent="0.2">
      <c r="A4066" s="396" t="s">
        <v>76</v>
      </c>
      <c r="B4066" s="271"/>
      <c r="C4066" s="271"/>
      <c r="D4066" s="271"/>
      <c r="E4066" s="271"/>
      <c r="F4066" s="271"/>
      <c r="G4066" s="273"/>
      <c r="H4066" s="88" t="s">
        <v>77</v>
      </c>
      <c r="I4066" s="399" t="s">
        <v>920</v>
      </c>
      <c r="J4066" s="273"/>
      <c r="K4066" s="90" t="s">
        <v>514</v>
      </c>
      <c r="L4066" s="91" t="s">
        <v>932</v>
      </c>
      <c r="M4066" s="399" t="s">
        <v>921</v>
      </c>
      <c r="N4066" s="273"/>
    </row>
    <row r="4067" spans="1:15" ht="12.75" customHeight="1" x14ac:dyDescent="0.25">
      <c r="A4067" s="393" t="s">
        <v>951</v>
      </c>
      <c r="B4067" s="271"/>
      <c r="C4067" s="271"/>
      <c r="D4067" s="271"/>
      <c r="E4067" s="271"/>
      <c r="F4067" s="271"/>
      <c r="G4067" s="273"/>
      <c r="H4067" s="29" t="str">
        <f>IF(A4067="","",VLOOKUP(A4067,AA_Cuadrillas,4,FALSE))</f>
        <v>Cuadrilla</v>
      </c>
      <c r="I4067" s="394">
        <f>IF(A4067="","",VLOOKUP(A4067,AA_Cuadrillas,5,FALSE))</f>
        <v>186763</v>
      </c>
      <c r="J4067" s="273"/>
      <c r="K4067" s="9">
        <f>IF(A4067="","",F.P!$I$2)</f>
        <v>1.88</v>
      </c>
      <c r="L4067" s="97">
        <v>0.33333333333333331</v>
      </c>
      <c r="M4067" s="394">
        <f t="shared" ref="M4067:M4071" si="560">IF(A4067="","",I4067*K4067*L4067)</f>
        <v>117038.14666666667</v>
      </c>
      <c r="N4067" s="273"/>
    </row>
    <row r="4068" spans="1:15" ht="12.75" customHeight="1" x14ac:dyDescent="0.25">
      <c r="A4068" s="393"/>
      <c r="B4068" s="271"/>
      <c r="C4068" s="271"/>
      <c r="D4068" s="271"/>
      <c r="E4068" s="271"/>
      <c r="F4068" s="271"/>
      <c r="G4068" s="273"/>
      <c r="H4068" s="29" t="str">
        <f>IF(A4068="","",VLOOKUP(A4068,AA_Cuadrillas,4,FALSE))</f>
        <v/>
      </c>
      <c r="I4068" s="394" t="str">
        <f>IF(A4068="","",VLOOKUP(A4068,AA_Cuadrillas,5,FALSE))</f>
        <v/>
      </c>
      <c r="J4068" s="273"/>
      <c r="K4068" s="9" t="str">
        <f>IF(A4068="","",F.P!$I$2)</f>
        <v/>
      </c>
      <c r="L4068" s="9"/>
      <c r="M4068" s="394" t="str">
        <f t="shared" si="560"/>
        <v/>
      </c>
      <c r="N4068" s="273"/>
    </row>
    <row r="4069" spans="1:15" ht="12.75" customHeight="1" x14ac:dyDescent="0.25">
      <c r="A4069" s="393"/>
      <c r="B4069" s="271"/>
      <c r="C4069" s="271"/>
      <c r="D4069" s="271"/>
      <c r="E4069" s="271"/>
      <c r="F4069" s="271"/>
      <c r="G4069" s="273"/>
      <c r="H4069" s="29" t="str">
        <f>IF(A4069="","",VLOOKUP(A4069,AA_Cuadrillas,4,FALSE))</f>
        <v/>
      </c>
      <c r="I4069" s="394" t="str">
        <f>IF(A4069="","",VLOOKUP(A4069,AA_Cuadrillas,5,FALSE))</f>
        <v/>
      </c>
      <c r="J4069" s="273"/>
      <c r="K4069" s="9" t="str">
        <f>IF(A4069="","",F.P!$I$2)</f>
        <v/>
      </c>
      <c r="L4069" s="37"/>
      <c r="M4069" s="394" t="str">
        <f t="shared" si="560"/>
        <v/>
      </c>
      <c r="N4069" s="273"/>
    </row>
    <row r="4070" spans="1:15" ht="12.75" customHeight="1" x14ac:dyDescent="0.25">
      <c r="A4070" s="393"/>
      <c r="B4070" s="271"/>
      <c r="C4070" s="271"/>
      <c r="D4070" s="271"/>
      <c r="E4070" s="271"/>
      <c r="F4070" s="271"/>
      <c r="G4070" s="273"/>
      <c r="H4070" s="29" t="str">
        <f>IF(A4070="","",VLOOKUP(A4070,AA_Cuadrillas,4,FALSE))</f>
        <v/>
      </c>
      <c r="I4070" s="394" t="str">
        <f>IF(A4070="","",VLOOKUP(A4070,AA_Cuadrillas,5,FALSE))</f>
        <v/>
      </c>
      <c r="J4070" s="273"/>
      <c r="K4070" s="9" t="str">
        <f>IF(A4070="","",F.P!$I$2)</f>
        <v/>
      </c>
      <c r="L4070" s="37"/>
      <c r="M4070" s="394" t="str">
        <f t="shared" si="560"/>
        <v/>
      </c>
      <c r="N4070" s="273"/>
    </row>
    <row r="4071" spans="1:15" ht="12.75" customHeight="1" x14ac:dyDescent="0.25">
      <c r="A4071" s="393"/>
      <c r="B4071" s="271"/>
      <c r="C4071" s="271"/>
      <c r="D4071" s="271"/>
      <c r="E4071" s="271"/>
      <c r="F4071" s="271"/>
      <c r="G4071" s="273"/>
      <c r="H4071" s="29" t="str">
        <f>IF(A4071="","",VLOOKUP(A4071,AA_Cuadrillas,4,FALSE))</f>
        <v/>
      </c>
      <c r="I4071" s="394" t="str">
        <f>IF(A4071="","",VLOOKUP(A4071,AA_Cuadrillas,5,FALSE))</f>
        <v/>
      </c>
      <c r="J4071" s="273"/>
      <c r="K4071" s="9" t="str">
        <f>IF(A4071="","",F.P!$I$2)</f>
        <v/>
      </c>
      <c r="L4071" s="37"/>
      <c r="M4071" s="394" t="str">
        <f t="shared" si="560"/>
        <v/>
      </c>
      <c r="N4071" s="273"/>
    </row>
    <row r="4072" spans="1:15" ht="12.75" customHeight="1" x14ac:dyDescent="0.25">
      <c r="A4072" s="4"/>
      <c r="B4072" s="4"/>
      <c r="C4072" s="4"/>
      <c r="D4072" s="4"/>
      <c r="E4072" s="4"/>
      <c r="F4072" s="4"/>
      <c r="G4072" s="4"/>
      <c r="H4072" s="4"/>
      <c r="I4072" s="4"/>
      <c r="J4072" s="4"/>
      <c r="K4072" s="396" t="s">
        <v>444</v>
      </c>
      <c r="L4072" s="273"/>
      <c r="M4072" s="394">
        <f>SUM(M4067:N4071)</f>
        <v>117038.14666666667</v>
      </c>
      <c r="N4072" s="273"/>
    </row>
    <row r="4073" spans="1:15" ht="12.75" customHeight="1" x14ac:dyDescent="0.2"/>
    <row r="4074" spans="1:15" ht="12.75" customHeight="1" x14ac:dyDescent="0.2">
      <c r="A4074" s="407" t="s">
        <v>1161</v>
      </c>
      <c r="B4074" s="275"/>
      <c r="C4074" s="275"/>
      <c r="D4074" s="275"/>
      <c r="E4074" s="275"/>
      <c r="F4074" s="275"/>
      <c r="G4074" s="275"/>
      <c r="H4074" s="275"/>
      <c r="I4074" s="275"/>
      <c r="J4074" s="275"/>
      <c r="K4074" s="275"/>
      <c r="L4074" s="275"/>
      <c r="M4074" s="275"/>
      <c r="N4074" s="276"/>
    </row>
    <row r="4075" spans="1:15" ht="12.75" customHeight="1" x14ac:dyDescent="0.2">
      <c r="A4075" s="277"/>
      <c r="B4075" s="278"/>
      <c r="C4075" s="278"/>
      <c r="D4075" s="278"/>
      <c r="E4075" s="278"/>
      <c r="F4075" s="278"/>
      <c r="G4075" s="278"/>
      <c r="H4075" s="278"/>
      <c r="I4075" s="278"/>
      <c r="J4075" s="278"/>
      <c r="K4075" s="278"/>
      <c r="L4075" s="278"/>
      <c r="M4075" s="278"/>
      <c r="N4075" s="279"/>
    </row>
    <row r="4076" spans="1:15" ht="12.75" customHeight="1" x14ac:dyDescent="0.2">
      <c r="A4076" s="75"/>
      <c r="B4076" s="75"/>
      <c r="C4076" s="75"/>
      <c r="D4076" s="75"/>
      <c r="E4076" s="75"/>
      <c r="F4076" s="75"/>
      <c r="G4076" s="75"/>
      <c r="H4076" s="75"/>
      <c r="I4076" s="75"/>
      <c r="J4076" s="75"/>
      <c r="K4076" s="75"/>
      <c r="L4076" s="75"/>
      <c r="M4076" s="75"/>
      <c r="N4076" s="75"/>
    </row>
    <row r="4077" spans="1:15" ht="12.75" customHeight="1" x14ac:dyDescent="0.3">
      <c r="A4077" s="79" t="s">
        <v>709</v>
      </c>
      <c r="B4077" s="80" t="str">
        <f>A4074</f>
        <v>SUMINISTRO DE TUBERÍA PVC Ø3" RDE 21</v>
      </c>
      <c r="C4077" s="81" t="s">
        <v>916</v>
      </c>
      <c r="D4077" s="82" t="s">
        <v>981</v>
      </c>
      <c r="E4077" s="83" t="s">
        <v>445</v>
      </c>
      <c r="F4077" s="240">
        <f>H4077+J4077+L4077+N4077</f>
        <v>49948.762499999997</v>
      </c>
      <c r="G4077" s="83" t="s">
        <v>607</v>
      </c>
      <c r="H4077" s="86">
        <f>M4096</f>
        <v>0</v>
      </c>
      <c r="I4077" s="83" t="s">
        <v>918</v>
      </c>
      <c r="J4077" s="86">
        <f>M4087</f>
        <v>47570.25</v>
      </c>
      <c r="K4077" s="83" t="s">
        <v>609</v>
      </c>
      <c r="L4077" s="86">
        <f>M4105</f>
        <v>2378.5125000000003</v>
      </c>
      <c r="M4077" s="83" t="s">
        <v>610</v>
      </c>
      <c r="N4077" s="86">
        <f>M4114</f>
        <v>0</v>
      </c>
      <c r="O4077" t="s">
        <v>3222</v>
      </c>
    </row>
    <row r="4078" spans="1:15" ht="12.75" customHeight="1" x14ac:dyDescent="0.25">
      <c r="A4078" s="87"/>
      <c r="B4078" s="87"/>
      <c r="C4078" s="87"/>
      <c r="D4078" s="87"/>
      <c r="E4078" s="87"/>
      <c r="F4078" s="87"/>
      <c r="G4078" s="87"/>
      <c r="J4078" s="87"/>
      <c r="K4078" s="215" t="s">
        <v>3217</v>
      </c>
      <c r="L4078" s="215">
        <f>+F4077*presup!$O$5</f>
        <v>64933.391250000001</v>
      </c>
      <c r="M4078" s="87"/>
      <c r="N4078" s="87"/>
    </row>
    <row r="4079" spans="1:15" ht="12.75" customHeight="1" x14ac:dyDescent="0.2">
      <c r="A4079" s="398" t="s">
        <v>919</v>
      </c>
      <c r="B4079" s="271"/>
      <c r="C4079" s="271"/>
      <c r="D4079" s="271"/>
      <c r="E4079" s="271"/>
      <c r="F4079" s="271"/>
      <c r="G4079" s="271"/>
      <c r="H4079" s="271"/>
      <c r="I4079" s="271"/>
      <c r="J4079" s="271"/>
      <c r="K4079" s="271"/>
      <c r="L4079" s="271"/>
      <c r="M4079" s="271"/>
      <c r="N4079" s="273"/>
    </row>
    <row r="4080" spans="1:15" ht="12.75" customHeight="1" x14ac:dyDescent="0.2">
      <c r="A4080" s="396" t="s">
        <v>76</v>
      </c>
      <c r="B4080" s="271"/>
      <c r="C4080" s="271"/>
      <c r="D4080" s="271"/>
      <c r="E4080" s="271"/>
      <c r="F4080" s="271"/>
      <c r="G4080" s="273"/>
      <c r="H4080" s="88" t="s">
        <v>77</v>
      </c>
      <c r="I4080" s="399" t="s">
        <v>920</v>
      </c>
      <c r="J4080" s="273"/>
      <c r="K4080" s="399" t="s">
        <v>453</v>
      </c>
      <c r="L4080" s="273"/>
      <c r="M4080" s="399" t="s">
        <v>921</v>
      </c>
      <c r="N4080" s="273"/>
    </row>
    <row r="4081" spans="1:14" ht="12.75" customHeight="1" x14ac:dyDescent="0.2">
      <c r="A4081" s="403" t="s">
        <v>1162</v>
      </c>
      <c r="B4081" s="271"/>
      <c r="C4081" s="271"/>
      <c r="D4081" s="271"/>
      <c r="E4081" s="271"/>
      <c r="F4081" s="271"/>
      <c r="G4081" s="273"/>
      <c r="H4081" s="29" t="str">
        <f t="shared" ref="H4081:H4086" si="561">IF(A4081="","",VLOOKUP(A4081,AA_Materiales,7,FALSE))</f>
        <v>ml</v>
      </c>
      <c r="I4081" s="394">
        <f t="shared" ref="I4081:I4086" si="562">IF(A4081="","",VLOOKUP(A4081,AA_Materiales,8,FALSE))</f>
        <v>47570.25</v>
      </c>
      <c r="J4081" s="273"/>
      <c r="K4081" s="395">
        <v>1</v>
      </c>
      <c r="L4081" s="273"/>
      <c r="M4081" s="394">
        <f t="shared" ref="M4081:M4086" si="563">IF(A4081="","",I4081*K4081)</f>
        <v>47570.25</v>
      </c>
      <c r="N4081" s="273"/>
    </row>
    <row r="4082" spans="1:14" ht="12.75" customHeight="1" x14ac:dyDescent="0.2">
      <c r="A4082" s="403"/>
      <c r="B4082" s="271"/>
      <c r="C4082" s="271"/>
      <c r="D4082" s="271"/>
      <c r="E4082" s="271"/>
      <c r="F4082" s="271"/>
      <c r="G4082" s="273"/>
      <c r="H4082" s="29" t="str">
        <f t="shared" si="561"/>
        <v/>
      </c>
      <c r="I4082" s="394" t="str">
        <f t="shared" si="562"/>
        <v/>
      </c>
      <c r="J4082" s="273"/>
      <c r="K4082" s="395"/>
      <c r="L4082" s="273"/>
      <c r="M4082" s="394" t="str">
        <f t="shared" si="563"/>
        <v/>
      </c>
      <c r="N4082" s="273"/>
    </row>
    <row r="4083" spans="1:14" ht="12.75" customHeight="1" x14ac:dyDescent="0.2">
      <c r="A4083" s="403"/>
      <c r="B4083" s="271"/>
      <c r="C4083" s="271"/>
      <c r="D4083" s="271"/>
      <c r="E4083" s="271"/>
      <c r="F4083" s="271"/>
      <c r="G4083" s="273"/>
      <c r="H4083" s="29" t="str">
        <f t="shared" si="561"/>
        <v/>
      </c>
      <c r="I4083" s="394" t="str">
        <f t="shared" si="562"/>
        <v/>
      </c>
      <c r="J4083" s="273"/>
      <c r="K4083" s="395"/>
      <c r="L4083" s="273"/>
      <c r="M4083" s="394" t="str">
        <f t="shared" si="563"/>
        <v/>
      </c>
      <c r="N4083" s="273"/>
    </row>
    <row r="4084" spans="1:14" ht="12.75" customHeight="1" x14ac:dyDescent="0.2">
      <c r="A4084" s="403"/>
      <c r="B4084" s="271"/>
      <c r="C4084" s="271"/>
      <c r="D4084" s="271"/>
      <c r="E4084" s="271"/>
      <c r="F4084" s="271"/>
      <c r="G4084" s="273"/>
      <c r="H4084" s="29" t="str">
        <f t="shared" si="561"/>
        <v/>
      </c>
      <c r="I4084" s="394" t="str">
        <f t="shared" si="562"/>
        <v/>
      </c>
      <c r="J4084" s="273"/>
      <c r="K4084" s="395"/>
      <c r="L4084" s="273"/>
      <c r="M4084" s="394" t="str">
        <f t="shared" si="563"/>
        <v/>
      </c>
      <c r="N4084" s="273"/>
    </row>
    <row r="4085" spans="1:14" ht="12.75" customHeight="1" x14ac:dyDescent="0.2">
      <c r="A4085" s="403"/>
      <c r="B4085" s="271"/>
      <c r="C4085" s="271"/>
      <c r="D4085" s="271"/>
      <c r="E4085" s="271"/>
      <c r="F4085" s="271"/>
      <c r="G4085" s="273"/>
      <c r="H4085" s="29" t="str">
        <f t="shared" si="561"/>
        <v/>
      </c>
      <c r="I4085" s="394" t="str">
        <f t="shared" si="562"/>
        <v/>
      </c>
      <c r="J4085" s="273"/>
      <c r="K4085" s="395"/>
      <c r="L4085" s="273"/>
      <c r="M4085" s="394" t="str">
        <f t="shared" si="563"/>
        <v/>
      </c>
      <c r="N4085" s="273"/>
    </row>
    <row r="4086" spans="1:14" ht="12.75" customHeight="1" x14ac:dyDescent="0.2">
      <c r="A4086" s="403"/>
      <c r="B4086" s="271"/>
      <c r="C4086" s="271"/>
      <c r="D4086" s="271"/>
      <c r="E4086" s="271"/>
      <c r="F4086" s="271"/>
      <c r="G4086" s="273"/>
      <c r="H4086" s="29" t="str">
        <f t="shared" si="561"/>
        <v/>
      </c>
      <c r="I4086" s="394" t="str">
        <f t="shared" si="562"/>
        <v/>
      </c>
      <c r="J4086" s="273"/>
      <c r="K4086" s="395"/>
      <c r="L4086" s="273"/>
      <c r="M4086" s="394" t="str">
        <f t="shared" si="563"/>
        <v/>
      </c>
      <c r="N4086" s="273"/>
    </row>
    <row r="4087" spans="1:14" ht="12.75" customHeight="1" x14ac:dyDescent="0.25">
      <c r="A4087" s="4"/>
      <c r="B4087" s="4"/>
      <c r="C4087" s="4"/>
      <c r="D4087" s="4"/>
      <c r="E4087" s="4"/>
      <c r="F4087" s="4"/>
      <c r="G4087" s="4"/>
      <c r="H4087" s="4"/>
      <c r="I4087" s="4"/>
      <c r="J4087" s="4"/>
      <c r="K4087" s="396" t="s">
        <v>444</v>
      </c>
      <c r="L4087" s="273"/>
      <c r="M4087" s="394">
        <f>SUM(M4081:N4086)</f>
        <v>47570.25</v>
      </c>
      <c r="N4087" s="273"/>
    </row>
    <row r="4088" spans="1:14" ht="12.75" customHeight="1" x14ac:dyDescent="0.25">
      <c r="A4088" s="4"/>
      <c r="B4088" s="4"/>
      <c r="C4088" s="4"/>
      <c r="D4088" s="4"/>
      <c r="E4088" s="4"/>
      <c r="F4088" s="4"/>
      <c r="G4088" s="4"/>
      <c r="H4088" s="4"/>
      <c r="I4088" s="4"/>
      <c r="J4088" s="4"/>
      <c r="K4088" s="4"/>
      <c r="L4088" s="4"/>
      <c r="M4088" s="4"/>
      <c r="N4088" s="4"/>
    </row>
    <row r="4089" spans="1:14" ht="12.75" customHeight="1" x14ac:dyDescent="0.2">
      <c r="A4089" s="398" t="s">
        <v>926</v>
      </c>
      <c r="B4089" s="271"/>
      <c r="C4089" s="271"/>
      <c r="D4089" s="271"/>
      <c r="E4089" s="271"/>
      <c r="F4089" s="271"/>
      <c r="G4089" s="271"/>
      <c r="H4089" s="271"/>
      <c r="I4089" s="271"/>
      <c r="J4089" s="271"/>
      <c r="K4089" s="271"/>
      <c r="L4089" s="271"/>
      <c r="M4089" s="271"/>
      <c r="N4089" s="273"/>
    </row>
    <row r="4090" spans="1:14" ht="12.75" customHeight="1" x14ac:dyDescent="0.2">
      <c r="A4090" s="396" t="s">
        <v>76</v>
      </c>
      <c r="B4090" s="271"/>
      <c r="C4090" s="271"/>
      <c r="D4090" s="271"/>
      <c r="E4090" s="271"/>
      <c r="F4090" s="271"/>
      <c r="G4090" s="273"/>
      <c r="H4090" s="88" t="s">
        <v>77</v>
      </c>
      <c r="I4090" s="399" t="s">
        <v>920</v>
      </c>
      <c r="J4090" s="273"/>
      <c r="K4090" s="399" t="s">
        <v>453</v>
      </c>
      <c r="L4090" s="273"/>
      <c r="M4090" s="399" t="s">
        <v>921</v>
      </c>
      <c r="N4090" s="273"/>
    </row>
    <row r="4091" spans="1:14" ht="12.75" customHeight="1" x14ac:dyDescent="0.2">
      <c r="A4091" s="400"/>
      <c r="B4091" s="271"/>
      <c r="C4091" s="271"/>
      <c r="D4091" s="271"/>
      <c r="E4091" s="271"/>
      <c r="F4091" s="271"/>
      <c r="G4091" s="273"/>
      <c r="H4091" s="29"/>
      <c r="I4091" s="394"/>
      <c r="J4091" s="273"/>
      <c r="K4091" s="404"/>
      <c r="L4091" s="273"/>
      <c r="M4091" s="394"/>
      <c r="N4091" s="273"/>
    </row>
    <row r="4092" spans="1:14" ht="12.75" customHeight="1" x14ac:dyDescent="0.2">
      <c r="A4092" s="403"/>
      <c r="B4092" s="271"/>
      <c r="C4092" s="271"/>
      <c r="D4092" s="271"/>
      <c r="E4092" s="271"/>
      <c r="F4092" s="271"/>
      <c r="G4092" s="273"/>
      <c r="H4092" s="29" t="str">
        <f>IF(A4092="","",VLOOKUP(A4092,AA_Equipos,7,FALSE))</f>
        <v/>
      </c>
      <c r="I4092" s="394" t="str">
        <f>IF(A4092="","",VLOOKUP(A4092,AA_Equipos,8,FALSE))</f>
        <v/>
      </c>
      <c r="J4092" s="273"/>
      <c r="K4092" s="402"/>
      <c r="L4092" s="273"/>
      <c r="M4092" s="394" t="str">
        <f t="shared" ref="M4092:M4095" si="564">IF(A4092="","",I4092*K4092)</f>
        <v/>
      </c>
      <c r="N4092" s="273"/>
    </row>
    <row r="4093" spans="1:14" ht="12.75" customHeight="1" x14ac:dyDescent="0.2">
      <c r="A4093" s="400"/>
      <c r="B4093" s="271"/>
      <c r="C4093" s="271"/>
      <c r="D4093" s="271"/>
      <c r="E4093" s="271"/>
      <c r="F4093" s="271"/>
      <c r="G4093" s="273"/>
      <c r="H4093" s="29" t="str">
        <f>IF(A4093="","",VLOOKUP(A4093,AA_Equipos,7,FALSE))</f>
        <v/>
      </c>
      <c r="I4093" s="394" t="str">
        <f>IF(A4093="","",VLOOKUP(A4093,AA_Equipos,8,FALSE))</f>
        <v/>
      </c>
      <c r="J4093" s="273"/>
      <c r="K4093" s="401"/>
      <c r="L4093" s="273"/>
      <c r="M4093" s="394" t="str">
        <f t="shared" si="564"/>
        <v/>
      </c>
      <c r="N4093" s="273"/>
    </row>
    <row r="4094" spans="1:14" ht="12.75" customHeight="1" x14ac:dyDescent="0.2">
      <c r="A4094" s="400"/>
      <c r="B4094" s="271"/>
      <c r="C4094" s="271"/>
      <c r="D4094" s="271"/>
      <c r="E4094" s="271"/>
      <c r="F4094" s="271"/>
      <c r="G4094" s="273"/>
      <c r="H4094" s="29" t="str">
        <f>IF(A4094="","",VLOOKUP(A4094,AA_Equipos,7,FALSE))</f>
        <v/>
      </c>
      <c r="I4094" s="394" t="str">
        <f>IF(A4094="","",VLOOKUP(A4094,AA_Equipos,8,FALSE))</f>
        <v/>
      </c>
      <c r="J4094" s="273"/>
      <c r="K4094" s="395"/>
      <c r="L4094" s="273"/>
      <c r="M4094" s="394" t="str">
        <f t="shared" si="564"/>
        <v/>
      </c>
      <c r="N4094" s="273"/>
    </row>
    <row r="4095" spans="1:14" ht="12.75" customHeight="1" x14ac:dyDescent="0.2">
      <c r="A4095" s="400"/>
      <c r="B4095" s="271"/>
      <c r="C4095" s="271"/>
      <c r="D4095" s="271"/>
      <c r="E4095" s="271"/>
      <c r="F4095" s="271"/>
      <c r="G4095" s="273"/>
      <c r="H4095" s="29" t="str">
        <f>IF(A4095="","",VLOOKUP(A4095,AA_Equipos,7,FALSE))</f>
        <v/>
      </c>
      <c r="I4095" s="394" t="str">
        <f>IF(A4095="","",VLOOKUP(A4095,AA_Equipos,8,FALSE))</f>
        <v/>
      </c>
      <c r="J4095" s="273"/>
      <c r="K4095" s="395"/>
      <c r="L4095" s="273"/>
      <c r="M4095" s="394" t="str">
        <f t="shared" si="564"/>
        <v/>
      </c>
      <c r="N4095" s="273"/>
    </row>
    <row r="4096" spans="1:14" ht="12.75" customHeight="1" x14ac:dyDescent="0.25">
      <c r="A4096" s="4"/>
      <c r="B4096" s="4"/>
      <c r="C4096" s="4"/>
      <c r="D4096" s="4"/>
      <c r="E4096" s="4"/>
      <c r="F4096" s="4"/>
      <c r="G4096" s="4"/>
      <c r="H4096" s="4"/>
      <c r="I4096" s="4"/>
      <c r="J4096" s="4"/>
      <c r="K4096" s="396" t="s">
        <v>444</v>
      </c>
      <c r="L4096" s="273"/>
      <c r="M4096" s="394">
        <f>SUM(M4091:N4095)</f>
        <v>0</v>
      </c>
      <c r="N4096" s="273"/>
    </row>
    <row r="4097" spans="1:14" ht="12.75" customHeight="1" x14ac:dyDescent="0.25">
      <c r="A4097" s="4"/>
      <c r="B4097" s="4"/>
      <c r="C4097" s="4"/>
      <c r="D4097" s="4"/>
      <c r="E4097" s="4"/>
      <c r="F4097" s="4"/>
      <c r="G4097" s="4"/>
      <c r="H4097" s="4"/>
      <c r="I4097" s="4"/>
      <c r="J4097" s="4"/>
      <c r="K4097" s="4"/>
      <c r="L4097" s="4"/>
      <c r="M4097" s="4"/>
      <c r="N4097" s="4"/>
    </row>
    <row r="4098" spans="1:14" ht="12.75" customHeight="1" x14ac:dyDescent="0.2">
      <c r="A4098" s="398" t="s">
        <v>929</v>
      </c>
      <c r="B4098" s="271"/>
      <c r="C4098" s="271"/>
      <c r="D4098" s="271"/>
      <c r="E4098" s="271"/>
      <c r="F4098" s="271"/>
      <c r="G4098" s="271"/>
      <c r="H4098" s="271"/>
      <c r="I4098" s="271"/>
      <c r="J4098" s="271"/>
      <c r="K4098" s="271"/>
      <c r="L4098" s="271"/>
      <c r="M4098" s="271"/>
      <c r="N4098" s="273"/>
    </row>
    <row r="4099" spans="1:14" ht="12.75" customHeight="1" x14ac:dyDescent="0.2">
      <c r="A4099" s="396" t="s">
        <v>76</v>
      </c>
      <c r="B4099" s="271"/>
      <c r="C4099" s="271"/>
      <c r="D4099" s="271"/>
      <c r="E4099" s="271"/>
      <c r="F4099" s="271"/>
      <c r="G4099" s="273"/>
      <c r="H4099" s="88" t="s">
        <v>77</v>
      </c>
      <c r="I4099" s="399" t="s">
        <v>920</v>
      </c>
      <c r="J4099" s="273"/>
      <c r="K4099" s="399" t="s">
        <v>453</v>
      </c>
      <c r="L4099" s="273"/>
      <c r="M4099" s="399" t="s">
        <v>921</v>
      </c>
      <c r="N4099" s="273"/>
    </row>
    <row r="4100" spans="1:14" ht="12.75" customHeight="1" x14ac:dyDescent="0.2">
      <c r="A4100" s="400" t="s">
        <v>966</v>
      </c>
      <c r="B4100" s="271"/>
      <c r="C4100" s="271"/>
      <c r="D4100" s="271"/>
      <c r="E4100" s="271"/>
      <c r="F4100" s="271"/>
      <c r="G4100" s="273"/>
      <c r="H4100" s="29" t="s">
        <v>950</v>
      </c>
      <c r="I4100" s="394">
        <f>+M4087</f>
        <v>47570.25</v>
      </c>
      <c r="J4100" s="273"/>
      <c r="K4100" s="404">
        <v>0.05</v>
      </c>
      <c r="L4100" s="273"/>
      <c r="M4100" s="394">
        <f t="shared" ref="M4100:M4104" si="565">IF(A4100="","",I4100*K4100)</f>
        <v>2378.5125000000003</v>
      </c>
      <c r="N4100" s="273"/>
    </row>
    <row r="4101" spans="1:14" ht="12.75" customHeight="1" x14ac:dyDescent="0.2">
      <c r="A4101" s="403"/>
      <c r="B4101" s="271"/>
      <c r="C4101" s="271"/>
      <c r="D4101" s="271"/>
      <c r="E4101" s="271"/>
      <c r="F4101" s="271"/>
      <c r="G4101" s="273"/>
      <c r="H4101" s="29"/>
      <c r="I4101" s="394"/>
      <c r="J4101" s="273"/>
      <c r="K4101" s="404"/>
      <c r="L4101" s="273"/>
      <c r="M4101" s="394" t="str">
        <f t="shared" si="565"/>
        <v/>
      </c>
      <c r="N4101" s="273"/>
    </row>
    <row r="4102" spans="1:14" ht="12.75" customHeight="1" x14ac:dyDescent="0.2">
      <c r="A4102" s="400"/>
      <c r="B4102" s="271"/>
      <c r="C4102" s="271"/>
      <c r="D4102" s="271"/>
      <c r="E4102" s="271"/>
      <c r="F4102" s="271"/>
      <c r="G4102" s="273"/>
      <c r="H4102" s="29"/>
      <c r="I4102" s="394"/>
      <c r="J4102" s="273"/>
      <c r="K4102" s="395"/>
      <c r="L4102" s="273"/>
      <c r="M4102" s="394" t="str">
        <f t="shared" si="565"/>
        <v/>
      </c>
      <c r="N4102" s="273"/>
    </row>
    <row r="4103" spans="1:14" ht="12.75" customHeight="1" x14ac:dyDescent="0.2">
      <c r="A4103" s="400"/>
      <c r="B4103" s="271"/>
      <c r="C4103" s="271"/>
      <c r="D4103" s="271"/>
      <c r="E4103" s="271"/>
      <c r="F4103" s="271"/>
      <c r="G4103" s="273"/>
      <c r="H4103" s="29"/>
      <c r="I4103" s="394"/>
      <c r="J4103" s="273"/>
      <c r="K4103" s="395"/>
      <c r="L4103" s="273"/>
      <c r="M4103" s="394" t="str">
        <f t="shared" si="565"/>
        <v/>
      </c>
      <c r="N4103" s="273"/>
    </row>
    <row r="4104" spans="1:14" ht="12.75" customHeight="1" x14ac:dyDescent="0.2">
      <c r="A4104" s="400"/>
      <c r="B4104" s="271"/>
      <c r="C4104" s="271"/>
      <c r="D4104" s="271"/>
      <c r="E4104" s="271"/>
      <c r="F4104" s="271"/>
      <c r="G4104" s="273"/>
      <c r="H4104" s="29"/>
      <c r="I4104" s="394"/>
      <c r="J4104" s="273"/>
      <c r="K4104" s="395"/>
      <c r="L4104" s="273"/>
      <c r="M4104" s="394" t="str">
        <f t="shared" si="565"/>
        <v/>
      </c>
      <c r="N4104" s="273"/>
    </row>
    <row r="4105" spans="1:14" ht="12.75" customHeight="1" x14ac:dyDescent="0.25">
      <c r="A4105" s="4"/>
      <c r="B4105" s="4"/>
      <c r="C4105" s="4"/>
      <c r="D4105" s="4"/>
      <c r="E4105" s="4"/>
      <c r="F4105" s="4"/>
      <c r="G4105" s="4"/>
      <c r="H4105" s="4"/>
      <c r="I4105" s="4"/>
      <c r="J4105" s="4"/>
      <c r="K4105" s="396" t="s">
        <v>444</v>
      </c>
      <c r="L4105" s="273"/>
      <c r="M4105" s="394">
        <f>SUM(M4100:N4104)</f>
        <v>2378.5125000000003</v>
      </c>
      <c r="N4105" s="273"/>
    </row>
    <row r="4106" spans="1:14" ht="12.75" customHeight="1" x14ac:dyDescent="0.25">
      <c r="A4106" s="4"/>
      <c r="B4106" s="4"/>
      <c r="C4106" s="4"/>
      <c r="D4106" s="4"/>
      <c r="E4106" s="4"/>
      <c r="F4106" s="4"/>
      <c r="G4106" s="4"/>
      <c r="H4106" s="4"/>
      <c r="I4106" s="4"/>
      <c r="J4106" s="4"/>
      <c r="K4106" s="4"/>
      <c r="L4106" s="4"/>
      <c r="M4106" s="4"/>
      <c r="N4106" s="4"/>
    </row>
    <row r="4107" spans="1:14" ht="12.75" customHeight="1" x14ac:dyDescent="0.2">
      <c r="A4107" s="398" t="s">
        <v>931</v>
      </c>
      <c r="B4107" s="271"/>
      <c r="C4107" s="271"/>
      <c r="D4107" s="271"/>
      <c r="E4107" s="271"/>
      <c r="F4107" s="271"/>
      <c r="G4107" s="271"/>
      <c r="H4107" s="271"/>
      <c r="I4107" s="271"/>
      <c r="J4107" s="271"/>
      <c r="K4107" s="271"/>
      <c r="L4107" s="271"/>
      <c r="M4107" s="271"/>
      <c r="N4107" s="273"/>
    </row>
    <row r="4108" spans="1:14" ht="12.75" customHeight="1" x14ac:dyDescent="0.2">
      <c r="A4108" s="396" t="s">
        <v>76</v>
      </c>
      <c r="B4108" s="271"/>
      <c r="C4108" s="271"/>
      <c r="D4108" s="271"/>
      <c r="E4108" s="271"/>
      <c r="F4108" s="271"/>
      <c r="G4108" s="273"/>
      <c r="H4108" s="88" t="s">
        <v>77</v>
      </c>
      <c r="I4108" s="399" t="s">
        <v>920</v>
      </c>
      <c r="J4108" s="273"/>
      <c r="K4108" s="90" t="s">
        <v>514</v>
      </c>
      <c r="L4108" s="91" t="s">
        <v>932</v>
      </c>
      <c r="M4108" s="399" t="s">
        <v>921</v>
      </c>
      <c r="N4108" s="273"/>
    </row>
    <row r="4109" spans="1:14" ht="12.75" customHeight="1" x14ac:dyDescent="0.25">
      <c r="A4109" s="393"/>
      <c r="B4109" s="271"/>
      <c r="C4109" s="271"/>
      <c r="D4109" s="271"/>
      <c r="E4109" s="271"/>
      <c r="F4109" s="271"/>
      <c r="G4109" s="273"/>
      <c r="H4109" s="29" t="str">
        <f>IF(A4109="","",VLOOKUP(A4109,AA_Cuadrillas,4,FALSE))</f>
        <v/>
      </c>
      <c r="I4109" s="394" t="str">
        <f>IF(A4109="","",VLOOKUP(A4109,AA_Cuadrillas,5,FALSE))</f>
        <v/>
      </c>
      <c r="J4109" s="273"/>
      <c r="K4109" s="9" t="str">
        <f>IF(A4109="","",F.P!$I$2)</f>
        <v/>
      </c>
      <c r="L4109" s="97"/>
      <c r="M4109" s="394" t="str">
        <f t="shared" ref="M4109:M4113" si="566">IF(A4109="","",I4109*K4109*L4109)</f>
        <v/>
      </c>
      <c r="N4109" s="273"/>
    </row>
    <row r="4110" spans="1:14" ht="12.75" customHeight="1" x14ac:dyDescent="0.25">
      <c r="A4110" s="393"/>
      <c r="B4110" s="271"/>
      <c r="C4110" s="271"/>
      <c r="D4110" s="271"/>
      <c r="E4110" s="271"/>
      <c r="F4110" s="271"/>
      <c r="G4110" s="273"/>
      <c r="H4110" s="29" t="str">
        <f>IF(A4110="","",VLOOKUP(A4110,AA_Cuadrillas,4,FALSE))</f>
        <v/>
      </c>
      <c r="I4110" s="394" t="str">
        <f>IF(A4110="","",VLOOKUP(A4110,AA_Cuadrillas,5,FALSE))</f>
        <v/>
      </c>
      <c r="J4110" s="273"/>
      <c r="K4110" s="9" t="str">
        <f>IF(A4110="","",F.P!$I$2)</f>
        <v/>
      </c>
      <c r="L4110" s="9"/>
      <c r="M4110" s="394" t="str">
        <f t="shared" si="566"/>
        <v/>
      </c>
      <c r="N4110" s="273"/>
    </row>
    <row r="4111" spans="1:14" ht="12.75" customHeight="1" x14ac:dyDescent="0.25">
      <c r="A4111" s="393"/>
      <c r="B4111" s="271"/>
      <c r="C4111" s="271"/>
      <c r="D4111" s="271"/>
      <c r="E4111" s="271"/>
      <c r="F4111" s="271"/>
      <c r="G4111" s="273"/>
      <c r="H4111" s="29" t="str">
        <f>IF(A4111="","",VLOOKUP(A4111,AA_Cuadrillas,4,FALSE))</f>
        <v/>
      </c>
      <c r="I4111" s="394" t="str">
        <f>IF(A4111="","",VLOOKUP(A4111,AA_Cuadrillas,5,FALSE))</f>
        <v/>
      </c>
      <c r="J4111" s="273"/>
      <c r="K4111" s="9" t="str">
        <f>IF(A4111="","",F.P!$I$2)</f>
        <v/>
      </c>
      <c r="L4111" s="37"/>
      <c r="M4111" s="394" t="str">
        <f t="shared" si="566"/>
        <v/>
      </c>
      <c r="N4111" s="273"/>
    </row>
    <row r="4112" spans="1:14" ht="12.75" customHeight="1" x14ac:dyDescent="0.25">
      <c r="A4112" s="393"/>
      <c r="B4112" s="271"/>
      <c r="C4112" s="271"/>
      <c r="D4112" s="271"/>
      <c r="E4112" s="271"/>
      <c r="F4112" s="271"/>
      <c r="G4112" s="273"/>
      <c r="H4112" s="29" t="str">
        <f>IF(A4112="","",VLOOKUP(A4112,AA_Cuadrillas,4,FALSE))</f>
        <v/>
      </c>
      <c r="I4112" s="394" t="str">
        <f>IF(A4112="","",VLOOKUP(A4112,AA_Cuadrillas,5,FALSE))</f>
        <v/>
      </c>
      <c r="J4112" s="273"/>
      <c r="K4112" s="9" t="str">
        <f>IF(A4112="","",F.P!$I$2)</f>
        <v/>
      </c>
      <c r="L4112" s="37"/>
      <c r="M4112" s="394" t="str">
        <f t="shared" si="566"/>
        <v/>
      </c>
      <c r="N4112" s="273"/>
    </row>
    <row r="4113" spans="1:15" ht="12.75" customHeight="1" x14ac:dyDescent="0.25">
      <c r="A4113" s="393"/>
      <c r="B4113" s="271"/>
      <c r="C4113" s="271"/>
      <c r="D4113" s="271"/>
      <c r="E4113" s="271"/>
      <c r="F4113" s="271"/>
      <c r="G4113" s="273"/>
      <c r="H4113" s="29" t="str">
        <f>IF(A4113="","",VLOOKUP(A4113,AA_Cuadrillas,4,FALSE))</f>
        <v/>
      </c>
      <c r="I4113" s="394" t="str">
        <f>IF(A4113="","",VLOOKUP(A4113,AA_Cuadrillas,5,FALSE))</f>
        <v/>
      </c>
      <c r="J4113" s="273"/>
      <c r="K4113" s="9" t="str">
        <f>IF(A4113="","",F.P!$I$2)</f>
        <v/>
      </c>
      <c r="L4113" s="37"/>
      <c r="M4113" s="394" t="str">
        <f t="shared" si="566"/>
        <v/>
      </c>
      <c r="N4113" s="273"/>
    </row>
    <row r="4114" spans="1:15" ht="12.75" customHeight="1" x14ac:dyDescent="0.25">
      <c r="A4114" s="4"/>
      <c r="B4114" s="4"/>
      <c r="C4114" s="4"/>
      <c r="D4114" s="4"/>
      <c r="E4114" s="4"/>
      <c r="F4114" s="4"/>
      <c r="G4114" s="4"/>
      <c r="H4114" s="4"/>
      <c r="I4114" s="4"/>
      <c r="J4114" s="4"/>
      <c r="K4114" s="396" t="s">
        <v>444</v>
      </c>
      <c r="L4114" s="273"/>
      <c r="M4114" s="394">
        <f>SUM(M4109:N4113)</f>
        <v>0</v>
      </c>
      <c r="N4114" s="273"/>
    </row>
    <row r="4115" spans="1:15" ht="12.75" customHeight="1" x14ac:dyDescent="0.2"/>
    <row r="4116" spans="1:15" ht="12.75" customHeight="1" x14ac:dyDescent="0.2">
      <c r="A4116" s="407" t="s">
        <v>1163</v>
      </c>
      <c r="B4116" s="275"/>
      <c r="C4116" s="275"/>
      <c r="D4116" s="275"/>
      <c r="E4116" s="275"/>
      <c r="F4116" s="275"/>
      <c r="G4116" s="275"/>
      <c r="H4116" s="275"/>
      <c r="I4116" s="275"/>
      <c r="J4116" s="275"/>
      <c r="K4116" s="275"/>
      <c r="L4116" s="275"/>
      <c r="M4116" s="275"/>
      <c r="N4116" s="276"/>
    </row>
    <row r="4117" spans="1:15" ht="12.75" customHeight="1" x14ac:dyDescent="0.2">
      <c r="A4117" s="277"/>
      <c r="B4117" s="278"/>
      <c r="C4117" s="278"/>
      <c r="D4117" s="278"/>
      <c r="E4117" s="278"/>
      <c r="F4117" s="278"/>
      <c r="G4117" s="278"/>
      <c r="H4117" s="278"/>
      <c r="I4117" s="278"/>
      <c r="J4117" s="278"/>
      <c r="K4117" s="278"/>
      <c r="L4117" s="278"/>
      <c r="M4117" s="278"/>
      <c r="N4117" s="279"/>
    </row>
    <row r="4118" spans="1:15" ht="12.75" customHeight="1" x14ac:dyDescent="0.2">
      <c r="A4118" s="75"/>
      <c r="B4118" s="75"/>
      <c r="C4118" s="75"/>
      <c r="D4118" s="75"/>
      <c r="E4118" s="75"/>
      <c r="F4118" s="75"/>
      <c r="G4118" s="75"/>
      <c r="H4118" s="75"/>
      <c r="I4118" s="75"/>
      <c r="J4118" s="75"/>
      <c r="K4118" s="75"/>
      <c r="L4118" s="75"/>
      <c r="M4118" s="75"/>
      <c r="N4118" s="75"/>
    </row>
    <row r="4119" spans="1:15" ht="12.75" customHeight="1" x14ac:dyDescent="0.3">
      <c r="A4119" s="79" t="s">
        <v>710</v>
      </c>
      <c r="B4119" s="80" t="str">
        <f>A4116</f>
        <v>CONCRETO DE 4000 PSI IMPERMEABILIZADO</v>
      </c>
      <c r="C4119" s="81" t="s">
        <v>916</v>
      </c>
      <c r="D4119" s="82" t="s">
        <v>258</v>
      </c>
      <c r="E4119" s="83" t="s">
        <v>445</v>
      </c>
      <c r="F4119" s="240">
        <f>H4119+J4119+L4119+N4119</f>
        <v>1291929.2639777779</v>
      </c>
      <c r="G4119" s="83" t="s">
        <v>607</v>
      </c>
      <c r="H4119" s="86">
        <f>M4132</f>
        <v>1005059.3286</v>
      </c>
      <c r="I4119" s="83" t="s">
        <v>918</v>
      </c>
      <c r="J4119" s="86">
        <f>M4141</f>
        <v>47634.334222222227</v>
      </c>
      <c r="K4119" s="83" t="s">
        <v>609</v>
      </c>
      <c r="L4119" s="86">
        <f>M4150</f>
        <v>73431.716711111105</v>
      </c>
      <c r="M4119" s="83" t="s">
        <v>610</v>
      </c>
      <c r="N4119" s="86">
        <f>M4159</f>
        <v>165803.88444444444</v>
      </c>
      <c r="O4119" t="s">
        <v>3238</v>
      </c>
    </row>
    <row r="4120" spans="1:15" ht="12.75" customHeight="1" x14ac:dyDescent="0.25">
      <c r="A4120" s="87"/>
      <c r="B4120" s="87"/>
      <c r="C4120" s="87"/>
      <c r="D4120" s="87"/>
      <c r="E4120" s="87"/>
      <c r="F4120" s="87"/>
      <c r="G4120" s="87"/>
      <c r="J4120" s="87"/>
      <c r="K4120" s="215" t="s">
        <v>3217</v>
      </c>
      <c r="L4120" s="215">
        <f>+F4119*presup!$O$5</f>
        <v>1679508.0431711113</v>
      </c>
      <c r="M4120" s="87"/>
      <c r="N4120" s="87"/>
    </row>
    <row r="4121" spans="1:15" ht="12.75" customHeight="1" x14ac:dyDescent="0.2">
      <c r="A4121" s="398" t="s">
        <v>919</v>
      </c>
      <c r="B4121" s="271"/>
      <c r="C4121" s="271"/>
      <c r="D4121" s="271"/>
      <c r="E4121" s="271"/>
      <c r="F4121" s="271"/>
      <c r="G4121" s="271"/>
      <c r="H4121" s="271"/>
      <c r="I4121" s="271"/>
      <c r="J4121" s="271"/>
      <c r="K4121" s="271"/>
      <c r="L4121" s="271"/>
      <c r="M4121" s="271"/>
      <c r="N4121" s="273"/>
    </row>
    <row r="4122" spans="1:15" ht="12.75" customHeight="1" x14ac:dyDescent="0.2">
      <c r="A4122" s="396" t="s">
        <v>76</v>
      </c>
      <c r="B4122" s="271"/>
      <c r="C4122" s="271"/>
      <c r="D4122" s="271"/>
      <c r="E4122" s="271"/>
      <c r="F4122" s="271"/>
      <c r="G4122" s="273"/>
      <c r="H4122" s="88" t="s">
        <v>77</v>
      </c>
      <c r="I4122" s="399" t="s">
        <v>920</v>
      </c>
      <c r="J4122" s="273"/>
      <c r="K4122" s="399" t="s">
        <v>453</v>
      </c>
      <c r="L4122" s="273"/>
      <c r="M4122" s="399" t="s">
        <v>921</v>
      </c>
      <c r="N4122" s="273"/>
    </row>
    <row r="4123" spans="1:15" ht="12.75" customHeight="1" x14ac:dyDescent="0.2">
      <c r="A4123" s="400" t="s">
        <v>953</v>
      </c>
      <c r="B4123" s="271"/>
      <c r="C4123" s="271"/>
      <c r="D4123" s="271"/>
      <c r="E4123" s="271"/>
      <c r="F4123" s="271"/>
      <c r="G4123" s="273"/>
      <c r="H4123" s="29" t="str">
        <f t="shared" ref="H4123:H4131" si="567">IF(A4123="","",VLOOKUP(A4123,AA_Materiales,7,FALSE))</f>
        <v>Kg</v>
      </c>
      <c r="I4123" s="394">
        <f t="shared" ref="I4123:I4131" si="568">IF(A4123="","",VLOOKUP(A4123,AA_Materiales,8,FALSE))</f>
        <v>800</v>
      </c>
      <c r="J4123" s="273"/>
      <c r="K4123" s="395">
        <v>425</v>
      </c>
      <c r="L4123" s="273"/>
      <c r="M4123" s="394">
        <f t="shared" ref="M4123:M4131" si="569">IF(A4123="","",I4123*K4123)</f>
        <v>340000</v>
      </c>
      <c r="N4123" s="273"/>
    </row>
    <row r="4124" spans="1:15" ht="12.75" customHeight="1" x14ac:dyDescent="0.2">
      <c r="A4124" s="400" t="s">
        <v>954</v>
      </c>
      <c r="B4124" s="271"/>
      <c r="C4124" s="271"/>
      <c r="D4124" s="271"/>
      <c r="E4124" s="271"/>
      <c r="F4124" s="271"/>
      <c r="G4124" s="273"/>
      <c r="H4124" s="29" t="str">
        <f t="shared" si="567"/>
        <v>m3</v>
      </c>
      <c r="I4124" s="394">
        <f t="shared" si="568"/>
        <v>83000</v>
      </c>
      <c r="J4124" s="273"/>
      <c r="K4124" s="395">
        <v>0.57999999999999996</v>
      </c>
      <c r="L4124" s="273"/>
      <c r="M4124" s="394">
        <f t="shared" si="569"/>
        <v>48140</v>
      </c>
      <c r="N4124" s="273"/>
    </row>
    <row r="4125" spans="1:15" ht="12.75" customHeight="1" x14ac:dyDescent="0.2">
      <c r="A4125" s="400" t="s">
        <v>955</v>
      </c>
      <c r="B4125" s="271"/>
      <c r="C4125" s="271"/>
      <c r="D4125" s="271"/>
      <c r="E4125" s="271"/>
      <c r="F4125" s="271"/>
      <c r="G4125" s="273"/>
      <c r="H4125" s="29" t="str">
        <f t="shared" si="567"/>
        <v>m3</v>
      </c>
      <c r="I4125" s="394">
        <f t="shared" si="568"/>
        <v>90000</v>
      </c>
      <c r="J4125" s="273"/>
      <c r="K4125" s="395">
        <v>0.7</v>
      </c>
      <c r="L4125" s="273"/>
      <c r="M4125" s="394">
        <f t="shared" si="569"/>
        <v>62999.999999999993</v>
      </c>
      <c r="N4125" s="273"/>
    </row>
    <row r="4126" spans="1:15" ht="12.75" customHeight="1" x14ac:dyDescent="0.2">
      <c r="A4126" s="400" t="s">
        <v>956</v>
      </c>
      <c r="B4126" s="271"/>
      <c r="C4126" s="271"/>
      <c r="D4126" s="271"/>
      <c r="E4126" s="271"/>
      <c r="F4126" s="271"/>
      <c r="G4126" s="273"/>
      <c r="H4126" s="29" t="str">
        <f t="shared" si="567"/>
        <v>Lt</v>
      </c>
      <c r="I4126" s="394">
        <f t="shared" si="568"/>
        <v>20</v>
      </c>
      <c r="J4126" s="273"/>
      <c r="K4126" s="395">
        <v>200</v>
      </c>
      <c r="L4126" s="273"/>
      <c r="M4126" s="394">
        <f t="shared" si="569"/>
        <v>4000</v>
      </c>
      <c r="N4126" s="273"/>
    </row>
    <row r="4127" spans="1:15" ht="12.75" customHeight="1" x14ac:dyDescent="0.2">
      <c r="A4127" s="400" t="s">
        <v>1164</v>
      </c>
      <c r="B4127" s="271"/>
      <c r="C4127" s="271"/>
      <c r="D4127" s="271"/>
      <c r="E4127" s="271"/>
      <c r="F4127" s="271"/>
      <c r="G4127" s="273"/>
      <c r="H4127" s="29" t="str">
        <f t="shared" si="567"/>
        <v>Kg</v>
      </c>
      <c r="I4127" s="394">
        <f t="shared" si="568"/>
        <v>24422.22</v>
      </c>
      <c r="J4127" s="273"/>
      <c r="K4127" s="395">
        <v>2.13</v>
      </c>
      <c r="L4127" s="273"/>
      <c r="M4127" s="394">
        <f t="shared" si="569"/>
        <v>52019.328600000001</v>
      </c>
      <c r="N4127" s="273"/>
    </row>
    <row r="4128" spans="1:15" ht="12.75" customHeight="1" x14ac:dyDescent="0.2">
      <c r="A4128" s="400" t="s">
        <v>1165</v>
      </c>
      <c r="B4128" s="271"/>
      <c r="C4128" s="271"/>
      <c r="D4128" s="271"/>
      <c r="E4128" s="271"/>
      <c r="F4128" s="271"/>
      <c r="G4128" s="273"/>
      <c r="H4128" s="29" t="str">
        <f t="shared" si="567"/>
        <v>Unidad</v>
      </c>
      <c r="I4128" s="394">
        <f t="shared" si="568"/>
        <v>2400</v>
      </c>
      <c r="J4128" s="273"/>
      <c r="K4128" s="395">
        <v>156</v>
      </c>
      <c r="L4128" s="273"/>
      <c r="M4128" s="394">
        <f t="shared" si="569"/>
        <v>374400</v>
      </c>
      <c r="N4128" s="273"/>
    </row>
    <row r="4129" spans="1:14" ht="12.75" customHeight="1" x14ac:dyDescent="0.2">
      <c r="A4129" s="400" t="s">
        <v>1166</v>
      </c>
      <c r="B4129" s="271"/>
      <c r="C4129" s="271"/>
      <c r="D4129" s="271"/>
      <c r="E4129" s="271"/>
      <c r="F4129" s="271"/>
      <c r="G4129" s="273"/>
      <c r="H4129" s="29" t="str">
        <f t="shared" si="567"/>
        <v>Unidad</v>
      </c>
      <c r="I4129" s="394">
        <f t="shared" si="568"/>
        <v>8000</v>
      </c>
      <c r="J4129" s="273"/>
      <c r="K4129" s="395">
        <v>12</v>
      </c>
      <c r="L4129" s="273"/>
      <c r="M4129" s="394">
        <f t="shared" si="569"/>
        <v>96000</v>
      </c>
      <c r="N4129" s="273"/>
    </row>
    <row r="4130" spans="1:14" ht="12.75" customHeight="1" x14ac:dyDescent="0.2">
      <c r="A4130" s="400" t="s">
        <v>947</v>
      </c>
      <c r="B4130" s="271"/>
      <c r="C4130" s="271"/>
      <c r="D4130" s="271"/>
      <c r="E4130" s="271"/>
      <c r="F4130" s="271"/>
      <c r="G4130" s="273"/>
      <c r="H4130" s="29" t="str">
        <f t="shared" si="567"/>
        <v>LB</v>
      </c>
      <c r="I4130" s="394">
        <f t="shared" si="568"/>
        <v>5500</v>
      </c>
      <c r="J4130" s="273"/>
      <c r="K4130" s="395">
        <v>5</v>
      </c>
      <c r="L4130" s="273"/>
      <c r="M4130" s="394">
        <f t="shared" si="569"/>
        <v>27500</v>
      </c>
      <c r="N4130" s="273"/>
    </row>
    <row r="4131" spans="1:14" ht="12.75" customHeight="1" x14ac:dyDescent="0.2">
      <c r="A4131" s="400"/>
      <c r="B4131" s="271"/>
      <c r="C4131" s="271"/>
      <c r="D4131" s="271"/>
      <c r="E4131" s="271"/>
      <c r="F4131" s="271"/>
      <c r="G4131" s="273"/>
      <c r="H4131" s="29" t="str">
        <f t="shared" si="567"/>
        <v/>
      </c>
      <c r="I4131" s="394" t="str">
        <f t="shared" si="568"/>
        <v/>
      </c>
      <c r="J4131" s="273"/>
      <c r="K4131" s="395"/>
      <c r="L4131" s="273"/>
      <c r="M4131" s="394" t="str">
        <f t="shared" si="569"/>
        <v/>
      </c>
      <c r="N4131" s="273"/>
    </row>
    <row r="4132" spans="1:14" ht="12.75" customHeight="1" x14ac:dyDescent="0.25">
      <c r="A4132" s="4"/>
      <c r="B4132" s="4"/>
      <c r="C4132" s="4"/>
      <c r="D4132" s="4"/>
      <c r="E4132" s="4"/>
      <c r="F4132" s="4"/>
      <c r="G4132" s="4"/>
      <c r="H4132" s="4"/>
      <c r="I4132" s="4"/>
      <c r="J4132" s="4"/>
      <c r="K4132" s="396" t="s">
        <v>444</v>
      </c>
      <c r="L4132" s="273"/>
      <c r="M4132" s="394">
        <f>SUM(M4123:N4131)</f>
        <v>1005059.3286</v>
      </c>
      <c r="N4132" s="273"/>
    </row>
    <row r="4133" spans="1:14" ht="12.75" customHeight="1" x14ac:dyDescent="0.25">
      <c r="A4133" s="4"/>
      <c r="B4133" s="4"/>
      <c r="C4133" s="4"/>
      <c r="D4133" s="4"/>
      <c r="E4133" s="4"/>
      <c r="F4133" s="4"/>
      <c r="G4133" s="4"/>
      <c r="H4133" s="4"/>
      <c r="I4133" s="4"/>
      <c r="J4133" s="4"/>
      <c r="K4133" s="4"/>
      <c r="L4133" s="4"/>
      <c r="M4133" s="4"/>
      <c r="N4133" s="4"/>
    </row>
    <row r="4134" spans="1:14" ht="12.75" customHeight="1" x14ac:dyDescent="0.2">
      <c r="A4134" s="398" t="s">
        <v>926</v>
      </c>
      <c r="B4134" s="271"/>
      <c r="C4134" s="271"/>
      <c r="D4134" s="271"/>
      <c r="E4134" s="271"/>
      <c r="F4134" s="271"/>
      <c r="G4134" s="271"/>
      <c r="H4134" s="271"/>
      <c r="I4134" s="271"/>
      <c r="J4134" s="271"/>
      <c r="K4134" s="271"/>
      <c r="L4134" s="271"/>
      <c r="M4134" s="271"/>
      <c r="N4134" s="273"/>
    </row>
    <row r="4135" spans="1:14" ht="12.75" customHeight="1" x14ac:dyDescent="0.2">
      <c r="A4135" s="396" t="s">
        <v>76</v>
      </c>
      <c r="B4135" s="271"/>
      <c r="C4135" s="271"/>
      <c r="D4135" s="271"/>
      <c r="E4135" s="271"/>
      <c r="F4135" s="271"/>
      <c r="G4135" s="273"/>
      <c r="H4135" s="88" t="s">
        <v>77</v>
      </c>
      <c r="I4135" s="399" t="s">
        <v>920</v>
      </c>
      <c r="J4135" s="273"/>
      <c r="K4135" s="399" t="s">
        <v>453</v>
      </c>
      <c r="L4135" s="273"/>
      <c r="M4135" s="399" t="s">
        <v>921</v>
      </c>
      <c r="N4135" s="273"/>
    </row>
    <row r="4136" spans="1:14" ht="12.75" customHeight="1" x14ac:dyDescent="0.2">
      <c r="A4136" s="400" t="s">
        <v>927</v>
      </c>
      <c r="B4136" s="271"/>
      <c r="C4136" s="271"/>
      <c r="D4136" s="271"/>
      <c r="E4136" s="271"/>
      <c r="F4136" s="271"/>
      <c r="G4136" s="273"/>
      <c r="H4136" s="29" t="str">
        <f>IF(A4136="","",VLOOKUP(A4136,AA_Equipos,7,FALSE))</f>
        <v>% M.O.</v>
      </c>
      <c r="I4136" s="394">
        <f>M4159</f>
        <v>165803.88444444444</v>
      </c>
      <c r="J4136" s="273"/>
      <c r="K4136" s="395">
        <v>0.05</v>
      </c>
      <c r="L4136" s="273"/>
      <c r="M4136" s="394">
        <f t="shared" ref="M4136:M4140" si="570">IF(A4136="","",I4136*K4136)</f>
        <v>8290.1942222222224</v>
      </c>
      <c r="N4136" s="273"/>
    </row>
    <row r="4137" spans="1:14" ht="12.75" customHeight="1" x14ac:dyDescent="0.2">
      <c r="A4137" s="403" t="s">
        <v>957</v>
      </c>
      <c r="B4137" s="271"/>
      <c r="C4137" s="271"/>
      <c r="D4137" s="271"/>
      <c r="E4137" s="271"/>
      <c r="F4137" s="271"/>
      <c r="G4137" s="273"/>
      <c r="H4137" s="29" t="str">
        <f>IF(A4137="","",VLOOKUP(A4137,AA_Equipos,7,FALSE))</f>
        <v>Dia</v>
      </c>
      <c r="I4137" s="394">
        <f>IF(A4137="","",VLOOKUP(A4137,AA_Equipos,8,FALSE))</f>
        <v>107071</v>
      </c>
      <c r="J4137" s="273"/>
      <c r="K4137" s="402">
        <v>0.22</v>
      </c>
      <c r="L4137" s="273"/>
      <c r="M4137" s="394">
        <f t="shared" si="570"/>
        <v>23555.62</v>
      </c>
      <c r="N4137" s="273"/>
    </row>
    <row r="4138" spans="1:14" ht="12.75" customHeight="1" x14ac:dyDescent="0.2">
      <c r="A4138" s="400" t="s">
        <v>964</v>
      </c>
      <c r="B4138" s="271"/>
      <c r="C4138" s="271"/>
      <c r="D4138" s="271"/>
      <c r="E4138" s="271"/>
      <c r="F4138" s="271"/>
      <c r="G4138" s="273"/>
      <c r="H4138" s="29" t="str">
        <f>IF(A4138="","",VLOOKUP(A4138,AA_Equipos,7,FALSE))</f>
        <v>Dia</v>
      </c>
      <c r="I4138" s="394">
        <f>IF(A4138="","",VLOOKUP(A4138,AA_Equipos,8,FALSE))</f>
        <v>71766</v>
      </c>
      <c r="J4138" s="273"/>
      <c r="K4138" s="395">
        <v>0.22</v>
      </c>
      <c r="L4138" s="273"/>
      <c r="M4138" s="394">
        <f t="shared" si="570"/>
        <v>15788.52</v>
      </c>
      <c r="N4138" s="273"/>
    </row>
    <row r="4139" spans="1:14" ht="12.75" customHeight="1" x14ac:dyDescent="0.2">
      <c r="A4139" s="400"/>
      <c r="B4139" s="271"/>
      <c r="C4139" s="271"/>
      <c r="D4139" s="271"/>
      <c r="E4139" s="271"/>
      <c r="F4139" s="271"/>
      <c r="G4139" s="273"/>
      <c r="H4139" s="29" t="str">
        <f>IF(A4139="","",VLOOKUP(A4139,AA_Equipos,7,FALSE))</f>
        <v/>
      </c>
      <c r="I4139" s="394" t="str">
        <f>IF(A4139="","",VLOOKUP(A4139,AA_Equipos,8,FALSE))</f>
        <v/>
      </c>
      <c r="J4139" s="273"/>
      <c r="K4139" s="395"/>
      <c r="L4139" s="273"/>
      <c r="M4139" s="394" t="str">
        <f t="shared" si="570"/>
        <v/>
      </c>
      <c r="N4139" s="273"/>
    </row>
    <row r="4140" spans="1:14" ht="12.75" customHeight="1" x14ac:dyDescent="0.2">
      <c r="A4140" s="400"/>
      <c r="B4140" s="271"/>
      <c r="C4140" s="271"/>
      <c r="D4140" s="271"/>
      <c r="E4140" s="271"/>
      <c r="F4140" s="271"/>
      <c r="G4140" s="273"/>
      <c r="H4140" s="29" t="str">
        <f>IF(A4140="","",VLOOKUP(A4140,AA_Equipos,7,FALSE))</f>
        <v/>
      </c>
      <c r="I4140" s="394" t="str">
        <f>IF(A4140="","",VLOOKUP(A4140,AA_Equipos,8,FALSE))</f>
        <v/>
      </c>
      <c r="J4140" s="273"/>
      <c r="K4140" s="395"/>
      <c r="L4140" s="273"/>
      <c r="M4140" s="394" t="str">
        <f t="shared" si="570"/>
        <v/>
      </c>
      <c r="N4140" s="273"/>
    </row>
    <row r="4141" spans="1:14" ht="12.75" customHeight="1" x14ac:dyDescent="0.25">
      <c r="A4141" s="4"/>
      <c r="B4141" s="4"/>
      <c r="C4141" s="4"/>
      <c r="D4141" s="4"/>
      <c r="E4141" s="4"/>
      <c r="F4141" s="4"/>
      <c r="G4141" s="4"/>
      <c r="H4141" s="4"/>
      <c r="I4141" s="4"/>
      <c r="J4141" s="4"/>
      <c r="K4141" s="396" t="s">
        <v>444</v>
      </c>
      <c r="L4141" s="273"/>
      <c r="M4141" s="394">
        <f>SUM(M4136:N4140)</f>
        <v>47634.334222222227</v>
      </c>
      <c r="N4141" s="273"/>
    </row>
    <row r="4142" spans="1:14" ht="12.75" customHeight="1" x14ac:dyDescent="0.25">
      <c r="A4142" s="4"/>
      <c r="B4142" s="4"/>
      <c r="C4142" s="4"/>
      <c r="D4142" s="4"/>
      <c r="E4142" s="4"/>
      <c r="F4142" s="4"/>
      <c r="G4142" s="4"/>
      <c r="H4142" s="4"/>
      <c r="I4142" s="4"/>
      <c r="J4142" s="4"/>
      <c r="K4142" s="4"/>
      <c r="L4142" s="4"/>
      <c r="M4142" s="4"/>
      <c r="N4142" s="4"/>
    </row>
    <row r="4143" spans="1:14" ht="12.75" customHeight="1" x14ac:dyDescent="0.2">
      <c r="A4143" s="398" t="s">
        <v>929</v>
      </c>
      <c r="B4143" s="271"/>
      <c r="C4143" s="271"/>
      <c r="D4143" s="271"/>
      <c r="E4143" s="271"/>
      <c r="F4143" s="271"/>
      <c r="G4143" s="271"/>
      <c r="H4143" s="271"/>
      <c r="I4143" s="271"/>
      <c r="J4143" s="271"/>
      <c r="K4143" s="271"/>
      <c r="L4143" s="271"/>
      <c r="M4143" s="271"/>
      <c r="N4143" s="273"/>
    </row>
    <row r="4144" spans="1:14" ht="12.75" customHeight="1" x14ac:dyDescent="0.2">
      <c r="A4144" s="396" t="s">
        <v>76</v>
      </c>
      <c r="B4144" s="271"/>
      <c r="C4144" s="271"/>
      <c r="D4144" s="271"/>
      <c r="E4144" s="271"/>
      <c r="F4144" s="271"/>
      <c r="G4144" s="273"/>
      <c r="H4144" s="88" t="s">
        <v>77</v>
      </c>
      <c r="I4144" s="399" t="s">
        <v>920</v>
      </c>
      <c r="J4144" s="273"/>
      <c r="K4144" s="399" t="s">
        <v>453</v>
      </c>
      <c r="L4144" s="273"/>
      <c r="M4144" s="399" t="s">
        <v>921</v>
      </c>
      <c r="N4144" s="273"/>
    </row>
    <row r="4145" spans="1:14" ht="12.75" customHeight="1" x14ac:dyDescent="0.2">
      <c r="A4145" s="400" t="s">
        <v>965</v>
      </c>
      <c r="B4145" s="271"/>
      <c r="C4145" s="271"/>
      <c r="D4145" s="271"/>
      <c r="E4145" s="271"/>
      <c r="F4145" s="271"/>
      <c r="G4145" s="273"/>
      <c r="H4145" s="29" t="s">
        <v>959</v>
      </c>
      <c r="I4145" s="394">
        <f>+M4141</f>
        <v>47634.334222222227</v>
      </c>
      <c r="J4145" s="273"/>
      <c r="K4145" s="404">
        <v>0.05</v>
      </c>
      <c r="L4145" s="273"/>
      <c r="M4145" s="394">
        <f t="shared" ref="M4145:M4149" si="571">IF(A4145="","",I4145*K4145)</f>
        <v>2381.7167111111116</v>
      </c>
      <c r="N4145" s="273"/>
    </row>
    <row r="4146" spans="1:14" ht="12.75" customHeight="1" x14ac:dyDescent="0.2">
      <c r="A4146" s="403" t="s">
        <v>966</v>
      </c>
      <c r="B4146" s="271"/>
      <c r="C4146" s="271"/>
      <c r="D4146" s="271"/>
      <c r="E4146" s="271"/>
      <c r="F4146" s="271"/>
      <c r="G4146" s="273"/>
      <c r="H4146" s="29" t="s">
        <v>967</v>
      </c>
      <c r="I4146" s="394">
        <v>1450</v>
      </c>
      <c r="J4146" s="273"/>
      <c r="K4146" s="417">
        <f>+Indice!L21</f>
        <v>49</v>
      </c>
      <c r="L4146" s="273"/>
      <c r="M4146" s="394">
        <f t="shared" si="571"/>
        <v>71050</v>
      </c>
      <c r="N4146" s="273"/>
    </row>
    <row r="4147" spans="1:14" ht="12.75" customHeight="1" x14ac:dyDescent="0.2">
      <c r="A4147" s="400"/>
      <c r="B4147" s="271"/>
      <c r="C4147" s="271"/>
      <c r="D4147" s="271"/>
      <c r="E4147" s="271"/>
      <c r="F4147" s="271"/>
      <c r="G4147" s="273"/>
      <c r="H4147" s="29"/>
      <c r="I4147" s="394"/>
      <c r="J4147" s="273"/>
      <c r="K4147" s="395"/>
      <c r="L4147" s="273"/>
      <c r="M4147" s="394" t="str">
        <f t="shared" si="571"/>
        <v/>
      </c>
      <c r="N4147" s="273"/>
    </row>
    <row r="4148" spans="1:14" ht="12.75" customHeight="1" x14ac:dyDescent="0.2">
      <c r="A4148" s="400"/>
      <c r="B4148" s="271"/>
      <c r="C4148" s="271"/>
      <c r="D4148" s="271"/>
      <c r="E4148" s="271"/>
      <c r="F4148" s="271"/>
      <c r="G4148" s="273"/>
      <c r="H4148" s="29"/>
      <c r="I4148" s="394"/>
      <c r="J4148" s="273"/>
      <c r="K4148" s="395"/>
      <c r="L4148" s="273"/>
      <c r="M4148" s="394" t="str">
        <f t="shared" si="571"/>
        <v/>
      </c>
      <c r="N4148" s="273"/>
    </row>
    <row r="4149" spans="1:14" ht="12.75" customHeight="1" x14ac:dyDescent="0.2">
      <c r="A4149" s="400"/>
      <c r="B4149" s="271"/>
      <c r="C4149" s="271"/>
      <c r="D4149" s="271"/>
      <c r="E4149" s="271"/>
      <c r="F4149" s="271"/>
      <c r="G4149" s="273"/>
      <c r="H4149" s="29"/>
      <c r="I4149" s="394"/>
      <c r="J4149" s="273"/>
      <c r="K4149" s="395"/>
      <c r="L4149" s="273"/>
      <c r="M4149" s="394" t="str">
        <f t="shared" si="571"/>
        <v/>
      </c>
      <c r="N4149" s="273"/>
    </row>
    <row r="4150" spans="1:14" ht="12.75" customHeight="1" x14ac:dyDescent="0.25">
      <c r="A4150" s="4"/>
      <c r="B4150" s="4"/>
      <c r="C4150" s="4"/>
      <c r="D4150" s="4"/>
      <c r="E4150" s="4"/>
      <c r="F4150" s="4"/>
      <c r="G4150" s="4"/>
      <c r="H4150" s="4"/>
      <c r="I4150" s="4"/>
      <c r="J4150" s="4"/>
      <c r="K4150" s="396" t="s">
        <v>444</v>
      </c>
      <c r="L4150" s="273"/>
      <c r="M4150" s="394">
        <f>SUM(M4145:N4149)</f>
        <v>73431.716711111105</v>
      </c>
      <c r="N4150" s="273"/>
    </row>
    <row r="4151" spans="1:14" ht="12.75" customHeight="1" x14ac:dyDescent="0.25">
      <c r="A4151" s="4"/>
      <c r="B4151" s="4"/>
      <c r="C4151" s="4"/>
      <c r="D4151" s="4"/>
      <c r="E4151" s="4"/>
      <c r="F4151" s="4"/>
      <c r="G4151" s="4"/>
      <c r="H4151" s="4"/>
      <c r="I4151" s="4"/>
      <c r="J4151" s="4"/>
      <c r="K4151" s="4"/>
      <c r="L4151" s="4"/>
      <c r="M4151" s="4"/>
      <c r="N4151" s="4"/>
    </row>
    <row r="4152" spans="1:14" ht="12.75" customHeight="1" x14ac:dyDescent="0.2">
      <c r="A4152" s="398" t="s">
        <v>931</v>
      </c>
      <c r="B4152" s="271"/>
      <c r="C4152" s="271"/>
      <c r="D4152" s="271"/>
      <c r="E4152" s="271"/>
      <c r="F4152" s="271"/>
      <c r="G4152" s="271"/>
      <c r="H4152" s="271"/>
      <c r="I4152" s="271"/>
      <c r="J4152" s="271"/>
      <c r="K4152" s="271"/>
      <c r="L4152" s="271"/>
      <c r="M4152" s="271"/>
      <c r="N4152" s="273"/>
    </row>
    <row r="4153" spans="1:14" ht="12.75" customHeight="1" x14ac:dyDescent="0.2">
      <c r="A4153" s="396" t="s">
        <v>76</v>
      </c>
      <c r="B4153" s="271"/>
      <c r="C4153" s="271"/>
      <c r="D4153" s="271"/>
      <c r="E4153" s="271"/>
      <c r="F4153" s="271"/>
      <c r="G4153" s="273"/>
      <c r="H4153" s="88" t="s">
        <v>77</v>
      </c>
      <c r="I4153" s="399" t="s">
        <v>920</v>
      </c>
      <c r="J4153" s="273"/>
      <c r="K4153" s="90" t="s">
        <v>514</v>
      </c>
      <c r="L4153" s="91" t="s">
        <v>932</v>
      </c>
      <c r="M4153" s="399" t="s">
        <v>921</v>
      </c>
      <c r="N4153" s="273"/>
    </row>
    <row r="4154" spans="1:14" ht="12.75" customHeight="1" x14ac:dyDescent="0.25">
      <c r="A4154" s="393" t="s">
        <v>962</v>
      </c>
      <c r="B4154" s="271"/>
      <c r="C4154" s="271"/>
      <c r="D4154" s="271"/>
      <c r="E4154" s="271"/>
      <c r="F4154" s="271"/>
      <c r="G4154" s="273"/>
      <c r="H4154" s="29" t="str">
        <f>IF(A4154="","",VLOOKUP(A4154,AA_Cuadrillas,4,FALSE))</f>
        <v>Cuadrilla</v>
      </c>
      <c r="I4154" s="394">
        <f>IF(A4154="","",VLOOKUP(A4154,AA_Cuadrillas,5,FALSE))</f>
        <v>396871</v>
      </c>
      <c r="J4154" s="273"/>
      <c r="K4154" s="9">
        <f>IF(A4154="","",F.P!$I$2)</f>
        <v>1.88</v>
      </c>
      <c r="L4154" s="93">
        <f>1/4.5</f>
        <v>0.22222222222222221</v>
      </c>
      <c r="M4154" s="394">
        <f t="shared" ref="M4154:M4158" si="572">IF(A4154="","",I4154*K4154*L4154)</f>
        <v>165803.88444444444</v>
      </c>
      <c r="N4154" s="273"/>
    </row>
    <row r="4155" spans="1:14" ht="12.75" customHeight="1" x14ac:dyDescent="0.25">
      <c r="A4155" s="393"/>
      <c r="B4155" s="271"/>
      <c r="C4155" s="271"/>
      <c r="D4155" s="271"/>
      <c r="E4155" s="271"/>
      <c r="F4155" s="271"/>
      <c r="G4155" s="273"/>
      <c r="H4155" s="29" t="str">
        <f>IF(A4155="","",VLOOKUP(A4155,AA_Cuadrillas,4,FALSE))</f>
        <v/>
      </c>
      <c r="I4155" s="394" t="str">
        <f>IF(A4155="","",VLOOKUP(A4155,AA_Cuadrillas,5,FALSE))</f>
        <v/>
      </c>
      <c r="J4155" s="273"/>
      <c r="K4155" s="9" t="str">
        <f>IF(A4155="","",F.P!$I$2)</f>
        <v/>
      </c>
      <c r="L4155" s="9"/>
      <c r="M4155" s="394" t="str">
        <f t="shared" si="572"/>
        <v/>
      </c>
      <c r="N4155" s="273"/>
    </row>
    <row r="4156" spans="1:14" ht="12.75" customHeight="1" x14ac:dyDescent="0.25">
      <c r="A4156" s="393"/>
      <c r="B4156" s="271"/>
      <c r="C4156" s="271"/>
      <c r="D4156" s="271"/>
      <c r="E4156" s="271"/>
      <c r="F4156" s="271"/>
      <c r="G4156" s="273"/>
      <c r="H4156" s="29" t="str">
        <f>IF(A4156="","",VLOOKUP(A4156,AA_Cuadrillas,4,FALSE))</f>
        <v/>
      </c>
      <c r="I4156" s="394" t="str">
        <f>IF(A4156="","",VLOOKUP(A4156,AA_Cuadrillas,5,FALSE))</f>
        <v/>
      </c>
      <c r="J4156" s="273"/>
      <c r="K4156" s="9" t="str">
        <f>IF(A4156="","",F.P!$I$2)</f>
        <v/>
      </c>
      <c r="L4156" s="37"/>
      <c r="M4156" s="394" t="str">
        <f t="shared" si="572"/>
        <v/>
      </c>
      <c r="N4156" s="273"/>
    </row>
    <row r="4157" spans="1:14" ht="12.75" customHeight="1" x14ac:dyDescent="0.25">
      <c r="A4157" s="393"/>
      <c r="B4157" s="271"/>
      <c r="C4157" s="271"/>
      <c r="D4157" s="271"/>
      <c r="E4157" s="271"/>
      <c r="F4157" s="271"/>
      <c r="G4157" s="273"/>
      <c r="H4157" s="29" t="str">
        <f>IF(A4157="","",VLOOKUP(A4157,AA_Cuadrillas,4,FALSE))</f>
        <v/>
      </c>
      <c r="I4157" s="394" t="str">
        <f>IF(A4157="","",VLOOKUP(A4157,AA_Cuadrillas,5,FALSE))</f>
        <v/>
      </c>
      <c r="J4157" s="273"/>
      <c r="K4157" s="9" t="str">
        <f>IF(A4157="","",F.P!$I$2)</f>
        <v/>
      </c>
      <c r="L4157" s="37"/>
      <c r="M4157" s="394" t="str">
        <f t="shared" si="572"/>
        <v/>
      </c>
      <c r="N4157" s="273"/>
    </row>
    <row r="4158" spans="1:14" ht="12.75" customHeight="1" x14ac:dyDescent="0.25">
      <c r="A4158" s="393"/>
      <c r="B4158" s="271"/>
      <c r="C4158" s="271"/>
      <c r="D4158" s="271"/>
      <c r="E4158" s="271"/>
      <c r="F4158" s="271"/>
      <c r="G4158" s="273"/>
      <c r="H4158" s="29" t="str">
        <f>IF(A4158="","",VLOOKUP(A4158,AA_Cuadrillas,4,FALSE))</f>
        <v/>
      </c>
      <c r="I4158" s="394" t="str">
        <f>IF(A4158="","",VLOOKUP(A4158,AA_Cuadrillas,5,FALSE))</f>
        <v/>
      </c>
      <c r="J4158" s="273"/>
      <c r="K4158" s="9" t="str">
        <f>IF(A4158="","",F.P!$I$2)</f>
        <v/>
      </c>
      <c r="L4158" s="37"/>
      <c r="M4158" s="394" t="str">
        <f t="shared" si="572"/>
        <v/>
      </c>
      <c r="N4158" s="273"/>
    </row>
    <row r="4159" spans="1:14" ht="12.75" customHeight="1" x14ac:dyDescent="0.25">
      <c r="A4159" s="4"/>
      <c r="B4159" s="4"/>
      <c r="C4159" s="4"/>
      <c r="D4159" s="4"/>
      <c r="E4159" s="4"/>
      <c r="F4159" s="4"/>
      <c r="G4159" s="4"/>
      <c r="H4159" s="4"/>
      <c r="I4159" s="4"/>
      <c r="J4159" s="4"/>
      <c r="K4159" s="396" t="s">
        <v>444</v>
      </c>
      <c r="L4159" s="273"/>
      <c r="M4159" s="394">
        <f>SUM(M4154:N4158)</f>
        <v>165803.88444444444</v>
      </c>
      <c r="N4159" s="273"/>
    </row>
    <row r="4160" spans="1:14" ht="12.75" customHeight="1" x14ac:dyDescent="0.2"/>
    <row r="4161" spans="1:14" ht="12.75" customHeight="1" x14ac:dyDescent="0.2">
      <c r="A4161" s="407" t="s">
        <v>1167</v>
      </c>
      <c r="B4161" s="275"/>
      <c r="C4161" s="275"/>
      <c r="D4161" s="275"/>
      <c r="E4161" s="275"/>
      <c r="F4161" s="275"/>
      <c r="G4161" s="275"/>
      <c r="H4161" s="275"/>
      <c r="I4161" s="275"/>
      <c r="J4161" s="275"/>
      <c r="K4161" s="275"/>
      <c r="L4161" s="275"/>
      <c r="M4161" s="275"/>
      <c r="N4161" s="276"/>
    </row>
    <row r="4162" spans="1:14" ht="12.75" customHeight="1" x14ac:dyDescent="0.2">
      <c r="A4162" s="277"/>
      <c r="B4162" s="278"/>
      <c r="C4162" s="278"/>
      <c r="D4162" s="278"/>
      <c r="E4162" s="278"/>
      <c r="F4162" s="278"/>
      <c r="G4162" s="278"/>
      <c r="H4162" s="278"/>
      <c r="I4162" s="278"/>
      <c r="J4162" s="278"/>
      <c r="K4162" s="278"/>
      <c r="L4162" s="278"/>
      <c r="M4162" s="278"/>
      <c r="N4162" s="279"/>
    </row>
    <row r="4163" spans="1:14" ht="12.75" customHeight="1" x14ac:dyDescent="0.2">
      <c r="A4163" s="75"/>
      <c r="B4163" s="75"/>
      <c r="C4163" s="75"/>
      <c r="D4163" s="75"/>
      <c r="E4163" s="75"/>
      <c r="F4163" s="75"/>
      <c r="G4163" s="75"/>
      <c r="H4163" s="75"/>
      <c r="I4163" s="75"/>
      <c r="J4163" s="75"/>
      <c r="K4163" s="75"/>
      <c r="L4163" s="75"/>
      <c r="M4163" s="75"/>
      <c r="N4163" s="75"/>
    </row>
    <row r="4164" spans="1:14" ht="12.75" customHeight="1" x14ac:dyDescent="0.3">
      <c r="A4164" s="79" t="s">
        <v>711</v>
      </c>
      <c r="B4164" s="80" t="str">
        <f>A4161</f>
        <v>SUMINISTRO E INSTALACIÓN DE TUBERÍA PVC Ø4" RDE 21 (INCLUYE MATERIALES, HERRAMIENTA MENOR Y MANO DE OBRA)</v>
      </c>
      <c r="C4164" s="81" t="s">
        <v>916</v>
      </c>
      <c r="D4164" s="82" t="s">
        <v>981</v>
      </c>
      <c r="E4164" s="83" t="s">
        <v>445</v>
      </c>
      <c r="F4164" s="234">
        <f>(H4164+J4164+L4164+N4164)*1.3</f>
        <v>130345.93333125001</v>
      </c>
      <c r="G4164" s="83" t="s">
        <v>607</v>
      </c>
      <c r="H4164" s="86">
        <f>M4183</f>
        <v>548.61631250000005</v>
      </c>
      <c r="I4164" s="83" t="s">
        <v>918</v>
      </c>
      <c r="J4164" s="86">
        <f>M4174</f>
        <v>84519.2</v>
      </c>
      <c r="K4164" s="83" t="s">
        <v>609</v>
      </c>
      <c r="L4164" s="86">
        <f>M4192</f>
        <v>4225.96</v>
      </c>
      <c r="M4164" s="83" t="s">
        <v>610</v>
      </c>
      <c r="N4164" s="86">
        <f>M4201</f>
        <v>10972.32625</v>
      </c>
    </row>
    <row r="4165" spans="1:14" ht="12.75" customHeight="1" x14ac:dyDescent="0.25">
      <c r="A4165" s="87"/>
      <c r="B4165" s="87"/>
      <c r="C4165" s="87"/>
      <c r="D4165" s="87"/>
      <c r="E4165" s="87"/>
      <c r="F4165" s="87"/>
      <c r="G4165" s="87"/>
      <c r="J4165" s="87"/>
      <c r="K4165" s="215" t="s">
        <v>3217</v>
      </c>
      <c r="L4165" s="215"/>
      <c r="M4165" s="87"/>
      <c r="N4165" s="87"/>
    </row>
    <row r="4166" spans="1:14" ht="12.75" customHeight="1" x14ac:dyDescent="0.2">
      <c r="A4166" s="398" t="s">
        <v>919</v>
      </c>
      <c r="B4166" s="271"/>
      <c r="C4166" s="271"/>
      <c r="D4166" s="271"/>
      <c r="E4166" s="271"/>
      <c r="F4166" s="271"/>
      <c r="G4166" s="271"/>
      <c r="H4166" s="271"/>
      <c r="I4166" s="271"/>
      <c r="J4166" s="271"/>
      <c r="K4166" s="271"/>
      <c r="L4166" s="271"/>
      <c r="M4166" s="271"/>
      <c r="N4166" s="273"/>
    </row>
    <row r="4167" spans="1:14" ht="12.75" customHeight="1" x14ac:dyDescent="0.2">
      <c r="A4167" s="396" t="s">
        <v>76</v>
      </c>
      <c r="B4167" s="271"/>
      <c r="C4167" s="271"/>
      <c r="D4167" s="271"/>
      <c r="E4167" s="271"/>
      <c r="F4167" s="271"/>
      <c r="G4167" s="273"/>
      <c r="H4167" s="88" t="s">
        <v>77</v>
      </c>
      <c r="I4167" s="399" t="s">
        <v>920</v>
      </c>
      <c r="J4167" s="273"/>
      <c r="K4167" s="399" t="s">
        <v>453</v>
      </c>
      <c r="L4167" s="273"/>
      <c r="M4167" s="399" t="s">
        <v>921</v>
      </c>
      <c r="N4167" s="273"/>
    </row>
    <row r="4168" spans="1:14" ht="12.75" customHeight="1" x14ac:dyDescent="0.2">
      <c r="A4168" s="403" t="s">
        <v>1168</v>
      </c>
      <c r="B4168" s="271"/>
      <c r="C4168" s="271"/>
      <c r="D4168" s="271"/>
      <c r="E4168" s="271"/>
      <c r="F4168" s="271"/>
      <c r="G4168" s="273"/>
      <c r="H4168" s="29" t="str">
        <f t="shared" ref="H4168:H4173" si="573">IF(A4168="","",VLOOKUP(A4168,AA_Materiales,7,FALSE))</f>
        <v>ml</v>
      </c>
      <c r="I4168" s="394">
        <f t="shared" ref="I4168:I4173" si="574">IF(A4168="","",VLOOKUP(A4168,AA_Materiales,8,FALSE))</f>
        <v>82150</v>
      </c>
      <c r="J4168" s="273"/>
      <c r="K4168" s="395">
        <v>1</v>
      </c>
      <c r="L4168" s="273"/>
      <c r="M4168" s="394">
        <f t="shared" ref="M4168:M4173" si="575">IF(A4168="","",I4168*K4168)</f>
        <v>82150</v>
      </c>
      <c r="N4168" s="273"/>
    </row>
    <row r="4169" spans="1:14" ht="12.75" customHeight="1" x14ac:dyDescent="0.2">
      <c r="A4169" s="403" t="s">
        <v>985</v>
      </c>
      <c r="B4169" s="271"/>
      <c r="C4169" s="271"/>
      <c r="D4169" s="271"/>
      <c r="E4169" s="271"/>
      <c r="F4169" s="271"/>
      <c r="G4169" s="273"/>
      <c r="H4169" s="29" t="str">
        <f t="shared" si="573"/>
        <v>Galón</v>
      </c>
      <c r="I4169" s="394">
        <f t="shared" si="574"/>
        <v>47200</v>
      </c>
      <c r="J4169" s="273"/>
      <c r="K4169" s="395">
        <v>1.2E-2</v>
      </c>
      <c r="L4169" s="273"/>
      <c r="M4169" s="394">
        <f t="shared" si="575"/>
        <v>566.4</v>
      </c>
      <c r="N4169" s="273"/>
    </row>
    <row r="4170" spans="1:14" ht="12.75" customHeight="1" x14ac:dyDescent="0.2">
      <c r="A4170" s="403" t="s">
        <v>1111</v>
      </c>
      <c r="B4170" s="271"/>
      <c r="C4170" s="271"/>
      <c r="D4170" s="271"/>
      <c r="E4170" s="271"/>
      <c r="F4170" s="271"/>
      <c r="G4170" s="273"/>
      <c r="H4170" s="29" t="str">
        <f t="shared" si="573"/>
        <v>Unidad</v>
      </c>
      <c r="I4170" s="394">
        <f t="shared" si="574"/>
        <v>22535</v>
      </c>
      <c r="J4170" s="273"/>
      <c r="K4170" s="395">
        <v>0.08</v>
      </c>
      <c r="L4170" s="273"/>
      <c r="M4170" s="394">
        <f t="shared" si="575"/>
        <v>1802.8</v>
      </c>
      <c r="N4170" s="273"/>
    </row>
    <row r="4171" spans="1:14" ht="12.75" customHeight="1" x14ac:dyDescent="0.2">
      <c r="A4171" s="403"/>
      <c r="B4171" s="271"/>
      <c r="C4171" s="271"/>
      <c r="D4171" s="271"/>
      <c r="E4171" s="271"/>
      <c r="F4171" s="271"/>
      <c r="G4171" s="273"/>
      <c r="H4171" s="29" t="str">
        <f t="shared" si="573"/>
        <v/>
      </c>
      <c r="I4171" s="394" t="str">
        <f t="shared" si="574"/>
        <v/>
      </c>
      <c r="J4171" s="273"/>
      <c r="K4171" s="395"/>
      <c r="L4171" s="273"/>
      <c r="M4171" s="394" t="str">
        <f t="shared" si="575"/>
        <v/>
      </c>
      <c r="N4171" s="273"/>
    </row>
    <row r="4172" spans="1:14" ht="12.75" customHeight="1" x14ac:dyDescent="0.2">
      <c r="A4172" s="403"/>
      <c r="B4172" s="271"/>
      <c r="C4172" s="271"/>
      <c r="D4172" s="271"/>
      <c r="E4172" s="271"/>
      <c r="F4172" s="271"/>
      <c r="G4172" s="273"/>
      <c r="H4172" s="29" t="str">
        <f t="shared" si="573"/>
        <v/>
      </c>
      <c r="I4172" s="394" t="str">
        <f t="shared" si="574"/>
        <v/>
      </c>
      <c r="J4172" s="273"/>
      <c r="K4172" s="395"/>
      <c r="L4172" s="273"/>
      <c r="M4172" s="394" t="str">
        <f t="shared" si="575"/>
        <v/>
      </c>
      <c r="N4172" s="273"/>
    </row>
    <row r="4173" spans="1:14" ht="12.75" customHeight="1" x14ac:dyDescent="0.2">
      <c r="A4173" s="403"/>
      <c r="B4173" s="271"/>
      <c r="C4173" s="271"/>
      <c r="D4173" s="271"/>
      <c r="E4173" s="271"/>
      <c r="F4173" s="271"/>
      <c r="G4173" s="273"/>
      <c r="H4173" s="29" t="str">
        <f t="shared" si="573"/>
        <v/>
      </c>
      <c r="I4173" s="394" t="str">
        <f t="shared" si="574"/>
        <v/>
      </c>
      <c r="J4173" s="273"/>
      <c r="K4173" s="395"/>
      <c r="L4173" s="273"/>
      <c r="M4173" s="394" t="str">
        <f t="shared" si="575"/>
        <v/>
      </c>
      <c r="N4173" s="273"/>
    </row>
    <row r="4174" spans="1:14" ht="12.75" customHeight="1" x14ac:dyDescent="0.25">
      <c r="A4174" s="4"/>
      <c r="B4174" s="4"/>
      <c r="C4174" s="4"/>
      <c r="D4174" s="4"/>
      <c r="E4174" s="4"/>
      <c r="F4174" s="4"/>
      <c r="G4174" s="4"/>
      <c r="H4174" s="4"/>
      <c r="I4174" s="4"/>
      <c r="J4174" s="4"/>
      <c r="K4174" s="396" t="s">
        <v>444</v>
      </c>
      <c r="L4174" s="273"/>
      <c r="M4174" s="394">
        <f>SUM(M4168:N4173)</f>
        <v>84519.2</v>
      </c>
      <c r="N4174" s="273"/>
    </row>
    <row r="4175" spans="1:14" ht="12.75" customHeight="1" x14ac:dyDescent="0.25">
      <c r="A4175" s="4"/>
      <c r="B4175" s="4"/>
      <c r="C4175" s="4"/>
      <c r="D4175" s="4"/>
      <c r="E4175" s="4"/>
      <c r="F4175" s="4"/>
      <c r="G4175" s="4"/>
      <c r="H4175" s="4"/>
      <c r="I4175" s="4"/>
      <c r="J4175" s="4"/>
      <c r="K4175" s="4"/>
      <c r="L4175" s="4"/>
      <c r="M4175" s="4"/>
      <c r="N4175" s="4"/>
    </row>
    <row r="4176" spans="1:14" ht="12.75" customHeight="1" x14ac:dyDescent="0.2">
      <c r="A4176" s="398" t="s">
        <v>926</v>
      </c>
      <c r="B4176" s="271"/>
      <c r="C4176" s="271"/>
      <c r="D4176" s="271"/>
      <c r="E4176" s="271"/>
      <c r="F4176" s="271"/>
      <c r="G4176" s="271"/>
      <c r="H4176" s="271"/>
      <c r="I4176" s="271"/>
      <c r="J4176" s="271"/>
      <c r="K4176" s="271"/>
      <c r="L4176" s="271"/>
      <c r="M4176" s="271"/>
      <c r="N4176" s="273"/>
    </row>
    <row r="4177" spans="1:14" ht="12.75" customHeight="1" x14ac:dyDescent="0.2">
      <c r="A4177" s="396" t="s">
        <v>76</v>
      </c>
      <c r="B4177" s="271"/>
      <c r="C4177" s="271"/>
      <c r="D4177" s="271"/>
      <c r="E4177" s="271"/>
      <c r="F4177" s="271"/>
      <c r="G4177" s="273"/>
      <c r="H4177" s="88" t="s">
        <v>77</v>
      </c>
      <c r="I4177" s="399" t="s">
        <v>920</v>
      </c>
      <c r="J4177" s="273"/>
      <c r="K4177" s="399" t="s">
        <v>453</v>
      </c>
      <c r="L4177" s="273"/>
      <c r="M4177" s="399" t="s">
        <v>921</v>
      </c>
      <c r="N4177" s="273"/>
    </row>
    <row r="4178" spans="1:14" ht="12.75" customHeight="1" x14ac:dyDescent="0.2">
      <c r="A4178" s="400" t="s">
        <v>927</v>
      </c>
      <c r="B4178" s="271"/>
      <c r="C4178" s="271"/>
      <c r="D4178" s="271"/>
      <c r="E4178" s="271"/>
      <c r="F4178" s="271"/>
      <c r="G4178" s="273"/>
      <c r="H4178" s="29" t="str">
        <f>IF(A4178="","",VLOOKUP(A4178,AA_Equipos,7,FALSE))</f>
        <v>% M.O.</v>
      </c>
      <c r="I4178" s="394">
        <f>+M4201</f>
        <v>10972.32625</v>
      </c>
      <c r="J4178" s="273"/>
      <c r="K4178" s="404">
        <v>0.05</v>
      </c>
      <c r="L4178" s="273"/>
      <c r="M4178" s="394">
        <f t="shared" ref="M4178:M4182" si="576">IF(A4178="","",I4178*K4178)</f>
        <v>548.61631250000005</v>
      </c>
      <c r="N4178" s="273"/>
    </row>
    <row r="4179" spans="1:14" ht="12.75" customHeight="1" x14ac:dyDescent="0.2">
      <c r="A4179" s="403"/>
      <c r="B4179" s="271"/>
      <c r="C4179" s="271"/>
      <c r="D4179" s="271"/>
      <c r="E4179" s="271"/>
      <c r="F4179" s="271"/>
      <c r="G4179" s="273"/>
      <c r="H4179" s="29" t="str">
        <f>IF(A4179="","",VLOOKUP(A4179,AA_Equipos,7,FALSE))</f>
        <v/>
      </c>
      <c r="I4179" s="394" t="str">
        <f>IF(A4179="","",VLOOKUP(A4179,AA_Equipos,8,FALSE))</f>
        <v/>
      </c>
      <c r="J4179" s="273"/>
      <c r="K4179" s="402"/>
      <c r="L4179" s="273"/>
      <c r="M4179" s="394" t="str">
        <f t="shared" si="576"/>
        <v/>
      </c>
      <c r="N4179" s="273"/>
    </row>
    <row r="4180" spans="1:14" ht="12.75" customHeight="1" x14ac:dyDescent="0.2">
      <c r="A4180" s="400"/>
      <c r="B4180" s="271"/>
      <c r="C4180" s="271"/>
      <c r="D4180" s="271"/>
      <c r="E4180" s="271"/>
      <c r="F4180" s="271"/>
      <c r="G4180" s="273"/>
      <c r="H4180" s="29" t="str">
        <f>IF(A4180="","",VLOOKUP(A4180,AA_Equipos,7,FALSE))</f>
        <v/>
      </c>
      <c r="I4180" s="394" t="str">
        <f>IF(A4180="","",VLOOKUP(A4180,AA_Equipos,8,FALSE))</f>
        <v/>
      </c>
      <c r="J4180" s="273"/>
      <c r="K4180" s="401"/>
      <c r="L4180" s="273"/>
      <c r="M4180" s="394" t="str">
        <f t="shared" si="576"/>
        <v/>
      </c>
      <c r="N4180" s="273"/>
    </row>
    <row r="4181" spans="1:14" ht="12.75" customHeight="1" x14ac:dyDescent="0.2">
      <c r="A4181" s="400"/>
      <c r="B4181" s="271"/>
      <c r="C4181" s="271"/>
      <c r="D4181" s="271"/>
      <c r="E4181" s="271"/>
      <c r="F4181" s="271"/>
      <c r="G4181" s="273"/>
      <c r="H4181" s="29" t="str">
        <f>IF(A4181="","",VLOOKUP(A4181,AA_Equipos,7,FALSE))</f>
        <v/>
      </c>
      <c r="I4181" s="394" t="str">
        <f>IF(A4181="","",VLOOKUP(A4181,AA_Equipos,8,FALSE))</f>
        <v/>
      </c>
      <c r="J4181" s="273"/>
      <c r="K4181" s="395"/>
      <c r="L4181" s="273"/>
      <c r="M4181" s="394" t="str">
        <f t="shared" si="576"/>
        <v/>
      </c>
      <c r="N4181" s="273"/>
    </row>
    <row r="4182" spans="1:14" ht="12.75" customHeight="1" x14ac:dyDescent="0.2">
      <c r="A4182" s="400"/>
      <c r="B4182" s="271"/>
      <c r="C4182" s="271"/>
      <c r="D4182" s="271"/>
      <c r="E4182" s="271"/>
      <c r="F4182" s="271"/>
      <c r="G4182" s="273"/>
      <c r="H4182" s="29" t="str">
        <f>IF(A4182="","",VLOOKUP(A4182,AA_Equipos,7,FALSE))</f>
        <v/>
      </c>
      <c r="I4182" s="394" t="str">
        <f>IF(A4182="","",VLOOKUP(A4182,AA_Equipos,8,FALSE))</f>
        <v/>
      </c>
      <c r="J4182" s="273"/>
      <c r="K4182" s="395"/>
      <c r="L4182" s="273"/>
      <c r="M4182" s="394" t="str">
        <f t="shared" si="576"/>
        <v/>
      </c>
      <c r="N4182" s="273"/>
    </row>
    <row r="4183" spans="1:14" ht="12.75" customHeight="1" x14ac:dyDescent="0.25">
      <c r="A4183" s="4"/>
      <c r="B4183" s="4"/>
      <c r="C4183" s="4"/>
      <c r="D4183" s="4"/>
      <c r="E4183" s="4"/>
      <c r="F4183" s="4"/>
      <c r="G4183" s="4"/>
      <c r="H4183" s="4"/>
      <c r="I4183" s="4"/>
      <c r="J4183" s="4"/>
      <c r="K4183" s="396" t="s">
        <v>444</v>
      </c>
      <c r="L4183" s="273"/>
      <c r="M4183" s="394">
        <f>SUM(M4178:N4182)</f>
        <v>548.61631250000005</v>
      </c>
      <c r="N4183" s="273"/>
    </row>
    <row r="4184" spans="1:14" ht="12.75" customHeight="1" x14ac:dyDescent="0.25">
      <c r="A4184" s="4"/>
      <c r="B4184" s="4"/>
      <c r="C4184" s="4"/>
      <c r="D4184" s="4"/>
      <c r="E4184" s="4"/>
      <c r="F4184" s="4"/>
      <c r="G4184" s="4"/>
      <c r="H4184" s="4"/>
      <c r="I4184" s="4"/>
      <c r="J4184" s="4"/>
      <c r="K4184" s="4"/>
      <c r="L4184" s="4"/>
      <c r="M4184" s="4"/>
      <c r="N4184" s="4"/>
    </row>
    <row r="4185" spans="1:14" ht="12.75" customHeight="1" x14ac:dyDescent="0.2">
      <c r="A4185" s="398" t="s">
        <v>929</v>
      </c>
      <c r="B4185" s="271"/>
      <c r="C4185" s="271"/>
      <c r="D4185" s="271"/>
      <c r="E4185" s="271"/>
      <c r="F4185" s="271"/>
      <c r="G4185" s="271"/>
      <c r="H4185" s="271"/>
      <c r="I4185" s="271"/>
      <c r="J4185" s="271"/>
      <c r="K4185" s="271"/>
      <c r="L4185" s="271"/>
      <c r="M4185" s="271"/>
      <c r="N4185" s="273"/>
    </row>
    <row r="4186" spans="1:14" ht="12.75" customHeight="1" x14ac:dyDescent="0.2">
      <c r="A4186" s="396" t="s">
        <v>76</v>
      </c>
      <c r="B4186" s="271"/>
      <c r="C4186" s="271"/>
      <c r="D4186" s="271"/>
      <c r="E4186" s="271"/>
      <c r="F4186" s="271"/>
      <c r="G4186" s="273"/>
      <c r="H4186" s="88" t="s">
        <v>77</v>
      </c>
      <c r="I4186" s="399" t="s">
        <v>920</v>
      </c>
      <c r="J4186" s="273"/>
      <c r="K4186" s="399" t="s">
        <v>453</v>
      </c>
      <c r="L4186" s="273"/>
      <c r="M4186" s="399" t="s">
        <v>921</v>
      </c>
      <c r="N4186" s="273"/>
    </row>
    <row r="4187" spans="1:14" ht="12.75" customHeight="1" x14ac:dyDescent="0.2">
      <c r="A4187" s="400" t="s">
        <v>966</v>
      </c>
      <c r="B4187" s="271"/>
      <c r="C4187" s="271"/>
      <c r="D4187" s="271"/>
      <c r="E4187" s="271"/>
      <c r="F4187" s="271"/>
      <c r="G4187" s="273"/>
      <c r="H4187" s="29" t="s">
        <v>950</v>
      </c>
      <c r="I4187" s="394">
        <f>+M4174</f>
        <v>84519.2</v>
      </c>
      <c r="J4187" s="273"/>
      <c r="K4187" s="404">
        <v>0.05</v>
      </c>
      <c r="L4187" s="273"/>
      <c r="M4187" s="394">
        <f t="shared" ref="M4187:M4191" si="577">IF(A4187="","",I4187*K4187)</f>
        <v>4225.96</v>
      </c>
      <c r="N4187" s="273"/>
    </row>
    <row r="4188" spans="1:14" ht="12.75" customHeight="1" x14ac:dyDescent="0.2">
      <c r="A4188" s="403"/>
      <c r="B4188" s="271"/>
      <c r="C4188" s="271"/>
      <c r="D4188" s="271"/>
      <c r="E4188" s="271"/>
      <c r="F4188" s="271"/>
      <c r="G4188" s="273"/>
      <c r="H4188" s="29"/>
      <c r="I4188" s="394"/>
      <c r="J4188" s="273"/>
      <c r="K4188" s="404"/>
      <c r="L4188" s="273"/>
      <c r="M4188" s="394" t="str">
        <f t="shared" si="577"/>
        <v/>
      </c>
      <c r="N4188" s="273"/>
    </row>
    <row r="4189" spans="1:14" ht="12.75" customHeight="1" x14ac:dyDescent="0.2">
      <c r="A4189" s="400"/>
      <c r="B4189" s="271"/>
      <c r="C4189" s="271"/>
      <c r="D4189" s="271"/>
      <c r="E4189" s="271"/>
      <c r="F4189" s="271"/>
      <c r="G4189" s="273"/>
      <c r="H4189" s="29"/>
      <c r="I4189" s="394"/>
      <c r="J4189" s="273"/>
      <c r="K4189" s="395"/>
      <c r="L4189" s="273"/>
      <c r="M4189" s="394" t="str">
        <f t="shared" si="577"/>
        <v/>
      </c>
      <c r="N4189" s="273"/>
    </row>
    <row r="4190" spans="1:14" ht="12.75" customHeight="1" x14ac:dyDescent="0.2">
      <c r="A4190" s="400"/>
      <c r="B4190" s="271"/>
      <c r="C4190" s="271"/>
      <c r="D4190" s="271"/>
      <c r="E4190" s="271"/>
      <c r="F4190" s="271"/>
      <c r="G4190" s="273"/>
      <c r="H4190" s="29"/>
      <c r="I4190" s="394"/>
      <c r="J4190" s="273"/>
      <c r="K4190" s="395"/>
      <c r="L4190" s="273"/>
      <c r="M4190" s="394" t="str">
        <f t="shared" si="577"/>
        <v/>
      </c>
      <c r="N4190" s="273"/>
    </row>
    <row r="4191" spans="1:14" ht="12.75" customHeight="1" x14ac:dyDescent="0.2">
      <c r="A4191" s="400"/>
      <c r="B4191" s="271"/>
      <c r="C4191" s="271"/>
      <c r="D4191" s="271"/>
      <c r="E4191" s="271"/>
      <c r="F4191" s="271"/>
      <c r="G4191" s="273"/>
      <c r="H4191" s="29"/>
      <c r="I4191" s="394"/>
      <c r="J4191" s="273"/>
      <c r="K4191" s="395"/>
      <c r="L4191" s="273"/>
      <c r="M4191" s="394" t="str">
        <f t="shared" si="577"/>
        <v/>
      </c>
      <c r="N4191" s="273"/>
    </row>
    <row r="4192" spans="1:14" ht="12.75" customHeight="1" x14ac:dyDescent="0.25">
      <c r="A4192" s="4"/>
      <c r="B4192" s="4"/>
      <c r="C4192" s="4"/>
      <c r="D4192" s="4"/>
      <c r="E4192" s="4"/>
      <c r="F4192" s="4"/>
      <c r="G4192" s="4"/>
      <c r="H4192" s="4"/>
      <c r="I4192" s="4"/>
      <c r="J4192" s="4"/>
      <c r="K4192" s="396" t="s">
        <v>444</v>
      </c>
      <c r="L4192" s="273"/>
      <c r="M4192" s="394">
        <f>SUM(M4187:N4191)</f>
        <v>4225.96</v>
      </c>
      <c r="N4192" s="273"/>
    </row>
    <row r="4193" spans="1:14" ht="12.75" customHeight="1" x14ac:dyDescent="0.25">
      <c r="A4193" s="4"/>
      <c r="B4193" s="4"/>
      <c r="C4193" s="4"/>
      <c r="D4193" s="4"/>
      <c r="E4193" s="4"/>
      <c r="F4193" s="4"/>
      <c r="G4193" s="4"/>
      <c r="H4193" s="4"/>
      <c r="I4193" s="4"/>
      <c r="J4193" s="4"/>
      <c r="K4193" s="4"/>
      <c r="L4193" s="4"/>
      <c r="M4193" s="4"/>
      <c r="N4193" s="4"/>
    </row>
    <row r="4194" spans="1:14" ht="12.75" customHeight="1" x14ac:dyDescent="0.2">
      <c r="A4194" s="398" t="s">
        <v>931</v>
      </c>
      <c r="B4194" s="271"/>
      <c r="C4194" s="271"/>
      <c r="D4194" s="271"/>
      <c r="E4194" s="271"/>
      <c r="F4194" s="271"/>
      <c r="G4194" s="271"/>
      <c r="H4194" s="271"/>
      <c r="I4194" s="271"/>
      <c r="J4194" s="271"/>
      <c r="K4194" s="271"/>
      <c r="L4194" s="271"/>
      <c r="M4194" s="271"/>
      <c r="N4194" s="273"/>
    </row>
    <row r="4195" spans="1:14" ht="12.75" customHeight="1" x14ac:dyDescent="0.2">
      <c r="A4195" s="396" t="s">
        <v>76</v>
      </c>
      <c r="B4195" s="271"/>
      <c r="C4195" s="271"/>
      <c r="D4195" s="271"/>
      <c r="E4195" s="271"/>
      <c r="F4195" s="271"/>
      <c r="G4195" s="273"/>
      <c r="H4195" s="88" t="s">
        <v>77</v>
      </c>
      <c r="I4195" s="399" t="s">
        <v>920</v>
      </c>
      <c r="J4195" s="273"/>
      <c r="K4195" s="90" t="s">
        <v>514</v>
      </c>
      <c r="L4195" s="91" t="s">
        <v>932</v>
      </c>
      <c r="M4195" s="399" t="s">
        <v>921</v>
      </c>
      <c r="N4195" s="273"/>
    </row>
    <row r="4196" spans="1:14" ht="12.75" customHeight="1" x14ac:dyDescent="0.25">
      <c r="A4196" s="393" t="s">
        <v>986</v>
      </c>
      <c r="B4196" s="271"/>
      <c r="C4196" s="271"/>
      <c r="D4196" s="271"/>
      <c r="E4196" s="271"/>
      <c r="F4196" s="271"/>
      <c r="G4196" s="273"/>
      <c r="H4196" s="29" t="str">
        <f>IF(A4196="","",VLOOKUP(A4196,AA_Cuadrillas,4,FALSE))</f>
        <v>Cuadrilla</v>
      </c>
      <c r="I4196" s="394">
        <f>IF(A4196="","",VLOOKUP(A4196,AA_Cuadrillas,5,FALSE))</f>
        <v>186763</v>
      </c>
      <c r="J4196" s="273"/>
      <c r="K4196" s="9">
        <f>IF(A4196="","",F.P!$I$2)</f>
        <v>1.88</v>
      </c>
      <c r="L4196" s="97">
        <v>3.125E-2</v>
      </c>
      <c r="M4196" s="394">
        <f t="shared" ref="M4196:M4200" si="578">IF(A4196="","",I4196*K4196*L4196)</f>
        <v>10972.32625</v>
      </c>
      <c r="N4196" s="273"/>
    </row>
    <row r="4197" spans="1:14" ht="12.75" customHeight="1" x14ac:dyDescent="0.25">
      <c r="A4197" s="393"/>
      <c r="B4197" s="271"/>
      <c r="C4197" s="271"/>
      <c r="D4197" s="271"/>
      <c r="E4197" s="271"/>
      <c r="F4197" s="271"/>
      <c r="G4197" s="273"/>
      <c r="H4197" s="29" t="str">
        <f>IF(A4197="","",VLOOKUP(A4197,AA_Cuadrillas,4,FALSE))</f>
        <v/>
      </c>
      <c r="I4197" s="394" t="str">
        <f>IF(A4197="","",VLOOKUP(A4197,AA_Cuadrillas,5,FALSE))</f>
        <v/>
      </c>
      <c r="J4197" s="273"/>
      <c r="K4197" s="9" t="str">
        <f>IF(A4197="","",F.P!$I$2)</f>
        <v/>
      </c>
      <c r="L4197" s="9"/>
      <c r="M4197" s="394" t="str">
        <f t="shared" si="578"/>
        <v/>
      </c>
      <c r="N4197" s="273"/>
    </row>
    <row r="4198" spans="1:14" ht="12.75" customHeight="1" x14ac:dyDescent="0.25">
      <c r="A4198" s="393"/>
      <c r="B4198" s="271"/>
      <c r="C4198" s="271"/>
      <c r="D4198" s="271"/>
      <c r="E4198" s="271"/>
      <c r="F4198" s="271"/>
      <c r="G4198" s="273"/>
      <c r="H4198" s="29" t="str">
        <f>IF(A4198="","",VLOOKUP(A4198,AA_Cuadrillas,4,FALSE))</f>
        <v/>
      </c>
      <c r="I4198" s="394" t="str">
        <f>IF(A4198="","",VLOOKUP(A4198,AA_Cuadrillas,5,FALSE))</f>
        <v/>
      </c>
      <c r="J4198" s="273"/>
      <c r="K4198" s="9" t="str">
        <f>IF(A4198="","",F.P!$I$2)</f>
        <v/>
      </c>
      <c r="L4198" s="37"/>
      <c r="M4198" s="394" t="str">
        <f t="shared" si="578"/>
        <v/>
      </c>
      <c r="N4198" s="273"/>
    </row>
    <row r="4199" spans="1:14" ht="12.75" customHeight="1" x14ac:dyDescent="0.25">
      <c r="A4199" s="393"/>
      <c r="B4199" s="271"/>
      <c r="C4199" s="271"/>
      <c r="D4199" s="271"/>
      <c r="E4199" s="271"/>
      <c r="F4199" s="271"/>
      <c r="G4199" s="273"/>
      <c r="H4199" s="29" t="str">
        <f>IF(A4199="","",VLOOKUP(A4199,AA_Cuadrillas,4,FALSE))</f>
        <v/>
      </c>
      <c r="I4199" s="394" t="str">
        <f>IF(A4199="","",VLOOKUP(A4199,AA_Cuadrillas,5,FALSE))</f>
        <v/>
      </c>
      <c r="J4199" s="273"/>
      <c r="K4199" s="9" t="str">
        <f>IF(A4199="","",F.P!$I$2)</f>
        <v/>
      </c>
      <c r="L4199" s="37"/>
      <c r="M4199" s="394" t="str">
        <f t="shared" si="578"/>
        <v/>
      </c>
      <c r="N4199" s="273"/>
    </row>
    <row r="4200" spans="1:14" ht="12.75" customHeight="1" x14ac:dyDescent="0.25">
      <c r="A4200" s="393"/>
      <c r="B4200" s="271"/>
      <c r="C4200" s="271"/>
      <c r="D4200" s="271"/>
      <c r="E4200" s="271"/>
      <c r="F4200" s="271"/>
      <c r="G4200" s="273"/>
      <c r="H4200" s="29" t="str">
        <f>IF(A4200="","",VLOOKUP(A4200,AA_Cuadrillas,4,FALSE))</f>
        <v/>
      </c>
      <c r="I4200" s="394" t="str">
        <f>IF(A4200="","",VLOOKUP(A4200,AA_Cuadrillas,5,FALSE))</f>
        <v/>
      </c>
      <c r="J4200" s="273"/>
      <c r="K4200" s="9" t="str">
        <f>IF(A4200="","",F.P!$I$2)</f>
        <v/>
      </c>
      <c r="L4200" s="37"/>
      <c r="M4200" s="394" t="str">
        <f t="shared" si="578"/>
        <v/>
      </c>
      <c r="N4200" s="273"/>
    </row>
    <row r="4201" spans="1:14" ht="12.75" customHeight="1" x14ac:dyDescent="0.25">
      <c r="A4201" s="4"/>
      <c r="B4201" s="4"/>
      <c r="C4201" s="4"/>
      <c r="D4201" s="4"/>
      <c r="E4201" s="4"/>
      <c r="F4201" s="4"/>
      <c r="G4201" s="4"/>
      <c r="H4201" s="4"/>
      <c r="I4201" s="4"/>
      <c r="J4201" s="4"/>
      <c r="K4201" s="396" t="s">
        <v>444</v>
      </c>
      <c r="L4201" s="273"/>
      <c r="M4201" s="394">
        <f>SUM(M4196:N4200)</f>
        <v>10972.32625</v>
      </c>
      <c r="N4201" s="273"/>
    </row>
    <row r="4202" spans="1:14" ht="12.75" customHeight="1" x14ac:dyDescent="0.2"/>
    <row r="4203" spans="1:14" ht="12.75" customHeight="1" x14ac:dyDescent="0.2">
      <c r="A4203" s="407" t="s">
        <v>309</v>
      </c>
      <c r="B4203" s="275"/>
      <c r="C4203" s="275"/>
      <c r="D4203" s="275"/>
      <c r="E4203" s="275"/>
      <c r="F4203" s="275"/>
      <c r="G4203" s="275"/>
      <c r="H4203" s="275"/>
      <c r="I4203" s="275"/>
      <c r="J4203" s="275"/>
      <c r="K4203" s="275"/>
      <c r="L4203" s="275"/>
      <c r="M4203" s="275"/>
      <c r="N4203" s="276"/>
    </row>
    <row r="4204" spans="1:14" ht="12.75" customHeight="1" x14ac:dyDescent="0.2">
      <c r="A4204" s="277"/>
      <c r="B4204" s="278"/>
      <c r="C4204" s="278"/>
      <c r="D4204" s="278"/>
      <c r="E4204" s="278"/>
      <c r="F4204" s="278"/>
      <c r="G4204" s="278"/>
      <c r="H4204" s="278"/>
      <c r="I4204" s="278"/>
      <c r="J4204" s="278"/>
      <c r="K4204" s="278"/>
      <c r="L4204" s="278"/>
      <c r="M4204" s="278"/>
      <c r="N4204" s="279"/>
    </row>
    <row r="4205" spans="1:14" ht="12.75" customHeight="1" x14ac:dyDescent="0.2">
      <c r="A4205" s="75"/>
      <c r="B4205" s="75"/>
      <c r="C4205" s="75"/>
      <c r="D4205" s="75"/>
      <c r="E4205" s="75"/>
      <c r="F4205" s="75"/>
      <c r="G4205" s="75"/>
      <c r="H4205" s="75"/>
      <c r="I4205" s="75"/>
      <c r="J4205" s="75"/>
      <c r="K4205" s="75"/>
      <c r="L4205" s="75"/>
      <c r="M4205" s="75"/>
      <c r="N4205" s="75"/>
    </row>
    <row r="4206" spans="1:14" ht="12.75" customHeight="1" x14ac:dyDescent="0.3">
      <c r="A4206" s="79" t="s">
        <v>712</v>
      </c>
      <c r="B4206" s="80" t="str">
        <f>A4203</f>
        <v>DEMOLICIÓN DE ESTRUCTURA EN CONCRETO (INCLUYE EQUIPOS Y MANO DE OBRA)</v>
      </c>
      <c r="C4206" s="81" t="s">
        <v>916</v>
      </c>
      <c r="D4206" s="82" t="s">
        <v>258</v>
      </c>
      <c r="E4206" s="83" t="s">
        <v>445</v>
      </c>
      <c r="F4206" s="86">
        <f>H4206+J4206+L4206+N4206</f>
        <v>145135.33549999999</v>
      </c>
      <c r="G4206" s="83" t="s">
        <v>607</v>
      </c>
      <c r="H4206" s="86">
        <f>M4225</f>
        <v>99051.56525</v>
      </c>
      <c r="I4206" s="83" t="s">
        <v>918</v>
      </c>
      <c r="J4206" s="86">
        <f>M4216</f>
        <v>0</v>
      </c>
      <c r="K4206" s="83" t="s">
        <v>609</v>
      </c>
      <c r="L4206" s="86">
        <f>M4234</f>
        <v>2194.4652500000002</v>
      </c>
      <c r="M4206" s="83" t="s">
        <v>610</v>
      </c>
      <c r="N4206" s="86">
        <f>M4243</f>
        <v>43889.305</v>
      </c>
    </row>
    <row r="4207" spans="1:14" ht="12.75" customHeight="1" x14ac:dyDescent="0.25">
      <c r="A4207" s="87"/>
      <c r="B4207" s="87"/>
      <c r="C4207" s="87"/>
      <c r="D4207" s="87"/>
      <c r="E4207" s="87"/>
      <c r="F4207" s="87"/>
      <c r="G4207" s="87"/>
      <c r="J4207" s="87"/>
      <c r="K4207" s="215" t="s">
        <v>3217</v>
      </c>
      <c r="L4207" s="215"/>
      <c r="M4207" s="87"/>
      <c r="N4207" s="87"/>
    </row>
    <row r="4208" spans="1:14" ht="12.75" customHeight="1" x14ac:dyDescent="0.2">
      <c r="A4208" s="398" t="s">
        <v>919</v>
      </c>
      <c r="B4208" s="271"/>
      <c r="C4208" s="271"/>
      <c r="D4208" s="271"/>
      <c r="E4208" s="271"/>
      <c r="F4208" s="271"/>
      <c r="G4208" s="271"/>
      <c r="H4208" s="271"/>
      <c r="I4208" s="271"/>
      <c r="J4208" s="271"/>
      <c r="K4208" s="271"/>
      <c r="L4208" s="271"/>
      <c r="M4208" s="271"/>
      <c r="N4208" s="273"/>
    </row>
    <row r="4209" spans="1:14" ht="12.75" customHeight="1" x14ac:dyDescent="0.2">
      <c r="A4209" s="396" t="s">
        <v>76</v>
      </c>
      <c r="B4209" s="271"/>
      <c r="C4209" s="271"/>
      <c r="D4209" s="271"/>
      <c r="E4209" s="271"/>
      <c r="F4209" s="271"/>
      <c r="G4209" s="273"/>
      <c r="H4209" s="88" t="s">
        <v>77</v>
      </c>
      <c r="I4209" s="399" t="s">
        <v>920</v>
      </c>
      <c r="J4209" s="273"/>
      <c r="K4209" s="399" t="s">
        <v>453</v>
      </c>
      <c r="L4209" s="273"/>
      <c r="M4209" s="399" t="s">
        <v>921</v>
      </c>
      <c r="N4209" s="273"/>
    </row>
    <row r="4210" spans="1:14" ht="12.75" customHeight="1" x14ac:dyDescent="0.2">
      <c r="A4210" s="403"/>
      <c r="B4210" s="271"/>
      <c r="C4210" s="271"/>
      <c r="D4210" s="271"/>
      <c r="E4210" s="271"/>
      <c r="F4210" s="271"/>
      <c r="G4210" s="273"/>
      <c r="H4210" s="29" t="str">
        <f t="shared" ref="H4210:H4215" si="579">IF(A4210="","",VLOOKUP(A4210,AA_Materiales,7,FALSE))</f>
        <v/>
      </c>
      <c r="I4210" s="394" t="str">
        <f t="shared" ref="I4210:I4215" si="580">IF(A4210="","",VLOOKUP(A4210,AA_Materiales,8,FALSE))</f>
        <v/>
      </c>
      <c r="J4210" s="273"/>
      <c r="K4210" s="395"/>
      <c r="L4210" s="273"/>
      <c r="M4210" s="394" t="str">
        <f t="shared" ref="M4210:M4215" si="581">IF(A4210="","",I4210*K4210)</f>
        <v/>
      </c>
      <c r="N4210" s="273"/>
    </row>
    <row r="4211" spans="1:14" ht="12.75" customHeight="1" x14ac:dyDescent="0.2">
      <c r="A4211" s="403"/>
      <c r="B4211" s="271"/>
      <c r="C4211" s="271"/>
      <c r="D4211" s="271"/>
      <c r="E4211" s="271"/>
      <c r="F4211" s="271"/>
      <c r="G4211" s="273"/>
      <c r="H4211" s="29" t="str">
        <f t="shared" si="579"/>
        <v/>
      </c>
      <c r="I4211" s="394" t="str">
        <f t="shared" si="580"/>
        <v/>
      </c>
      <c r="J4211" s="273"/>
      <c r="K4211" s="395"/>
      <c r="L4211" s="273"/>
      <c r="M4211" s="394" t="str">
        <f t="shared" si="581"/>
        <v/>
      </c>
      <c r="N4211" s="273"/>
    </row>
    <row r="4212" spans="1:14" ht="12.75" customHeight="1" x14ac:dyDescent="0.2">
      <c r="A4212" s="403"/>
      <c r="B4212" s="271"/>
      <c r="C4212" s="271"/>
      <c r="D4212" s="271"/>
      <c r="E4212" s="271"/>
      <c r="F4212" s="271"/>
      <c r="G4212" s="273"/>
      <c r="H4212" s="29" t="str">
        <f t="shared" si="579"/>
        <v/>
      </c>
      <c r="I4212" s="394" t="str">
        <f t="shared" si="580"/>
        <v/>
      </c>
      <c r="J4212" s="273"/>
      <c r="K4212" s="395"/>
      <c r="L4212" s="273"/>
      <c r="M4212" s="394" t="str">
        <f t="shared" si="581"/>
        <v/>
      </c>
      <c r="N4212" s="273"/>
    </row>
    <row r="4213" spans="1:14" ht="12.75" customHeight="1" x14ac:dyDescent="0.2">
      <c r="A4213" s="403"/>
      <c r="B4213" s="271"/>
      <c r="C4213" s="271"/>
      <c r="D4213" s="271"/>
      <c r="E4213" s="271"/>
      <c r="F4213" s="271"/>
      <c r="G4213" s="273"/>
      <c r="H4213" s="29" t="str">
        <f t="shared" si="579"/>
        <v/>
      </c>
      <c r="I4213" s="394" t="str">
        <f t="shared" si="580"/>
        <v/>
      </c>
      <c r="J4213" s="273"/>
      <c r="K4213" s="395"/>
      <c r="L4213" s="273"/>
      <c r="M4213" s="394" t="str">
        <f t="shared" si="581"/>
        <v/>
      </c>
      <c r="N4213" s="273"/>
    </row>
    <row r="4214" spans="1:14" ht="12.75" customHeight="1" x14ac:dyDescent="0.2">
      <c r="A4214" s="403"/>
      <c r="B4214" s="271"/>
      <c r="C4214" s="271"/>
      <c r="D4214" s="271"/>
      <c r="E4214" s="271"/>
      <c r="F4214" s="271"/>
      <c r="G4214" s="273"/>
      <c r="H4214" s="29" t="str">
        <f t="shared" si="579"/>
        <v/>
      </c>
      <c r="I4214" s="394" t="str">
        <f t="shared" si="580"/>
        <v/>
      </c>
      <c r="J4214" s="273"/>
      <c r="K4214" s="395"/>
      <c r="L4214" s="273"/>
      <c r="M4214" s="394" t="str">
        <f t="shared" si="581"/>
        <v/>
      </c>
      <c r="N4214" s="273"/>
    </row>
    <row r="4215" spans="1:14" ht="12.75" customHeight="1" x14ac:dyDescent="0.2">
      <c r="A4215" s="403"/>
      <c r="B4215" s="271"/>
      <c r="C4215" s="271"/>
      <c r="D4215" s="271"/>
      <c r="E4215" s="271"/>
      <c r="F4215" s="271"/>
      <c r="G4215" s="273"/>
      <c r="H4215" s="29" t="str">
        <f t="shared" si="579"/>
        <v/>
      </c>
      <c r="I4215" s="394" t="str">
        <f t="shared" si="580"/>
        <v/>
      </c>
      <c r="J4215" s="273"/>
      <c r="K4215" s="395"/>
      <c r="L4215" s="273"/>
      <c r="M4215" s="394" t="str">
        <f t="shared" si="581"/>
        <v/>
      </c>
      <c r="N4215" s="273"/>
    </row>
    <row r="4216" spans="1:14" ht="12.75" customHeight="1" x14ac:dyDescent="0.25">
      <c r="A4216" s="4"/>
      <c r="B4216" s="4"/>
      <c r="C4216" s="4"/>
      <c r="D4216" s="4"/>
      <c r="E4216" s="4"/>
      <c r="F4216" s="4"/>
      <c r="G4216" s="4"/>
      <c r="H4216" s="4"/>
      <c r="I4216" s="4"/>
      <c r="J4216" s="4"/>
      <c r="K4216" s="396" t="s">
        <v>444</v>
      </c>
      <c r="L4216" s="273"/>
      <c r="M4216" s="394">
        <f>SUM(M4210:N4215)</f>
        <v>0</v>
      </c>
      <c r="N4216" s="273"/>
    </row>
    <row r="4217" spans="1:14" ht="12.75" customHeight="1" x14ac:dyDescent="0.25">
      <c r="A4217" s="4"/>
      <c r="B4217" s="4"/>
      <c r="C4217" s="4"/>
      <c r="D4217" s="4"/>
      <c r="E4217" s="4"/>
      <c r="F4217" s="4"/>
      <c r="G4217" s="4"/>
      <c r="H4217" s="4"/>
      <c r="I4217" s="4"/>
      <c r="J4217" s="4"/>
      <c r="K4217" s="4"/>
      <c r="L4217" s="4"/>
      <c r="M4217" s="4"/>
      <c r="N4217" s="4"/>
    </row>
    <row r="4218" spans="1:14" ht="12.75" customHeight="1" x14ac:dyDescent="0.2">
      <c r="A4218" s="398" t="s">
        <v>926</v>
      </c>
      <c r="B4218" s="271"/>
      <c r="C4218" s="271"/>
      <c r="D4218" s="271"/>
      <c r="E4218" s="271"/>
      <c r="F4218" s="271"/>
      <c r="G4218" s="271"/>
      <c r="H4218" s="271"/>
      <c r="I4218" s="271"/>
      <c r="J4218" s="271"/>
      <c r="K4218" s="271"/>
      <c r="L4218" s="271"/>
      <c r="M4218" s="271"/>
      <c r="N4218" s="273"/>
    </row>
    <row r="4219" spans="1:14" ht="12.75" customHeight="1" x14ac:dyDescent="0.2">
      <c r="A4219" s="396" t="s">
        <v>76</v>
      </c>
      <c r="B4219" s="271"/>
      <c r="C4219" s="271"/>
      <c r="D4219" s="271"/>
      <c r="E4219" s="271"/>
      <c r="F4219" s="271"/>
      <c r="G4219" s="273"/>
      <c r="H4219" s="88" t="s">
        <v>77</v>
      </c>
      <c r="I4219" s="399" t="s">
        <v>920</v>
      </c>
      <c r="J4219" s="273"/>
      <c r="K4219" s="399" t="s">
        <v>453</v>
      </c>
      <c r="L4219" s="273"/>
      <c r="M4219" s="399" t="s">
        <v>921</v>
      </c>
      <c r="N4219" s="273"/>
    </row>
    <row r="4220" spans="1:14" ht="12.75" customHeight="1" x14ac:dyDescent="0.2">
      <c r="A4220" s="400" t="s">
        <v>927</v>
      </c>
      <c r="B4220" s="271"/>
      <c r="C4220" s="271"/>
      <c r="D4220" s="271"/>
      <c r="E4220" s="271"/>
      <c r="F4220" s="271"/>
      <c r="G4220" s="273"/>
      <c r="H4220" s="29" t="str">
        <f>IF(A4220="","",VLOOKUP(A4220,AA_Equipos,7,FALSE))</f>
        <v>% M.O.</v>
      </c>
      <c r="I4220" s="394">
        <f>+M4243</f>
        <v>43889.305</v>
      </c>
      <c r="J4220" s="273"/>
      <c r="K4220" s="404">
        <v>0.05</v>
      </c>
      <c r="L4220" s="273"/>
      <c r="M4220" s="394">
        <f t="shared" ref="M4220:M4224" si="582">IF(A4220="","",I4220*K4220)</f>
        <v>2194.4652500000002</v>
      </c>
      <c r="N4220" s="273"/>
    </row>
    <row r="4221" spans="1:14" ht="12.75" customHeight="1" x14ac:dyDescent="0.2">
      <c r="A4221" s="403" t="s">
        <v>1169</v>
      </c>
      <c r="B4221" s="271"/>
      <c r="C4221" s="271"/>
      <c r="D4221" s="271"/>
      <c r="E4221" s="271"/>
      <c r="F4221" s="271"/>
      <c r="G4221" s="273"/>
      <c r="H4221" s="29" t="str">
        <f>IF(A4221="","",VLOOKUP(A4221,AA_Equipos,7,FALSE))</f>
        <v>Dia</v>
      </c>
      <c r="I4221" s="394">
        <f>IF(A4221="","",VLOOKUP(A4221,AA_Equipos,8,FALSE))</f>
        <v>99306</v>
      </c>
      <c r="J4221" s="273"/>
      <c r="K4221" s="402">
        <v>0.35</v>
      </c>
      <c r="L4221" s="273"/>
      <c r="M4221" s="394">
        <f t="shared" si="582"/>
        <v>34757.1</v>
      </c>
      <c r="N4221" s="273"/>
    </row>
    <row r="4222" spans="1:14" ht="12.75" customHeight="1" x14ac:dyDescent="0.2">
      <c r="A4222" s="400" t="s">
        <v>1170</v>
      </c>
      <c r="B4222" s="271"/>
      <c r="C4222" s="271"/>
      <c r="D4222" s="271"/>
      <c r="E4222" s="271"/>
      <c r="F4222" s="271"/>
      <c r="G4222" s="273"/>
      <c r="H4222" s="29" t="str">
        <f>IF(A4222="","",VLOOKUP(A4222,AA_Equipos,7,FALSE))</f>
        <v>Dia</v>
      </c>
      <c r="I4222" s="394">
        <f>IF(A4222="","",VLOOKUP(A4222,AA_Equipos,8,FALSE))</f>
        <v>414000</v>
      </c>
      <c r="J4222" s="273"/>
      <c r="K4222" s="401">
        <v>0.15</v>
      </c>
      <c r="L4222" s="273"/>
      <c r="M4222" s="394">
        <f t="shared" si="582"/>
        <v>62100</v>
      </c>
      <c r="N4222" s="273"/>
    </row>
    <row r="4223" spans="1:14" ht="12.75" customHeight="1" x14ac:dyDescent="0.2">
      <c r="A4223" s="400"/>
      <c r="B4223" s="271"/>
      <c r="C4223" s="271"/>
      <c r="D4223" s="271"/>
      <c r="E4223" s="271"/>
      <c r="F4223" s="271"/>
      <c r="G4223" s="273"/>
      <c r="H4223" s="29" t="str">
        <f>IF(A4223="","",VLOOKUP(A4223,AA_Equipos,7,FALSE))</f>
        <v/>
      </c>
      <c r="I4223" s="394" t="str">
        <f>IF(A4223="","",VLOOKUP(A4223,AA_Equipos,8,FALSE))</f>
        <v/>
      </c>
      <c r="J4223" s="273"/>
      <c r="K4223" s="395"/>
      <c r="L4223" s="273"/>
      <c r="M4223" s="394" t="str">
        <f t="shared" si="582"/>
        <v/>
      </c>
      <c r="N4223" s="273"/>
    </row>
    <row r="4224" spans="1:14" ht="12.75" customHeight="1" x14ac:dyDescent="0.2">
      <c r="A4224" s="400"/>
      <c r="B4224" s="271"/>
      <c r="C4224" s="271"/>
      <c r="D4224" s="271"/>
      <c r="E4224" s="271"/>
      <c r="F4224" s="271"/>
      <c r="G4224" s="273"/>
      <c r="H4224" s="29" t="str">
        <f>IF(A4224="","",VLOOKUP(A4224,AA_Equipos,7,FALSE))</f>
        <v/>
      </c>
      <c r="I4224" s="394" t="str">
        <f>IF(A4224="","",VLOOKUP(A4224,AA_Equipos,8,FALSE))</f>
        <v/>
      </c>
      <c r="J4224" s="273"/>
      <c r="K4224" s="395"/>
      <c r="L4224" s="273"/>
      <c r="M4224" s="394" t="str">
        <f t="shared" si="582"/>
        <v/>
      </c>
      <c r="N4224" s="273"/>
    </row>
    <row r="4225" spans="1:14" ht="12.75" customHeight="1" x14ac:dyDescent="0.25">
      <c r="A4225" s="4"/>
      <c r="B4225" s="4"/>
      <c r="C4225" s="4"/>
      <c r="D4225" s="4"/>
      <c r="E4225" s="4"/>
      <c r="F4225" s="4"/>
      <c r="G4225" s="4"/>
      <c r="H4225" s="4"/>
      <c r="I4225" s="4"/>
      <c r="J4225" s="4"/>
      <c r="K4225" s="396" t="s">
        <v>444</v>
      </c>
      <c r="L4225" s="273"/>
      <c r="M4225" s="394">
        <f>SUM(M4220:N4224)</f>
        <v>99051.56525</v>
      </c>
      <c r="N4225" s="273"/>
    </row>
    <row r="4226" spans="1:14" ht="12.75" customHeight="1" x14ac:dyDescent="0.25">
      <c r="A4226" s="4"/>
      <c r="B4226" s="4"/>
      <c r="C4226" s="4"/>
      <c r="D4226" s="4"/>
      <c r="E4226" s="4"/>
      <c r="F4226" s="4"/>
      <c r="G4226" s="4"/>
      <c r="H4226" s="4"/>
      <c r="I4226" s="4"/>
      <c r="J4226" s="4"/>
      <c r="K4226" s="4"/>
      <c r="L4226" s="4"/>
      <c r="M4226" s="4"/>
      <c r="N4226" s="4"/>
    </row>
    <row r="4227" spans="1:14" ht="12.75" customHeight="1" x14ac:dyDescent="0.2">
      <c r="A4227" s="398" t="s">
        <v>929</v>
      </c>
      <c r="B4227" s="271"/>
      <c r="C4227" s="271"/>
      <c r="D4227" s="271"/>
      <c r="E4227" s="271"/>
      <c r="F4227" s="271"/>
      <c r="G4227" s="271"/>
      <c r="H4227" s="271"/>
      <c r="I4227" s="271"/>
      <c r="J4227" s="271"/>
      <c r="K4227" s="271"/>
      <c r="L4227" s="271"/>
      <c r="M4227" s="271"/>
      <c r="N4227" s="273"/>
    </row>
    <row r="4228" spans="1:14" ht="12.75" customHeight="1" x14ac:dyDescent="0.2">
      <c r="A4228" s="396" t="s">
        <v>76</v>
      </c>
      <c r="B4228" s="271"/>
      <c r="C4228" s="271"/>
      <c r="D4228" s="271"/>
      <c r="E4228" s="271"/>
      <c r="F4228" s="271"/>
      <c r="G4228" s="273"/>
      <c r="H4228" s="88" t="s">
        <v>77</v>
      </c>
      <c r="I4228" s="399" t="s">
        <v>920</v>
      </c>
      <c r="J4228" s="273"/>
      <c r="K4228" s="399" t="s">
        <v>453</v>
      </c>
      <c r="L4228" s="273"/>
      <c r="M4228" s="399" t="s">
        <v>921</v>
      </c>
      <c r="N4228" s="273"/>
    </row>
    <row r="4229" spans="1:14" ht="12.75" customHeight="1" x14ac:dyDescent="0.2">
      <c r="A4229" s="400" t="s">
        <v>965</v>
      </c>
      <c r="B4229" s="271"/>
      <c r="C4229" s="271"/>
      <c r="D4229" s="271"/>
      <c r="E4229" s="271"/>
      <c r="F4229" s="271"/>
      <c r="G4229" s="273"/>
      <c r="H4229" s="29" t="s">
        <v>959</v>
      </c>
      <c r="I4229" s="394">
        <f>+M4243</f>
        <v>43889.305</v>
      </c>
      <c r="J4229" s="273"/>
      <c r="K4229" s="404">
        <v>0.05</v>
      </c>
      <c r="L4229" s="273"/>
      <c r="M4229" s="394">
        <f t="shared" ref="M4229:M4233" si="583">IF(A4229="","",I4229*K4229)</f>
        <v>2194.4652500000002</v>
      </c>
      <c r="N4229" s="273"/>
    </row>
    <row r="4230" spans="1:14" ht="12.75" customHeight="1" x14ac:dyDescent="0.2">
      <c r="A4230" s="403"/>
      <c r="B4230" s="271"/>
      <c r="C4230" s="271"/>
      <c r="D4230" s="271"/>
      <c r="E4230" s="271"/>
      <c r="F4230" s="271"/>
      <c r="G4230" s="273"/>
      <c r="H4230" s="29"/>
      <c r="I4230" s="394"/>
      <c r="J4230" s="273"/>
      <c r="K4230" s="404"/>
      <c r="L4230" s="273"/>
      <c r="M4230" s="394" t="str">
        <f t="shared" si="583"/>
        <v/>
      </c>
      <c r="N4230" s="273"/>
    </row>
    <row r="4231" spans="1:14" ht="12.75" customHeight="1" x14ac:dyDescent="0.2">
      <c r="A4231" s="400"/>
      <c r="B4231" s="271"/>
      <c r="C4231" s="271"/>
      <c r="D4231" s="271"/>
      <c r="E4231" s="271"/>
      <c r="F4231" s="271"/>
      <c r="G4231" s="273"/>
      <c r="H4231" s="29"/>
      <c r="I4231" s="394"/>
      <c r="J4231" s="273"/>
      <c r="K4231" s="395"/>
      <c r="L4231" s="273"/>
      <c r="M4231" s="394" t="str">
        <f t="shared" si="583"/>
        <v/>
      </c>
      <c r="N4231" s="273"/>
    </row>
    <row r="4232" spans="1:14" ht="12.75" customHeight="1" x14ac:dyDescent="0.2">
      <c r="A4232" s="400"/>
      <c r="B4232" s="271"/>
      <c r="C4232" s="271"/>
      <c r="D4232" s="271"/>
      <c r="E4232" s="271"/>
      <c r="F4232" s="271"/>
      <c r="G4232" s="273"/>
      <c r="H4232" s="29"/>
      <c r="I4232" s="394"/>
      <c r="J4232" s="273"/>
      <c r="K4232" s="395"/>
      <c r="L4232" s="273"/>
      <c r="M4232" s="394" t="str">
        <f t="shared" si="583"/>
        <v/>
      </c>
      <c r="N4232" s="273"/>
    </row>
    <row r="4233" spans="1:14" ht="12.75" customHeight="1" x14ac:dyDescent="0.2">
      <c r="A4233" s="400"/>
      <c r="B4233" s="271"/>
      <c r="C4233" s="271"/>
      <c r="D4233" s="271"/>
      <c r="E4233" s="271"/>
      <c r="F4233" s="271"/>
      <c r="G4233" s="273"/>
      <c r="H4233" s="29"/>
      <c r="I4233" s="394"/>
      <c r="J4233" s="273"/>
      <c r="K4233" s="395"/>
      <c r="L4233" s="273"/>
      <c r="M4233" s="394" t="str">
        <f t="shared" si="583"/>
        <v/>
      </c>
      <c r="N4233" s="273"/>
    </row>
    <row r="4234" spans="1:14" ht="12.75" customHeight="1" x14ac:dyDescent="0.25">
      <c r="A4234" s="4"/>
      <c r="B4234" s="4"/>
      <c r="C4234" s="4"/>
      <c r="D4234" s="4"/>
      <c r="E4234" s="4"/>
      <c r="F4234" s="4"/>
      <c r="G4234" s="4"/>
      <c r="H4234" s="4"/>
      <c r="I4234" s="4"/>
      <c r="J4234" s="4"/>
      <c r="K4234" s="396" t="s">
        <v>444</v>
      </c>
      <c r="L4234" s="273"/>
      <c r="M4234" s="394">
        <f>SUM(M4229:N4233)</f>
        <v>2194.4652500000002</v>
      </c>
      <c r="N4234" s="273"/>
    </row>
    <row r="4235" spans="1:14" ht="12.75" customHeight="1" x14ac:dyDescent="0.25">
      <c r="A4235" s="4"/>
      <c r="B4235" s="4"/>
      <c r="C4235" s="4"/>
      <c r="D4235" s="4"/>
      <c r="E4235" s="4"/>
      <c r="F4235" s="4"/>
      <c r="G4235" s="4"/>
      <c r="H4235" s="4"/>
      <c r="I4235" s="4"/>
      <c r="J4235" s="4"/>
      <c r="K4235" s="4"/>
      <c r="L4235" s="4"/>
      <c r="M4235" s="4"/>
      <c r="N4235" s="4"/>
    </row>
    <row r="4236" spans="1:14" ht="12.75" customHeight="1" x14ac:dyDescent="0.2">
      <c r="A4236" s="398" t="s">
        <v>931</v>
      </c>
      <c r="B4236" s="271"/>
      <c r="C4236" s="271"/>
      <c r="D4236" s="271"/>
      <c r="E4236" s="271"/>
      <c r="F4236" s="271"/>
      <c r="G4236" s="271"/>
      <c r="H4236" s="271"/>
      <c r="I4236" s="271"/>
      <c r="J4236" s="271"/>
      <c r="K4236" s="271"/>
      <c r="L4236" s="271"/>
      <c r="M4236" s="271"/>
      <c r="N4236" s="273"/>
    </row>
    <row r="4237" spans="1:14" ht="12.75" customHeight="1" x14ac:dyDescent="0.2">
      <c r="A4237" s="396" t="s">
        <v>76</v>
      </c>
      <c r="B4237" s="271"/>
      <c r="C4237" s="271"/>
      <c r="D4237" s="271"/>
      <c r="E4237" s="271"/>
      <c r="F4237" s="271"/>
      <c r="G4237" s="273"/>
      <c r="H4237" s="88" t="s">
        <v>77</v>
      </c>
      <c r="I4237" s="399" t="s">
        <v>920</v>
      </c>
      <c r="J4237" s="273"/>
      <c r="K4237" s="90" t="s">
        <v>514</v>
      </c>
      <c r="L4237" s="91" t="s">
        <v>932</v>
      </c>
      <c r="M4237" s="399" t="s">
        <v>921</v>
      </c>
      <c r="N4237" s="273"/>
    </row>
    <row r="4238" spans="1:14" ht="12.75" customHeight="1" x14ac:dyDescent="0.25">
      <c r="A4238" s="393" t="s">
        <v>951</v>
      </c>
      <c r="B4238" s="271"/>
      <c r="C4238" s="271"/>
      <c r="D4238" s="271"/>
      <c r="E4238" s="271"/>
      <c r="F4238" s="271"/>
      <c r="G4238" s="273"/>
      <c r="H4238" s="29" t="str">
        <f>IF(A4238="","",VLOOKUP(A4238,AA_Cuadrillas,4,FALSE))</f>
        <v>Cuadrilla</v>
      </c>
      <c r="I4238" s="394">
        <f>IF(A4238="","",VLOOKUP(A4238,AA_Cuadrillas,5,FALSE))</f>
        <v>186763</v>
      </c>
      <c r="J4238" s="273"/>
      <c r="K4238" s="9">
        <f>IF(A4238="","",F.P!$I$2)</f>
        <v>1.88</v>
      </c>
      <c r="L4238" s="97">
        <f>1/8</f>
        <v>0.125</v>
      </c>
      <c r="M4238" s="394">
        <f t="shared" ref="M4238:M4242" si="584">IF(A4238="","",I4238*K4238*L4238)</f>
        <v>43889.305</v>
      </c>
      <c r="N4238" s="273"/>
    </row>
    <row r="4239" spans="1:14" ht="12.75" customHeight="1" x14ac:dyDescent="0.25">
      <c r="A4239" s="393"/>
      <c r="B4239" s="271"/>
      <c r="C4239" s="271"/>
      <c r="D4239" s="271"/>
      <c r="E4239" s="271"/>
      <c r="F4239" s="271"/>
      <c r="G4239" s="273"/>
      <c r="H4239" s="29" t="str">
        <f>IF(A4239="","",VLOOKUP(A4239,AA_Cuadrillas,4,FALSE))</f>
        <v/>
      </c>
      <c r="I4239" s="394" t="str">
        <f>IF(A4239="","",VLOOKUP(A4239,AA_Cuadrillas,5,FALSE))</f>
        <v/>
      </c>
      <c r="J4239" s="273"/>
      <c r="K4239" s="9" t="str">
        <f>IF(A4239="","",F.P!$I$2)</f>
        <v/>
      </c>
      <c r="L4239" s="9"/>
      <c r="M4239" s="394" t="str">
        <f t="shared" si="584"/>
        <v/>
      </c>
      <c r="N4239" s="273"/>
    </row>
    <row r="4240" spans="1:14" ht="12.75" customHeight="1" x14ac:dyDescent="0.25">
      <c r="A4240" s="393"/>
      <c r="B4240" s="271"/>
      <c r="C4240" s="271"/>
      <c r="D4240" s="271"/>
      <c r="E4240" s="271"/>
      <c r="F4240" s="271"/>
      <c r="G4240" s="273"/>
      <c r="H4240" s="29" t="str">
        <f>IF(A4240="","",VLOOKUP(A4240,AA_Cuadrillas,4,FALSE))</f>
        <v/>
      </c>
      <c r="I4240" s="394" t="str">
        <f>IF(A4240="","",VLOOKUP(A4240,AA_Cuadrillas,5,FALSE))</f>
        <v/>
      </c>
      <c r="J4240" s="273"/>
      <c r="K4240" s="9" t="str">
        <f>IF(A4240="","",F.P!$I$2)</f>
        <v/>
      </c>
      <c r="L4240" s="37"/>
      <c r="M4240" s="394" t="str">
        <f t="shared" si="584"/>
        <v/>
      </c>
      <c r="N4240" s="273"/>
    </row>
    <row r="4241" spans="1:14" ht="12.75" customHeight="1" x14ac:dyDescent="0.25">
      <c r="A4241" s="393"/>
      <c r="B4241" s="271"/>
      <c r="C4241" s="271"/>
      <c r="D4241" s="271"/>
      <c r="E4241" s="271"/>
      <c r="F4241" s="271"/>
      <c r="G4241" s="273"/>
      <c r="H4241" s="29" t="str">
        <f>IF(A4241="","",VLOOKUP(A4241,AA_Cuadrillas,4,FALSE))</f>
        <v/>
      </c>
      <c r="I4241" s="394" t="str">
        <f>IF(A4241="","",VLOOKUP(A4241,AA_Cuadrillas,5,FALSE))</f>
        <v/>
      </c>
      <c r="J4241" s="273"/>
      <c r="K4241" s="9" t="str">
        <f>IF(A4241="","",F.P!$I$2)</f>
        <v/>
      </c>
      <c r="L4241" s="37"/>
      <c r="M4241" s="394" t="str">
        <f t="shared" si="584"/>
        <v/>
      </c>
      <c r="N4241" s="273"/>
    </row>
    <row r="4242" spans="1:14" ht="12.75" customHeight="1" x14ac:dyDescent="0.25">
      <c r="A4242" s="393"/>
      <c r="B4242" s="271"/>
      <c r="C4242" s="271"/>
      <c r="D4242" s="271"/>
      <c r="E4242" s="271"/>
      <c r="F4242" s="271"/>
      <c r="G4242" s="273"/>
      <c r="H4242" s="29" t="str">
        <f>IF(A4242="","",VLOOKUP(A4242,AA_Cuadrillas,4,FALSE))</f>
        <v/>
      </c>
      <c r="I4242" s="394" t="str">
        <f>IF(A4242="","",VLOOKUP(A4242,AA_Cuadrillas,5,FALSE))</f>
        <v/>
      </c>
      <c r="J4242" s="273"/>
      <c r="K4242" s="9" t="str">
        <f>IF(A4242="","",F.P!$I$2)</f>
        <v/>
      </c>
      <c r="L4242" s="37"/>
      <c r="M4242" s="394" t="str">
        <f t="shared" si="584"/>
        <v/>
      </c>
      <c r="N4242" s="273"/>
    </row>
    <row r="4243" spans="1:14" ht="12.75" customHeight="1" x14ac:dyDescent="0.25">
      <c r="A4243" s="4"/>
      <c r="B4243" s="4"/>
      <c r="C4243" s="4"/>
      <c r="D4243" s="4"/>
      <c r="E4243" s="4"/>
      <c r="F4243" s="4"/>
      <c r="G4243" s="4"/>
      <c r="H4243" s="4"/>
      <c r="I4243" s="4"/>
      <c r="J4243" s="4"/>
      <c r="K4243" s="396" t="s">
        <v>444</v>
      </c>
      <c r="L4243" s="273"/>
      <c r="M4243" s="394">
        <f>SUM(M4238:N4242)</f>
        <v>43889.305</v>
      </c>
      <c r="N4243" s="273"/>
    </row>
    <row r="4244" spans="1:14" ht="12.75" customHeight="1" x14ac:dyDescent="0.2"/>
    <row r="4245" spans="1:14" ht="12.75" customHeight="1" x14ac:dyDescent="0.2">
      <c r="A4245" s="407" t="s">
        <v>348</v>
      </c>
      <c r="B4245" s="275"/>
      <c r="C4245" s="275"/>
      <c r="D4245" s="275"/>
      <c r="E4245" s="275"/>
      <c r="F4245" s="275"/>
      <c r="G4245" s="275"/>
      <c r="H4245" s="275"/>
      <c r="I4245" s="275"/>
      <c r="J4245" s="275"/>
      <c r="K4245" s="275"/>
      <c r="L4245" s="275"/>
      <c r="M4245" s="275"/>
      <c r="N4245" s="276"/>
    </row>
    <row r="4246" spans="1:14" ht="12.75" customHeight="1" x14ac:dyDescent="0.2">
      <c r="A4246" s="277"/>
      <c r="B4246" s="278"/>
      <c r="C4246" s="278"/>
      <c r="D4246" s="278"/>
      <c r="E4246" s="278"/>
      <c r="F4246" s="278"/>
      <c r="G4246" s="278"/>
      <c r="H4246" s="278"/>
      <c r="I4246" s="278"/>
      <c r="J4246" s="278"/>
      <c r="K4246" s="278"/>
      <c r="L4246" s="278"/>
      <c r="M4246" s="278"/>
      <c r="N4246" s="279"/>
    </row>
    <row r="4247" spans="1:14" ht="12.75" customHeight="1" x14ac:dyDescent="0.2">
      <c r="A4247" s="75"/>
      <c r="B4247" s="75"/>
      <c r="C4247" s="75"/>
      <c r="D4247" s="75"/>
      <c r="E4247" s="75"/>
      <c r="F4247" s="75"/>
      <c r="G4247" s="75"/>
      <c r="H4247" s="75"/>
      <c r="I4247" s="75"/>
      <c r="J4247" s="75"/>
      <c r="K4247" s="75"/>
      <c r="L4247" s="75"/>
      <c r="M4247" s="75"/>
      <c r="N4247" s="75"/>
    </row>
    <row r="4248" spans="1:14" ht="12.75" customHeight="1" x14ac:dyDescent="0.3">
      <c r="A4248" s="79" t="s">
        <v>713</v>
      </c>
      <c r="B4248" s="80" t="str">
        <f>A4245</f>
        <v>CORTE DE PAVIMENTO RÍGIDO (INCLUYE MATERIALES, EQUIPOS, HERRAMIENTAS Y MANO DE OBRA)</v>
      </c>
      <c r="C4248" s="81" t="s">
        <v>916</v>
      </c>
      <c r="D4248" s="82" t="s">
        <v>981</v>
      </c>
      <c r="E4248" s="83" t="s">
        <v>445</v>
      </c>
      <c r="F4248" s="86">
        <f>H4248+J4248+L4248+N4248</f>
        <v>19343.787239999998</v>
      </c>
      <c r="G4248" s="83" t="s">
        <v>607</v>
      </c>
      <c r="H4248" s="86">
        <f>M4267</f>
        <v>14630.418439999999</v>
      </c>
      <c r="I4248" s="83" t="s">
        <v>918</v>
      </c>
      <c r="J4248" s="86">
        <f>M4258</f>
        <v>100</v>
      </c>
      <c r="K4248" s="83" t="s">
        <v>609</v>
      </c>
      <c r="L4248" s="86">
        <f>M4276</f>
        <v>5</v>
      </c>
      <c r="M4248" s="83" t="s">
        <v>610</v>
      </c>
      <c r="N4248" s="86">
        <f>M4285</f>
        <v>4608.3688000000002</v>
      </c>
    </row>
    <row r="4249" spans="1:14" ht="12.75" customHeight="1" x14ac:dyDescent="0.25">
      <c r="A4249" s="87"/>
      <c r="B4249" s="87"/>
      <c r="C4249" s="87"/>
      <c r="D4249" s="87"/>
      <c r="E4249" s="87"/>
      <c r="F4249" s="87"/>
      <c r="G4249" s="87"/>
      <c r="J4249" s="87"/>
      <c r="K4249" s="215" t="s">
        <v>3217</v>
      </c>
      <c r="L4249" s="215">
        <f>+F4248*presup!$O$5</f>
        <v>25146.923411999996</v>
      </c>
      <c r="M4249" s="87"/>
      <c r="N4249" s="87"/>
    </row>
    <row r="4250" spans="1:14" ht="12.75" customHeight="1" x14ac:dyDescent="0.2">
      <c r="A4250" s="398" t="s">
        <v>919</v>
      </c>
      <c r="B4250" s="271"/>
      <c r="C4250" s="271"/>
      <c r="D4250" s="271"/>
      <c r="E4250" s="271"/>
      <c r="F4250" s="271"/>
      <c r="G4250" s="271"/>
      <c r="H4250" s="271"/>
      <c r="I4250" s="271"/>
      <c r="J4250" s="271"/>
      <c r="K4250" s="271"/>
      <c r="L4250" s="271"/>
      <c r="M4250" s="271"/>
      <c r="N4250" s="273"/>
    </row>
    <row r="4251" spans="1:14" ht="12.75" customHeight="1" x14ac:dyDescent="0.2">
      <c r="A4251" s="396" t="s">
        <v>76</v>
      </c>
      <c r="B4251" s="271"/>
      <c r="C4251" s="271"/>
      <c r="D4251" s="271"/>
      <c r="E4251" s="271"/>
      <c r="F4251" s="271"/>
      <c r="G4251" s="273"/>
      <c r="H4251" s="88" t="s">
        <v>77</v>
      </c>
      <c r="I4251" s="399" t="s">
        <v>920</v>
      </c>
      <c r="J4251" s="273"/>
      <c r="K4251" s="399" t="s">
        <v>453</v>
      </c>
      <c r="L4251" s="273"/>
      <c r="M4251" s="399" t="s">
        <v>921</v>
      </c>
      <c r="N4251" s="273"/>
    </row>
    <row r="4252" spans="1:14" ht="12.75" customHeight="1" x14ac:dyDescent="0.2">
      <c r="A4252" s="403" t="s">
        <v>956</v>
      </c>
      <c r="B4252" s="271"/>
      <c r="C4252" s="271"/>
      <c r="D4252" s="271"/>
      <c r="E4252" s="271"/>
      <c r="F4252" s="271"/>
      <c r="G4252" s="273"/>
      <c r="H4252" s="29" t="str">
        <f t="shared" ref="H4252:H4257" si="585">IF(A4252="","",VLOOKUP(A4252,AA_Materiales,7,FALSE))</f>
        <v>Lt</v>
      </c>
      <c r="I4252" s="394">
        <f t="shared" ref="I4252:I4257" si="586">IF(A4252="","",VLOOKUP(A4252,AA_Materiales,8,FALSE))</f>
        <v>20</v>
      </c>
      <c r="J4252" s="273"/>
      <c r="K4252" s="395">
        <v>5</v>
      </c>
      <c r="L4252" s="273"/>
      <c r="M4252" s="394">
        <f t="shared" ref="M4252:M4257" si="587">IF(A4252="","",I4252*K4252)</f>
        <v>100</v>
      </c>
      <c r="N4252" s="273"/>
    </row>
    <row r="4253" spans="1:14" ht="12.75" customHeight="1" x14ac:dyDescent="0.2">
      <c r="A4253" s="403"/>
      <c r="B4253" s="271"/>
      <c r="C4253" s="271"/>
      <c r="D4253" s="271"/>
      <c r="E4253" s="271"/>
      <c r="F4253" s="271"/>
      <c r="G4253" s="273"/>
      <c r="H4253" s="29" t="str">
        <f t="shared" si="585"/>
        <v/>
      </c>
      <c r="I4253" s="394" t="str">
        <f t="shared" si="586"/>
        <v/>
      </c>
      <c r="J4253" s="273"/>
      <c r="K4253" s="395"/>
      <c r="L4253" s="273"/>
      <c r="M4253" s="394" t="str">
        <f t="shared" si="587"/>
        <v/>
      </c>
      <c r="N4253" s="273"/>
    </row>
    <row r="4254" spans="1:14" ht="12.75" customHeight="1" x14ac:dyDescent="0.2">
      <c r="A4254" s="403"/>
      <c r="B4254" s="271"/>
      <c r="C4254" s="271"/>
      <c r="D4254" s="271"/>
      <c r="E4254" s="271"/>
      <c r="F4254" s="271"/>
      <c r="G4254" s="273"/>
      <c r="H4254" s="29" t="str">
        <f t="shared" si="585"/>
        <v/>
      </c>
      <c r="I4254" s="394" t="str">
        <f t="shared" si="586"/>
        <v/>
      </c>
      <c r="J4254" s="273"/>
      <c r="K4254" s="395"/>
      <c r="L4254" s="273"/>
      <c r="M4254" s="394" t="str">
        <f t="shared" si="587"/>
        <v/>
      </c>
      <c r="N4254" s="273"/>
    </row>
    <row r="4255" spans="1:14" ht="12.75" customHeight="1" x14ac:dyDescent="0.2">
      <c r="A4255" s="403"/>
      <c r="B4255" s="271"/>
      <c r="C4255" s="271"/>
      <c r="D4255" s="271"/>
      <c r="E4255" s="271"/>
      <c r="F4255" s="271"/>
      <c r="G4255" s="273"/>
      <c r="H4255" s="29" t="str">
        <f t="shared" si="585"/>
        <v/>
      </c>
      <c r="I4255" s="394" t="str">
        <f t="shared" si="586"/>
        <v/>
      </c>
      <c r="J4255" s="273"/>
      <c r="K4255" s="395"/>
      <c r="L4255" s="273"/>
      <c r="M4255" s="394" t="str">
        <f t="shared" si="587"/>
        <v/>
      </c>
      <c r="N4255" s="273"/>
    </row>
    <row r="4256" spans="1:14" ht="12.75" customHeight="1" x14ac:dyDescent="0.2">
      <c r="A4256" s="403"/>
      <c r="B4256" s="271"/>
      <c r="C4256" s="271"/>
      <c r="D4256" s="271"/>
      <c r="E4256" s="271"/>
      <c r="F4256" s="271"/>
      <c r="G4256" s="273"/>
      <c r="H4256" s="29" t="str">
        <f t="shared" si="585"/>
        <v/>
      </c>
      <c r="I4256" s="394" t="str">
        <f t="shared" si="586"/>
        <v/>
      </c>
      <c r="J4256" s="273"/>
      <c r="K4256" s="395"/>
      <c r="L4256" s="273"/>
      <c r="M4256" s="394" t="str">
        <f t="shared" si="587"/>
        <v/>
      </c>
      <c r="N4256" s="273"/>
    </row>
    <row r="4257" spans="1:14" ht="12.75" customHeight="1" x14ac:dyDescent="0.2">
      <c r="A4257" s="403"/>
      <c r="B4257" s="271"/>
      <c r="C4257" s="271"/>
      <c r="D4257" s="271"/>
      <c r="E4257" s="271"/>
      <c r="F4257" s="271"/>
      <c r="G4257" s="273"/>
      <c r="H4257" s="29" t="str">
        <f t="shared" si="585"/>
        <v/>
      </c>
      <c r="I4257" s="394" t="str">
        <f t="shared" si="586"/>
        <v/>
      </c>
      <c r="J4257" s="273"/>
      <c r="K4257" s="395"/>
      <c r="L4257" s="273"/>
      <c r="M4257" s="394" t="str">
        <f t="shared" si="587"/>
        <v/>
      </c>
      <c r="N4257" s="273"/>
    </row>
    <row r="4258" spans="1:14" ht="12.75" customHeight="1" x14ac:dyDescent="0.25">
      <c r="A4258" s="4"/>
      <c r="B4258" s="4"/>
      <c r="C4258" s="4"/>
      <c r="D4258" s="4"/>
      <c r="E4258" s="4"/>
      <c r="F4258" s="4"/>
      <c r="G4258" s="4"/>
      <c r="H4258" s="4"/>
      <c r="I4258" s="4"/>
      <c r="J4258" s="4"/>
      <c r="K4258" s="396" t="s">
        <v>444</v>
      </c>
      <c r="L4258" s="273"/>
      <c r="M4258" s="394">
        <f>SUM(M4252:N4257)</f>
        <v>100</v>
      </c>
      <c r="N4258" s="273"/>
    </row>
    <row r="4259" spans="1:14" ht="12.75" customHeight="1" x14ac:dyDescent="0.25">
      <c r="A4259" s="4"/>
      <c r="B4259" s="4"/>
      <c r="C4259" s="4"/>
      <c r="D4259" s="4"/>
      <c r="E4259" s="4"/>
      <c r="F4259" s="4"/>
      <c r="G4259" s="4"/>
      <c r="H4259" s="4"/>
      <c r="I4259" s="4"/>
      <c r="J4259" s="4"/>
      <c r="K4259" s="4"/>
      <c r="L4259" s="4"/>
      <c r="M4259" s="4"/>
      <c r="N4259" s="4"/>
    </row>
    <row r="4260" spans="1:14" ht="12.75" customHeight="1" x14ac:dyDescent="0.2">
      <c r="A4260" s="398" t="s">
        <v>926</v>
      </c>
      <c r="B4260" s="271"/>
      <c r="C4260" s="271"/>
      <c r="D4260" s="271"/>
      <c r="E4260" s="271"/>
      <c r="F4260" s="271"/>
      <c r="G4260" s="271"/>
      <c r="H4260" s="271"/>
      <c r="I4260" s="271"/>
      <c r="J4260" s="271"/>
      <c r="K4260" s="271"/>
      <c r="L4260" s="271"/>
      <c r="M4260" s="271"/>
      <c r="N4260" s="273"/>
    </row>
    <row r="4261" spans="1:14" ht="12.75" customHeight="1" x14ac:dyDescent="0.2">
      <c r="A4261" s="396" t="s">
        <v>76</v>
      </c>
      <c r="B4261" s="271"/>
      <c r="C4261" s="271"/>
      <c r="D4261" s="271"/>
      <c r="E4261" s="271"/>
      <c r="F4261" s="271"/>
      <c r="G4261" s="273"/>
      <c r="H4261" s="88" t="s">
        <v>77</v>
      </c>
      <c r="I4261" s="399" t="s">
        <v>920</v>
      </c>
      <c r="J4261" s="273"/>
      <c r="K4261" s="399" t="s">
        <v>453</v>
      </c>
      <c r="L4261" s="273"/>
      <c r="M4261" s="399" t="s">
        <v>921</v>
      </c>
      <c r="N4261" s="273"/>
    </row>
    <row r="4262" spans="1:14" ht="12.75" customHeight="1" x14ac:dyDescent="0.2">
      <c r="A4262" s="400" t="s">
        <v>927</v>
      </c>
      <c r="B4262" s="271"/>
      <c r="C4262" s="271"/>
      <c r="D4262" s="271"/>
      <c r="E4262" s="271"/>
      <c r="F4262" s="271"/>
      <c r="G4262" s="273"/>
      <c r="H4262" s="29" t="str">
        <f>IF(A4262="","",VLOOKUP(A4262,AA_Equipos,7,FALSE))</f>
        <v>% M.O.</v>
      </c>
      <c r="I4262" s="394">
        <f>+M4285</f>
        <v>4608.3688000000002</v>
      </c>
      <c r="J4262" s="273"/>
      <c r="K4262" s="404">
        <v>0.05</v>
      </c>
      <c r="L4262" s="273"/>
      <c r="M4262" s="394">
        <f t="shared" ref="M4262:M4266" si="588">IF(A4262="","",I4262*K4262)</f>
        <v>230.41844000000003</v>
      </c>
      <c r="N4262" s="273"/>
    </row>
    <row r="4263" spans="1:14" ht="12.75" customHeight="1" x14ac:dyDescent="0.2">
      <c r="A4263" s="403" t="s">
        <v>1171</v>
      </c>
      <c r="B4263" s="271"/>
      <c r="C4263" s="271"/>
      <c r="D4263" s="271"/>
      <c r="E4263" s="271"/>
      <c r="F4263" s="271"/>
      <c r="G4263" s="273"/>
      <c r="H4263" s="29" t="str">
        <f>IF(A4263="","",VLOOKUP(A4263,AA_Equipos,7,FALSE))</f>
        <v>Dia</v>
      </c>
      <c r="I4263" s="394">
        <f>IF(A4263="","",VLOOKUP(A4263,AA_Equipos,8,FALSE))</f>
        <v>180000</v>
      </c>
      <c r="J4263" s="273"/>
      <c r="K4263" s="402">
        <v>0.08</v>
      </c>
      <c r="L4263" s="273"/>
      <c r="M4263" s="394">
        <f t="shared" si="588"/>
        <v>14400</v>
      </c>
      <c r="N4263" s="273"/>
    </row>
    <row r="4264" spans="1:14" ht="12.75" customHeight="1" x14ac:dyDescent="0.2">
      <c r="A4264" s="400"/>
      <c r="B4264" s="271"/>
      <c r="C4264" s="271"/>
      <c r="D4264" s="271"/>
      <c r="E4264" s="271"/>
      <c r="F4264" s="271"/>
      <c r="G4264" s="273"/>
      <c r="H4264" s="29" t="str">
        <f>IF(A4264="","",VLOOKUP(A4264,AA_Equipos,7,FALSE))</f>
        <v/>
      </c>
      <c r="I4264" s="394" t="str">
        <f>IF(A4264="","",VLOOKUP(A4264,AA_Equipos,8,FALSE))</f>
        <v/>
      </c>
      <c r="J4264" s="273"/>
      <c r="K4264" s="401"/>
      <c r="L4264" s="273"/>
      <c r="M4264" s="394" t="str">
        <f t="shared" si="588"/>
        <v/>
      </c>
      <c r="N4264" s="273"/>
    </row>
    <row r="4265" spans="1:14" ht="12.75" customHeight="1" x14ac:dyDescent="0.2">
      <c r="A4265" s="400"/>
      <c r="B4265" s="271"/>
      <c r="C4265" s="271"/>
      <c r="D4265" s="271"/>
      <c r="E4265" s="271"/>
      <c r="F4265" s="271"/>
      <c r="G4265" s="273"/>
      <c r="H4265" s="29" t="str">
        <f>IF(A4265="","",VLOOKUP(A4265,AA_Equipos,7,FALSE))</f>
        <v/>
      </c>
      <c r="I4265" s="394" t="str">
        <f>IF(A4265="","",VLOOKUP(A4265,AA_Equipos,8,FALSE))</f>
        <v/>
      </c>
      <c r="J4265" s="273"/>
      <c r="K4265" s="395"/>
      <c r="L4265" s="273"/>
      <c r="M4265" s="394" t="str">
        <f t="shared" si="588"/>
        <v/>
      </c>
      <c r="N4265" s="273"/>
    </row>
    <row r="4266" spans="1:14" ht="12.75" customHeight="1" x14ac:dyDescent="0.2">
      <c r="A4266" s="400"/>
      <c r="B4266" s="271"/>
      <c r="C4266" s="271"/>
      <c r="D4266" s="271"/>
      <c r="E4266" s="271"/>
      <c r="F4266" s="271"/>
      <c r="G4266" s="273"/>
      <c r="H4266" s="29" t="str">
        <f>IF(A4266="","",VLOOKUP(A4266,AA_Equipos,7,FALSE))</f>
        <v/>
      </c>
      <c r="I4266" s="394" t="str">
        <f>IF(A4266="","",VLOOKUP(A4266,AA_Equipos,8,FALSE))</f>
        <v/>
      </c>
      <c r="J4266" s="273"/>
      <c r="K4266" s="395"/>
      <c r="L4266" s="273"/>
      <c r="M4266" s="394" t="str">
        <f t="shared" si="588"/>
        <v/>
      </c>
      <c r="N4266" s="273"/>
    </row>
    <row r="4267" spans="1:14" ht="12.75" customHeight="1" x14ac:dyDescent="0.25">
      <c r="A4267" s="4"/>
      <c r="B4267" s="4"/>
      <c r="C4267" s="4"/>
      <c r="D4267" s="4"/>
      <c r="E4267" s="4"/>
      <c r="F4267" s="4"/>
      <c r="G4267" s="4"/>
      <c r="H4267" s="4"/>
      <c r="I4267" s="4"/>
      <c r="J4267" s="4"/>
      <c r="K4267" s="396" t="s">
        <v>444</v>
      </c>
      <c r="L4267" s="273"/>
      <c r="M4267" s="394">
        <f>SUM(M4262:N4266)</f>
        <v>14630.418439999999</v>
      </c>
      <c r="N4267" s="273"/>
    </row>
    <row r="4268" spans="1:14" ht="12.75" customHeight="1" x14ac:dyDescent="0.25">
      <c r="A4268" s="4"/>
      <c r="B4268" s="4"/>
      <c r="C4268" s="4"/>
      <c r="D4268" s="4"/>
      <c r="E4268" s="4"/>
      <c r="F4268" s="4"/>
      <c r="G4268" s="4"/>
      <c r="H4268" s="4"/>
      <c r="I4268" s="4"/>
      <c r="J4268" s="4"/>
      <c r="K4268" s="4"/>
      <c r="L4268" s="4"/>
      <c r="M4268" s="4"/>
      <c r="N4268" s="4"/>
    </row>
    <row r="4269" spans="1:14" ht="12.75" customHeight="1" x14ac:dyDescent="0.2">
      <c r="A4269" s="398" t="s">
        <v>929</v>
      </c>
      <c r="B4269" s="271"/>
      <c r="C4269" s="271"/>
      <c r="D4269" s="271"/>
      <c r="E4269" s="271"/>
      <c r="F4269" s="271"/>
      <c r="G4269" s="271"/>
      <c r="H4269" s="271"/>
      <c r="I4269" s="271"/>
      <c r="J4269" s="271"/>
      <c r="K4269" s="271"/>
      <c r="L4269" s="271"/>
      <c r="M4269" s="271"/>
      <c r="N4269" s="273"/>
    </row>
    <row r="4270" spans="1:14" ht="12.75" customHeight="1" x14ac:dyDescent="0.2">
      <c r="A4270" s="396" t="s">
        <v>76</v>
      </c>
      <c r="B4270" s="271"/>
      <c r="C4270" s="271"/>
      <c r="D4270" s="271"/>
      <c r="E4270" s="271"/>
      <c r="F4270" s="271"/>
      <c r="G4270" s="273"/>
      <c r="H4270" s="88" t="s">
        <v>77</v>
      </c>
      <c r="I4270" s="399" t="s">
        <v>920</v>
      </c>
      <c r="J4270" s="273"/>
      <c r="K4270" s="399" t="s">
        <v>453</v>
      </c>
      <c r="L4270" s="273"/>
      <c r="M4270" s="399" t="s">
        <v>921</v>
      </c>
      <c r="N4270" s="273"/>
    </row>
    <row r="4271" spans="1:14" ht="12.75" customHeight="1" x14ac:dyDescent="0.2">
      <c r="A4271" s="400" t="s">
        <v>966</v>
      </c>
      <c r="B4271" s="271"/>
      <c r="C4271" s="271"/>
      <c r="D4271" s="271"/>
      <c r="E4271" s="271"/>
      <c r="F4271" s="271"/>
      <c r="G4271" s="273"/>
      <c r="H4271" s="29" t="s">
        <v>950</v>
      </c>
      <c r="I4271" s="394">
        <f>+M4258</f>
        <v>100</v>
      </c>
      <c r="J4271" s="273"/>
      <c r="K4271" s="404">
        <v>0.05</v>
      </c>
      <c r="L4271" s="273"/>
      <c r="M4271" s="394">
        <f t="shared" ref="M4271:M4275" si="589">IF(A4271="","",I4271*K4271)</f>
        <v>5</v>
      </c>
      <c r="N4271" s="273"/>
    </row>
    <row r="4272" spans="1:14" ht="12.75" customHeight="1" x14ac:dyDescent="0.2">
      <c r="A4272" s="403"/>
      <c r="B4272" s="271"/>
      <c r="C4272" s="271"/>
      <c r="D4272" s="271"/>
      <c r="E4272" s="271"/>
      <c r="F4272" s="271"/>
      <c r="G4272" s="273"/>
      <c r="H4272" s="29"/>
      <c r="I4272" s="394"/>
      <c r="J4272" s="273"/>
      <c r="K4272" s="404"/>
      <c r="L4272" s="273"/>
      <c r="M4272" s="394" t="str">
        <f t="shared" si="589"/>
        <v/>
      </c>
      <c r="N4272" s="273"/>
    </row>
    <row r="4273" spans="1:14" ht="12.75" customHeight="1" x14ac:dyDescent="0.2">
      <c r="A4273" s="400"/>
      <c r="B4273" s="271"/>
      <c r="C4273" s="271"/>
      <c r="D4273" s="271"/>
      <c r="E4273" s="271"/>
      <c r="F4273" s="271"/>
      <c r="G4273" s="273"/>
      <c r="H4273" s="29"/>
      <c r="I4273" s="394"/>
      <c r="J4273" s="273"/>
      <c r="K4273" s="395"/>
      <c r="L4273" s="273"/>
      <c r="M4273" s="394" t="str">
        <f t="shared" si="589"/>
        <v/>
      </c>
      <c r="N4273" s="273"/>
    </row>
    <row r="4274" spans="1:14" ht="12.75" customHeight="1" x14ac:dyDescent="0.2">
      <c r="A4274" s="400"/>
      <c r="B4274" s="271"/>
      <c r="C4274" s="271"/>
      <c r="D4274" s="271"/>
      <c r="E4274" s="271"/>
      <c r="F4274" s="271"/>
      <c r="G4274" s="273"/>
      <c r="H4274" s="29"/>
      <c r="I4274" s="394"/>
      <c r="J4274" s="273"/>
      <c r="K4274" s="395"/>
      <c r="L4274" s="273"/>
      <c r="M4274" s="394" t="str">
        <f t="shared" si="589"/>
        <v/>
      </c>
      <c r="N4274" s="273"/>
    </row>
    <row r="4275" spans="1:14" ht="12.75" customHeight="1" x14ac:dyDescent="0.2">
      <c r="A4275" s="400"/>
      <c r="B4275" s="271"/>
      <c r="C4275" s="271"/>
      <c r="D4275" s="271"/>
      <c r="E4275" s="271"/>
      <c r="F4275" s="271"/>
      <c r="G4275" s="273"/>
      <c r="H4275" s="29"/>
      <c r="I4275" s="394"/>
      <c r="J4275" s="273"/>
      <c r="K4275" s="395"/>
      <c r="L4275" s="273"/>
      <c r="M4275" s="394" t="str">
        <f t="shared" si="589"/>
        <v/>
      </c>
      <c r="N4275" s="273"/>
    </row>
    <row r="4276" spans="1:14" ht="12.75" customHeight="1" x14ac:dyDescent="0.25">
      <c r="A4276" s="4"/>
      <c r="B4276" s="4"/>
      <c r="C4276" s="4"/>
      <c r="D4276" s="4"/>
      <c r="E4276" s="4"/>
      <c r="F4276" s="4"/>
      <c r="G4276" s="4"/>
      <c r="H4276" s="4"/>
      <c r="I4276" s="4"/>
      <c r="J4276" s="4"/>
      <c r="K4276" s="396" t="s">
        <v>444</v>
      </c>
      <c r="L4276" s="273"/>
      <c r="M4276" s="394">
        <f>SUM(M4271:N4275)</f>
        <v>5</v>
      </c>
      <c r="N4276" s="273"/>
    </row>
    <row r="4277" spans="1:14" ht="12.75" customHeight="1" x14ac:dyDescent="0.25">
      <c r="A4277" s="4"/>
      <c r="B4277" s="4"/>
      <c r="C4277" s="4"/>
      <c r="D4277" s="4"/>
      <c r="E4277" s="4"/>
      <c r="F4277" s="4"/>
      <c r="G4277" s="4"/>
      <c r="H4277" s="4"/>
      <c r="I4277" s="4"/>
      <c r="J4277" s="4"/>
      <c r="K4277" s="4"/>
      <c r="L4277" s="4"/>
      <c r="M4277" s="4"/>
      <c r="N4277" s="4"/>
    </row>
    <row r="4278" spans="1:14" ht="12.75" customHeight="1" x14ac:dyDescent="0.2">
      <c r="A4278" s="398" t="s">
        <v>931</v>
      </c>
      <c r="B4278" s="271"/>
      <c r="C4278" s="271"/>
      <c r="D4278" s="271"/>
      <c r="E4278" s="271"/>
      <c r="F4278" s="271"/>
      <c r="G4278" s="271"/>
      <c r="H4278" s="271"/>
      <c r="I4278" s="271"/>
      <c r="J4278" s="271"/>
      <c r="K4278" s="271"/>
      <c r="L4278" s="271"/>
      <c r="M4278" s="271"/>
      <c r="N4278" s="273"/>
    </row>
    <row r="4279" spans="1:14" ht="12.75" customHeight="1" x14ac:dyDescent="0.2">
      <c r="A4279" s="396" t="s">
        <v>76</v>
      </c>
      <c r="B4279" s="271"/>
      <c r="C4279" s="271"/>
      <c r="D4279" s="271"/>
      <c r="E4279" s="271"/>
      <c r="F4279" s="271"/>
      <c r="G4279" s="273"/>
      <c r="H4279" s="88" t="s">
        <v>77</v>
      </c>
      <c r="I4279" s="399" t="s">
        <v>920</v>
      </c>
      <c r="J4279" s="273"/>
      <c r="K4279" s="90" t="s">
        <v>514</v>
      </c>
      <c r="L4279" s="91" t="s">
        <v>932</v>
      </c>
      <c r="M4279" s="399" t="s">
        <v>921</v>
      </c>
      <c r="N4279" s="273"/>
    </row>
    <row r="4280" spans="1:14" ht="12.75" customHeight="1" x14ac:dyDescent="0.25">
      <c r="A4280" s="393" t="s">
        <v>936</v>
      </c>
      <c r="B4280" s="271"/>
      <c r="C4280" s="271"/>
      <c r="D4280" s="271"/>
      <c r="E4280" s="271"/>
      <c r="F4280" s="271"/>
      <c r="G4280" s="273"/>
      <c r="H4280" s="29" t="str">
        <f>IF(A4280="","",VLOOKUP(A4280,AA_Cuadrillas,4,FALSE))</f>
        <v>Cuadrilla</v>
      </c>
      <c r="I4280" s="394">
        <f>IF(A4280="","",VLOOKUP(A4280,AA_Cuadrillas,5,FALSE))</f>
        <v>70036</v>
      </c>
      <c r="J4280" s="273"/>
      <c r="K4280" s="9">
        <f>IF(A4280="","",F.P!$I$2)</f>
        <v>1.88</v>
      </c>
      <c r="L4280" s="97">
        <v>3.5000000000000003E-2</v>
      </c>
      <c r="M4280" s="394">
        <f t="shared" ref="M4280:M4284" si="590">IF(A4280="","",I4280*K4280*L4280)</f>
        <v>4608.3688000000002</v>
      </c>
      <c r="N4280" s="273"/>
    </row>
    <row r="4281" spans="1:14" ht="12.75" customHeight="1" x14ac:dyDescent="0.25">
      <c r="A4281" s="393"/>
      <c r="B4281" s="271"/>
      <c r="C4281" s="271"/>
      <c r="D4281" s="271"/>
      <c r="E4281" s="271"/>
      <c r="F4281" s="271"/>
      <c r="G4281" s="273"/>
      <c r="H4281" s="29" t="str">
        <f>IF(A4281="","",VLOOKUP(A4281,AA_Cuadrillas,4,FALSE))</f>
        <v/>
      </c>
      <c r="I4281" s="394" t="str">
        <f>IF(A4281="","",VLOOKUP(A4281,AA_Cuadrillas,5,FALSE))</f>
        <v/>
      </c>
      <c r="J4281" s="273"/>
      <c r="K4281" s="9" t="str">
        <f>IF(A4281="","",F.P!$I$2)</f>
        <v/>
      </c>
      <c r="L4281" s="9"/>
      <c r="M4281" s="394" t="str">
        <f t="shared" si="590"/>
        <v/>
      </c>
      <c r="N4281" s="273"/>
    </row>
    <row r="4282" spans="1:14" ht="12.75" customHeight="1" x14ac:dyDescent="0.25">
      <c r="A4282" s="393"/>
      <c r="B4282" s="271"/>
      <c r="C4282" s="271"/>
      <c r="D4282" s="271"/>
      <c r="E4282" s="271"/>
      <c r="F4282" s="271"/>
      <c r="G4282" s="273"/>
      <c r="H4282" s="29" t="str">
        <f>IF(A4282="","",VLOOKUP(A4282,AA_Cuadrillas,4,FALSE))</f>
        <v/>
      </c>
      <c r="I4282" s="394" t="str">
        <f>IF(A4282="","",VLOOKUP(A4282,AA_Cuadrillas,5,FALSE))</f>
        <v/>
      </c>
      <c r="J4282" s="273"/>
      <c r="K4282" s="9" t="str">
        <f>IF(A4282="","",F.P!$I$2)</f>
        <v/>
      </c>
      <c r="L4282" s="37"/>
      <c r="M4282" s="394" t="str">
        <f t="shared" si="590"/>
        <v/>
      </c>
      <c r="N4282" s="273"/>
    </row>
    <row r="4283" spans="1:14" ht="12.75" customHeight="1" x14ac:dyDescent="0.25">
      <c r="A4283" s="393"/>
      <c r="B4283" s="271"/>
      <c r="C4283" s="271"/>
      <c r="D4283" s="271"/>
      <c r="E4283" s="271"/>
      <c r="F4283" s="271"/>
      <c r="G4283" s="273"/>
      <c r="H4283" s="29" t="str">
        <f>IF(A4283="","",VLOOKUP(A4283,AA_Cuadrillas,4,FALSE))</f>
        <v/>
      </c>
      <c r="I4283" s="394" t="str">
        <f>IF(A4283="","",VLOOKUP(A4283,AA_Cuadrillas,5,FALSE))</f>
        <v/>
      </c>
      <c r="J4283" s="273"/>
      <c r="K4283" s="9" t="str">
        <f>IF(A4283="","",F.P!$I$2)</f>
        <v/>
      </c>
      <c r="L4283" s="37"/>
      <c r="M4283" s="394" t="str">
        <f t="shared" si="590"/>
        <v/>
      </c>
      <c r="N4283" s="273"/>
    </row>
    <row r="4284" spans="1:14" ht="12.75" customHeight="1" x14ac:dyDescent="0.25">
      <c r="A4284" s="393"/>
      <c r="B4284" s="271"/>
      <c r="C4284" s="271"/>
      <c r="D4284" s="271"/>
      <c r="E4284" s="271"/>
      <c r="F4284" s="271"/>
      <c r="G4284" s="273"/>
      <c r="H4284" s="29" t="str">
        <f>IF(A4284="","",VLOOKUP(A4284,AA_Cuadrillas,4,FALSE))</f>
        <v/>
      </c>
      <c r="I4284" s="394" t="str">
        <f>IF(A4284="","",VLOOKUP(A4284,AA_Cuadrillas,5,FALSE))</f>
        <v/>
      </c>
      <c r="J4284" s="273"/>
      <c r="K4284" s="9" t="str">
        <f>IF(A4284="","",F.P!$I$2)</f>
        <v/>
      </c>
      <c r="L4284" s="37"/>
      <c r="M4284" s="394" t="str">
        <f t="shared" si="590"/>
        <v/>
      </c>
      <c r="N4284" s="273"/>
    </row>
    <row r="4285" spans="1:14" ht="12.75" customHeight="1" x14ac:dyDescent="0.25">
      <c r="A4285" s="4"/>
      <c r="B4285" s="4"/>
      <c r="C4285" s="4"/>
      <c r="D4285" s="4"/>
      <c r="E4285" s="4"/>
      <c r="F4285" s="4"/>
      <c r="G4285" s="4"/>
      <c r="H4285" s="4"/>
      <c r="I4285" s="4"/>
      <c r="J4285" s="4"/>
      <c r="K4285" s="396" t="s">
        <v>444</v>
      </c>
      <c r="L4285" s="273"/>
      <c r="M4285" s="394">
        <f>SUM(M4280:N4284)</f>
        <v>4608.3688000000002</v>
      </c>
      <c r="N4285" s="273"/>
    </row>
    <row r="4286" spans="1:14" ht="12.75" customHeight="1" x14ac:dyDescent="0.2"/>
    <row r="4287" spans="1:14" ht="12.75" customHeight="1" x14ac:dyDescent="0.2">
      <c r="A4287" s="407" t="s">
        <v>360</v>
      </c>
      <c r="B4287" s="275"/>
      <c r="C4287" s="275"/>
      <c r="D4287" s="275"/>
      <c r="E4287" s="275"/>
      <c r="F4287" s="275"/>
      <c r="G4287" s="275"/>
      <c r="H4287" s="275"/>
      <c r="I4287" s="275"/>
      <c r="J4287" s="275"/>
      <c r="K4287" s="275"/>
      <c r="L4287" s="275"/>
      <c r="M4287" s="275"/>
      <c r="N4287" s="276"/>
    </row>
    <row r="4288" spans="1:14" ht="12.75" customHeight="1" x14ac:dyDescent="0.2">
      <c r="A4288" s="277"/>
      <c r="B4288" s="278"/>
      <c r="C4288" s="278"/>
      <c r="D4288" s="278"/>
      <c r="E4288" s="278"/>
      <c r="F4288" s="278"/>
      <c r="G4288" s="278"/>
      <c r="H4288" s="278"/>
      <c r="I4288" s="278"/>
      <c r="J4288" s="278"/>
      <c r="K4288" s="278"/>
      <c r="L4288" s="278"/>
      <c r="M4288" s="278"/>
      <c r="N4288" s="279"/>
    </row>
    <row r="4289" spans="1:14" ht="12.75" customHeight="1" x14ac:dyDescent="0.2">
      <c r="A4289" s="75"/>
      <c r="B4289" s="75"/>
      <c r="C4289" s="75"/>
      <c r="D4289" s="75"/>
      <c r="E4289" s="75"/>
      <c r="F4289" s="75"/>
      <c r="G4289" s="75"/>
      <c r="H4289" s="75"/>
      <c r="I4289" s="75"/>
      <c r="J4289" s="75"/>
      <c r="K4289" s="75"/>
      <c r="L4289" s="75"/>
      <c r="M4289" s="75"/>
      <c r="N4289" s="75"/>
    </row>
    <row r="4290" spans="1:14" ht="12.75" customHeight="1" x14ac:dyDescent="0.3">
      <c r="A4290" s="79" t="s">
        <v>714</v>
      </c>
      <c r="B4290" s="80" t="str">
        <f>A4287</f>
        <v>CONCRETO PARA PAVIMENTO RÍGIDO MR-41 (INCLUYE SELLADO DE JUNTAS, ACERO DE TRANSFERENCIA Y UNIÓN)</v>
      </c>
      <c r="C4290" s="81" t="s">
        <v>916</v>
      </c>
      <c r="D4290" s="82" t="s">
        <v>258</v>
      </c>
      <c r="E4290" s="83" t="s">
        <v>445</v>
      </c>
      <c r="F4290" s="86">
        <f>H4290+J4290+L4290+N4290</f>
        <v>1226663.3453333334</v>
      </c>
      <c r="G4290" s="83" t="s">
        <v>607</v>
      </c>
      <c r="H4290" s="86">
        <f>M4311</f>
        <v>163770.92533333335</v>
      </c>
      <c r="I4290" s="83" t="s">
        <v>918</v>
      </c>
      <c r="J4290" s="86">
        <f>M4302</f>
        <v>571332.58000000007</v>
      </c>
      <c r="K4290" s="83" t="s">
        <v>609</v>
      </c>
      <c r="L4290" s="86">
        <f>M4320</f>
        <v>0</v>
      </c>
      <c r="M4290" s="83" t="s">
        <v>610</v>
      </c>
      <c r="N4290" s="86">
        <f>M4329</f>
        <v>491559.83999999997</v>
      </c>
    </row>
    <row r="4291" spans="1:14" ht="12.75" customHeight="1" x14ac:dyDescent="0.25">
      <c r="A4291" s="87"/>
      <c r="B4291" s="87"/>
      <c r="C4291" s="87"/>
      <c r="D4291" s="87"/>
      <c r="E4291" s="87"/>
      <c r="F4291" s="87"/>
      <c r="G4291" s="87"/>
      <c r="J4291" s="87"/>
      <c r="K4291" s="215" t="s">
        <v>3217</v>
      </c>
      <c r="L4291" s="215"/>
      <c r="M4291" s="87"/>
      <c r="N4291" s="87"/>
    </row>
    <row r="4292" spans="1:14" ht="12.75" customHeight="1" x14ac:dyDescent="0.2">
      <c r="A4292" s="398" t="s">
        <v>919</v>
      </c>
      <c r="B4292" s="271"/>
      <c r="C4292" s="271"/>
      <c r="D4292" s="271"/>
      <c r="E4292" s="271"/>
      <c r="F4292" s="271"/>
      <c r="G4292" s="271"/>
      <c r="H4292" s="271"/>
      <c r="I4292" s="271"/>
      <c r="J4292" s="271"/>
      <c r="K4292" s="271"/>
      <c r="L4292" s="271"/>
      <c r="M4292" s="271"/>
      <c r="N4292" s="273"/>
    </row>
    <row r="4293" spans="1:14" ht="12.75" customHeight="1" x14ac:dyDescent="0.2">
      <c r="A4293" s="396" t="s">
        <v>76</v>
      </c>
      <c r="B4293" s="271"/>
      <c r="C4293" s="271"/>
      <c r="D4293" s="271"/>
      <c r="E4293" s="271"/>
      <c r="F4293" s="271"/>
      <c r="G4293" s="273"/>
      <c r="H4293" s="88" t="s">
        <v>77</v>
      </c>
      <c r="I4293" s="399" t="s">
        <v>920</v>
      </c>
      <c r="J4293" s="273"/>
      <c r="K4293" s="399" t="s">
        <v>453</v>
      </c>
      <c r="L4293" s="273"/>
      <c r="M4293" s="399" t="s">
        <v>921</v>
      </c>
      <c r="N4293" s="273"/>
    </row>
    <row r="4294" spans="1:14" ht="12.75" customHeight="1" x14ac:dyDescent="0.2">
      <c r="A4294" s="403" t="s">
        <v>953</v>
      </c>
      <c r="B4294" s="271"/>
      <c r="C4294" s="271"/>
      <c r="D4294" s="271"/>
      <c r="E4294" s="271"/>
      <c r="F4294" s="271"/>
      <c r="G4294" s="273"/>
      <c r="H4294" s="29" t="str">
        <f t="shared" ref="H4294:H4301" si="591">IF(A4294="","",VLOOKUP(A4294,AA_Materiales,7,FALSE))</f>
        <v>Kg</v>
      </c>
      <c r="I4294" s="394">
        <f t="shared" ref="I4294:I4301" si="592">IF(A4294="","",VLOOKUP(A4294,AA_Materiales,8,FALSE))</f>
        <v>800</v>
      </c>
      <c r="J4294" s="273"/>
      <c r="K4294" s="395">
        <v>454</v>
      </c>
      <c r="L4294" s="273"/>
      <c r="M4294" s="394">
        <f t="shared" ref="M4294:M4301" si="593">IF(A4294="","",I4294*K4294)</f>
        <v>363200</v>
      </c>
      <c r="N4294" s="273"/>
    </row>
    <row r="4295" spans="1:14" ht="12.75" customHeight="1" x14ac:dyDescent="0.2">
      <c r="A4295" s="403" t="s">
        <v>955</v>
      </c>
      <c r="B4295" s="271"/>
      <c r="C4295" s="271"/>
      <c r="D4295" s="271"/>
      <c r="E4295" s="271"/>
      <c r="F4295" s="271"/>
      <c r="G4295" s="273"/>
      <c r="H4295" s="29" t="str">
        <f t="shared" si="591"/>
        <v>m3</v>
      </c>
      <c r="I4295" s="394">
        <f t="shared" si="592"/>
        <v>90000</v>
      </c>
      <c r="J4295" s="273"/>
      <c r="K4295" s="395">
        <v>0.7</v>
      </c>
      <c r="L4295" s="273"/>
      <c r="M4295" s="394">
        <f t="shared" si="593"/>
        <v>62999.999999999993</v>
      </c>
      <c r="N4295" s="273"/>
    </row>
    <row r="4296" spans="1:14" ht="12.75" customHeight="1" x14ac:dyDescent="0.2">
      <c r="A4296" s="403" t="s">
        <v>954</v>
      </c>
      <c r="B4296" s="271"/>
      <c r="C4296" s="271"/>
      <c r="D4296" s="271"/>
      <c r="E4296" s="271"/>
      <c r="F4296" s="271"/>
      <c r="G4296" s="273"/>
      <c r="H4296" s="29" t="str">
        <f t="shared" si="591"/>
        <v>m3</v>
      </c>
      <c r="I4296" s="394">
        <f t="shared" si="592"/>
        <v>83000</v>
      </c>
      <c r="J4296" s="273"/>
      <c r="K4296" s="395">
        <v>0.7</v>
      </c>
      <c r="L4296" s="273"/>
      <c r="M4296" s="394">
        <f t="shared" si="593"/>
        <v>58099.999999999993</v>
      </c>
      <c r="N4296" s="273"/>
    </row>
    <row r="4297" spans="1:14" ht="12.75" customHeight="1" x14ac:dyDescent="0.2">
      <c r="A4297" s="403" t="s">
        <v>956</v>
      </c>
      <c r="B4297" s="271"/>
      <c r="C4297" s="271"/>
      <c r="D4297" s="271"/>
      <c r="E4297" s="271"/>
      <c r="F4297" s="271"/>
      <c r="G4297" s="273"/>
      <c r="H4297" s="29" t="str">
        <f t="shared" si="591"/>
        <v>Lt</v>
      </c>
      <c r="I4297" s="394">
        <f t="shared" si="592"/>
        <v>20</v>
      </c>
      <c r="J4297" s="273"/>
      <c r="K4297" s="395">
        <v>190</v>
      </c>
      <c r="L4297" s="273"/>
      <c r="M4297" s="394">
        <f t="shared" si="593"/>
        <v>3800</v>
      </c>
      <c r="N4297" s="273"/>
    </row>
    <row r="4298" spans="1:14" ht="12.75" customHeight="1" x14ac:dyDescent="0.2">
      <c r="A4298" s="403" t="s">
        <v>1172</v>
      </c>
      <c r="B4298" s="271"/>
      <c r="C4298" s="271"/>
      <c r="D4298" s="271"/>
      <c r="E4298" s="271"/>
      <c r="F4298" s="271"/>
      <c r="G4298" s="273"/>
      <c r="H4298" s="29" t="str">
        <f t="shared" si="591"/>
        <v>Lt</v>
      </c>
      <c r="I4298" s="394">
        <f t="shared" si="592"/>
        <v>19749.88</v>
      </c>
      <c r="J4298" s="273"/>
      <c r="K4298" s="395">
        <v>0.3</v>
      </c>
      <c r="L4298" s="273"/>
      <c r="M4298" s="394">
        <f t="shared" si="593"/>
        <v>5924.9639999999999</v>
      </c>
      <c r="N4298" s="273"/>
    </row>
    <row r="4299" spans="1:14" ht="12.75" customHeight="1" x14ac:dyDescent="0.2">
      <c r="A4299" s="403" t="s">
        <v>1173</v>
      </c>
      <c r="B4299" s="271"/>
      <c r="C4299" s="271"/>
      <c r="D4299" s="271"/>
      <c r="E4299" s="271"/>
      <c r="F4299" s="271"/>
      <c r="G4299" s="273"/>
      <c r="H4299" s="29" t="str">
        <f t="shared" si="591"/>
        <v>Kg</v>
      </c>
      <c r="I4299" s="394">
        <f t="shared" si="592"/>
        <v>14016.83</v>
      </c>
      <c r="J4299" s="273"/>
      <c r="K4299" s="395">
        <v>1.6</v>
      </c>
      <c r="L4299" s="273"/>
      <c r="M4299" s="394">
        <f t="shared" si="593"/>
        <v>22426.928</v>
      </c>
      <c r="N4299" s="273"/>
    </row>
    <row r="4300" spans="1:14" ht="12.75" customHeight="1" x14ac:dyDescent="0.2">
      <c r="A4300" s="403" t="s">
        <v>1174</v>
      </c>
      <c r="B4300" s="271"/>
      <c r="C4300" s="271"/>
      <c r="D4300" s="271"/>
      <c r="E4300" s="271"/>
      <c r="F4300" s="271"/>
      <c r="G4300" s="273"/>
      <c r="H4300" s="29" t="str">
        <f t="shared" si="591"/>
        <v>ml</v>
      </c>
      <c r="I4300" s="394">
        <f t="shared" si="592"/>
        <v>2782.03</v>
      </c>
      <c r="J4300" s="273"/>
      <c r="K4300" s="395">
        <v>1.6</v>
      </c>
      <c r="L4300" s="273"/>
      <c r="M4300" s="394">
        <f t="shared" si="593"/>
        <v>4451.2480000000005</v>
      </c>
      <c r="N4300" s="273"/>
    </row>
    <row r="4301" spans="1:14" ht="12.75" customHeight="1" x14ac:dyDescent="0.2">
      <c r="A4301" s="403" t="s">
        <v>1175</v>
      </c>
      <c r="B4301" s="271"/>
      <c r="C4301" s="271"/>
      <c r="D4301" s="271"/>
      <c r="E4301" s="271"/>
      <c r="F4301" s="271"/>
      <c r="G4301" s="273"/>
      <c r="H4301" s="29" t="str">
        <f t="shared" si="591"/>
        <v>Kg</v>
      </c>
      <c r="I4301" s="394">
        <f t="shared" si="592"/>
        <v>6303.68</v>
      </c>
      <c r="J4301" s="273"/>
      <c r="K4301" s="395">
        <v>8</v>
      </c>
      <c r="L4301" s="273"/>
      <c r="M4301" s="394">
        <f t="shared" si="593"/>
        <v>50429.440000000002</v>
      </c>
      <c r="N4301" s="273"/>
    </row>
    <row r="4302" spans="1:14" ht="12.75" customHeight="1" x14ac:dyDescent="0.25">
      <c r="A4302" s="4"/>
      <c r="B4302" s="4"/>
      <c r="C4302" s="4"/>
      <c r="D4302" s="4"/>
      <c r="E4302" s="4"/>
      <c r="F4302" s="4"/>
      <c r="G4302" s="4"/>
      <c r="H4302" s="4"/>
      <c r="I4302" s="4"/>
      <c r="J4302" s="4"/>
      <c r="K4302" s="396" t="s">
        <v>444</v>
      </c>
      <c r="L4302" s="273"/>
      <c r="M4302" s="394">
        <f>SUM(M4294:N4301)</f>
        <v>571332.58000000007</v>
      </c>
      <c r="N4302" s="273"/>
    </row>
    <row r="4303" spans="1:14" ht="12.75" customHeight="1" x14ac:dyDescent="0.25">
      <c r="A4303" s="4"/>
      <c r="B4303" s="4"/>
      <c r="C4303" s="4"/>
      <c r="D4303" s="4"/>
      <c r="E4303" s="4"/>
      <c r="F4303" s="4"/>
      <c r="G4303" s="4"/>
      <c r="H4303" s="4"/>
      <c r="I4303" s="4"/>
      <c r="J4303" s="4"/>
      <c r="K4303" s="4"/>
      <c r="L4303" s="4"/>
      <c r="M4303" s="4"/>
      <c r="N4303" s="4"/>
    </row>
    <row r="4304" spans="1:14" ht="12.75" customHeight="1" x14ac:dyDescent="0.2">
      <c r="A4304" s="398" t="s">
        <v>926</v>
      </c>
      <c r="B4304" s="271"/>
      <c r="C4304" s="271"/>
      <c r="D4304" s="271"/>
      <c r="E4304" s="271"/>
      <c r="F4304" s="271"/>
      <c r="G4304" s="271"/>
      <c r="H4304" s="271"/>
      <c r="I4304" s="271"/>
      <c r="J4304" s="271"/>
      <c r="K4304" s="271"/>
      <c r="L4304" s="271"/>
      <c r="M4304" s="271"/>
      <c r="N4304" s="273"/>
    </row>
    <row r="4305" spans="1:14" ht="12.75" customHeight="1" x14ac:dyDescent="0.2">
      <c r="A4305" s="396" t="s">
        <v>76</v>
      </c>
      <c r="B4305" s="271"/>
      <c r="C4305" s="271"/>
      <c r="D4305" s="271"/>
      <c r="E4305" s="271"/>
      <c r="F4305" s="271"/>
      <c r="G4305" s="273"/>
      <c r="H4305" s="88" t="s">
        <v>77</v>
      </c>
      <c r="I4305" s="399" t="s">
        <v>920</v>
      </c>
      <c r="J4305" s="273"/>
      <c r="K4305" s="399" t="s">
        <v>453</v>
      </c>
      <c r="L4305" s="273"/>
      <c r="M4305" s="399" t="s">
        <v>921</v>
      </c>
      <c r="N4305" s="273"/>
    </row>
    <row r="4306" spans="1:14" ht="12.75" customHeight="1" x14ac:dyDescent="0.2">
      <c r="A4306" s="400" t="s">
        <v>927</v>
      </c>
      <c r="B4306" s="271"/>
      <c r="C4306" s="271"/>
      <c r="D4306" s="271"/>
      <c r="E4306" s="271"/>
      <c r="F4306" s="271"/>
      <c r="G4306" s="273"/>
      <c r="H4306" s="29" t="str">
        <f>IF(A4306="","",VLOOKUP(A4306,AA_Equipos,7,FALSE))</f>
        <v>% M.O.</v>
      </c>
      <c r="I4306" s="394">
        <f>+M4329</f>
        <v>491559.83999999997</v>
      </c>
      <c r="J4306" s="273"/>
      <c r="K4306" s="404">
        <v>0.05</v>
      </c>
      <c r="L4306" s="273"/>
      <c r="M4306" s="394">
        <f t="shared" ref="M4306:M4310" si="594">IF(A4306="","",I4306*K4306)</f>
        <v>24577.991999999998</v>
      </c>
      <c r="N4306" s="273"/>
    </row>
    <row r="4307" spans="1:14" ht="12.75" customHeight="1" x14ac:dyDescent="0.2">
      <c r="A4307" s="403" t="s">
        <v>1171</v>
      </c>
      <c r="B4307" s="271"/>
      <c r="C4307" s="271"/>
      <c r="D4307" s="271"/>
      <c r="E4307" s="271"/>
      <c r="F4307" s="271"/>
      <c r="G4307" s="273"/>
      <c r="H4307" s="29" t="str">
        <f>IF(A4307="","",VLOOKUP(A4307,AA_Equipos,7,FALSE))</f>
        <v>Dia</v>
      </c>
      <c r="I4307" s="394">
        <f>IF(A4307="","",VLOOKUP(A4307,AA_Equipos,8,FALSE))</f>
        <v>180000</v>
      </c>
      <c r="J4307" s="273"/>
      <c r="K4307" s="402">
        <f>180/480</f>
        <v>0.375</v>
      </c>
      <c r="L4307" s="273"/>
      <c r="M4307" s="394">
        <f t="shared" si="594"/>
        <v>67500</v>
      </c>
      <c r="N4307" s="273"/>
    </row>
    <row r="4308" spans="1:14" ht="12.75" customHeight="1" x14ac:dyDescent="0.2">
      <c r="A4308" s="400" t="s">
        <v>964</v>
      </c>
      <c r="B4308" s="271"/>
      <c r="C4308" s="271"/>
      <c r="D4308" s="271"/>
      <c r="E4308" s="271"/>
      <c r="F4308" s="271"/>
      <c r="G4308" s="273"/>
      <c r="H4308" s="29" t="str">
        <f>IF(A4308="","",VLOOKUP(A4308,AA_Equipos,7,FALSE))</f>
        <v>Dia</v>
      </c>
      <c r="I4308" s="394">
        <f>IF(A4308="","",VLOOKUP(A4308,AA_Equipos,8,FALSE))</f>
        <v>71766</v>
      </c>
      <c r="J4308" s="273"/>
      <c r="K4308" s="401">
        <v>0.33333333333333331</v>
      </c>
      <c r="L4308" s="273"/>
      <c r="M4308" s="394">
        <f t="shared" si="594"/>
        <v>23922</v>
      </c>
      <c r="N4308" s="273"/>
    </row>
    <row r="4309" spans="1:14" ht="12.75" customHeight="1" x14ac:dyDescent="0.2">
      <c r="A4309" s="400" t="s">
        <v>957</v>
      </c>
      <c r="B4309" s="271"/>
      <c r="C4309" s="271"/>
      <c r="D4309" s="271"/>
      <c r="E4309" s="271"/>
      <c r="F4309" s="271"/>
      <c r="G4309" s="273"/>
      <c r="H4309" s="29" t="str">
        <f>IF(A4309="","",VLOOKUP(A4309,AA_Equipos,7,FALSE))</f>
        <v>Dia</v>
      </c>
      <c r="I4309" s="394">
        <f>IF(A4309="","",VLOOKUP(A4309,AA_Equipos,8,FALSE))</f>
        <v>107071</v>
      </c>
      <c r="J4309" s="273"/>
      <c r="K4309" s="395">
        <f>1/3</f>
        <v>0.33333333333333331</v>
      </c>
      <c r="L4309" s="273"/>
      <c r="M4309" s="394">
        <f t="shared" si="594"/>
        <v>35690.333333333328</v>
      </c>
      <c r="N4309" s="273"/>
    </row>
    <row r="4310" spans="1:14" ht="12.75" customHeight="1" x14ac:dyDescent="0.2">
      <c r="A4310" s="400" t="s">
        <v>1176</v>
      </c>
      <c r="B4310" s="271"/>
      <c r="C4310" s="271"/>
      <c r="D4310" s="271"/>
      <c r="E4310" s="271"/>
      <c r="F4310" s="271"/>
      <c r="G4310" s="273"/>
      <c r="H4310" s="29" t="str">
        <f>IF(A4310="","",VLOOKUP(A4310,AA_Equipos,7,FALSE))</f>
        <v>ml</v>
      </c>
      <c r="I4310" s="394">
        <f>IF(A4310="","",VLOOKUP(A4310,AA_Equipos,8,FALSE))</f>
        <v>1725.8</v>
      </c>
      <c r="J4310" s="273"/>
      <c r="K4310" s="395">
        <v>7</v>
      </c>
      <c r="L4310" s="273"/>
      <c r="M4310" s="394">
        <f t="shared" si="594"/>
        <v>12080.6</v>
      </c>
      <c r="N4310" s="273"/>
    </row>
    <row r="4311" spans="1:14" ht="12.75" customHeight="1" x14ac:dyDescent="0.25">
      <c r="A4311" s="4"/>
      <c r="B4311" s="4"/>
      <c r="C4311" s="4"/>
      <c r="D4311" s="4"/>
      <c r="E4311" s="4"/>
      <c r="F4311" s="4"/>
      <c r="G4311" s="4"/>
      <c r="H4311" s="4"/>
      <c r="I4311" s="4"/>
      <c r="J4311" s="4"/>
      <c r="K4311" s="396" t="s">
        <v>444</v>
      </c>
      <c r="L4311" s="273"/>
      <c r="M4311" s="394">
        <f>SUM(M4306:N4310)</f>
        <v>163770.92533333335</v>
      </c>
      <c r="N4311" s="273"/>
    </row>
    <row r="4312" spans="1:14" ht="12.75" customHeight="1" x14ac:dyDescent="0.25">
      <c r="A4312" s="4"/>
      <c r="B4312" s="4"/>
      <c r="C4312" s="4"/>
      <c r="D4312" s="4"/>
      <c r="E4312" s="4"/>
      <c r="F4312" s="4"/>
      <c r="G4312" s="4"/>
      <c r="H4312" s="4"/>
      <c r="I4312" s="4"/>
      <c r="J4312" s="4"/>
      <c r="K4312" s="4"/>
      <c r="L4312" s="4"/>
      <c r="M4312" s="4"/>
      <c r="N4312" s="4"/>
    </row>
    <row r="4313" spans="1:14" ht="12.75" customHeight="1" x14ac:dyDescent="0.2">
      <c r="A4313" s="398" t="s">
        <v>929</v>
      </c>
      <c r="B4313" s="271"/>
      <c r="C4313" s="271"/>
      <c r="D4313" s="271"/>
      <c r="E4313" s="271"/>
      <c r="F4313" s="271"/>
      <c r="G4313" s="271"/>
      <c r="H4313" s="271"/>
      <c r="I4313" s="271"/>
      <c r="J4313" s="271"/>
      <c r="K4313" s="271"/>
      <c r="L4313" s="271"/>
      <c r="M4313" s="271"/>
      <c r="N4313" s="273"/>
    </row>
    <row r="4314" spans="1:14" ht="12.75" customHeight="1" x14ac:dyDescent="0.2">
      <c r="A4314" s="396" t="s">
        <v>76</v>
      </c>
      <c r="B4314" s="271"/>
      <c r="C4314" s="271"/>
      <c r="D4314" s="271"/>
      <c r="E4314" s="271"/>
      <c r="F4314" s="271"/>
      <c r="G4314" s="273"/>
      <c r="H4314" s="88" t="s">
        <v>77</v>
      </c>
      <c r="I4314" s="399" t="s">
        <v>920</v>
      </c>
      <c r="J4314" s="273"/>
      <c r="K4314" s="399" t="s">
        <v>453</v>
      </c>
      <c r="L4314" s="273"/>
      <c r="M4314" s="399" t="s">
        <v>921</v>
      </c>
      <c r="N4314" s="273"/>
    </row>
    <row r="4315" spans="1:14" ht="12.75" customHeight="1" x14ac:dyDescent="0.2">
      <c r="A4315" s="400"/>
      <c r="B4315" s="271"/>
      <c r="C4315" s="271"/>
      <c r="D4315" s="271"/>
      <c r="E4315" s="271"/>
      <c r="F4315" s="271"/>
      <c r="G4315" s="273"/>
      <c r="H4315" s="29"/>
      <c r="I4315" s="394"/>
      <c r="J4315" s="273"/>
      <c r="K4315" s="404"/>
      <c r="L4315" s="273"/>
      <c r="M4315" s="394" t="str">
        <f t="shared" ref="M4315:M4319" si="595">IF(A4315="","",I4315*K4315)</f>
        <v/>
      </c>
      <c r="N4315" s="273"/>
    </row>
    <row r="4316" spans="1:14" ht="12.75" customHeight="1" x14ac:dyDescent="0.2">
      <c r="A4316" s="403"/>
      <c r="B4316" s="271"/>
      <c r="C4316" s="271"/>
      <c r="D4316" s="271"/>
      <c r="E4316" s="271"/>
      <c r="F4316" s="271"/>
      <c r="G4316" s="273"/>
      <c r="H4316" s="29"/>
      <c r="I4316" s="394"/>
      <c r="J4316" s="273"/>
      <c r="K4316" s="404"/>
      <c r="L4316" s="273"/>
      <c r="M4316" s="394" t="str">
        <f t="shared" si="595"/>
        <v/>
      </c>
      <c r="N4316" s="273"/>
    </row>
    <row r="4317" spans="1:14" ht="12.75" customHeight="1" x14ac:dyDescent="0.2">
      <c r="A4317" s="400"/>
      <c r="B4317" s="271"/>
      <c r="C4317" s="271"/>
      <c r="D4317" s="271"/>
      <c r="E4317" s="271"/>
      <c r="F4317" s="271"/>
      <c r="G4317" s="273"/>
      <c r="H4317" s="29"/>
      <c r="I4317" s="394"/>
      <c r="J4317" s="273"/>
      <c r="K4317" s="395"/>
      <c r="L4317" s="273"/>
      <c r="M4317" s="394" t="str">
        <f t="shared" si="595"/>
        <v/>
      </c>
      <c r="N4317" s="273"/>
    </row>
    <row r="4318" spans="1:14" ht="12.75" customHeight="1" x14ac:dyDescent="0.2">
      <c r="A4318" s="400"/>
      <c r="B4318" s="271"/>
      <c r="C4318" s="271"/>
      <c r="D4318" s="271"/>
      <c r="E4318" s="271"/>
      <c r="F4318" s="271"/>
      <c r="G4318" s="273"/>
      <c r="H4318" s="29"/>
      <c r="I4318" s="394"/>
      <c r="J4318" s="273"/>
      <c r="K4318" s="395"/>
      <c r="L4318" s="273"/>
      <c r="M4318" s="394" t="str">
        <f t="shared" si="595"/>
        <v/>
      </c>
      <c r="N4318" s="273"/>
    </row>
    <row r="4319" spans="1:14" ht="12.75" customHeight="1" x14ac:dyDescent="0.2">
      <c r="A4319" s="400"/>
      <c r="B4319" s="271"/>
      <c r="C4319" s="271"/>
      <c r="D4319" s="271"/>
      <c r="E4319" s="271"/>
      <c r="F4319" s="271"/>
      <c r="G4319" s="273"/>
      <c r="H4319" s="29"/>
      <c r="I4319" s="394"/>
      <c r="J4319" s="273"/>
      <c r="K4319" s="395"/>
      <c r="L4319" s="273"/>
      <c r="M4319" s="394" t="str">
        <f t="shared" si="595"/>
        <v/>
      </c>
      <c r="N4319" s="273"/>
    </row>
    <row r="4320" spans="1:14" ht="12.75" customHeight="1" x14ac:dyDescent="0.25">
      <c r="A4320" s="4"/>
      <c r="B4320" s="4"/>
      <c r="C4320" s="4"/>
      <c r="D4320" s="4"/>
      <c r="E4320" s="4"/>
      <c r="F4320" s="4"/>
      <c r="G4320" s="4"/>
      <c r="H4320" s="4"/>
      <c r="I4320" s="4"/>
      <c r="J4320" s="4"/>
      <c r="K4320" s="396" t="s">
        <v>444</v>
      </c>
      <c r="L4320" s="273"/>
      <c r="M4320" s="394">
        <f>SUM(M4315:N4319)</f>
        <v>0</v>
      </c>
      <c r="N4320" s="273"/>
    </row>
    <row r="4321" spans="1:14" ht="12.75" customHeight="1" x14ac:dyDescent="0.25">
      <c r="A4321" s="4"/>
      <c r="B4321" s="4"/>
      <c r="C4321" s="4"/>
      <c r="D4321" s="4"/>
      <c r="E4321" s="4"/>
      <c r="F4321" s="4"/>
      <c r="G4321" s="4"/>
      <c r="H4321" s="4"/>
      <c r="I4321" s="4"/>
      <c r="J4321" s="4"/>
      <c r="K4321" s="4"/>
      <c r="L4321" s="4"/>
      <c r="M4321" s="4"/>
      <c r="N4321" s="4"/>
    </row>
    <row r="4322" spans="1:14" ht="12.75" customHeight="1" x14ac:dyDescent="0.2">
      <c r="A4322" s="398" t="s">
        <v>931</v>
      </c>
      <c r="B4322" s="271"/>
      <c r="C4322" s="271"/>
      <c r="D4322" s="271"/>
      <c r="E4322" s="271"/>
      <c r="F4322" s="271"/>
      <c r="G4322" s="271"/>
      <c r="H4322" s="271"/>
      <c r="I4322" s="271"/>
      <c r="J4322" s="271"/>
      <c r="K4322" s="271"/>
      <c r="L4322" s="271"/>
      <c r="M4322" s="271"/>
      <c r="N4322" s="273"/>
    </row>
    <row r="4323" spans="1:14" ht="12.75" customHeight="1" x14ac:dyDescent="0.2">
      <c r="A4323" s="396" t="s">
        <v>76</v>
      </c>
      <c r="B4323" s="271"/>
      <c r="C4323" s="271"/>
      <c r="D4323" s="271"/>
      <c r="E4323" s="271"/>
      <c r="F4323" s="271"/>
      <c r="G4323" s="273"/>
      <c r="H4323" s="88" t="s">
        <v>77</v>
      </c>
      <c r="I4323" s="399" t="s">
        <v>920</v>
      </c>
      <c r="J4323" s="273"/>
      <c r="K4323" s="90" t="s">
        <v>514</v>
      </c>
      <c r="L4323" s="91" t="s">
        <v>932</v>
      </c>
      <c r="M4323" s="399" t="s">
        <v>921</v>
      </c>
      <c r="N4323" s="273"/>
    </row>
    <row r="4324" spans="1:14" ht="12.75" customHeight="1" x14ac:dyDescent="0.25">
      <c r="A4324" s="393" t="s">
        <v>1177</v>
      </c>
      <c r="B4324" s="271"/>
      <c r="C4324" s="271"/>
      <c r="D4324" s="271"/>
      <c r="E4324" s="271"/>
      <c r="F4324" s="271"/>
      <c r="G4324" s="273"/>
      <c r="H4324" s="29" t="str">
        <f>IF(A4324="","",VLOOKUP(A4324,AA_Cuadrillas,4,FALSE))</f>
        <v>Cuadrilla</v>
      </c>
      <c r="I4324" s="394">
        <f>IF(A4324="","",VLOOKUP(A4324,AA_Cuadrillas,5,FALSE))</f>
        <v>326835</v>
      </c>
      <c r="J4324" s="273"/>
      <c r="K4324" s="9">
        <f>IF(A4324="","",F.P!$I$2)</f>
        <v>1.88</v>
      </c>
      <c r="L4324" s="97">
        <f>1/1.25</f>
        <v>0.8</v>
      </c>
      <c r="M4324" s="394">
        <f t="shared" ref="M4324:M4328" si="596">IF(A4324="","",I4324*K4324*L4324)</f>
        <v>491559.83999999997</v>
      </c>
      <c r="N4324" s="273"/>
    </row>
    <row r="4325" spans="1:14" ht="12.75" customHeight="1" x14ac:dyDescent="0.25">
      <c r="A4325" s="393"/>
      <c r="B4325" s="271"/>
      <c r="C4325" s="271"/>
      <c r="D4325" s="271"/>
      <c r="E4325" s="271"/>
      <c r="F4325" s="271"/>
      <c r="G4325" s="273"/>
      <c r="H4325" s="29" t="str">
        <f>IF(A4325="","",VLOOKUP(A4325,AA_Cuadrillas,4,FALSE))</f>
        <v/>
      </c>
      <c r="I4325" s="394" t="str">
        <f>IF(A4325="","",VLOOKUP(A4325,AA_Cuadrillas,5,FALSE))</f>
        <v/>
      </c>
      <c r="J4325" s="273"/>
      <c r="K4325" s="9" t="str">
        <f>IF(A4325="","",F.P!$I$2)</f>
        <v/>
      </c>
      <c r="L4325" s="9"/>
      <c r="M4325" s="394" t="str">
        <f t="shared" si="596"/>
        <v/>
      </c>
      <c r="N4325" s="273"/>
    </row>
    <row r="4326" spans="1:14" ht="12.75" customHeight="1" x14ac:dyDescent="0.25">
      <c r="A4326" s="393"/>
      <c r="B4326" s="271"/>
      <c r="C4326" s="271"/>
      <c r="D4326" s="271"/>
      <c r="E4326" s="271"/>
      <c r="F4326" s="271"/>
      <c r="G4326" s="273"/>
      <c r="H4326" s="29" t="str">
        <f>IF(A4326="","",VLOOKUP(A4326,AA_Cuadrillas,4,FALSE))</f>
        <v/>
      </c>
      <c r="I4326" s="394" t="str">
        <f>IF(A4326="","",VLOOKUP(A4326,AA_Cuadrillas,5,FALSE))</f>
        <v/>
      </c>
      <c r="J4326" s="273"/>
      <c r="K4326" s="9" t="str">
        <f>IF(A4326="","",F.P!$I$2)</f>
        <v/>
      </c>
      <c r="L4326" s="37"/>
      <c r="M4326" s="394" t="str">
        <f t="shared" si="596"/>
        <v/>
      </c>
      <c r="N4326" s="273"/>
    </row>
    <row r="4327" spans="1:14" ht="12.75" customHeight="1" x14ac:dyDescent="0.25">
      <c r="A4327" s="393"/>
      <c r="B4327" s="271"/>
      <c r="C4327" s="271"/>
      <c r="D4327" s="271"/>
      <c r="E4327" s="271"/>
      <c r="F4327" s="271"/>
      <c r="G4327" s="273"/>
      <c r="H4327" s="29" t="str">
        <f>IF(A4327="","",VLOOKUP(A4327,AA_Cuadrillas,4,FALSE))</f>
        <v/>
      </c>
      <c r="I4327" s="394" t="str">
        <f>IF(A4327="","",VLOOKUP(A4327,AA_Cuadrillas,5,FALSE))</f>
        <v/>
      </c>
      <c r="J4327" s="273"/>
      <c r="K4327" s="9" t="str">
        <f>IF(A4327="","",F.P!$I$2)</f>
        <v/>
      </c>
      <c r="L4327" s="37"/>
      <c r="M4327" s="394" t="str">
        <f t="shared" si="596"/>
        <v/>
      </c>
      <c r="N4327" s="273"/>
    </row>
    <row r="4328" spans="1:14" ht="12.75" customHeight="1" x14ac:dyDescent="0.25">
      <c r="A4328" s="393"/>
      <c r="B4328" s="271"/>
      <c r="C4328" s="271"/>
      <c r="D4328" s="271"/>
      <c r="E4328" s="271"/>
      <c r="F4328" s="271"/>
      <c r="G4328" s="273"/>
      <c r="H4328" s="29" t="str">
        <f>IF(A4328="","",VLOOKUP(A4328,AA_Cuadrillas,4,FALSE))</f>
        <v/>
      </c>
      <c r="I4328" s="394" t="str">
        <f>IF(A4328="","",VLOOKUP(A4328,AA_Cuadrillas,5,FALSE))</f>
        <v/>
      </c>
      <c r="J4328" s="273"/>
      <c r="K4328" s="9" t="str">
        <f>IF(A4328="","",F.P!$I$2)</f>
        <v/>
      </c>
      <c r="L4328" s="37"/>
      <c r="M4328" s="394" t="str">
        <f t="shared" si="596"/>
        <v/>
      </c>
      <c r="N4328" s="273"/>
    </row>
    <row r="4329" spans="1:14" ht="12.75" customHeight="1" x14ac:dyDescent="0.25">
      <c r="A4329" s="4"/>
      <c r="B4329" s="4"/>
      <c r="C4329" s="4"/>
      <c r="D4329" s="4"/>
      <c r="E4329" s="4"/>
      <c r="F4329" s="4"/>
      <c r="G4329" s="4"/>
      <c r="H4329" s="4"/>
      <c r="I4329" s="4"/>
      <c r="J4329" s="4"/>
      <c r="K4329" s="396" t="s">
        <v>444</v>
      </c>
      <c r="L4329" s="273"/>
      <c r="M4329" s="394">
        <f>SUM(M4324:N4328)</f>
        <v>491559.83999999997</v>
      </c>
      <c r="N4329" s="273"/>
    </row>
    <row r="4330" spans="1:14" ht="12.75" customHeight="1" x14ac:dyDescent="0.2"/>
    <row r="4331" spans="1:14" ht="12.75" customHeight="1" x14ac:dyDescent="0.2">
      <c r="A4331" s="407" t="s">
        <v>331</v>
      </c>
      <c r="B4331" s="275"/>
      <c r="C4331" s="275"/>
      <c r="D4331" s="275"/>
      <c r="E4331" s="275"/>
      <c r="F4331" s="275"/>
      <c r="G4331" s="275"/>
      <c r="H4331" s="275"/>
      <c r="I4331" s="275"/>
      <c r="J4331" s="275"/>
      <c r="K4331" s="275"/>
      <c r="L4331" s="275"/>
      <c r="M4331" s="275"/>
      <c r="N4331" s="276"/>
    </row>
    <row r="4332" spans="1:14" ht="12.75" customHeight="1" x14ac:dyDescent="0.2">
      <c r="A4332" s="277"/>
      <c r="B4332" s="278"/>
      <c r="C4332" s="278"/>
      <c r="D4332" s="278"/>
      <c r="E4332" s="278"/>
      <c r="F4332" s="278"/>
      <c r="G4332" s="278"/>
      <c r="H4332" s="278"/>
      <c r="I4332" s="278"/>
      <c r="J4332" s="278"/>
      <c r="K4332" s="278"/>
      <c r="L4332" s="278"/>
      <c r="M4332" s="278"/>
      <c r="N4332" s="279"/>
    </row>
    <row r="4333" spans="1:14" ht="12.75" customHeight="1" x14ac:dyDescent="0.2">
      <c r="A4333" s="75"/>
      <c r="B4333" s="75"/>
      <c r="C4333" s="75"/>
      <c r="D4333" s="75"/>
      <c r="E4333" s="75"/>
      <c r="F4333" s="75"/>
      <c r="G4333" s="75"/>
      <c r="H4333" s="75"/>
      <c r="I4333" s="75"/>
      <c r="J4333" s="75"/>
      <c r="K4333" s="75"/>
      <c r="L4333" s="75"/>
      <c r="M4333" s="75"/>
      <c r="N4333" s="75"/>
    </row>
    <row r="4334" spans="1:14" ht="12.75" customHeight="1" x14ac:dyDescent="0.3">
      <c r="A4334" s="79" t="s">
        <v>715</v>
      </c>
      <c r="B4334" s="80" t="str">
        <f>A4331</f>
        <v>SUMINISTRO E INSTALACIÓN CODO 90° Ø10" EN HIERRO DUCTIL (INCLUYE MATERIALES, HERRAMIENTAS Y MANO DE OBRA)</v>
      </c>
      <c r="C4334" s="81" t="s">
        <v>916</v>
      </c>
      <c r="D4334" s="82" t="s">
        <v>999</v>
      </c>
      <c r="E4334" s="83" t="s">
        <v>445</v>
      </c>
      <c r="F4334" s="86">
        <f>H4334+J4334+L4334+N4334</f>
        <v>2643468.0648000003</v>
      </c>
      <c r="G4334" s="83" t="s">
        <v>607</v>
      </c>
      <c r="H4334" s="86">
        <f>M4355</f>
        <v>7022.2888000000012</v>
      </c>
      <c r="I4334" s="83" t="s">
        <v>918</v>
      </c>
      <c r="J4334" s="86">
        <f>M4346</f>
        <v>2496000</v>
      </c>
      <c r="K4334" s="83" t="s">
        <v>609</v>
      </c>
      <c r="L4334" s="86">
        <f>M4364</f>
        <v>0</v>
      </c>
      <c r="M4334" s="83" t="s">
        <v>610</v>
      </c>
      <c r="N4334" s="86">
        <f>M4373</f>
        <v>140445.77600000001</v>
      </c>
    </row>
    <row r="4335" spans="1:14" ht="12.75" customHeight="1" x14ac:dyDescent="0.25">
      <c r="A4335" s="87"/>
      <c r="B4335" s="87"/>
      <c r="C4335" s="87"/>
      <c r="D4335" s="87"/>
      <c r="E4335" s="87"/>
      <c r="F4335" s="87"/>
      <c r="G4335" s="87"/>
      <c r="J4335" s="87"/>
      <c r="K4335" s="215" t="s">
        <v>3217</v>
      </c>
      <c r="L4335" s="215">
        <f>+F4334*presup!$O$5</f>
        <v>3436508.4842400006</v>
      </c>
      <c r="M4335" s="87"/>
      <c r="N4335" s="87"/>
    </row>
    <row r="4336" spans="1:14" ht="12.75" customHeight="1" x14ac:dyDescent="0.2">
      <c r="A4336" s="398" t="s">
        <v>919</v>
      </c>
      <c r="B4336" s="271"/>
      <c r="C4336" s="271"/>
      <c r="D4336" s="271"/>
      <c r="E4336" s="271"/>
      <c r="F4336" s="271"/>
      <c r="G4336" s="271"/>
      <c r="H4336" s="271"/>
      <c r="I4336" s="271"/>
      <c r="J4336" s="271"/>
      <c r="K4336" s="271"/>
      <c r="L4336" s="271"/>
      <c r="M4336" s="271"/>
      <c r="N4336" s="273"/>
    </row>
    <row r="4337" spans="1:14" ht="12.75" customHeight="1" x14ac:dyDescent="0.2">
      <c r="A4337" s="396" t="s">
        <v>76</v>
      </c>
      <c r="B4337" s="271"/>
      <c r="C4337" s="271"/>
      <c r="D4337" s="271"/>
      <c r="E4337" s="271"/>
      <c r="F4337" s="271"/>
      <c r="G4337" s="273"/>
      <c r="H4337" s="88" t="s">
        <v>77</v>
      </c>
      <c r="I4337" s="399" t="s">
        <v>920</v>
      </c>
      <c r="J4337" s="273"/>
      <c r="K4337" s="399" t="s">
        <v>453</v>
      </c>
      <c r="L4337" s="273"/>
      <c r="M4337" s="399" t="s">
        <v>921</v>
      </c>
      <c r="N4337" s="273"/>
    </row>
    <row r="4338" spans="1:14" ht="12.75" customHeight="1" x14ac:dyDescent="0.2">
      <c r="A4338" s="403" t="s">
        <v>1178</v>
      </c>
      <c r="B4338" s="271"/>
      <c r="C4338" s="271"/>
      <c r="D4338" s="271"/>
      <c r="E4338" s="271"/>
      <c r="F4338" s="271"/>
      <c r="G4338" s="273"/>
      <c r="H4338" s="29" t="str">
        <f t="shared" ref="H4338:H4345" si="597">IF(A4338="","",VLOOKUP(A4338,AA_Materiales,7,FALSE))</f>
        <v>Unidad</v>
      </c>
      <c r="I4338" s="394">
        <f t="shared" ref="I4338:I4345" si="598">IF(A4338="","",VLOOKUP(A4338,AA_Materiales,8,FALSE))</f>
        <v>2496000</v>
      </c>
      <c r="J4338" s="273"/>
      <c r="K4338" s="395">
        <v>1</v>
      </c>
      <c r="L4338" s="273"/>
      <c r="M4338" s="394">
        <f t="shared" ref="M4338:M4345" si="599">IF(A4338="","",I4338*K4338)</f>
        <v>2496000</v>
      </c>
      <c r="N4338" s="273"/>
    </row>
    <row r="4339" spans="1:14" ht="12.75" customHeight="1" x14ac:dyDescent="0.2">
      <c r="A4339" s="403"/>
      <c r="B4339" s="271"/>
      <c r="C4339" s="271"/>
      <c r="D4339" s="271"/>
      <c r="E4339" s="271"/>
      <c r="F4339" s="271"/>
      <c r="G4339" s="273"/>
      <c r="H4339" s="29" t="str">
        <f t="shared" si="597"/>
        <v/>
      </c>
      <c r="I4339" s="394" t="str">
        <f t="shared" si="598"/>
        <v/>
      </c>
      <c r="J4339" s="273"/>
      <c r="K4339" s="395"/>
      <c r="L4339" s="273"/>
      <c r="M4339" s="394" t="str">
        <f t="shared" si="599"/>
        <v/>
      </c>
      <c r="N4339" s="273"/>
    </row>
    <row r="4340" spans="1:14" ht="12.75" customHeight="1" x14ac:dyDescent="0.2">
      <c r="A4340" s="403"/>
      <c r="B4340" s="271"/>
      <c r="C4340" s="271"/>
      <c r="D4340" s="271"/>
      <c r="E4340" s="271"/>
      <c r="F4340" s="271"/>
      <c r="G4340" s="273"/>
      <c r="H4340" s="29" t="str">
        <f t="shared" si="597"/>
        <v/>
      </c>
      <c r="I4340" s="394" t="str">
        <f t="shared" si="598"/>
        <v/>
      </c>
      <c r="J4340" s="273"/>
      <c r="K4340" s="395"/>
      <c r="L4340" s="273"/>
      <c r="M4340" s="394" t="str">
        <f t="shared" si="599"/>
        <v/>
      </c>
      <c r="N4340" s="273"/>
    </row>
    <row r="4341" spans="1:14" ht="12.75" customHeight="1" x14ac:dyDescent="0.2">
      <c r="A4341" s="403"/>
      <c r="B4341" s="271"/>
      <c r="C4341" s="271"/>
      <c r="D4341" s="271"/>
      <c r="E4341" s="271"/>
      <c r="F4341" s="271"/>
      <c r="G4341" s="273"/>
      <c r="H4341" s="29" t="str">
        <f t="shared" si="597"/>
        <v/>
      </c>
      <c r="I4341" s="394" t="str">
        <f t="shared" si="598"/>
        <v/>
      </c>
      <c r="J4341" s="273"/>
      <c r="K4341" s="395"/>
      <c r="L4341" s="273"/>
      <c r="M4341" s="394" t="str">
        <f t="shared" si="599"/>
        <v/>
      </c>
      <c r="N4341" s="273"/>
    </row>
    <row r="4342" spans="1:14" ht="12.75" customHeight="1" x14ac:dyDescent="0.2">
      <c r="A4342" s="403"/>
      <c r="B4342" s="271"/>
      <c r="C4342" s="271"/>
      <c r="D4342" s="271"/>
      <c r="E4342" s="271"/>
      <c r="F4342" s="271"/>
      <c r="G4342" s="273"/>
      <c r="H4342" s="29" t="str">
        <f t="shared" si="597"/>
        <v/>
      </c>
      <c r="I4342" s="394" t="str">
        <f t="shared" si="598"/>
        <v/>
      </c>
      <c r="J4342" s="273"/>
      <c r="K4342" s="395"/>
      <c r="L4342" s="273"/>
      <c r="M4342" s="394" t="str">
        <f t="shared" si="599"/>
        <v/>
      </c>
      <c r="N4342" s="273"/>
    </row>
    <row r="4343" spans="1:14" ht="12.75" customHeight="1" x14ac:dyDescent="0.2">
      <c r="A4343" s="403"/>
      <c r="B4343" s="271"/>
      <c r="C4343" s="271"/>
      <c r="D4343" s="271"/>
      <c r="E4343" s="271"/>
      <c r="F4343" s="271"/>
      <c r="G4343" s="273"/>
      <c r="H4343" s="29" t="str">
        <f t="shared" si="597"/>
        <v/>
      </c>
      <c r="I4343" s="394" t="str">
        <f t="shared" si="598"/>
        <v/>
      </c>
      <c r="J4343" s="273"/>
      <c r="K4343" s="395"/>
      <c r="L4343" s="273"/>
      <c r="M4343" s="394" t="str">
        <f t="shared" si="599"/>
        <v/>
      </c>
      <c r="N4343" s="273"/>
    </row>
    <row r="4344" spans="1:14" ht="12.75" customHeight="1" x14ac:dyDescent="0.2">
      <c r="A4344" s="403"/>
      <c r="B4344" s="271"/>
      <c r="C4344" s="271"/>
      <c r="D4344" s="271"/>
      <c r="E4344" s="271"/>
      <c r="F4344" s="271"/>
      <c r="G4344" s="273"/>
      <c r="H4344" s="29" t="str">
        <f t="shared" si="597"/>
        <v/>
      </c>
      <c r="I4344" s="394" t="str">
        <f t="shared" si="598"/>
        <v/>
      </c>
      <c r="J4344" s="273"/>
      <c r="K4344" s="395"/>
      <c r="L4344" s="273"/>
      <c r="M4344" s="394" t="str">
        <f t="shared" si="599"/>
        <v/>
      </c>
      <c r="N4344" s="273"/>
    </row>
    <row r="4345" spans="1:14" ht="12.75" customHeight="1" x14ac:dyDescent="0.2">
      <c r="A4345" s="403"/>
      <c r="B4345" s="271"/>
      <c r="C4345" s="271"/>
      <c r="D4345" s="271"/>
      <c r="E4345" s="271"/>
      <c r="F4345" s="271"/>
      <c r="G4345" s="273"/>
      <c r="H4345" s="29" t="str">
        <f t="shared" si="597"/>
        <v/>
      </c>
      <c r="I4345" s="394" t="str">
        <f t="shared" si="598"/>
        <v/>
      </c>
      <c r="J4345" s="273"/>
      <c r="K4345" s="395"/>
      <c r="L4345" s="273"/>
      <c r="M4345" s="394" t="str">
        <f t="shared" si="599"/>
        <v/>
      </c>
      <c r="N4345" s="273"/>
    </row>
    <row r="4346" spans="1:14" ht="12.75" customHeight="1" x14ac:dyDescent="0.25">
      <c r="A4346" s="4"/>
      <c r="B4346" s="4"/>
      <c r="C4346" s="4"/>
      <c r="D4346" s="4"/>
      <c r="E4346" s="4"/>
      <c r="F4346" s="4"/>
      <c r="G4346" s="4"/>
      <c r="H4346" s="4"/>
      <c r="I4346" s="4"/>
      <c r="J4346" s="4"/>
      <c r="K4346" s="396" t="s">
        <v>444</v>
      </c>
      <c r="L4346" s="273"/>
      <c r="M4346" s="394">
        <f>SUM(M4338:N4345)</f>
        <v>2496000</v>
      </c>
      <c r="N4346" s="273"/>
    </row>
    <row r="4347" spans="1:14" ht="12.75" customHeight="1" x14ac:dyDescent="0.25">
      <c r="A4347" s="4"/>
      <c r="B4347" s="4"/>
      <c r="C4347" s="4"/>
      <c r="D4347" s="4"/>
      <c r="E4347" s="4"/>
      <c r="F4347" s="4"/>
      <c r="G4347" s="4"/>
      <c r="H4347" s="4"/>
      <c r="I4347" s="4"/>
      <c r="J4347" s="4"/>
      <c r="K4347" s="4"/>
      <c r="L4347" s="4"/>
      <c r="M4347" s="4"/>
      <c r="N4347" s="4"/>
    </row>
    <row r="4348" spans="1:14" ht="12.75" customHeight="1" x14ac:dyDescent="0.2">
      <c r="A4348" s="398" t="s">
        <v>926</v>
      </c>
      <c r="B4348" s="271"/>
      <c r="C4348" s="271"/>
      <c r="D4348" s="271"/>
      <c r="E4348" s="271"/>
      <c r="F4348" s="271"/>
      <c r="G4348" s="271"/>
      <c r="H4348" s="271"/>
      <c r="I4348" s="271"/>
      <c r="J4348" s="271"/>
      <c r="K4348" s="271"/>
      <c r="L4348" s="271"/>
      <c r="M4348" s="271"/>
      <c r="N4348" s="273"/>
    </row>
    <row r="4349" spans="1:14" ht="12.75" customHeight="1" x14ac:dyDescent="0.2">
      <c r="A4349" s="396" t="s">
        <v>76</v>
      </c>
      <c r="B4349" s="271"/>
      <c r="C4349" s="271"/>
      <c r="D4349" s="271"/>
      <c r="E4349" s="271"/>
      <c r="F4349" s="271"/>
      <c r="G4349" s="273"/>
      <c r="H4349" s="88" t="s">
        <v>77</v>
      </c>
      <c r="I4349" s="399" t="s">
        <v>920</v>
      </c>
      <c r="J4349" s="273"/>
      <c r="K4349" s="399" t="s">
        <v>453</v>
      </c>
      <c r="L4349" s="273"/>
      <c r="M4349" s="399" t="s">
        <v>921</v>
      </c>
      <c r="N4349" s="273"/>
    </row>
    <row r="4350" spans="1:14" ht="12.75" customHeight="1" x14ac:dyDescent="0.2">
      <c r="A4350" s="400" t="s">
        <v>927</v>
      </c>
      <c r="B4350" s="271"/>
      <c r="C4350" s="271"/>
      <c r="D4350" s="271"/>
      <c r="E4350" s="271"/>
      <c r="F4350" s="271"/>
      <c r="G4350" s="273"/>
      <c r="H4350" s="29" t="str">
        <f>IF(A4350="","",VLOOKUP(A4350,AA_Equipos,7,FALSE))</f>
        <v>% M.O.</v>
      </c>
      <c r="I4350" s="394">
        <f>+M4373</f>
        <v>140445.77600000001</v>
      </c>
      <c r="J4350" s="273"/>
      <c r="K4350" s="404">
        <v>0.05</v>
      </c>
      <c r="L4350" s="273"/>
      <c r="M4350" s="394">
        <f t="shared" ref="M4350:M4354" si="600">IF(A4350="","",I4350*K4350)</f>
        <v>7022.2888000000012</v>
      </c>
      <c r="N4350" s="273"/>
    </row>
    <row r="4351" spans="1:14" ht="12.75" customHeight="1" x14ac:dyDescent="0.2">
      <c r="A4351" s="403"/>
      <c r="B4351" s="271"/>
      <c r="C4351" s="271"/>
      <c r="D4351" s="271"/>
      <c r="E4351" s="271"/>
      <c r="F4351" s="271"/>
      <c r="G4351" s="273"/>
      <c r="H4351" s="29" t="str">
        <f>IF(A4351="","",VLOOKUP(A4351,AA_Equipos,7,FALSE))</f>
        <v/>
      </c>
      <c r="I4351" s="394" t="str">
        <f>IF(A4351="","",VLOOKUP(A4351,AA_Equipos,8,FALSE))</f>
        <v/>
      </c>
      <c r="J4351" s="273"/>
      <c r="K4351" s="402"/>
      <c r="L4351" s="273"/>
      <c r="M4351" s="394" t="str">
        <f t="shared" si="600"/>
        <v/>
      </c>
      <c r="N4351" s="273"/>
    </row>
    <row r="4352" spans="1:14" ht="12.75" customHeight="1" x14ac:dyDescent="0.2">
      <c r="A4352" s="400"/>
      <c r="B4352" s="271"/>
      <c r="C4352" s="271"/>
      <c r="D4352" s="271"/>
      <c r="E4352" s="271"/>
      <c r="F4352" s="271"/>
      <c r="G4352" s="273"/>
      <c r="H4352" s="29" t="str">
        <f>IF(A4352="","",VLOOKUP(A4352,AA_Equipos,7,FALSE))</f>
        <v/>
      </c>
      <c r="I4352" s="394" t="str">
        <f>IF(A4352="","",VLOOKUP(A4352,AA_Equipos,8,FALSE))</f>
        <v/>
      </c>
      <c r="J4352" s="273"/>
      <c r="K4352" s="401"/>
      <c r="L4352" s="273"/>
      <c r="M4352" s="394" t="str">
        <f t="shared" si="600"/>
        <v/>
      </c>
      <c r="N4352" s="273"/>
    </row>
    <row r="4353" spans="1:14" ht="12.75" customHeight="1" x14ac:dyDescent="0.2">
      <c r="A4353" s="400"/>
      <c r="B4353" s="271"/>
      <c r="C4353" s="271"/>
      <c r="D4353" s="271"/>
      <c r="E4353" s="271"/>
      <c r="F4353" s="271"/>
      <c r="G4353" s="273"/>
      <c r="H4353" s="29" t="str">
        <f>IF(A4353="","",VLOOKUP(A4353,AA_Equipos,7,FALSE))</f>
        <v/>
      </c>
      <c r="I4353" s="394" t="str">
        <f>IF(A4353="","",VLOOKUP(A4353,AA_Equipos,8,FALSE))</f>
        <v/>
      </c>
      <c r="J4353" s="273"/>
      <c r="K4353" s="395"/>
      <c r="L4353" s="273"/>
      <c r="M4353" s="394" t="str">
        <f t="shared" si="600"/>
        <v/>
      </c>
      <c r="N4353" s="273"/>
    </row>
    <row r="4354" spans="1:14" ht="12.75" customHeight="1" x14ac:dyDescent="0.2">
      <c r="A4354" s="400"/>
      <c r="B4354" s="271"/>
      <c r="C4354" s="271"/>
      <c r="D4354" s="271"/>
      <c r="E4354" s="271"/>
      <c r="F4354" s="271"/>
      <c r="G4354" s="273"/>
      <c r="H4354" s="29" t="str">
        <f>IF(A4354="","",VLOOKUP(A4354,AA_Equipos,7,FALSE))</f>
        <v/>
      </c>
      <c r="I4354" s="394" t="str">
        <f>IF(A4354="","",VLOOKUP(A4354,AA_Equipos,8,FALSE))</f>
        <v/>
      </c>
      <c r="J4354" s="273"/>
      <c r="K4354" s="395"/>
      <c r="L4354" s="273"/>
      <c r="M4354" s="394" t="str">
        <f t="shared" si="600"/>
        <v/>
      </c>
      <c r="N4354" s="273"/>
    </row>
    <row r="4355" spans="1:14" ht="12.75" customHeight="1" x14ac:dyDescent="0.25">
      <c r="A4355" s="4"/>
      <c r="B4355" s="4"/>
      <c r="C4355" s="4"/>
      <c r="D4355" s="4"/>
      <c r="E4355" s="4"/>
      <c r="F4355" s="4"/>
      <c r="G4355" s="4"/>
      <c r="H4355" s="4"/>
      <c r="I4355" s="4"/>
      <c r="J4355" s="4"/>
      <c r="K4355" s="396" t="s">
        <v>444</v>
      </c>
      <c r="L4355" s="273"/>
      <c r="M4355" s="394">
        <f>SUM(M4350:N4354)</f>
        <v>7022.2888000000012</v>
      </c>
      <c r="N4355" s="273"/>
    </row>
    <row r="4356" spans="1:14" ht="12.75" customHeight="1" x14ac:dyDescent="0.25">
      <c r="A4356" s="4"/>
      <c r="B4356" s="4"/>
      <c r="C4356" s="4"/>
      <c r="D4356" s="4"/>
      <c r="E4356" s="4"/>
      <c r="F4356" s="4"/>
      <c r="G4356" s="4"/>
      <c r="H4356" s="4"/>
      <c r="I4356" s="4"/>
      <c r="J4356" s="4"/>
      <c r="K4356" s="4"/>
      <c r="L4356" s="4"/>
      <c r="M4356" s="4"/>
      <c r="N4356" s="4"/>
    </row>
    <row r="4357" spans="1:14" ht="12.75" customHeight="1" x14ac:dyDescent="0.2">
      <c r="A4357" s="398" t="s">
        <v>929</v>
      </c>
      <c r="B4357" s="271"/>
      <c r="C4357" s="271"/>
      <c r="D4357" s="271"/>
      <c r="E4357" s="271"/>
      <c r="F4357" s="271"/>
      <c r="G4357" s="271"/>
      <c r="H4357" s="271"/>
      <c r="I4357" s="271"/>
      <c r="J4357" s="271"/>
      <c r="K4357" s="271"/>
      <c r="L4357" s="271"/>
      <c r="M4357" s="271"/>
      <c r="N4357" s="273"/>
    </row>
    <row r="4358" spans="1:14" ht="12.75" customHeight="1" x14ac:dyDescent="0.2">
      <c r="A4358" s="396" t="s">
        <v>76</v>
      </c>
      <c r="B4358" s="271"/>
      <c r="C4358" s="271"/>
      <c r="D4358" s="271"/>
      <c r="E4358" s="271"/>
      <c r="F4358" s="271"/>
      <c r="G4358" s="273"/>
      <c r="H4358" s="88" t="s">
        <v>77</v>
      </c>
      <c r="I4358" s="399" t="s">
        <v>920</v>
      </c>
      <c r="J4358" s="273"/>
      <c r="K4358" s="399" t="s">
        <v>453</v>
      </c>
      <c r="L4358" s="273"/>
      <c r="M4358" s="399" t="s">
        <v>921</v>
      </c>
      <c r="N4358" s="273"/>
    </row>
    <row r="4359" spans="1:14" ht="12.75" customHeight="1" x14ac:dyDescent="0.2">
      <c r="A4359" s="400"/>
      <c r="B4359" s="271"/>
      <c r="C4359" s="271"/>
      <c r="D4359" s="271"/>
      <c r="E4359" s="271"/>
      <c r="F4359" s="271"/>
      <c r="G4359" s="273"/>
      <c r="H4359" s="29"/>
      <c r="I4359" s="394"/>
      <c r="J4359" s="273"/>
      <c r="K4359" s="404"/>
      <c r="L4359" s="273"/>
      <c r="M4359" s="394" t="str">
        <f t="shared" ref="M4359:M4363" si="601">IF(A4359="","",I4359*K4359)</f>
        <v/>
      </c>
      <c r="N4359" s="273"/>
    </row>
    <row r="4360" spans="1:14" ht="12.75" customHeight="1" x14ac:dyDescent="0.2">
      <c r="A4360" s="403"/>
      <c r="B4360" s="271"/>
      <c r="C4360" s="271"/>
      <c r="D4360" s="271"/>
      <c r="E4360" s="271"/>
      <c r="F4360" s="271"/>
      <c r="G4360" s="273"/>
      <c r="H4360" s="29"/>
      <c r="I4360" s="394"/>
      <c r="J4360" s="273"/>
      <c r="K4360" s="404"/>
      <c r="L4360" s="273"/>
      <c r="M4360" s="394" t="str">
        <f t="shared" si="601"/>
        <v/>
      </c>
      <c r="N4360" s="273"/>
    </row>
    <row r="4361" spans="1:14" ht="12.75" customHeight="1" x14ac:dyDescent="0.2">
      <c r="A4361" s="400"/>
      <c r="B4361" s="271"/>
      <c r="C4361" s="271"/>
      <c r="D4361" s="271"/>
      <c r="E4361" s="271"/>
      <c r="F4361" s="271"/>
      <c r="G4361" s="273"/>
      <c r="H4361" s="29"/>
      <c r="I4361" s="394"/>
      <c r="J4361" s="273"/>
      <c r="K4361" s="395"/>
      <c r="L4361" s="273"/>
      <c r="M4361" s="394" t="str">
        <f t="shared" si="601"/>
        <v/>
      </c>
      <c r="N4361" s="273"/>
    </row>
    <row r="4362" spans="1:14" ht="12.75" customHeight="1" x14ac:dyDescent="0.2">
      <c r="A4362" s="400"/>
      <c r="B4362" s="271"/>
      <c r="C4362" s="271"/>
      <c r="D4362" s="271"/>
      <c r="E4362" s="271"/>
      <c r="F4362" s="271"/>
      <c r="G4362" s="273"/>
      <c r="H4362" s="29"/>
      <c r="I4362" s="394"/>
      <c r="J4362" s="273"/>
      <c r="K4362" s="395"/>
      <c r="L4362" s="273"/>
      <c r="M4362" s="394" t="str">
        <f t="shared" si="601"/>
        <v/>
      </c>
      <c r="N4362" s="273"/>
    </row>
    <row r="4363" spans="1:14" ht="12.75" customHeight="1" x14ac:dyDescent="0.2">
      <c r="A4363" s="400"/>
      <c r="B4363" s="271"/>
      <c r="C4363" s="271"/>
      <c r="D4363" s="271"/>
      <c r="E4363" s="271"/>
      <c r="F4363" s="271"/>
      <c r="G4363" s="273"/>
      <c r="H4363" s="29"/>
      <c r="I4363" s="394"/>
      <c r="J4363" s="273"/>
      <c r="K4363" s="395"/>
      <c r="L4363" s="273"/>
      <c r="M4363" s="394" t="str">
        <f t="shared" si="601"/>
        <v/>
      </c>
      <c r="N4363" s="273"/>
    </row>
    <row r="4364" spans="1:14" ht="12.75" customHeight="1" x14ac:dyDescent="0.25">
      <c r="A4364" s="4"/>
      <c r="B4364" s="4"/>
      <c r="C4364" s="4"/>
      <c r="D4364" s="4"/>
      <c r="E4364" s="4"/>
      <c r="F4364" s="4"/>
      <c r="G4364" s="4"/>
      <c r="H4364" s="4"/>
      <c r="I4364" s="4"/>
      <c r="J4364" s="4"/>
      <c r="K4364" s="396" t="s">
        <v>444</v>
      </c>
      <c r="L4364" s="273"/>
      <c r="M4364" s="394">
        <f>SUM(M4359:N4363)</f>
        <v>0</v>
      </c>
      <c r="N4364" s="273"/>
    </row>
    <row r="4365" spans="1:14" ht="12.75" customHeight="1" x14ac:dyDescent="0.25">
      <c r="A4365" s="4"/>
      <c r="B4365" s="4"/>
      <c r="C4365" s="4"/>
      <c r="D4365" s="4"/>
      <c r="E4365" s="4"/>
      <c r="F4365" s="4"/>
      <c r="G4365" s="4"/>
      <c r="H4365" s="4"/>
      <c r="I4365" s="4"/>
      <c r="J4365" s="4"/>
      <c r="K4365" s="4"/>
      <c r="L4365" s="4"/>
      <c r="M4365" s="4"/>
      <c r="N4365" s="4"/>
    </row>
    <row r="4366" spans="1:14" ht="12.75" customHeight="1" x14ac:dyDescent="0.2">
      <c r="A4366" s="398" t="s">
        <v>931</v>
      </c>
      <c r="B4366" s="271"/>
      <c r="C4366" s="271"/>
      <c r="D4366" s="271"/>
      <c r="E4366" s="271"/>
      <c r="F4366" s="271"/>
      <c r="G4366" s="271"/>
      <c r="H4366" s="271"/>
      <c r="I4366" s="271"/>
      <c r="J4366" s="271"/>
      <c r="K4366" s="271"/>
      <c r="L4366" s="271"/>
      <c r="M4366" s="271"/>
      <c r="N4366" s="273"/>
    </row>
    <row r="4367" spans="1:14" ht="12.75" customHeight="1" x14ac:dyDescent="0.2">
      <c r="A4367" s="396" t="s">
        <v>76</v>
      </c>
      <c r="B4367" s="271"/>
      <c r="C4367" s="271"/>
      <c r="D4367" s="271"/>
      <c r="E4367" s="271"/>
      <c r="F4367" s="271"/>
      <c r="G4367" s="273"/>
      <c r="H4367" s="88" t="s">
        <v>77</v>
      </c>
      <c r="I4367" s="399" t="s">
        <v>920</v>
      </c>
      <c r="J4367" s="273"/>
      <c r="K4367" s="90" t="s">
        <v>514</v>
      </c>
      <c r="L4367" s="91" t="s">
        <v>932</v>
      </c>
      <c r="M4367" s="399" t="s">
        <v>921</v>
      </c>
      <c r="N4367" s="273"/>
    </row>
    <row r="4368" spans="1:14" ht="12.75" customHeight="1" x14ac:dyDescent="0.25">
      <c r="A4368" s="393" t="s">
        <v>986</v>
      </c>
      <c r="B4368" s="271"/>
      <c r="C4368" s="271"/>
      <c r="D4368" s="271"/>
      <c r="E4368" s="271"/>
      <c r="F4368" s="271"/>
      <c r="G4368" s="273"/>
      <c r="H4368" s="29" t="str">
        <f>IF(A4368="","",VLOOKUP(A4368,AA_Cuadrillas,4,FALSE))</f>
        <v>Cuadrilla</v>
      </c>
      <c r="I4368" s="394">
        <f>IF(A4368="","",VLOOKUP(A4368,AA_Cuadrillas,5,FALSE))</f>
        <v>186763</v>
      </c>
      <c r="J4368" s="273"/>
      <c r="K4368" s="9">
        <f>IF(A4368="","",F.P!$I$2)</f>
        <v>1.88</v>
      </c>
      <c r="L4368" s="97">
        <v>0.4</v>
      </c>
      <c r="M4368" s="394">
        <f t="shared" ref="M4368:M4372" si="602">IF(A4368="","",I4368*K4368*L4368)</f>
        <v>140445.77600000001</v>
      </c>
      <c r="N4368" s="273"/>
    </row>
    <row r="4369" spans="1:14" ht="12.75" customHeight="1" x14ac:dyDescent="0.25">
      <c r="A4369" s="393"/>
      <c r="B4369" s="271"/>
      <c r="C4369" s="271"/>
      <c r="D4369" s="271"/>
      <c r="E4369" s="271"/>
      <c r="F4369" s="271"/>
      <c r="G4369" s="273"/>
      <c r="H4369" s="29" t="str">
        <f>IF(A4369="","",VLOOKUP(A4369,AA_Cuadrillas,4,FALSE))</f>
        <v/>
      </c>
      <c r="I4369" s="394" t="str">
        <f>IF(A4369="","",VLOOKUP(A4369,AA_Cuadrillas,5,FALSE))</f>
        <v/>
      </c>
      <c r="J4369" s="273"/>
      <c r="K4369" s="9" t="str">
        <f>IF(A4369="","",F.P!$I$2)</f>
        <v/>
      </c>
      <c r="L4369" s="9"/>
      <c r="M4369" s="394" t="str">
        <f t="shared" si="602"/>
        <v/>
      </c>
      <c r="N4369" s="273"/>
    </row>
    <row r="4370" spans="1:14" ht="12.75" customHeight="1" x14ac:dyDescent="0.25">
      <c r="A4370" s="393"/>
      <c r="B4370" s="271"/>
      <c r="C4370" s="271"/>
      <c r="D4370" s="271"/>
      <c r="E4370" s="271"/>
      <c r="F4370" s="271"/>
      <c r="G4370" s="273"/>
      <c r="H4370" s="29" t="str">
        <f>IF(A4370="","",VLOOKUP(A4370,AA_Cuadrillas,4,FALSE))</f>
        <v/>
      </c>
      <c r="I4370" s="394" t="str">
        <f>IF(A4370="","",VLOOKUP(A4370,AA_Cuadrillas,5,FALSE))</f>
        <v/>
      </c>
      <c r="J4370" s="273"/>
      <c r="K4370" s="9" t="str">
        <f>IF(A4370="","",F.P!$I$2)</f>
        <v/>
      </c>
      <c r="L4370" s="37"/>
      <c r="M4370" s="394" t="str">
        <f t="shared" si="602"/>
        <v/>
      </c>
      <c r="N4370" s="273"/>
    </row>
    <row r="4371" spans="1:14" ht="12.75" customHeight="1" x14ac:dyDescent="0.25">
      <c r="A4371" s="393"/>
      <c r="B4371" s="271"/>
      <c r="C4371" s="271"/>
      <c r="D4371" s="271"/>
      <c r="E4371" s="271"/>
      <c r="F4371" s="271"/>
      <c r="G4371" s="273"/>
      <c r="H4371" s="29" t="str">
        <f>IF(A4371="","",VLOOKUP(A4371,AA_Cuadrillas,4,FALSE))</f>
        <v/>
      </c>
      <c r="I4371" s="394" t="str">
        <f>IF(A4371="","",VLOOKUP(A4371,AA_Cuadrillas,5,FALSE))</f>
        <v/>
      </c>
      <c r="J4371" s="273"/>
      <c r="K4371" s="9" t="str">
        <f>IF(A4371="","",F.P!$I$2)</f>
        <v/>
      </c>
      <c r="L4371" s="37"/>
      <c r="M4371" s="394" t="str">
        <f t="shared" si="602"/>
        <v/>
      </c>
      <c r="N4371" s="273"/>
    </row>
    <row r="4372" spans="1:14" ht="12.75" customHeight="1" x14ac:dyDescent="0.25">
      <c r="A4372" s="393"/>
      <c r="B4372" s="271"/>
      <c r="C4372" s="271"/>
      <c r="D4372" s="271"/>
      <c r="E4372" s="271"/>
      <c r="F4372" s="271"/>
      <c r="G4372" s="273"/>
      <c r="H4372" s="29" t="str">
        <f>IF(A4372="","",VLOOKUP(A4372,AA_Cuadrillas,4,FALSE))</f>
        <v/>
      </c>
      <c r="I4372" s="394" t="str">
        <f>IF(A4372="","",VLOOKUP(A4372,AA_Cuadrillas,5,FALSE))</f>
        <v/>
      </c>
      <c r="J4372" s="273"/>
      <c r="K4372" s="9" t="str">
        <f>IF(A4372="","",F.P!$I$2)</f>
        <v/>
      </c>
      <c r="L4372" s="37"/>
      <c r="M4372" s="394" t="str">
        <f t="shared" si="602"/>
        <v/>
      </c>
      <c r="N4372" s="273"/>
    </row>
    <row r="4373" spans="1:14" ht="12.75" customHeight="1" x14ac:dyDescent="0.25">
      <c r="A4373" s="4"/>
      <c r="B4373" s="4"/>
      <c r="C4373" s="4"/>
      <c r="D4373" s="4"/>
      <c r="E4373" s="4"/>
      <c r="F4373" s="4"/>
      <c r="G4373" s="4"/>
      <c r="H4373" s="4"/>
      <c r="I4373" s="4"/>
      <c r="J4373" s="4"/>
      <c r="K4373" s="396" t="s">
        <v>444</v>
      </c>
      <c r="L4373" s="273"/>
      <c r="M4373" s="394">
        <f>SUM(M4368:N4372)</f>
        <v>140445.77600000001</v>
      </c>
      <c r="N4373" s="273"/>
    </row>
    <row r="4374" spans="1:14" ht="12.75" customHeight="1" x14ac:dyDescent="0.2"/>
    <row r="4375" spans="1:14" ht="12.75" customHeight="1" x14ac:dyDescent="0.2">
      <c r="A4375" s="407" t="s">
        <v>1179</v>
      </c>
      <c r="B4375" s="275"/>
      <c r="C4375" s="275"/>
      <c r="D4375" s="275"/>
      <c r="E4375" s="275"/>
      <c r="F4375" s="275"/>
      <c r="G4375" s="275"/>
      <c r="H4375" s="275"/>
      <c r="I4375" s="275"/>
      <c r="J4375" s="275"/>
      <c r="K4375" s="275"/>
      <c r="L4375" s="275"/>
      <c r="M4375" s="275"/>
      <c r="N4375" s="276"/>
    </row>
    <row r="4376" spans="1:14" ht="12.75" customHeight="1" x14ac:dyDescent="0.2">
      <c r="A4376" s="277"/>
      <c r="B4376" s="278"/>
      <c r="C4376" s="278"/>
      <c r="D4376" s="278"/>
      <c r="E4376" s="278"/>
      <c r="F4376" s="278"/>
      <c r="G4376" s="278"/>
      <c r="H4376" s="278"/>
      <c r="I4376" s="278"/>
      <c r="J4376" s="278"/>
      <c r="K4376" s="278"/>
      <c r="L4376" s="278"/>
      <c r="M4376" s="278"/>
      <c r="N4376" s="279"/>
    </row>
    <row r="4377" spans="1:14" ht="12.75" customHeight="1" x14ac:dyDescent="0.2">
      <c r="A4377" s="75"/>
      <c r="B4377" s="75"/>
      <c r="C4377" s="75"/>
      <c r="D4377" s="75"/>
      <c r="E4377" s="75"/>
      <c r="F4377" s="75"/>
      <c r="G4377" s="75"/>
      <c r="H4377" s="75"/>
      <c r="I4377" s="75"/>
      <c r="J4377" s="75"/>
      <c r="K4377" s="75"/>
      <c r="L4377" s="75"/>
      <c r="M4377" s="75"/>
      <c r="N4377" s="75"/>
    </row>
    <row r="4378" spans="1:14" ht="12.75" customHeight="1" x14ac:dyDescent="0.3">
      <c r="A4378" s="79" t="s">
        <v>716</v>
      </c>
      <c r="B4378" s="80" t="str">
        <f>A4375</f>
        <v>SUMINISTRO E INSTALACIÓN CODO 45° Ø10" EN HIERRO DUCTIL</v>
      </c>
      <c r="C4378" s="81" t="s">
        <v>916</v>
      </c>
      <c r="D4378" s="82" t="s">
        <v>999</v>
      </c>
      <c r="E4378" s="83" t="s">
        <v>445</v>
      </c>
      <c r="F4378" s="86">
        <f>H4378+J4378+L4378+N4378</f>
        <v>1964028.0268000001</v>
      </c>
      <c r="G4378" s="83" t="s">
        <v>607</v>
      </c>
      <c r="H4378" s="86">
        <f>M4390</f>
        <v>1798126.75</v>
      </c>
      <c r="I4378" s="83" t="s">
        <v>918</v>
      </c>
      <c r="J4378" s="86">
        <f>M4399</f>
        <v>7900.0608000000011</v>
      </c>
      <c r="K4378" s="83" t="s">
        <v>609</v>
      </c>
      <c r="L4378" s="86">
        <f>M4408</f>
        <v>0</v>
      </c>
      <c r="M4378" s="83" t="s">
        <v>610</v>
      </c>
      <c r="N4378" s="86">
        <f>M4417</f>
        <v>158001.21600000001</v>
      </c>
    </row>
    <row r="4379" spans="1:14" ht="12.75" customHeight="1" x14ac:dyDescent="0.25">
      <c r="A4379" s="87"/>
      <c r="B4379" s="87"/>
      <c r="C4379" s="87"/>
      <c r="D4379" s="87"/>
      <c r="E4379" s="87"/>
      <c r="F4379" s="87"/>
      <c r="G4379" s="87"/>
      <c r="J4379" s="87"/>
      <c r="K4379" s="215" t="s">
        <v>3217</v>
      </c>
      <c r="L4379" s="215">
        <f>+F4378*presup!$O$5</f>
        <v>2553236.4348400002</v>
      </c>
      <c r="M4379" s="87"/>
      <c r="N4379" s="87"/>
    </row>
    <row r="4380" spans="1:14" ht="12.75" customHeight="1" x14ac:dyDescent="0.2">
      <c r="A4380" s="398" t="s">
        <v>919</v>
      </c>
      <c r="B4380" s="271"/>
      <c r="C4380" s="271"/>
      <c r="D4380" s="271"/>
      <c r="E4380" s="271"/>
      <c r="F4380" s="271"/>
      <c r="G4380" s="271"/>
      <c r="H4380" s="271"/>
      <c r="I4380" s="271"/>
      <c r="J4380" s="271"/>
      <c r="K4380" s="271"/>
      <c r="L4380" s="271"/>
      <c r="M4380" s="271"/>
      <c r="N4380" s="273"/>
    </row>
    <row r="4381" spans="1:14" ht="12.75" customHeight="1" x14ac:dyDescent="0.2">
      <c r="A4381" s="396" t="s">
        <v>76</v>
      </c>
      <c r="B4381" s="271"/>
      <c r="C4381" s="271"/>
      <c r="D4381" s="271"/>
      <c r="E4381" s="271"/>
      <c r="F4381" s="271"/>
      <c r="G4381" s="273"/>
      <c r="H4381" s="88" t="s">
        <v>77</v>
      </c>
      <c r="I4381" s="399" t="s">
        <v>920</v>
      </c>
      <c r="J4381" s="273"/>
      <c r="K4381" s="399" t="s">
        <v>453</v>
      </c>
      <c r="L4381" s="273"/>
      <c r="M4381" s="399" t="s">
        <v>921</v>
      </c>
      <c r="N4381" s="273"/>
    </row>
    <row r="4382" spans="1:14" ht="12.75" customHeight="1" x14ac:dyDescent="0.2">
      <c r="A4382" s="403" t="s">
        <v>1180</v>
      </c>
      <c r="B4382" s="271"/>
      <c r="C4382" s="271"/>
      <c r="D4382" s="271"/>
      <c r="E4382" s="271"/>
      <c r="F4382" s="271"/>
      <c r="G4382" s="273"/>
      <c r="H4382" s="29" t="str">
        <f t="shared" ref="H4382:H4389" si="603">IF(A4382="","",VLOOKUP(A4382,AA_Materiales,7,FALSE))</f>
        <v>Unidad</v>
      </c>
      <c r="I4382" s="394">
        <f t="shared" ref="I4382:I4389" si="604">IF(A4382="","",VLOOKUP(A4382,AA_Materiales,8,FALSE))</f>
        <v>1797000</v>
      </c>
      <c r="J4382" s="273"/>
      <c r="K4382" s="395">
        <v>1</v>
      </c>
      <c r="L4382" s="273"/>
      <c r="M4382" s="394">
        <f t="shared" ref="M4382:M4389" si="605">IF(A4382="","",I4382*K4382)</f>
        <v>1797000</v>
      </c>
      <c r="N4382" s="273"/>
    </row>
    <row r="4383" spans="1:14" ht="12.75" customHeight="1" x14ac:dyDescent="0.2">
      <c r="A4383" s="403" t="s">
        <v>1111</v>
      </c>
      <c r="B4383" s="271"/>
      <c r="C4383" s="271"/>
      <c r="D4383" s="271"/>
      <c r="E4383" s="271"/>
      <c r="F4383" s="271"/>
      <c r="G4383" s="273"/>
      <c r="H4383" s="29" t="str">
        <f t="shared" si="603"/>
        <v>Unidad</v>
      </c>
      <c r="I4383" s="394">
        <f t="shared" si="604"/>
        <v>22535</v>
      </c>
      <c r="J4383" s="273"/>
      <c r="K4383" s="395">
        <v>0.05</v>
      </c>
      <c r="L4383" s="273"/>
      <c r="M4383" s="394">
        <f t="shared" si="605"/>
        <v>1126.75</v>
      </c>
      <c r="N4383" s="273"/>
    </row>
    <row r="4384" spans="1:14" ht="12.75" customHeight="1" x14ac:dyDescent="0.2">
      <c r="A4384" s="403"/>
      <c r="B4384" s="271"/>
      <c r="C4384" s="271"/>
      <c r="D4384" s="271"/>
      <c r="E4384" s="271"/>
      <c r="F4384" s="271"/>
      <c r="G4384" s="273"/>
      <c r="H4384" s="29" t="str">
        <f t="shared" si="603"/>
        <v/>
      </c>
      <c r="I4384" s="394" t="str">
        <f t="shared" si="604"/>
        <v/>
      </c>
      <c r="J4384" s="273"/>
      <c r="K4384" s="395"/>
      <c r="L4384" s="273"/>
      <c r="M4384" s="394" t="str">
        <f t="shared" si="605"/>
        <v/>
      </c>
      <c r="N4384" s="273"/>
    </row>
    <row r="4385" spans="1:14" ht="12.75" customHeight="1" x14ac:dyDescent="0.2">
      <c r="A4385" s="403"/>
      <c r="B4385" s="271"/>
      <c r="C4385" s="271"/>
      <c r="D4385" s="271"/>
      <c r="E4385" s="271"/>
      <c r="F4385" s="271"/>
      <c r="G4385" s="273"/>
      <c r="H4385" s="29" t="str">
        <f t="shared" si="603"/>
        <v/>
      </c>
      <c r="I4385" s="394" t="str">
        <f t="shared" si="604"/>
        <v/>
      </c>
      <c r="J4385" s="273"/>
      <c r="K4385" s="395"/>
      <c r="L4385" s="273"/>
      <c r="M4385" s="394" t="str">
        <f t="shared" si="605"/>
        <v/>
      </c>
      <c r="N4385" s="273"/>
    </row>
    <row r="4386" spans="1:14" ht="12.75" customHeight="1" x14ac:dyDescent="0.2">
      <c r="A4386" s="403"/>
      <c r="B4386" s="271"/>
      <c r="C4386" s="271"/>
      <c r="D4386" s="271"/>
      <c r="E4386" s="271"/>
      <c r="F4386" s="271"/>
      <c r="G4386" s="273"/>
      <c r="H4386" s="29" t="str">
        <f t="shared" si="603"/>
        <v/>
      </c>
      <c r="I4386" s="394" t="str">
        <f t="shared" si="604"/>
        <v/>
      </c>
      <c r="J4386" s="273"/>
      <c r="K4386" s="395"/>
      <c r="L4386" s="273"/>
      <c r="M4386" s="394" t="str">
        <f t="shared" si="605"/>
        <v/>
      </c>
      <c r="N4386" s="273"/>
    </row>
    <row r="4387" spans="1:14" ht="12.75" customHeight="1" x14ac:dyDescent="0.2">
      <c r="A4387" s="403"/>
      <c r="B4387" s="271"/>
      <c r="C4387" s="271"/>
      <c r="D4387" s="271"/>
      <c r="E4387" s="271"/>
      <c r="F4387" s="271"/>
      <c r="G4387" s="273"/>
      <c r="H4387" s="29" t="str">
        <f t="shared" si="603"/>
        <v/>
      </c>
      <c r="I4387" s="394" t="str">
        <f t="shared" si="604"/>
        <v/>
      </c>
      <c r="J4387" s="273"/>
      <c r="K4387" s="395"/>
      <c r="L4387" s="273"/>
      <c r="M4387" s="394" t="str">
        <f t="shared" si="605"/>
        <v/>
      </c>
      <c r="N4387" s="273"/>
    </row>
    <row r="4388" spans="1:14" ht="12.75" customHeight="1" x14ac:dyDescent="0.2">
      <c r="A4388" s="403"/>
      <c r="B4388" s="271"/>
      <c r="C4388" s="271"/>
      <c r="D4388" s="271"/>
      <c r="E4388" s="271"/>
      <c r="F4388" s="271"/>
      <c r="G4388" s="273"/>
      <c r="H4388" s="29" t="str">
        <f t="shared" si="603"/>
        <v/>
      </c>
      <c r="I4388" s="394" t="str">
        <f t="shared" si="604"/>
        <v/>
      </c>
      <c r="J4388" s="273"/>
      <c r="K4388" s="395"/>
      <c r="L4388" s="273"/>
      <c r="M4388" s="394" t="str">
        <f t="shared" si="605"/>
        <v/>
      </c>
      <c r="N4388" s="273"/>
    </row>
    <row r="4389" spans="1:14" ht="12.75" customHeight="1" x14ac:dyDescent="0.2">
      <c r="A4389" s="403"/>
      <c r="B4389" s="271"/>
      <c r="C4389" s="271"/>
      <c r="D4389" s="271"/>
      <c r="E4389" s="271"/>
      <c r="F4389" s="271"/>
      <c r="G4389" s="273"/>
      <c r="H4389" s="29" t="str">
        <f t="shared" si="603"/>
        <v/>
      </c>
      <c r="I4389" s="394" t="str">
        <f t="shared" si="604"/>
        <v/>
      </c>
      <c r="J4389" s="273"/>
      <c r="K4389" s="395"/>
      <c r="L4389" s="273"/>
      <c r="M4389" s="394" t="str">
        <f t="shared" si="605"/>
        <v/>
      </c>
      <c r="N4389" s="273"/>
    </row>
    <row r="4390" spans="1:14" ht="12.75" customHeight="1" x14ac:dyDescent="0.25">
      <c r="A4390" s="4"/>
      <c r="B4390" s="4"/>
      <c r="C4390" s="4"/>
      <c r="D4390" s="4"/>
      <c r="E4390" s="4"/>
      <c r="F4390" s="4"/>
      <c r="G4390" s="4"/>
      <c r="H4390" s="4"/>
      <c r="I4390" s="4"/>
      <c r="J4390" s="4"/>
      <c r="K4390" s="396" t="s">
        <v>444</v>
      </c>
      <c r="L4390" s="273"/>
      <c r="M4390" s="394">
        <f>SUM(M4382:N4389)</f>
        <v>1798126.75</v>
      </c>
      <c r="N4390" s="273"/>
    </row>
    <row r="4391" spans="1:14" ht="12.75" customHeight="1" x14ac:dyDescent="0.25">
      <c r="A4391" s="4"/>
      <c r="B4391" s="4"/>
      <c r="C4391" s="4"/>
      <c r="D4391" s="4"/>
      <c r="E4391" s="4"/>
      <c r="F4391" s="4"/>
      <c r="G4391" s="4"/>
      <c r="H4391" s="4"/>
      <c r="I4391" s="4"/>
      <c r="J4391" s="4"/>
      <c r="K4391" s="4"/>
      <c r="L4391" s="4"/>
      <c r="M4391" s="4"/>
      <c r="N4391" s="4"/>
    </row>
    <row r="4392" spans="1:14" ht="12.75" customHeight="1" x14ac:dyDescent="0.2">
      <c r="A4392" s="398" t="s">
        <v>926</v>
      </c>
      <c r="B4392" s="271"/>
      <c r="C4392" s="271"/>
      <c r="D4392" s="271"/>
      <c r="E4392" s="271"/>
      <c r="F4392" s="271"/>
      <c r="G4392" s="271"/>
      <c r="H4392" s="271"/>
      <c r="I4392" s="271"/>
      <c r="J4392" s="271"/>
      <c r="K4392" s="271"/>
      <c r="L4392" s="271"/>
      <c r="M4392" s="271"/>
      <c r="N4392" s="273"/>
    </row>
    <row r="4393" spans="1:14" ht="12.75" customHeight="1" x14ac:dyDescent="0.2">
      <c r="A4393" s="396" t="s">
        <v>76</v>
      </c>
      <c r="B4393" s="271"/>
      <c r="C4393" s="271"/>
      <c r="D4393" s="271"/>
      <c r="E4393" s="271"/>
      <c r="F4393" s="271"/>
      <c r="G4393" s="273"/>
      <c r="H4393" s="88" t="s">
        <v>77</v>
      </c>
      <c r="I4393" s="399" t="s">
        <v>920</v>
      </c>
      <c r="J4393" s="273"/>
      <c r="K4393" s="399" t="s">
        <v>453</v>
      </c>
      <c r="L4393" s="273"/>
      <c r="M4393" s="399" t="s">
        <v>921</v>
      </c>
      <c r="N4393" s="273"/>
    </row>
    <row r="4394" spans="1:14" ht="12.75" customHeight="1" x14ac:dyDescent="0.2">
      <c r="A4394" s="400" t="s">
        <v>927</v>
      </c>
      <c r="B4394" s="271"/>
      <c r="C4394" s="271"/>
      <c r="D4394" s="271"/>
      <c r="E4394" s="271"/>
      <c r="F4394" s="271"/>
      <c r="G4394" s="273"/>
      <c r="H4394" s="29" t="str">
        <f>IF(A4394="","",VLOOKUP(A4394,AA_Equipos,7,FALSE))</f>
        <v>% M.O.</v>
      </c>
      <c r="I4394" s="394">
        <f>+M4417</f>
        <v>158001.21600000001</v>
      </c>
      <c r="J4394" s="273"/>
      <c r="K4394" s="404">
        <v>0.05</v>
      </c>
      <c r="L4394" s="273"/>
      <c r="M4394" s="394">
        <f t="shared" ref="M4394:M4398" si="606">IF(A4394="","",I4394*K4394)</f>
        <v>7900.0608000000011</v>
      </c>
      <c r="N4394" s="273"/>
    </row>
    <row r="4395" spans="1:14" ht="12.75" customHeight="1" x14ac:dyDescent="0.2">
      <c r="A4395" s="403"/>
      <c r="B4395" s="271"/>
      <c r="C4395" s="271"/>
      <c r="D4395" s="271"/>
      <c r="E4395" s="271"/>
      <c r="F4395" s="271"/>
      <c r="G4395" s="273"/>
      <c r="H4395" s="29" t="str">
        <f>IF(A4395="","",VLOOKUP(A4395,AA_Equipos,7,FALSE))</f>
        <v/>
      </c>
      <c r="I4395" s="394" t="str">
        <f>IF(A4395="","",VLOOKUP(A4395,AA_Equipos,8,FALSE))</f>
        <v/>
      </c>
      <c r="J4395" s="273"/>
      <c r="K4395" s="402"/>
      <c r="L4395" s="273"/>
      <c r="M4395" s="394" t="str">
        <f t="shared" si="606"/>
        <v/>
      </c>
      <c r="N4395" s="273"/>
    </row>
    <row r="4396" spans="1:14" ht="12.75" customHeight="1" x14ac:dyDescent="0.2">
      <c r="A4396" s="400"/>
      <c r="B4396" s="271"/>
      <c r="C4396" s="271"/>
      <c r="D4396" s="271"/>
      <c r="E4396" s="271"/>
      <c r="F4396" s="271"/>
      <c r="G4396" s="273"/>
      <c r="H4396" s="29" t="str">
        <f>IF(A4396="","",VLOOKUP(A4396,AA_Equipos,7,FALSE))</f>
        <v/>
      </c>
      <c r="I4396" s="394" t="str">
        <f>IF(A4396="","",VLOOKUP(A4396,AA_Equipos,8,FALSE))</f>
        <v/>
      </c>
      <c r="J4396" s="273"/>
      <c r="K4396" s="401"/>
      <c r="L4396" s="273"/>
      <c r="M4396" s="394" t="str">
        <f t="shared" si="606"/>
        <v/>
      </c>
      <c r="N4396" s="273"/>
    </row>
    <row r="4397" spans="1:14" ht="12.75" customHeight="1" x14ac:dyDescent="0.2">
      <c r="A4397" s="400"/>
      <c r="B4397" s="271"/>
      <c r="C4397" s="271"/>
      <c r="D4397" s="271"/>
      <c r="E4397" s="271"/>
      <c r="F4397" s="271"/>
      <c r="G4397" s="273"/>
      <c r="H4397" s="29" t="str">
        <f>IF(A4397="","",VLOOKUP(A4397,AA_Equipos,7,FALSE))</f>
        <v/>
      </c>
      <c r="I4397" s="394" t="str">
        <f>IF(A4397="","",VLOOKUP(A4397,AA_Equipos,8,FALSE))</f>
        <v/>
      </c>
      <c r="J4397" s="273"/>
      <c r="K4397" s="395"/>
      <c r="L4397" s="273"/>
      <c r="M4397" s="394" t="str">
        <f t="shared" si="606"/>
        <v/>
      </c>
      <c r="N4397" s="273"/>
    </row>
    <row r="4398" spans="1:14" ht="12.75" customHeight="1" x14ac:dyDescent="0.2">
      <c r="A4398" s="400"/>
      <c r="B4398" s="271"/>
      <c r="C4398" s="271"/>
      <c r="D4398" s="271"/>
      <c r="E4398" s="271"/>
      <c r="F4398" s="271"/>
      <c r="G4398" s="273"/>
      <c r="H4398" s="29" t="str">
        <f>IF(A4398="","",VLOOKUP(A4398,AA_Equipos,7,FALSE))</f>
        <v/>
      </c>
      <c r="I4398" s="394" t="str">
        <f>IF(A4398="","",VLOOKUP(A4398,AA_Equipos,8,FALSE))</f>
        <v/>
      </c>
      <c r="J4398" s="273"/>
      <c r="K4398" s="395"/>
      <c r="L4398" s="273"/>
      <c r="M4398" s="394" t="str">
        <f t="shared" si="606"/>
        <v/>
      </c>
      <c r="N4398" s="273"/>
    </row>
    <row r="4399" spans="1:14" ht="12.75" customHeight="1" x14ac:dyDescent="0.25">
      <c r="A4399" s="4"/>
      <c r="B4399" s="4"/>
      <c r="C4399" s="4"/>
      <c r="D4399" s="4"/>
      <c r="E4399" s="4"/>
      <c r="F4399" s="4"/>
      <c r="G4399" s="4"/>
      <c r="H4399" s="4"/>
      <c r="I4399" s="4"/>
      <c r="J4399" s="4"/>
      <c r="K4399" s="396" t="s">
        <v>444</v>
      </c>
      <c r="L4399" s="273"/>
      <c r="M4399" s="394">
        <f>SUM(M4394:N4398)</f>
        <v>7900.0608000000011</v>
      </c>
      <c r="N4399" s="273"/>
    </row>
    <row r="4400" spans="1:14" ht="12.75" customHeight="1" x14ac:dyDescent="0.25">
      <c r="A4400" s="4"/>
      <c r="B4400" s="4"/>
      <c r="C4400" s="4"/>
      <c r="D4400" s="4"/>
      <c r="E4400" s="4"/>
      <c r="F4400" s="4"/>
      <c r="G4400" s="4"/>
      <c r="H4400" s="4"/>
      <c r="I4400" s="4"/>
      <c r="J4400" s="4"/>
      <c r="K4400" s="4"/>
      <c r="L4400" s="4"/>
      <c r="M4400" s="4"/>
      <c r="N4400" s="4"/>
    </row>
    <row r="4401" spans="1:14" ht="12.75" customHeight="1" x14ac:dyDescent="0.2">
      <c r="A4401" s="398" t="s">
        <v>929</v>
      </c>
      <c r="B4401" s="271"/>
      <c r="C4401" s="271"/>
      <c r="D4401" s="271"/>
      <c r="E4401" s="271"/>
      <c r="F4401" s="271"/>
      <c r="G4401" s="271"/>
      <c r="H4401" s="271"/>
      <c r="I4401" s="271"/>
      <c r="J4401" s="271"/>
      <c r="K4401" s="271"/>
      <c r="L4401" s="271"/>
      <c r="M4401" s="271"/>
      <c r="N4401" s="273"/>
    </row>
    <row r="4402" spans="1:14" ht="12.75" customHeight="1" x14ac:dyDescent="0.2">
      <c r="A4402" s="396" t="s">
        <v>76</v>
      </c>
      <c r="B4402" s="271"/>
      <c r="C4402" s="271"/>
      <c r="D4402" s="271"/>
      <c r="E4402" s="271"/>
      <c r="F4402" s="271"/>
      <c r="G4402" s="273"/>
      <c r="H4402" s="88" t="s">
        <v>77</v>
      </c>
      <c r="I4402" s="399" t="s">
        <v>920</v>
      </c>
      <c r="J4402" s="273"/>
      <c r="K4402" s="399" t="s">
        <v>453</v>
      </c>
      <c r="L4402" s="273"/>
      <c r="M4402" s="399" t="s">
        <v>921</v>
      </c>
      <c r="N4402" s="273"/>
    </row>
    <row r="4403" spans="1:14" ht="12.75" customHeight="1" x14ac:dyDescent="0.2">
      <c r="A4403" s="400"/>
      <c r="B4403" s="271"/>
      <c r="C4403" s="271"/>
      <c r="D4403" s="271"/>
      <c r="E4403" s="271"/>
      <c r="F4403" s="271"/>
      <c r="G4403" s="273"/>
      <c r="H4403" s="29"/>
      <c r="I4403" s="394"/>
      <c r="J4403" s="273"/>
      <c r="K4403" s="404"/>
      <c r="L4403" s="273"/>
      <c r="M4403" s="394" t="str">
        <f t="shared" ref="M4403:M4407" si="607">IF(A4403="","",I4403*K4403)</f>
        <v/>
      </c>
      <c r="N4403" s="273"/>
    </row>
    <row r="4404" spans="1:14" ht="12.75" customHeight="1" x14ac:dyDescent="0.2">
      <c r="A4404" s="403"/>
      <c r="B4404" s="271"/>
      <c r="C4404" s="271"/>
      <c r="D4404" s="271"/>
      <c r="E4404" s="271"/>
      <c r="F4404" s="271"/>
      <c r="G4404" s="273"/>
      <c r="H4404" s="29"/>
      <c r="I4404" s="394"/>
      <c r="J4404" s="273"/>
      <c r="K4404" s="404"/>
      <c r="L4404" s="273"/>
      <c r="M4404" s="394" t="str">
        <f t="shared" si="607"/>
        <v/>
      </c>
      <c r="N4404" s="273"/>
    </row>
    <row r="4405" spans="1:14" ht="12.75" customHeight="1" x14ac:dyDescent="0.2">
      <c r="A4405" s="400"/>
      <c r="B4405" s="271"/>
      <c r="C4405" s="271"/>
      <c r="D4405" s="271"/>
      <c r="E4405" s="271"/>
      <c r="F4405" s="271"/>
      <c r="G4405" s="273"/>
      <c r="H4405" s="29"/>
      <c r="I4405" s="394"/>
      <c r="J4405" s="273"/>
      <c r="K4405" s="395"/>
      <c r="L4405" s="273"/>
      <c r="M4405" s="394" t="str">
        <f t="shared" si="607"/>
        <v/>
      </c>
      <c r="N4405" s="273"/>
    </row>
    <row r="4406" spans="1:14" ht="12.75" customHeight="1" x14ac:dyDescent="0.2">
      <c r="A4406" s="400"/>
      <c r="B4406" s="271"/>
      <c r="C4406" s="271"/>
      <c r="D4406" s="271"/>
      <c r="E4406" s="271"/>
      <c r="F4406" s="271"/>
      <c r="G4406" s="273"/>
      <c r="H4406" s="29"/>
      <c r="I4406" s="394"/>
      <c r="J4406" s="273"/>
      <c r="K4406" s="395"/>
      <c r="L4406" s="273"/>
      <c r="M4406" s="394" t="str">
        <f t="shared" si="607"/>
        <v/>
      </c>
      <c r="N4406" s="273"/>
    </row>
    <row r="4407" spans="1:14" ht="12.75" customHeight="1" x14ac:dyDescent="0.2">
      <c r="A4407" s="400"/>
      <c r="B4407" s="271"/>
      <c r="C4407" s="271"/>
      <c r="D4407" s="271"/>
      <c r="E4407" s="271"/>
      <c r="F4407" s="271"/>
      <c r="G4407" s="273"/>
      <c r="H4407" s="29"/>
      <c r="I4407" s="394"/>
      <c r="J4407" s="273"/>
      <c r="K4407" s="395"/>
      <c r="L4407" s="273"/>
      <c r="M4407" s="394" t="str">
        <f t="shared" si="607"/>
        <v/>
      </c>
      <c r="N4407" s="273"/>
    </row>
    <row r="4408" spans="1:14" ht="12.75" customHeight="1" x14ac:dyDescent="0.25">
      <c r="A4408" s="4"/>
      <c r="B4408" s="4"/>
      <c r="C4408" s="4"/>
      <c r="D4408" s="4"/>
      <c r="E4408" s="4"/>
      <c r="F4408" s="4"/>
      <c r="G4408" s="4"/>
      <c r="H4408" s="4"/>
      <c r="I4408" s="4"/>
      <c r="J4408" s="4"/>
      <c r="K4408" s="396" t="s">
        <v>444</v>
      </c>
      <c r="L4408" s="273"/>
      <c r="M4408" s="394">
        <f>SUM(M4403:N4407)</f>
        <v>0</v>
      </c>
      <c r="N4408" s="273"/>
    </row>
    <row r="4409" spans="1:14" ht="12.75" customHeight="1" x14ac:dyDescent="0.25">
      <c r="A4409" s="4"/>
      <c r="B4409" s="4"/>
      <c r="C4409" s="4"/>
      <c r="D4409" s="4"/>
      <c r="E4409" s="4"/>
      <c r="F4409" s="4"/>
      <c r="G4409" s="4"/>
      <c r="H4409" s="4"/>
      <c r="I4409" s="4"/>
      <c r="J4409" s="4"/>
      <c r="K4409" s="4"/>
      <c r="L4409" s="4"/>
      <c r="M4409" s="4"/>
      <c r="N4409" s="4"/>
    </row>
    <row r="4410" spans="1:14" ht="12.75" customHeight="1" x14ac:dyDescent="0.2">
      <c r="A4410" s="398" t="s">
        <v>931</v>
      </c>
      <c r="B4410" s="271"/>
      <c r="C4410" s="271"/>
      <c r="D4410" s="271"/>
      <c r="E4410" s="271"/>
      <c r="F4410" s="271"/>
      <c r="G4410" s="271"/>
      <c r="H4410" s="271"/>
      <c r="I4410" s="271"/>
      <c r="J4410" s="271"/>
      <c r="K4410" s="271"/>
      <c r="L4410" s="271"/>
      <c r="M4410" s="271"/>
      <c r="N4410" s="273"/>
    </row>
    <row r="4411" spans="1:14" ht="12.75" customHeight="1" x14ac:dyDescent="0.2">
      <c r="A4411" s="396" t="s">
        <v>76</v>
      </c>
      <c r="B4411" s="271"/>
      <c r="C4411" s="271"/>
      <c r="D4411" s="271"/>
      <c r="E4411" s="271"/>
      <c r="F4411" s="271"/>
      <c r="G4411" s="273"/>
      <c r="H4411" s="88" t="s">
        <v>77</v>
      </c>
      <c r="I4411" s="399" t="s">
        <v>920</v>
      </c>
      <c r="J4411" s="273"/>
      <c r="K4411" s="90" t="s">
        <v>514</v>
      </c>
      <c r="L4411" s="91" t="s">
        <v>932</v>
      </c>
      <c r="M4411" s="399" t="s">
        <v>921</v>
      </c>
      <c r="N4411" s="273"/>
    </row>
    <row r="4412" spans="1:14" ht="12.75" customHeight="1" x14ac:dyDescent="0.25">
      <c r="A4412" s="393" t="s">
        <v>1112</v>
      </c>
      <c r="B4412" s="271"/>
      <c r="C4412" s="271"/>
      <c r="D4412" s="271"/>
      <c r="E4412" s="271"/>
      <c r="F4412" s="271"/>
      <c r="G4412" s="273"/>
      <c r="H4412" s="29" t="str">
        <f>IF(A4412="","",VLOOKUP(A4412,AA_Cuadrillas,4,FALSE))</f>
        <v>Cuadrilla</v>
      </c>
      <c r="I4412" s="394">
        <f>IF(A4412="","",VLOOKUP(A4412,AA_Cuadrillas,5,FALSE))</f>
        <v>210108</v>
      </c>
      <c r="J4412" s="273"/>
      <c r="K4412" s="9">
        <f>IF(A4412="","",F.P!$I$2)</f>
        <v>1.88</v>
      </c>
      <c r="L4412" s="97">
        <v>0.4</v>
      </c>
      <c r="M4412" s="394">
        <f t="shared" ref="M4412:M4416" si="608">IF(A4412="","",I4412*K4412*L4412)</f>
        <v>158001.21600000001</v>
      </c>
      <c r="N4412" s="273"/>
    </row>
    <row r="4413" spans="1:14" ht="12.75" customHeight="1" x14ac:dyDescent="0.25">
      <c r="A4413" s="393"/>
      <c r="B4413" s="271"/>
      <c r="C4413" s="271"/>
      <c r="D4413" s="271"/>
      <c r="E4413" s="271"/>
      <c r="F4413" s="271"/>
      <c r="G4413" s="273"/>
      <c r="H4413" s="29" t="str">
        <f>IF(A4413="","",VLOOKUP(A4413,AA_Cuadrillas,4,FALSE))</f>
        <v/>
      </c>
      <c r="I4413" s="394" t="str">
        <f>IF(A4413="","",VLOOKUP(A4413,AA_Cuadrillas,5,FALSE))</f>
        <v/>
      </c>
      <c r="J4413" s="273"/>
      <c r="K4413" s="9" t="str">
        <f>IF(A4413="","",F.P!$I$2)</f>
        <v/>
      </c>
      <c r="L4413" s="9"/>
      <c r="M4413" s="394" t="str">
        <f t="shared" si="608"/>
        <v/>
      </c>
      <c r="N4413" s="273"/>
    </row>
    <row r="4414" spans="1:14" ht="12.75" customHeight="1" x14ac:dyDescent="0.25">
      <c r="A4414" s="393"/>
      <c r="B4414" s="271"/>
      <c r="C4414" s="271"/>
      <c r="D4414" s="271"/>
      <c r="E4414" s="271"/>
      <c r="F4414" s="271"/>
      <c r="G4414" s="273"/>
      <c r="H4414" s="29" t="str">
        <f>IF(A4414="","",VLOOKUP(A4414,AA_Cuadrillas,4,FALSE))</f>
        <v/>
      </c>
      <c r="I4414" s="394" t="str">
        <f>IF(A4414="","",VLOOKUP(A4414,AA_Cuadrillas,5,FALSE))</f>
        <v/>
      </c>
      <c r="J4414" s="273"/>
      <c r="K4414" s="9" t="str">
        <f>IF(A4414="","",F.P!$I$2)</f>
        <v/>
      </c>
      <c r="L4414" s="37"/>
      <c r="M4414" s="394" t="str">
        <f t="shared" si="608"/>
        <v/>
      </c>
      <c r="N4414" s="273"/>
    </row>
    <row r="4415" spans="1:14" ht="12.75" customHeight="1" x14ac:dyDescent="0.25">
      <c r="A4415" s="393"/>
      <c r="B4415" s="271"/>
      <c r="C4415" s="271"/>
      <c r="D4415" s="271"/>
      <c r="E4415" s="271"/>
      <c r="F4415" s="271"/>
      <c r="G4415" s="273"/>
      <c r="H4415" s="29" t="str">
        <f>IF(A4415="","",VLOOKUP(A4415,AA_Cuadrillas,4,FALSE))</f>
        <v/>
      </c>
      <c r="I4415" s="394" t="str">
        <f>IF(A4415="","",VLOOKUP(A4415,AA_Cuadrillas,5,FALSE))</f>
        <v/>
      </c>
      <c r="J4415" s="273"/>
      <c r="K4415" s="9" t="str">
        <f>IF(A4415="","",F.P!$I$2)</f>
        <v/>
      </c>
      <c r="L4415" s="37"/>
      <c r="M4415" s="394" t="str">
        <f t="shared" si="608"/>
        <v/>
      </c>
      <c r="N4415" s="273"/>
    </row>
    <row r="4416" spans="1:14" ht="12.75" customHeight="1" x14ac:dyDescent="0.25">
      <c r="A4416" s="393"/>
      <c r="B4416" s="271"/>
      <c r="C4416" s="271"/>
      <c r="D4416" s="271"/>
      <c r="E4416" s="271"/>
      <c r="F4416" s="271"/>
      <c r="G4416" s="273"/>
      <c r="H4416" s="29" t="str">
        <f>IF(A4416="","",VLOOKUP(A4416,AA_Cuadrillas,4,FALSE))</f>
        <v/>
      </c>
      <c r="I4416" s="394" t="str">
        <f>IF(A4416="","",VLOOKUP(A4416,AA_Cuadrillas,5,FALSE))</f>
        <v/>
      </c>
      <c r="J4416" s="273"/>
      <c r="K4416" s="9" t="str">
        <f>IF(A4416="","",F.P!$I$2)</f>
        <v/>
      </c>
      <c r="L4416" s="37"/>
      <c r="M4416" s="394" t="str">
        <f t="shared" si="608"/>
        <v/>
      </c>
      <c r="N4416" s="273"/>
    </row>
    <row r="4417" spans="1:14" ht="12.75" customHeight="1" x14ac:dyDescent="0.25">
      <c r="A4417" s="4"/>
      <c r="B4417" s="4"/>
      <c r="C4417" s="4"/>
      <c r="D4417" s="4"/>
      <c r="E4417" s="4"/>
      <c r="F4417" s="4"/>
      <c r="G4417" s="4"/>
      <c r="H4417" s="4"/>
      <c r="I4417" s="4"/>
      <c r="J4417" s="4"/>
      <c r="K4417" s="396" t="s">
        <v>444</v>
      </c>
      <c r="L4417" s="273"/>
      <c r="M4417" s="394">
        <f>SUM(M4412:N4416)</f>
        <v>158001.21600000001</v>
      </c>
      <c r="N4417" s="273"/>
    </row>
    <row r="4418" spans="1:14" ht="12.75" customHeight="1" x14ac:dyDescent="0.2"/>
    <row r="4419" spans="1:14" ht="12.75" customHeight="1" x14ac:dyDescent="0.2">
      <c r="A4419" s="407" t="s">
        <v>1181</v>
      </c>
      <c r="B4419" s="275"/>
      <c r="C4419" s="275"/>
      <c r="D4419" s="275"/>
      <c r="E4419" s="275"/>
      <c r="F4419" s="275"/>
      <c r="G4419" s="275"/>
      <c r="H4419" s="275"/>
      <c r="I4419" s="275"/>
      <c r="J4419" s="275"/>
      <c r="K4419" s="275"/>
      <c r="L4419" s="275"/>
      <c r="M4419" s="275"/>
      <c r="N4419" s="276"/>
    </row>
    <row r="4420" spans="1:14" ht="12.75" customHeight="1" x14ac:dyDescent="0.2">
      <c r="A4420" s="277"/>
      <c r="B4420" s="278"/>
      <c r="C4420" s="278"/>
      <c r="D4420" s="278"/>
      <c r="E4420" s="278"/>
      <c r="F4420" s="278"/>
      <c r="G4420" s="278"/>
      <c r="H4420" s="278"/>
      <c r="I4420" s="278"/>
      <c r="J4420" s="278"/>
      <c r="K4420" s="278"/>
      <c r="L4420" s="278"/>
      <c r="M4420" s="278"/>
      <c r="N4420" s="279"/>
    </row>
    <row r="4421" spans="1:14" ht="12.75" customHeight="1" x14ac:dyDescent="0.2">
      <c r="A4421" s="75"/>
      <c r="B4421" s="75"/>
      <c r="C4421" s="75"/>
      <c r="D4421" s="75"/>
      <c r="E4421" s="75"/>
      <c r="F4421" s="75"/>
      <c r="G4421" s="75"/>
      <c r="H4421" s="75"/>
      <c r="I4421" s="75"/>
      <c r="J4421" s="75"/>
      <c r="K4421" s="75"/>
      <c r="L4421" s="75"/>
      <c r="M4421" s="75"/>
      <c r="N4421" s="75"/>
    </row>
    <row r="4422" spans="1:14" ht="12.75" customHeight="1" x14ac:dyDescent="0.3">
      <c r="A4422" s="79" t="s">
        <v>717</v>
      </c>
      <c r="B4422" s="80" t="str">
        <f>A4419</f>
        <v>SUMINISTRO E INSTALACIÓN CODO 22,5° Ø10" EN HIERRO DUCTIL</v>
      </c>
      <c r="C4422" s="81" t="s">
        <v>916</v>
      </c>
      <c r="D4422" s="82" t="s">
        <v>999</v>
      </c>
      <c r="E4422" s="83" t="s">
        <v>445</v>
      </c>
      <c r="F4422" s="86">
        <f>H4422+J4422+L4422+N4422</f>
        <v>2046028.0268000001</v>
      </c>
      <c r="G4422" s="83" t="s">
        <v>607</v>
      </c>
      <c r="H4422" s="86">
        <f>M4434</f>
        <v>1880126.75</v>
      </c>
      <c r="I4422" s="83" t="s">
        <v>918</v>
      </c>
      <c r="J4422" s="86">
        <f>M4443</f>
        <v>7900.0608000000011</v>
      </c>
      <c r="K4422" s="83" t="s">
        <v>609</v>
      </c>
      <c r="L4422" s="86">
        <f>M4452</f>
        <v>0</v>
      </c>
      <c r="M4422" s="83" t="s">
        <v>610</v>
      </c>
      <c r="N4422" s="86">
        <f>M4461</f>
        <v>158001.21600000001</v>
      </c>
    </row>
    <row r="4423" spans="1:14" ht="12.75" customHeight="1" x14ac:dyDescent="0.25">
      <c r="A4423" s="87"/>
      <c r="B4423" s="87"/>
      <c r="C4423" s="87"/>
      <c r="D4423" s="87"/>
      <c r="E4423" s="87"/>
      <c r="F4423" s="87"/>
      <c r="G4423" s="87"/>
      <c r="J4423" s="87"/>
      <c r="K4423" s="215" t="s">
        <v>3217</v>
      </c>
      <c r="L4423" s="215">
        <f>+F4422*presup!$O$5</f>
        <v>2659836.4348400002</v>
      </c>
      <c r="M4423" s="87"/>
      <c r="N4423" s="87"/>
    </row>
    <row r="4424" spans="1:14" ht="12.75" customHeight="1" x14ac:dyDescent="0.2">
      <c r="A4424" s="398" t="s">
        <v>919</v>
      </c>
      <c r="B4424" s="271"/>
      <c r="C4424" s="271"/>
      <c r="D4424" s="271"/>
      <c r="E4424" s="271"/>
      <c r="F4424" s="271"/>
      <c r="G4424" s="271"/>
      <c r="H4424" s="271"/>
      <c r="I4424" s="271"/>
      <c r="J4424" s="271"/>
      <c r="K4424" s="271"/>
      <c r="L4424" s="271"/>
      <c r="M4424" s="271"/>
      <c r="N4424" s="273"/>
    </row>
    <row r="4425" spans="1:14" ht="12.75" customHeight="1" x14ac:dyDescent="0.2">
      <c r="A4425" s="396" t="s">
        <v>76</v>
      </c>
      <c r="B4425" s="271"/>
      <c r="C4425" s="271"/>
      <c r="D4425" s="271"/>
      <c r="E4425" s="271"/>
      <c r="F4425" s="271"/>
      <c r="G4425" s="273"/>
      <c r="H4425" s="88" t="s">
        <v>77</v>
      </c>
      <c r="I4425" s="399" t="s">
        <v>920</v>
      </c>
      <c r="J4425" s="273"/>
      <c r="K4425" s="399" t="s">
        <v>453</v>
      </c>
      <c r="L4425" s="273"/>
      <c r="M4425" s="399" t="s">
        <v>921</v>
      </c>
      <c r="N4425" s="273"/>
    </row>
    <row r="4426" spans="1:14" ht="12.75" customHeight="1" x14ac:dyDescent="0.2">
      <c r="A4426" s="403" t="s">
        <v>1182</v>
      </c>
      <c r="B4426" s="271"/>
      <c r="C4426" s="271"/>
      <c r="D4426" s="271"/>
      <c r="E4426" s="271"/>
      <c r="F4426" s="271"/>
      <c r="G4426" s="273"/>
      <c r="H4426" s="29" t="str">
        <f t="shared" ref="H4426:H4433" si="609">IF(A4426="","",VLOOKUP(A4426,AA_Materiales,7,FALSE))</f>
        <v>Unidad</v>
      </c>
      <c r="I4426" s="394">
        <f t="shared" ref="I4426:I4433" si="610">IF(A4426="","",VLOOKUP(A4426,AA_Materiales,8,FALSE))</f>
        <v>1879000</v>
      </c>
      <c r="J4426" s="273"/>
      <c r="K4426" s="395">
        <v>1</v>
      </c>
      <c r="L4426" s="273"/>
      <c r="M4426" s="394">
        <f t="shared" ref="M4426:M4433" si="611">IF(A4426="","",I4426*K4426)</f>
        <v>1879000</v>
      </c>
      <c r="N4426" s="273"/>
    </row>
    <row r="4427" spans="1:14" ht="12.75" customHeight="1" x14ac:dyDescent="0.2">
      <c r="A4427" s="403" t="s">
        <v>1111</v>
      </c>
      <c r="B4427" s="271"/>
      <c r="C4427" s="271"/>
      <c r="D4427" s="271"/>
      <c r="E4427" s="271"/>
      <c r="F4427" s="271"/>
      <c r="G4427" s="273"/>
      <c r="H4427" s="29" t="str">
        <f t="shared" si="609"/>
        <v>Unidad</v>
      </c>
      <c r="I4427" s="394">
        <f t="shared" si="610"/>
        <v>22535</v>
      </c>
      <c r="J4427" s="273"/>
      <c r="K4427" s="395">
        <v>0.05</v>
      </c>
      <c r="L4427" s="273"/>
      <c r="M4427" s="394">
        <f t="shared" si="611"/>
        <v>1126.75</v>
      </c>
      <c r="N4427" s="273"/>
    </row>
    <row r="4428" spans="1:14" ht="12.75" customHeight="1" x14ac:dyDescent="0.2">
      <c r="A4428" s="403"/>
      <c r="B4428" s="271"/>
      <c r="C4428" s="271"/>
      <c r="D4428" s="271"/>
      <c r="E4428" s="271"/>
      <c r="F4428" s="271"/>
      <c r="G4428" s="273"/>
      <c r="H4428" s="29" t="str">
        <f t="shared" si="609"/>
        <v/>
      </c>
      <c r="I4428" s="394" t="str">
        <f t="shared" si="610"/>
        <v/>
      </c>
      <c r="J4428" s="273"/>
      <c r="K4428" s="395"/>
      <c r="L4428" s="273"/>
      <c r="M4428" s="394" t="str">
        <f t="shared" si="611"/>
        <v/>
      </c>
      <c r="N4428" s="273"/>
    </row>
    <row r="4429" spans="1:14" ht="12.75" customHeight="1" x14ac:dyDescent="0.2">
      <c r="A4429" s="403"/>
      <c r="B4429" s="271"/>
      <c r="C4429" s="271"/>
      <c r="D4429" s="271"/>
      <c r="E4429" s="271"/>
      <c r="F4429" s="271"/>
      <c r="G4429" s="273"/>
      <c r="H4429" s="29" t="str">
        <f t="shared" si="609"/>
        <v/>
      </c>
      <c r="I4429" s="394" t="str">
        <f t="shared" si="610"/>
        <v/>
      </c>
      <c r="J4429" s="273"/>
      <c r="K4429" s="395"/>
      <c r="L4429" s="273"/>
      <c r="M4429" s="394" t="str">
        <f t="shared" si="611"/>
        <v/>
      </c>
      <c r="N4429" s="273"/>
    </row>
    <row r="4430" spans="1:14" ht="12.75" customHeight="1" x14ac:dyDescent="0.2">
      <c r="A4430" s="403"/>
      <c r="B4430" s="271"/>
      <c r="C4430" s="271"/>
      <c r="D4430" s="271"/>
      <c r="E4430" s="271"/>
      <c r="F4430" s="271"/>
      <c r="G4430" s="273"/>
      <c r="H4430" s="29" t="str">
        <f t="shared" si="609"/>
        <v/>
      </c>
      <c r="I4430" s="394" t="str">
        <f t="shared" si="610"/>
        <v/>
      </c>
      <c r="J4430" s="273"/>
      <c r="K4430" s="395"/>
      <c r="L4430" s="273"/>
      <c r="M4430" s="394" t="str">
        <f t="shared" si="611"/>
        <v/>
      </c>
      <c r="N4430" s="273"/>
    </row>
    <row r="4431" spans="1:14" ht="12.75" customHeight="1" x14ac:dyDescent="0.2">
      <c r="A4431" s="403"/>
      <c r="B4431" s="271"/>
      <c r="C4431" s="271"/>
      <c r="D4431" s="271"/>
      <c r="E4431" s="271"/>
      <c r="F4431" s="271"/>
      <c r="G4431" s="273"/>
      <c r="H4431" s="29" t="str">
        <f t="shared" si="609"/>
        <v/>
      </c>
      <c r="I4431" s="394" t="str">
        <f t="shared" si="610"/>
        <v/>
      </c>
      <c r="J4431" s="273"/>
      <c r="K4431" s="395"/>
      <c r="L4431" s="273"/>
      <c r="M4431" s="394" t="str">
        <f t="shared" si="611"/>
        <v/>
      </c>
      <c r="N4431" s="273"/>
    </row>
    <row r="4432" spans="1:14" ht="12.75" customHeight="1" x14ac:dyDescent="0.2">
      <c r="A4432" s="403"/>
      <c r="B4432" s="271"/>
      <c r="C4432" s="271"/>
      <c r="D4432" s="271"/>
      <c r="E4432" s="271"/>
      <c r="F4432" s="271"/>
      <c r="G4432" s="273"/>
      <c r="H4432" s="29" t="str">
        <f t="shared" si="609"/>
        <v/>
      </c>
      <c r="I4432" s="394" t="str">
        <f t="shared" si="610"/>
        <v/>
      </c>
      <c r="J4432" s="273"/>
      <c r="K4432" s="395"/>
      <c r="L4432" s="273"/>
      <c r="M4432" s="394" t="str">
        <f t="shared" si="611"/>
        <v/>
      </c>
      <c r="N4432" s="273"/>
    </row>
    <row r="4433" spans="1:14" ht="12.75" customHeight="1" x14ac:dyDescent="0.2">
      <c r="A4433" s="403"/>
      <c r="B4433" s="271"/>
      <c r="C4433" s="271"/>
      <c r="D4433" s="271"/>
      <c r="E4433" s="271"/>
      <c r="F4433" s="271"/>
      <c r="G4433" s="273"/>
      <c r="H4433" s="29" t="str">
        <f t="shared" si="609"/>
        <v/>
      </c>
      <c r="I4433" s="394" t="str">
        <f t="shared" si="610"/>
        <v/>
      </c>
      <c r="J4433" s="273"/>
      <c r="K4433" s="395"/>
      <c r="L4433" s="273"/>
      <c r="M4433" s="394" t="str">
        <f t="shared" si="611"/>
        <v/>
      </c>
      <c r="N4433" s="273"/>
    </row>
    <row r="4434" spans="1:14" ht="12.75" customHeight="1" x14ac:dyDescent="0.25">
      <c r="A4434" s="4"/>
      <c r="B4434" s="4"/>
      <c r="C4434" s="4"/>
      <c r="D4434" s="4"/>
      <c r="E4434" s="4"/>
      <c r="F4434" s="4"/>
      <c r="G4434" s="4"/>
      <c r="H4434" s="4"/>
      <c r="I4434" s="4"/>
      <c r="J4434" s="4"/>
      <c r="K4434" s="396" t="s">
        <v>444</v>
      </c>
      <c r="L4434" s="273"/>
      <c r="M4434" s="394">
        <f>SUM(M4426:N4433)</f>
        <v>1880126.75</v>
      </c>
      <c r="N4434" s="273"/>
    </row>
    <row r="4435" spans="1:14" ht="12.75" customHeight="1" x14ac:dyDescent="0.25">
      <c r="A4435" s="4"/>
      <c r="B4435" s="4"/>
      <c r="C4435" s="4"/>
      <c r="D4435" s="4"/>
      <c r="E4435" s="4"/>
      <c r="F4435" s="4"/>
      <c r="G4435" s="4"/>
      <c r="H4435" s="4"/>
      <c r="I4435" s="4"/>
      <c r="J4435" s="4"/>
      <c r="K4435" s="4"/>
      <c r="L4435" s="4"/>
      <c r="M4435" s="4"/>
      <c r="N4435" s="4"/>
    </row>
    <row r="4436" spans="1:14" ht="12.75" customHeight="1" x14ac:dyDescent="0.2">
      <c r="A4436" s="398" t="s">
        <v>926</v>
      </c>
      <c r="B4436" s="271"/>
      <c r="C4436" s="271"/>
      <c r="D4436" s="271"/>
      <c r="E4436" s="271"/>
      <c r="F4436" s="271"/>
      <c r="G4436" s="271"/>
      <c r="H4436" s="271"/>
      <c r="I4436" s="271"/>
      <c r="J4436" s="271"/>
      <c r="K4436" s="271"/>
      <c r="L4436" s="271"/>
      <c r="M4436" s="271"/>
      <c r="N4436" s="273"/>
    </row>
    <row r="4437" spans="1:14" ht="12.75" customHeight="1" x14ac:dyDescent="0.2">
      <c r="A4437" s="396" t="s">
        <v>76</v>
      </c>
      <c r="B4437" s="271"/>
      <c r="C4437" s="271"/>
      <c r="D4437" s="271"/>
      <c r="E4437" s="271"/>
      <c r="F4437" s="271"/>
      <c r="G4437" s="273"/>
      <c r="H4437" s="88" t="s">
        <v>77</v>
      </c>
      <c r="I4437" s="399" t="s">
        <v>920</v>
      </c>
      <c r="J4437" s="273"/>
      <c r="K4437" s="399" t="s">
        <v>453</v>
      </c>
      <c r="L4437" s="273"/>
      <c r="M4437" s="399" t="s">
        <v>921</v>
      </c>
      <c r="N4437" s="273"/>
    </row>
    <row r="4438" spans="1:14" ht="12.75" customHeight="1" x14ac:dyDescent="0.2">
      <c r="A4438" s="400" t="s">
        <v>927</v>
      </c>
      <c r="B4438" s="271"/>
      <c r="C4438" s="271"/>
      <c r="D4438" s="271"/>
      <c r="E4438" s="271"/>
      <c r="F4438" s="271"/>
      <c r="G4438" s="273"/>
      <c r="H4438" s="29" t="str">
        <f>IF(A4438="","",VLOOKUP(A4438,AA_Equipos,7,FALSE))</f>
        <v>% M.O.</v>
      </c>
      <c r="I4438" s="394">
        <f>+M4461</f>
        <v>158001.21600000001</v>
      </c>
      <c r="J4438" s="273"/>
      <c r="K4438" s="404">
        <v>0.05</v>
      </c>
      <c r="L4438" s="273"/>
      <c r="M4438" s="394">
        <f t="shared" ref="M4438:M4442" si="612">IF(A4438="","",I4438*K4438)</f>
        <v>7900.0608000000011</v>
      </c>
      <c r="N4438" s="273"/>
    </row>
    <row r="4439" spans="1:14" ht="12.75" customHeight="1" x14ac:dyDescent="0.2">
      <c r="A4439" s="403"/>
      <c r="B4439" s="271"/>
      <c r="C4439" s="271"/>
      <c r="D4439" s="271"/>
      <c r="E4439" s="271"/>
      <c r="F4439" s="271"/>
      <c r="G4439" s="273"/>
      <c r="H4439" s="29" t="str">
        <f>IF(A4439="","",VLOOKUP(A4439,AA_Equipos,7,FALSE))</f>
        <v/>
      </c>
      <c r="I4439" s="394" t="str">
        <f>IF(A4439="","",VLOOKUP(A4439,AA_Equipos,8,FALSE))</f>
        <v/>
      </c>
      <c r="J4439" s="273"/>
      <c r="K4439" s="402"/>
      <c r="L4439" s="273"/>
      <c r="M4439" s="394" t="str">
        <f t="shared" si="612"/>
        <v/>
      </c>
      <c r="N4439" s="273"/>
    </row>
    <row r="4440" spans="1:14" ht="12.75" customHeight="1" x14ac:dyDescent="0.2">
      <c r="A4440" s="400"/>
      <c r="B4440" s="271"/>
      <c r="C4440" s="271"/>
      <c r="D4440" s="271"/>
      <c r="E4440" s="271"/>
      <c r="F4440" s="271"/>
      <c r="G4440" s="273"/>
      <c r="H4440" s="29" t="str">
        <f>IF(A4440="","",VLOOKUP(A4440,AA_Equipos,7,FALSE))</f>
        <v/>
      </c>
      <c r="I4440" s="394" t="str">
        <f>IF(A4440="","",VLOOKUP(A4440,AA_Equipos,8,FALSE))</f>
        <v/>
      </c>
      <c r="J4440" s="273"/>
      <c r="K4440" s="401"/>
      <c r="L4440" s="273"/>
      <c r="M4440" s="394" t="str">
        <f t="shared" si="612"/>
        <v/>
      </c>
      <c r="N4440" s="273"/>
    </row>
    <row r="4441" spans="1:14" ht="12.75" customHeight="1" x14ac:dyDescent="0.2">
      <c r="A4441" s="400"/>
      <c r="B4441" s="271"/>
      <c r="C4441" s="271"/>
      <c r="D4441" s="271"/>
      <c r="E4441" s="271"/>
      <c r="F4441" s="271"/>
      <c r="G4441" s="273"/>
      <c r="H4441" s="29" t="str">
        <f>IF(A4441="","",VLOOKUP(A4441,AA_Equipos,7,FALSE))</f>
        <v/>
      </c>
      <c r="I4441" s="394" t="str">
        <f>IF(A4441="","",VLOOKUP(A4441,AA_Equipos,8,FALSE))</f>
        <v/>
      </c>
      <c r="J4441" s="273"/>
      <c r="K4441" s="395"/>
      <c r="L4441" s="273"/>
      <c r="M4441" s="394" t="str">
        <f t="shared" si="612"/>
        <v/>
      </c>
      <c r="N4441" s="273"/>
    </row>
    <row r="4442" spans="1:14" ht="12.75" customHeight="1" x14ac:dyDescent="0.2">
      <c r="A4442" s="400"/>
      <c r="B4442" s="271"/>
      <c r="C4442" s="271"/>
      <c r="D4442" s="271"/>
      <c r="E4442" s="271"/>
      <c r="F4442" s="271"/>
      <c r="G4442" s="273"/>
      <c r="H4442" s="29" t="str">
        <f>IF(A4442="","",VLOOKUP(A4442,AA_Equipos,7,FALSE))</f>
        <v/>
      </c>
      <c r="I4442" s="394" t="str">
        <f>IF(A4442="","",VLOOKUP(A4442,AA_Equipos,8,FALSE))</f>
        <v/>
      </c>
      <c r="J4442" s="273"/>
      <c r="K4442" s="395"/>
      <c r="L4442" s="273"/>
      <c r="M4442" s="394" t="str">
        <f t="shared" si="612"/>
        <v/>
      </c>
      <c r="N4442" s="273"/>
    </row>
    <row r="4443" spans="1:14" ht="12.75" customHeight="1" x14ac:dyDescent="0.25">
      <c r="A4443" s="4"/>
      <c r="B4443" s="4"/>
      <c r="C4443" s="4"/>
      <c r="D4443" s="4"/>
      <c r="E4443" s="4"/>
      <c r="F4443" s="4"/>
      <c r="G4443" s="4"/>
      <c r="H4443" s="4"/>
      <c r="I4443" s="4"/>
      <c r="J4443" s="4"/>
      <c r="K4443" s="396" t="s">
        <v>444</v>
      </c>
      <c r="L4443" s="273"/>
      <c r="M4443" s="394">
        <f>SUM(M4438:N4442)</f>
        <v>7900.0608000000011</v>
      </c>
      <c r="N4443" s="273"/>
    </row>
    <row r="4444" spans="1:14" ht="12.75" customHeight="1" x14ac:dyDescent="0.25">
      <c r="A4444" s="4"/>
      <c r="B4444" s="4"/>
      <c r="C4444" s="4"/>
      <c r="D4444" s="4"/>
      <c r="E4444" s="4"/>
      <c r="F4444" s="4"/>
      <c r="G4444" s="4"/>
      <c r="H4444" s="4"/>
      <c r="I4444" s="4"/>
      <c r="J4444" s="4"/>
      <c r="K4444" s="4"/>
      <c r="L4444" s="4"/>
      <c r="M4444" s="4"/>
      <c r="N4444" s="4"/>
    </row>
    <row r="4445" spans="1:14" ht="12.75" customHeight="1" x14ac:dyDescent="0.2">
      <c r="A4445" s="398" t="s">
        <v>929</v>
      </c>
      <c r="B4445" s="271"/>
      <c r="C4445" s="271"/>
      <c r="D4445" s="271"/>
      <c r="E4445" s="271"/>
      <c r="F4445" s="271"/>
      <c r="G4445" s="271"/>
      <c r="H4445" s="271"/>
      <c r="I4445" s="271"/>
      <c r="J4445" s="271"/>
      <c r="K4445" s="271"/>
      <c r="L4445" s="271"/>
      <c r="M4445" s="271"/>
      <c r="N4445" s="273"/>
    </row>
    <row r="4446" spans="1:14" ht="12.75" customHeight="1" x14ac:dyDescent="0.2">
      <c r="A4446" s="396" t="s">
        <v>76</v>
      </c>
      <c r="B4446" s="271"/>
      <c r="C4446" s="271"/>
      <c r="D4446" s="271"/>
      <c r="E4446" s="271"/>
      <c r="F4446" s="271"/>
      <c r="G4446" s="273"/>
      <c r="H4446" s="88" t="s">
        <v>77</v>
      </c>
      <c r="I4446" s="399" t="s">
        <v>920</v>
      </c>
      <c r="J4446" s="273"/>
      <c r="K4446" s="399" t="s">
        <v>453</v>
      </c>
      <c r="L4446" s="273"/>
      <c r="M4446" s="399" t="s">
        <v>921</v>
      </c>
      <c r="N4446" s="273"/>
    </row>
    <row r="4447" spans="1:14" ht="12.75" customHeight="1" x14ac:dyDescent="0.2">
      <c r="A4447" s="400"/>
      <c r="B4447" s="271"/>
      <c r="C4447" s="271"/>
      <c r="D4447" s="271"/>
      <c r="E4447" s="271"/>
      <c r="F4447" s="271"/>
      <c r="G4447" s="273"/>
      <c r="H4447" s="29"/>
      <c r="I4447" s="394"/>
      <c r="J4447" s="273"/>
      <c r="K4447" s="404"/>
      <c r="L4447" s="273"/>
      <c r="M4447" s="394" t="str">
        <f t="shared" ref="M4447:M4451" si="613">IF(A4447="","",I4447*K4447)</f>
        <v/>
      </c>
      <c r="N4447" s="273"/>
    </row>
    <row r="4448" spans="1:14" ht="12.75" customHeight="1" x14ac:dyDescent="0.2">
      <c r="A4448" s="403"/>
      <c r="B4448" s="271"/>
      <c r="C4448" s="271"/>
      <c r="D4448" s="271"/>
      <c r="E4448" s="271"/>
      <c r="F4448" s="271"/>
      <c r="G4448" s="273"/>
      <c r="H4448" s="29"/>
      <c r="I4448" s="394"/>
      <c r="J4448" s="273"/>
      <c r="K4448" s="404"/>
      <c r="L4448" s="273"/>
      <c r="M4448" s="394" t="str">
        <f t="shared" si="613"/>
        <v/>
      </c>
      <c r="N4448" s="273"/>
    </row>
    <row r="4449" spans="1:14" ht="12.75" customHeight="1" x14ac:dyDescent="0.2">
      <c r="A4449" s="400"/>
      <c r="B4449" s="271"/>
      <c r="C4449" s="271"/>
      <c r="D4449" s="271"/>
      <c r="E4449" s="271"/>
      <c r="F4449" s="271"/>
      <c r="G4449" s="273"/>
      <c r="H4449" s="29"/>
      <c r="I4449" s="394"/>
      <c r="J4449" s="273"/>
      <c r="K4449" s="395"/>
      <c r="L4449" s="273"/>
      <c r="M4449" s="394" t="str">
        <f t="shared" si="613"/>
        <v/>
      </c>
      <c r="N4449" s="273"/>
    </row>
    <row r="4450" spans="1:14" ht="12.75" customHeight="1" x14ac:dyDescent="0.2">
      <c r="A4450" s="400"/>
      <c r="B4450" s="271"/>
      <c r="C4450" s="271"/>
      <c r="D4450" s="271"/>
      <c r="E4450" s="271"/>
      <c r="F4450" s="271"/>
      <c r="G4450" s="273"/>
      <c r="H4450" s="29"/>
      <c r="I4450" s="394"/>
      <c r="J4450" s="273"/>
      <c r="K4450" s="395"/>
      <c r="L4450" s="273"/>
      <c r="M4450" s="394" t="str">
        <f t="shared" si="613"/>
        <v/>
      </c>
      <c r="N4450" s="273"/>
    </row>
    <row r="4451" spans="1:14" ht="12.75" customHeight="1" x14ac:dyDescent="0.2">
      <c r="A4451" s="400"/>
      <c r="B4451" s="271"/>
      <c r="C4451" s="271"/>
      <c r="D4451" s="271"/>
      <c r="E4451" s="271"/>
      <c r="F4451" s="271"/>
      <c r="G4451" s="273"/>
      <c r="H4451" s="29"/>
      <c r="I4451" s="394"/>
      <c r="J4451" s="273"/>
      <c r="K4451" s="395"/>
      <c r="L4451" s="273"/>
      <c r="M4451" s="394" t="str">
        <f t="shared" si="613"/>
        <v/>
      </c>
      <c r="N4451" s="273"/>
    </row>
    <row r="4452" spans="1:14" ht="12.75" customHeight="1" x14ac:dyDescent="0.25">
      <c r="A4452" s="4"/>
      <c r="B4452" s="4"/>
      <c r="C4452" s="4"/>
      <c r="D4452" s="4"/>
      <c r="E4452" s="4"/>
      <c r="F4452" s="4"/>
      <c r="G4452" s="4"/>
      <c r="H4452" s="4"/>
      <c r="I4452" s="4"/>
      <c r="J4452" s="4"/>
      <c r="K4452" s="396" t="s">
        <v>444</v>
      </c>
      <c r="L4452" s="273"/>
      <c r="M4452" s="394">
        <f>SUM(M4447:N4451)</f>
        <v>0</v>
      </c>
      <c r="N4452" s="273"/>
    </row>
    <row r="4453" spans="1:14" ht="12.75" customHeight="1" x14ac:dyDescent="0.25">
      <c r="A4453" s="4"/>
      <c r="B4453" s="4"/>
      <c r="C4453" s="4"/>
      <c r="D4453" s="4"/>
      <c r="E4453" s="4"/>
      <c r="F4453" s="4"/>
      <c r="G4453" s="4"/>
      <c r="H4453" s="4"/>
      <c r="I4453" s="4"/>
      <c r="J4453" s="4"/>
      <c r="K4453" s="4"/>
      <c r="L4453" s="4"/>
      <c r="M4453" s="4"/>
      <c r="N4453" s="4"/>
    </row>
    <row r="4454" spans="1:14" ht="12.75" customHeight="1" x14ac:dyDescent="0.2">
      <c r="A4454" s="398" t="s">
        <v>931</v>
      </c>
      <c r="B4454" s="271"/>
      <c r="C4454" s="271"/>
      <c r="D4454" s="271"/>
      <c r="E4454" s="271"/>
      <c r="F4454" s="271"/>
      <c r="G4454" s="271"/>
      <c r="H4454" s="271"/>
      <c r="I4454" s="271"/>
      <c r="J4454" s="271"/>
      <c r="K4454" s="271"/>
      <c r="L4454" s="271"/>
      <c r="M4454" s="271"/>
      <c r="N4454" s="273"/>
    </row>
    <row r="4455" spans="1:14" ht="12.75" customHeight="1" x14ac:dyDescent="0.2">
      <c r="A4455" s="396" t="s">
        <v>76</v>
      </c>
      <c r="B4455" s="271"/>
      <c r="C4455" s="271"/>
      <c r="D4455" s="271"/>
      <c r="E4455" s="271"/>
      <c r="F4455" s="271"/>
      <c r="G4455" s="273"/>
      <c r="H4455" s="88" t="s">
        <v>77</v>
      </c>
      <c r="I4455" s="399" t="s">
        <v>920</v>
      </c>
      <c r="J4455" s="273"/>
      <c r="K4455" s="90" t="s">
        <v>514</v>
      </c>
      <c r="L4455" s="91" t="s">
        <v>932</v>
      </c>
      <c r="M4455" s="399" t="s">
        <v>921</v>
      </c>
      <c r="N4455" s="273"/>
    </row>
    <row r="4456" spans="1:14" ht="12.75" customHeight="1" x14ac:dyDescent="0.25">
      <c r="A4456" s="393" t="s">
        <v>1112</v>
      </c>
      <c r="B4456" s="271"/>
      <c r="C4456" s="271"/>
      <c r="D4456" s="271"/>
      <c r="E4456" s="271"/>
      <c r="F4456" s="271"/>
      <c r="G4456" s="273"/>
      <c r="H4456" s="29" t="str">
        <f>IF(A4456="","",VLOOKUP(A4456,AA_Cuadrillas,4,FALSE))</f>
        <v>Cuadrilla</v>
      </c>
      <c r="I4456" s="394">
        <f>IF(A4456="","",VLOOKUP(A4456,AA_Cuadrillas,5,FALSE))</f>
        <v>210108</v>
      </c>
      <c r="J4456" s="273"/>
      <c r="K4456" s="9">
        <f>IF(A4456="","",F.P!$I$2)</f>
        <v>1.88</v>
      </c>
      <c r="L4456" s="97">
        <v>0.4</v>
      </c>
      <c r="M4456" s="394">
        <f t="shared" ref="M4456:M4460" si="614">IF(A4456="","",I4456*K4456*L4456)</f>
        <v>158001.21600000001</v>
      </c>
      <c r="N4456" s="273"/>
    </row>
    <row r="4457" spans="1:14" ht="12.75" customHeight="1" x14ac:dyDescent="0.25">
      <c r="A4457" s="393"/>
      <c r="B4457" s="271"/>
      <c r="C4457" s="271"/>
      <c r="D4457" s="271"/>
      <c r="E4457" s="271"/>
      <c r="F4457" s="271"/>
      <c r="G4457" s="273"/>
      <c r="H4457" s="29" t="str">
        <f>IF(A4457="","",VLOOKUP(A4457,AA_Cuadrillas,4,FALSE))</f>
        <v/>
      </c>
      <c r="I4457" s="394" t="str">
        <f>IF(A4457="","",VLOOKUP(A4457,AA_Cuadrillas,5,FALSE))</f>
        <v/>
      </c>
      <c r="J4457" s="273"/>
      <c r="K4457" s="9" t="str">
        <f>IF(A4457="","",F.P!$I$2)</f>
        <v/>
      </c>
      <c r="L4457" s="9"/>
      <c r="M4457" s="394" t="str">
        <f t="shared" si="614"/>
        <v/>
      </c>
      <c r="N4457" s="273"/>
    </row>
    <row r="4458" spans="1:14" ht="12.75" customHeight="1" x14ac:dyDescent="0.25">
      <c r="A4458" s="393"/>
      <c r="B4458" s="271"/>
      <c r="C4458" s="271"/>
      <c r="D4458" s="271"/>
      <c r="E4458" s="271"/>
      <c r="F4458" s="271"/>
      <c r="G4458" s="273"/>
      <c r="H4458" s="29" t="str">
        <f>IF(A4458="","",VLOOKUP(A4458,AA_Cuadrillas,4,FALSE))</f>
        <v/>
      </c>
      <c r="I4458" s="394" t="str">
        <f>IF(A4458="","",VLOOKUP(A4458,AA_Cuadrillas,5,FALSE))</f>
        <v/>
      </c>
      <c r="J4458" s="273"/>
      <c r="K4458" s="9" t="str">
        <f>IF(A4458="","",F.P!$I$2)</f>
        <v/>
      </c>
      <c r="L4458" s="37"/>
      <c r="M4458" s="394" t="str">
        <f t="shared" si="614"/>
        <v/>
      </c>
      <c r="N4458" s="273"/>
    </row>
    <row r="4459" spans="1:14" ht="12.75" customHeight="1" x14ac:dyDescent="0.25">
      <c r="A4459" s="393"/>
      <c r="B4459" s="271"/>
      <c r="C4459" s="271"/>
      <c r="D4459" s="271"/>
      <c r="E4459" s="271"/>
      <c r="F4459" s="271"/>
      <c r="G4459" s="273"/>
      <c r="H4459" s="29" t="str">
        <f>IF(A4459="","",VLOOKUP(A4459,AA_Cuadrillas,4,FALSE))</f>
        <v/>
      </c>
      <c r="I4459" s="394" t="str">
        <f>IF(A4459="","",VLOOKUP(A4459,AA_Cuadrillas,5,FALSE))</f>
        <v/>
      </c>
      <c r="J4459" s="273"/>
      <c r="K4459" s="9" t="str">
        <f>IF(A4459="","",F.P!$I$2)</f>
        <v/>
      </c>
      <c r="L4459" s="37"/>
      <c r="M4459" s="394" t="str">
        <f t="shared" si="614"/>
        <v/>
      </c>
      <c r="N4459" s="273"/>
    </row>
    <row r="4460" spans="1:14" ht="12.75" customHeight="1" x14ac:dyDescent="0.25">
      <c r="A4460" s="393"/>
      <c r="B4460" s="271"/>
      <c r="C4460" s="271"/>
      <c r="D4460" s="271"/>
      <c r="E4460" s="271"/>
      <c r="F4460" s="271"/>
      <c r="G4460" s="273"/>
      <c r="H4460" s="29" t="str">
        <f>IF(A4460="","",VLOOKUP(A4460,AA_Cuadrillas,4,FALSE))</f>
        <v/>
      </c>
      <c r="I4460" s="394" t="str">
        <f>IF(A4460="","",VLOOKUP(A4460,AA_Cuadrillas,5,FALSE))</f>
        <v/>
      </c>
      <c r="J4460" s="273"/>
      <c r="K4460" s="9" t="str">
        <f>IF(A4460="","",F.P!$I$2)</f>
        <v/>
      </c>
      <c r="L4460" s="37"/>
      <c r="M4460" s="394" t="str">
        <f t="shared" si="614"/>
        <v/>
      </c>
      <c r="N4460" s="273"/>
    </row>
    <row r="4461" spans="1:14" ht="12.75" customHeight="1" x14ac:dyDescent="0.25">
      <c r="A4461" s="4"/>
      <c r="B4461" s="4"/>
      <c r="C4461" s="4"/>
      <c r="D4461" s="4"/>
      <c r="E4461" s="4"/>
      <c r="F4461" s="4"/>
      <c r="G4461" s="4"/>
      <c r="H4461" s="4"/>
      <c r="I4461" s="4"/>
      <c r="J4461" s="4"/>
      <c r="K4461" s="396" t="s">
        <v>444</v>
      </c>
      <c r="L4461" s="273"/>
      <c r="M4461" s="394">
        <f>SUM(M4456:N4460)</f>
        <v>158001.21600000001</v>
      </c>
      <c r="N4461" s="273"/>
    </row>
    <row r="4462" spans="1:14" ht="12.75" customHeight="1" x14ac:dyDescent="0.2"/>
    <row r="4463" spans="1:14" ht="12.75" customHeight="1" x14ac:dyDescent="0.2">
      <c r="A4463" s="407" t="s">
        <v>334</v>
      </c>
      <c r="B4463" s="275"/>
      <c r="C4463" s="275"/>
      <c r="D4463" s="275"/>
      <c r="E4463" s="275"/>
      <c r="F4463" s="275"/>
      <c r="G4463" s="275"/>
      <c r="H4463" s="275"/>
      <c r="I4463" s="275"/>
      <c r="J4463" s="275"/>
      <c r="K4463" s="275"/>
      <c r="L4463" s="275"/>
      <c r="M4463" s="275"/>
      <c r="N4463" s="276"/>
    </row>
    <row r="4464" spans="1:14" ht="12.75" customHeight="1" x14ac:dyDescent="0.2">
      <c r="A4464" s="277"/>
      <c r="B4464" s="278"/>
      <c r="C4464" s="278"/>
      <c r="D4464" s="278"/>
      <c r="E4464" s="278"/>
      <c r="F4464" s="278"/>
      <c r="G4464" s="278"/>
      <c r="H4464" s="278"/>
      <c r="I4464" s="278"/>
      <c r="J4464" s="278"/>
      <c r="K4464" s="278"/>
      <c r="L4464" s="278"/>
      <c r="M4464" s="278"/>
      <c r="N4464" s="279"/>
    </row>
    <row r="4465" spans="1:14" ht="12.75" customHeight="1" x14ac:dyDescent="0.2">
      <c r="A4465" s="75"/>
      <c r="B4465" s="75"/>
      <c r="C4465" s="75"/>
      <c r="D4465" s="75"/>
      <c r="E4465" s="75"/>
      <c r="F4465" s="75"/>
      <c r="G4465" s="75"/>
      <c r="H4465" s="75"/>
      <c r="I4465" s="75"/>
      <c r="J4465" s="75"/>
      <c r="K4465" s="75"/>
      <c r="L4465" s="75"/>
      <c r="M4465" s="75"/>
      <c r="N4465" s="75"/>
    </row>
    <row r="4466" spans="1:14" ht="12.75" customHeight="1" x14ac:dyDescent="0.3">
      <c r="A4466" s="79" t="s">
        <v>718</v>
      </c>
      <c r="B4466" s="80" t="str">
        <f>A4463</f>
        <v>SUMINISTRO E INSTALACIÓN TEE 90° Ø10" EN HIERRO DUCTIL (INCLUYE MATERIALES, HERRAMIENTAS Y MANO DE OBRA)</v>
      </c>
      <c r="C4466" s="81" t="s">
        <v>916</v>
      </c>
      <c r="D4466" s="82" t="s">
        <v>999</v>
      </c>
      <c r="E4466" s="83" t="s">
        <v>445</v>
      </c>
      <c r="F4466" s="86">
        <f>H4466+J4466+L4466+N4466</f>
        <v>3295028.0268000001</v>
      </c>
      <c r="G4466" s="83" t="s">
        <v>607</v>
      </c>
      <c r="H4466" s="86">
        <f>M4487</f>
        <v>7900.0608000000011</v>
      </c>
      <c r="I4466" s="83" t="s">
        <v>918</v>
      </c>
      <c r="J4466" s="86">
        <f>M4478</f>
        <v>3129126.75</v>
      </c>
      <c r="K4466" s="83" t="s">
        <v>609</v>
      </c>
      <c r="L4466" s="86">
        <f>M4496</f>
        <v>0</v>
      </c>
      <c r="M4466" s="83" t="s">
        <v>610</v>
      </c>
      <c r="N4466" s="86">
        <f>M4505</f>
        <v>158001.21600000001</v>
      </c>
    </row>
    <row r="4467" spans="1:14" ht="12.75" customHeight="1" x14ac:dyDescent="0.25">
      <c r="A4467" s="87"/>
      <c r="B4467" s="87"/>
      <c r="C4467" s="87"/>
      <c r="D4467" s="87"/>
      <c r="E4467" s="87"/>
      <c r="F4467" s="87"/>
      <c r="G4467" s="87"/>
      <c r="J4467" s="87"/>
      <c r="K4467" s="215" t="s">
        <v>3217</v>
      </c>
      <c r="L4467" s="215">
        <f>+F4466*presup!$O$5</f>
        <v>4283536.4348400002</v>
      </c>
      <c r="M4467" s="87"/>
      <c r="N4467" s="87"/>
    </row>
    <row r="4468" spans="1:14" ht="12.75" customHeight="1" x14ac:dyDescent="0.2">
      <c r="A4468" s="398" t="s">
        <v>919</v>
      </c>
      <c r="B4468" s="271"/>
      <c r="C4468" s="271"/>
      <c r="D4468" s="271"/>
      <c r="E4468" s="271"/>
      <c r="F4468" s="271"/>
      <c r="G4468" s="271"/>
      <c r="H4468" s="271"/>
      <c r="I4468" s="271"/>
      <c r="J4468" s="271"/>
      <c r="K4468" s="271"/>
      <c r="L4468" s="271"/>
      <c r="M4468" s="271"/>
      <c r="N4468" s="273"/>
    </row>
    <row r="4469" spans="1:14" ht="12.75" customHeight="1" x14ac:dyDescent="0.2">
      <c r="A4469" s="396" t="s">
        <v>76</v>
      </c>
      <c r="B4469" s="271"/>
      <c r="C4469" s="271"/>
      <c r="D4469" s="271"/>
      <c r="E4469" s="271"/>
      <c r="F4469" s="271"/>
      <c r="G4469" s="273"/>
      <c r="H4469" s="88" t="s">
        <v>77</v>
      </c>
      <c r="I4469" s="399" t="s">
        <v>920</v>
      </c>
      <c r="J4469" s="273"/>
      <c r="K4469" s="399" t="s">
        <v>453</v>
      </c>
      <c r="L4469" s="273"/>
      <c r="M4469" s="399" t="s">
        <v>921</v>
      </c>
      <c r="N4469" s="273"/>
    </row>
    <row r="4470" spans="1:14" ht="12.75" customHeight="1" x14ac:dyDescent="0.2">
      <c r="A4470" s="403" t="s">
        <v>1183</v>
      </c>
      <c r="B4470" s="271"/>
      <c r="C4470" s="271"/>
      <c r="D4470" s="271"/>
      <c r="E4470" s="271"/>
      <c r="F4470" s="271"/>
      <c r="G4470" s="273"/>
      <c r="H4470" s="29" t="str">
        <f t="shared" ref="H4470:H4477" si="615">IF(A4470="","",VLOOKUP(A4470,AA_Materiales,7,FALSE))</f>
        <v>Unidad</v>
      </c>
      <c r="I4470" s="394">
        <f t="shared" ref="I4470:I4477" si="616">IF(A4470="","",VLOOKUP(A4470,AA_Materiales,8,FALSE))</f>
        <v>3128000</v>
      </c>
      <c r="J4470" s="273"/>
      <c r="K4470" s="395">
        <v>1</v>
      </c>
      <c r="L4470" s="273"/>
      <c r="M4470" s="394">
        <f t="shared" ref="M4470:M4477" si="617">IF(A4470="","",I4470*K4470)</f>
        <v>3128000</v>
      </c>
      <c r="N4470" s="273"/>
    </row>
    <row r="4471" spans="1:14" ht="12.75" customHeight="1" x14ac:dyDescent="0.2">
      <c r="A4471" s="403" t="s">
        <v>1111</v>
      </c>
      <c r="B4471" s="271"/>
      <c r="C4471" s="271"/>
      <c r="D4471" s="271"/>
      <c r="E4471" s="271"/>
      <c r="F4471" s="271"/>
      <c r="G4471" s="273"/>
      <c r="H4471" s="29" t="str">
        <f t="shared" si="615"/>
        <v>Unidad</v>
      </c>
      <c r="I4471" s="394">
        <f t="shared" si="616"/>
        <v>22535</v>
      </c>
      <c r="J4471" s="273"/>
      <c r="K4471" s="395">
        <v>0.05</v>
      </c>
      <c r="L4471" s="273"/>
      <c r="M4471" s="394">
        <f t="shared" si="617"/>
        <v>1126.75</v>
      </c>
      <c r="N4471" s="273"/>
    </row>
    <row r="4472" spans="1:14" ht="12.75" customHeight="1" x14ac:dyDescent="0.2">
      <c r="A4472" s="403"/>
      <c r="B4472" s="271"/>
      <c r="C4472" s="271"/>
      <c r="D4472" s="271"/>
      <c r="E4472" s="271"/>
      <c r="F4472" s="271"/>
      <c r="G4472" s="273"/>
      <c r="H4472" s="29" t="str">
        <f t="shared" si="615"/>
        <v/>
      </c>
      <c r="I4472" s="394" t="str">
        <f t="shared" si="616"/>
        <v/>
      </c>
      <c r="J4472" s="273"/>
      <c r="K4472" s="395"/>
      <c r="L4472" s="273"/>
      <c r="M4472" s="394" t="str">
        <f t="shared" si="617"/>
        <v/>
      </c>
      <c r="N4472" s="273"/>
    </row>
    <row r="4473" spans="1:14" ht="12.75" customHeight="1" x14ac:dyDescent="0.2">
      <c r="A4473" s="403"/>
      <c r="B4473" s="271"/>
      <c r="C4473" s="271"/>
      <c r="D4473" s="271"/>
      <c r="E4473" s="271"/>
      <c r="F4473" s="271"/>
      <c r="G4473" s="273"/>
      <c r="H4473" s="29" t="str">
        <f t="shared" si="615"/>
        <v/>
      </c>
      <c r="I4473" s="394" t="str">
        <f t="shared" si="616"/>
        <v/>
      </c>
      <c r="J4473" s="273"/>
      <c r="K4473" s="395"/>
      <c r="L4473" s="273"/>
      <c r="M4473" s="394" t="str">
        <f t="shared" si="617"/>
        <v/>
      </c>
      <c r="N4473" s="273"/>
    </row>
    <row r="4474" spans="1:14" ht="12.75" customHeight="1" x14ac:dyDescent="0.2">
      <c r="A4474" s="403"/>
      <c r="B4474" s="271"/>
      <c r="C4474" s="271"/>
      <c r="D4474" s="271"/>
      <c r="E4474" s="271"/>
      <c r="F4474" s="271"/>
      <c r="G4474" s="273"/>
      <c r="H4474" s="29" t="str">
        <f t="shared" si="615"/>
        <v/>
      </c>
      <c r="I4474" s="394" t="str">
        <f t="shared" si="616"/>
        <v/>
      </c>
      <c r="J4474" s="273"/>
      <c r="K4474" s="395"/>
      <c r="L4474" s="273"/>
      <c r="M4474" s="394" t="str">
        <f t="shared" si="617"/>
        <v/>
      </c>
      <c r="N4474" s="273"/>
    </row>
    <row r="4475" spans="1:14" ht="12.75" customHeight="1" x14ac:dyDescent="0.2">
      <c r="A4475" s="403"/>
      <c r="B4475" s="271"/>
      <c r="C4475" s="271"/>
      <c r="D4475" s="271"/>
      <c r="E4475" s="271"/>
      <c r="F4475" s="271"/>
      <c r="G4475" s="273"/>
      <c r="H4475" s="29" t="str">
        <f t="shared" si="615"/>
        <v/>
      </c>
      <c r="I4475" s="394" t="str">
        <f t="shared" si="616"/>
        <v/>
      </c>
      <c r="J4475" s="273"/>
      <c r="K4475" s="395"/>
      <c r="L4475" s="273"/>
      <c r="M4475" s="394" t="str">
        <f t="shared" si="617"/>
        <v/>
      </c>
      <c r="N4475" s="273"/>
    </row>
    <row r="4476" spans="1:14" ht="12.75" customHeight="1" x14ac:dyDescent="0.2">
      <c r="A4476" s="403"/>
      <c r="B4476" s="271"/>
      <c r="C4476" s="271"/>
      <c r="D4476" s="271"/>
      <c r="E4476" s="271"/>
      <c r="F4476" s="271"/>
      <c r="G4476" s="273"/>
      <c r="H4476" s="29" t="str">
        <f t="shared" si="615"/>
        <v/>
      </c>
      <c r="I4476" s="394" t="str">
        <f t="shared" si="616"/>
        <v/>
      </c>
      <c r="J4476" s="273"/>
      <c r="K4476" s="395"/>
      <c r="L4476" s="273"/>
      <c r="M4476" s="394" t="str">
        <f t="shared" si="617"/>
        <v/>
      </c>
      <c r="N4476" s="273"/>
    </row>
    <row r="4477" spans="1:14" ht="12.75" customHeight="1" x14ac:dyDescent="0.2">
      <c r="A4477" s="403"/>
      <c r="B4477" s="271"/>
      <c r="C4477" s="271"/>
      <c r="D4477" s="271"/>
      <c r="E4477" s="271"/>
      <c r="F4477" s="271"/>
      <c r="G4477" s="273"/>
      <c r="H4477" s="29" t="str">
        <f t="shared" si="615"/>
        <v/>
      </c>
      <c r="I4477" s="394" t="str">
        <f t="shared" si="616"/>
        <v/>
      </c>
      <c r="J4477" s="273"/>
      <c r="K4477" s="395"/>
      <c r="L4477" s="273"/>
      <c r="M4477" s="394" t="str">
        <f t="shared" si="617"/>
        <v/>
      </c>
      <c r="N4477" s="273"/>
    </row>
    <row r="4478" spans="1:14" ht="12.75" customHeight="1" x14ac:dyDescent="0.25">
      <c r="A4478" s="4"/>
      <c r="B4478" s="4"/>
      <c r="C4478" s="4"/>
      <c r="D4478" s="4"/>
      <c r="E4478" s="4"/>
      <c r="F4478" s="4"/>
      <c r="G4478" s="4"/>
      <c r="H4478" s="4"/>
      <c r="I4478" s="4"/>
      <c r="J4478" s="4"/>
      <c r="K4478" s="396" t="s">
        <v>444</v>
      </c>
      <c r="L4478" s="273"/>
      <c r="M4478" s="394">
        <f>SUM(M4470:N4477)</f>
        <v>3129126.75</v>
      </c>
      <c r="N4478" s="273"/>
    </row>
    <row r="4479" spans="1:14" ht="12.75" customHeight="1" x14ac:dyDescent="0.25">
      <c r="A4479" s="4"/>
      <c r="B4479" s="4"/>
      <c r="C4479" s="4"/>
      <c r="D4479" s="4"/>
      <c r="E4479" s="4"/>
      <c r="F4479" s="4"/>
      <c r="G4479" s="4"/>
      <c r="H4479" s="4"/>
      <c r="I4479" s="4"/>
      <c r="J4479" s="4"/>
      <c r="K4479" s="4"/>
      <c r="L4479" s="4"/>
      <c r="M4479" s="4"/>
      <c r="N4479" s="4"/>
    </row>
    <row r="4480" spans="1:14" ht="12.75" customHeight="1" x14ac:dyDescent="0.2">
      <c r="A4480" s="398" t="s">
        <v>926</v>
      </c>
      <c r="B4480" s="271"/>
      <c r="C4480" s="271"/>
      <c r="D4480" s="271"/>
      <c r="E4480" s="271"/>
      <c r="F4480" s="271"/>
      <c r="G4480" s="271"/>
      <c r="H4480" s="271"/>
      <c r="I4480" s="271"/>
      <c r="J4480" s="271"/>
      <c r="K4480" s="271"/>
      <c r="L4480" s="271"/>
      <c r="M4480" s="271"/>
      <c r="N4480" s="273"/>
    </row>
    <row r="4481" spans="1:14" ht="12.75" customHeight="1" x14ac:dyDescent="0.2">
      <c r="A4481" s="396" t="s">
        <v>76</v>
      </c>
      <c r="B4481" s="271"/>
      <c r="C4481" s="271"/>
      <c r="D4481" s="271"/>
      <c r="E4481" s="271"/>
      <c r="F4481" s="271"/>
      <c r="G4481" s="273"/>
      <c r="H4481" s="88" t="s">
        <v>77</v>
      </c>
      <c r="I4481" s="399" t="s">
        <v>920</v>
      </c>
      <c r="J4481" s="273"/>
      <c r="K4481" s="399" t="s">
        <v>453</v>
      </c>
      <c r="L4481" s="273"/>
      <c r="M4481" s="399" t="s">
        <v>921</v>
      </c>
      <c r="N4481" s="273"/>
    </row>
    <row r="4482" spans="1:14" ht="12.75" customHeight="1" x14ac:dyDescent="0.2">
      <c r="A4482" s="400" t="s">
        <v>927</v>
      </c>
      <c r="B4482" s="271"/>
      <c r="C4482" s="271"/>
      <c r="D4482" s="271"/>
      <c r="E4482" s="271"/>
      <c r="F4482" s="271"/>
      <c r="G4482" s="273"/>
      <c r="H4482" s="29" t="str">
        <f>IF(A4482="","",VLOOKUP(A4482,AA_Equipos,7,FALSE))</f>
        <v>% M.O.</v>
      </c>
      <c r="I4482" s="394">
        <f>+M4505</f>
        <v>158001.21600000001</v>
      </c>
      <c r="J4482" s="273"/>
      <c r="K4482" s="404">
        <v>0.05</v>
      </c>
      <c r="L4482" s="273"/>
      <c r="M4482" s="394">
        <f t="shared" ref="M4482:M4486" si="618">IF(A4482="","",I4482*K4482)</f>
        <v>7900.0608000000011</v>
      </c>
      <c r="N4482" s="273"/>
    </row>
    <row r="4483" spans="1:14" ht="12.75" customHeight="1" x14ac:dyDescent="0.2">
      <c r="A4483" s="403"/>
      <c r="B4483" s="271"/>
      <c r="C4483" s="271"/>
      <c r="D4483" s="271"/>
      <c r="E4483" s="271"/>
      <c r="F4483" s="271"/>
      <c r="G4483" s="273"/>
      <c r="H4483" s="29" t="str">
        <f>IF(A4483="","",VLOOKUP(A4483,AA_Equipos,7,FALSE))</f>
        <v/>
      </c>
      <c r="I4483" s="394" t="str">
        <f>IF(A4483="","",VLOOKUP(A4483,AA_Equipos,8,FALSE))</f>
        <v/>
      </c>
      <c r="J4483" s="273"/>
      <c r="K4483" s="402"/>
      <c r="L4483" s="273"/>
      <c r="M4483" s="394" t="str">
        <f t="shared" si="618"/>
        <v/>
      </c>
      <c r="N4483" s="273"/>
    </row>
    <row r="4484" spans="1:14" ht="12.75" customHeight="1" x14ac:dyDescent="0.2">
      <c r="A4484" s="400"/>
      <c r="B4484" s="271"/>
      <c r="C4484" s="271"/>
      <c r="D4484" s="271"/>
      <c r="E4484" s="271"/>
      <c r="F4484" s="271"/>
      <c r="G4484" s="273"/>
      <c r="H4484" s="29" t="str">
        <f>IF(A4484="","",VLOOKUP(A4484,AA_Equipos,7,FALSE))</f>
        <v/>
      </c>
      <c r="I4484" s="394" t="str">
        <f>IF(A4484="","",VLOOKUP(A4484,AA_Equipos,8,FALSE))</f>
        <v/>
      </c>
      <c r="J4484" s="273"/>
      <c r="K4484" s="401"/>
      <c r="L4484" s="273"/>
      <c r="M4484" s="394" t="str">
        <f t="shared" si="618"/>
        <v/>
      </c>
      <c r="N4484" s="273"/>
    </row>
    <row r="4485" spans="1:14" ht="12.75" customHeight="1" x14ac:dyDescent="0.2">
      <c r="A4485" s="400"/>
      <c r="B4485" s="271"/>
      <c r="C4485" s="271"/>
      <c r="D4485" s="271"/>
      <c r="E4485" s="271"/>
      <c r="F4485" s="271"/>
      <c r="G4485" s="273"/>
      <c r="H4485" s="29" t="str">
        <f>IF(A4485="","",VLOOKUP(A4485,AA_Equipos,7,FALSE))</f>
        <v/>
      </c>
      <c r="I4485" s="394" t="str">
        <f>IF(A4485="","",VLOOKUP(A4485,AA_Equipos,8,FALSE))</f>
        <v/>
      </c>
      <c r="J4485" s="273"/>
      <c r="K4485" s="395"/>
      <c r="L4485" s="273"/>
      <c r="M4485" s="394" t="str">
        <f t="shared" si="618"/>
        <v/>
      </c>
      <c r="N4485" s="273"/>
    </row>
    <row r="4486" spans="1:14" ht="12.75" customHeight="1" x14ac:dyDescent="0.2">
      <c r="A4486" s="400"/>
      <c r="B4486" s="271"/>
      <c r="C4486" s="271"/>
      <c r="D4486" s="271"/>
      <c r="E4486" s="271"/>
      <c r="F4486" s="271"/>
      <c r="G4486" s="273"/>
      <c r="H4486" s="29" t="str">
        <f>IF(A4486="","",VLOOKUP(A4486,AA_Equipos,7,FALSE))</f>
        <v/>
      </c>
      <c r="I4486" s="394" t="str">
        <f>IF(A4486="","",VLOOKUP(A4486,AA_Equipos,8,FALSE))</f>
        <v/>
      </c>
      <c r="J4486" s="273"/>
      <c r="K4486" s="395"/>
      <c r="L4486" s="273"/>
      <c r="M4486" s="394" t="str">
        <f t="shared" si="618"/>
        <v/>
      </c>
      <c r="N4486" s="273"/>
    </row>
    <row r="4487" spans="1:14" ht="12.75" customHeight="1" x14ac:dyDescent="0.25">
      <c r="A4487" s="4"/>
      <c r="B4487" s="4"/>
      <c r="C4487" s="4"/>
      <c r="D4487" s="4"/>
      <c r="E4487" s="4"/>
      <c r="F4487" s="4"/>
      <c r="G4487" s="4"/>
      <c r="H4487" s="4"/>
      <c r="I4487" s="4"/>
      <c r="J4487" s="4"/>
      <c r="K4487" s="396" t="s">
        <v>444</v>
      </c>
      <c r="L4487" s="273"/>
      <c r="M4487" s="394">
        <f>SUM(M4482:N4486)</f>
        <v>7900.0608000000011</v>
      </c>
      <c r="N4487" s="273"/>
    </row>
    <row r="4488" spans="1:14" ht="12.75" customHeight="1" x14ac:dyDescent="0.25">
      <c r="A4488" s="4"/>
      <c r="B4488" s="4"/>
      <c r="C4488" s="4"/>
      <c r="D4488" s="4"/>
      <c r="E4488" s="4"/>
      <c r="F4488" s="4"/>
      <c r="G4488" s="4"/>
      <c r="H4488" s="4"/>
      <c r="I4488" s="4"/>
      <c r="J4488" s="4"/>
      <c r="K4488" s="4"/>
      <c r="L4488" s="4"/>
      <c r="M4488" s="4"/>
      <c r="N4488" s="4"/>
    </row>
    <row r="4489" spans="1:14" ht="12.75" customHeight="1" x14ac:dyDescent="0.2">
      <c r="A4489" s="398" t="s">
        <v>929</v>
      </c>
      <c r="B4489" s="271"/>
      <c r="C4489" s="271"/>
      <c r="D4489" s="271"/>
      <c r="E4489" s="271"/>
      <c r="F4489" s="271"/>
      <c r="G4489" s="271"/>
      <c r="H4489" s="271"/>
      <c r="I4489" s="271"/>
      <c r="J4489" s="271"/>
      <c r="K4489" s="271"/>
      <c r="L4489" s="271"/>
      <c r="M4489" s="271"/>
      <c r="N4489" s="273"/>
    </row>
    <row r="4490" spans="1:14" ht="12.75" customHeight="1" x14ac:dyDescent="0.2">
      <c r="A4490" s="396" t="s">
        <v>76</v>
      </c>
      <c r="B4490" s="271"/>
      <c r="C4490" s="271"/>
      <c r="D4490" s="271"/>
      <c r="E4490" s="271"/>
      <c r="F4490" s="271"/>
      <c r="G4490" s="273"/>
      <c r="H4490" s="88" t="s">
        <v>77</v>
      </c>
      <c r="I4490" s="399" t="s">
        <v>920</v>
      </c>
      <c r="J4490" s="273"/>
      <c r="K4490" s="399" t="s">
        <v>453</v>
      </c>
      <c r="L4490" s="273"/>
      <c r="M4490" s="399" t="s">
        <v>921</v>
      </c>
      <c r="N4490" s="273"/>
    </row>
    <row r="4491" spans="1:14" ht="12.75" customHeight="1" x14ac:dyDescent="0.2">
      <c r="A4491" s="400"/>
      <c r="B4491" s="271"/>
      <c r="C4491" s="271"/>
      <c r="D4491" s="271"/>
      <c r="E4491" s="271"/>
      <c r="F4491" s="271"/>
      <c r="G4491" s="273"/>
      <c r="H4491" s="29"/>
      <c r="I4491" s="394"/>
      <c r="J4491" s="273"/>
      <c r="K4491" s="404"/>
      <c r="L4491" s="273"/>
      <c r="M4491" s="394" t="str">
        <f t="shared" ref="M4491:M4495" si="619">IF(A4491="","",I4491*K4491)</f>
        <v/>
      </c>
      <c r="N4491" s="273"/>
    </row>
    <row r="4492" spans="1:14" ht="12.75" customHeight="1" x14ac:dyDescent="0.2">
      <c r="A4492" s="403"/>
      <c r="B4492" s="271"/>
      <c r="C4492" s="271"/>
      <c r="D4492" s="271"/>
      <c r="E4492" s="271"/>
      <c r="F4492" s="271"/>
      <c r="G4492" s="273"/>
      <c r="H4492" s="29"/>
      <c r="I4492" s="394"/>
      <c r="J4492" s="273"/>
      <c r="K4492" s="404"/>
      <c r="L4492" s="273"/>
      <c r="M4492" s="394" t="str">
        <f t="shared" si="619"/>
        <v/>
      </c>
      <c r="N4492" s="273"/>
    </row>
    <row r="4493" spans="1:14" ht="12.75" customHeight="1" x14ac:dyDescent="0.2">
      <c r="A4493" s="400"/>
      <c r="B4493" s="271"/>
      <c r="C4493" s="271"/>
      <c r="D4493" s="271"/>
      <c r="E4493" s="271"/>
      <c r="F4493" s="271"/>
      <c r="G4493" s="273"/>
      <c r="H4493" s="29"/>
      <c r="I4493" s="394"/>
      <c r="J4493" s="273"/>
      <c r="K4493" s="395"/>
      <c r="L4493" s="273"/>
      <c r="M4493" s="394" t="str">
        <f t="shared" si="619"/>
        <v/>
      </c>
      <c r="N4493" s="273"/>
    </row>
    <row r="4494" spans="1:14" ht="12.75" customHeight="1" x14ac:dyDescent="0.2">
      <c r="A4494" s="400"/>
      <c r="B4494" s="271"/>
      <c r="C4494" s="271"/>
      <c r="D4494" s="271"/>
      <c r="E4494" s="271"/>
      <c r="F4494" s="271"/>
      <c r="G4494" s="273"/>
      <c r="H4494" s="29"/>
      <c r="I4494" s="394"/>
      <c r="J4494" s="273"/>
      <c r="K4494" s="395"/>
      <c r="L4494" s="273"/>
      <c r="M4494" s="394" t="str">
        <f t="shared" si="619"/>
        <v/>
      </c>
      <c r="N4494" s="273"/>
    </row>
    <row r="4495" spans="1:14" ht="12.75" customHeight="1" x14ac:dyDescent="0.2">
      <c r="A4495" s="400"/>
      <c r="B4495" s="271"/>
      <c r="C4495" s="271"/>
      <c r="D4495" s="271"/>
      <c r="E4495" s="271"/>
      <c r="F4495" s="271"/>
      <c r="G4495" s="273"/>
      <c r="H4495" s="29"/>
      <c r="I4495" s="394"/>
      <c r="J4495" s="273"/>
      <c r="K4495" s="395"/>
      <c r="L4495" s="273"/>
      <c r="M4495" s="394" t="str">
        <f t="shared" si="619"/>
        <v/>
      </c>
      <c r="N4495" s="273"/>
    </row>
    <row r="4496" spans="1:14" ht="12.75" customHeight="1" x14ac:dyDescent="0.25">
      <c r="A4496" s="4"/>
      <c r="B4496" s="4"/>
      <c r="C4496" s="4"/>
      <c r="D4496" s="4"/>
      <c r="E4496" s="4"/>
      <c r="F4496" s="4"/>
      <c r="G4496" s="4"/>
      <c r="H4496" s="4"/>
      <c r="I4496" s="4"/>
      <c r="J4496" s="4"/>
      <c r="K4496" s="396" t="s">
        <v>444</v>
      </c>
      <c r="L4496" s="273"/>
      <c r="M4496" s="394">
        <f>SUM(M4491:N4495)</f>
        <v>0</v>
      </c>
      <c r="N4496" s="273"/>
    </row>
    <row r="4497" spans="1:14" ht="12.75" customHeight="1" x14ac:dyDescent="0.25">
      <c r="A4497" s="4"/>
      <c r="B4497" s="4"/>
      <c r="C4497" s="4"/>
      <c r="D4497" s="4"/>
      <c r="E4497" s="4"/>
      <c r="F4497" s="4"/>
      <c r="G4497" s="4"/>
      <c r="H4497" s="4"/>
      <c r="I4497" s="4"/>
      <c r="J4497" s="4"/>
      <c r="K4497" s="4"/>
      <c r="L4497" s="4"/>
      <c r="M4497" s="4"/>
      <c r="N4497" s="4"/>
    </row>
    <row r="4498" spans="1:14" ht="12.75" customHeight="1" x14ac:dyDescent="0.2">
      <c r="A4498" s="398" t="s">
        <v>931</v>
      </c>
      <c r="B4498" s="271"/>
      <c r="C4498" s="271"/>
      <c r="D4498" s="271"/>
      <c r="E4498" s="271"/>
      <c r="F4498" s="271"/>
      <c r="G4498" s="271"/>
      <c r="H4498" s="271"/>
      <c r="I4498" s="271"/>
      <c r="J4498" s="271"/>
      <c r="K4498" s="271"/>
      <c r="L4498" s="271"/>
      <c r="M4498" s="271"/>
      <c r="N4498" s="273"/>
    </row>
    <row r="4499" spans="1:14" ht="12.75" customHeight="1" x14ac:dyDescent="0.2">
      <c r="A4499" s="396" t="s">
        <v>76</v>
      </c>
      <c r="B4499" s="271"/>
      <c r="C4499" s="271"/>
      <c r="D4499" s="271"/>
      <c r="E4499" s="271"/>
      <c r="F4499" s="271"/>
      <c r="G4499" s="273"/>
      <c r="H4499" s="88" t="s">
        <v>77</v>
      </c>
      <c r="I4499" s="399" t="s">
        <v>920</v>
      </c>
      <c r="J4499" s="273"/>
      <c r="K4499" s="90" t="s">
        <v>514</v>
      </c>
      <c r="L4499" s="91" t="s">
        <v>932</v>
      </c>
      <c r="M4499" s="399" t="s">
        <v>921</v>
      </c>
      <c r="N4499" s="273"/>
    </row>
    <row r="4500" spans="1:14" ht="12.75" customHeight="1" x14ac:dyDescent="0.25">
      <c r="A4500" s="393" t="s">
        <v>1112</v>
      </c>
      <c r="B4500" s="271"/>
      <c r="C4500" s="271"/>
      <c r="D4500" s="271"/>
      <c r="E4500" s="271"/>
      <c r="F4500" s="271"/>
      <c r="G4500" s="273"/>
      <c r="H4500" s="29" t="str">
        <f>IF(A4500="","",VLOOKUP(A4500,AA_Cuadrillas,4,FALSE))</f>
        <v>Cuadrilla</v>
      </c>
      <c r="I4500" s="394">
        <f>IF(A4500="","",VLOOKUP(A4500,AA_Cuadrillas,5,FALSE))</f>
        <v>210108</v>
      </c>
      <c r="J4500" s="273"/>
      <c r="K4500" s="9">
        <f>IF(A4500="","",F.P!$I$2)</f>
        <v>1.88</v>
      </c>
      <c r="L4500" s="97">
        <v>0.4</v>
      </c>
      <c r="M4500" s="394">
        <f t="shared" ref="M4500:M4504" si="620">IF(A4500="","",I4500*K4500*L4500)</f>
        <v>158001.21600000001</v>
      </c>
      <c r="N4500" s="273"/>
    </row>
    <row r="4501" spans="1:14" ht="12.75" customHeight="1" x14ac:dyDescent="0.25">
      <c r="A4501" s="393"/>
      <c r="B4501" s="271"/>
      <c r="C4501" s="271"/>
      <c r="D4501" s="271"/>
      <c r="E4501" s="271"/>
      <c r="F4501" s="271"/>
      <c r="G4501" s="273"/>
      <c r="H4501" s="29" t="str">
        <f>IF(A4501="","",VLOOKUP(A4501,AA_Cuadrillas,4,FALSE))</f>
        <v/>
      </c>
      <c r="I4501" s="394" t="str">
        <f>IF(A4501="","",VLOOKUP(A4501,AA_Cuadrillas,5,FALSE))</f>
        <v/>
      </c>
      <c r="J4501" s="273"/>
      <c r="K4501" s="9" t="str">
        <f>IF(A4501="","",F.P!$I$2)</f>
        <v/>
      </c>
      <c r="L4501" s="9"/>
      <c r="M4501" s="394" t="str">
        <f t="shared" si="620"/>
        <v/>
      </c>
      <c r="N4501" s="273"/>
    </row>
    <row r="4502" spans="1:14" ht="12.75" customHeight="1" x14ac:dyDescent="0.25">
      <c r="A4502" s="393"/>
      <c r="B4502" s="271"/>
      <c r="C4502" s="271"/>
      <c r="D4502" s="271"/>
      <c r="E4502" s="271"/>
      <c r="F4502" s="271"/>
      <c r="G4502" s="273"/>
      <c r="H4502" s="29" t="str">
        <f>IF(A4502="","",VLOOKUP(A4502,AA_Cuadrillas,4,FALSE))</f>
        <v/>
      </c>
      <c r="I4502" s="394" t="str">
        <f>IF(A4502="","",VLOOKUP(A4502,AA_Cuadrillas,5,FALSE))</f>
        <v/>
      </c>
      <c r="J4502" s="273"/>
      <c r="K4502" s="9" t="str">
        <f>IF(A4502="","",F.P!$I$2)</f>
        <v/>
      </c>
      <c r="L4502" s="37"/>
      <c r="M4502" s="394" t="str">
        <f t="shared" si="620"/>
        <v/>
      </c>
      <c r="N4502" s="273"/>
    </row>
    <row r="4503" spans="1:14" ht="12.75" customHeight="1" x14ac:dyDescent="0.25">
      <c r="A4503" s="393"/>
      <c r="B4503" s="271"/>
      <c r="C4503" s="271"/>
      <c r="D4503" s="271"/>
      <c r="E4503" s="271"/>
      <c r="F4503" s="271"/>
      <c r="G4503" s="273"/>
      <c r="H4503" s="29" t="str">
        <f>IF(A4503="","",VLOOKUP(A4503,AA_Cuadrillas,4,FALSE))</f>
        <v/>
      </c>
      <c r="I4503" s="394" t="str">
        <f>IF(A4503="","",VLOOKUP(A4503,AA_Cuadrillas,5,FALSE))</f>
        <v/>
      </c>
      <c r="J4503" s="273"/>
      <c r="K4503" s="9" t="str">
        <f>IF(A4503="","",F.P!$I$2)</f>
        <v/>
      </c>
      <c r="L4503" s="37"/>
      <c r="M4503" s="394" t="str">
        <f t="shared" si="620"/>
        <v/>
      </c>
      <c r="N4503" s="273"/>
    </row>
    <row r="4504" spans="1:14" ht="12.75" customHeight="1" x14ac:dyDescent="0.25">
      <c r="A4504" s="393"/>
      <c r="B4504" s="271"/>
      <c r="C4504" s="271"/>
      <c r="D4504" s="271"/>
      <c r="E4504" s="271"/>
      <c r="F4504" s="271"/>
      <c r="G4504" s="273"/>
      <c r="H4504" s="29" t="str">
        <f>IF(A4504="","",VLOOKUP(A4504,AA_Cuadrillas,4,FALSE))</f>
        <v/>
      </c>
      <c r="I4504" s="394" t="str">
        <f>IF(A4504="","",VLOOKUP(A4504,AA_Cuadrillas,5,FALSE))</f>
        <v/>
      </c>
      <c r="J4504" s="273"/>
      <c r="K4504" s="9" t="str">
        <f>IF(A4504="","",F.P!$I$2)</f>
        <v/>
      </c>
      <c r="L4504" s="37"/>
      <c r="M4504" s="394" t="str">
        <f t="shared" si="620"/>
        <v/>
      </c>
      <c r="N4504" s="273"/>
    </row>
    <row r="4505" spans="1:14" ht="12.75" customHeight="1" x14ac:dyDescent="0.25">
      <c r="A4505" s="4"/>
      <c r="B4505" s="4"/>
      <c r="C4505" s="4"/>
      <c r="D4505" s="4"/>
      <c r="E4505" s="4"/>
      <c r="F4505" s="4"/>
      <c r="G4505" s="4"/>
      <c r="H4505" s="4"/>
      <c r="I4505" s="4"/>
      <c r="J4505" s="4"/>
      <c r="K4505" s="396" t="s">
        <v>444</v>
      </c>
      <c r="L4505" s="273"/>
      <c r="M4505" s="394">
        <f>SUM(M4500:N4504)</f>
        <v>158001.21600000001</v>
      </c>
      <c r="N4505" s="273"/>
    </row>
    <row r="4506" spans="1:14" ht="12.75" customHeight="1" x14ac:dyDescent="0.2"/>
    <row r="4507" spans="1:14" ht="12.75" customHeight="1" x14ac:dyDescent="0.2">
      <c r="A4507" s="407" t="s">
        <v>319</v>
      </c>
      <c r="B4507" s="275"/>
      <c r="C4507" s="275"/>
      <c r="D4507" s="275"/>
      <c r="E4507" s="275"/>
      <c r="F4507" s="275"/>
      <c r="G4507" s="275"/>
      <c r="H4507" s="275"/>
      <c r="I4507" s="275"/>
      <c r="J4507" s="275"/>
      <c r="K4507" s="275"/>
      <c r="L4507" s="275"/>
      <c r="M4507" s="275"/>
      <c r="N4507" s="276"/>
    </row>
    <row r="4508" spans="1:14" ht="12.75" customHeight="1" x14ac:dyDescent="0.2">
      <c r="A4508" s="277"/>
      <c r="B4508" s="278"/>
      <c r="C4508" s="278"/>
      <c r="D4508" s="278"/>
      <c r="E4508" s="278"/>
      <c r="F4508" s="278"/>
      <c r="G4508" s="278"/>
      <c r="H4508" s="278"/>
      <c r="I4508" s="278"/>
      <c r="J4508" s="278"/>
      <c r="K4508" s="278"/>
      <c r="L4508" s="278"/>
      <c r="M4508" s="278"/>
      <c r="N4508" s="279"/>
    </row>
    <row r="4509" spans="1:14" ht="12.75" customHeight="1" x14ac:dyDescent="0.2">
      <c r="A4509" s="75"/>
      <c r="B4509" s="75"/>
      <c r="C4509" s="75"/>
      <c r="D4509" s="75"/>
      <c r="E4509" s="75"/>
      <c r="F4509" s="75"/>
      <c r="G4509" s="75"/>
      <c r="H4509" s="75"/>
      <c r="I4509" s="75"/>
      <c r="J4509" s="75"/>
      <c r="K4509" s="75"/>
      <c r="L4509" s="75"/>
      <c r="M4509" s="75"/>
      <c r="N4509" s="75"/>
    </row>
    <row r="4510" spans="1:14" ht="12.75" customHeight="1" x14ac:dyDescent="0.3">
      <c r="A4510" s="79" t="s">
        <v>719</v>
      </c>
      <c r="B4510" s="80" t="str">
        <f>A4507</f>
        <v>SUMINISTRO E INSTALACIÓN DE VÁLVULA DE COMPUERTA CON VOLANTE Ø10" EN HIERRO DUCTIL (INCLUYE MATERIALES, HERRAMIENTAS Y MANO DE OBRA)</v>
      </c>
      <c r="C4510" s="81" t="s">
        <v>916</v>
      </c>
      <c r="D4510" s="82" t="s">
        <v>999</v>
      </c>
      <c r="E4510" s="83" t="s">
        <v>445</v>
      </c>
      <c r="F4510" s="86">
        <f>H4510+J4510+L4510+N4510</f>
        <v>5303202.0971999997</v>
      </c>
      <c r="G4510" s="83" t="s">
        <v>607</v>
      </c>
      <c r="H4510" s="86">
        <f>M4531</f>
        <v>10533.433199999999</v>
      </c>
      <c r="I4510" s="83" t="s">
        <v>918</v>
      </c>
      <c r="J4510" s="86">
        <f>M4522</f>
        <v>5082000</v>
      </c>
      <c r="K4510" s="83" t="s">
        <v>609</v>
      </c>
      <c r="L4510" s="86">
        <f>M4540</f>
        <v>0</v>
      </c>
      <c r="M4510" s="83" t="s">
        <v>610</v>
      </c>
      <c r="N4510" s="86">
        <f>M4549</f>
        <v>210668.66399999999</v>
      </c>
    </row>
    <row r="4511" spans="1:14" ht="12.75" customHeight="1" x14ac:dyDescent="0.25">
      <c r="A4511" s="87"/>
      <c r="B4511" s="87"/>
      <c r="C4511" s="87"/>
      <c r="D4511" s="87"/>
      <c r="E4511" s="87"/>
      <c r="F4511" s="87"/>
      <c r="G4511" s="87"/>
      <c r="J4511" s="87"/>
      <c r="K4511" s="215" t="s">
        <v>3217</v>
      </c>
      <c r="L4511" s="215">
        <f>+F4510*presup!$O$5</f>
        <v>6894162.7263599997</v>
      </c>
      <c r="M4511" s="87"/>
      <c r="N4511" s="87"/>
    </row>
    <row r="4512" spans="1:14" ht="12.75" customHeight="1" x14ac:dyDescent="0.2">
      <c r="A4512" s="398" t="s">
        <v>919</v>
      </c>
      <c r="B4512" s="271"/>
      <c r="C4512" s="271"/>
      <c r="D4512" s="271"/>
      <c r="E4512" s="271"/>
      <c r="F4512" s="271"/>
      <c r="G4512" s="271"/>
      <c r="H4512" s="271"/>
      <c r="I4512" s="271"/>
      <c r="J4512" s="271"/>
      <c r="K4512" s="271"/>
      <c r="L4512" s="271"/>
      <c r="M4512" s="271"/>
      <c r="N4512" s="273"/>
    </row>
    <row r="4513" spans="1:14" ht="12.75" customHeight="1" x14ac:dyDescent="0.2">
      <c r="A4513" s="396" t="s">
        <v>76</v>
      </c>
      <c r="B4513" s="271"/>
      <c r="C4513" s="271"/>
      <c r="D4513" s="271"/>
      <c r="E4513" s="271"/>
      <c r="F4513" s="271"/>
      <c r="G4513" s="273"/>
      <c r="H4513" s="88" t="s">
        <v>77</v>
      </c>
      <c r="I4513" s="399" t="s">
        <v>920</v>
      </c>
      <c r="J4513" s="273"/>
      <c r="K4513" s="399" t="s">
        <v>453</v>
      </c>
      <c r="L4513" s="273"/>
      <c r="M4513" s="399" t="s">
        <v>921</v>
      </c>
      <c r="N4513" s="273"/>
    </row>
    <row r="4514" spans="1:14" ht="12.75" customHeight="1" x14ac:dyDescent="0.2">
      <c r="A4514" s="403" t="s">
        <v>1184</v>
      </c>
      <c r="B4514" s="271"/>
      <c r="C4514" s="271"/>
      <c r="D4514" s="271"/>
      <c r="E4514" s="271"/>
      <c r="F4514" s="271"/>
      <c r="G4514" s="273"/>
      <c r="H4514" s="29" t="str">
        <f t="shared" ref="H4514:H4521" si="621">IF(A4514="","",VLOOKUP(A4514,AA_Materiales,7,FALSE))</f>
        <v>Unidad</v>
      </c>
      <c r="I4514" s="394">
        <f t="shared" ref="I4514:I4521" si="622">IF(A4514="","",VLOOKUP(A4514,AA_Materiales,8,FALSE))</f>
        <v>5082000</v>
      </c>
      <c r="J4514" s="273"/>
      <c r="K4514" s="395">
        <v>1</v>
      </c>
      <c r="L4514" s="273"/>
      <c r="M4514" s="394">
        <f t="shared" ref="M4514:M4521" si="623">IF(A4514="","",I4514*K4514)</f>
        <v>5082000</v>
      </c>
      <c r="N4514" s="273"/>
    </row>
    <row r="4515" spans="1:14" ht="12.75" customHeight="1" x14ac:dyDescent="0.2">
      <c r="A4515" s="403"/>
      <c r="B4515" s="271"/>
      <c r="C4515" s="271"/>
      <c r="D4515" s="271"/>
      <c r="E4515" s="271"/>
      <c r="F4515" s="271"/>
      <c r="G4515" s="273"/>
      <c r="H4515" s="29" t="str">
        <f t="shared" si="621"/>
        <v/>
      </c>
      <c r="I4515" s="394" t="str">
        <f t="shared" si="622"/>
        <v/>
      </c>
      <c r="J4515" s="273"/>
      <c r="K4515" s="395"/>
      <c r="L4515" s="273"/>
      <c r="M4515" s="394" t="str">
        <f t="shared" si="623"/>
        <v/>
      </c>
      <c r="N4515" s="273"/>
    </row>
    <row r="4516" spans="1:14" ht="12.75" customHeight="1" x14ac:dyDescent="0.2">
      <c r="A4516" s="403"/>
      <c r="B4516" s="271"/>
      <c r="C4516" s="271"/>
      <c r="D4516" s="271"/>
      <c r="E4516" s="271"/>
      <c r="F4516" s="271"/>
      <c r="G4516" s="273"/>
      <c r="H4516" s="29" t="str">
        <f t="shared" si="621"/>
        <v/>
      </c>
      <c r="I4516" s="394" t="str">
        <f t="shared" si="622"/>
        <v/>
      </c>
      <c r="J4516" s="273"/>
      <c r="K4516" s="395"/>
      <c r="L4516" s="273"/>
      <c r="M4516" s="394" t="str">
        <f t="shared" si="623"/>
        <v/>
      </c>
      <c r="N4516" s="273"/>
    </row>
    <row r="4517" spans="1:14" ht="12.75" customHeight="1" x14ac:dyDescent="0.2">
      <c r="A4517" s="403"/>
      <c r="B4517" s="271"/>
      <c r="C4517" s="271"/>
      <c r="D4517" s="271"/>
      <c r="E4517" s="271"/>
      <c r="F4517" s="271"/>
      <c r="G4517" s="273"/>
      <c r="H4517" s="29" t="str">
        <f t="shared" si="621"/>
        <v/>
      </c>
      <c r="I4517" s="394" t="str">
        <f t="shared" si="622"/>
        <v/>
      </c>
      <c r="J4517" s="273"/>
      <c r="K4517" s="395"/>
      <c r="L4517" s="273"/>
      <c r="M4517" s="394" t="str">
        <f t="shared" si="623"/>
        <v/>
      </c>
      <c r="N4517" s="273"/>
    </row>
    <row r="4518" spans="1:14" ht="12.75" customHeight="1" x14ac:dyDescent="0.2">
      <c r="A4518" s="403"/>
      <c r="B4518" s="271"/>
      <c r="C4518" s="271"/>
      <c r="D4518" s="271"/>
      <c r="E4518" s="271"/>
      <c r="F4518" s="271"/>
      <c r="G4518" s="273"/>
      <c r="H4518" s="29" t="str">
        <f t="shared" si="621"/>
        <v/>
      </c>
      <c r="I4518" s="394" t="str">
        <f t="shared" si="622"/>
        <v/>
      </c>
      <c r="J4518" s="273"/>
      <c r="K4518" s="395"/>
      <c r="L4518" s="273"/>
      <c r="M4518" s="394" t="str">
        <f t="shared" si="623"/>
        <v/>
      </c>
      <c r="N4518" s="273"/>
    </row>
    <row r="4519" spans="1:14" ht="12.75" customHeight="1" x14ac:dyDescent="0.2">
      <c r="A4519" s="403"/>
      <c r="B4519" s="271"/>
      <c r="C4519" s="271"/>
      <c r="D4519" s="271"/>
      <c r="E4519" s="271"/>
      <c r="F4519" s="271"/>
      <c r="G4519" s="273"/>
      <c r="H4519" s="29" t="str">
        <f t="shared" si="621"/>
        <v/>
      </c>
      <c r="I4519" s="394" t="str">
        <f t="shared" si="622"/>
        <v/>
      </c>
      <c r="J4519" s="273"/>
      <c r="K4519" s="395"/>
      <c r="L4519" s="273"/>
      <c r="M4519" s="394" t="str">
        <f t="shared" si="623"/>
        <v/>
      </c>
      <c r="N4519" s="273"/>
    </row>
    <row r="4520" spans="1:14" ht="12.75" customHeight="1" x14ac:dyDescent="0.2">
      <c r="A4520" s="403"/>
      <c r="B4520" s="271"/>
      <c r="C4520" s="271"/>
      <c r="D4520" s="271"/>
      <c r="E4520" s="271"/>
      <c r="F4520" s="271"/>
      <c r="G4520" s="273"/>
      <c r="H4520" s="29" t="str">
        <f t="shared" si="621"/>
        <v/>
      </c>
      <c r="I4520" s="394" t="str">
        <f t="shared" si="622"/>
        <v/>
      </c>
      <c r="J4520" s="273"/>
      <c r="K4520" s="395"/>
      <c r="L4520" s="273"/>
      <c r="M4520" s="394" t="str">
        <f t="shared" si="623"/>
        <v/>
      </c>
      <c r="N4520" s="273"/>
    </row>
    <row r="4521" spans="1:14" ht="12.75" customHeight="1" x14ac:dyDescent="0.2">
      <c r="A4521" s="403"/>
      <c r="B4521" s="271"/>
      <c r="C4521" s="271"/>
      <c r="D4521" s="271"/>
      <c r="E4521" s="271"/>
      <c r="F4521" s="271"/>
      <c r="G4521" s="273"/>
      <c r="H4521" s="29" t="str">
        <f t="shared" si="621"/>
        <v/>
      </c>
      <c r="I4521" s="394" t="str">
        <f t="shared" si="622"/>
        <v/>
      </c>
      <c r="J4521" s="273"/>
      <c r="K4521" s="395"/>
      <c r="L4521" s="273"/>
      <c r="M4521" s="394" t="str">
        <f t="shared" si="623"/>
        <v/>
      </c>
      <c r="N4521" s="273"/>
    </row>
    <row r="4522" spans="1:14" ht="12.75" customHeight="1" x14ac:dyDescent="0.25">
      <c r="A4522" s="4"/>
      <c r="B4522" s="4"/>
      <c r="C4522" s="4"/>
      <c r="D4522" s="4"/>
      <c r="E4522" s="4"/>
      <c r="F4522" s="4"/>
      <c r="G4522" s="4"/>
      <c r="H4522" s="4"/>
      <c r="I4522" s="4"/>
      <c r="J4522" s="4"/>
      <c r="K4522" s="396" t="s">
        <v>444</v>
      </c>
      <c r="L4522" s="273"/>
      <c r="M4522" s="394">
        <f>SUM(M4514:N4521)</f>
        <v>5082000</v>
      </c>
      <c r="N4522" s="273"/>
    </row>
    <row r="4523" spans="1:14" ht="12.75" customHeight="1" x14ac:dyDescent="0.25">
      <c r="A4523" s="4"/>
      <c r="B4523" s="4"/>
      <c r="C4523" s="4"/>
      <c r="D4523" s="4"/>
      <c r="E4523" s="4"/>
      <c r="F4523" s="4"/>
      <c r="G4523" s="4"/>
      <c r="H4523" s="4"/>
      <c r="I4523" s="4"/>
      <c r="J4523" s="4"/>
      <c r="K4523" s="4"/>
      <c r="L4523" s="4"/>
      <c r="M4523" s="4"/>
      <c r="N4523" s="4"/>
    </row>
    <row r="4524" spans="1:14" ht="12.75" customHeight="1" x14ac:dyDescent="0.2">
      <c r="A4524" s="398" t="s">
        <v>926</v>
      </c>
      <c r="B4524" s="271"/>
      <c r="C4524" s="271"/>
      <c r="D4524" s="271"/>
      <c r="E4524" s="271"/>
      <c r="F4524" s="271"/>
      <c r="G4524" s="271"/>
      <c r="H4524" s="271"/>
      <c r="I4524" s="271"/>
      <c r="J4524" s="271"/>
      <c r="K4524" s="271"/>
      <c r="L4524" s="271"/>
      <c r="M4524" s="271"/>
      <c r="N4524" s="273"/>
    </row>
    <row r="4525" spans="1:14" ht="12.75" customHeight="1" x14ac:dyDescent="0.2">
      <c r="A4525" s="396" t="s">
        <v>76</v>
      </c>
      <c r="B4525" s="271"/>
      <c r="C4525" s="271"/>
      <c r="D4525" s="271"/>
      <c r="E4525" s="271"/>
      <c r="F4525" s="271"/>
      <c r="G4525" s="273"/>
      <c r="H4525" s="88" t="s">
        <v>77</v>
      </c>
      <c r="I4525" s="399" t="s">
        <v>920</v>
      </c>
      <c r="J4525" s="273"/>
      <c r="K4525" s="399" t="s">
        <v>453</v>
      </c>
      <c r="L4525" s="273"/>
      <c r="M4525" s="399" t="s">
        <v>921</v>
      </c>
      <c r="N4525" s="273"/>
    </row>
    <row r="4526" spans="1:14" ht="12.75" customHeight="1" x14ac:dyDescent="0.2">
      <c r="A4526" s="400" t="s">
        <v>927</v>
      </c>
      <c r="B4526" s="271"/>
      <c r="C4526" s="271"/>
      <c r="D4526" s="271"/>
      <c r="E4526" s="271"/>
      <c r="F4526" s="271"/>
      <c r="G4526" s="273"/>
      <c r="H4526" s="29" t="str">
        <f>IF(A4526="","",VLOOKUP(A4526,AA_Equipos,7,FALSE))</f>
        <v>% M.O.</v>
      </c>
      <c r="I4526" s="394">
        <f>+M4549</f>
        <v>210668.66399999999</v>
      </c>
      <c r="J4526" s="273"/>
      <c r="K4526" s="404">
        <v>0.05</v>
      </c>
      <c r="L4526" s="273"/>
      <c r="M4526" s="394">
        <f t="shared" ref="M4526:M4530" si="624">IF(A4526="","",I4526*K4526)</f>
        <v>10533.433199999999</v>
      </c>
      <c r="N4526" s="273"/>
    </row>
    <row r="4527" spans="1:14" ht="12.75" customHeight="1" x14ac:dyDescent="0.2">
      <c r="A4527" s="403"/>
      <c r="B4527" s="271"/>
      <c r="C4527" s="271"/>
      <c r="D4527" s="271"/>
      <c r="E4527" s="271"/>
      <c r="F4527" s="271"/>
      <c r="G4527" s="273"/>
      <c r="H4527" s="29" t="str">
        <f>IF(A4527="","",VLOOKUP(A4527,AA_Equipos,7,FALSE))</f>
        <v/>
      </c>
      <c r="I4527" s="394" t="str">
        <f>IF(A4527="","",VLOOKUP(A4527,AA_Equipos,8,FALSE))</f>
        <v/>
      </c>
      <c r="J4527" s="273"/>
      <c r="K4527" s="402"/>
      <c r="L4527" s="273"/>
      <c r="M4527" s="394" t="str">
        <f t="shared" si="624"/>
        <v/>
      </c>
      <c r="N4527" s="273"/>
    </row>
    <row r="4528" spans="1:14" ht="12.75" customHeight="1" x14ac:dyDescent="0.2">
      <c r="A4528" s="400"/>
      <c r="B4528" s="271"/>
      <c r="C4528" s="271"/>
      <c r="D4528" s="271"/>
      <c r="E4528" s="271"/>
      <c r="F4528" s="271"/>
      <c r="G4528" s="273"/>
      <c r="H4528" s="29" t="str">
        <f>IF(A4528="","",VLOOKUP(A4528,AA_Equipos,7,FALSE))</f>
        <v/>
      </c>
      <c r="I4528" s="394" t="str">
        <f>IF(A4528="","",VLOOKUP(A4528,AA_Equipos,8,FALSE))</f>
        <v/>
      </c>
      <c r="J4528" s="273"/>
      <c r="K4528" s="401"/>
      <c r="L4528" s="273"/>
      <c r="M4528" s="394" t="str">
        <f t="shared" si="624"/>
        <v/>
      </c>
      <c r="N4528" s="273"/>
    </row>
    <row r="4529" spans="1:14" ht="12.75" customHeight="1" x14ac:dyDescent="0.2">
      <c r="A4529" s="400"/>
      <c r="B4529" s="271"/>
      <c r="C4529" s="271"/>
      <c r="D4529" s="271"/>
      <c r="E4529" s="271"/>
      <c r="F4529" s="271"/>
      <c r="G4529" s="273"/>
      <c r="H4529" s="29" t="str">
        <f>IF(A4529="","",VLOOKUP(A4529,AA_Equipos,7,FALSE))</f>
        <v/>
      </c>
      <c r="I4529" s="394" t="str">
        <f>IF(A4529="","",VLOOKUP(A4529,AA_Equipos,8,FALSE))</f>
        <v/>
      </c>
      <c r="J4529" s="273"/>
      <c r="K4529" s="395"/>
      <c r="L4529" s="273"/>
      <c r="M4529" s="394" t="str">
        <f t="shared" si="624"/>
        <v/>
      </c>
      <c r="N4529" s="273"/>
    </row>
    <row r="4530" spans="1:14" ht="12.75" customHeight="1" x14ac:dyDescent="0.2">
      <c r="A4530" s="400"/>
      <c r="B4530" s="271"/>
      <c r="C4530" s="271"/>
      <c r="D4530" s="271"/>
      <c r="E4530" s="271"/>
      <c r="F4530" s="271"/>
      <c r="G4530" s="273"/>
      <c r="H4530" s="29" t="str">
        <f>IF(A4530="","",VLOOKUP(A4530,AA_Equipos,7,FALSE))</f>
        <v/>
      </c>
      <c r="I4530" s="394" t="str">
        <f>IF(A4530="","",VLOOKUP(A4530,AA_Equipos,8,FALSE))</f>
        <v/>
      </c>
      <c r="J4530" s="273"/>
      <c r="K4530" s="395"/>
      <c r="L4530" s="273"/>
      <c r="M4530" s="394" t="str">
        <f t="shared" si="624"/>
        <v/>
      </c>
      <c r="N4530" s="273"/>
    </row>
    <row r="4531" spans="1:14" ht="12.75" customHeight="1" x14ac:dyDescent="0.25">
      <c r="A4531" s="4"/>
      <c r="B4531" s="4"/>
      <c r="C4531" s="4"/>
      <c r="D4531" s="4"/>
      <c r="E4531" s="4"/>
      <c r="F4531" s="4"/>
      <c r="G4531" s="4"/>
      <c r="H4531" s="4"/>
      <c r="I4531" s="4"/>
      <c r="J4531" s="4"/>
      <c r="K4531" s="396" t="s">
        <v>444</v>
      </c>
      <c r="L4531" s="273"/>
      <c r="M4531" s="394">
        <f>SUM(M4526:N4530)</f>
        <v>10533.433199999999</v>
      </c>
      <c r="N4531" s="273"/>
    </row>
    <row r="4532" spans="1:14" ht="12.75" customHeight="1" x14ac:dyDescent="0.25">
      <c r="A4532" s="4"/>
      <c r="B4532" s="4"/>
      <c r="C4532" s="4"/>
      <c r="D4532" s="4"/>
      <c r="E4532" s="4"/>
      <c r="F4532" s="4"/>
      <c r="G4532" s="4"/>
      <c r="H4532" s="4"/>
      <c r="I4532" s="4"/>
      <c r="J4532" s="4"/>
      <c r="K4532" s="4"/>
      <c r="L4532" s="4"/>
      <c r="M4532" s="4"/>
      <c r="N4532" s="4"/>
    </row>
    <row r="4533" spans="1:14" ht="12.75" customHeight="1" x14ac:dyDescent="0.2">
      <c r="A4533" s="398" t="s">
        <v>929</v>
      </c>
      <c r="B4533" s="271"/>
      <c r="C4533" s="271"/>
      <c r="D4533" s="271"/>
      <c r="E4533" s="271"/>
      <c r="F4533" s="271"/>
      <c r="G4533" s="271"/>
      <c r="H4533" s="271"/>
      <c r="I4533" s="271"/>
      <c r="J4533" s="271"/>
      <c r="K4533" s="271"/>
      <c r="L4533" s="271"/>
      <c r="M4533" s="271"/>
      <c r="N4533" s="273"/>
    </row>
    <row r="4534" spans="1:14" ht="12.75" customHeight="1" x14ac:dyDescent="0.2">
      <c r="A4534" s="396" t="s">
        <v>76</v>
      </c>
      <c r="B4534" s="271"/>
      <c r="C4534" s="271"/>
      <c r="D4534" s="271"/>
      <c r="E4534" s="271"/>
      <c r="F4534" s="271"/>
      <c r="G4534" s="273"/>
      <c r="H4534" s="88" t="s">
        <v>77</v>
      </c>
      <c r="I4534" s="399" t="s">
        <v>920</v>
      </c>
      <c r="J4534" s="273"/>
      <c r="K4534" s="399" t="s">
        <v>453</v>
      </c>
      <c r="L4534" s="273"/>
      <c r="M4534" s="399" t="s">
        <v>921</v>
      </c>
      <c r="N4534" s="273"/>
    </row>
    <row r="4535" spans="1:14" ht="12.75" customHeight="1" x14ac:dyDescent="0.2">
      <c r="A4535" s="400"/>
      <c r="B4535" s="271"/>
      <c r="C4535" s="271"/>
      <c r="D4535" s="271"/>
      <c r="E4535" s="271"/>
      <c r="F4535" s="271"/>
      <c r="G4535" s="273"/>
      <c r="H4535" s="29"/>
      <c r="I4535" s="394"/>
      <c r="J4535" s="273"/>
      <c r="K4535" s="404"/>
      <c r="L4535" s="273"/>
      <c r="M4535" s="394" t="str">
        <f t="shared" ref="M4535:M4539" si="625">IF(A4535="","",I4535*K4535)</f>
        <v/>
      </c>
      <c r="N4535" s="273"/>
    </row>
    <row r="4536" spans="1:14" ht="12.75" customHeight="1" x14ac:dyDescent="0.2">
      <c r="A4536" s="403"/>
      <c r="B4536" s="271"/>
      <c r="C4536" s="271"/>
      <c r="D4536" s="271"/>
      <c r="E4536" s="271"/>
      <c r="F4536" s="271"/>
      <c r="G4536" s="273"/>
      <c r="H4536" s="29"/>
      <c r="I4536" s="394"/>
      <c r="J4536" s="273"/>
      <c r="K4536" s="404"/>
      <c r="L4536" s="273"/>
      <c r="M4536" s="394" t="str">
        <f t="shared" si="625"/>
        <v/>
      </c>
      <c r="N4536" s="273"/>
    </row>
    <row r="4537" spans="1:14" ht="12.75" customHeight="1" x14ac:dyDescent="0.2">
      <c r="A4537" s="400"/>
      <c r="B4537" s="271"/>
      <c r="C4537" s="271"/>
      <c r="D4537" s="271"/>
      <c r="E4537" s="271"/>
      <c r="F4537" s="271"/>
      <c r="G4537" s="273"/>
      <c r="H4537" s="29"/>
      <c r="I4537" s="394"/>
      <c r="J4537" s="273"/>
      <c r="K4537" s="395"/>
      <c r="L4537" s="273"/>
      <c r="M4537" s="394" t="str">
        <f t="shared" si="625"/>
        <v/>
      </c>
      <c r="N4537" s="273"/>
    </row>
    <row r="4538" spans="1:14" ht="12.75" customHeight="1" x14ac:dyDescent="0.2">
      <c r="A4538" s="400"/>
      <c r="B4538" s="271"/>
      <c r="C4538" s="271"/>
      <c r="D4538" s="271"/>
      <c r="E4538" s="271"/>
      <c r="F4538" s="271"/>
      <c r="G4538" s="273"/>
      <c r="H4538" s="29"/>
      <c r="I4538" s="394"/>
      <c r="J4538" s="273"/>
      <c r="K4538" s="395"/>
      <c r="L4538" s="273"/>
      <c r="M4538" s="394" t="str">
        <f t="shared" si="625"/>
        <v/>
      </c>
      <c r="N4538" s="273"/>
    </row>
    <row r="4539" spans="1:14" ht="12.75" customHeight="1" x14ac:dyDescent="0.2">
      <c r="A4539" s="400"/>
      <c r="B4539" s="271"/>
      <c r="C4539" s="271"/>
      <c r="D4539" s="271"/>
      <c r="E4539" s="271"/>
      <c r="F4539" s="271"/>
      <c r="G4539" s="273"/>
      <c r="H4539" s="29"/>
      <c r="I4539" s="394"/>
      <c r="J4539" s="273"/>
      <c r="K4539" s="395"/>
      <c r="L4539" s="273"/>
      <c r="M4539" s="394" t="str">
        <f t="shared" si="625"/>
        <v/>
      </c>
      <c r="N4539" s="273"/>
    </row>
    <row r="4540" spans="1:14" ht="12.75" customHeight="1" x14ac:dyDescent="0.25">
      <c r="A4540" s="4"/>
      <c r="B4540" s="4"/>
      <c r="C4540" s="4"/>
      <c r="D4540" s="4"/>
      <c r="E4540" s="4"/>
      <c r="F4540" s="4"/>
      <c r="G4540" s="4"/>
      <c r="H4540" s="4"/>
      <c r="I4540" s="4"/>
      <c r="J4540" s="4"/>
      <c r="K4540" s="396" t="s">
        <v>444</v>
      </c>
      <c r="L4540" s="273"/>
      <c r="M4540" s="394">
        <f>SUM(M4535:N4539)</f>
        <v>0</v>
      </c>
      <c r="N4540" s="273"/>
    </row>
    <row r="4541" spans="1:14" ht="12.75" customHeight="1" x14ac:dyDescent="0.25">
      <c r="A4541" s="4"/>
      <c r="B4541" s="4"/>
      <c r="C4541" s="4"/>
      <c r="D4541" s="4"/>
      <c r="E4541" s="4"/>
      <c r="F4541" s="4"/>
      <c r="G4541" s="4"/>
      <c r="H4541" s="4"/>
      <c r="I4541" s="4"/>
      <c r="J4541" s="4"/>
      <c r="K4541" s="4"/>
      <c r="L4541" s="4"/>
      <c r="M4541" s="4"/>
      <c r="N4541" s="4"/>
    </row>
    <row r="4542" spans="1:14" ht="12.75" customHeight="1" x14ac:dyDescent="0.2">
      <c r="A4542" s="398" t="s">
        <v>931</v>
      </c>
      <c r="B4542" s="271"/>
      <c r="C4542" s="271"/>
      <c r="D4542" s="271"/>
      <c r="E4542" s="271"/>
      <c r="F4542" s="271"/>
      <c r="G4542" s="271"/>
      <c r="H4542" s="271"/>
      <c r="I4542" s="271"/>
      <c r="J4542" s="271"/>
      <c r="K4542" s="271"/>
      <c r="L4542" s="271"/>
      <c r="M4542" s="271"/>
      <c r="N4542" s="273"/>
    </row>
    <row r="4543" spans="1:14" ht="12.75" customHeight="1" x14ac:dyDescent="0.2">
      <c r="A4543" s="396" t="s">
        <v>76</v>
      </c>
      <c r="B4543" s="271"/>
      <c r="C4543" s="271"/>
      <c r="D4543" s="271"/>
      <c r="E4543" s="271"/>
      <c r="F4543" s="271"/>
      <c r="G4543" s="273"/>
      <c r="H4543" s="88" t="s">
        <v>77</v>
      </c>
      <c r="I4543" s="399" t="s">
        <v>920</v>
      </c>
      <c r="J4543" s="273"/>
      <c r="K4543" s="90" t="s">
        <v>514</v>
      </c>
      <c r="L4543" s="91" t="s">
        <v>932</v>
      </c>
      <c r="M4543" s="399" t="s">
        <v>921</v>
      </c>
      <c r="N4543" s="273"/>
    </row>
    <row r="4544" spans="1:14" ht="12.75" customHeight="1" x14ac:dyDescent="0.25">
      <c r="A4544" s="393" t="s">
        <v>986</v>
      </c>
      <c r="B4544" s="271"/>
      <c r="C4544" s="271"/>
      <c r="D4544" s="271"/>
      <c r="E4544" s="271"/>
      <c r="F4544" s="271"/>
      <c r="G4544" s="273"/>
      <c r="H4544" s="29" t="str">
        <f>IF(A4544="","",VLOOKUP(A4544,AA_Cuadrillas,4,FALSE))</f>
        <v>Cuadrilla</v>
      </c>
      <c r="I4544" s="394">
        <f>IF(A4544="","",VLOOKUP(A4544,AA_Cuadrillas,5,FALSE))</f>
        <v>186763</v>
      </c>
      <c r="J4544" s="273"/>
      <c r="K4544" s="9">
        <f>IF(A4544="","",F.P!$I$2)</f>
        <v>1.88</v>
      </c>
      <c r="L4544" s="97">
        <v>0.6</v>
      </c>
      <c r="M4544" s="394">
        <f t="shared" ref="M4544:M4548" si="626">IF(A4544="","",I4544*K4544*L4544)</f>
        <v>210668.66399999999</v>
      </c>
      <c r="N4544" s="273"/>
    </row>
    <row r="4545" spans="1:14" ht="12.75" customHeight="1" x14ac:dyDescent="0.25">
      <c r="A4545" s="393"/>
      <c r="B4545" s="271"/>
      <c r="C4545" s="271"/>
      <c r="D4545" s="271"/>
      <c r="E4545" s="271"/>
      <c r="F4545" s="271"/>
      <c r="G4545" s="273"/>
      <c r="H4545" s="29" t="str">
        <f>IF(A4545="","",VLOOKUP(A4545,AA_Cuadrillas,4,FALSE))</f>
        <v/>
      </c>
      <c r="I4545" s="394" t="str">
        <f>IF(A4545="","",VLOOKUP(A4545,AA_Cuadrillas,5,FALSE))</f>
        <v/>
      </c>
      <c r="J4545" s="273"/>
      <c r="K4545" s="9" t="str">
        <f>IF(A4545="","",F.P!$I$2)</f>
        <v/>
      </c>
      <c r="L4545" s="9"/>
      <c r="M4545" s="394" t="str">
        <f t="shared" si="626"/>
        <v/>
      </c>
      <c r="N4545" s="273"/>
    </row>
    <row r="4546" spans="1:14" ht="12.75" customHeight="1" x14ac:dyDescent="0.25">
      <c r="A4546" s="393"/>
      <c r="B4546" s="271"/>
      <c r="C4546" s="271"/>
      <c r="D4546" s="271"/>
      <c r="E4546" s="271"/>
      <c r="F4546" s="271"/>
      <c r="G4546" s="273"/>
      <c r="H4546" s="29" t="str">
        <f>IF(A4546="","",VLOOKUP(A4546,AA_Cuadrillas,4,FALSE))</f>
        <v/>
      </c>
      <c r="I4546" s="394" t="str">
        <f>IF(A4546="","",VLOOKUP(A4546,AA_Cuadrillas,5,FALSE))</f>
        <v/>
      </c>
      <c r="J4546" s="273"/>
      <c r="K4546" s="9" t="str">
        <f>IF(A4546="","",F.P!$I$2)</f>
        <v/>
      </c>
      <c r="L4546" s="37"/>
      <c r="M4546" s="394" t="str">
        <f t="shared" si="626"/>
        <v/>
      </c>
      <c r="N4546" s="273"/>
    </row>
    <row r="4547" spans="1:14" ht="12.75" customHeight="1" x14ac:dyDescent="0.25">
      <c r="A4547" s="393"/>
      <c r="B4547" s="271"/>
      <c r="C4547" s="271"/>
      <c r="D4547" s="271"/>
      <c r="E4547" s="271"/>
      <c r="F4547" s="271"/>
      <c r="G4547" s="273"/>
      <c r="H4547" s="29" t="str">
        <f>IF(A4547="","",VLOOKUP(A4547,AA_Cuadrillas,4,FALSE))</f>
        <v/>
      </c>
      <c r="I4547" s="394" t="str">
        <f>IF(A4547="","",VLOOKUP(A4547,AA_Cuadrillas,5,FALSE))</f>
        <v/>
      </c>
      <c r="J4547" s="273"/>
      <c r="K4547" s="9" t="str">
        <f>IF(A4547="","",F.P!$I$2)</f>
        <v/>
      </c>
      <c r="L4547" s="37"/>
      <c r="M4547" s="394" t="str">
        <f t="shared" si="626"/>
        <v/>
      </c>
      <c r="N4547" s="273"/>
    </row>
    <row r="4548" spans="1:14" ht="12.75" customHeight="1" x14ac:dyDescent="0.25">
      <c r="A4548" s="393"/>
      <c r="B4548" s="271"/>
      <c r="C4548" s="271"/>
      <c r="D4548" s="271"/>
      <c r="E4548" s="271"/>
      <c r="F4548" s="271"/>
      <c r="G4548" s="273"/>
      <c r="H4548" s="29" t="str">
        <f>IF(A4548="","",VLOOKUP(A4548,AA_Cuadrillas,4,FALSE))</f>
        <v/>
      </c>
      <c r="I4548" s="394" t="str">
        <f>IF(A4548="","",VLOOKUP(A4548,AA_Cuadrillas,5,FALSE))</f>
        <v/>
      </c>
      <c r="J4548" s="273"/>
      <c r="K4548" s="9" t="str">
        <f>IF(A4548="","",F.P!$I$2)</f>
        <v/>
      </c>
      <c r="L4548" s="37"/>
      <c r="M4548" s="394" t="str">
        <f t="shared" si="626"/>
        <v/>
      </c>
      <c r="N4548" s="273"/>
    </row>
    <row r="4549" spans="1:14" ht="12.75" customHeight="1" x14ac:dyDescent="0.25">
      <c r="A4549" s="4"/>
      <c r="B4549" s="4"/>
      <c r="C4549" s="4"/>
      <c r="D4549" s="4"/>
      <c r="E4549" s="4"/>
      <c r="F4549" s="4"/>
      <c r="G4549" s="4"/>
      <c r="H4549" s="4"/>
      <c r="I4549" s="4"/>
      <c r="J4549" s="4"/>
      <c r="K4549" s="396" t="s">
        <v>444</v>
      </c>
      <c r="L4549" s="273"/>
      <c r="M4549" s="394">
        <f>SUM(M4544:N4548)</f>
        <v>210668.66399999999</v>
      </c>
      <c r="N4549" s="273"/>
    </row>
    <row r="4550" spans="1:14" ht="12.75" customHeight="1" x14ac:dyDescent="0.2"/>
    <row r="4551" spans="1:14" ht="12.75" customHeight="1" x14ac:dyDescent="0.2">
      <c r="A4551" s="407" t="s">
        <v>1185</v>
      </c>
      <c r="B4551" s="275"/>
      <c r="C4551" s="275"/>
      <c r="D4551" s="275"/>
      <c r="E4551" s="275"/>
      <c r="F4551" s="275"/>
      <c r="G4551" s="275"/>
      <c r="H4551" s="275"/>
      <c r="I4551" s="275"/>
      <c r="J4551" s="275"/>
      <c r="K4551" s="275"/>
      <c r="L4551" s="275"/>
      <c r="M4551" s="275"/>
      <c r="N4551" s="276"/>
    </row>
    <row r="4552" spans="1:14" ht="12.75" customHeight="1" x14ac:dyDescent="0.2">
      <c r="A4552" s="277"/>
      <c r="B4552" s="278"/>
      <c r="C4552" s="278"/>
      <c r="D4552" s="278"/>
      <c r="E4552" s="278"/>
      <c r="F4552" s="278"/>
      <c r="G4552" s="278"/>
      <c r="H4552" s="278"/>
      <c r="I4552" s="278"/>
      <c r="J4552" s="278"/>
      <c r="K4552" s="278"/>
      <c r="L4552" s="278"/>
      <c r="M4552" s="278"/>
      <c r="N4552" s="279"/>
    </row>
    <row r="4553" spans="1:14" ht="12.75" customHeight="1" x14ac:dyDescent="0.2">
      <c r="A4553" s="75"/>
      <c r="B4553" s="75"/>
      <c r="C4553" s="75"/>
      <c r="D4553" s="75"/>
      <c r="E4553" s="75"/>
      <c r="F4553" s="75"/>
      <c r="G4553" s="75"/>
      <c r="H4553" s="75"/>
      <c r="I4553" s="75"/>
      <c r="J4553" s="75"/>
      <c r="K4553" s="75"/>
      <c r="L4553" s="75"/>
      <c r="M4553" s="75"/>
      <c r="N4553" s="75"/>
    </row>
    <row r="4554" spans="1:14" ht="12.75" customHeight="1" x14ac:dyDescent="0.3">
      <c r="A4554" s="79" t="s">
        <v>720</v>
      </c>
      <c r="B4554" s="80" t="str">
        <f>A4551</f>
        <v>SUMINISTRO DE TUBERÍA PVC Ø6" RDE 13.5</v>
      </c>
      <c r="C4554" s="81" t="s">
        <v>916</v>
      </c>
      <c r="D4554" s="82" t="s">
        <v>981</v>
      </c>
      <c r="E4554" s="83" t="s">
        <v>445</v>
      </c>
      <c r="F4554" s="86">
        <f>H4554+J4554+L4554+N4554</f>
        <v>243662.9265</v>
      </c>
      <c r="G4554" s="83" t="s">
        <v>607</v>
      </c>
      <c r="H4554" s="86">
        <f>M4563</f>
        <v>243662.9265</v>
      </c>
      <c r="I4554" s="83" t="s">
        <v>918</v>
      </c>
      <c r="J4554" s="86">
        <f>M4572</f>
        <v>0</v>
      </c>
      <c r="K4554" s="83" t="s">
        <v>609</v>
      </c>
      <c r="L4554" s="86">
        <f>M4581</f>
        <v>0</v>
      </c>
      <c r="M4554" s="83" t="s">
        <v>610</v>
      </c>
      <c r="N4554" s="86">
        <f>M4590</f>
        <v>0</v>
      </c>
    </row>
    <row r="4555" spans="1:14" ht="12.75" customHeight="1" x14ac:dyDescent="0.25">
      <c r="A4555" s="87"/>
      <c r="B4555" s="87"/>
      <c r="C4555" s="87"/>
      <c r="D4555" s="87"/>
      <c r="E4555" s="87"/>
      <c r="F4555" s="87"/>
      <c r="G4555" s="87"/>
      <c r="J4555" s="87"/>
      <c r="K4555" s="215" t="s">
        <v>3217</v>
      </c>
      <c r="L4555" s="215">
        <f>+F4554*presup!$O$5</f>
        <v>316761.80445</v>
      </c>
      <c r="M4555" s="87"/>
      <c r="N4555" s="87"/>
    </row>
    <row r="4556" spans="1:14" ht="12.75" customHeight="1" x14ac:dyDescent="0.2">
      <c r="A4556" s="398" t="s">
        <v>919</v>
      </c>
      <c r="B4556" s="271"/>
      <c r="C4556" s="271"/>
      <c r="D4556" s="271"/>
      <c r="E4556" s="271"/>
      <c r="F4556" s="271"/>
      <c r="G4556" s="271"/>
      <c r="H4556" s="271"/>
      <c r="I4556" s="271"/>
      <c r="J4556" s="271"/>
      <c r="K4556" s="271"/>
      <c r="L4556" s="271"/>
      <c r="M4556" s="271"/>
      <c r="N4556" s="273"/>
    </row>
    <row r="4557" spans="1:14" ht="12.75" customHeight="1" x14ac:dyDescent="0.2">
      <c r="A4557" s="396" t="s">
        <v>76</v>
      </c>
      <c r="B4557" s="271"/>
      <c r="C4557" s="271"/>
      <c r="D4557" s="271"/>
      <c r="E4557" s="271"/>
      <c r="F4557" s="271"/>
      <c r="G4557" s="273"/>
      <c r="H4557" s="88" t="s">
        <v>77</v>
      </c>
      <c r="I4557" s="399" t="s">
        <v>920</v>
      </c>
      <c r="J4557" s="273"/>
      <c r="K4557" s="399" t="s">
        <v>453</v>
      </c>
      <c r="L4557" s="273"/>
      <c r="M4557" s="399" t="s">
        <v>921</v>
      </c>
      <c r="N4557" s="273"/>
    </row>
    <row r="4558" spans="1:14" ht="12.75" customHeight="1" x14ac:dyDescent="0.2">
      <c r="A4558" s="400" t="s">
        <v>1186</v>
      </c>
      <c r="B4558" s="271"/>
      <c r="C4558" s="271"/>
      <c r="D4558" s="271"/>
      <c r="E4558" s="271"/>
      <c r="F4558" s="271"/>
      <c r="G4558" s="273"/>
      <c r="H4558" s="29" t="str">
        <f>IF(A4558="","",VLOOKUP(A4558,AA_Materiales,7,FALSE))</f>
        <v>ml</v>
      </c>
      <c r="I4558" s="394">
        <f>IF(A4558="","",VLOOKUP(A4558,AA_Materiales,8,FALSE))</f>
        <v>232059.93</v>
      </c>
      <c r="J4558" s="273"/>
      <c r="K4558" s="395">
        <v>1.05</v>
      </c>
      <c r="L4558" s="273"/>
      <c r="M4558" s="394">
        <f t="shared" ref="M4558:M4562" si="627">IF(A4558="","",I4558*K4558)</f>
        <v>243662.9265</v>
      </c>
      <c r="N4558" s="273"/>
    </row>
    <row r="4559" spans="1:14" ht="12.75" customHeight="1" x14ac:dyDescent="0.2">
      <c r="A4559" s="400"/>
      <c r="B4559" s="271"/>
      <c r="C4559" s="271"/>
      <c r="D4559" s="271"/>
      <c r="E4559" s="271"/>
      <c r="F4559" s="271"/>
      <c r="G4559" s="273"/>
      <c r="H4559" s="29" t="str">
        <f>IF(A4559="","",VLOOKUP(A4559,AA_Materiales,7,FALSE))</f>
        <v/>
      </c>
      <c r="I4559" s="394" t="str">
        <f>IF(A4559="","",VLOOKUP(A4559,AA_Materiales,8,FALSE))</f>
        <v/>
      </c>
      <c r="J4559" s="273"/>
      <c r="K4559" s="401"/>
      <c r="L4559" s="273"/>
      <c r="M4559" s="394" t="str">
        <f t="shared" si="627"/>
        <v/>
      </c>
      <c r="N4559" s="273"/>
    </row>
    <row r="4560" spans="1:14" ht="12.75" customHeight="1" x14ac:dyDescent="0.2">
      <c r="A4560" s="400"/>
      <c r="B4560" s="271"/>
      <c r="C4560" s="271"/>
      <c r="D4560" s="271"/>
      <c r="E4560" s="271"/>
      <c r="F4560" s="271"/>
      <c r="G4560" s="273"/>
      <c r="H4560" s="29" t="str">
        <f>IF(A4560="","",VLOOKUP(A4560,AA_Materiales,7,FALSE))</f>
        <v/>
      </c>
      <c r="I4560" s="394" t="str">
        <f>IF(A4560="","",VLOOKUP(A4560,AA_Materiales,8,FALSE))</f>
        <v/>
      </c>
      <c r="J4560" s="273"/>
      <c r="K4560" s="401"/>
      <c r="L4560" s="273"/>
      <c r="M4560" s="394" t="str">
        <f t="shared" si="627"/>
        <v/>
      </c>
      <c r="N4560" s="273"/>
    </row>
    <row r="4561" spans="1:14" ht="12.75" customHeight="1" x14ac:dyDescent="0.2">
      <c r="A4561" s="400"/>
      <c r="B4561" s="271"/>
      <c r="C4561" s="271"/>
      <c r="D4561" s="271"/>
      <c r="E4561" s="271"/>
      <c r="F4561" s="271"/>
      <c r="G4561" s="273"/>
      <c r="H4561" s="29" t="str">
        <f>IF(A4561="","",VLOOKUP(A4561,AA_Materiales,7,FALSE))</f>
        <v/>
      </c>
      <c r="I4561" s="394" t="str">
        <f>IF(A4561="","",VLOOKUP(A4561,AA_Materiales,8,FALSE))</f>
        <v/>
      </c>
      <c r="J4561" s="273"/>
      <c r="K4561" s="395"/>
      <c r="L4561" s="273"/>
      <c r="M4561" s="394" t="str">
        <f t="shared" si="627"/>
        <v/>
      </c>
      <c r="N4561" s="273"/>
    </row>
    <row r="4562" spans="1:14" ht="12.75" customHeight="1" x14ac:dyDescent="0.2">
      <c r="A4562" s="400"/>
      <c r="B4562" s="271"/>
      <c r="C4562" s="271"/>
      <c r="D4562" s="271"/>
      <c r="E4562" s="271"/>
      <c r="F4562" s="271"/>
      <c r="G4562" s="273"/>
      <c r="H4562" s="29" t="str">
        <f>IF(A4562="","",VLOOKUP(A4562,AA_Materiales,7,FALSE))</f>
        <v/>
      </c>
      <c r="I4562" s="394" t="str">
        <f>IF(A4562="","",VLOOKUP(A4562,AA_Materiales,8,FALSE))</f>
        <v/>
      </c>
      <c r="J4562" s="273"/>
      <c r="K4562" s="395"/>
      <c r="L4562" s="273"/>
      <c r="M4562" s="394" t="str">
        <f t="shared" si="627"/>
        <v/>
      </c>
      <c r="N4562" s="273"/>
    </row>
    <row r="4563" spans="1:14" ht="12.75" customHeight="1" x14ac:dyDescent="0.25">
      <c r="A4563" s="4"/>
      <c r="B4563" s="4"/>
      <c r="C4563" s="4"/>
      <c r="D4563" s="4"/>
      <c r="E4563" s="4"/>
      <c r="F4563" s="4"/>
      <c r="G4563" s="4"/>
      <c r="H4563" s="4"/>
      <c r="I4563" s="4"/>
      <c r="J4563" s="4"/>
      <c r="K4563" s="396" t="s">
        <v>444</v>
      </c>
      <c r="L4563" s="273"/>
      <c r="M4563" s="394">
        <f>SUM(M4558:N4562)</f>
        <v>243662.9265</v>
      </c>
      <c r="N4563" s="273"/>
    </row>
    <row r="4564" spans="1:14" ht="12.75" customHeight="1" x14ac:dyDescent="0.25">
      <c r="A4564" s="4"/>
      <c r="B4564" s="4"/>
      <c r="C4564" s="4"/>
      <c r="D4564" s="4"/>
      <c r="E4564" s="4"/>
      <c r="F4564" s="4"/>
      <c r="G4564" s="4"/>
      <c r="H4564" s="4"/>
      <c r="I4564" s="4"/>
      <c r="J4564" s="4"/>
      <c r="K4564" s="4"/>
      <c r="L4564" s="4"/>
      <c r="M4564" s="4"/>
      <c r="N4564" s="4"/>
    </row>
    <row r="4565" spans="1:14" ht="12.75" customHeight="1" x14ac:dyDescent="0.2">
      <c r="A4565" s="398" t="s">
        <v>926</v>
      </c>
      <c r="B4565" s="271"/>
      <c r="C4565" s="271"/>
      <c r="D4565" s="271"/>
      <c r="E4565" s="271"/>
      <c r="F4565" s="271"/>
      <c r="G4565" s="271"/>
      <c r="H4565" s="271"/>
      <c r="I4565" s="271"/>
      <c r="J4565" s="271"/>
      <c r="K4565" s="271"/>
      <c r="L4565" s="271"/>
      <c r="M4565" s="271"/>
      <c r="N4565" s="273"/>
    </row>
    <row r="4566" spans="1:14" ht="12.75" customHeight="1" x14ac:dyDescent="0.2">
      <c r="A4566" s="396" t="s">
        <v>76</v>
      </c>
      <c r="B4566" s="271"/>
      <c r="C4566" s="271"/>
      <c r="D4566" s="271"/>
      <c r="E4566" s="271"/>
      <c r="F4566" s="271"/>
      <c r="G4566" s="273"/>
      <c r="H4566" s="88" t="s">
        <v>77</v>
      </c>
      <c r="I4566" s="399" t="s">
        <v>920</v>
      </c>
      <c r="J4566" s="273"/>
      <c r="K4566" s="399" t="s">
        <v>453</v>
      </c>
      <c r="L4566" s="273"/>
      <c r="M4566" s="399" t="s">
        <v>921</v>
      </c>
      <c r="N4566" s="273"/>
    </row>
    <row r="4567" spans="1:14" ht="12.75" customHeight="1" x14ac:dyDescent="0.2">
      <c r="A4567" s="400" t="s">
        <v>927</v>
      </c>
      <c r="B4567" s="271"/>
      <c r="C4567" s="271"/>
      <c r="D4567" s="271"/>
      <c r="E4567" s="271"/>
      <c r="F4567" s="271"/>
      <c r="G4567" s="273"/>
      <c r="H4567" s="29" t="str">
        <f>IF(A4567="","",VLOOKUP(A4567,AA_Equipos,7,FALSE))</f>
        <v>% M.O.</v>
      </c>
      <c r="I4567" s="394">
        <f>M4590</f>
        <v>0</v>
      </c>
      <c r="J4567" s="273"/>
      <c r="K4567" s="395">
        <v>0.05</v>
      </c>
      <c r="L4567" s="273"/>
      <c r="M4567" s="394">
        <f t="shared" ref="M4567:M4571" si="628">IF(A4567="","",I4567*K4567)</f>
        <v>0</v>
      </c>
      <c r="N4567" s="273"/>
    </row>
    <row r="4568" spans="1:14" ht="12.75" customHeight="1" x14ac:dyDescent="0.2">
      <c r="A4568" s="403"/>
      <c r="B4568" s="271"/>
      <c r="C4568" s="271"/>
      <c r="D4568" s="271"/>
      <c r="E4568" s="271"/>
      <c r="F4568" s="271"/>
      <c r="G4568" s="273"/>
      <c r="H4568" s="29" t="str">
        <f>IF(A4568="","",VLOOKUP(A4568,AA_Equipos,7,FALSE))</f>
        <v/>
      </c>
      <c r="I4568" s="394" t="str">
        <f>IF(A4568="","",VLOOKUP(A4568,AA_Equipos,8,FALSE))</f>
        <v/>
      </c>
      <c r="J4568" s="273"/>
      <c r="K4568" s="402"/>
      <c r="L4568" s="273"/>
      <c r="M4568" s="394" t="str">
        <f t="shared" si="628"/>
        <v/>
      </c>
      <c r="N4568" s="273"/>
    </row>
    <row r="4569" spans="1:14" ht="12.75" customHeight="1" x14ac:dyDescent="0.2">
      <c r="A4569" s="400"/>
      <c r="B4569" s="271"/>
      <c r="C4569" s="271"/>
      <c r="D4569" s="271"/>
      <c r="E4569" s="271"/>
      <c r="F4569" s="271"/>
      <c r="G4569" s="273"/>
      <c r="H4569" s="29" t="str">
        <f>IF(A4569="","",VLOOKUP(A4569,AA_Equipos,7,FALSE))</f>
        <v/>
      </c>
      <c r="I4569" s="394" t="str">
        <f>IF(A4569="","",VLOOKUP(A4569,AA_Equipos,8,FALSE))</f>
        <v/>
      </c>
      <c r="J4569" s="273"/>
      <c r="K4569" s="395"/>
      <c r="L4569" s="273"/>
      <c r="M4569" s="394" t="str">
        <f t="shared" si="628"/>
        <v/>
      </c>
      <c r="N4569" s="273"/>
    </row>
    <row r="4570" spans="1:14" ht="12.75" customHeight="1" x14ac:dyDescent="0.2">
      <c r="A4570" s="400"/>
      <c r="B4570" s="271"/>
      <c r="C4570" s="271"/>
      <c r="D4570" s="271"/>
      <c r="E4570" s="271"/>
      <c r="F4570" s="271"/>
      <c r="G4570" s="273"/>
      <c r="H4570" s="29" t="str">
        <f>IF(A4570="","",VLOOKUP(A4570,AA_Equipos,7,FALSE))</f>
        <v/>
      </c>
      <c r="I4570" s="394" t="str">
        <f>IF(A4570="","",VLOOKUP(A4570,AA_Equipos,8,FALSE))</f>
        <v/>
      </c>
      <c r="J4570" s="273"/>
      <c r="K4570" s="395"/>
      <c r="L4570" s="273"/>
      <c r="M4570" s="394" t="str">
        <f t="shared" si="628"/>
        <v/>
      </c>
      <c r="N4570" s="273"/>
    </row>
    <row r="4571" spans="1:14" ht="12.75" customHeight="1" x14ac:dyDescent="0.2">
      <c r="A4571" s="400"/>
      <c r="B4571" s="271"/>
      <c r="C4571" s="271"/>
      <c r="D4571" s="271"/>
      <c r="E4571" s="271"/>
      <c r="F4571" s="271"/>
      <c r="G4571" s="273"/>
      <c r="H4571" s="29" t="str">
        <f>IF(A4571="","",VLOOKUP(A4571,AA_Equipos,7,FALSE))</f>
        <v/>
      </c>
      <c r="I4571" s="394" t="str">
        <f>IF(A4571="","",VLOOKUP(A4571,AA_Equipos,8,FALSE))</f>
        <v/>
      </c>
      <c r="J4571" s="273"/>
      <c r="K4571" s="395"/>
      <c r="L4571" s="273"/>
      <c r="M4571" s="394" t="str">
        <f t="shared" si="628"/>
        <v/>
      </c>
      <c r="N4571" s="273"/>
    </row>
    <row r="4572" spans="1:14" ht="12.75" customHeight="1" x14ac:dyDescent="0.25">
      <c r="A4572" s="4"/>
      <c r="B4572" s="4"/>
      <c r="C4572" s="4"/>
      <c r="D4572" s="4"/>
      <c r="E4572" s="4"/>
      <c r="F4572" s="4"/>
      <c r="G4572" s="4"/>
      <c r="H4572" s="4"/>
      <c r="I4572" s="4"/>
      <c r="J4572" s="4"/>
      <c r="K4572" s="396" t="s">
        <v>444</v>
      </c>
      <c r="L4572" s="273"/>
      <c r="M4572" s="394">
        <f>SUM(M4567:N4571)</f>
        <v>0</v>
      </c>
      <c r="N4572" s="273"/>
    </row>
    <row r="4573" spans="1:14" ht="12.75" customHeight="1" x14ac:dyDescent="0.25">
      <c r="A4573" s="4"/>
      <c r="B4573" s="4"/>
      <c r="C4573" s="4"/>
      <c r="D4573" s="4"/>
      <c r="E4573" s="4"/>
      <c r="F4573" s="4"/>
      <c r="G4573" s="4"/>
      <c r="H4573" s="4"/>
      <c r="I4573" s="4"/>
      <c r="J4573" s="4"/>
      <c r="K4573" s="4"/>
      <c r="L4573" s="4"/>
      <c r="M4573" s="4"/>
      <c r="N4573" s="4"/>
    </row>
    <row r="4574" spans="1:14" ht="12.75" customHeight="1" x14ac:dyDescent="0.2">
      <c r="A4574" s="398" t="s">
        <v>929</v>
      </c>
      <c r="B4574" s="271"/>
      <c r="C4574" s="271"/>
      <c r="D4574" s="271"/>
      <c r="E4574" s="271"/>
      <c r="F4574" s="271"/>
      <c r="G4574" s="271"/>
      <c r="H4574" s="271"/>
      <c r="I4574" s="271"/>
      <c r="J4574" s="271"/>
      <c r="K4574" s="271"/>
      <c r="L4574" s="271"/>
      <c r="M4574" s="271"/>
      <c r="N4574" s="273"/>
    </row>
    <row r="4575" spans="1:14" ht="12.75" customHeight="1" x14ac:dyDescent="0.2">
      <c r="A4575" s="396" t="s">
        <v>76</v>
      </c>
      <c r="B4575" s="271"/>
      <c r="C4575" s="271"/>
      <c r="D4575" s="271"/>
      <c r="E4575" s="271"/>
      <c r="F4575" s="271"/>
      <c r="G4575" s="273"/>
      <c r="H4575" s="88" t="s">
        <v>77</v>
      </c>
      <c r="I4575" s="399" t="s">
        <v>920</v>
      </c>
      <c r="J4575" s="273"/>
      <c r="K4575" s="399" t="s">
        <v>453</v>
      </c>
      <c r="L4575" s="273"/>
      <c r="M4575" s="399" t="s">
        <v>921</v>
      </c>
      <c r="N4575" s="273"/>
    </row>
    <row r="4576" spans="1:14" ht="12.75" customHeight="1" x14ac:dyDescent="0.2">
      <c r="A4576" s="403"/>
      <c r="B4576" s="271"/>
      <c r="C4576" s="271"/>
      <c r="D4576" s="271"/>
      <c r="E4576" s="271"/>
      <c r="F4576" s="271"/>
      <c r="G4576" s="273"/>
      <c r="H4576" s="29"/>
      <c r="I4576" s="394"/>
      <c r="J4576" s="273"/>
      <c r="K4576" s="404"/>
      <c r="L4576" s="273"/>
      <c r="M4576" s="394" t="str">
        <f t="shared" ref="M4576:M4580" si="629">IF(A4576="","",I4576*K4576)</f>
        <v/>
      </c>
      <c r="N4576" s="273"/>
    </row>
    <row r="4577" spans="1:14" ht="12.75" customHeight="1" x14ac:dyDescent="0.2">
      <c r="A4577" s="403"/>
      <c r="B4577" s="271"/>
      <c r="C4577" s="271"/>
      <c r="D4577" s="271"/>
      <c r="E4577" s="271"/>
      <c r="F4577" s="271"/>
      <c r="G4577" s="273"/>
      <c r="H4577" s="29"/>
      <c r="I4577" s="394"/>
      <c r="J4577" s="273"/>
      <c r="K4577" s="404"/>
      <c r="L4577" s="273"/>
      <c r="M4577" s="394" t="str">
        <f t="shared" si="629"/>
        <v/>
      </c>
      <c r="N4577" s="273"/>
    </row>
    <row r="4578" spans="1:14" ht="12.75" customHeight="1" x14ac:dyDescent="0.2">
      <c r="A4578" s="400"/>
      <c r="B4578" s="271"/>
      <c r="C4578" s="271"/>
      <c r="D4578" s="271"/>
      <c r="E4578" s="271"/>
      <c r="F4578" s="271"/>
      <c r="G4578" s="273"/>
      <c r="H4578" s="29"/>
      <c r="I4578" s="394"/>
      <c r="J4578" s="273"/>
      <c r="K4578" s="395"/>
      <c r="L4578" s="273"/>
      <c r="M4578" s="394" t="str">
        <f t="shared" si="629"/>
        <v/>
      </c>
      <c r="N4578" s="273"/>
    </row>
    <row r="4579" spans="1:14" ht="12.75" customHeight="1" x14ac:dyDescent="0.2">
      <c r="A4579" s="400"/>
      <c r="B4579" s="271"/>
      <c r="C4579" s="271"/>
      <c r="D4579" s="271"/>
      <c r="E4579" s="271"/>
      <c r="F4579" s="271"/>
      <c r="G4579" s="273"/>
      <c r="H4579" s="29"/>
      <c r="I4579" s="394"/>
      <c r="J4579" s="273"/>
      <c r="K4579" s="395"/>
      <c r="L4579" s="273"/>
      <c r="M4579" s="394" t="str">
        <f t="shared" si="629"/>
        <v/>
      </c>
      <c r="N4579" s="273"/>
    </row>
    <row r="4580" spans="1:14" ht="12.75" customHeight="1" x14ac:dyDescent="0.2">
      <c r="A4580" s="400"/>
      <c r="B4580" s="271"/>
      <c r="C4580" s="271"/>
      <c r="D4580" s="271"/>
      <c r="E4580" s="271"/>
      <c r="F4580" s="271"/>
      <c r="G4580" s="273"/>
      <c r="H4580" s="29"/>
      <c r="I4580" s="394"/>
      <c r="J4580" s="273"/>
      <c r="K4580" s="395"/>
      <c r="L4580" s="273"/>
      <c r="M4580" s="394" t="str">
        <f t="shared" si="629"/>
        <v/>
      </c>
      <c r="N4580" s="273"/>
    </row>
    <row r="4581" spans="1:14" ht="12.75" customHeight="1" x14ac:dyDescent="0.25">
      <c r="A4581" s="4"/>
      <c r="B4581" s="4"/>
      <c r="C4581" s="4"/>
      <c r="D4581" s="4"/>
      <c r="E4581" s="4"/>
      <c r="F4581" s="4"/>
      <c r="G4581" s="4"/>
      <c r="H4581" s="4"/>
      <c r="I4581" s="4"/>
      <c r="J4581" s="4"/>
      <c r="K4581" s="396" t="s">
        <v>444</v>
      </c>
      <c r="L4581" s="273"/>
      <c r="M4581" s="394">
        <f>SUM(M4576:N4580)</f>
        <v>0</v>
      </c>
      <c r="N4581" s="273"/>
    </row>
    <row r="4582" spans="1:14" ht="12.75" customHeight="1" x14ac:dyDescent="0.25">
      <c r="A4582" s="4"/>
      <c r="B4582" s="4"/>
      <c r="C4582" s="4"/>
      <c r="D4582" s="4"/>
      <c r="E4582" s="4"/>
      <c r="F4582" s="4"/>
      <c r="G4582" s="4"/>
      <c r="H4582" s="4"/>
      <c r="I4582" s="4"/>
      <c r="J4582" s="4"/>
      <c r="K4582" s="4"/>
      <c r="L4582" s="4"/>
      <c r="M4582" s="4"/>
      <c r="N4582" s="4"/>
    </row>
    <row r="4583" spans="1:14" ht="12.75" customHeight="1" x14ac:dyDescent="0.2">
      <c r="A4583" s="398" t="s">
        <v>931</v>
      </c>
      <c r="B4583" s="271"/>
      <c r="C4583" s="271"/>
      <c r="D4583" s="271"/>
      <c r="E4583" s="271"/>
      <c r="F4583" s="271"/>
      <c r="G4583" s="271"/>
      <c r="H4583" s="271"/>
      <c r="I4583" s="271"/>
      <c r="J4583" s="271"/>
      <c r="K4583" s="271"/>
      <c r="L4583" s="271"/>
      <c r="M4583" s="271"/>
      <c r="N4583" s="273"/>
    </row>
    <row r="4584" spans="1:14" ht="12.75" customHeight="1" x14ac:dyDescent="0.2">
      <c r="A4584" s="396" t="s">
        <v>76</v>
      </c>
      <c r="B4584" s="271"/>
      <c r="C4584" s="271"/>
      <c r="D4584" s="271"/>
      <c r="E4584" s="271"/>
      <c r="F4584" s="271"/>
      <c r="G4584" s="273"/>
      <c r="H4584" s="88" t="s">
        <v>77</v>
      </c>
      <c r="I4584" s="399" t="s">
        <v>920</v>
      </c>
      <c r="J4584" s="273"/>
      <c r="K4584" s="90" t="s">
        <v>514</v>
      </c>
      <c r="L4584" s="91" t="s">
        <v>932</v>
      </c>
      <c r="M4584" s="399" t="s">
        <v>921</v>
      </c>
      <c r="N4584" s="273"/>
    </row>
    <row r="4585" spans="1:14" ht="12.75" customHeight="1" x14ac:dyDescent="0.25">
      <c r="A4585" s="393"/>
      <c r="B4585" s="271"/>
      <c r="C4585" s="271"/>
      <c r="D4585" s="271"/>
      <c r="E4585" s="271"/>
      <c r="F4585" s="271"/>
      <c r="G4585" s="273"/>
      <c r="H4585" s="29" t="str">
        <f>IF(A4585="","",VLOOKUP(A4585,AA_Cuadrillas,4,FALSE))</f>
        <v/>
      </c>
      <c r="I4585" s="394" t="str">
        <f>IF(A4585="","",VLOOKUP(A4585,AA_Cuadrillas,5,FALSE))</f>
        <v/>
      </c>
      <c r="J4585" s="273"/>
      <c r="K4585" s="9" t="str">
        <f>IF(A4585="","",F.P!$I$2)</f>
        <v/>
      </c>
      <c r="L4585" s="93"/>
      <c r="M4585" s="394" t="str">
        <f t="shared" ref="M4585:M4589" si="630">IF(A4585="","",I4585*K4585*L4585)</f>
        <v/>
      </c>
      <c r="N4585" s="273"/>
    </row>
    <row r="4586" spans="1:14" ht="12.75" customHeight="1" x14ac:dyDescent="0.25">
      <c r="A4586" s="393"/>
      <c r="B4586" s="271"/>
      <c r="C4586" s="271"/>
      <c r="D4586" s="271"/>
      <c r="E4586" s="271"/>
      <c r="F4586" s="271"/>
      <c r="G4586" s="273"/>
      <c r="H4586" s="29" t="str">
        <f>IF(A4586="","",VLOOKUP(A4586,AA_Cuadrillas,4,FALSE))</f>
        <v/>
      </c>
      <c r="I4586" s="394" t="str">
        <f>IF(A4586="","",VLOOKUP(A4586,AA_Cuadrillas,5,FALSE))</f>
        <v/>
      </c>
      <c r="J4586" s="273"/>
      <c r="K4586" s="9" t="str">
        <f>IF(A4586="","",F.P!$I$2)</f>
        <v/>
      </c>
      <c r="L4586" s="9"/>
      <c r="M4586" s="394" t="str">
        <f t="shared" si="630"/>
        <v/>
      </c>
      <c r="N4586" s="273"/>
    </row>
    <row r="4587" spans="1:14" ht="12.75" customHeight="1" x14ac:dyDescent="0.25">
      <c r="A4587" s="393"/>
      <c r="B4587" s="271"/>
      <c r="C4587" s="271"/>
      <c r="D4587" s="271"/>
      <c r="E4587" s="271"/>
      <c r="F4587" s="271"/>
      <c r="G4587" s="273"/>
      <c r="H4587" s="29" t="str">
        <f>IF(A4587="","",VLOOKUP(A4587,AA_Cuadrillas,4,FALSE))</f>
        <v/>
      </c>
      <c r="I4587" s="394" t="str">
        <f>IF(A4587="","",VLOOKUP(A4587,AA_Cuadrillas,5,FALSE))</f>
        <v/>
      </c>
      <c r="J4587" s="273"/>
      <c r="K4587" s="9" t="str">
        <f>IF(A4587="","",F.P!$I$2)</f>
        <v/>
      </c>
      <c r="L4587" s="37"/>
      <c r="M4587" s="394" t="str">
        <f t="shared" si="630"/>
        <v/>
      </c>
      <c r="N4587" s="273"/>
    </row>
    <row r="4588" spans="1:14" ht="12.75" customHeight="1" x14ac:dyDescent="0.25">
      <c r="A4588" s="393"/>
      <c r="B4588" s="271"/>
      <c r="C4588" s="271"/>
      <c r="D4588" s="271"/>
      <c r="E4588" s="271"/>
      <c r="F4588" s="271"/>
      <c r="G4588" s="273"/>
      <c r="H4588" s="29" t="str">
        <f>IF(A4588="","",VLOOKUP(A4588,AA_Cuadrillas,4,FALSE))</f>
        <v/>
      </c>
      <c r="I4588" s="394" t="str">
        <f>IF(A4588="","",VLOOKUP(A4588,AA_Cuadrillas,5,FALSE))</f>
        <v/>
      </c>
      <c r="J4588" s="273"/>
      <c r="K4588" s="9" t="str">
        <f>IF(A4588="","",F.P!$I$2)</f>
        <v/>
      </c>
      <c r="L4588" s="37"/>
      <c r="M4588" s="394" t="str">
        <f t="shared" si="630"/>
        <v/>
      </c>
      <c r="N4588" s="273"/>
    </row>
    <row r="4589" spans="1:14" ht="12.75" customHeight="1" x14ac:dyDescent="0.25">
      <c r="A4589" s="393"/>
      <c r="B4589" s="271"/>
      <c r="C4589" s="271"/>
      <c r="D4589" s="271"/>
      <c r="E4589" s="271"/>
      <c r="F4589" s="271"/>
      <c r="G4589" s="273"/>
      <c r="H4589" s="29" t="str">
        <f>IF(A4589="","",VLOOKUP(A4589,AA_Cuadrillas,4,FALSE))</f>
        <v/>
      </c>
      <c r="I4589" s="394" t="str">
        <f>IF(A4589="","",VLOOKUP(A4589,AA_Cuadrillas,5,FALSE))</f>
        <v/>
      </c>
      <c r="J4589" s="273"/>
      <c r="K4589" s="9" t="str">
        <f>IF(A4589="","",F.P!$I$2)</f>
        <v/>
      </c>
      <c r="L4589" s="37"/>
      <c r="M4589" s="394" t="str">
        <f t="shared" si="630"/>
        <v/>
      </c>
      <c r="N4589" s="273"/>
    </row>
    <row r="4590" spans="1:14" ht="12.75" customHeight="1" x14ac:dyDescent="0.25">
      <c r="A4590" s="4"/>
      <c r="B4590" s="4"/>
      <c r="C4590" s="4"/>
      <c r="D4590" s="4"/>
      <c r="E4590" s="4"/>
      <c r="F4590" s="4"/>
      <c r="G4590" s="4"/>
      <c r="H4590" s="4"/>
      <c r="I4590" s="4"/>
      <c r="J4590" s="4"/>
      <c r="K4590" s="396" t="s">
        <v>444</v>
      </c>
      <c r="L4590" s="273"/>
      <c r="M4590" s="394">
        <f>SUM(M4585:N4589)</f>
        <v>0</v>
      </c>
      <c r="N4590" s="273"/>
    </row>
    <row r="4591" spans="1:14" ht="12.75" customHeight="1" x14ac:dyDescent="0.2"/>
    <row r="4592" spans="1:14" ht="12.75" customHeight="1" x14ac:dyDescent="0.2">
      <c r="A4592" s="407" t="s">
        <v>1187</v>
      </c>
      <c r="B4592" s="275"/>
      <c r="C4592" s="275"/>
      <c r="D4592" s="275"/>
      <c r="E4592" s="275"/>
      <c r="F4592" s="275"/>
      <c r="G4592" s="275"/>
      <c r="H4592" s="275"/>
      <c r="I4592" s="275"/>
      <c r="J4592" s="275"/>
      <c r="K4592" s="275"/>
      <c r="L4592" s="275"/>
      <c r="M4592" s="275"/>
      <c r="N4592" s="276"/>
    </row>
    <row r="4593" spans="1:14" ht="12.75" customHeight="1" x14ac:dyDescent="0.2">
      <c r="A4593" s="277"/>
      <c r="B4593" s="278"/>
      <c r="C4593" s="278"/>
      <c r="D4593" s="278"/>
      <c r="E4593" s="278"/>
      <c r="F4593" s="278"/>
      <c r="G4593" s="278"/>
      <c r="H4593" s="278"/>
      <c r="I4593" s="278"/>
      <c r="J4593" s="278"/>
      <c r="K4593" s="278"/>
      <c r="L4593" s="278"/>
      <c r="M4593" s="278"/>
      <c r="N4593" s="279"/>
    </row>
    <row r="4594" spans="1:14" ht="12.75" customHeight="1" x14ac:dyDescent="0.2">
      <c r="A4594" s="75"/>
      <c r="B4594" s="75"/>
      <c r="C4594" s="75"/>
      <c r="D4594" s="75"/>
      <c r="E4594" s="75"/>
      <c r="F4594" s="75"/>
      <c r="G4594" s="75"/>
      <c r="H4594" s="75"/>
      <c r="I4594" s="75"/>
      <c r="J4594" s="75"/>
      <c r="K4594" s="75"/>
      <c r="L4594" s="75"/>
      <c r="M4594" s="75"/>
      <c r="N4594" s="75"/>
    </row>
    <row r="4595" spans="1:14" ht="12.75" customHeight="1" x14ac:dyDescent="0.3">
      <c r="A4595" s="79" t="s">
        <v>721</v>
      </c>
      <c r="B4595" s="80" t="str">
        <f>A4592</f>
        <v>SUMINISTRO E INSTALACIÓN DE BOMBA CENTRÍFUGA AUTOCEBANTE 25HP</v>
      </c>
      <c r="C4595" s="81" t="s">
        <v>916</v>
      </c>
      <c r="D4595" s="82" t="s">
        <v>999</v>
      </c>
      <c r="E4595" s="83" t="s">
        <v>445</v>
      </c>
      <c r="F4595" s="86">
        <f>H4595+J4595+L4595+N4595</f>
        <v>24107911.238000002</v>
      </c>
      <c r="G4595" s="83" t="s">
        <v>607</v>
      </c>
      <c r="H4595" s="86">
        <f>M4604</f>
        <v>22633230.59</v>
      </c>
      <c r="I4595" s="83" t="s">
        <v>918</v>
      </c>
      <c r="J4595" s="86">
        <f>M4613</f>
        <v>70222.888000000006</v>
      </c>
      <c r="K4595" s="83" t="s">
        <v>609</v>
      </c>
      <c r="L4595" s="86">
        <f>M4622</f>
        <v>0</v>
      </c>
      <c r="M4595" s="83" t="s">
        <v>610</v>
      </c>
      <c r="N4595" s="86">
        <f>M4631</f>
        <v>1404457.76</v>
      </c>
    </row>
    <row r="4596" spans="1:14" ht="12.75" customHeight="1" x14ac:dyDescent="0.25">
      <c r="A4596" s="87"/>
      <c r="B4596" s="87"/>
      <c r="C4596" s="87"/>
      <c r="D4596" s="87"/>
      <c r="E4596" s="87"/>
      <c r="F4596" s="87"/>
      <c r="G4596" s="87"/>
      <c r="J4596" s="87"/>
      <c r="K4596" s="215" t="s">
        <v>3217</v>
      </c>
      <c r="L4596" s="215">
        <f>+F4595*presup!$O$5</f>
        <v>31340284.609400004</v>
      </c>
      <c r="M4596" s="87"/>
      <c r="N4596" s="87"/>
    </row>
    <row r="4597" spans="1:14" ht="12.75" customHeight="1" x14ac:dyDescent="0.2">
      <c r="A4597" s="398" t="s">
        <v>919</v>
      </c>
      <c r="B4597" s="271"/>
      <c r="C4597" s="271"/>
      <c r="D4597" s="271"/>
      <c r="E4597" s="271"/>
      <c r="F4597" s="271"/>
      <c r="G4597" s="271"/>
      <c r="H4597" s="271"/>
      <c r="I4597" s="271"/>
      <c r="J4597" s="271"/>
      <c r="K4597" s="271"/>
      <c r="L4597" s="271"/>
      <c r="M4597" s="271"/>
      <c r="N4597" s="273"/>
    </row>
    <row r="4598" spans="1:14" ht="12.75" customHeight="1" x14ac:dyDescent="0.2">
      <c r="A4598" s="396" t="s">
        <v>76</v>
      </c>
      <c r="B4598" s="271"/>
      <c r="C4598" s="271"/>
      <c r="D4598" s="271"/>
      <c r="E4598" s="271"/>
      <c r="F4598" s="271"/>
      <c r="G4598" s="273"/>
      <c r="H4598" s="88" t="s">
        <v>77</v>
      </c>
      <c r="I4598" s="399" t="s">
        <v>920</v>
      </c>
      <c r="J4598" s="273"/>
      <c r="K4598" s="399" t="s">
        <v>453</v>
      </c>
      <c r="L4598" s="273"/>
      <c r="M4598" s="399" t="s">
        <v>921</v>
      </c>
      <c r="N4598" s="273"/>
    </row>
    <row r="4599" spans="1:14" ht="12.75" customHeight="1" x14ac:dyDescent="0.2">
      <c r="A4599" s="400" t="s">
        <v>1188</v>
      </c>
      <c r="B4599" s="271"/>
      <c r="C4599" s="271"/>
      <c r="D4599" s="271"/>
      <c r="E4599" s="271"/>
      <c r="F4599" s="271"/>
      <c r="G4599" s="273"/>
      <c r="H4599" s="29" t="str">
        <f>IF(A4599="","",VLOOKUP(A4599,AA_Materiales,7,FALSE))</f>
        <v>Unidad</v>
      </c>
      <c r="I4599" s="394">
        <f>IF(A4599="","",VLOOKUP(A4599,AA_Materiales,8,FALSE))</f>
        <v>22633230.59</v>
      </c>
      <c r="J4599" s="273"/>
      <c r="K4599" s="395">
        <v>1</v>
      </c>
      <c r="L4599" s="273"/>
      <c r="M4599" s="394">
        <f t="shared" ref="M4599:M4603" si="631">IF(A4599="","",I4599*K4599)</f>
        <v>22633230.59</v>
      </c>
      <c r="N4599" s="273"/>
    </row>
    <row r="4600" spans="1:14" ht="12.75" customHeight="1" x14ac:dyDescent="0.2">
      <c r="A4600" s="400"/>
      <c r="B4600" s="271"/>
      <c r="C4600" s="271"/>
      <c r="D4600" s="271"/>
      <c r="E4600" s="271"/>
      <c r="F4600" s="271"/>
      <c r="G4600" s="273"/>
      <c r="H4600" s="29" t="str">
        <f>IF(A4600="","",VLOOKUP(A4600,AA_Materiales,7,FALSE))</f>
        <v/>
      </c>
      <c r="I4600" s="394" t="str">
        <f>IF(A4600="","",VLOOKUP(A4600,AA_Materiales,8,FALSE))</f>
        <v/>
      </c>
      <c r="J4600" s="273"/>
      <c r="K4600" s="401"/>
      <c r="L4600" s="273"/>
      <c r="M4600" s="394" t="str">
        <f t="shared" si="631"/>
        <v/>
      </c>
      <c r="N4600" s="273"/>
    </row>
    <row r="4601" spans="1:14" ht="12.75" customHeight="1" x14ac:dyDescent="0.2">
      <c r="A4601" s="400"/>
      <c r="B4601" s="271"/>
      <c r="C4601" s="271"/>
      <c r="D4601" s="271"/>
      <c r="E4601" s="271"/>
      <c r="F4601" s="271"/>
      <c r="G4601" s="273"/>
      <c r="H4601" s="29" t="str">
        <f>IF(A4601="","",VLOOKUP(A4601,AA_Materiales,7,FALSE))</f>
        <v/>
      </c>
      <c r="I4601" s="394" t="str">
        <f>IF(A4601="","",VLOOKUP(A4601,AA_Materiales,8,FALSE))</f>
        <v/>
      </c>
      <c r="J4601" s="273"/>
      <c r="K4601" s="401"/>
      <c r="L4601" s="273"/>
      <c r="M4601" s="394" t="str">
        <f t="shared" si="631"/>
        <v/>
      </c>
      <c r="N4601" s="273"/>
    </row>
    <row r="4602" spans="1:14" ht="12.75" customHeight="1" x14ac:dyDescent="0.2">
      <c r="A4602" s="400"/>
      <c r="B4602" s="271"/>
      <c r="C4602" s="271"/>
      <c r="D4602" s="271"/>
      <c r="E4602" s="271"/>
      <c r="F4602" s="271"/>
      <c r="G4602" s="273"/>
      <c r="H4602" s="29" t="str">
        <f>IF(A4602="","",VLOOKUP(A4602,AA_Materiales,7,FALSE))</f>
        <v/>
      </c>
      <c r="I4602" s="394" t="str">
        <f>IF(A4602="","",VLOOKUP(A4602,AA_Materiales,8,FALSE))</f>
        <v/>
      </c>
      <c r="J4602" s="273"/>
      <c r="K4602" s="395"/>
      <c r="L4602" s="273"/>
      <c r="M4602" s="394" t="str">
        <f t="shared" si="631"/>
        <v/>
      </c>
      <c r="N4602" s="273"/>
    </row>
    <row r="4603" spans="1:14" ht="12.75" customHeight="1" x14ac:dyDescent="0.2">
      <c r="A4603" s="400"/>
      <c r="B4603" s="271"/>
      <c r="C4603" s="271"/>
      <c r="D4603" s="271"/>
      <c r="E4603" s="271"/>
      <c r="F4603" s="271"/>
      <c r="G4603" s="273"/>
      <c r="H4603" s="29" t="str">
        <f>IF(A4603="","",VLOOKUP(A4603,AA_Materiales,7,FALSE))</f>
        <v/>
      </c>
      <c r="I4603" s="394" t="str">
        <f>IF(A4603="","",VLOOKUP(A4603,AA_Materiales,8,FALSE))</f>
        <v/>
      </c>
      <c r="J4603" s="273"/>
      <c r="K4603" s="395"/>
      <c r="L4603" s="273"/>
      <c r="M4603" s="394" t="str">
        <f t="shared" si="631"/>
        <v/>
      </c>
      <c r="N4603" s="273"/>
    </row>
    <row r="4604" spans="1:14" ht="12.75" customHeight="1" x14ac:dyDescent="0.25">
      <c r="A4604" s="4"/>
      <c r="B4604" s="4"/>
      <c r="C4604" s="4"/>
      <c r="D4604" s="4"/>
      <c r="E4604" s="4"/>
      <c r="F4604" s="4"/>
      <c r="G4604" s="4"/>
      <c r="H4604" s="4"/>
      <c r="I4604" s="4"/>
      <c r="J4604" s="4"/>
      <c r="K4604" s="396" t="s">
        <v>444</v>
      </c>
      <c r="L4604" s="273"/>
      <c r="M4604" s="394">
        <f>SUM(M4599:N4603)</f>
        <v>22633230.59</v>
      </c>
      <c r="N4604" s="273"/>
    </row>
    <row r="4605" spans="1:14" ht="12.75" customHeight="1" x14ac:dyDescent="0.25">
      <c r="A4605" s="4"/>
      <c r="B4605" s="4"/>
      <c r="C4605" s="4"/>
      <c r="D4605" s="4"/>
      <c r="E4605" s="4"/>
      <c r="F4605" s="4"/>
      <c r="G4605" s="4"/>
      <c r="H4605" s="4"/>
      <c r="I4605" s="4"/>
      <c r="J4605" s="4"/>
      <c r="K4605" s="4"/>
      <c r="L4605" s="4"/>
      <c r="M4605" s="4"/>
      <c r="N4605" s="4"/>
    </row>
    <row r="4606" spans="1:14" ht="12.75" customHeight="1" x14ac:dyDescent="0.2">
      <c r="A4606" s="398" t="s">
        <v>926</v>
      </c>
      <c r="B4606" s="271"/>
      <c r="C4606" s="271"/>
      <c r="D4606" s="271"/>
      <c r="E4606" s="271"/>
      <c r="F4606" s="271"/>
      <c r="G4606" s="271"/>
      <c r="H4606" s="271"/>
      <c r="I4606" s="271"/>
      <c r="J4606" s="271"/>
      <c r="K4606" s="271"/>
      <c r="L4606" s="271"/>
      <c r="M4606" s="271"/>
      <c r="N4606" s="273"/>
    </row>
    <row r="4607" spans="1:14" ht="12.75" customHeight="1" x14ac:dyDescent="0.2">
      <c r="A4607" s="396" t="s">
        <v>76</v>
      </c>
      <c r="B4607" s="271"/>
      <c r="C4607" s="271"/>
      <c r="D4607" s="271"/>
      <c r="E4607" s="271"/>
      <c r="F4607" s="271"/>
      <c r="G4607" s="273"/>
      <c r="H4607" s="88" t="s">
        <v>77</v>
      </c>
      <c r="I4607" s="399" t="s">
        <v>920</v>
      </c>
      <c r="J4607" s="273"/>
      <c r="K4607" s="399" t="s">
        <v>453</v>
      </c>
      <c r="L4607" s="273"/>
      <c r="M4607" s="399" t="s">
        <v>921</v>
      </c>
      <c r="N4607" s="273"/>
    </row>
    <row r="4608" spans="1:14" ht="12.75" customHeight="1" x14ac:dyDescent="0.2">
      <c r="A4608" s="400" t="s">
        <v>927</v>
      </c>
      <c r="B4608" s="271"/>
      <c r="C4608" s="271"/>
      <c r="D4608" s="271"/>
      <c r="E4608" s="271"/>
      <c r="F4608" s="271"/>
      <c r="G4608" s="273"/>
      <c r="H4608" s="29" t="str">
        <f>IF(A4608="","",VLOOKUP(A4608,AA_Equipos,7,FALSE))</f>
        <v>% M.O.</v>
      </c>
      <c r="I4608" s="394">
        <f>M4631</f>
        <v>1404457.76</v>
      </c>
      <c r="J4608" s="273"/>
      <c r="K4608" s="395">
        <v>0.05</v>
      </c>
      <c r="L4608" s="273"/>
      <c r="M4608" s="394">
        <f t="shared" ref="M4608:M4612" si="632">IF(A4608="","",I4608*K4608)</f>
        <v>70222.888000000006</v>
      </c>
      <c r="N4608" s="273"/>
    </row>
    <row r="4609" spans="1:14" ht="12.75" customHeight="1" x14ac:dyDescent="0.2">
      <c r="A4609" s="403"/>
      <c r="B4609" s="271"/>
      <c r="C4609" s="271"/>
      <c r="D4609" s="271"/>
      <c r="E4609" s="271"/>
      <c r="F4609" s="271"/>
      <c r="G4609" s="273"/>
      <c r="H4609" s="29" t="str">
        <f>IF(A4609="","",VLOOKUP(A4609,AA_Equipos,7,FALSE))</f>
        <v/>
      </c>
      <c r="I4609" s="394" t="str">
        <f>IF(A4609="","",VLOOKUP(A4609,AA_Equipos,8,FALSE))</f>
        <v/>
      </c>
      <c r="J4609" s="273"/>
      <c r="K4609" s="402"/>
      <c r="L4609" s="273"/>
      <c r="M4609" s="394" t="str">
        <f t="shared" si="632"/>
        <v/>
      </c>
      <c r="N4609" s="273"/>
    </row>
    <row r="4610" spans="1:14" ht="12.75" customHeight="1" x14ac:dyDescent="0.2">
      <c r="A4610" s="400"/>
      <c r="B4610" s="271"/>
      <c r="C4610" s="271"/>
      <c r="D4610" s="271"/>
      <c r="E4610" s="271"/>
      <c r="F4610" s="271"/>
      <c r="G4610" s="273"/>
      <c r="H4610" s="29" t="str">
        <f>IF(A4610="","",VLOOKUP(A4610,AA_Equipos,7,FALSE))</f>
        <v/>
      </c>
      <c r="I4610" s="394" t="str">
        <f>IF(A4610="","",VLOOKUP(A4610,AA_Equipos,8,FALSE))</f>
        <v/>
      </c>
      <c r="J4610" s="273"/>
      <c r="K4610" s="395"/>
      <c r="L4610" s="273"/>
      <c r="M4610" s="394" t="str">
        <f t="shared" si="632"/>
        <v/>
      </c>
      <c r="N4610" s="273"/>
    </row>
    <row r="4611" spans="1:14" ht="12.75" customHeight="1" x14ac:dyDescent="0.2">
      <c r="A4611" s="400"/>
      <c r="B4611" s="271"/>
      <c r="C4611" s="271"/>
      <c r="D4611" s="271"/>
      <c r="E4611" s="271"/>
      <c r="F4611" s="271"/>
      <c r="G4611" s="273"/>
      <c r="H4611" s="29" t="str">
        <f>IF(A4611="","",VLOOKUP(A4611,AA_Equipos,7,FALSE))</f>
        <v/>
      </c>
      <c r="I4611" s="394" t="str">
        <f>IF(A4611="","",VLOOKUP(A4611,AA_Equipos,8,FALSE))</f>
        <v/>
      </c>
      <c r="J4611" s="273"/>
      <c r="K4611" s="395"/>
      <c r="L4611" s="273"/>
      <c r="M4611" s="394" t="str">
        <f t="shared" si="632"/>
        <v/>
      </c>
      <c r="N4611" s="273"/>
    </row>
    <row r="4612" spans="1:14" ht="12.75" customHeight="1" x14ac:dyDescent="0.2">
      <c r="A4612" s="400"/>
      <c r="B4612" s="271"/>
      <c r="C4612" s="271"/>
      <c r="D4612" s="271"/>
      <c r="E4612" s="271"/>
      <c r="F4612" s="271"/>
      <c r="G4612" s="273"/>
      <c r="H4612" s="29" t="str">
        <f>IF(A4612="","",VLOOKUP(A4612,AA_Equipos,7,FALSE))</f>
        <v/>
      </c>
      <c r="I4612" s="394" t="str">
        <f>IF(A4612="","",VLOOKUP(A4612,AA_Equipos,8,FALSE))</f>
        <v/>
      </c>
      <c r="J4612" s="273"/>
      <c r="K4612" s="395"/>
      <c r="L4612" s="273"/>
      <c r="M4612" s="394" t="str">
        <f t="shared" si="632"/>
        <v/>
      </c>
      <c r="N4612" s="273"/>
    </row>
    <row r="4613" spans="1:14" ht="12.75" customHeight="1" x14ac:dyDescent="0.25">
      <c r="A4613" s="4"/>
      <c r="B4613" s="4"/>
      <c r="C4613" s="4"/>
      <c r="D4613" s="4"/>
      <c r="E4613" s="4"/>
      <c r="F4613" s="4"/>
      <c r="G4613" s="4"/>
      <c r="H4613" s="4"/>
      <c r="I4613" s="4"/>
      <c r="J4613" s="4"/>
      <c r="K4613" s="396" t="s">
        <v>444</v>
      </c>
      <c r="L4613" s="273"/>
      <c r="M4613" s="394">
        <f>SUM(M4608:N4612)</f>
        <v>70222.888000000006</v>
      </c>
      <c r="N4613" s="273"/>
    </row>
    <row r="4614" spans="1:14" ht="12.75" customHeight="1" x14ac:dyDescent="0.25">
      <c r="A4614" s="4"/>
      <c r="B4614" s="4"/>
      <c r="C4614" s="4"/>
      <c r="D4614" s="4"/>
      <c r="E4614" s="4"/>
      <c r="F4614" s="4"/>
      <c r="G4614" s="4"/>
      <c r="H4614" s="4"/>
      <c r="I4614" s="4"/>
      <c r="J4614" s="4"/>
      <c r="K4614" s="4"/>
      <c r="L4614" s="4"/>
      <c r="M4614" s="4"/>
      <c r="N4614" s="4"/>
    </row>
    <row r="4615" spans="1:14" ht="12.75" customHeight="1" x14ac:dyDescent="0.2">
      <c r="A4615" s="398" t="s">
        <v>929</v>
      </c>
      <c r="B4615" s="271"/>
      <c r="C4615" s="271"/>
      <c r="D4615" s="271"/>
      <c r="E4615" s="271"/>
      <c r="F4615" s="271"/>
      <c r="G4615" s="271"/>
      <c r="H4615" s="271"/>
      <c r="I4615" s="271"/>
      <c r="J4615" s="271"/>
      <c r="K4615" s="271"/>
      <c r="L4615" s="271"/>
      <c r="M4615" s="271"/>
      <c r="N4615" s="273"/>
    </row>
    <row r="4616" spans="1:14" ht="12.75" customHeight="1" x14ac:dyDescent="0.2">
      <c r="A4616" s="396" t="s">
        <v>76</v>
      </c>
      <c r="B4616" s="271"/>
      <c r="C4616" s="271"/>
      <c r="D4616" s="271"/>
      <c r="E4616" s="271"/>
      <c r="F4616" s="271"/>
      <c r="G4616" s="273"/>
      <c r="H4616" s="88" t="s">
        <v>77</v>
      </c>
      <c r="I4616" s="399" t="s">
        <v>920</v>
      </c>
      <c r="J4616" s="273"/>
      <c r="K4616" s="399" t="s">
        <v>453</v>
      </c>
      <c r="L4616" s="273"/>
      <c r="M4616" s="399" t="s">
        <v>921</v>
      </c>
      <c r="N4616" s="273"/>
    </row>
    <row r="4617" spans="1:14" ht="12.75" customHeight="1" x14ac:dyDescent="0.2">
      <c r="A4617" s="403"/>
      <c r="B4617" s="271"/>
      <c r="C4617" s="271"/>
      <c r="D4617" s="271"/>
      <c r="E4617" s="271"/>
      <c r="F4617" s="271"/>
      <c r="G4617" s="273"/>
      <c r="H4617" s="29"/>
      <c r="I4617" s="394"/>
      <c r="J4617" s="273"/>
      <c r="K4617" s="404"/>
      <c r="L4617" s="273"/>
      <c r="M4617" s="394" t="str">
        <f t="shared" ref="M4617:M4621" si="633">IF(A4617="","",I4617*K4617)</f>
        <v/>
      </c>
      <c r="N4617" s="273"/>
    </row>
    <row r="4618" spans="1:14" ht="12.75" customHeight="1" x14ac:dyDescent="0.2">
      <c r="A4618" s="403"/>
      <c r="B4618" s="271"/>
      <c r="C4618" s="271"/>
      <c r="D4618" s="271"/>
      <c r="E4618" s="271"/>
      <c r="F4618" s="271"/>
      <c r="G4618" s="273"/>
      <c r="H4618" s="29"/>
      <c r="I4618" s="394"/>
      <c r="J4618" s="273"/>
      <c r="K4618" s="404"/>
      <c r="L4618" s="273"/>
      <c r="M4618" s="394" t="str">
        <f t="shared" si="633"/>
        <v/>
      </c>
      <c r="N4618" s="273"/>
    </row>
    <row r="4619" spans="1:14" ht="12.75" customHeight="1" x14ac:dyDescent="0.2">
      <c r="A4619" s="400"/>
      <c r="B4619" s="271"/>
      <c r="C4619" s="271"/>
      <c r="D4619" s="271"/>
      <c r="E4619" s="271"/>
      <c r="F4619" s="271"/>
      <c r="G4619" s="273"/>
      <c r="H4619" s="29"/>
      <c r="I4619" s="394"/>
      <c r="J4619" s="273"/>
      <c r="K4619" s="395"/>
      <c r="L4619" s="273"/>
      <c r="M4619" s="394" t="str">
        <f t="shared" si="633"/>
        <v/>
      </c>
      <c r="N4619" s="273"/>
    </row>
    <row r="4620" spans="1:14" ht="12.75" customHeight="1" x14ac:dyDescent="0.2">
      <c r="A4620" s="400"/>
      <c r="B4620" s="271"/>
      <c r="C4620" s="271"/>
      <c r="D4620" s="271"/>
      <c r="E4620" s="271"/>
      <c r="F4620" s="271"/>
      <c r="G4620" s="273"/>
      <c r="H4620" s="29"/>
      <c r="I4620" s="394"/>
      <c r="J4620" s="273"/>
      <c r="K4620" s="395"/>
      <c r="L4620" s="273"/>
      <c r="M4620" s="394" t="str">
        <f t="shared" si="633"/>
        <v/>
      </c>
      <c r="N4620" s="273"/>
    </row>
    <row r="4621" spans="1:14" ht="12.75" customHeight="1" x14ac:dyDescent="0.2">
      <c r="A4621" s="400"/>
      <c r="B4621" s="271"/>
      <c r="C4621" s="271"/>
      <c r="D4621" s="271"/>
      <c r="E4621" s="271"/>
      <c r="F4621" s="271"/>
      <c r="G4621" s="273"/>
      <c r="H4621" s="29"/>
      <c r="I4621" s="394"/>
      <c r="J4621" s="273"/>
      <c r="K4621" s="395"/>
      <c r="L4621" s="273"/>
      <c r="M4621" s="394" t="str">
        <f t="shared" si="633"/>
        <v/>
      </c>
      <c r="N4621" s="273"/>
    </row>
    <row r="4622" spans="1:14" ht="12.75" customHeight="1" x14ac:dyDescent="0.25">
      <c r="A4622" s="4"/>
      <c r="B4622" s="4"/>
      <c r="C4622" s="4"/>
      <c r="D4622" s="4"/>
      <c r="E4622" s="4"/>
      <c r="F4622" s="4"/>
      <c r="G4622" s="4"/>
      <c r="H4622" s="4"/>
      <c r="I4622" s="4"/>
      <c r="J4622" s="4"/>
      <c r="K4622" s="396" t="s">
        <v>444</v>
      </c>
      <c r="L4622" s="273"/>
      <c r="M4622" s="394">
        <f>SUM(M4617:N4621)</f>
        <v>0</v>
      </c>
      <c r="N4622" s="273"/>
    </row>
    <row r="4623" spans="1:14" ht="12.75" customHeight="1" x14ac:dyDescent="0.25">
      <c r="A4623" s="4"/>
      <c r="B4623" s="4"/>
      <c r="C4623" s="4"/>
      <c r="D4623" s="4"/>
      <c r="E4623" s="4"/>
      <c r="F4623" s="4"/>
      <c r="G4623" s="4"/>
      <c r="H4623" s="4"/>
      <c r="I4623" s="4"/>
      <c r="J4623" s="4"/>
      <c r="K4623" s="4"/>
      <c r="L4623" s="4"/>
      <c r="M4623" s="4"/>
      <c r="N4623" s="4"/>
    </row>
    <row r="4624" spans="1:14" ht="12.75" customHeight="1" x14ac:dyDescent="0.2">
      <c r="A4624" s="398" t="s">
        <v>931</v>
      </c>
      <c r="B4624" s="271"/>
      <c r="C4624" s="271"/>
      <c r="D4624" s="271"/>
      <c r="E4624" s="271"/>
      <c r="F4624" s="271"/>
      <c r="G4624" s="271"/>
      <c r="H4624" s="271"/>
      <c r="I4624" s="271"/>
      <c r="J4624" s="271"/>
      <c r="K4624" s="271"/>
      <c r="L4624" s="271"/>
      <c r="M4624" s="271"/>
      <c r="N4624" s="273"/>
    </row>
    <row r="4625" spans="1:14" ht="12.75" customHeight="1" x14ac:dyDescent="0.2">
      <c r="A4625" s="396" t="s">
        <v>76</v>
      </c>
      <c r="B4625" s="271"/>
      <c r="C4625" s="271"/>
      <c r="D4625" s="271"/>
      <c r="E4625" s="271"/>
      <c r="F4625" s="271"/>
      <c r="G4625" s="273"/>
      <c r="H4625" s="88" t="s">
        <v>77</v>
      </c>
      <c r="I4625" s="399" t="s">
        <v>920</v>
      </c>
      <c r="J4625" s="273"/>
      <c r="K4625" s="90" t="s">
        <v>514</v>
      </c>
      <c r="L4625" s="91" t="s">
        <v>932</v>
      </c>
      <c r="M4625" s="399" t="s">
        <v>921</v>
      </c>
      <c r="N4625" s="273"/>
    </row>
    <row r="4626" spans="1:14" ht="12.75" customHeight="1" x14ac:dyDescent="0.25">
      <c r="A4626" s="393" t="s">
        <v>986</v>
      </c>
      <c r="B4626" s="271"/>
      <c r="C4626" s="271"/>
      <c r="D4626" s="271"/>
      <c r="E4626" s="271"/>
      <c r="F4626" s="271"/>
      <c r="G4626" s="273"/>
      <c r="H4626" s="29" t="str">
        <f>IF(A4626="","",VLOOKUP(A4626,AA_Cuadrillas,4,FALSE))</f>
        <v>Cuadrilla</v>
      </c>
      <c r="I4626" s="394">
        <f>IF(A4626="","",VLOOKUP(A4626,AA_Cuadrillas,5,FALSE))</f>
        <v>186763</v>
      </c>
      <c r="J4626" s="273"/>
      <c r="K4626" s="9">
        <f>IF(A4626="","",F.P!$I$2)</f>
        <v>1.88</v>
      </c>
      <c r="L4626" s="93">
        <f>1/0.25</f>
        <v>4</v>
      </c>
      <c r="M4626" s="394">
        <f t="shared" ref="M4626:M4630" si="634">IF(A4626="","",I4626*K4626*L4626)</f>
        <v>1404457.76</v>
      </c>
      <c r="N4626" s="273"/>
    </row>
    <row r="4627" spans="1:14" ht="12.75" customHeight="1" x14ac:dyDescent="0.25">
      <c r="A4627" s="393"/>
      <c r="B4627" s="271"/>
      <c r="C4627" s="271"/>
      <c r="D4627" s="271"/>
      <c r="E4627" s="271"/>
      <c r="F4627" s="271"/>
      <c r="G4627" s="273"/>
      <c r="H4627" s="29" t="str">
        <f>IF(A4627="","",VLOOKUP(A4627,AA_Cuadrillas,4,FALSE))</f>
        <v/>
      </c>
      <c r="I4627" s="394" t="str">
        <f>IF(A4627="","",VLOOKUP(A4627,AA_Cuadrillas,5,FALSE))</f>
        <v/>
      </c>
      <c r="J4627" s="273"/>
      <c r="K4627" s="9" t="str">
        <f>IF(A4627="","",F.P!$I$2)</f>
        <v/>
      </c>
      <c r="L4627" s="9"/>
      <c r="M4627" s="394" t="str">
        <f t="shared" si="634"/>
        <v/>
      </c>
      <c r="N4627" s="273"/>
    </row>
    <row r="4628" spans="1:14" ht="12.75" customHeight="1" x14ac:dyDescent="0.25">
      <c r="A4628" s="393"/>
      <c r="B4628" s="271"/>
      <c r="C4628" s="271"/>
      <c r="D4628" s="271"/>
      <c r="E4628" s="271"/>
      <c r="F4628" s="271"/>
      <c r="G4628" s="273"/>
      <c r="H4628" s="29" t="str">
        <f>IF(A4628="","",VLOOKUP(A4628,AA_Cuadrillas,4,FALSE))</f>
        <v/>
      </c>
      <c r="I4628" s="394" t="str">
        <f>IF(A4628="","",VLOOKUP(A4628,AA_Cuadrillas,5,FALSE))</f>
        <v/>
      </c>
      <c r="J4628" s="273"/>
      <c r="K4628" s="9" t="str">
        <f>IF(A4628="","",F.P!$I$2)</f>
        <v/>
      </c>
      <c r="L4628" s="37"/>
      <c r="M4628" s="394" t="str">
        <f t="shared" si="634"/>
        <v/>
      </c>
      <c r="N4628" s="273"/>
    </row>
    <row r="4629" spans="1:14" ht="12.75" customHeight="1" x14ac:dyDescent="0.25">
      <c r="A4629" s="393"/>
      <c r="B4629" s="271"/>
      <c r="C4629" s="271"/>
      <c r="D4629" s="271"/>
      <c r="E4629" s="271"/>
      <c r="F4629" s="271"/>
      <c r="G4629" s="273"/>
      <c r="H4629" s="29" t="str">
        <f>IF(A4629="","",VLOOKUP(A4629,AA_Cuadrillas,4,FALSE))</f>
        <v/>
      </c>
      <c r="I4629" s="394" t="str">
        <f>IF(A4629="","",VLOOKUP(A4629,AA_Cuadrillas,5,FALSE))</f>
        <v/>
      </c>
      <c r="J4629" s="273"/>
      <c r="K4629" s="9" t="str">
        <f>IF(A4629="","",F.P!$I$2)</f>
        <v/>
      </c>
      <c r="L4629" s="37"/>
      <c r="M4629" s="394" t="str">
        <f t="shared" si="634"/>
        <v/>
      </c>
      <c r="N4629" s="273"/>
    </row>
    <row r="4630" spans="1:14" ht="12.75" customHeight="1" x14ac:dyDescent="0.25">
      <c r="A4630" s="393"/>
      <c r="B4630" s="271"/>
      <c r="C4630" s="271"/>
      <c r="D4630" s="271"/>
      <c r="E4630" s="271"/>
      <c r="F4630" s="271"/>
      <c r="G4630" s="273"/>
      <c r="H4630" s="29" t="str">
        <f>IF(A4630="","",VLOOKUP(A4630,AA_Cuadrillas,4,FALSE))</f>
        <v/>
      </c>
      <c r="I4630" s="394" t="str">
        <f>IF(A4630="","",VLOOKUP(A4630,AA_Cuadrillas,5,FALSE))</f>
        <v/>
      </c>
      <c r="J4630" s="273"/>
      <c r="K4630" s="9" t="str">
        <f>IF(A4630="","",F.P!$I$2)</f>
        <v/>
      </c>
      <c r="L4630" s="37"/>
      <c r="M4630" s="394" t="str">
        <f t="shared" si="634"/>
        <v/>
      </c>
      <c r="N4630" s="273"/>
    </row>
    <row r="4631" spans="1:14" ht="12.75" customHeight="1" x14ac:dyDescent="0.25">
      <c r="A4631" s="4"/>
      <c r="B4631" s="4"/>
      <c r="C4631" s="4"/>
      <c r="D4631" s="4"/>
      <c r="E4631" s="4"/>
      <c r="F4631" s="4"/>
      <c r="G4631" s="4"/>
      <c r="H4631" s="4"/>
      <c r="I4631" s="4"/>
      <c r="J4631" s="4"/>
      <c r="K4631" s="396" t="s">
        <v>444</v>
      </c>
      <c r="L4631" s="273"/>
      <c r="M4631" s="394">
        <f>SUM(M4626:N4630)</f>
        <v>1404457.76</v>
      </c>
      <c r="N4631" s="273"/>
    </row>
    <row r="4632" spans="1:14" ht="12.75" customHeight="1" x14ac:dyDescent="0.2"/>
    <row r="4633" spans="1:14" ht="12.75" customHeight="1" x14ac:dyDescent="0.2">
      <c r="A4633" s="407" t="s">
        <v>1189</v>
      </c>
      <c r="B4633" s="275"/>
      <c r="C4633" s="275"/>
      <c r="D4633" s="275"/>
      <c r="E4633" s="275"/>
      <c r="F4633" s="275"/>
      <c r="G4633" s="275"/>
      <c r="H4633" s="275"/>
      <c r="I4633" s="275"/>
      <c r="J4633" s="275"/>
      <c r="K4633" s="275"/>
      <c r="L4633" s="275"/>
      <c r="M4633" s="275"/>
      <c r="N4633" s="276"/>
    </row>
    <row r="4634" spans="1:14" ht="12.75" customHeight="1" x14ac:dyDescent="0.2">
      <c r="A4634" s="277"/>
      <c r="B4634" s="278"/>
      <c r="C4634" s="278"/>
      <c r="D4634" s="278"/>
      <c r="E4634" s="278"/>
      <c r="F4634" s="278"/>
      <c r="G4634" s="278"/>
      <c r="H4634" s="278"/>
      <c r="I4634" s="278"/>
      <c r="J4634" s="278"/>
      <c r="K4634" s="278"/>
      <c r="L4634" s="278"/>
      <c r="M4634" s="278"/>
      <c r="N4634" s="279"/>
    </row>
    <row r="4635" spans="1:14" ht="12.75" customHeight="1" x14ac:dyDescent="0.2">
      <c r="A4635" s="75"/>
      <c r="B4635" s="75"/>
      <c r="C4635" s="75"/>
      <c r="D4635" s="75"/>
      <c r="E4635" s="75"/>
      <c r="F4635" s="75"/>
      <c r="G4635" s="75"/>
      <c r="H4635" s="75"/>
      <c r="I4635" s="75"/>
      <c r="J4635" s="75"/>
      <c r="K4635" s="75"/>
      <c r="L4635" s="75"/>
      <c r="M4635" s="75"/>
      <c r="N4635" s="75"/>
    </row>
    <row r="4636" spans="1:14" ht="12.75" customHeight="1" x14ac:dyDescent="0.3">
      <c r="A4636" s="79" t="s">
        <v>722</v>
      </c>
      <c r="B4636" s="80" t="str">
        <f>A4633</f>
        <v>SUMINISTRO E INSTALACION DE TUBERÍA PVC Ø6"</v>
      </c>
      <c r="C4636" s="81" t="s">
        <v>916</v>
      </c>
      <c r="D4636" s="82" t="s">
        <v>981</v>
      </c>
      <c r="E4636" s="83" t="s">
        <v>445</v>
      </c>
      <c r="F4636" s="86">
        <f>H4636+J4636+L4636+N4636</f>
        <v>65413.203239999995</v>
      </c>
      <c r="G4636" s="83" t="s">
        <v>607</v>
      </c>
      <c r="H4636" s="86">
        <f>M4645</f>
        <v>58039.799999999996</v>
      </c>
      <c r="I4636" s="83" t="s">
        <v>918</v>
      </c>
      <c r="J4636" s="86">
        <f>M4654</f>
        <v>351.11444000000006</v>
      </c>
      <c r="K4636" s="83" t="s">
        <v>609</v>
      </c>
      <c r="L4636" s="86">
        <f>M4663</f>
        <v>0</v>
      </c>
      <c r="M4636" s="83" t="s">
        <v>610</v>
      </c>
      <c r="N4636" s="86">
        <f>M4672</f>
        <v>7022.2888000000003</v>
      </c>
    </row>
    <row r="4637" spans="1:14" ht="12.75" customHeight="1" x14ac:dyDescent="0.25">
      <c r="A4637" s="87"/>
      <c r="B4637" s="87"/>
      <c r="C4637" s="87"/>
      <c r="D4637" s="87"/>
      <c r="E4637" s="87"/>
      <c r="F4637" s="87"/>
      <c r="G4637" s="87"/>
      <c r="J4637" s="87"/>
      <c r="K4637" s="215" t="s">
        <v>3217</v>
      </c>
      <c r="L4637" s="215">
        <f>+F4636*presup!$O$5</f>
        <v>85037.164212000003</v>
      </c>
      <c r="M4637" s="87"/>
      <c r="N4637" s="87"/>
    </row>
    <row r="4638" spans="1:14" ht="12.75" customHeight="1" x14ac:dyDescent="0.2">
      <c r="A4638" s="398" t="s">
        <v>919</v>
      </c>
      <c r="B4638" s="271"/>
      <c r="C4638" s="271"/>
      <c r="D4638" s="271"/>
      <c r="E4638" s="271"/>
      <c r="F4638" s="271"/>
      <c r="G4638" s="271"/>
      <c r="H4638" s="271"/>
      <c r="I4638" s="271"/>
      <c r="J4638" s="271"/>
      <c r="K4638" s="271"/>
      <c r="L4638" s="271"/>
      <c r="M4638" s="271"/>
      <c r="N4638" s="273"/>
    </row>
    <row r="4639" spans="1:14" ht="12.75" customHeight="1" x14ac:dyDescent="0.2">
      <c r="A4639" s="396" t="s">
        <v>76</v>
      </c>
      <c r="B4639" s="271"/>
      <c r="C4639" s="271"/>
      <c r="D4639" s="271"/>
      <c r="E4639" s="271"/>
      <c r="F4639" s="271"/>
      <c r="G4639" s="273"/>
      <c r="H4639" s="88" t="s">
        <v>77</v>
      </c>
      <c r="I4639" s="399" t="s">
        <v>920</v>
      </c>
      <c r="J4639" s="273"/>
      <c r="K4639" s="399" t="s">
        <v>453</v>
      </c>
      <c r="L4639" s="273"/>
      <c r="M4639" s="399" t="s">
        <v>921</v>
      </c>
      <c r="N4639" s="273"/>
    </row>
    <row r="4640" spans="1:14" ht="12.75" customHeight="1" x14ac:dyDescent="0.2">
      <c r="A4640" s="400" t="s">
        <v>1190</v>
      </c>
      <c r="B4640" s="271"/>
      <c r="C4640" s="271"/>
      <c r="D4640" s="271"/>
      <c r="E4640" s="271"/>
      <c r="F4640" s="271"/>
      <c r="G4640" s="273"/>
      <c r="H4640" s="29" t="str">
        <f>IF(A4640="","",VLOOKUP(A4640,AA_Materiales,7,FALSE))</f>
        <v>ml</v>
      </c>
      <c r="I4640" s="394">
        <f>IF(A4640="","",VLOOKUP(A4640,AA_Materiales,8,FALSE))</f>
        <v>54300</v>
      </c>
      <c r="J4640" s="273"/>
      <c r="K4640" s="395">
        <v>1.05</v>
      </c>
      <c r="L4640" s="273"/>
      <c r="M4640" s="394">
        <f t="shared" ref="M4640:M4644" si="635">IF(A4640="","",I4640*K4640)</f>
        <v>57015</v>
      </c>
      <c r="N4640" s="273"/>
    </row>
    <row r="4641" spans="1:14" ht="12.75" customHeight="1" x14ac:dyDescent="0.2">
      <c r="A4641" s="400" t="s">
        <v>984</v>
      </c>
      <c r="B4641" s="271"/>
      <c r="C4641" s="271"/>
      <c r="D4641" s="271"/>
      <c r="E4641" s="271"/>
      <c r="F4641" s="271"/>
      <c r="G4641" s="273"/>
      <c r="H4641" s="29" t="str">
        <f>IF(A4641="","",VLOOKUP(A4641,AA_Materiales,7,FALSE))</f>
        <v>Galón</v>
      </c>
      <c r="I4641" s="394">
        <f>IF(A4641="","",VLOOKUP(A4641,AA_Materiales,8,FALSE))</f>
        <v>80900</v>
      </c>
      <c r="J4641" s="273"/>
      <c r="K4641" s="401">
        <v>8.0000000000000002E-3</v>
      </c>
      <c r="L4641" s="273"/>
      <c r="M4641" s="394">
        <f t="shared" si="635"/>
        <v>647.20000000000005</v>
      </c>
      <c r="N4641" s="273"/>
    </row>
    <row r="4642" spans="1:14" ht="12.75" customHeight="1" x14ac:dyDescent="0.2">
      <c r="A4642" s="400" t="s">
        <v>985</v>
      </c>
      <c r="B4642" s="271"/>
      <c r="C4642" s="271"/>
      <c r="D4642" s="271"/>
      <c r="E4642" s="271"/>
      <c r="F4642" s="271"/>
      <c r="G4642" s="273"/>
      <c r="H4642" s="29" t="str">
        <f>IF(A4642="","",VLOOKUP(A4642,AA_Materiales,7,FALSE))</f>
        <v>Galón</v>
      </c>
      <c r="I4642" s="394">
        <f>IF(A4642="","",VLOOKUP(A4642,AA_Materiales,8,FALSE))</f>
        <v>47200</v>
      </c>
      <c r="J4642" s="273"/>
      <c r="K4642" s="401">
        <v>8.0000000000000002E-3</v>
      </c>
      <c r="L4642" s="273"/>
      <c r="M4642" s="394">
        <f t="shared" si="635"/>
        <v>377.6</v>
      </c>
      <c r="N4642" s="273"/>
    </row>
    <row r="4643" spans="1:14" ht="12.75" customHeight="1" x14ac:dyDescent="0.2">
      <c r="A4643" s="400"/>
      <c r="B4643" s="271"/>
      <c r="C4643" s="271"/>
      <c r="D4643" s="271"/>
      <c r="E4643" s="271"/>
      <c r="F4643" s="271"/>
      <c r="G4643" s="273"/>
      <c r="H4643" s="29" t="str">
        <f>IF(A4643="","",VLOOKUP(A4643,AA_Materiales,7,FALSE))</f>
        <v/>
      </c>
      <c r="I4643" s="394" t="str">
        <f>IF(A4643="","",VLOOKUP(A4643,AA_Materiales,8,FALSE))</f>
        <v/>
      </c>
      <c r="J4643" s="273"/>
      <c r="K4643" s="395"/>
      <c r="L4643" s="273"/>
      <c r="M4643" s="394" t="str">
        <f t="shared" si="635"/>
        <v/>
      </c>
      <c r="N4643" s="273"/>
    </row>
    <row r="4644" spans="1:14" ht="12.75" customHeight="1" x14ac:dyDescent="0.2">
      <c r="A4644" s="400"/>
      <c r="B4644" s="271"/>
      <c r="C4644" s="271"/>
      <c r="D4644" s="271"/>
      <c r="E4644" s="271"/>
      <c r="F4644" s="271"/>
      <c r="G4644" s="273"/>
      <c r="H4644" s="29" t="str">
        <f>IF(A4644="","",VLOOKUP(A4644,AA_Materiales,7,FALSE))</f>
        <v/>
      </c>
      <c r="I4644" s="394" t="str">
        <f>IF(A4644="","",VLOOKUP(A4644,AA_Materiales,8,FALSE))</f>
        <v/>
      </c>
      <c r="J4644" s="273"/>
      <c r="K4644" s="395"/>
      <c r="L4644" s="273"/>
      <c r="M4644" s="394" t="str">
        <f t="shared" si="635"/>
        <v/>
      </c>
      <c r="N4644" s="273"/>
    </row>
    <row r="4645" spans="1:14" ht="12.75" customHeight="1" x14ac:dyDescent="0.25">
      <c r="A4645" s="4"/>
      <c r="B4645" s="4"/>
      <c r="C4645" s="4"/>
      <c r="D4645" s="4"/>
      <c r="E4645" s="4"/>
      <c r="F4645" s="4"/>
      <c r="G4645" s="4"/>
      <c r="H4645" s="4"/>
      <c r="I4645" s="4"/>
      <c r="J4645" s="4"/>
      <c r="K4645" s="396" t="s">
        <v>444</v>
      </c>
      <c r="L4645" s="273"/>
      <c r="M4645" s="394">
        <f>SUM(M4640:N4644)</f>
        <v>58039.799999999996</v>
      </c>
      <c r="N4645" s="273"/>
    </row>
    <row r="4646" spans="1:14" ht="12.75" customHeight="1" x14ac:dyDescent="0.25">
      <c r="A4646" s="4"/>
      <c r="B4646" s="4"/>
      <c r="C4646" s="4"/>
      <c r="D4646" s="4"/>
      <c r="E4646" s="4"/>
      <c r="F4646" s="4"/>
      <c r="G4646" s="4"/>
      <c r="H4646" s="4"/>
      <c r="I4646" s="4"/>
      <c r="J4646" s="4"/>
      <c r="K4646" s="4"/>
      <c r="L4646" s="4"/>
      <c r="M4646" s="4"/>
      <c r="N4646" s="4"/>
    </row>
    <row r="4647" spans="1:14" ht="12.75" customHeight="1" x14ac:dyDescent="0.2">
      <c r="A4647" s="398" t="s">
        <v>926</v>
      </c>
      <c r="B4647" s="271"/>
      <c r="C4647" s="271"/>
      <c r="D4647" s="271"/>
      <c r="E4647" s="271"/>
      <c r="F4647" s="271"/>
      <c r="G4647" s="271"/>
      <c r="H4647" s="271"/>
      <c r="I4647" s="271"/>
      <c r="J4647" s="271"/>
      <c r="K4647" s="271"/>
      <c r="L4647" s="271"/>
      <c r="M4647" s="271"/>
      <c r="N4647" s="273"/>
    </row>
    <row r="4648" spans="1:14" ht="12.75" customHeight="1" x14ac:dyDescent="0.2">
      <c r="A4648" s="396" t="s">
        <v>76</v>
      </c>
      <c r="B4648" s="271"/>
      <c r="C4648" s="271"/>
      <c r="D4648" s="271"/>
      <c r="E4648" s="271"/>
      <c r="F4648" s="271"/>
      <c r="G4648" s="273"/>
      <c r="H4648" s="88" t="s">
        <v>77</v>
      </c>
      <c r="I4648" s="399" t="s">
        <v>920</v>
      </c>
      <c r="J4648" s="273"/>
      <c r="K4648" s="399" t="s">
        <v>453</v>
      </c>
      <c r="L4648" s="273"/>
      <c r="M4648" s="399" t="s">
        <v>921</v>
      </c>
      <c r="N4648" s="273"/>
    </row>
    <row r="4649" spans="1:14" ht="12.75" customHeight="1" x14ac:dyDescent="0.2">
      <c r="A4649" s="400" t="s">
        <v>927</v>
      </c>
      <c r="B4649" s="271"/>
      <c r="C4649" s="271"/>
      <c r="D4649" s="271"/>
      <c r="E4649" s="271"/>
      <c r="F4649" s="271"/>
      <c r="G4649" s="273"/>
      <c r="H4649" s="29" t="str">
        <f>IF(A4649="","",VLOOKUP(A4649,AA_Equipos,7,FALSE))</f>
        <v>% M.O.</v>
      </c>
      <c r="I4649" s="394">
        <f>M4672</f>
        <v>7022.2888000000003</v>
      </c>
      <c r="J4649" s="273"/>
      <c r="K4649" s="395">
        <v>0.05</v>
      </c>
      <c r="L4649" s="273"/>
      <c r="M4649" s="394">
        <f t="shared" ref="M4649:M4653" si="636">IF(A4649="","",I4649*K4649)</f>
        <v>351.11444000000006</v>
      </c>
      <c r="N4649" s="273"/>
    </row>
    <row r="4650" spans="1:14" ht="12.75" customHeight="1" x14ac:dyDescent="0.2">
      <c r="A4650" s="403"/>
      <c r="B4650" s="271"/>
      <c r="C4650" s="271"/>
      <c r="D4650" s="271"/>
      <c r="E4650" s="271"/>
      <c r="F4650" s="271"/>
      <c r="G4650" s="273"/>
      <c r="H4650" s="29" t="str">
        <f>IF(A4650="","",VLOOKUP(A4650,AA_Equipos,7,FALSE))</f>
        <v/>
      </c>
      <c r="I4650" s="394" t="str">
        <f>IF(A4650="","",VLOOKUP(A4650,AA_Equipos,8,FALSE))</f>
        <v/>
      </c>
      <c r="J4650" s="273"/>
      <c r="K4650" s="402"/>
      <c r="L4650" s="273"/>
      <c r="M4650" s="394" t="str">
        <f t="shared" si="636"/>
        <v/>
      </c>
      <c r="N4650" s="273"/>
    </row>
    <row r="4651" spans="1:14" ht="12.75" customHeight="1" x14ac:dyDescent="0.2">
      <c r="A4651" s="400"/>
      <c r="B4651" s="271"/>
      <c r="C4651" s="271"/>
      <c r="D4651" s="271"/>
      <c r="E4651" s="271"/>
      <c r="F4651" s="271"/>
      <c r="G4651" s="273"/>
      <c r="H4651" s="29" t="str">
        <f>IF(A4651="","",VLOOKUP(A4651,AA_Equipos,7,FALSE))</f>
        <v/>
      </c>
      <c r="I4651" s="394" t="str">
        <f>IF(A4651="","",VLOOKUP(A4651,AA_Equipos,8,FALSE))</f>
        <v/>
      </c>
      <c r="J4651" s="273"/>
      <c r="K4651" s="395"/>
      <c r="L4651" s="273"/>
      <c r="M4651" s="394" t="str">
        <f t="shared" si="636"/>
        <v/>
      </c>
      <c r="N4651" s="273"/>
    </row>
    <row r="4652" spans="1:14" ht="12.75" customHeight="1" x14ac:dyDescent="0.2">
      <c r="A4652" s="400"/>
      <c r="B4652" s="271"/>
      <c r="C4652" s="271"/>
      <c r="D4652" s="271"/>
      <c r="E4652" s="271"/>
      <c r="F4652" s="271"/>
      <c r="G4652" s="273"/>
      <c r="H4652" s="29" t="str">
        <f>IF(A4652="","",VLOOKUP(A4652,AA_Equipos,7,FALSE))</f>
        <v/>
      </c>
      <c r="I4652" s="394" t="str">
        <f>IF(A4652="","",VLOOKUP(A4652,AA_Equipos,8,FALSE))</f>
        <v/>
      </c>
      <c r="J4652" s="273"/>
      <c r="K4652" s="395"/>
      <c r="L4652" s="273"/>
      <c r="M4652" s="394" t="str">
        <f t="shared" si="636"/>
        <v/>
      </c>
      <c r="N4652" s="273"/>
    </row>
    <row r="4653" spans="1:14" ht="12.75" customHeight="1" x14ac:dyDescent="0.2">
      <c r="A4653" s="400"/>
      <c r="B4653" s="271"/>
      <c r="C4653" s="271"/>
      <c r="D4653" s="271"/>
      <c r="E4653" s="271"/>
      <c r="F4653" s="271"/>
      <c r="G4653" s="273"/>
      <c r="H4653" s="29" t="str">
        <f>IF(A4653="","",VLOOKUP(A4653,AA_Equipos,7,FALSE))</f>
        <v/>
      </c>
      <c r="I4653" s="394" t="str">
        <f>IF(A4653="","",VLOOKUP(A4653,AA_Equipos,8,FALSE))</f>
        <v/>
      </c>
      <c r="J4653" s="273"/>
      <c r="K4653" s="395"/>
      <c r="L4653" s="273"/>
      <c r="M4653" s="394" t="str">
        <f t="shared" si="636"/>
        <v/>
      </c>
      <c r="N4653" s="273"/>
    </row>
    <row r="4654" spans="1:14" ht="12.75" customHeight="1" x14ac:dyDescent="0.25">
      <c r="A4654" s="4"/>
      <c r="B4654" s="4"/>
      <c r="C4654" s="4"/>
      <c r="D4654" s="4"/>
      <c r="E4654" s="4"/>
      <c r="F4654" s="4"/>
      <c r="G4654" s="4"/>
      <c r="H4654" s="4"/>
      <c r="I4654" s="4"/>
      <c r="J4654" s="4"/>
      <c r="K4654" s="396" t="s">
        <v>444</v>
      </c>
      <c r="L4654" s="273"/>
      <c r="M4654" s="394">
        <f>SUM(M4649:N4653)</f>
        <v>351.11444000000006</v>
      </c>
      <c r="N4654" s="273"/>
    </row>
    <row r="4655" spans="1:14" ht="12.75" customHeight="1" x14ac:dyDescent="0.25">
      <c r="A4655" s="4"/>
      <c r="B4655" s="4"/>
      <c r="C4655" s="4"/>
      <c r="D4655" s="4"/>
      <c r="E4655" s="4"/>
      <c r="F4655" s="4"/>
      <c r="G4655" s="4"/>
      <c r="H4655" s="4"/>
      <c r="I4655" s="4"/>
      <c r="J4655" s="4"/>
      <c r="K4655" s="4"/>
      <c r="L4655" s="4"/>
      <c r="M4655" s="4"/>
      <c r="N4655" s="4"/>
    </row>
    <row r="4656" spans="1:14" ht="12.75" customHeight="1" x14ac:dyDescent="0.2">
      <c r="A4656" s="398" t="s">
        <v>929</v>
      </c>
      <c r="B4656" s="271"/>
      <c r="C4656" s="271"/>
      <c r="D4656" s="271"/>
      <c r="E4656" s="271"/>
      <c r="F4656" s="271"/>
      <c r="G4656" s="271"/>
      <c r="H4656" s="271"/>
      <c r="I4656" s="271"/>
      <c r="J4656" s="271"/>
      <c r="K4656" s="271"/>
      <c r="L4656" s="271"/>
      <c r="M4656" s="271"/>
      <c r="N4656" s="273"/>
    </row>
    <row r="4657" spans="1:14" ht="12.75" customHeight="1" x14ac:dyDescent="0.2">
      <c r="A4657" s="396" t="s">
        <v>76</v>
      </c>
      <c r="B4657" s="271"/>
      <c r="C4657" s="271"/>
      <c r="D4657" s="271"/>
      <c r="E4657" s="271"/>
      <c r="F4657" s="271"/>
      <c r="G4657" s="273"/>
      <c r="H4657" s="88" t="s">
        <v>77</v>
      </c>
      <c r="I4657" s="399" t="s">
        <v>920</v>
      </c>
      <c r="J4657" s="273"/>
      <c r="K4657" s="399" t="s">
        <v>453</v>
      </c>
      <c r="L4657" s="273"/>
      <c r="M4657" s="399" t="s">
        <v>921</v>
      </c>
      <c r="N4657" s="273"/>
    </row>
    <row r="4658" spans="1:14" ht="12.75" customHeight="1" x14ac:dyDescent="0.2">
      <c r="A4658" s="403"/>
      <c r="B4658" s="271"/>
      <c r="C4658" s="271"/>
      <c r="D4658" s="271"/>
      <c r="E4658" s="271"/>
      <c r="F4658" s="271"/>
      <c r="G4658" s="273"/>
      <c r="H4658" s="29"/>
      <c r="I4658" s="394"/>
      <c r="J4658" s="273"/>
      <c r="K4658" s="404"/>
      <c r="L4658" s="273"/>
      <c r="M4658" s="394" t="str">
        <f t="shared" ref="M4658:M4662" si="637">IF(A4658="","",I4658*K4658)</f>
        <v/>
      </c>
      <c r="N4658" s="273"/>
    </row>
    <row r="4659" spans="1:14" ht="12.75" customHeight="1" x14ac:dyDescent="0.2">
      <c r="A4659" s="403"/>
      <c r="B4659" s="271"/>
      <c r="C4659" s="271"/>
      <c r="D4659" s="271"/>
      <c r="E4659" s="271"/>
      <c r="F4659" s="271"/>
      <c r="G4659" s="273"/>
      <c r="H4659" s="29"/>
      <c r="I4659" s="394"/>
      <c r="J4659" s="273"/>
      <c r="K4659" s="404"/>
      <c r="L4659" s="273"/>
      <c r="M4659" s="394" t="str">
        <f t="shared" si="637"/>
        <v/>
      </c>
      <c r="N4659" s="273"/>
    </row>
    <row r="4660" spans="1:14" ht="12.75" customHeight="1" x14ac:dyDescent="0.2">
      <c r="A4660" s="400"/>
      <c r="B4660" s="271"/>
      <c r="C4660" s="271"/>
      <c r="D4660" s="271"/>
      <c r="E4660" s="271"/>
      <c r="F4660" s="271"/>
      <c r="G4660" s="273"/>
      <c r="H4660" s="29"/>
      <c r="I4660" s="394"/>
      <c r="J4660" s="273"/>
      <c r="K4660" s="395"/>
      <c r="L4660" s="273"/>
      <c r="M4660" s="394" t="str">
        <f t="shared" si="637"/>
        <v/>
      </c>
      <c r="N4660" s="273"/>
    </row>
    <row r="4661" spans="1:14" ht="12.75" customHeight="1" x14ac:dyDescent="0.2">
      <c r="A4661" s="400"/>
      <c r="B4661" s="271"/>
      <c r="C4661" s="271"/>
      <c r="D4661" s="271"/>
      <c r="E4661" s="271"/>
      <c r="F4661" s="271"/>
      <c r="G4661" s="273"/>
      <c r="H4661" s="29"/>
      <c r="I4661" s="394"/>
      <c r="J4661" s="273"/>
      <c r="K4661" s="395"/>
      <c r="L4661" s="273"/>
      <c r="M4661" s="394" t="str">
        <f t="shared" si="637"/>
        <v/>
      </c>
      <c r="N4661" s="273"/>
    </row>
    <row r="4662" spans="1:14" ht="12.75" customHeight="1" x14ac:dyDescent="0.2">
      <c r="A4662" s="400"/>
      <c r="B4662" s="271"/>
      <c r="C4662" s="271"/>
      <c r="D4662" s="271"/>
      <c r="E4662" s="271"/>
      <c r="F4662" s="271"/>
      <c r="G4662" s="273"/>
      <c r="H4662" s="29"/>
      <c r="I4662" s="394"/>
      <c r="J4662" s="273"/>
      <c r="K4662" s="395"/>
      <c r="L4662" s="273"/>
      <c r="M4662" s="394" t="str">
        <f t="shared" si="637"/>
        <v/>
      </c>
      <c r="N4662" s="273"/>
    </row>
    <row r="4663" spans="1:14" ht="12.75" customHeight="1" x14ac:dyDescent="0.25">
      <c r="A4663" s="4"/>
      <c r="B4663" s="4"/>
      <c r="C4663" s="4"/>
      <c r="D4663" s="4"/>
      <c r="E4663" s="4"/>
      <c r="F4663" s="4"/>
      <c r="G4663" s="4"/>
      <c r="H4663" s="4"/>
      <c r="I4663" s="4"/>
      <c r="J4663" s="4"/>
      <c r="K4663" s="396" t="s">
        <v>444</v>
      </c>
      <c r="L4663" s="273"/>
      <c r="M4663" s="394">
        <f>SUM(M4658:N4662)</f>
        <v>0</v>
      </c>
      <c r="N4663" s="273"/>
    </row>
    <row r="4664" spans="1:14" ht="12.75" customHeight="1" x14ac:dyDescent="0.25">
      <c r="A4664" s="4"/>
      <c r="B4664" s="4"/>
      <c r="C4664" s="4"/>
      <c r="D4664" s="4"/>
      <c r="E4664" s="4"/>
      <c r="F4664" s="4"/>
      <c r="G4664" s="4"/>
      <c r="H4664" s="4"/>
      <c r="I4664" s="4"/>
      <c r="J4664" s="4"/>
      <c r="K4664" s="4"/>
      <c r="L4664" s="4"/>
      <c r="M4664" s="4"/>
      <c r="N4664" s="4"/>
    </row>
    <row r="4665" spans="1:14" ht="12.75" customHeight="1" x14ac:dyDescent="0.2">
      <c r="A4665" s="398" t="s">
        <v>931</v>
      </c>
      <c r="B4665" s="271"/>
      <c r="C4665" s="271"/>
      <c r="D4665" s="271"/>
      <c r="E4665" s="271"/>
      <c r="F4665" s="271"/>
      <c r="G4665" s="271"/>
      <c r="H4665" s="271"/>
      <c r="I4665" s="271"/>
      <c r="J4665" s="271"/>
      <c r="K4665" s="271"/>
      <c r="L4665" s="271"/>
      <c r="M4665" s="271"/>
      <c r="N4665" s="273"/>
    </row>
    <row r="4666" spans="1:14" ht="12.75" customHeight="1" x14ac:dyDescent="0.2">
      <c r="A4666" s="396" t="s">
        <v>76</v>
      </c>
      <c r="B4666" s="271"/>
      <c r="C4666" s="271"/>
      <c r="D4666" s="271"/>
      <c r="E4666" s="271"/>
      <c r="F4666" s="271"/>
      <c r="G4666" s="273"/>
      <c r="H4666" s="88" t="s">
        <v>77</v>
      </c>
      <c r="I4666" s="399" t="s">
        <v>920</v>
      </c>
      <c r="J4666" s="273"/>
      <c r="K4666" s="90" t="s">
        <v>514</v>
      </c>
      <c r="L4666" s="91" t="s">
        <v>932</v>
      </c>
      <c r="M4666" s="399" t="s">
        <v>921</v>
      </c>
      <c r="N4666" s="273"/>
    </row>
    <row r="4667" spans="1:14" ht="12.75" customHeight="1" x14ac:dyDescent="0.25">
      <c r="A4667" s="393" t="s">
        <v>986</v>
      </c>
      <c r="B4667" s="271"/>
      <c r="C4667" s="271"/>
      <c r="D4667" s="271"/>
      <c r="E4667" s="271"/>
      <c r="F4667" s="271"/>
      <c r="G4667" s="273"/>
      <c r="H4667" s="29" t="str">
        <f>IF(A4667="","",VLOOKUP(A4667,AA_Cuadrillas,4,FALSE))</f>
        <v>Cuadrilla</v>
      </c>
      <c r="I4667" s="394">
        <f>IF(A4667="","",VLOOKUP(A4667,AA_Cuadrillas,5,FALSE))</f>
        <v>186763</v>
      </c>
      <c r="J4667" s="273"/>
      <c r="K4667" s="9">
        <f>IF(A4667="","",F.P!$I$2)</f>
        <v>1.88</v>
      </c>
      <c r="L4667" s="93">
        <v>0.02</v>
      </c>
      <c r="M4667" s="394">
        <f t="shared" ref="M4667:M4671" si="638">IF(A4667="","",I4667*K4667*L4667)</f>
        <v>7022.2888000000003</v>
      </c>
      <c r="N4667" s="273"/>
    </row>
    <row r="4668" spans="1:14" ht="12.75" customHeight="1" x14ac:dyDescent="0.25">
      <c r="A4668" s="393"/>
      <c r="B4668" s="271"/>
      <c r="C4668" s="271"/>
      <c r="D4668" s="271"/>
      <c r="E4668" s="271"/>
      <c r="F4668" s="271"/>
      <c r="G4668" s="273"/>
      <c r="H4668" s="29" t="str">
        <f>IF(A4668="","",VLOOKUP(A4668,AA_Cuadrillas,4,FALSE))</f>
        <v/>
      </c>
      <c r="I4668" s="394" t="str">
        <f>IF(A4668="","",VLOOKUP(A4668,AA_Cuadrillas,5,FALSE))</f>
        <v/>
      </c>
      <c r="J4668" s="273"/>
      <c r="K4668" s="9" t="str">
        <f>IF(A4668="","",F.P!$I$2)</f>
        <v/>
      </c>
      <c r="L4668" s="9"/>
      <c r="M4668" s="394" t="str">
        <f t="shared" si="638"/>
        <v/>
      </c>
      <c r="N4668" s="273"/>
    </row>
    <row r="4669" spans="1:14" ht="12.75" customHeight="1" x14ac:dyDescent="0.25">
      <c r="A4669" s="393"/>
      <c r="B4669" s="271"/>
      <c r="C4669" s="271"/>
      <c r="D4669" s="271"/>
      <c r="E4669" s="271"/>
      <c r="F4669" s="271"/>
      <c r="G4669" s="273"/>
      <c r="H4669" s="29" t="str">
        <f>IF(A4669="","",VLOOKUP(A4669,AA_Cuadrillas,4,FALSE))</f>
        <v/>
      </c>
      <c r="I4669" s="394" t="str">
        <f>IF(A4669="","",VLOOKUP(A4669,AA_Cuadrillas,5,FALSE))</f>
        <v/>
      </c>
      <c r="J4669" s="273"/>
      <c r="K4669" s="9" t="str">
        <f>IF(A4669="","",F.P!$I$2)</f>
        <v/>
      </c>
      <c r="L4669" s="37"/>
      <c r="M4669" s="394" t="str">
        <f t="shared" si="638"/>
        <v/>
      </c>
      <c r="N4669" s="273"/>
    </row>
    <row r="4670" spans="1:14" ht="12.75" customHeight="1" x14ac:dyDescent="0.25">
      <c r="A4670" s="393"/>
      <c r="B4670" s="271"/>
      <c r="C4670" s="271"/>
      <c r="D4670" s="271"/>
      <c r="E4670" s="271"/>
      <c r="F4670" s="271"/>
      <c r="G4670" s="273"/>
      <c r="H4670" s="29" t="str">
        <f>IF(A4670="","",VLOOKUP(A4670,AA_Cuadrillas,4,FALSE))</f>
        <v/>
      </c>
      <c r="I4670" s="394" t="str">
        <f>IF(A4670="","",VLOOKUP(A4670,AA_Cuadrillas,5,FALSE))</f>
        <v/>
      </c>
      <c r="J4670" s="273"/>
      <c r="K4670" s="9" t="str">
        <f>IF(A4670="","",F.P!$I$2)</f>
        <v/>
      </c>
      <c r="L4670" s="37"/>
      <c r="M4670" s="394" t="str">
        <f t="shared" si="638"/>
        <v/>
      </c>
      <c r="N4670" s="273"/>
    </row>
    <row r="4671" spans="1:14" ht="12.75" customHeight="1" x14ac:dyDescent="0.25">
      <c r="A4671" s="393"/>
      <c r="B4671" s="271"/>
      <c r="C4671" s="271"/>
      <c r="D4671" s="271"/>
      <c r="E4671" s="271"/>
      <c r="F4671" s="271"/>
      <c r="G4671" s="273"/>
      <c r="H4671" s="29" t="str">
        <f>IF(A4671="","",VLOOKUP(A4671,AA_Cuadrillas,4,FALSE))</f>
        <v/>
      </c>
      <c r="I4671" s="394" t="str">
        <f>IF(A4671="","",VLOOKUP(A4671,AA_Cuadrillas,5,FALSE))</f>
        <v/>
      </c>
      <c r="J4671" s="273"/>
      <c r="K4671" s="9" t="str">
        <f>IF(A4671="","",F.P!$I$2)</f>
        <v/>
      </c>
      <c r="L4671" s="37"/>
      <c r="M4671" s="394" t="str">
        <f t="shared" si="638"/>
        <v/>
      </c>
      <c r="N4671" s="273"/>
    </row>
    <row r="4672" spans="1:14" ht="12.75" customHeight="1" x14ac:dyDescent="0.25">
      <c r="A4672" s="4"/>
      <c r="B4672" s="4"/>
      <c r="C4672" s="4"/>
      <c r="D4672" s="4"/>
      <c r="E4672" s="4"/>
      <c r="F4672" s="4"/>
      <c r="G4672" s="4"/>
      <c r="H4672" s="4"/>
      <c r="I4672" s="4"/>
      <c r="J4672" s="4"/>
      <c r="K4672" s="396" t="s">
        <v>444</v>
      </c>
      <c r="L4672" s="273"/>
      <c r="M4672" s="394">
        <f>SUM(M4667:N4671)</f>
        <v>7022.2888000000003</v>
      </c>
      <c r="N4672" s="273"/>
    </row>
    <row r="4673" spans="1:15" ht="12.75" customHeight="1" x14ac:dyDescent="0.2"/>
    <row r="4674" spans="1:15" ht="12.75" customHeight="1" x14ac:dyDescent="0.2">
      <c r="A4674" s="407" t="s">
        <v>286</v>
      </c>
      <c r="B4674" s="275"/>
      <c r="C4674" s="275"/>
      <c r="D4674" s="275"/>
      <c r="E4674" s="275"/>
      <c r="F4674" s="275"/>
      <c r="G4674" s="275"/>
      <c r="H4674" s="275"/>
      <c r="I4674" s="275"/>
      <c r="J4674" s="275"/>
      <c r="K4674" s="275"/>
      <c r="L4674" s="275"/>
      <c r="M4674" s="275"/>
      <c r="N4674" s="276"/>
      <c r="O4674" s="166"/>
    </row>
    <row r="4675" spans="1:15" ht="12.75" customHeight="1" x14ac:dyDescent="0.2">
      <c r="A4675" s="277"/>
      <c r="B4675" s="278"/>
      <c r="C4675" s="278"/>
      <c r="D4675" s="278"/>
      <c r="E4675" s="278"/>
      <c r="F4675" s="278"/>
      <c r="G4675" s="278"/>
      <c r="H4675" s="278"/>
      <c r="I4675" s="278"/>
      <c r="J4675" s="278"/>
      <c r="K4675" s="278"/>
      <c r="L4675" s="278"/>
      <c r="M4675" s="278"/>
      <c r="N4675" s="279"/>
      <c r="O4675" s="166"/>
    </row>
    <row r="4676" spans="1:15" ht="12.75" customHeight="1" x14ac:dyDescent="0.2">
      <c r="A4676" s="75"/>
      <c r="B4676" s="75"/>
      <c r="C4676" s="75"/>
      <c r="D4676" s="75"/>
      <c r="E4676" s="75"/>
      <c r="F4676" s="75"/>
      <c r="G4676" s="75"/>
      <c r="H4676" s="75"/>
      <c r="I4676" s="75"/>
      <c r="J4676" s="75"/>
      <c r="K4676" s="75"/>
      <c r="L4676" s="75"/>
      <c r="M4676" s="75"/>
      <c r="N4676" s="75"/>
    </row>
    <row r="4677" spans="1:15" ht="12.75" customHeight="1" x14ac:dyDescent="0.3">
      <c r="A4677" s="79" t="s">
        <v>723</v>
      </c>
      <c r="B4677" s="80" t="str">
        <f>A4674</f>
        <v>EXCAVACIÓN MECÁNICA CON PROFUNDIDAD DE H= 0.0 A 6.0 MTS EN MATERIAL COMÚN SECO A TODO COSTO (INCLUYE MANO DE OBRA)</v>
      </c>
      <c r="C4677" s="81" t="s">
        <v>916</v>
      </c>
      <c r="D4677" s="82" t="s">
        <v>258</v>
      </c>
      <c r="E4677" s="83" t="s">
        <v>445</v>
      </c>
      <c r="F4677" s="234">
        <f>(H4677+J4677+L4677+N4677)*1.3</f>
        <v>19819.8</v>
      </c>
      <c r="G4677" s="83" t="s">
        <v>607</v>
      </c>
      <c r="H4677" s="86">
        <f>M4695</f>
        <v>14520</v>
      </c>
      <c r="I4677" s="83" t="s">
        <v>918</v>
      </c>
      <c r="J4677" s="86">
        <f>M4686</f>
        <v>0</v>
      </c>
      <c r="K4677" s="83" t="s">
        <v>609</v>
      </c>
      <c r="L4677" s="86">
        <f>M4703</f>
        <v>726</v>
      </c>
      <c r="M4677" s="83" t="s">
        <v>610</v>
      </c>
      <c r="N4677" s="86">
        <f>M4712</f>
        <v>0</v>
      </c>
    </row>
    <row r="4678" spans="1:15" ht="12.75" customHeight="1" x14ac:dyDescent="0.25">
      <c r="A4678" s="87"/>
      <c r="B4678" s="87"/>
      <c r="C4678" s="87"/>
      <c r="D4678" s="87"/>
      <c r="E4678" s="87"/>
      <c r="F4678" s="87"/>
      <c r="G4678" s="87"/>
      <c r="J4678" s="87"/>
      <c r="K4678" s="215" t="s">
        <v>3217</v>
      </c>
      <c r="L4678" s="215">
        <f>+F4677*presup!$O$5</f>
        <v>25765.74</v>
      </c>
      <c r="M4678" s="87"/>
      <c r="N4678" s="87"/>
    </row>
    <row r="4679" spans="1:15" ht="12.75" customHeight="1" x14ac:dyDescent="0.2">
      <c r="A4679" s="398" t="s">
        <v>919</v>
      </c>
      <c r="B4679" s="271"/>
      <c r="C4679" s="271"/>
      <c r="D4679" s="271"/>
      <c r="E4679" s="271"/>
      <c r="F4679" s="271"/>
      <c r="G4679" s="271"/>
      <c r="H4679" s="271"/>
      <c r="I4679" s="271"/>
      <c r="J4679" s="271"/>
      <c r="K4679" s="271"/>
      <c r="L4679" s="271"/>
      <c r="M4679" s="271"/>
      <c r="N4679" s="273"/>
    </row>
    <row r="4680" spans="1:15" ht="12.75" customHeight="1" x14ac:dyDescent="0.2">
      <c r="A4680" s="396" t="s">
        <v>76</v>
      </c>
      <c r="B4680" s="271"/>
      <c r="C4680" s="271"/>
      <c r="D4680" s="271"/>
      <c r="E4680" s="271"/>
      <c r="F4680" s="271"/>
      <c r="G4680" s="273"/>
      <c r="H4680" s="88" t="s">
        <v>77</v>
      </c>
      <c r="I4680" s="399" t="s">
        <v>920</v>
      </c>
      <c r="J4680" s="273"/>
      <c r="K4680" s="399" t="s">
        <v>453</v>
      </c>
      <c r="L4680" s="273"/>
      <c r="M4680" s="399" t="s">
        <v>921</v>
      </c>
      <c r="N4680" s="273"/>
    </row>
    <row r="4681" spans="1:15" ht="12.75" customHeight="1" x14ac:dyDescent="0.2">
      <c r="A4681" s="400"/>
      <c r="B4681" s="271"/>
      <c r="C4681" s="271"/>
      <c r="D4681" s="271"/>
      <c r="E4681" s="271"/>
      <c r="F4681" s="271"/>
      <c r="G4681" s="273"/>
      <c r="H4681" s="29" t="str">
        <f>IF(A4681="","",VLOOKUP(A4681,AA_Materiales,7,FALSE))</f>
        <v/>
      </c>
      <c r="I4681" s="394" t="str">
        <f>IF(A4681="","",VLOOKUP(A4681,AA_Materiales,8,FALSE))</f>
        <v/>
      </c>
      <c r="J4681" s="273"/>
      <c r="K4681" s="395"/>
      <c r="L4681" s="273"/>
      <c r="M4681" s="394" t="str">
        <f t="shared" ref="M4681:M4685" si="639">IF(A4681="","",I4681*K4681)</f>
        <v/>
      </c>
      <c r="N4681" s="273"/>
    </row>
    <row r="4682" spans="1:15" ht="12.75" customHeight="1" x14ac:dyDescent="0.2">
      <c r="A4682" s="400"/>
      <c r="B4682" s="271"/>
      <c r="C4682" s="271"/>
      <c r="D4682" s="271"/>
      <c r="E4682" s="271"/>
      <c r="F4682" s="271"/>
      <c r="G4682" s="273"/>
      <c r="H4682" s="29" t="str">
        <f>IF(A4682="","",VLOOKUP(A4682,AA_Materiales,7,FALSE))</f>
        <v/>
      </c>
      <c r="I4682" s="394" t="str">
        <f>IF(A4682="","",VLOOKUP(A4682,AA_Materiales,8,FALSE))</f>
        <v/>
      </c>
      <c r="J4682" s="273"/>
      <c r="K4682" s="395"/>
      <c r="L4682" s="273"/>
      <c r="M4682" s="394" t="str">
        <f t="shared" si="639"/>
        <v/>
      </c>
      <c r="N4682" s="273"/>
    </row>
    <row r="4683" spans="1:15" ht="12.75" customHeight="1" x14ac:dyDescent="0.2">
      <c r="A4683" s="400"/>
      <c r="B4683" s="271"/>
      <c r="C4683" s="271"/>
      <c r="D4683" s="271"/>
      <c r="E4683" s="271"/>
      <c r="F4683" s="271"/>
      <c r="G4683" s="273"/>
      <c r="H4683" s="29" t="str">
        <f>IF(A4683="","",VLOOKUP(A4683,AA_Materiales,7,FALSE))</f>
        <v/>
      </c>
      <c r="I4683" s="394" t="str">
        <f>IF(A4683="","",VLOOKUP(A4683,AA_Materiales,8,FALSE))</f>
        <v/>
      </c>
      <c r="J4683" s="273"/>
      <c r="K4683" s="395"/>
      <c r="L4683" s="273"/>
      <c r="M4683" s="394" t="str">
        <f t="shared" si="639"/>
        <v/>
      </c>
      <c r="N4683" s="273"/>
    </row>
    <row r="4684" spans="1:15" ht="12.75" customHeight="1" x14ac:dyDescent="0.2">
      <c r="A4684" s="400"/>
      <c r="B4684" s="271"/>
      <c r="C4684" s="271"/>
      <c r="D4684" s="271"/>
      <c r="E4684" s="271"/>
      <c r="F4684" s="271"/>
      <c r="G4684" s="273"/>
      <c r="H4684" s="29" t="str">
        <f>IF(A4684="","",VLOOKUP(A4684,AA_Materiales,7,FALSE))</f>
        <v/>
      </c>
      <c r="I4684" s="394" t="str">
        <f>IF(A4684="","",VLOOKUP(A4684,AA_Materiales,8,FALSE))</f>
        <v/>
      </c>
      <c r="J4684" s="273"/>
      <c r="K4684" s="395"/>
      <c r="L4684" s="273"/>
      <c r="M4684" s="394" t="str">
        <f t="shared" si="639"/>
        <v/>
      </c>
      <c r="N4684" s="273"/>
    </row>
    <row r="4685" spans="1:15" ht="12.75" customHeight="1" x14ac:dyDescent="0.2">
      <c r="A4685" s="400"/>
      <c r="B4685" s="271"/>
      <c r="C4685" s="271"/>
      <c r="D4685" s="271"/>
      <c r="E4685" s="271"/>
      <c r="F4685" s="271"/>
      <c r="G4685" s="273"/>
      <c r="H4685" s="29" t="str">
        <f>IF(A4685="","",VLOOKUP(A4685,AA_Materiales,7,FALSE))</f>
        <v/>
      </c>
      <c r="I4685" s="394" t="str">
        <f>IF(A4685="","",VLOOKUP(A4685,AA_Materiales,8,FALSE))</f>
        <v/>
      </c>
      <c r="J4685" s="273"/>
      <c r="K4685" s="395"/>
      <c r="L4685" s="273"/>
      <c r="M4685" s="394" t="str">
        <f t="shared" si="639"/>
        <v/>
      </c>
      <c r="N4685" s="273"/>
    </row>
    <row r="4686" spans="1:15" ht="12.75" customHeight="1" x14ac:dyDescent="0.25">
      <c r="A4686" s="4"/>
      <c r="B4686" s="4"/>
      <c r="C4686" s="4"/>
      <c r="D4686" s="4"/>
      <c r="E4686" s="4"/>
      <c r="F4686" s="4"/>
      <c r="G4686" s="4"/>
      <c r="H4686" s="4"/>
      <c r="I4686" s="4"/>
      <c r="J4686" s="4"/>
      <c r="K4686" s="396" t="s">
        <v>444</v>
      </c>
      <c r="L4686" s="273"/>
      <c r="M4686" s="394">
        <f>SUM(M4681:N4685)</f>
        <v>0</v>
      </c>
      <c r="N4686" s="273"/>
    </row>
    <row r="4687" spans="1:15" ht="12.75" customHeight="1" x14ac:dyDescent="0.25">
      <c r="A4687" s="4"/>
      <c r="B4687" s="4"/>
      <c r="C4687" s="4"/>
      <c r="D4687" s="4"/>
      <c r="E4687" s="4"/>
      <c r="F4687" s="4"/>
      <c r="G4687" s="4"/>
      <c r="H4687" s="4"/>
      <c r="I4687" s="4"/>
      <c r="J4687" s="4"/>
      <c r="K4687" s="4"/>
      <c r="L4687" s="4"/>
      <c r="M4687" s="4"/>
      <c r="N4687" s="4"/>
    </row>
    <row r="4688" spans="1:15" ht="12.75" customHeight="1" x14ac:dyDescent="0.2">
      <c r="A4688" s="398" t="s">
        <v>926</v>
      </c>
      <c r="B4688" s="271"/>
      <c r="C4688" s="271"/>
      <c r="D4688" s="271"/>
      <c r="E4688" s="271"/>
      <c r="F4688" s="271"/>
      <c r="G4688" s="271"/>
      <c r="H4688" s="271"/>
      <c r="I4688" s="271"/>
      <c r="J4688" s="271"/>
      <c r="K4688" s="271"/>
      <c r="L4688" s="271"/>
      <c r="M4688" s="271"/>
      <c r="N4688" s="273"/>
    </row>
    <row r="4689" spans="1:14" ht="12.75" customHeight="1" x14ac:dyDescent="0.2">
      <c r="A4689" s="396" t="s">
        <v>76</v>
      </c>
      <c r="B4689" s="271"/>
      <c r="C4689" s="271"/>
      <c r="D4689" s="271"/>
      <c r="E4689" s="271"/>
      <c r="F4689" s="271"/>
      <c r="G4689" s="273"/>
      <c r="H4689" s="88" t="s">
        <v>77</v>
      </c>
      <c r="I4689" s="399" t="s">
        <v>920</v>
      </c>
      <c r="J4689" s="273"/>
      <c r="K4689" s="399" t="s">
        <v>453</v>
      </c>
      <c r="L4689" s="273"/>
      <c r="M4689" s="399" t="s">
        <v>921</v>
      </c>
      <c r="N4689" s="273"/>
    </row>
    <row r="4690" spans="1:14" ht="12.75" customHeight="1" x14ac:dyDescent="0.2">
      <c r="A4690" s="400" t="s">
        <v>927</v>
      </c>
      <c r="B4690" s="271"/>
      <c r="C4690" s="271"/>
      <c r="D4690" s="271"/>
      <c r="E4690" s="271"/>
      <c r="F4690" s="271"/>
      <c r="G4690" s="273"/>
      <c r="H4690" s="29" t="str">
        <f>IF(A4690="","",VLOOKUP(A4690,AA_Equipos,7,FALSE))</f>
        <v>% M.O.</v>
      </c>
      <c r="I4690" s="394">
        <f>M4712</f>
        <v>0</v>
      </c>
      <c r="J4690" s="273"/>
      <c r="K4690" s="404">
        <v>0.05</v>
      </c>
      <c r="L4690" s="273"/>
      <c r="M4690" s="394">
        <f t="shared" ref="M4690:M4694" si="640">IF(A4690="","",I4690*K4690)</f>
        <v>0</v>
      </c>
      <c r="N4690" s="273"/>
    </row>
    <row r="4691" spans="1:14" ht="12.75" customHeight="1" x14ac:dyDescent="0.2">
      <c r="A4691" s="403" t="s">
        <v>941</v>
      </c>
      <c r="B4691" s="271"/>
      <c r="C4691" s="271"/>
      <c r="D4691" s="271"/>
      <c r="E4691" s="271"/>
      <c r="F4691" s="271"/>
      <c r="G4691" s="273"/>
      <c r="H4691" s="29" t="str">
        <f>IF(A4691="","",VLOOKUP(A4691,AA_Equipos,7,FALSE))</f>
        <v>Hora</v>
      </c>
      <c r="I4691" s="394">
        <f>IF(A4691="","",VLOOKUP(A4691,AA_Equipos,8,FALSE))</f>
        <v>145200</v>
      </c>
      <c r="J4691" s="273"/>
      <c r="K4691" s="402">
        <v>0.1</v>
      </c>
      <c r="L4691" s="273"/>
      <c r="M4691" s="394">
        <f t="shared" si="640"/>
        <v>14520</v>
      </c>
      <c r="N4691" s="273"/>
    </row>
    <row r="4692" spans="1:14" ht="12.75" customHeight="1" x14ac:dyDescent="0.2">
      <c r="A4692" s="400"/>
      <c r="B4692" s="271"/>
      <c r="C4692" s="271"/>
      <c r="D4692" s="271"/>
      <c r="E4692" s="271"/>
      <c r="F4692" s="271"/>
      <c r="G4692" s="273"/>
      <c r="H4692" s="29" t="str">
        <f>IF(A4692="","",VLOOKUP(A4692,AA_Equipos,7,FALSE))</f>
        <v/>
      </c>
      <c r="I4692" s="394" t="str">
        <f>IF(A4692="","",VLOOKUP(A4692,AA_Equipos,8,FALSE))</f>
        <v/>
      </c>
      <c r="J4692" s="273"/>
      <c r="K4692" s="395"/>
      <c r="L4692" s="273"/>
      <c r="M4692" s="394" t="str">
        <f t="shared" si="640"/>
        <v/>
      </c>
      <c r="N4692" s="273"/>
    </row>
    <row r="4693" spans="1:14" ht="12.75" customHeight="1" x14ac:dyDescent="0.2">
      <c r="A4693" s="400"/>
      <c r="B4693" s="271"/>
      <c r="C4693" s="271"/>
      <c r="D4693" s="271"/>
      <c r="E4693" s="271"/>
      <c r="F4693" s="271"/>
      <c r="G4693" s="273"/>
      <c r="H4693" s="29" t="str">
        <f>IF(A4693="","",VLOOKUP(A4693,AA_Equipos,7,FALSE))</f>
        <v/>
      </c>
      <c r="I4693" s="394" t="str">
        <f>IF(A4693="","",VLOOKUP(A4693,AA_Equipos,8,FALSE))</f>
        <v/>
      </c>
      <c r="J4693" s="273"/>
      <c r="K4693" s="395"/>
      <c r="L4693" s="273"/>
      <c r="M4693" s="394" t="str">
        <f t="shared" si="640"/>
        <v/>
      </c>
      <c r="N4693" s="273"/>
    </row>
    <row r="4694" spans="1:14" ht="12.75" customHeight="1" x14ac:dyDescent="0.2">
      <c r="A4694" s="400"/>
      <c r="B4694" s="271"/>
      <c r="C4694" s="271"/>
      <c r="D4694" s="271"/>
      <c r="E4694" s="271"/>
      <c r="F4694" s="271"/>
      <c r="G4694" s="273"/>
      <c r="H4694" s="29" t="str">
        <f>IF(A4694="","",VLOOKUP(A4694,AA_Equipos,7,FALSE))</f>
        <v/>
      </c>
      <c r="I4694" s="394" t="str">
        <f>IF(A4694="","",VLOOKUP(A4694,AA_Equipos,8,FALSE))</f>
        <v/>
      </c>
      <c r="J4694" s="273"/>
      <c r="K4694" s="395"/>
      <c r="L4694" s="273"/>
      <c r="M4694" s="394" t="str">
        <f t="shared" si="640"/>
        <v/>
      </c>
      <c r="N4694" s="273"/>
    </row>
    <row r="4695" spans="1:14" ht="12.75" customHeight="1" x14ac:dyDescent="0.25">
      <c r="A4695" s="4"/>
      <c r="B4695" s="4"/>
      <c r="C4695" s="4"/>
      <c r="D4695" s="4"/>
      <c r="E4695" s="4"/>
      <c r="F4695" s="4"/>
      <c r="G4695" s="4"/>
      <c r="H4695" s="4"/>
      <c r="I4695" s="4"/>
      <c r="J4695" s="4"/>
      <c r="K4695" s="396" t="s">
        <v>444</v>
      </c>
      <c r="L4695" s="273"/>
      <c r="M4695" s="394">
        <f>SUM(M4690:N4694)</f>
        <v>14520</v>
      </c>
      <c r="N4695" s="273"/>
    </row>
    <row r="4696" spans="1:14" ht="12.75" customHeight="1" x14ac:dyDescent="0.25">
      <c r="A4696" s="4"/>
      <c r="B4696" s="4"/>
      <c r="C4696" s="4"/>
      <c r="D4696" s="4"/>
      <c r="E4696" s="4"/>
      <c r="F4696" s="4"/>
      <c r="G4696" s="4"/>
      <c r="H4696" s="4"/>
      <c r="I4696" s="4"/>
      <c r="J4696" s="4"/>
      <c r="K4696" s="4"/>
      <c r="L4696" s="4"/>
      <c r="M4696" s="4"/>
      <c r="N4696" s="4"/>
    </row>
    <row r="4697" spans="1:14" ht="12.75" customHeight="1" x14ac:dyDescent="0.2">
      <c r="A4697" s="398" t="s">
        <v>929</v>
      </c>
      <c r="B4697" s="271"/>
      <c r="C4697" s="271"/>
      <c r="D4697" s="271"/>
      <c r="E4697" s="271"/>
      <c r="F4697" s="271"/>
      <c r="G4697" s="271"/>
      <c r="H4697" s="271"/>
      <c r="I4697" s="271"/>
      <c r="J4697" s="271"/>
      <c r="K4697" s="271"/>
      <c r="L4697" s="271"/>
      <c r="M4697" s="271"/>
      <c r="N4697" s="273"/>
    </row>
    <row r="4698" spans="1:14" ht="12.75" customHeight="1" x14ac:dyDescent="0.2">
      <c r="A4698" s="396" t="s">
        <v>76</v>
      </c>
      <c r="B4698" s="271"/>
      <c r="C4698" s="271"/>
      <c r="D4698" s="271"/>
      <c r="E4698" s="271"/>
      <c r="F4698" s="271"/>
      <c r="G4698" s="273"/>
      <c r="H4698" s="88" t="s">
        <v>77</v>
      </c>
      <c r="I4698" s="399" t="s">
        <v>920</v>
      </c>
      <c r="J4698" s="273"/>
      <c r="K4698" s="399" t="s">
        <v>453</v>
      </c>
      <c r="L4698" s="273"/>
      <c r="M4698" s="399" t="s">
        <v>921</v>
      </c>
      <c r="N4698" s="273"/>
    </row>
    <row r="4699" spans="1:14" ht="12.75" customHeight="1" x14ac:dyDescent="0.2">
      <c r="A4699" s="403" t="s">
        <v>939</v>
      </c>
      <c r="B4699" s="271"/>
      <c r="C4699" s="271"/>
      <c r="D4699" s="271"/>
      <c r="E4699" s="271"/>
      <c r="F4699" s="271"/>
      <c r="G4699" s="273"/>
      <c r="H4699" s="29" t="s">
        <v>940</v>
      </c>
      <c r="I4699" s="394">
        <f>+M4695</f>
        <v>14520</v>
      </c>
      <c r="J4699" s="273"/>
      <c r="K4699" s="404">
        <v>0.05</v>
      </c>
      <c r="L4699" s="273"/>
      <c r="M4699" s="394">
        <f t="shared" ref="M4699:M4702" si="641">IF(A4699="","",I4699*K4699)</f>
        <v>726</v>
      </c>
      <c r="N4699" s="273"/>
    </row>
    <row r="4700" spans="1:14" ht="12.75" customHeight="1" x14ac:dyDescent="0.2">
      <c r="A4700" s="400"/>
      <c r="B4700" s="271"/>
      <c r="C4700" s="271"/>
      <c r="D4700" s="271"/>
      <c r="E4700" s="271"/>
      <c r="F4700" s="271"/>
      <c r="G4700" s="273"/>
      <c r="H4700" s="29"/>
      <c r="I4700" s="394"/>
      <c r="J4700" s="273"/>
      <c r="K4700" s="395"/>
      <c r="L4700" s="273"/>
      <c r="M4700" s="394" t="str">
        <f t="shared" si="641"/>
        <v/>
      </c>
      <c r="N4700" s="273"/>
    </row>
    <row r="4701" spans="1:14" ht="12.75" customHeight="1" x14ac:dyDescent="0.2">
      <c r="A4701" s="400"/>
      <c r="B4701" s="271"/>
      <c r="C4701" s="271"/>
      <c r="D4701" s="271"/>
      <c r="E4701" s="271"/>
      <c r="F4701" s="271"/>
      <c r="G4701" s="273"/>
      <c r="H4701" s="29"/>
      <c r="I4701" s="394"/>
      <c r="J4701" s="273"/>
      <c r="K4701" s="395"/>
      <c r="L4701" s="273"/>
      <c r="M4701" s="394" t="str">
        <f t="shared" si="641"/>
        <v/>
      </c>
      <c r="N4701" s="273"/>
    </row>
    <row r="4702" spans="1:14" ht="12.75" customHeight="1" x14ac:dyDescent="0.2">
      <c r="A4702" s="400"/>
      <c r="B4702" s="271"/>
      <c r="C4702" s="271"/>
      <c r="D4702" s="271"/>
      <c r="E4702" s="271"/>
      <c r="F4702" s="271"/>
      <c r="G4702" s="273"/>
      <c r="H4702" s="29"/>
      <c r="I4702" s="394"/>
      <c r="J4702" s="273"/>
      <c r="K4702" s="395"/>
      <c r="L4702" s="273"/>
      <c r="M4702" s="394" t="str">
        <f t="shared" si="641"/>
        <v/>
      </c>
      <c r="N4702" s="273"/>
    </row>
    <row r="4703" spans="1:14" ht="12.75" customHeight="1" x14ac:dyDescent="0.25">
      <c r="A4703" s="4"/>
      <c r="B4703" s="4"/>
      <c r="C4703" s="4"/>
      <c r="D4703" s="4"/>
      <c r="E4703" s="4"/>
      <c r="F4703" s="4"/>
      <c r="G4703" s="4"/>
      <c r="H4703" s="4"/>
      <c r="I4703" s="4"/>
      <c r="J4703" s="4"/>
      <c r="K4703" s="396" t="s">
        <v>444</v>
      </c>
      <c r="L4703" s="273"/>
      <c r="M4703" s="394">
        <f>SUM(M4699:N4702)</f>
        <v>726</v>
      </c>
      <c r="N4703" s="273"/>
    </row>
    <row r="4704" spans="1:14" ht="12.75" customHeight="1" x14ac:dyDescent="0.25">
      <c r="A4704" s="4"/>
      <c r="B4704" s="4"/>
      <c r="C4704" s="4"/>
      <c r="D4704" s="4"/>
      <c r="E4704" s="4"/>
      <c r="F4704" s="4"/>
      <c r="G4704" s="4"/>
      <c r="H4704" s="4"/>
      <c r="I4704" s="4"/>
      <c r="J4704" s="4"/>
      <c r="K4704" s="4"/>
      <c r="L4704" s="4"/>
      <c r="M4704" s="4"/>
      <c r="N4704" s="4"/>
    </row>
    <row r="4705" spans="1:15" ht="12.75" customHeight="1" x14ac:dyDescent="0.2">
      <c r="A4705" s="398" t="s">
        <v>931</v>
      </c>
      <c r="B4705" s="271"/>
      <c r="C4705" s="271"/>
      <c r="D4705" s="271"/>
      <c r="E4705" s="271"/>
      <c r="F4705" s="271"/>
      <c r="G4705" s="271"/>
      <c r="H4705" s="271"/>
      <c r="I4705" s="271"/>
      <c r="J4705" s="271"/>
      <c r="K4705" s="271"/>
      <c r="L4705" s="271"/>
      <c r="M4705" s="271"/>
      <c r="N4705" s="273"/>
    </row>
    <row r="4706" spans="1:15" ht="12.75" customHeight="1" x14ac:dyDescent="0.2">
      <c r="A4706" s="396" t="s">
        <v>76</v>
      </c>
      <c r="B4706" s="271"/>
      <c r="C4706" s="271"/>
      <c r="D4706" s="271"/>
      <c r="E4706" s="271"/>
      <c r="F4706" s="271"/>
      <c r="G4706" s="273"/>
      <c r="H4706" s="88" t="s">
        <v>77</v>
      </c>
      <c r="I4706" s="399" t="s">
        <v>920</v>
      </c>
      <c r="J4706" s="273"/>
      <c r="K4706" s="90" t="s">
        <v>514</v>
      </c>
      <c r="L4706" s="91" t="s">
        <v>932</v>
      </c>
      <c r="M4706" s="399" t="s">
        <v>921</v>
      </c>
      <c r="N4706" s="273"/>
    </row>
    <row r="4707" spans="1:15" ht="12.75" customHeight="1" x14ac:dyDescent="0.25">
      <c r="A4707" s="393"/>
      <c r="B4707" s="271"/>
      <c r="C4707" s="271"/>
      <c r="D4707" s="271"/>
      <c r="E4707" s="271"/>
      <c r="F4707" s="271"/>
      <c r="G4707" s="273"/>
      <c r="H4707" s="29" t="str">
        <f>IF(A4707="","",VLOOKUP(A4707,AA_Cuadrillas,4,FALSE))</f>
        <v/>
      </c>
      <c r="I4707" s="394" t="str">
        <f>IF(A4707="","",VLOOKUP(A4707,AA_Cuadrillas,5,FALSE))</f>
        <v/>
      </c>
      <c r="J4707" s="273"/>
      <c r="K4707" s="9" t="str">
        <f>IF(A4707="","",F.P!$I$2)</f>
        <v/>
      </c>
      <c r="L4707" s="93"/>
      <c r="M4707" s="394" t="str">
        <f t="shared" ref="M4707:M4711" si="642">IF(A4707="","",I4707*K4707*L4707)</f>
        <v/>
      </c>
      <c r="N4707" s="273"/>
    </row>
    <row r="4708" spans="1:15" ht="12.75" customHeight="1" x14ac:dyDescent="0.25">
      <c r="A4708" s="393"/>
      <c r="B4708" s="271"/>
      <c r="C4708" s="271"/>
      <c r="D4708" s="271"/>
      <c r="E4708" s="271"/>
      <c r="F4708" s="271"/>
      <c r="G4708" s="273"/>
      <c r="H4708" s="29" t="str">
        <f>IF(A4708="","",VLOOKUP(A4708,AA_Cuadrillas,4,FALSE))</f>
        <v/>
      </c>
      <c r="I4708" s="394" t="str">
        <f>IF(A4708="","",VLOOKUP(A4708,AA_Cuadrillas,5,FALSE))</f>
        <v/>
      </c>
      <c r="J4708" s="273"/>
      <c r="K4708" s="9" t="str">
        <f>IF(A4708="","",F.P!$I$2)</f>
        <v/>
      </c>
      <c r="L4708" s="9"/>
      <c r="M4708" s="394" t="str">
        <f t="shared" si="642"/>
        <v/>
      </c>
      <c r="N4708" s="273"/>
    </row>
    <row r="4709" spans="1:15" ht="12.75" customHeight="1" x14ac:dyDescent="0.25">
      <c r="A4709" s="393"/>
      <c r="B4709" s="271"/>
      <c r="C4709" s="271"/>
      <c r="D4709" s="271"/>
      <c r="E4709" s="271"/>
      <c r="F4709" s="271"/>
      <c r="G4709" s="273"/>
      <c r="H4709" s="29" t="str">
        <f>IF(A4709="","",VLOOKUP(A4709,AA_Cuadrillas,4,FALSE))</f>
        <v/>
      </c>
      <c r="I4709" s="394" t="str">
        <f>IF(A4709="","",VLOOKUP(A4709,AA_Cuadrillas,5,FALSE))</f>
        <v/>
      </c>
      <c r="J4709" s="273"/>
      <c r="K4709" s="9" t="str">
        <f>IF(A4709="","",F.P!$I$2)</f>
        <v/>
      </c>
      <c r="L4709" s="37"/>
      <c r="M4709" s="394" t="str">
        <f t="shared" si="642"/>
        <v/>
      </c>
      <c r="N4709" s="273"/>
    </row>
    <row r="4710" spans="1:15" ht="12.75" customHeight="1" x14ac:dyDescent="0.25">
      <c r="A4710" s="393"/>
      <c r="B4710" s="271"/>
      <c r="C4710" s="271"/>
      <c r="D4710" s="271"/>
      <c r="E4710" s="271"/>
      <c r="F4710" s="271"/>
      <c r="G4710" s="273"/>
      <c r="H4710" s="29" t="str">
        <f>IF(A4710="","",VLOOKUP(A4710,AA_Cuadrillas,4,FALSE))</f>
        <v/>
      </c>
      <c r="I4710" s="394" t="str">
        <f>IF(A4710="","",VLOOKUP(A4710,AA_Cuadrillas,5,FALSE))</f>
        <v/>
      </c>
      <c r="J4710" s="273"/>
      <c r="K4710" s="9" t="str">
        <f>IF(A4710="","",F.P!$I$2)</f>
        <v/>
      </c>
      <c r="L4710" s="37"/>
      <c r="M4710" s="394" t="str">
        <f t="shared" si="642"/>
        <v/>
      </c>
      <c r="N4710" s="273"/>
    </row>
    <row r="4711" spans="1:15" ht="12.75" customHeight="1" x14ac:dyDescent="0.25">
      <c r="A4711" s="393"/>
      <c r="B4711" s="271"/>
      <c r="C4711" s="271"/>
      <c r="D4711" s="271"/>
      <c r="E4711" s="271"/>
      <c r="F4711" s="271"/>
      <c r="G4711" s="273"/>
      <c r="H4711" s="29" t="str">
        <f>IF(A4711="","",VLOOKUP(A4711,AA_Cuadrillas,4,FALSE))</f>
        <v/>
      </c>
      <c r="I4711" s="394" t="str">
        <f>IF(A4711="","",VLOOKUP(A4711,AA_Cuadrillas,5,FALSE))</f>
        <v/>
      </c>
      <c r="J4711" s="273"/>
      <c r="K4711" s="9" t="str">
        <f>IF(A4711="","",F.P!$I$2)</f>
        <v/>
      </c>
      <c r="L4711" s="37"/>
      <c r="M4711" s="394" t="str">
        <f t="shared" si="642"/>
        <v/>
      </c>
      <c r="N4711" s="273"/>
    </row>
    <row r="4712" spans="1:15" ht="12.75" customHeight="1" x14ac:dyDescent="0.25">
      <c r="A4712" s="4"/>
      <c r="B4712" s="4"/>
      <c r="C4712" s="4"/>
      <c r="D4712" s="4"/>
      <c r="E4712" s="4"/>
      <c r="F4712" s="4"/>
      <c r="G4712" s="4"/>
      <c r="H4712" s="4"/>
      <c r="I4712" s="4"/>
      <c r="J4712" s="4"/>
      <c r="K4712" s="396" t="s">
        <v>444</v>
      </c>
      <c r="L4712" s="273"/>
      <c r="M4712" s="394">
        <f>SUM(M4707:N4711)</f>
        <v>0</v>
      </c>
      <c r="N4712" s="273"/>
    </row>
    <row r="4713" spans="1:15" ht="12.75" customHeight="1" x14ac:dyDescent="0.2"/>
    <row r="4714" spans="1:15" ht="12.75" customHeight="1" x14ac:dyDescent="0.2">
      <c r="A4714" s="407" t="s">
        <v>1191</v>
      </c>
      <c r="B4714" s="275"/>
      <c r="C4714" s="275"/>
      <c r="D4714" s="275"/>
      <c r="E4714" s="275"/>
      <c r="F4714" s="275"/>
      <c r="G4714" s="275"/>
      <c r="H4714" s="275"/>
      <c r="I4714" s="275"/>
      <c r="J4714" s="275"/>
      <c r="K4714" s="275"/>
      <c r="L4714" s="275"/>
      <c r="M4714" s="275"/>
      <c r="N4714" s="276"/>
      <c r="O4714" s="166"/>
    </row>
    <row r="4715" spans="1:15" ht="12.75" customHeight="1" x14ac:dyDescent="0.2">
      <c r="A4715" s="277"/>
      <c r="B4715" s="278"/>
      <c r="C4715" s="278"/>
      <c r="D4715" s="278"/>
      <c r="E4715" s="278"/>
      <c r="F4715" s="278"/>
      <c r="G4715" s="278"/>
      <c r="H4715" s="278"/>
      <c r="I4715" s="278"/>
      <c r="J4715" s="278"/>
      <c r="K4715" s="278"/>
      <c r="L4715" s="278"/>
      <c r="M4715" s="278"/>
      <c r="N4715" s="279"/>
      <c r="O4715" s="166"/>
    </row>
    <row r="4716" spans="1:15" ht="12.75" customHeight="1" x14ac:dyDescent="0.2">
      <c r="A4716" s="75"/>
      <c r="B4716" s="75"/>
      <c r="C4716" s="75"/>
      <c r="D4716" s="75"/>
      <c r="E4716" s="75"/>
      <c r="F4716" s="75"/>
      <c r="G4716" s="75"/>
      <c r="H4716" s="75"/>
      <c r="I4716" s="75"/>
      <c r="J4716" s="75"/>
      <c r="K4716" s="75"/>
      <c r="L4716" s="75"/>
      <c r="M4716" s="75"/>
      <c r="N4716" s="75"/>
    </row>
    <row r="4717" spans="1:15" ht="12.75" customHeight="1" x14ac:dyDescent="0.3">
      <c r="A4717" s="79" t="s">
        <v>724</v>
      </c>
      <c r="B4717" s="80" t="str">
        <f>A4714</f>
        <v>FORMALETA METÁLICA PARA ESTRUCTURA HIDRÁULICA</v>
      </c>
      <c r="C4717" s="81" t="s">
        <v>916</v>
      </c>
      <c r="D4717" s="82" t="s">
        <v>934</v>
      </c>
      <c r="E4717" s="83" t="s">
        <v>445</v>
      </c>
      <c r="F4717" s="240">
        <f>(H4717+J4717+L4717+N4717)</f>
        <v>84116.633390000003</v>
      </c>
      <c r="G4717" s="83" t="s">
        <v>607</v>
      </c>
      <c r="H4717" s="86">
        <f>M4729</f>
        <v>47115.785799999998</v>
      </c>
      <c r="I4717" s="83" t="s">
        <v>918</v>
      </c>
      <c r="J4717" s="86">
        <f>M4738</f>
        <v>1645.846</v>
      </c>
      <c r="K4717" s="83" t="s">
        <v>609</v>
      </c>
      <c r="L4717" s="86">
        <f>M4747</f>
        <v>2438.0815900000002</v>
      </c>
      <c r="M4717" s="83" t="s">
        <v>610</v>
      </c>
      <c r="N4717" s="86">
        <f>M4756</f>
        <v>32916.92</v>
      </c>
      <c r="O4717" s="221" t="s">
        <v>3222</v>
      </c>
    </row>
    <row r="4718" spans="1:15" ht="12.75" customHeight="1" x14ac:dyDescent="0.25">
      <c r="A4718" s="87"/>
      <c r="B4718" s="87"/>
      <c r="C4718" s="87"/>
      <c r="D4718" s="87"/>
      <c r="E4718" s="87"/>
      <c r="F4718" s="87"/>
      <c r="G4718" s="87"/>
      <c r="J4718" s="87"/>
      <c r="K4718" s="215" t="s">
        <v>3217</v>
      </c>
      <c r="L4718" s="215">
        <f>+F4717*presup!$O$5</f>
        <v>109351.62340700001</v>
      </c>
      <c r="M4718" s="87"/>
      <c r="N4718" s="87"/>
    </row>
    <row r="4719" spans="1:15" ht="12.75" customHeight="1" x14ac:dyDescent="0.2">
      <c r="A4719" s="398" t="s">
        <v>919</v>
      </c>
      <c r="B4719" s="271"/>
      <c r="C4719" s="271"/>
      <c r="D4719" s="271"/>
      <c r="E4719" s="271"/>
      <c r="F4719" s="271"/>
      <c r="G4719" s="271"/>
      <c r="H4719" s="271"/>
      <c r="I4719" s="271"/>
      <c r="J4719" s="271"/>
      <c r="K4719" s="271"/>
      <c r="L4719" s="271"/>
      <c r="M4719" s="271"/>
      <c r="N4719" s="273"/>
    </row>
    <row r="4720" spans="1:15" ht="12.75" customHeight="1" x14ac:dyDescent="0.2">
      <c r="A4720" s="396" t="s">
        <v>76</v>
      </c>
      <c r="B4720" s="271"/>
      <c r="C4720" s="271"/>
      <c r="D4720" s="271"/>
      <c r="E4720" s="271"/>
      <c r="F4720" s="271"/>
      <c r="G4720" s="273"/>
      <c r="H4720" s="88" t="s">
        <v>77</v>
      </c>
      <c r="I4720" s="399" t="s">
        <v>920</v>
      </c>
      <c r="J4720" s="273"/>
      <c r="K4720" s="399" t="s">
        <v>453</v>
      </c>
      <c r="L4720" s="273"/>
      <c r="M4720" s="399" t="s">
        <v>921</v>
      </c>
      <c r="N4720" s="273"/>
    </row>
    <row r="4721" spans="1:14" ht="12.75" customHeight="1" x14ac:dyDescent="0.2">
      <c r="A4721" s="400" t="s">
        <v>1192</v>
      </c>
      <c r="B4721" s="271"/>
      <c r="C4721" s="271"/>
      <c r="D4721" s="271"/>
      <c r="E4721" s="271"/>
      <c r="F4721" s="271"/>
      <c r="G4721" s="273"/>
      <c r="H4721" s="29" t="str">
        <f t="shared" ref="H4721:H4726" si="643">IF(A4721="","",VLOOKUP(A4721,AA_Materiales,7,FALSE))</f>
        <v>Unidad</v>
      </c>
      <c r="I4721" s="394">
        <f t="shared" ref="I4721:I4728" si="644">IF(A4721="","",VLOOKUP(A4721,AA_Materiales,8,FALSE))</f>
        <v>420.37</v>
      </c>
      <c r="J4721" s="273"/>
      <c r="K4721" s="395">
        <v>2.38</v>
      </c>
      <c r="L4721" s="273"/>
      <c r="M4721" s="394">
        <f t="shared" ref="M4721:M4728" si="645">IF(A4721="","",I4721*K4721)</f>
        <v>1000.4806</v>
      </c>
      <c r="N4721" s="273"/>
    </row>
    <row r="4722" spans="1:14" ht="12.75" customHeight="1" x14ac:dyDescent="0.2">
      <c r="A4722" s="400" t="s">
        <v>1193</v>
      </c>
      <c r="B4722" s="271"/>
      <c r="C4722" s="271"/>
      <c r="D4722" s="271"/>
      <c r="E4722" s="271"/>
      <c r="F4722" s="271"/>
      <c r="G4722" s="273"/>
      <c r="H4722" s="29" t="str">
        <f t="shared" si="643"/>
        <v>Unidad</v>
      </c>
      <c r="I4722" s="394">
        <f t="shared" si="644"/>
        <v>3760.07</v>
      </c>
      <c r="J4722" s="273"/>
      <c r="K4722" s="395">
        <v>4.76</v>
      </c>
      <c r="L4722" s="273"/>
      <c r="M4722" s="394">
        <f t="shared" si="645"/>
        <v>17897.933199999999</v>
      </c>
      <c r="N4722" s="273"/>
    </row>
    <row r="4723" spans="1:14" ht="12.75" customHeight="1" x14ac:dyDescent="0.2">
      <c r="A4723" s="400" t="s">
        <v>1194</v>
      </c>
      <c r="B4723" s="271"/>
      <c r="C4723" s="271"/>
      <c r="D4723" s="271"/>
      <c r="E4723" s="271"/>
      <c r="F4723" s="271"/>
      <c r="G4723" s="273"/>
      <c r="H4723" s="29" t="str">
        <f t="shared" si="643"/>
        <v>Unidad</v>
      </c>
      <c r="I4723" s="394">
        <f t="shared" si="644"/>
        <v>132.03</v>
      </c>
      <c r="J4723" s="273"/>
      <c r="K4723" s="395">
        <v>2.38</v>
      </c>
      <c r="L4723" s="273"/>
      <c r="M4723" s="394">
        <f t="shared" si="645"/>
        <v>314.23140000000001</v>
      </c>
      <c r="N4723" s="273"/>
    </row>
    <row r="4724" spans="1:14" ht="12.75" customHeight="1" x14ac:dyDescent="0.2">
      <c r="A4724" s="400" t="s">
        <v>1195</v>
      </c>
      <c r="B4724" s="271"/>
      <c r="C4724" s="271"/>
      <c r="D4724" s="271"/>
      <c r="E4724" s="271"/>
      <c r="F4724" s="271"/>
      <c r="G4724" s="273"/>
      <c r="H4724" s="29" t="str">
        <f t="shared" si="643"/>
        <v>ml</v>
      </c>
      <c r="I4724" s="394">
        <f t="shared" si="644"/>
        <v>16819.990000000002</v>
      </c>
      <c r="J4724" s="273"/>
      <c r="K4724" s="395">
        <v>0.18</v>
      </c>
      <c r="L4724" s="273"/>
      <c r="M4724" s="394">
        <f t="shared" si="645"/>
        <v>3027.5982000000004</v>
      </c>
      <c r="N4724" s="273"/>
    </row>
    <row r="4725" spans="1:14" ht="12.75" customHeight="1" x14ac:dyDescent="0.2">
      <c r="A4725" s="400" t="s">
        <v>1196</v>
      </c>
      <c r="B4725" s="271"/>
      <c r="C4725" s="271"/>
      <c r="D4725" s="271"/>
      <c r="E4725" s="271"/>
      <c r="F4725" s="271"/>
      <c r="G4725" s="273"/>
      <c r="H4725" s="29" t="str">
        <f t="shared" si="643"/>
        <v>Unidad</v>
      </c>
      <c r="I4725" s="394">
        <f t="shared" si="644"/>
        <v>422.48</v>
      </c>
      <c r="J4725" s="273"/>
      <c r="K4725" s="395">
        <v>12.88</v>
      </c>
      <c r="L4725" s="273"/>
      <c r="M4725" s="394">
        <f t="shared" si="645"/>
        <v>5441.5424000000003</v>
      </c>
      <c r="N4725" s="273"/>
    </row>
    <row r="4726" spans="1:14" ht="12.75" customHeight="1" x14ac:dyDescent="0.2">
      <c r="A4726" s="400" t="s">
        <v>1197</v>
      </c>
      <c r="B4726" s="271"/>
      <c r="C4726" s="271"/>
      <c r="D4726" s="271"/>
      <c r="E4726" s="271"/>
      <c r="F4726" s="271"/>
      <c r="G4726" s="273"/>
      <c r="H4726" s="29" t="str">
        <f t="shared" si="643"/>
        <v>Unidad</v>
      </c>
      <c r="I4726" s="394">
        <f t="shared" si="644"/>
        <v>485.85</v>
      </c>
      <c r="J4726" s="273"/>
      <c r="K4726" s="395">
        <v>40</v>
      </c>
      <c r="L4726" s="273"/>
      <c r="M4726" s="394">
        <f t="shared" si="645"/>
        <v>19434</v>
      </c>
      <c r="N4726" s="273"/>
    </row>
    <row r="4727" spans="1:14" ht="12.75" customHeight="1" x14ac:dyDescent="0.2">
      <c r="A4727" s="400"/>
      <c r="B4727" s="271"/>
      <c r="C4727" s="271"/>
      <c r="D4727" s="271"/>
      <c r="E4727" s="271"/>
      <c r="F4727" s="271"/>
      <c r="G4727" s="273"/>
      <c r="H4727" s="29"/>
      <c r="I4727" s="394" t="str">
        <f t="shared" si="644"/>
        <v/>
      </c>
      <c r="J4727" s="273"/>
      <c r="K4727" s="395"/>
      <c r="L4727" s="273"/>
      <c r="M4727" s="394" t="str">
        <f t="shared" si="645"/>
        <v/>
      </c>
      <c r="N4727" s="273"/>
    </row>
    <row r="4728" spans="1:14" ht="12.75" customHeight="1" x14ac:dyDescent="0.2">
      <c r="A4728" s="400"/>
      <c r="B4728" s="271"/>
      <c r="C4728" s="271"/>
      <c r="D4728" s="271"/>
      <c r="E4728" s="271"/>
      <c r="F4728" s="271"/>
      <c r="G4728" s="273"/>
      <c r="H4728" s="29" t="str">
        <f>IF(A4728="","",VLOOKUP(A4728,AA_Materiales,7,FALSE))</f>
        <v/>
      </c>
      <c r="I4728" s="394" t="str">
        <f t="shared" si="644"/>
        <v/>
      </c>
      <c r="J4728" s="273"/>
      <c r="K4728" s="395"/>
      <c r="L4728" s="273"/>
      <c r="M4728" s="394" t="str">
        <f t="shared" si="645"/>
        <v/>
      </c>
      <c r="N4728" s="273"/>
    </row>
    <row r="4729" spans="1:14" ht="12.75" customHeight="1" x14ac:dyDescent="0.25">
      <c r="A4729" s="4"/>
      <c r="B4729" s="4"/>
      <c r="C4729" s="4"/>
      <c r="D4729" s="4"/>
      <c r="E4729" s="4"/>
      <c r="F4729" s="4"/>
      <c r="G4729" s="4"/>
      <c r="H4729" s="4"/>
      <c r="I4729" s="4"/>
      <c r="J4729" s="4"/>
      <c r="K4729" s="396" t="s">
        <v>444</v>
      </c>
      <c r="L4729" s="273"/>
      <c r="M4729" s="394">
        <f>SUM(M4721:N4728)</f>
        <v>47115.785799999998</v>
      </c>
      <c r="N4729" s="273"/>
    </row>
    <row r="4730" spans="1:14" ht="12.75" customHeight="1" x14ac:dyDescent="0.25">
      <c r="A4730" s="4"/>
      <c r="B4730" s="4"/>
      <c r="C4730" s="4"/>
      <c r="D4730" s="4"/>
      <c r="E4730" s="4"/>
      <c r="F4730" s="4"/>
      <c r="G4730" s="4"/>
      <c r="H4730" s="4"/>
      <c r="I4730" s="4"/>
      <c r="J4730" s="4"/>
      <c r="K4730" s="4"/>
      <c r="L4730" s="4"/>
      <c r="M4730" s="4"/>
      <c r="N4730" s="4"/>
    </row>
    <row r="4731" spans="1:14" ht="12.75" customHeight="1" x14ac:dyDescent="0.2">
      <c r="A4731" s="398" t="s">
        <v>926</v>
      </c>
      <c r="B4731" s="271"/>
      <c r="C4731" s="271"/>
      <c r="D4731" s="271"/>
      <c r="E4731" s="271"/>
      <c r="F4731" s="271"/>
      <c r="G4731" s="271"/>
      <c r="H4731" s="271"/>
      <c r="I4731" s="271"/>
      <c r="J4731" s="271"/>
      <c r="K4731" s="271"/>
      <c r="L4731" s="271"/>
      <c r="M4731" s="271"/>
      <c r="N4731" s="273"/>
    </row>
    <row r="4732" spans="1:14" ht="12.75" customHeight="1" x14ac:dyDescent="0.2">
      <c r="A4732" s="396" t="s">
        <v>76</v>
      </c>
      <c r="B4732" s="271"/>
      <c r="C4732" s="271"/>
      <c r="D4732" s="271"/>
      <c r="E4732" s="271"/>
      <c r="F4732" s="271"/>
      <c r="G4732" s="273"/>
      <c r="H4732" s="88" t="s">
        <v>77</v>
      </c>
      <c r="I4732" s="399" t="s">
        <v>920</v>
      </c>
      <c r="J4732" s="273"/>
      <c r="K4732" s="399" t="s">
        <v>453</v>
      </c>
      <c r="L4732" s="273"/>
      <c r="M4732" s="399" t="s">
        <v>921</v>
      </c>
      <c r="N4732" s="273"/>
    </row>
    <row r="4733" spans="1:14" ht="12.75" customHeight="1" x14ac:dyDescent="0.2">
      <c r="A4733" s="400" t="s">
        <v>927</v>
      </c>
      <c r="B4733" s="271"/>
      <c r="C4733" s="271"/>
      <c r="D4733" s="271"/>
      <c r="E4733" s="271"/>
      <c r="F4733" s="271"/>
      <c r="G4733" s="273"/>
      <c r="H4733" s="29" t="str">
        <f>IF(A4733="","",VLOOKUP(A4733,AA_Equipos,7,FALSE))</f>
        <v>% M.O.</v>
      </c>
      <c r="I4733" s="394">
        <f>M4756</f>
        <v>32916.92</v>
      </c>
      <c r="J4733" s="273"/>
      <c r="K4733" s="395">
        <v>0.05</v>
      </c>
      <c r="L4733" s="273"/>
      <c r="M4733" s="394">
        <f t="shared" ref="M4733:M4737" si="646">IF(A4733="","",I4733*K4733)</f>
        <v>1645.846</v>
      </c>
      <c r="N4733" s="273"/>
    </row>
    <row r="4734" spans="1:14" ht="12.75" customHeight="1" x14ac:dyDescent="0.2">
      <c r="A4734" s="403"/>
      <c r="B4734" s="271"/>
      <c r="C4734" s="271"/>
      <c r="D4734" s="271"/>
      <c r="E4734" s="271"/>
      <c r="F4734" s="271"/>
      <c r="G4734" s="273"/>
      <c r="H4734" s="29" t="str">
        <f>IF(A4734="","",VLOOKUP(A4734,AA_Equipos,7,FALSE))</f>
        <v/>
      </c>
      <c r="I4734" s="394" t="str">
        <f>IF(A4734="","",VLOOKUP(A4734,AA_Equipos,8,FALSE))</f>
        <v/>
      </c>
      <c r="J4734" s="273"/>
      <c r="K4734" s="402"/>
      <c r="L4734" s="273"/>
      <c r="M4734" s="394" t="str">
        <f t="shared" si="646"/>
        <v/>
      </c>
      <c r="N4734" s="273"/>
    </row>
    <row r="4735" spans="1:14" ht="12.75" customHeight="1" x14ac:dyDescent="0.2">
      <c r="A4735" s="400"/>
      <c r="B4735" s="271"/>
      <c r="C4735" s="271"/>
      <c r="D4735" s="271"/>
      <c r="E4735" s="271"/>
      <c r="F4735" s="271"/>
      <c r="G4735" s="273"/>
      <c r="H4735" s="29" t="str">
        <f>IF(A4735="","",VLOOKUP(A4735,AA_Equipos,7,FALSE))</f>
        <v/>
      </c>
      <c r="I4735" s="394" t="str">
        <f>IF(A4735="","",VLOOKUP(A4735,AA_Equipos,8,FALSE))</f>
        <v/>
      </c>
      <c r="J4735" s="273"/>
      <c r="K4735" s="395"/>
      <c r="L4735" s="273"/>
      <c r="M4735" s="394" t="str">
        <f t="shared" si="646"/>
        <v/>
      </c>
      <c r="N4735" s="273"/>
    </row>
    <row r="4736" spans="1:14" ht="12.75" customHeight="1" x14ac:dyDescent="0.2">
      <c r="A4736" s="400"/>
      <c r="B4736" s="271"/>
      <c r="C4736" s="271"/>
      <c r="D4736" s="271"/>
      <c r="E4736" s="271"/>
      <c r="F4736" s="271"/>
      <c r="G4736" s="273"/>
      <c r="H4736" s="29" t="str">
        <f>IF(A4736="","",VLOOKUP(A4736,AA_Equipos,7,FALSE))</f>
        <v/>
      </c>
      <c r="I4736" s="394" t="str">
        <f>IF(A4736="","",VLOOKUP(A4736,AA_Equipos,8,FALSE))</f>
        <v/>
      </c>
      <c r="J4736" s="273"/>
      <c r="K4736" s="395"/>
      <c r="L4736" s="273"/>
      <c r="M4736" s="394" t="str">
        <f t="shared" si="646"/>
        <v/>
      </c>
      <c r="N4736" s="273"/>
    </row>
    <row r="4737" spans="1:14" ht="12.75" customHeight="1" x14ac:dyDescent="0.2">
      <c r="A4737" s="400"/>
      <c r="B4737" s="271"/>
      <c r="C4737" s="271"/>
      <c r="D4737" s="271"/>
      <c r="E4737" s="271"/>
      <c r="F4737" s="271"/>
      <c r="G4737" s="273"/>
      <c r="H4737" s="29" t="str">
        <f>IF(A4737="","",VLOOKUP(A4737,AA_Equipos,7,FALSE))</f>
        <v/>
      </c>
      <c r="I4737" s="394" t="str">
        <f>IF(A4737="","",VLOOKUP(A4737,AA_Equipos,8,FALSE))</f>
        <v/>
      </c>
      <c r="J4737" s="273"/>
      <c r="K4737" s="395"/>
      <c r="L4737" s="273"/>
      <c r="M4737" s="394" t="str">
        <f t="shared" si="646"/>
        <v/>
      </c>
      <c r="N4737" s="273"/>
    </row>
    <row r="4738" spans="1:14" ht="12.75" customHeight="1" x14ac:dyDescent="0.25">
      <c r="A4738" s="4"/>
      <c r="B4738" s="4"/>
      <c r="C4738" s="4"/>
      <c r="D4738" s="4"/>
      <c r="E4738" s="4"/>
      <c r="F4738" s="4"/>
      <c r="G4738" s="4"/>
      <c r="H4738" s="4"/>
      <c r="I4738" s="4"/>
      <c r="J4738" s="4"/>
      <c r="K4738" s="396" t="s">
        <v>444</v>
      </c>
      <c r="L4738" s="273"/>
      <c r="M4738" s="394">
        <f>SUM(M4733:N4737)</f>
        <v>1645.846</v>
      </c>
      <c r="N4738" s="273"/>
    </row>
    <row r="4739" spans="1:14" ht="12.75" customHeight="1" x14ac:dyDescent="0.25">
      <c r="A4739" s="4"/>
      <c r="B4739" s="4"/>
      <c r="C4739" s="4"/>
      <c r="D4739" s="4"/>
      <c r="E4739" s="4"/>
      <c r="F4739" s="4"/>
      <c r="G4739" s="4"/>
      <c r="H4739" s="4"/>
      <c r="I4739" s="4"/>
      <c r="J4739" s="4"/>
      <c r="K4739" s="4"/>
      <c r="L4739" s="4"/>
      <c r="M4739" s="4"/>
      <c r="N4739" s="4"/>
    </row>
    <row r="4740" spans="1:14" ht="12.75" customHeight="1" x14ac:dyDescent="0.2">
      <c r="A4740" s="398" t="s">
        <v>929</v>
      </c>
      <c r="B4740" s="271"/>
      <c r="C4740" s="271"/>
      <c r="D4740" s="271"/>
      <c r="E4740" s="271"/>
      <c r="F4740" s="271"/>
      <c r="G4740" s="271"/>
      <c r="H4740" s="271"/>
      <c r="I4740" s="271"/>
      <c r="J4740" s="271"/>
      <c r="K4740" s="271"/>
      <c r="L4740" s="271"/>
      <c r="M4740" s="271"/>
      <c r="N4740" s="273"/>
    </row>
    <row r="4741" spans="1:14" ht="12.75" customHeight="1" x14ac:dyDescent="0.2">
      <c r="A4741" s="396" t="s">
        <v>76</v>
      </c>
      <c r="B4741" s="271"/>
      <c r="C4741" s="271"/>
      <c r="D4741" s="271"/>
      <c r="E4741" s="271"/>
      <c r="F4741" s="271"/>
      <c r="G4741" s="273"/>
      <c r="H4741" s="88" t="s">
        <v>77</v>
      </c>
      <c r="I4741" s="399" t="s">
        <v>920</v>
      </c>
      <c r="J4741" s="273"/>
      <c r="K4741" s="399" t="s">
        <v>453</v>
      </c>
      <c r="L4741" s="273"/>
      <c r="M4741" s="399" t="s">
        <v>921</v>
      </c>
      <c r="N4741" s="273"/>
    </row>
    <row r="4742" spans="1:14" ht="12.75" customHeight="1" x14ac:dyDescent="0.2">
      <c r="A4742" s="400" t="s">
        <v>3181</v>
      </c>
      <c r="B4742" s="271"/>
      <c r="C4742" s="271"/>
      <c r="D4742" s="271"/>
      <c r="E4742" s="271"/>
      <c r="F4742" s="271"/>
      <c r="G4742" s="273"/>
      <c r="H4742" s="29" t="s">
        <v>24</v>
      </c>
      <c r="I4742" s="394">
        <f>+M4729</f>
        <v>47115.785799999998</v>
      </c>
      <c r="J4742" s="273"/>
      <c r="K4742" s="404">
        <v>0.05</v>
      </c>
      <c r="L4742" s="273"/>
      <c r="M4742" s="394">
        <f t="shared" ref="M4742:M4746" si="647">IF(A4742="","",I4742*K4742)</f>
        <v>2355.7892900000002</v>
      </c>
      <c r="N4742" s="273"/>
    </row>
    <row r="4743" spans="1:14" ht="12.75" customHeight="1" x14ac:dyDescent="0.2">
      <c r="A4743" s="403" t="s">
        <v>3174</v>
      </c>
      <c r="B4743" s="271"/>
      <c r="C4743" s="271"/>
      <c r="D4743" s="271"/>
      <c r="E4743" s="271"/>
      <c r="F4743" s="271"/>
      <c r="G4743" s="273"/>
      <c r="H4743" s="29" t="s">
        <v>24</v>
      </c>
      <c r="I4743" s="394">
        <f>+M4738</f>
        <v>1645.846</v>
      </c>
      <c r="J4743" s="273"/>
      <c r="K4743" s="404">
        <v>0.05</v>
      </c>
      <c r="L4743" s="273"/>
      <c r="M4743" s="394">
        <f t="shared" si="647"/>
        <v>82.292300000000012</v>
      </c>
      <c r="N4743" s="273"/>
    </row>
    <row r="4744" spans="1:14" ht="12.75" customHeight="1" x14ac:dyDescent="0.2">
      <c r="A4744" s="400"/>
      <c r="B4744" s="271"/>
      <c r="C4744" s="271"/>
      <c r="D4744" s="271"/>
      <c r="E4744" s="271"/>
      <c r="F4744" s="271"/>
      <c r="G4744" s="273"/>
      <c r="H4744" s="29"/>
      <c r="I4744" s="394"/>
      <c r="J4744" s="273"/>
      <c r="K4744" s="395"/>
      <c r="L4744" s="273"/>
      <c r="M4744" s="394" t="str">
        <f t="shared" si="647"/>
        <v/>
      </c>
      <c r="N4744" s="273"/>
    </row>
    <row r="4745" spans="1:14" ht="12.75" customHeight="1" x14ac:dyDescent="0.2">
      <c r="A4745" s="400"/>
      <c r="B4745" s="271"/>
      <c r="C4745" s="271"/>
      <c r="D4745" s="271"/>
      <c r="E4745" s="271"/>
      <c r="F4745" s="271"/>
      <c r="G4745" s="273"/>
      <c r="H4745" s="29"/>
      <c r="I4745" s="394"/>
      <c r="J4745" s="273"/>
      <c r="K4745" s="395"/>
      <c r="L4745" s="273"/>
      <c r="M4745" s="394" t="str">
        <f t="shared" si="647"/>
        <v/>
      </c>
      <c r="N4745" s="273"/>
    </row>
    <row r="4746" spans="1:14" ht="12.75" customHeight="1" x14ac:dyDescent="0.2">
      <c r="A4746" s="400"/>
      <c r="B4746" s="271"/>
      <c r="C4746" s="271"/>
      <c r="D4746" s="271"/>
      <c r="E4746" s="271"/>
      <c r="F4746" s="271"/>
      <c r="G4746" s="273"/>
      <c r="H4746" s="29"/>
      <c r="I4746" s="394"/>
      <c r="J4746" s="273"/>
      <c r="K4746" s="395"/>
      <c r="L4746" s="273"/>
      <c r="M4746" s="394" t="str">
        <f t="shared" si="647"/>
        <v/>
      </c>
      <c r="N4746" s="273"/>
    </row>
    <row r="4747" spans="1:14" ht="12.75" customHeight="1" x14ac:dyDescent="0.25">
      <c r="A4747" s="4"/>
      <c r="B4747" s="4"/>
      <c r="C4747" s="4"/>
      <c r="D4747" s="4"/>
      <c r="E4747" s="4"/>
      <c r="F4747" s="4"/>
      <c r="G4747" s="4"/>
      <c r="H4747" s="4"/>
      <c r="I4747" s="4"/>
      <c r="J4747" s="4"/>
      <c r="K4747" s="396" t="s">
        <v>444</v>
      </c>
      <c r="L4747" s="273"/>
      <c r="M4747" s="394">
        <f>SUM(M4742:N4746)</f>
        <v>2438.0815900000002</v>
      </c>
      <c r="N4747" s="273"/>
    </row>
    <row r="4748" spans="1:14" ht="12.75" customHeight="1" x14ac:dyDescent="0.25">
      <c r="A4748" s="4"/>
      <c r="B4748" s="4"/>
      <c r="C4748" s="4"/>
      <c r="D4748" s="4"/>
      <c r="E4748" s="4"/>
      <c r="F4748" s="4"/>
      <c r="G4748" s="4"/>
      <c r="H4748" s="4"/>
      <c r="I4748" s="4"/>
      <c r="J4748" s="4"/>
      <c r="K4748" s="4"/>
      <c r="L4748" s="4"/>
      <c r="M4748" s="4"/>
      <c r="N4748" s="4"/>
    </row>
    <row r="4749" spans="1:14" ht="12.75" customHeight="1" x14ac:dyDescent="0.2">
      <c r="A4749" s="398" t="s">
        <v>931</v>
      </c>
      <c r="B4749" s="271"/>
      <c r="C4749" s="271"/>
      <c r="D4749" s="271"/>
      <c r="E4749" s="271"/>
      <c r="F4749" s="271"/>
      <c r="G4749" s="271"/>
      <c r="H4749" s="271"/>
      <c r="I4749" s="271"/>
      <c r="J4749" s="271"/>
      <c r="K4749" s="271"/>
      <c r="L4749" s="271"/>
      <c r="M4749" s="271"/>
      <c r="N4749" s="273"/>
    </row>
    <row r="4750" spans="1:14" ht="12.75" customHeight="1" x14ac:dyDescent="0.2">
      <c r="A4750" s="396" t="s">
        <v>76</v>
      </c>
      <c r="B4750" s="271"/>
      <c r="C4750" s="271"/>
      <c r="D4750" s="271"/>
      <c r="E4750" s="271"/>
      <c r="F4750" s="271"/>
      <c r="G4750" s="273"/>
      <c r="H4750" s="88" t="s">
        <v>77</v>
      </c>
      <c r="I4750" s="399" t="s">
        <v>920</v>
      </c>
      <c r="J4750" s="273"/>
      <c r="K4750" s="90" t="s">
        <v>514</v>
      </c>
      <c r="L4750" s="91" t="s">
        <v>932</v>
      </c>
      <c r="M4750" s="399" t="s">
        <v>921</v>
      </c>
      <c r="N4750" s="273"/>
    </row>
    <row r="4751" spans="1:14" ht="12.75" customHeight="1" x14ac:dyDescent="0.25">
      <c r="A4751" s="393" t="s">
        <v>936</v>
      </c>
      <c r="B4751" s="271"/>
      <c r="C4751" s="271"/>
      <c r="D4751" s="271"/>
      <c r="E4751" s="271"/>
      <c r="F4751" s="271"/>
      <c r="G4751" s="273"/>
      <c r="H4751" s="29" t="str">
        <f>IF(A4751="","",VLOOKUP(A4751,AA_Cuadrillas,4,FALSE))</f>
        <v>Cuadrilla</v>
      </c>
      <c r="I4751" s="394">
        <f>IF(A4751="","",VLOOKUP(A4751,AA_Cuadrillas,5,FALSE))</f>
        <v>70036</v>
      </c>
      <c r="J4751" s="273"/>
      <c r="K4751" s="9">
        <f>IF(A4751="","",F.P!$I$2)</f>
        <v>1.88</v>
      </c>
      <c r="L4751" s="93">
        <v>0.25</v>
      </c>
      <c r="M4751" s="394">
        <f t="shared" ref="M4751:M4755" si="648">IF(A4751="","",I4751*K4751*L4751)</f>
        <v>32916.92</v>
      </c>
      <c r="N4751" s="273"/>
    </row>
    <row r="4752" spans="1:14" ht="12.75" customHeight="1" x14ac:dyDescent="0.25">
      <c r="A4752" s="393"/>
      <c r="B4752" s="271"/>
      <c r="C4752" s="271"/>
      <c r="D4752" s="271"/>
      <c r="E4752" s="271"/>
      <c r="F4752" s="271"/>
      <c r="G4752" s="273"/>
      <c r="H4752" s="29" t="str">
        <f>IF(A4752="","",VLOOKUP(A4752,AA_Cuadrillas,4,FALSE))</f>
        <v/>
      </c>
      <c r="I4752" s="394" t="str">
        <f>IF(A4752="","",VLOOKUP(A4752,AA_Cuadrillas,5,FALSE))</f>
        <v/>
      </c>
      <c r="J4752" s="273"/>
      <c r="K4752" s="9" t="str">
        <f>IF(A4752="","",F.P!$I$2)</f>
        <v/>
      </c>
      <c r="L4752" s="9"/>
      <c r="M4752" s="394" t="str">
        <f t="shared" si="648"/>
        <v/>
      </c>
      <c r="N4752" s="273"/>
    </row>
    <row r="4753" spans="1:14" ht="12.75" customHeight="1" x14ac:dyDescent="0.25">
      <c r="A4753" s="393"/>
      <c r="B4753" s="271"/>
      <c r="C4753" s="271"/>
      <c r="D4753" s="271"/>
      <c r="E4753" s="271"/>
      <c r="F4753" s="271"/>
      <c r="G4753" s="273"/>
      <c r="H4753" s="29" t="str">
        <f>IF(A4753="","",VLOOKUP(A4753,AA_Cuadrillas,4,FALSE))</f>
        <v/>
      </c>
      <c r="I4753" s="394" t="str">
        <f>IF(A4753="","",VLOOKUP(A4753,AA_Cuadrillas,5,FALSE))</f>
        <v/>
      </c>
      <c r="J4753" s="273"/>
      <c r="K4753" s="9" t="str">
        <f>IF(A4753="","",F.P!$I$2)</f>
        <v/>
      </c>
      <c r="L4753" s="37"/>
      <c r="M4753" s="394" t="str">
        <f t="shared" si="648"/>
        <v/>
      </c>
      <c r="N4753" s="273"/>
    </row>
    <row r="4754" spans="1:14" ht="12.75" customHeight="1" x14ac:dyDescent="0.25">
      <c r="A4754" s="393"/>
      <c r="B4754" s="271"/>
      <c r="C4754" s="271"/>
      <c r="D4754" s="271"/>
      <c r="E4754" s="271"/>
      <c r="F4754" s="271"/>
      <c r="G4754" s="273"/>
      <c r="H4754" s="29" t="str">
        <f>IF(A4754="","",VLOOKUP(A4754,AA_Cuadrillas,4,FALSE))</f>
        <v/>
      </c>
      <c r="I4754" s="394" t="str">
        <f>IF(A4754="","",VLOOKUP(A4754,AA_Cuadrillas,5,FALSE))</f>
        <v/>
      </c>
      <c r="J4754" s="273"/>
      <c r="K4754" s="9" t="str">
        <f>IF(A4754="","",F.P!$I$2)</f>
        <v/>
      </c>
      <c r="L4754" s="37"/>
      <c r="M4754" s="394" t="str">
        <f t="shared" si="648"/>
        <v/>
      </c>
      <c r="N4754" s="273"/>
    </row>
    <row r="4755" spans="1:14" ht="12.75" customHeight="1" x14ac:dyDescent="0.25">
      <c r="A4755" s="393"/>
      <c r="B4755" s="271"/>
      <c r="C4755" s="271"/>
      <c r="D4755" s="271"/>
      <c r="E4755" s="271"/>
      <c r="F4755" s="271"/>
      <c r="G4755" s="273"/>
      <c r="H4755" s="29" t="str">
        <f>IF(A4755="","",VLOOKUP(A4755,AA_Cuadrillas,4,FALSE))</f>
        <v/>
      </c>
      <c r="I4755" s="394" t="str">
        <f>IF(A4755="","",VLOOKUP(A4755,AA_Cuadrillas,5,FALSE))</f>
        <v/>
      </c>
      <c r="J4755" s="273"/>
      <c r="K4755" s="9" t="str">
        <f>IF(A4755="","",F.P!$I$2)</f>
        <v/>
      </c>
      <c r="L4755" s="37"/>
      <c r="M4755" s="394" t="str">
        <f t="shared" si="648"/>
        <v/>
      </c>
      <c r="N4755" s="273"/>
    </row>
    <row r="4756" spans="1:14" ht="12.75" customHeight="1" x14ac:dyDescent="0.25">
      <c r="A4756" s="4"/>
      <c r="B4756" s="4"/>
      <c r="C4756" s="4"/>
      <c r="D4756" s="4"/>
      <c r="E4756" s="4"/>
      <c r="F4756" s="4"/>
      <c r="G4756" s="4"/>
      <c r="H4756" s="4"/>
      <c r="I4756" s="4"/>
      <c r="J4756" s="4"/>
      <c r="K4756" s="396" t="s">
        <v>444</v>
      </c>
      <c r="L4756" s="273"/>
      <c r="M4756" s="394">
        <f>SUM(M4751:N4755)</f>
        <v>32916.92</v>
      </c>
      <c r="N4756" s="273"/>
    </row>
    <row r="4757" spans="1:14" ht="12.75" customHeight="1" x14ac:dyDescent="0.2"/>
    <row r="4758" spans="1:14" ht="12.75" customHeight="1" x14ac:dyDescent="0.2">
      <c r="A4758" s="407" t="s">
        <v>1198</v>
      </c>
      <c r="B4758" s="275"/>
      <c r="C4758" s="275"/>
      <c r="D4758" s="275"/>
      <c r="E4758" s="275"/>
      <c r="F4758" s="275"/>
      <c r="G4758" s="275"/>
      <c r="H4758" s="275"/>
      <c r="I4758" s="275"/>
      <c r="J4758" s="275"/>
      <c r="K4758" s="275"/>
      <c r="L4758" s="275"/>
      <c r="M4758" s="275"/>
      <c r="N4758" s="276"/>
    </row>
    <row r="4759" spans="1:14" ht="12.75" customHeight="1" x14ac:dyDescent="0.2">
      <c r="A4759" s="277"/>
      <c r="B4759" s="278"/>
      <c r="C4759" s="278"/>
      <c r="D4759" s="278"/>
      <c r="E4759" s="278"/>
      <c r="F4759" s="278"/>
      <c r="G4759" s="278"/>
      <c r="H4759" s="278"/>
      <c r="I4759" s="278"/>
      <c r="J4759" s="278"/>
      <c r="K4759" s="278"/>
      <c r="L4759" s="278"/>
      <c r="M4759" s="278"/>
      <c r="N4759" s="279"/>
    </row>
    <row r="4760" spans="1:14" s="217" customFormat="1" ht="12.75" customHeight="1" x14ac:dyDescent="0.2">
      <c r="A4760" s="216"/>
      <c r="B4760" s="216"/>
      <c r="C4760" s="216"/>
      <c r="D4760" s="216"/>
      <c r="E4760" s="216"/>
      <c r="F4760" s="216"/>
      <c r="G4760" s="216"/>
      <c r="H4760" s="216"/>
      <c r="I4760" s="216"/>
      <c r="J4760" s="216"/>
      <c r="K4760" s="216"/>
      <c r="L4760" s="216"/>
      <c r="M4760" s="216"/>
      <c r="N4760" s="216"/>
    </row>
    <row r="4761" spans="1:14" ht="12.75" customHeight="1" x14ac:dyDescent="0.3">
      <c r="A4761" s="79" t="s">
        <v>725</v>
      </c>
      <c r="B4761" s="80" t="str">
        <f>A4758</f>
        <v>FORMALETA EN MADERA PARA PLACA SUPERIOR</v>
      </c>
      <c r="C4761" s="81" t="s">
        <v>916</v>
      </c>
      <c r="D4761" s="82" t="s">
        <v>934</v>
      </c>
      <c r="E4761" s="83" t="s">
        <v>445</v>
      </c>
      <c r="F4761" s="240">
        <f>H4761+J4761+L4761+N4761</f>
        <v>51823.650800000003</v>
      </c>
      <c r="G4761" s="83" t="s">
        <v>607</v>
      </c>
      <c r="H4761" s="86">
        <f>M4773</f>
        <v>27245.64</v>
      </c>
      <c r="I4761" s="83" t="s">
        <v>918</v>
      </c>
      <c r="J4761" s="86">
        <f>M4782</f>
        <v>0</v>
      </c>
      <c r="K4761" s="83" t="s">
        <v>609</v>
      </c>
      <c r="L4761" s="86">
        <f>M4791</f>
        <v>0</v>
      </c>
      <c r="M4761" s="83" t="s">
        <v>610</v>
      </c>
      <c r="N4761" s="86">
        <f>M4800</f>
        <v>24578.010800000004</v>
      </c>
    </row>
    <row r="4762" spans="1:14" ht="12.75" customHeight="1" x14ac:dyDescent="0.25">
      <c r="A4762" s="87"/>
      <c r="B4762" s="87"/>
      <c r="C4762" s="87"/>
      <c r="D4762" s="87"/>
      <c r="E4762" s="87"/>
      <c r="F4762" s="87"/>
      <c r="G4762" s="87"/>
      <c r="J4762" s="87"/>
      <c r="K4762" s="215" t="s">
        <v>3217</v>
      </c>
      <c r="L4762" s="215">
        <f>+F4761*presup!$O$5</f>
        <v>67370.746040000013</v>
      </c>
      <c r="M4762" s="87"/>
      <c r="N4762" s="87"/>
    </row>
    <row r="4763" spans="1:14" ht="12.75" customHeight="1" x14ac:dyDescent="0.2">
      <c r="A4763" s="398" t="s">
        <v>919</v>
      </c>
      <c r="B4763" s="271"/>
      <c r="C4763" s="271"/>
      <c r="D4763" s="271"/>
      <c r="E4763" s="271"/>
      <c r="F4763" s="271"/>
      <c r="G4763" s="271"/>
      <c r="H4763" s="271"/>
      <c r="I4763" s="271"/>
      <c r="J4763" s="271"/>
      <c r="K4763" s="271"/>
      <c r="L4763" s="271"/>
      <c r="M4763" s="271"/>
      <c r="N4763" s="273"/>
    </row>
    <row r="4764" spans="1:14" ht="12.75" customHeight="1" x14ac:dyDescent="0.2">
      <c r="A4764" s="396" t="s">
        <v>76</v>
      </c>
      <c r="B4764" s="271"/>
      <c r="C4764" s="271"/>
      <c r="D4764" s="271"/>
      <c r="E4764" s="271"/>
      <c r="F4764" s="271"/>
      <c r="G4764" s="273"/>
      <c r="H4764" s="88" t="s">
        <v>77</v>
      </c>
      <c r="I4764" s="399" t="s">
        <v>920</v>
      </c>
      <c r="J4764" s="273"/>
      <c r="K4764" s="399" t="s">
        <v>453</v>
      </c>
      <c r="L4764" s="273"/>
      <c r="M4764" s="399" t="s">
        <v>921</v>
      </c>
      <c r="N4764" s="273"/>
    </row>
    <row r="4765" spans="1:14" ht="12.75" customHeight="1" x14ac:dyDescent="0.2">
      <c r="A4765" s="400" t="s">
        <v>1199</v>
      </c>
      <c r="B4765" s="271"/>
      <c r="C4765" s="271"/>
      <c r="D4765" s="271"/>
      <c r="E4765" s="271"/>
      <c r="F4765" s="271"/>
      <c r="G4765" s="273"/>
      <c r="H4765" s="29" t="str">
        <f t="shared" ref="H4765:H4770" si="649">IF(A4765="","",VLOOKUP(A4765,AA_Materiales,7,FALSE))</f>
        <v>Unidad</v>
      </c>
      <c r="I4765" s="394">
        <f t="shared" ref="I4765:I4772" si="650">IF(A4765="","",VLOOKUP(A4765,AA_Materiales,8,FALSE))</f>
        <v>1700</v>
      </c>
      <c r="J4765" s="273"/>
      <c r="K4765" s="395">
        <v>10</v>
      </c>
      <c r="L4765" s="273"/>
      <c r="M4765" s="394">
        <f t="shared" ref="M4765:M4772" si="651">IF(A4765="","",I4765*K4765)</f>
        <v>17000</v>
      </c>
      <c r="N4765" s="273"/>
    </row>
    <row r="4766" spans="1:14" ht="12.75" customHeight="1" x14ac:dyDescent="0.2">
      <c r="A4766" s="400" t="s">
        <v>947</v>
      </c>
      <c r="B4766" s="271"/>
      <c r="C4766" s="271"/>
      <c r="D4766" s="271"/>
      <c r="E4766" s="271"/>
      <c r="F4766" s="271"/>
      <c r="G4766" s="273"/>
      <c r="H4766" s="29" t="str">
        <f t="shared" si="649"/>
        <v>LB</v>
      </c>
      <c r="I4766" s="394">
        <f t="shared" si="650"/>
        <v>5500</v>
      </c>
      <c r="J4766" s="273"/>
      <c r="K4766" s="395">
        <v>0.2</v>
      </c>
      <c r="L4766" s="273"/>
      <c r="M4766" s="394">
        <f t="shared" si="651"/>
        <v>1100</v>
      </c>
      <c r="N4766" s="273"/>
    </row>
    <row r="4767" spans="1:14" ht="12.75" customHeight="1" x14ac:dyDescent="0.2">
      <c r="A4767" s="400" t="s">
        <v>1200</v>
      </c>
      <c r="B4767" s="271"/>
      <c r="C4767" s="271"/>
      <c r="D4767" s="271"/>
      <c r="E4767" s="271"/>
      <c r="F4767" s="271"/>
      <c r="G4767" s="273"/>
      <c r="H4767" s="29" t="str">
        <f t="shared" si="649"/>
        <v>Unidad</v>
      </c>
      <c r="I4767" s="394">
        <f t="shared" si="650"/>
        <v>8500</v>
      </c>
      <c r="J4767" s="273"/>
      <c r="K4767" s="395">
        <v>0.52500000000000002</v>
      </c>
      <c r="L4767" s="273"/>
      <c r="M4767" s="394">
        <f t="shared" si="651"/>
        <v>4462.5</v>
      </c>
      <c r="N4767" s="273"/>
    </row>
    <row r="4768" spans="1:14" ht="12.75" customHeight="1" x14ac:dyDescent="0.2">
      <c r="A4768" s="400" t="s">
        <v>1201</v>
      </c>
      <c r="B4768" s="271"/>
      <c r="C4768" s="271"/>
      <c r="D4768" s="271"/>
      <c r="E4768" s="271"/>
      <c r="F4768" s="271"/>
      <c r="G4768" s="273"/>
      <c r="H4768" s="29" t="str">
        <f t="shared" si="649"/>
        <v>Unidad</v>
      </c>
      <c r="I4768" s="394">
        <f t="shared" si="650"/>
        <v>6000</v>
      </c>
      <c r="J4768" s="273"/>
      <c r="K4768" s="395">
        <v>0.5</v>
      </c>
      <c r="L4768" s="273"/>
      <c r="M4768" s="394">
        <f t="shared" si="651"/>
        <v>3000</v>
      </c>
      <c r="N4768" s="273"/>
    </row>
    <row r="4769" spans="1:14" ht="12.75" customHeight="1" x14ac:dyDescent="0.2">
      <c r="A4769" s="400" t="s">
        <v>1202</v>
      </c>
      <c r="B4769" s="271"/>
      <c r="C4769" s="271"/>
      <c r="D4769" s="271"/>
      <c r="E4769" s="271"/>
      <c r="F4769" s="271"/>
      <c r="G4769" s="273"/>
      <c r="H4769" s="29" t="str">
        <f t="shared" si="649"/>
        <v>Kg</v>
      </c>
      <c r="I4769" s="394">
        <f t="shared" si="650"/>
        <v>6090</v>
      </c>
      <c r="J4769" s="273"/>
      <c r="K4769" s="395">
        <v>0.2</v>
      </c>
      <c r="L4769" s="273"/>
      <c r="M4769" s="394">
        <f t="shared" si="651"/>
        <v>1218</v>
      </c>
      <c r="N4769" s="273"/>
    </row>
    <row r="4770" spans="1:14" ht="12.75" customHeight="1" x14ac:dyDescent="0.2">
      <c r="A4770" s="400" t="s">
        <v>1203</v>
      </c>
      <c r="B4770" s="271"/>
      <c r="C4770" s="271"/>
      <c r="D4770" s="271"/>
      <c r="E4770" s="271"/>
      <c r="F4770" s="271"/>
      <c r="G4770" s="273"/>
      <c r="H4770" s="29" t="e">
        <f t="shared" si="649"/>
        <v>#N/A</v>
      </c>
      <c r="I4770" s="394">
        <f>'precios '!J18</f>
        <v>9302.8000000000011</v>
      </c>
      <c r="J4770" s="273"/>
      <c r="K4770" s="395">
        <v>0.05</v>
      </c>
      <c r="L4770" s="273"/>
      <c r="M4770" s="394">
        <f t="shared" si="651"/>
        <v>465.1400000000001</v>
      </c>
      <c r="N4770" s="273"/>
    </row>
    <row r="4771" spans="1:14" ht="12.75" customHeight="1" x14ac:dyDescent="0.2">
      <c r="A4771" s="400"/>
      <c r="B4771" s="271"/>
      <c r="C4771" s="271"/>
      <c r="D4771" s="271"/>
      <c r="E4771" s="271"/>
      <c r="F4771" s="271"/>
      <c r="G4771" s="273"/>
      <c r="H4771" s="29"/>
      <c r="I4771" s="394" t="str">
        <f t="shared" si="650"/>
        <v/>
      </c>
      <c r="J4771" s="273"/>
      <c r="K4771" s="395"/>
      <c r="L4771" s="273"/>
      <c r="M4771" s="394" t="str">
        <f t="shared" si="651"/>
        <v/>
      </c>
      <c r="N4771" s="273"/>
    </row>
    <row r="4772" spans="1:14" ht="12.75" customHeight="1" x14ac:dyDescent="0.2">
      <c r="A4772" s="400"/>
      <c r="B4772" s="271"/>
      <c r="C4772" s="271"/>
      <c r="D4772" s="271"/>
      <c r="E4772" s="271"/>
      <c r="F4772" s="271"/>
      <c r="G4772" s="273"/>
      <c r="H4772" s="29" t="str">
        <f>IF(A4772="","",VLOOKUP(A4772,AA_Materiales,7,FALSE))</f>
        <v/>
      </c>
      <c r="I4772" s="394" t="str">
        <f t="shared" si="650"/>
        <v/>
      </c>
      <c r="J4772" s="273"/>
      <c r="K4772" s="395"/>
      <c r="L4772" s="273"/>
      <c r="M4772" s="394" t="str">
        <f t="shared" si="651"/>
        <v/>
      </c>
      <c r="N4772" s="273"/>
    </row>
    <row r="4773" spans="1:14" ht="12.75" customHeight="1" x14ac:dyDescent="0.25">
      <c r="A4773" s="4"/>
      <c r="B4773" s="4"/>
      <c r="C4773" s="4"/>
      <c r="D4773" s="4"/>
      <c r="E4773" s="4"/>
      <c r="F4773" s="4"/>
      <c r="G4773" s="4"/>
      <c r="H4773" s="4"/>
      <c r="I4773" s="4"/>
      <c r="J4773" s="4"/>
      <c r="K4773" s="396" t="s">
        <v>444</v>
      </c>
      <c r="L4773" s="273"/>
      <c r="M4773" s="394">
        <f>SUM(M4765:N4772)</f>
        <v>27245.64</v>
      </c>
      <c r="N4773" s="273"/>
    </row>
    <row r="4774" spans="1:14" ht="12.75" customHeight="1" x14ac:dyDescent="0.25">
      <c r="A4774" s="4"/>
      <c r="B4774" s="4"/>
      <c r="C4774" s="4"/>
      <c r="D4774" s="4"/>
      <c r="E4774" s="4"/>
      <c r="F4774" s="4"/>
      <c r="G4774" s="4"/>
      <c r="H4774" s="4"/>
      <c r="I4774" s="4"/>
      <c r="J4774" s="4"/>
      <c r="K4774" s="4"/>
      <c r="L4774" s="4"/>
      <c r="M4774" s="4"/>
      <c r="N4774" s="4"/>
    </row>
    <row r="4775" spans="1:14" ht="12.75" customHeight="1" x14ac:dyDescent="0.2">
      <c r="A4775" s="398" t="s">
        <v>926</v>
      </c>
      <c r="B4775" s="271"/>
      <c r="C4775" s="271"/>
      <c r="D4775" s="271"/>
      <c r="E4775" s="271"/>
      <c r="F4775" s="271"/>
      <c r="G4775" s="271"/>
      <c r="H4775" s="271"/>
      <c r="I4775" s="271"/>
      <c r="J4775" s="271"/>
      <c r="K4775" s="271"/>
      <c r="L4775" s="271"/>
      <c r="M4775" s="271"/>
      <c r="N4775" s="273"/>
    </row>
    <row r="4776" spans="1:14" ht="12.75" customHeight="1" x14ac:dyDescent="0.2">
      <c r="A4776" s="396" t="s">
        <v>76</v>
      </c>
      <c r="B4776" s="271"/>
      <c r="C4776" s="271"/>
      <c r="D4776" s="271"/>
      <c r="E4776" s="271"/>
      <c r="F4776" s="271"/>
      <c r="G4776" s="273"/>
      <c r="H4776" s="88" t="s">
        <v>77</v>
      </c>
      <c r="I4776" s="399" t="s">
        <v>920</v>
      </c>
      <c r="J4776" s="273"/>
      <c r="K4776" s="399" t="s">
        <v>453</v>
      </c>
      <c r="L4776" s="273"/>
      <c r="M4776" s="399" t="s">
        <v>921</v>
      </c>
      <c r="N4776" s="273"/>
    </row>
    <row r="4777" spans="1:14" ht="12.75" customHeight="1" x14ac:dyDescent="0.2">
      <c r="A4777" s="400"/>
      <c r="B4777" s="271"/>
      <c r="C4777" s="271"/>
      <c r="D4777" s="271"/>
      <c r="E4777" s="271"/>
      <c r="F4777" s="271"/>
      <c r="G4777" s="273"/>
      <c r="H4777" s="29"/>
      <c r="I4777" s="394"/>
      <c r="J4777" s="273"/>
      <c r="K4777" s="395"/>
      <c r="L4777" s="273"/>
      <c r="M4777" s="394" t="str">
        <f t="shared" ref="M4777:M4781" si="652">IF(A4777="","",I4777*K4777)</f>
        <v/>
      </c>
      <c r="N4777" s="273"/>
    </row>
    <row r="4778" spans="1:14" ht="12.75" customHeight="1" x14ac:dyDescent="0.2">
      <c r="A4778" s="403"/>
      <c r="B4778" s="271"/>
      <c r="C4778" s="271"/>
      <c r="D4778" s="271"/>
      <c r="E4778" s="271"/>
      <c r="F4778" s="271"/>
      <c r="G4778" s="273"/>
      <c r="H4778" s="29" t="str">
        <f>IF(A4778="","",VLOOKUP(A4778,AA_Equipos,7,FALSE))</f>
        <v/>
      </c>
      <c r="I4778" s="394" t="str">
        <f>IF(A4778="","",VLOOKUP(A4778,AA_Equipos,8,FALSE))</f>
        <v/>
      </c>
      <c r="J4778" s="273"/>
      <c r="K4778" s="402"/>
      <c r="L4778" s="273"/>
      <c r="M4778" s="394" t="str">
        <f t="shared" si="652"/>
        <v/>
      </c>
      <c r="N4778" s="273"/>
    </row>
    <row r="4779" spans="1:14" ht="12.75" customHeight="1" x14ac:dyDescent="0.2">
      <c r="A4779" s="400"/>
      <c r="B4779" s="271"/>
      <c r="C4779" s="271"/>
      <c r="D4779" s="271"/>
      <c r="E4779" s="271"/>
      <c r="F4779" s="271"/>
      <c r="G4779" s="273"/>
      <c r="H4779" s="29" t="str">
        <f>IF(A4779="","",VLOOKUP(A4779,AA_Equipos,7,FALSE))</f>
        <v/>
      </c>
      <c r="I4779" s="394" t="str">
        <f>IF(A4779="","",VLOOKUP(A4779,AA_Equipos,8,FALSE))</f>
        <v/>
      </c>
      <c r="J4779" s="273"/>
      <c r="K4779" s="395"/>
      <c r="L4779" s="273"/>
      <c r="M4779" s="394" t="str">
        <f t="shared" si="652"/>
        <v/>
      </c>
      <c r="N4779" s="273"/>
    </row>
    <row r="4780" spans="1:14" ht="12.75" customHeight="1" x14ac:dyDescent="0.2">
      <c r="A4780" s="400"/>
      <c r="B4780" s="271"/>
      <c r="C4780" s="271"/>
      <c r="D4780" s="271"/>
      <c r="E4780" s="271"/>
      <c r="F4780" s="271"/>
      <c r="G4780" s="273"/>
      <c r="H4780" s="29" t="str">
        <f>IF(A4780="","",VLOOKUP(A4780,AA_Equipos,7,FALSE))</f>
        <v/>
      </c>
      <c r="I4780" s="394" t="str">
        <f>IF(A4780="","",VLOOKUP(A4780,AA_Equipos,8,FALSE))</f>
        <v/>
      </c>
      <c r="J4780" s="273"/>
      <c r="K4780" s="395"/>
      <c r="L4780" s="273"/>
      <c r="M4780" s="394" t="str">
        <f t="shared" si="652"/>
        <v/>
      </c>
      <c r="N4780" s="273"/>
    </row>
    <row r="4781" spans="1:14" ht="12.75" customHeight="1" x14ac:dyDescent="0.2">
      <c r="A4781" s="400"/>
      <c r="B4781" s="271"/>
      <c r="C4781" s="271"/>
      <c r="D4781" s="271"/>
      <c r="E4781" s="271"/>
      <c r="F4781" s="271"/>
      <c r="G4781" s="273"/>
      <c r="H4781" s="29" t="str">
        <f>IF(A4781="","",VLOOKUP(A4781,AA_Equipos,7,FALSE))</f>
        <v/>
      </c>
      <c r="I4781" s="394" t="str">
        <f>IF(A4781="","",VLOOKUP(A4781,AA_Equipos,8,FALSE))</f>
        <v/>
      </c>
      <c r="J4781" s="273"/>
      <c r="K4781" s="395"/>
      <c r="L4781" s="273"/>
      <c r="M4781" s="394" t="str">
        <f t="shared" si="652"/>
        <v/>
      </c>
      <c r="N4781" s="273"/>
    </row>
    <row r="4782" spans="1:14" ht="12.75" customHeight="1" x14ac:dyDescent="0.25">
      <c r="A4782" s="4"/>
      <c r="B4782" s="4"/>
      <c r="C4782" s="4"/>
      <c r="D4782" s="4"/>
      <c r="E4782" s="4"/>
      <c r="F4782" s="4"/>
      <c r="G4782" s="4"/>
      <c r="H4782" s="4"/>
      <c r="I4782" s="4"/>
      <c r="J4782" s="4"/>
      <c r="K4782" s="396" t="s">
        <v>444</v>
      </c>
      <c r="L4782" s="273"/>
      <c r="M4782" s="394">
        <f>SUM(M4777:N4781)</f>
        <v>0</v>
      </c>
      <c r="N4782" s="273"/>
    </row>
    <row r="4783" spans="1:14" ht="12.75" customHeight="1" x14ac:dyDescent="0.25">
      <c r="A4783" s="4"/>
      <c r="B4783" s="4"/>
      <c r="C4783" s="4"/>
      <c r="D4783" s="4"/>
      <c r="E4783" s="4"/>
      <c r="F4783" s="4"/>
      <c r="G4783" s="4"/>
      <c r="H4783" s="4"/>
      <c r="I4783" s="4"/>
      <c r="J4783" s="4"/>
      <c r="K4783" s="4"/>
      <c r="L4783" s="4"/>
      <c r="M4783" s="4"/>
      <c r="N4783" s="4"/>
    </row>
    <row r="4784" spans="1:14" ht="12.75" customHeight="1" x14ac:dyDescent="0.2">
      <c r="A4784" s="398" t="s">
        <v>929</v>
      </c>
      <c r="B4784" s="271"/>
      <c r="C4784" s="271"/>
      <c r="D4784" s="271"/>
      <c r="E4784" s="271"/>
      <c r="F4784" s="271"/>
      <c r="G4784" s="271"/>
      <c r="H4784" s="271"/>
      <c r="I4784" s="271"/>
      <c r="J4784" s="271"/>
      <c r="K4784" s="271"/>
      <c r="L4784" s="271"/>
      <c r="M4784" s="271"/>
      <c r="N4784" s="273"/>
    </row>
    <row r="4785" spans="1:14" ht="12.75" customHeight="1" x14ac:dyDescent="0.2">
      <c r="A4785" s="396" t="s">
        <v>76</v>
      </c>
      <c r="B4785" s="271"/>
      <c r="C4785" s="271"/>
      <c r="D4785" s="271"/>
      <c r="E4785" s="271"/>
      <c r="F4785" s="271"/>
      <c r="G4785" s="273"/>
      <c r="H4785" s="88" t="s">
        <v>77</v>
      </c>
      <c r="I4785" s="399" t="s">
        <v>920</v>
      </c>
      <c r="J4785" s="273"/>
      <c r="K4785" s="399" t="s">
        <v>453</v>
      </c>
      <c r="L4785" s="273"/>
      <c r="M4785" s="399" t="s">
        <v>921</v>
      </c>
      <c r="N4785" s="273"/>
    </row>
    <row r="4786" spans="1:14" ht="12.75" customHeight="1" x14ac:dyDescent="0.2">
      <c r="A4786" s="400"/>
      <c r="B4786" s="271"/>
      <c r="C4786" s="271"/>
      <c r="D4786" s="271"/>
      <c r="E4786" s="271"/>
      <c r="F4786" s="271"/>
      <c r="G4786" s="273"/>
      <c r="H4786" s="29"/>
      <c r="I4786" s="394"/>
      <c r="J4786" s="273"/>
      <c r="K4786" s="404"/>
      <c r="L4786" s="273"/>
      <c r="M4786" s="394" t="str">
        <f t="shared" ref="M4786:M4790" si="653">IF(A4786="","",I4786*K4786)</f>
        <v/>
      </c>
      <c r="N4786" s="273"/>
    </row>
    <row r="4787" spans="1:14" ht="12.75" customHeight="1" x14ac:dyDescent="0.2">
      <c r="A4787" s="403"/>
      <c r="B4787" s="271"/>
      <c r="C4787" s="271"/>
      <c r="D4787" s="271"/>
      <c r="E4787" s="271"/>
      <c r="F4787" s="271"/>
      <c r="G4787" s="273"/>
      <c r="H4787" s="29"/>
      <c r="I4787" s="394"/>
      <c r="J4787" s="273"/>
      <c r="K4787" s="404"/>
      <c r="L4787" s="273"/>
      <c r="M4787" s="394" t="str">
        <f t="shared" si="653"/>
        <v/>
      </c>
      <c r="N4787" s="273"/>
    </row>
    <row r="4788" spans="1:14" ht="12.75" customHeight="1" x14ac:dyDescent="0.2">
      <c r="A4788" s="400"/>
      <c r="B4788" s="271"/>
      <c r="C4788" s="271"/>
      <c r="D4788" s="271"/>
      <c r="E4788" s="271"/>
      <c r="F4788" s="271"/>
      <c r="G4788" s="273"/>
      <c r="H4788" s="29"/>
      <c r="I4788" s="394"/>
      <c r="J4788" s="273"/>
      <c r="K4788" s="395"/>
      <c r="L4788" s="273"/>
      <c r="M4788" s="394" t="str">
        <f t="shared" si="653"/>
        <v/>
      </c>
      <c r="N4788" s="273"/>
    </row>
    <row r="4789" spans="1:14" ht="12.75" customHeight="1" x14ac:dyDescent="0.2">
      <c r="A4789" s="400"/>
      <c r="B4789" s="271"/>
      <c r="C4789" s="271"/>
      <c r="D4789" s="271"/>
      <c r="E4789" s="271"/>
      <c r="F4789" s="271"/>
      <c r="G4789" s="273"/>
      <c r="H4789" s="29"/>
      <c r="I4789" s="394"/>
      <c r="J4789" s="273"/>
      <c r="K4789" s="395"/>
      <c r="L4789" s="273"/>
      <c r="M4789" s="394" t="str">
        <f t="shared" si="653"/>
        <v/>
      </c>
      <c r="N4789" s="273"/>
    </row>
    <row r="4790" spans="1:14" ht="12.75" customHeight="1" x14ac:dyDescent="0.2">
      <c r="A4790" s="400"/>
      <c r="B4790" s="271"/>
      <c r="C4790" s="271"/>
      <c r="D4790" s="271"/>
      <c r="E4790" s="271"/>
      <c r="F4790" s="271"/>
      <c r="G4790" s="273"/>
      <c r="H4790" s="29"/>
      <c r="I4790" s="394"/>
      <c r="J4790" s="273"/>
      <c r="K4790" s="395"/>
      <c r="L4790" s="273"/>
      <c r="M4790" s="394" t="str">
        <f t="shared" si="653"/>
        <v/>
      </c>
      <c r="N4790" s="273"/>
    </row>
    <row r="4791" spans="1:14" ht="12.75" customHeight="1" x14ac:dyDescent="0.25">
      <c r="A4791" s="4"/>
      <c r="B4791" s="4"/>
      <c r="C4791" s="4"/>
      <c r="D4791" s="4"/>
      <c r="E4791" s="4"/>
      <c r="F4791" s="4"/>
      <c r="G4791" s="4"/>
      <c r="H4791" s="4"/>
      <c r="I4791" s="4"/>
      <c r="J4791" s="4"/>
      <c r="K4791" s="396" t="s">
        <v>444</v>
      </c>
      <c r="L4791" s="273"/>
      <c r="M4791" s="394">
        <f>SUM(M4786:N4790)</f>
        <v>0</v>
      </c>
      <c r="N4791" s="273"/>
    </row>
    <row r="4792" spans="1:14" ht="12.75" customHeight="1" x14ac:dyDescent="0.25">
      <c r="A4792" s="4"/>
      <c r="B4792" s="4"/>
      <c r="C4792" s="4"/>
      <c r="D4792" s="4"/>
      <c r="E4792" s="4"/>
      <c r="F4792" s="4"/>
      <c r="G4792" s="4"/>
      <c r="H4792" s="4"/>
      <c r="I4792" s="4"/>
      <c r="J4792" s="4"/>
      <c r="K4792" s="4"/>
      <c r="L4792" s="4"/>
      <c r="M4792" s="4"/>
      <c r="N4792" s="4"/>
    </row>
    <row r="4793" spans="1:14" ht="12.75" customHeight="1" x14ac:dyDescent="0.2">
      <c r="A4793" s="398" t="s">
        <v>931</v>
      </c>
      <c r="B4793" s="271"/>
      <c r="C4793" s="271"/>
      <c r="D4793" s="271"/>
      <c r="E4793" s="271"/>
      <c r="F4793" s="271"/>
      <c r="G4793" s="271"/>
      <c r="H4793" s="271"/>
      <c r="I4793" s="271"/>
      <c r="J4793" s="271"/>
      <c r="K4793" s="271"/>
      <c r="L4793" s="271"/>
      <c r="M4793" s="271"/>
      <c r="N4793" s="273"/>
    </row>
    <row r="4794" spans="1:14" ht="12.75" customHeight="1" x14ac:dyDescent="0.2">
      <c r="A4794" s="396" t="s">
        <v>76</v>
      </c>
      <c r="B4794" s="271"/>
      <c r="C4794" s="271"/>
      <c r="D4794" s="271"/>
      <c r="E4794" s="271"/>
      <c r="F4794" s="271"/>
      <c r="G4794" s="273"/>
      <c r="H4794" s="88" t="s">
        <v>77</v>
      </c>
      <c r="I4794" s="399" t="s">
        <v>920</v>
      </c>
      <c r="J4794" s="273"/>
      <c r="K4794" s="90" t="s">
        <v>514</v>
      </c>
      <c r="L4794" s="91" t="s">
        <v>932</v>
      </c>
      <c r="M4794" s="399" t="s">
        <v>921</v>
      </c>
      <c r="N4794" s="273"/>
    </row>
    <row r="4795" spans="1:14" ht="12.75" customHeight="1" x14ac:dyDescent="0.25">
      <c r="A4795" s="393" t="s">
        <v>951</v>
      </c>
      <c r="B4795" s="271"/>
      <c r="C4795" s="271"/>
      <c r="D4795" s="271"/>
      <c r="E4795" s="271"/>
      <c r="F4795" s="271"/>
      <c r="G4795" s="273"/>
      <c r="H4795" s="29" t="str">
        <f>IF(A4795="","",VLOOKUP(A4795,AA_Cuadrillas,4,FALSE))</f>
        <v>Cuadrilla</v>
      </c>
      <c r="I4795" s="394">
        <f>IF(A4795="","",VLOOKUP(A4795,AA_Cuadrillas,5,FALSE))</f>
        <v>186763</v>
      </c>
      <c r="J4795" s="273"/>
      <c r="K4795" s="9">
        <f>IF(A4795="","",F.P!$I$2)</f>
        <v>1.88</v>
      </c>
      <c r="L4795" s="93">
        <v>7.0000000000000007E-2</v>
      </c>
      <c r="M4795" s="394">
        <f t="shared" ref="M4795:M4799" si="654">IF(A4795="","",I4795*K4795*L4795)</f>
        <v>24578.010800000004</v>
      </c>
      <c r="N4795" s="273"/>
    </row>
    <row r="4796" spans="1:14" ht="12.75" customHeight="1" x14ac:dyDescent="0.25">
      <c r="A4796" s="393"/>
      <c r="B4796" s="271"/>
      <c r="C4796" s="271"/>
      <c r="D4796" s="271"/>
      <c r="E4796" s="271"/>
      <c r="F4796" s="271"/>
      <c r="G4796" s="273"/>
      <c r="H4796" s="29" t="str">
        <f>IF(A4796="","",VLOOKUP(A4796,AA_Cuadrillas,4,FALSE))</f>
        <v/>
      </c>
      <c r="I4796" s="394" t="str">
        <f>IF(A4796="","",VLOOKUP(A4796,AA_Cuadrillas,5,FALSE))</f>
        <v/>
      </c>
      <c r="J4796" s="273"/>
      <c r="K4796" s="9" t="str">
        <f>IF(A4796="","",F.P!$I$2)</f>
        <v/>
      </c>
      <c r="L4796" s="9"/>
      <c r="M4796" s="394" t="str">
        <f t="shared" si="654"/>
        <v/>
      </c>
      <c r="N4796" s="273"/>
    </row>
    <row r="4797" spans="1:14" ht="12.75" customHeight="1" x14ac:dyDescent="0.25">
      <c r="A4797" s="393"/>
      <c r="B4797" s="271"/>
      <c r="C4797" s="271"/>
      <c r="D4797" s="271"/>
      <c r="E4797" s="271"/>
      <c r="F4797" s="271"/>
      <c r="G4797" s="273"/>
      <c r="H4797" s="29" t="str">
        <f>IF(A4797="","",VLOOKUP(A4797,AA_Cuadrillas,4,FALSE))</f>
        <v/>
      </c>
      <c r="I4797" s="394" t="str">
        <f>IF(A4797="","",VLOOKUP(A4797,AA_Cuadrillas,5,FALSE))</f>
        <v/>
      </c>
      <c r="J4797" s="273"/>
      <c r="K4797" s="9" t="str">
        <f>IF(A4797="","",F.P!$I$2)</f>
        <v/>
      </c>
      <c r="L4797" s="37"/>
      <c r="M4797" s="394" t="str">
        <f t="shared" si="654"/>
        <v/>
      </c>
      <c r="N4797" s="273"/>
    </row>
    <row r="4798" spans="1:14" ht="12.75" customHeight="1" x14ac:dyDescent="0.25">
      <c r="A4798" s="393"/>
      <c r="B4798" s="271"/>
      <c r="C4798" s="271"/>
      <c r="D4798" s="271"/>
      <c r="E4798" s="271"/>
      <c r="F4798" s="271"/>
      <c r="G4798" s="273"/>
      <c r="H4798" s="29" t="str">
        <f>IF(A4798="","",VLOOKUP(A4798,AA_Cuadrillas,4,FALSE))</f>
        <v/>
      </c>
      <c r="I4798" s="394" t="str">
        <f>IF(A4798="","",VLOOKUP(A4798,AA_Cuadrillas,5,FALSE))</f>
        <v/>
      </c>
      <c r="J4798" s="273"/>
      <c r="K4798" s="9" t="str">
        <f>IF(A4798="","",F.P!$I$2)</f>
        <v/>
      </c>
      <c r="L4798" s="37"/>
      <c r="M4798" s="394" t="str">
        <f t="shared" si="654"/>
        <v/>
      </c>
      <c r="N4798" s="273"/>
    </row>
    <row r="4799" spans="1:14" ht="12.75" customHeight="1" x14ac:dyDescent="0.25">
      <c r="A4799" s="393"/>
      <c r="B4799" s="271"/>
      <c r="C4799" s="271"/>
      <c r="D4799" s="271"/>
      <c r="E4799" s="271"/>
      <c r="F4799" s="271"/>
      <c r="G4799" s="273"/>
      <c r="H4799" s="29" t="str">
        <f>IF(A4799="","",VLOOKUP(A4799,AA_Cuadrillas,4,FALSE))</f>
        <v/>
      </c>
      <c r="I4799" s="394" t="str">
        <f>IF(A4799="","",VLOOKUP(A4799,AA_Cuadrillas,5,FALSE))</f>
        <v/>
      </c>
      <c r="J4799" s="273"/>
      <c r="K4799" s="9" t="str">
        <f>IF(A4799="","",F.P!$I$2)</f>
        <v/>
      </c>
      <c r="L4799" s="37"/>
      <c r="M4799" s="394" t="str">
        <f t="shared" si="654"/>
        <v/>
      </c>
      <c r="N4799" s="273"/>
    </row>
    <row r="4800" spans="1:14" ht="12.75" customHeight="1" x14ac:dyDescent="0.25">
      <c r="A4800" s="4"/>
      <c r="B4800" s="4"/>
      <c r="C4800" s="4"/>
      <c r="D4800" s="4"/>
      <c r="E4800" s="4"/>
      <c r="F4800" s="4"/>
      <c r="G4800" s="4"/>
      <c r="H4800" s="4"/>
      <c r="I4800" s="4"/>
      <c r="J4800" s="4"/>
      <c r="K4800" s="396" t="s">
        <v>444</v>
      </c>
      <c r="L4800" s="273"/>
      <c r="M4800" s="394">
        <f>SUM(M4795:N4799)</f>
        <v>24578.010800000004</v>
      </c>
      <c r="N4800" s="273"/>
    </row>
    <row r="4801" spans="1:15" ht="12.75" customHeight="1" x14ac:dyDescent="0.2"/>
    <row r="4802" spans="1:15" ht="12.75" customHeight="1" x14ac:dyDescent="0.2">
      <c r="A4802" s="407" t="s">
        <v>351</v>
      </c>
      <c r="B4802" s="275"/>
      <c r="C4802" s="275"/>
      <c r="D4802" s="275"/>
      <c r="E4802" s="275"/>
      <c r="F4802" s="275"/>
      <c r="G4802" s="275"/>
      <c r="H4802" s="275"/>
      <c r="I4802" s="275"/>
      <c r="J4802" s="275"/>
      <c r="K4802" s="275"/>
      <c r="L4802" s="275"/>
      <c r="M4802" s="275"/>
      <c r="N4802" s="276"/>
      <c r="O4802" s="166"/>
    </row>
    <row r="4803" spans="1:15" ht="12.75" customHeight="1" x14ac:dyDescent="0.2">
      <c r="A4803" s="277"/>
      <c r="B4803" s="278"/>
      <c r="C4803" s="278"/>
      <c r="D4803" s="278"/>
      <c r="E4803" s="278"/>
      <c r="F4803" s="278"/>
      <c r="G4803" s="278"/>
      <c r="H4803" s="278"/>
      <c r="I4803" s="278"/>
      <c r="J4803" s="278"/>
      <c r="K4803" s="278"/>
      <c r="L4803" s="278"/>
      <c r="M4803" s="278"/>
      <c r="N4803" s="279"/>
      <c r="O4803" s="166"/>
    </row>
    <row r="4804" spans="1:15" ht="12.75" customHeight="1" x14ac:dyDescent="0.2">
      <c r="A4804" s="75"/>
      <c r="B4804" s="75"/>
      <c r="C4804" s="75"/>
      <c r="D4804" s="75"/>
      <c r="E4804" s="75"/>
      <c r="F4804" s="75"/>
      <c r="G4804" s="75"/>
      <c r="H4804" s="75"/>
      <c r="I4804" s="75"/>
      <c r="J4804" s="75"/>
      <c r="K4804" s="75"/>
      <c r="L4804" s="75"/>
      <c r="M4804" s="75"/>
      <c r="N4804" s="75"/>
    </row>
    <row r="4805" spans="1:15" ht="12.75" customHeight="1" x14ac:dyDescent="0.3">
      <c r="A4805" s="79" t="s">
        <v>726</v>
      </c>
      <c r="B4805" s="80" t="str">
        <f>A4802</f>
        <v>DEMOLICIÓN DE ESTRUCTURAS EN CONCRETO REFORZADO (INCLUYE EQUIPOS, HERRAMIENTAS Y MANO DE OBRA)</v>
      </c>
      <c r="C4805" s="81" t="s">
        <v>916</v>
      </c>
      <c r="D4805" s="82" t="s">
        <v>258</v>
      </c>
      <c r="E4805" s="83" t="s">
        <v>445</v>
      </c>
      <c r="F4805" s="234">
        <f>(H4805+J4805+L4805+N4805)*1.3</f>
        <v>207690.40168500002</v>
      </c>
      <c r="G4805" s="83" t="s">
        <v>607</v>
      </c>
      <c r="H4805" s="86">
        <f>M4826</f>
        <v>105129.969</v>
      </c>
      <c r="I4805" s="83" t="s">
        <v>918</v>
      </c>
      <c r="J4805" s="86">
        <f>M4817</f>
        <v>0</v>
      </c>
      <c r="K4805" s="83" t="s">
        <v>609</v>
      </c>
      <c r="L4805" s="86">
        <f>M4835</f>
        <v>5256.49845</v>
      </c>
      <c r="M4805" s="83" t="s">
        <v>610</v>
      </c>
      <c r="N4805" s="86">
        <f>M4844</f>
        <v>49375.38</v>
      </c>
    </row>
    <row r="4806" spans="1:15" ht="12.75" customHeight="1" x14ac:dyDescent="0.25">
      <c r="A4806" s="87"/>
      <c r="B4806" s="87"/>
      <c r="C4806" s="87"/>
      <c r="D4806" s="87"/>
      <c r="E4806" s="87"/>
      <c r="F4806" s="87"/>
      <c r="G4806" s="87"/>
      <c r="J4806" s="87"/>
      <c r="K4806" s="215" t="s">
        <v>3217</v>
      </c>
      <c r="L4806" s="215">
        <f>+F4805*presup!$O$5</f>
        <v>269997.52219050005</v>
      </c>
      <c r="M4806" s="87"/>
      <c r="N4806" s="87"/>
    </row>
    <row r="4807" spans="1:15" ht="12.75" customHeight="1" x14ac:dyDescent="0.2">
      <c r="A4807" s="398" t="s">
        <v>919</v>
      </c>
      <c r="B4807" s="271"/>
      <c r="C4807" s="271"/>
      <c r="D4807" s="271"/>
      <c r="E4807" s="271"/>
      <c r="F4807" s="271"/>
      <c r="G4807" s="271"/>
      <c r="H4807" s="271"/>
      <c r="I4807" s="271"/>
      <c r="J4807" s="271"/>
      <c r="K4807" s="271"/>
      <c r="L4807" s="271"/>
      <c r="M4807" s="271"/>
      <c r="N4807" s="273"/>
    </row>
    <row r="4808" spans="1:15" ht="12.75" customHeight="1" x14ac:dyDescent="0.2">
      <c r="A4808" s="396" t="s">
        <v>76</v>
      </c>
      <c r="B4808" s="271"/>
      <c r="C4808" s="271"/>
      <c r="D4808" s="271"/>
      <c r="E4808" s="271"/>
      <c r="F4808" s="271"/>
      <c r="G4808" s="273"/>
      <c r="H4808" s="88" t="s">
        <v>77</v>
      </c>
      <c r="I4808" s="399" t="s">
        <v>920</v>
      </c>
      <c r="J4808" s="273"/>
      <c r="K4808" s="399" t="s">
        <v>453</v>
      </c>
      <c r="L4808" s="273"/>
      <c r="M4808" s="399" t="s">
        <v>921</v>
      </c>
      <c r="N4808" s="273"/>
    </row>
    <row r="4809" spans="1:15" ht="12.75" customHeight="1" x14ac:dyDescent="0.2">
      <c r="A4809" s="400"/>
      <c r="B4809" s="271"/>
      <c r="C4809" s="271"/>
      <c r="D4809" s="271"/>
      <c r="E4809" s="271"/>
      <c r="F4809" s="271"/>
      <c r="G4809" s="273"/>
      <c r="H4809" s="29" t="str">
        <f t="shared" ref="H4809:H4814" si="655">IF(A4809="","",VLOOKUP(A4809,AA_Materiales,7,FALSE))</f>
        <v/>
      </c>
      <c r="I4809" s="394" t="str">
        <f t="shared" ref="I4809:I4816" si="656">IF(A4809="","",VLOOKUP(A4809,AA_Materiales,8,FALSE))</f>
        <v/>
      </c>
      <c r="J4809" s="273"/>
      <c r="K4809" s="395"/>
      <c r="L4809" s="273"/>
      <c r="M4809" s="394" t="str">
        <f t="shared" ref="M4809:M4816" si="657">IF(A4809="","",I4809*K4809)</f>
        <v/>
      </c>
      <c r="N4809" s="273"/>
    </row>
    <row r="4810" spans="1:15" ht="12.75" customHeight="1" x14ac:dyDescent="0.2">
      <c r="A4810" s="400"/>
      <c r="B4810" s="271"/>
      <c r="C4810" s="271"/>
      <c r="D4810" s="271"/>
      <c r="E4810" s="271"/>
      <c r="F4810" s="271"/>
      <c r="G4810" s="273"/>
      <c r="H4810" s="29" t="str">
        <f t="shared" si="655"/>
        <v/>
      </c>
      <c r="I4810" s="394" t="str">
        <f t="shared" si="656"/>
        <v/>
      </c>
      <c r="J4810" s="273"/>
      <c r="K4810" s="395"/>
      <c r="L4810" s="273"/>
      <c r="M4810" s="394" t="str">
        <f t="shared" si="657"/>
        <v/>
      </c>
      <c r="N4810" s="273"/>
    </row>
    <row r="4811" spans="1:15" ht="12.75" customHeight="1" x14ac:dyDescent="0.2">
      <c r="A4811" s="400"/>
      <c r="B4811" s="271"/>
      <c r="C4811" s="271"/>
      <c r="D4811" s="271"/>
      <c r="E4811" s="271"/>
      <c r="F4811" s="271"/>
      <c r="G4811" s="273"/>
      <c r="H4811" s="29" t="str">
        <f t="shared" si="655"/>
        <v/>
      </c>
      <c r="I4811" s="394" t="str">
        <f t="shared" si="656"/>
        <v/>
      </c>
      <c r="J4811" s="273"/>
      <c r="K4811" s="395"/>
      <c r="L4811" s="273"/>
      <c r="M4811" s="394" t="str">
        <f t="shared" si="657"/>
        <v/>
      </c>
      <c r="N4811" s="273"/>
    </row>
    <row r="4812" spans="1:15" ht="12.75" customHeight="1" x14ac:dyDescent="0.2">
      <c r="A4812" s="400"/>
      <c r="B4812" s="271"/>
      <c r="C4812" s="271"/>
      <c r="D4812" s="271"/>
      <c r="E4812" s="271"/>
      <c r="F4812" s="271"/>
      <c r="G4812" s="273"/>
      <c r="H4812" s="29" t="str">
        <f t="shared" si="655"/>
        <v/>
      </c>
      <c r="I4812" s="394" t="str">
        <f t="shared" si="656"/>
        <v/>
      </c>
      <c r="J4812" s="273"/>
      <c r="K4812" s="395"/>
      <c r="L4812" s="273"/>
      <c r="M4812" s="394" t="str">
        <f t="shared" si="657"/>
        <v/>
      </c>
      <c r="N4812" s="273"/>
    </row>
    <row r="4813" spans="1:15" ht="12.75" customHeight="1" x14ac:dyDescent="0.2">
      <c r="A4813" s="400"/>
      <c r="B4813" s="271"/>
      <c r="C4813" s="271"/>
      <c r="D4813" s="271"/>
      <c r="E4813" s="271"/>
      <c r="F4813" s="271"/>
      <c r="G4813" s="273"/>
      <c r="H4813" s="29" t="str">
        <f t="shared" si="655"/>
        <v/>
      </c>
      <c r="I4813" s="394" t="str">
        <f t="shared" si="656"/>
        <v/>
      </c>
      <c r="J4813" s="273"/>
      <c r="K4813" s="395"/>
      <c r="L4813" s="273"/>
      <c r="M4813" s="394" t="str">
        <f t="shared" si="657"/>
        <v/>
      </c>
      <c r="N4813" s="273"/>
    </row>
    <row r="4814" spans="1:15" ht="12.75" customHeight="1" x14ac:dyDescent="0.2">
      <c r="A4814" s="400"/>
      <c r="B4814" s="271"/>
      <c r="C4814" s="271"/>
      <c r="D4814" s="271"/>
      <c r="E4814" s="271"/>
      <c r="F4814" s="271"/>
      <c r="G4814" s="273"/>
      <c r="H4814" s="29" t="str">
        <f t="shared" si="655"/>
        <v/>
      </c>
      <c r="I4814" s="394" t="str">
        <f t="shared" si="656"/>
        <v/>
      </c>
      <c r="J4814" s="273"/>
      <c r="K4814" s="395"/>
      <c r="L4814" s="273"/>
      <c r="M4814" s="394" t="str">
        <f t="shared" si="657"/>
        <v/>
      </c>
      <c r="N4814" s="273"/>
    </row>
    <row r="4815" spans="1:15" ht="12.75" customHeight="1" x14ac:dyDescent="0.2">
      <c r="A4815" s="400"/>
      <c r="B4815" s="271"/>
      <c r="C4815" s="271"/>
      <c r="D4815" s="271"/>
      <c r="E4815" s="271"/>
      <c r="F4815" s="271"/>
      <c r="G4815" s="273"/>
      <c r="H4815" s="29"/>
      <c r="I4815" s="394" t="str">
        <f t="shared" si="656"/>
        <v/>
      </c>
      <c r="J4815" s="273"/>
      <c r="K4815" s="395"/>
      <c r="L4815" s="273"/>
      <c r="M4815" s="394" t="str">
        <f t="shared" si="657"/>
        <v/>
      </c>
      <c r="N4815" s="273"/>
    </row>
    <row r="4816" spans="1:15" ht="12.75" customHeight="1" x14ac:dyDescent="0.2">
      <c r="A4816" s="400"/>
      <c r="B4816" s="271"/>
      <c r="C4816" s="271"/>
      <c r="D4816" s="271"/>
      <c r="E4816" s="271"/>
      <c r="F4816" s="271"/>
      <c r="G4816" s="273"/>
      <c r="H4816" s="29" t="str">
        <f>IF(A4816="","",VLOOKUP(A4816,AA_Materiales,7,FALSE))</f>
        <v/>
      </c>
      <c r="I4816" s="394" t="str">
        <f t="shared" si="656"/>
        <v/>
      </c>
      <c r="J4816" s="273"/>
      <c r="K4816" s="395"/>
      <c r="L4816" s="273"/>
      <c r="M4816" s="394" t="str">
        <f t="shared" si="657"/>
        <v/>
      </c>
      <c r="N4816" s="273"/>
    </row>
    <row r="4817" spans="1:14" ht="12.75" customHeight="1" x14ac:dyDescent="0.25">
      <c r="A4817" s="4"/>
      <c r="B4817" s="4"/>
      <c r="C4817" s="4"/>
      <c r="D4817" s="4"/>
      <c r="E4817" s="4"/>
      <c r="F4817" s="4"/>
      <c r="G4817" s="4"/>
      <c r="H4817" s="4"/>
      <c r="I4817" s="4"/>
      <c r="J4817" s="4"/>
      <c r="K4817" s="396" t="s">
        <v>444</v>
      </c>
      <c r="L4817" s="273"/>
      <c r="M4817" s="394">
        <f>SUM(M4809:N4816)</f>
        <v>0</v>
      </c>
      <c r="N4817" s="273"/>
    </row>
    <row r="4818" spans="1:14" ht="12.75" customHeight="1" x14ac:dyDescent="0.25">
      <c r="A4818" s="4"/>
      <c r="B4818" s="4"/>
      <c r="C4818" s="4"/>
      <c r="D4818" s="4"/>
      <c r="E4818" s="4"/>
      <c r="F4818" s="4"/>
      <c r="G4818" s="4"/>
      <c r="H4818" s="4"/>
      <c r="I4818" s="4"/>
      <c r="J4818" s="4"/>
      <c r="K4818" s="4"/>
      <c r="L4818" s="4"/>
      <c r="M4818" s="4"/>
      <c r="N4818" s="4"/>
    </row>
    <row r="4819" spans="1:14" ht="12.75" customHeight="1" x14ac:dyDescent="0.2">
      <c r="A4819" s="398" t="s">
        <v>926</v>
      </c>
      <c r="B4819" s="271"/>
      <c r="C4819" s="271"/>
      <c r="D4819" s="271"/>
      <c r="E4819" s="271"/>
      <c r="F4819" s="271"/>
      <c r="G4819" s="271"/>
      <c r="H4819" s="271"/>
      <c r="I4819" s="271"/>
      <c r="J4819" s="271"/>
      <c r="K4819" s="271"/>
      <c r="L4819" s="271"/>
      <c r="M4819" s="271"/>
      <c r="N4819" s="273"/>
    </row>
    <row r="4820" spans="1:14" ht="12.75" customHeight="1" x14ac:dyDescent="0.2">
      <c r="A4820" s="396" t="s">
        <v>76</v>
      </c>
      <c r="B4820" s="271"/>
      <c r="C4820" s="271"/>
      <c r="D4820" s="271"/>
      <c r="E4820" s="271"/>
      <c r="F4820" s="271"/>
      <c r="G4820" s="273"/>
      <c r="H4820" s="88" t="s">
        <v>77</v>
      </c>
      <c r="I4820" s="399" t="s">
        <v>920</v>
      </c>
      <c r="J4820" s="273"/>
      <c r="K4820" s="399" t="s">
        <v>453</v>
      </c>
      <c r="L4820" s="273"/>
      <c r="M4820" s="399" t="s">
        <v>921</v>
      </c>
      <c r="N4820" s="273"/>
    </row>
    <row r="4821" spans="1:14" ht="12.75" customHeight="1" x14ac:dyDescent="0.2">
      <c r="A4821" s="400" t="s">
        <v>1169</v>
      </c>
      <c r="B4821" s="271"/>
      <c r="C4821" s="271"/>
      <c r="D4821" s="271"/>
      <c r="E4821" s="271"/>
      <c r="F4821" s="271"/>
      <c r="G4821" s="273"/>
      <c r="H4821" s="29" t="str">
        <f>IF(A4821="","",VLOOKUP(A4821,AA_Equipos,7,FALSE))</f>
        <v>Dia</v>
      </c>
      <c r="I4821" s="394">
        <f>IF(A4821="","",VLOOKUP(A4821,AA_Equipos,8,FALSE))</f>
        <v>99306</v>
      </c>
      <c r="J4821" s="273"/>
      <c r="K4821" s="395">
        <v>0.2</v>
      </c>
      <c r="L4821" s="273"/>
      <c r="M4821" s="394">
        <f t="shared" ref="M4821:M4825" si="658">IF(A4821="","",I4821*K4821)</f>
        <v>19861.2</v>
      </c>
      <c r="N4821" s="273"/>
    </row>
    <row r="4822" spans="1:14" ht="12.75" customHeight="1" x14ac:dyDescent="0.2">
      <c r="A4822" s="403" t="s">
        <v>1170</v>
      </c>
      <c r="B4822" s="271"/>
      <c r="C4822" s="271"/>
      <c r="D4822" s="271"/>
      <c r="E4822" s="271"/>
      <c r="F4822" s="271"/>
      <c r="G4822" s="273"/>
      <c r="H4822" s="29" t="str">
        <f>IF(A4822="","",VLOOKUP(A4822,AA_Equipos,7,FALSE))</f>
        <v>Dia</v>
      </c>
      <c r="I4822" s="394">
        <f>IF(A4822="","",VLOOKUP(A4822,AA_Equipos,8,FALSE))</f>
        <v>414000</v>
      </c>
      <c r="J4822" s="273"/>
      <c r="K4822" s="402">
        <v>0.2</v>
      </c>
      <c r="L4822" s="273"/>
      <c r="M4822" s="394">
        <f t="shared" si="658"/>
        <v>82800</v>
      </c>
      <c r="N4822" s="273"/>
    </row>
    <row r="4823" spans="1:14" ht="12.75" customHeight="1" x14ac:dyDescent="0.2">
      <c r="A4823" s="400" t="s">
        <v>927</v>
      </c>
      <c r="B4823" s="271"/>
      <c r="C4823" s="271"/>
      <c r="D4823" s="271"/>
      <c r="E4823" s="271"/>
      <c r="F4823" s="271"/>
      <c r="G4823" s="273"/>
      <c r="H4823" s="29" t="str">
        <f>IF(A4823="","",VLOOKUP(A4823,AA_Equipos,7,FALSE))</f>
        <v>% M.O.</v>
      </c>
      <c r="I4823" s="394">
        <f>+M4844</f>
        <v>49375.38</v>
      </c>
      <c r="J4823" s="273"/>
      <c r="K4823" s="404">
        <v>0.05</v>
      </c>
      <c r="L4823" s="273"/>
      <c r="M4823" s="394">
        <f t="shared" si="658"/>
        <v>2468.7690000000002</v>
      </c>
      <c r="N4823" s="273"/>
    </row>
    <row r="4824" spans="1:14" ht="12.75" customHeight="1" x14ac:dyDescent="0.2">
      <c r="A4824" s="400"/>
      <c r="B4824" s="271"/>
      <c r="C4824" s="271"/>
      <c r="D4824" s="271"/>
      <c r="E4824" s="271"/>
      <c r="F4824" s="271"/>
      <c r="G4824" s="273"/>
      <c r="H4824" s="29" t="str">
        <f>IF(A4824="","",VLOOKUP(A4824,AA_Equipos,7,FALSE))</f>
        <v/>
      </c>
      <c r="I4824" s="394" t="str">
        <f>IF(A4824="","",VLOOKUP(A4824,AA_Equipos,8,FALSE))</f>
        <v/>
      </c>
      <c r="J4824" s="273"/>
      <c r="K4824" s="395"/>
      <c r="L4824" s="273"/>
      <c r="M4824" s="394" t="str">
        <f t="shared" si="658"/>
        <v/>
      </c>
      <c r="N4824" s="273"/>
    </row>
    <row r="4825" spans="1:14" ht="12.75" customHeight="1" x14ac:dyDescent="0.2">
      <c r="A4825" s="400"/>
      <c r="B4825" s="271"/>
      <c r="C4825" s="271"/>
      <c r="D4825" s="271"/>
      <c r="E4825" s="271"/>
      <c r="F4825" s="271"/>
      <c r="G4825" s="273"/>
      <c r="H4825" s="29" t="str">
        <f>IF(A4825="","",VLOOKUP(A4825,AA_Equipos,7,FALSE))</f>
        <v/>
      </c>
      <c r="I4825" s="394" t="str">
        <f>IF(A4825="","",VLOOKUP(A4825,AA_Equipos,8,FALSE))</f>
        <v/>
      </c>
      <c r="J4825" s="273"/>
      <c r="K4825" s="395"/>
      <c r="L4825" s="273"/>
      <c r="M4825" s="394" t="str">
        <f t="shared" si="658"/>
        <v/>
      </c>
      <c r="N4825" s="273"/>
    </row>
    <row r="4826" spans="1:14" ht="12.75" customHeight="1" x14ac:dyDescent="0.25">
      <c r="A4826" s="4"/>
      <c r="B4826" s="4"/>
      <c r="C4826" s="4"/>
      <c r="D4826" s="4"/>
      <c r="E4826" s="4"/>
      <c r="F4826" s="4"/>
      <c r="G4826" s="4"/>
      <c r="H4826" s="4"/>
      <c r="I4826" s="4"/>
      <c r="J4826" s="4"/>
      <c r="K4826" s="396" t="s">
        <v>444</v>
      </c>
      <c r="L4826" s="273"/>
      <c r="M4826" s="394">
        <f>SUM(M4821:N4825)</f>
        <v>105129.969</v>
      </c>
      <c r="N4826" s="273"/>
    </row>
    <row r="4827" spans="1:14" ht="12.75" customHeight="1" x14ac:dyDescent="0.25">
      <c r="A4827" s="4"/>
      <c r="B4827" s="4"/>
      <c r="C4827" s="4"/>
      <c r="D4827" s="4"/>
      <c r="E4827" s="4"/>
      <c r="F4827" s="4"/>
      <c r="G4827" s="4"/>
      <c r="H4827" s="4"/>
      <c r="I4827" s="4"/>
      <c r="J4827" s="4"/>
      <c r="K4827" s="4"/>
      <c r="L4827" s="4"/>
      <c r="M4827" s="4"/>
      <c r="N4827" s="4"/>
    </row>
    <row r="4828" spans="1:14" ht="12.75" customHeight="1" x14ac:dyDescent="0.2">
      <c r="A4828" s="398" t="s">
        <v>929</v>
      </c>
      <c r="B4828" s="271"/>
      <c r="C4828" s="271"/>
      <c r="D4828" s="271"/>
      <c r="E4828" s="271"/>
      <c r="F4828" s="271"/>
      <c r="G4828" s="271"/>
      <c r="H4828" s="271"/>
      <c r="I4828" s="271"/>
      <c r="J4828" s="271"/>
      <c r="K4828" s="271"/>
      <c r="L4828" s="271"/>
      <c r="M4828" s="271"/>
      <c r="N4828" s="273"/>
    </row>
    <row r="4829" spans="1:14" ht="12.75" customHeight="1" x14ac:dyDescent="0.2">
      <c r="A4829" s="396" t="s">
        <v>76</v>
      </c>
      <c r="B4829" s="271"/>
      <c r="C4829" s="271"/>
      <c r="D4829" s="271"/>
      <c r="E4829" s="271"/>
      <c r="F4829" s="271"/>
      <c r="G4829" s="273"/>
      <c r="H4829" s="88" t="s">
        <v>77</v>
      </c>
      <c r="I4829" s="399" t="s">
        <v>920</v>
      </c>
      <c r="J4829" s="273"/>
      <c r="K4829" s="399" t="s">
        <v>453</v>
      </c>
      <c r="L4829" s="273"/>
      <c r="M4829" s="399" t="s">
        <v>921</v>
      </c>
      <c r="N4829" s="273"/>
    </row>
    <row r="4830" spans="1:14" ht="12.75" customHeight="1" x14ac:dyDescent="0.2">
      <c r="A4830" s="400" t="s">
        <v>3174</v>
      </c>
      <c r="B4830" s="271"/>
      <c r="C4830" s="271"/>
      <c r="D4830" s="271"/>
      <c r="E4830" s="271"/>
      <c r="F4830" s="271"/>
      <c r="G4830" s="273"/>
      <c r="H4830" s="29" t="s">
        <v>24</v>
      </c>
      <c r="I4830" s="394">
        <f>+M4826</f>
        <v>105129.969</v>
      </c>
      <c r="J4830" s="273"/>
      <c r="K4830" s="404">
        <v>0.05</v>
      </c>
      <c r="L4830" s="273"/>
      <c r="M4830" s="394">
        <f t="shared" ref="M4830:M4834" si="659">IF(A4830="","",I4830*K4830)</f>
        <v>5256.49845</v>
      </c>
      <c r="N4830" s="273"/>
    </row>
    <row r="4831" spans="1:14" ht="12.75" customHeight="1" x14ac:dyDescent="0.2">
      <c r="A4831" s="403"/>
      <c r="B4831" s="271"/>
      <c r="C4831" s="271"/>
      <c r="D4831" s="271"/>
      <c r="E4831" s="271"/>
      <c r="F4831" s="271"/>
      <c r="G4831" s="273"/>
      <c r="H4831" s="29"/>
      <c r="I4831" s="394"/>
      <c r="J4831" s="273"/>
      <c r="K4831" s="404"/>
      <c r="L4831" s="273"/>
      <c r="M4831" s="394" t="str">
        <f t="shared" si="659"/>
        <v/>
      </c>
      <c r="N4831" s="273"/>
    </row>
    <row r="4832" spans="1:14" ht="12.75" customHeight="1" x14ac:dyDescent="0.2">
      <c r="A4832" s="400"/>
      <c r="B4832" s="271"/>
      <c r="C4832" s="271"/>
      <c r="D4832" s="271"/>
      <c r="E4832" s="271"/>
      <c r="F4832" s="271"/>
      <c r="G4832" s="273"/>
      <c r="H4832" s="29"/>
      <c r="I4832" s="394"/>
      <c r="J4832" s="273"/>
      <c r="K4832" s="395"/>
      <c r="L4832" s="273"/>
      <c r="M4832" s="394" t="str">
        <f t="shared" si="659"/>
        <v/>
      </c>
      <c r="N4832" s="273"/>
    </row>
    <row r="4833" spans="1:15" ht="12.75" customHeight="1" x14ac:dyDescent="0.2">
      <c r="A4833" s="400"/>
      <c r="B4833" s="271"/>
      <c r="C4833" s="271"/>
      <c r="D4833" s="271"/>
      <c r="E4833" s="271"/>
      <c r="F4833" s="271"/>
      <c r="G4833" s="273"/>
      <c r="H4833" s="29"/>
      <c r="I4833" s="394"/>
      <c r="J4833" s="273"/>
      <c r="K4833" s="395"/>
      <c r="L4833" s="273"/>
      <c r="M4833" s="394" t="str">
        <f t="shared" si="659"/>
        <v/>
      </c>
      <c r="N4833" s="273"/>
    </row>
    <row r="4834" spans="1:15" ht="12.75" customHeight="1" x14ac:dyDescent="0.2">
      <c r="A4834" s="400"/>
      <c r="B4834" s="271"/>
      <c r="C4834" s="271"/>
      <c r="D4834" s="271"/>
      <c r="E4834" s="271"/>
      <c r="F4834" s="271"/>
      <c r="G4834" s="273"/>
      <c r="H4834" s="29"/>
      <c r="I4834" s="394"/>
      <c r="J4834" s="273"/>
      <c r="K4834" s="395"/>
      <c r="L4834" s="273"/>
      <c r="M4834" s="394" t="str">
        <f t="shared" si="659"/>
        <v/>
      </c>
      <c r="N4834" s="273"/>
    </row>
    <row r="4835" spans="1:15" ht="12.75" customHeight="1" x14ac:dyDescent="0.25">
      <c r="A4835" s="4"/>
      <c r="B4835" s="4"/>
      <c r="C4835" s="4"/>
      <c r="D4835" s="4"/>
      <c r="E4835" s="4"/>
      <c r="F4835" s="4"/>
      <c r="G4835" s="4"/>
      <c r="H4835" s="4"/>
      <c r="I4835" s="4"/>
      <c r="J4835" s="4"/>
      <c r="K4835" s="396" t="s">
        <v>444</v>
      </c>
      <c r="L4835" s="273"/>
      <c r="M4835" s="394">
        <f>SUM(M4830:N4834)</f>
        <v>5256.49845</v>
      </c>
      <c r="N4835" s="273"/>
    </row>
    <row r="4836" spans="1:15" ht="12.75" customHeight="1" x14ac:dyDescent="0.25">
      <c r="A4836" s="4"/>
      <c r="B4836" s="4"/>
      <c r="C4836" s="4"/>
      <c r="D4836" s="4"/>
      <c r="E4836" s="4"/>
      <c r="F4836" s="4"/>
      <c r="G4836" s="4"/>
      <c r="H4836" s="4"/>
      <c r="I4836" s="4"/>
      <c r="J4836" s="4"/>
      <c r="K4836" s="4"/>
      <c r="L4836" s="4"/>
      <c r="M4836" s="4"/>
      <c r="N4836" s="4"/>
    </row>
    <row r="4837" spans="1:15" ht="12.75" customHeight="1" x14ac:dyDescent="0.2">
      <c r="A4837" s="398" t="s">
        <v>931</v>
      </c>
      <c r="B4837" s="271"/>
      <c r="C4837" s="271"/>
      <c r="D4837" s="271"/>
      <c r="E4837" s="271"/>
      <c r="F4837" s="271"/>
      <c r="G4837" s="271"/>
      <c r="H4837" s="271"/>
      <c r="I4837" s="271"/>
      <c r="J4837" s="271"/>
      <c r="K4837" s="271"/>
      <c r="L4837" s="271"/>
      <c r="M4837" s="271"/>
      <c r="N4837" s="273"/>
    </row>
    <row r="4838" spans="1:15" ht="12.75" customHeight="1" x14ac:dyDescent="0.2">
      <c r="A4838" s="396" t="s">
        <v>76</v>
      </c>
      <c r="B4838" s="271"/>
      <c r="C4838" s="271"/>
      <c r="D4838" s="271"/>
      <c r="E4838" s="271"/>
      <c r="F4838" s="271"/>
      <c r="G4838" s="273"/>
      <c r="H4838" s="88" t="s">
        <v>77</v>
      </c>
      <c r="I4838" s="399" t="s">
        <v>920</v>
      </c>
      <c r="J4838" s="273"/>
      <c r="K4838" s="90" t="s">
        <v>514</v>
      </c>
      <c r="L4838" s="91" t="s">
        <v>932</v>
      </c>
      <c r="M4838" s="399" t="s">
        <v>921</v>
      </c>
      <c r="N4838" s="273"/>
    </row>
    <row r="4839" spans="1:15" ht="12.75" customHeight="1" x14ac:dyDescent="0.25">
      <c r="A4839" s="393" t="s">
        <v>1112</v>
      </c>
      <c r="B4839" s="271"/>
      <c r="C4839" s="271"/>
      <c r="D4839" s="271"/>
      <c r="E4839" s="271"/>
      <c r="F4839" s="271"/>
      <c r="G4839" s="273"/>
      <c r="H4839" s="29" t="str">
        <f>IF(A4839="","",VLOOKUP(A4839,AA_Cuadrillas,4,FALSE))</f>
        <v>Cuadrilla</v>
      </c>
      <c r="I4839" s="394">
        <f>IF(A4839="","",VLOOKUP(A4839,AA_Cuadrillas,5,FALSE))</f>
        <v>210108</v>
      </c>
      <c r="J4839" s="273"/>
      <c r="K4839" s="9">
        <f>IF(A4839="","",F.P!$I$2)</f>
        <v>1.88</v>
      </c>
      <c r="L4839" s="93">
        <v>0.125</v>
      </c>
      <c r="M4839" s="394">
        <f t="shared" ref="M4839:M4843" si="660">IF(A4839="","",I4839*K4839*L4839)</f>
        <v>49375.38</v>
      </c>
      <c r="N4839" s="273"/>
    </row>
    <row r="4840" spans="1:15" ht="12.75" customHeight="1" x14ac:dyDescent="0.25">
      <c r="A4840" s="393"/>
      <c r="B4840" s="271"/>
      <c r="C4840" s="271"/>
      <c r="D4840" s="271"/>
      <c r="E4840" s="271"/>
      <c r="F4840" s="271"/>
      <c r="G4840" s="273"/>
      <c r="H4840" s="29" t="str">
        <f>IF(A4840="","",VLOOKUP(A4840,AA_Cuadrillas,4,FALSE))</f>
        <v/>
      </c>
      <c r="I4840" s="394" t="str">
        <f>IF(A4840="","",VLOOKUP(A4840,AA_Cuadrillas,5,FALSE))</f>
        <v/>
      </c>
      <c r="J4840" s="273"/>
      <c r="K4840" s="9" t="str">
        <f>IF(A4840="","",F.P!$I$2)</f>
        <v/>
      </c>
      <c r="L4840" s="9"/>
      <c r="M4840" s="394" t="str">
        <f t="shared" si="660"/>
        <v/>
      </c>
      <c r="N4840" s="273"/>
    </row>
    <row r="4841" spans="1:15" ht="12.75" customHeight="1" x14ac:dyDescent="0.25">
      <c r="A4841" s="393"/>
      <c r="B4841" s="271"/>
      <c r="C4841" s="271"/>
      <c r="D4841" s="271"/>
      <c r="E4841" s="271"/>
      <c r="F4841" s="271"/>
      <c r="G4841" s="273"/>
      <c r="H4841" s="29" t="str">
        <f>IF(A4841="","",VLOOKUP(A4841,AA_Cuadrillas,4,FALSE))</f>
        <v/>
      </c>
      <c r="I4841" s="394" t="str">
        <f>IF(A4841="","",VLOOKUP(A4841,AA_Cuadrillas,5,FALSE))</f>
        <v/>
      </c>
      <c r="J4841" s="273"/>
      <c r="K4841" s="9" t="str">
        <f>IF(A4841="","",F.P!$I$2)</f>
        <v/>
      </c>
      <c r="L4841" s="37"/>
      <c r="M4841" s="394" t="str">
        <f t="shared" si="660"/>
        <v/>
      </c>
      <c r="N4841" s="273"/>
    </row>
    <row r="4842" spans="1:15" ht="12.75" customHeight="1" x14ac:dyDescent="0.25">
      <c r="A4842" s="393"/>
      <c r="B4842" s="271"/>
      <c r="C4842" s="271"/>
      <c r="D4842" s="271"/>
      <c r="E4842" s="271"/>
      <c r="F4842" s="271"/>
      <c r="G4842" s="273"/>
      <c r="H4842" s="29" t="str">
        <f>IF(A4842="","",VLOOKUP(A4842,AA_Cuadrillas,4,FALSE))</f>
        <v/>
      </c>
      <c r="I4842" s="394" t="str">
        <f>IF(A4842="","",VLOOKUP(A4842,AA_Cuadrillas,5,FALSE))</f>
        <v/>
      </c>
      <c r="J4842" s="273"/>
      <c r="K4842" s="9" t="str">
        <f>IF(A4842="","",F.P!$I$2)</f>
        <v/>
      </c>
      <c r="L4842" s="37"/>
      <c r="M4842" s="394" t="str">
        <f t="shared" si="660"/>
        <v/>
      </c>
      <c r="N4842" s="273"/>
    </row>
    <row r="4843" spans="1:15" ht="12.75" customHeight="1" x14ac:dyDescent="0.25">
      <c r="A4843" s="393"/>
      <c r="B4843" s="271"/>
      <c r="C4843" s="271"/>
      <c r="D4843" s="271"/>
      <c r="E4843" s="271"/>
      <c r="F4843" s="271"/>
      <c r="G4843" s="273"/>
      <c r="H4843" s="29" t="str">
        <f>IF(A4843="","",VLOOKUP(A4843,AA_Cuadrillas,4,FALSE))</f>
        <v/>
      </c>
      <c r="I4843" s="394" t="str">
        <f>IF(A4843="","",VLOOKUP(A4843,AA_Cuadrillas,5,FALSE))</f>
        <v/>
      </c>
      <c r="J4843" s="273"/>
      <c r="K4843" s="9" t="str">
        <f>IF(A4843="","",F.P!$I$2)</f>
        <v/>
      </c>
      <c r="L4843" s="37"/>
      <c r="M4843" s="394" t="str">
        <f t="shared" si="660"/>
        <v/>
      </c>
      <c r="N4843" s="273"/>
    </row>
    <row r="4844" spans="1:15" ht="12.75" customHeight="1" x14ac:dyDescent="0.25">
      <c r="A4844" s="4"/>
      <c r="B4844" s="4"/>
      <c r="C4844" s="4"/>
      <c r="D4844" s="4"/>
      <c r="E4844" s="4"/>
      <c r="F4844" s="4"/>
      <c r="G4844" s="4"/>
      <c r="H4844" s="4"/>
      <c r="I4844" s="4"/>
      <c r="J4844" s="4"/>
      <c r="K4844" s="396" t="s">
        <v>444</v>
      </c>
      <c r="L4844" s="273"/>
      <c r="M4844" s="394">
        <f>SUM(M4839:N4843)</f>
        <v>49375.38</v>
      </c>
      <c r="N4844" s="273"/>
    </row>
    <row r="4845" spans="1:15" ht="12.75" customHeight="1" x14ac:dyDescent="0.2"/>
    <row r="4846" spans="1:15" ht="12.75" customHeight="1" x14ac:dyDescent="0.2">
      <c r="A4846" s="407" t="s">
        <v>1204</v>
      </c>
      <c r="B4846" s="275"/>
      <c r="C4846" s="275"/>
      <c r="D4846" s="275"/>
      <c r="E4846" s="275"/>
      <c r="F4846" s="275"/>
      <c r="G4846" s="275"/>
      <c r="H4846" s="275"/>
      <c r="I4846" s="275"/>
      <c r="J4846" s="275"/>
      <c r="K4846" s="275"/>
      <c r="L4846" s="275"/>
      <c r="M4846" s="275"/>
      <c r="N4846" s="276"/>
      <c r="O4846" s="166"/>
    </row>
    <row r="4847" spans="1:15" ht="12.75" customHeight="1" x14ac:dyDescent="0.2">
      <c r="A4847" s="277"/>
      <c r="B4847" s="278"/>
      <c r="C4847" s="278"/>
      <c r="D4847" s="278"/>
      <c r="E4847" s="278"/>
      <c r="F4847" s="278"/>
      <c r="G4847" s="278"/>
      <c r="H4847" s="278"/>
      <c r="I4847" s="278"/>
      <c r="J4847" s="278"/>
      <c r="K4847" s="278"/>
      <c r="L4847" s="278"/>
      <c r="M4847" s="278"/>
      <c r="N4847" s="279"/>
      <c r="O4847" s="166"/>
    </row>
    <row r="4848" spans="1:15" ht="12.75" customHeight="1" x14ac:dyDescent="0.2">
      <c r="A4848" s="75"/>
      <c r="B4848" s="75"/>
      <c r="C4848" s="75"/>
      <c r="D4848" s="75"/>
      <c r="E4848" s="75"/>
      <c r="F4848" s="75"/>
      <c r="G4848" s="75"/>
      <c r="H4848" s="75"/>
      <c r="I4848" s="75"/>
      <c r="J4848" s="75"/>
      <c r="K4848" s="75"/>
      <c r="L4848" s="75"/>
      <c r="M4848" s="75"/>
      <c r="N4848" s="75"/>
    </row>
    <row r="4849" spans="1:14" ht="12.75" customHeight="1" x14ac:dyDescent="0.3">
      <c r="A4849" s="79" t="s">
        <v>727</v>
      </c>
      <c r="B4849" s="80" t="str">
        <f>A4846</f>
        <v>SUMINISTRO E INSTALACION DE TEE PVC  Ø3" (INCLUYE MATERIALES, HERRAMIENTAS Y MANO DE OBRA)</v>
      </c>
      <c r="C4849" s="81" t="s">
        <v>916</v>
      </c>
      <c r="D4849" s="82" t="s">
        <v>999</v>
      </c>
      <c r="E4849" s="83" t="s">
        <v>445</v>
      </c>
      <c r="F4849" s="234">
        <f>(H4849+J4849+L4849+N4849)*1.3</f>
        <v>127339.40276000001</v>
      </c>
      <c r="G4849" s="83" t="s">
        <v>607</v>
      </c>
      <c r="H4849" s="86">
        <f>M4870</f>
        <v>1350.4401538461541</v>
      </c>
      <c r="I4849" s="83" t="s">
        <v>918</v>
      </c>
      <c r="J4849" s="86">
        <f>M4861</f>
        <v>66215.83</v>
      </c>
      <c r="K4849" s="83" t="s">
        <v>609</v>
      </c>
      <c r="L4849" s="86">
        <f>M4879</f>
        <v>3378.3135076923081</v>
      </c>
      <c r="M4849" s="83" t="s">
        <v>610</v>
      </c>
      <c r="N4849" s="86">
        <f>M4888</f>
        <v>27008.803076923079</v>
      </c>
    </row>
    <row r="4850" spans="1:14" ht="12.75" customHeight="1" x14ac:dyDescent="0.25">
      <c r="A4850" s="87"/>
      <c r="B4850" s="87"/>
      <c r="C4850" s="87"/>
      <c r="D4850" s="87"/>
      <c r="E4850" s="87"/>
      <c r="F4850" s="87"/>
      <c r="G4850" s="87"/>
      <c r="J4850" s="87"/>
      <c r="K4850" s="215" t="s">
        <v>3217</v>
      </c>
      <c r="L4850" s="215">
        <f>+F4849*presup!$O$5</f>
        <v>165541.22358800002</v>
      </c>
      <c r="M4850" s="87"/>
      <c r="N4850" s="87"/>
    </row>
    <row r="4851" spans="1:14" ht="12.75" customHeight="1" x14ac:dyDescent="0.2">
      <c r="A4851" s="398" t="s">
        <v>919</v>
      </c>
      <c r="B4851" s="271"/>
      <c r="C4851" s="271"/>
      <c r="D4851" s="271"/>
      <c r="E4851" s="271"/>
      <c r="F4851" s="271"/>
      <c r="G4851" s="271"/>
      <c r="H4851" s="271"/>
      <c r="I4851" s="271"/>
      <c r="J4851" s="271"/>
      <c r="K4851" s="271"/>
      <c r="L4851" s="271"/>
      <c r="M4851" s="271"/>
      <c r="N4851" s="273"/>
    </row>
    <row r="4852" spans="1:14" ht="12.75" customHeight="1" x14ac:dyDescent="0.2">
      <c r="A4852" s="396" t="s">
        <v>76</v>
      </c>
      <c r="B4852" s="271"/>
      <c r="C4852" s="271"/>
      <c r="D4852" s="271"/>
      <c r="E4852" s="271"/>
      <c r="F4852" s="271"/>
      <c r="G4852" s="273"/>
      <c r="H4852" s="88" t="s">
        <v>77</v>
      </c>
      <c r="I4852" s="399" t="s">
        <v>920</v>
      </c>
      <c r="J4852" s="273"/>
      <c r="K4852" s="399" t="s">
        <v>453</v>
      </c>
      <c r="L4852" s="273"/>
      <c r="M4852" s="399" t="s">
        <v>921</v>
      </c>
      <c r="N4852" s="273"/>
    </row>
    <row r="4853" spans="1:14" ht="12.75" customHeight="1" x14ac:dyDescent="0.2">
      <c r="A4853" s="400" t="s">
        <v>984</v>
      </c>
      <c r="B4853" s="271"/>
      <c r="C4853" s="271"/>
      <c r="D4853" s="271"/>
      <c r="E4853" s="271"/>
      <c r="F4853" s="271"/>
      <c r="G4853" s="273"/>
      <c r="H4853" s="29" t="str">
        <f t="shared" ref="H4853:H4858" si="661">IF(A4853="","",VLOOKUP(A4853,AA_Materiales,7,FALSE))</f>
        <v>Galón</v>
      </c>
      <c r="I4853" s="394">
        <f t="shared" ref="I4853:I4860" si="662">IF(A4853="","",VLOOKUP(A4853,AA_Materiales,8,FALSE))</f>
        <v>80900</v>
      </c>
      <c r="J4853" s="273"/>
      <c r="K4853" s="395">
        <v>0.03</v>
      </c>
      <c r="L4853" s="273"/>
      <c r="M4853" s="394">
        <f t="shared" ref="M4853:M4860" si="663">IF(A4853="","",I4853*K4853)</f>
        <v>2427</v>
      </c>
      <c r="N4853" s="273"/>
    </row>
    <row r="4854" spans="1:14" ht="12.75" customHeight="1" x14ac:dyDescent="0.2">
      <c r="A4854" s="400" t="s">
        <v>985</v>
      </c>
      <c r="B4854" s="271"/>
      <c r="C4854" s="271"/>
      <c r="D4854" s="271"/>
      <c r="E4854" s="271"/>
      <c r="F4854" s="271"/>
      <c r="G4854" s="273"/>
      <c r="H4854" s="29" t="str">
        <f t="shared" si="661"/>
        <v>Galón</v>
      </c>
      <c r="I4854" s="394">
        <f t="shared" si="662"/>
        <v>47200</v>
      </c>
      <c r="J4854" s="273"/>
      <c r="K4854" s="395">
        <v>0.03</v>
      </c>
      <c r="L4854" s="273"/>
      <c r="M4854" s="394">
        <f t="shared" si="663"/>
        <v>1416</v>
      </c>
      <c r="N4854" s="273"/>
    </row>
    <row r="4855" spans="1:14" ht="12.75" customHeight="1" x14ac:dyDescent="0.2">
      <c r="A4855" s="400" t="s">
        <v>1205</v>
      </c>
      <c r="B4855" s="271"/>
      <c r="C4855" s="271"/>
      <c r="D4855" s="271"/>
      <c r="E4855" s="271"/>
      <c r="F4855" s="271"/>
      <c r="G4855" s="273"/>
      <c r="H4855" s="29" t="str">
        <f t="shared" si="661"/>
        <v>Unidad</v>
      </c>
      <c r="I4855" s="394">
        <f t="shared" si="662"/>
        <v>62372.83</v>
      </c>
      <c r="J4855" s="273"/>
      <c r="K4855" s="395">
        <v>1</v>
      </c>
      <c r="L4855" s="273"/>
      <c r="M4855" s="394">
        <f t="shared" si="663"/>
        <v>62372.83</v>
      </c>
      <c r="N4855" s="273"/>
    </row>
    <row r="4856" spans="1:14" ht="12.75" customHeight="1" x14ac:dyDescent="0.2">
      <c r="A4856" s="400"/>
      <c r="B4856" s="271"/>
      <c r="C4856" s="271"/>
      <c r="D4856" s="271"/>
      <c r="E4856" s="271"/>
      <c r="F4856" s="271"/>
      <c r="G4856" s="273"/>
      <c r="H4856" s="29" t="str">
        <f t="shared" si="661"/>
        <v/>
      </c>
      <c r="I4856" s="394" t="str">
        <f t="shared" si="662"/>
        <v/>
      </c>
      <c r="J4856" s="273"/>
      <c r="K4856" s="395"/>
      <c r="L4856" s="273"/>
      <c r="M4856" s="394" t="str">
        <f t="shared" si="663"/>
        <v/>
      </c>
      <c r="N4856" s="273"/>
    </row>
    <row r="4857" spans="1:14" ht="12.75" customHeight="1" x14ac:dyDescent="0.2">
      <c r="A4857" s="400"/>
      <c r="B4857" s="271"/>
      <c r="C4857" s="271"/>
      <c r="D4857" s="271"/>
      <c r="E4857" s="271"/>
      <c r="F4857" s="271"/>
      <c r="G4857" s="273"/>
      <c r="H4857" s="29" t="str">
        <f t="shared" si="661"/>
        <v/>
      </c>
      <c r="I4857" s="394" t="str">
        <f t="shared" si="662"/>
        <v/>
      </c>
      <c r="J4857" s="273"/>
      <c r="K4857" s="395"/>
      <c r="L4857" s="273"/>
      <c r="M4857" s="394" t="str">
        <f t="shared" si="663"/>
        <v/>
      </c>
      <c r="N4857" s="273"/>
    </row>
    <row r="4858" spans="1:14" ht="12.75" customHeight="1" x14ac:dyDescent="0.2">
      <c r="A4858" s="400"/>
      <c r="B4858" s="271"/>
      <c r="C4858" s="271"/>
      <c r="D4858" s="271"/>
      <c r="E4858" s="271"/>
      <c r="F4858" s="271"/>
      <c r="G4858" s="273"/>
      <c r="H4858" s="29" t="str">
        <f t="shared" si="661"/>
        <v/>
      </c>
      <c r="I4858" s="394" t="str">
        <f t="shared" si="662"/>
        <v/>
      </c>
      <c r="J4858" s="273"/>
      <c r="K4858" s="395"/>
      <c r="L4858" s="273"/>
      <c r="M4858" s="394" t="str">
        <f t="shared" si="663"/>
        <v/>
      </c>
      <c r="N4858" s="273"/>
    </row>
    <row r="4859" spans="1:14" ht="12.75" customHeight="1" x14ac:dyDescent="0.2">
      <c r="A4859" s="400"/>
      <c r="B4859" s="271"/>
      <c r="C4859" s="271"/>
      <c r="D4859" s="271"/>
      <c r="E4859" s="271"/>
      <c r="F4859" s="271"/>
      <c r="G4859" s="273"/>
      <c r="H4859" s="29"/>
      <c r="I4859" s="394" t="str">
        <f t="shared" si="662"/>
        <v/>
      </c>
      <c r="J4859" s="273"/>
      <c r="K4859" s="395"/>
      <c r="L4859" s="273"/>
      <c r="M4859" s="394" t="str">
        <f t="shared" si="663"/>
        <v/>
      </c>
      <c r="N4859" s="273"/>
    </row>
    <row r="4860" spans="1:14" ht="12.75" customHeight="1" x14ac:dyDescent="0.2">
      <c r="A4860" s="400"/>
      <c r="B4860" s="271"/>
      <c r="C4860" s="271"/>
      <c r="D4860" s="271"/>
      <c r="E4860" s="271"/>
      <c r="F4860" s="271"/>
      <c r="G4860" s="273"/>
      <c r="H4860" s="29" t="str">
        <f>IF(A4860="","",VLOOKUP(A4860,AA_Materiales,7,FALSE))</f>
        <v/>
      </c>
      <c r="I4860" s="394" t="str">
        <f t="shared" si="662"/>
        <v/>
      </c>
      <c r="J4860" s="273"/>
      <c r="K4860" s="395"/>
      <c r="L4860" s="273"/>
      <c r="M4860" s="394" t="str">
        <f t="shared" si="663"/>
        <v/>
      </c>
      <c r="N4860" s="273"/>
    </row>
    <row r="4861" spans="1:14" ht="12.75" customHeight="1" x14ac:dyDescent="0.25">
      <c r="A4861" s="4"/>
      <c r="B4861" s="4"/>
      <c r="C4861" s="4"/>
      <c r="D4861" s="4"/>
      <c r="E4861" s="4"/>
      <c r="F4861" s="4"/>
      <c r="G4861" s="4"/>
      <c r="H4861" s="4"/>
      <c r="I4861" s="4"/>
      <c r="J4861" s="4"/>
      <c r="K4861" s="396" t="s">
        <v>444</v>
      </c>
      <c r="L4861" s="273"/>
      <c r="M4861" s="394">
        <f>SUM(M4853:N4860)</f>
        <v>66215.83</v>
      </c>
      <c r="N4861" s="273"/>
    </row>
    <row r="4862" spans="1:14" ht="12.75" customHeight="1" x14ac:dyDescent="0.25">
      <c r="A4862" s="4"/>
      <c r="B4862" s="4"/>
      <c r="C4862" s="4"/>
      <c r="D4862" s="4"/>
      <c r="E4862" s="4"/>
      <c r="F4862" s="4"/>
      <c r="G4862" s="4"/>
      <c r="H4862" s="4"/>
      <c r="I4862" s="4"/>
      <c r="J4862" s="4"/>
      <c r="K4862" s="4"/>
      <c r="L4862" s="4"/>
      <c r="M4862" s="4"/>
      <c r="N4862" s="4"/>
    </row>
    <row r="4863" spans="1:14" ht="12.75" customHeight="1" x14ac:dyDescent="0.2">
      <c r="A4863" s="398" t="s">
        <v>926</v>
      </c>
      <c r="B4863" s="271"/>
      <c r="C4863" s="271"/>
      <c r="D4863" s="271"/>
      <c r="E4863" s="271"/>
      <c r="F4863" s="271"/>
      <c r="G4863" s="271"/>
      <c r="H4863" s="271"/>
      <c r="I4863" s="271"/>
      <c r="J4863" s="271"/>
      <c r="K4863" s="271"/>
      <c r="L4863" s="271"/>
      <c r="M4863" s="271"/>
      <c r="N4863" s="273"/>
    </row>
    <row r="4864" spans="1:14" ht="12.75" customHeight="1" x14ac:dyDescent="0.2">
      <c r="A4864" s="396" t="s">
        <v>76</v>
      </c>
      <c r="B4864" s="271"/>
      <c r="C4864" s="271"/>
      <c r="D4864" s="271"/>
      <c r="E4864" s="271"/>
      <c r="F4864" s="271"/>
      <c r="G4864" s="273"/>
      <c r="H4864" s="88" t="s">
        <v>77</v>
      </c>
      <c r="I4864" s="399" t="s">
        <v>920</v>
      </c>
      <c r="J4864" s="273"/>
      <c r="K4864" s="399" t="s">
        <v>453</v>
      </c>
      <c r="L4864" s="273"/>
      <c r="M4864" s="399" t="s">
        <v>921</v>
      </c>
      <c r="N4864" s="273"/>
    </row>
    <row r="4865" spans="1:14" ht="12.75" customHeight="1" x14ac:dyDescent="0.2">
      <c r="A4865" s="400" t="s">
        <v>927</v>
      </c>
      <c r="B4865" s="271"/>
      <c r="C4865" s="271"/>
      <c r="D4865" s="271"/>
      <c r="E4865" s="271"/>
      <c r="F4865" s="271"/>
      <c r="G4865" s="273"/>
      <c r="H4865" s="29" t="str">
        <f>IF(A4865="","",VLOOKUP(A4865,AA_Equipos,7,FALSE))</f>
        <v>% M.O.</v>
      </c>
      <c r="I4865" s="394">
        <f>+M4888</f>
        <v>27008.803076923079</v>
      </c>
      <c r="J4865" s="273"/>
      <c r="K4865" s="404">
        <v>0.05</v>
      </c>
      <c r="L4865" s="273"/>
      <c r="M4865" s="394">
        <f t="shared" ref="M4865:M4869" si="664">IF(A4865="","",I4865*K4865)</f>
        <v>1350.4401538461541</v>
      </c>
      <c r="N4865" s="273"/>
    </row>
    <row r="4866" spans="1:14" ht="12.75" customHeight="1" x14ac:dyDescent="0.2">
      <c r="A4866" s="403"/>
      <c r="B4866" s="271"/>
      <c r="C4866" s="271"/>
      <c r="D4866" s="271"/>
      <c r="E4866" s="271"/>
      <c r="F4866" s="271"/>
      <c r="G4866" s="273"/>
      <c r="H4866" s="29" t="str">
        <f>IF(A4866="","",VLOOKUP(A4866,AA_Equipos,7,FALSE))</f>
        <v/>
      </c>
      <c r="I4866" s="394" t="str">
        <f>IF(A4866="","",VLOOKUP(A4866,AA_Equipos,8,FALSE))</f>
        <v/>
      </c>
      <c r="J4866" s="273"/>
      <c r="K4866" s="402"/>
      <c r="L4866" s="273"/>
      <c r="M4866" s="394" t="str">
        <f t="shared" si="664"/>
        <v/>
      </c>
      <c r="N4866" s="273"/>
    </row>
    <row r="4867" spans="1:14" ht="12.75" customHeight="1" x14ac:dyDescent="0.2">
      <c r="A4867" s="400"/>
      <c r="B4867" s="271"/>
      <c r="C4867" s="271"/>
      <c r="D4867" s="271"/>
      <c r="E4867" s="271"/>
      <c r="F4867" s="271"/>
      <c r="G4867" s="273"/>
      <c r="H4867" s="29" t="str">
        <f>IF(A4867="","",VLOOKUP(A4867,AA_Equipos,7,FALSE))</f>
        <v/>
      </c>
      <c r="I4867" s="394"/>
      <c r="J4867" s="273"/>
      <c r="K4867" s="404"/>
      <c r="L4867" s="273"/>
      <c r="M4867" s="394" t="str">
        <f t="shared" si="664"/>
        <v/>
      </c>
      <c r="N4867" s="273"/>
    </row>
    <row r="4868" spans="1:14" ht="12.75" customHeight="1" x14ac:dyDescent="0.2">
      <c r="A4868" s="400"/>
      <c r="B4868" s="271"/>
      <c r="C4868" s="271"/>
      <c r="D4868" s="271"/>
      <c r="E4868" s="271"/>
      <c r="F4868" s="271"/>
      <c r="G4868" s="273"/>
      <c r="H4868" s="29" t="str">
        <f>IF(A4868="","",VLOOKUP(A4868,AA_Equipos,7,FALSE))</f>
        <v/>
      </c>
      <c r="I4868" s="394" t="str">
        <f>IF(A4868="","",VLOOKUP(A4868,AA_Equipos,8,FALSE))</f>
        <v/>
      </c>
      <c r="J4868" s="273"/>
      <c r="K4868" s="395"/>
      <c r="L4868" s="273"/>
      <c r="M4868" s="394" t="str">
        <f t="shared" si="664"/>
        <v/>
      </c>
      <c r="N4868" s="273"/>
    </row>
    <row r="4869" spans="1:14" ht="12.75" customHeight="1" x14ac:dyDescent="0.2">
      <c r="A4869" s="400"/>
      <c r="B4869" s="271"/>
      <c r="C4869" s="271"/>
      <c r="D4869" s="271"/>
      <c r="E4869" s="271"/>
      <c r="F4869" s="271"/>
      <c r="G4869" s="273"/>
      <c r="H4869" s="29" t="str">
        <f>IF(A4869="","",VLOOKUP(A4869,AA_Equipos,7,FALSE))</f>
        <v/>
      </c>
      <c r="I4869" s="394" t="str">
        <f>IF(A4869="","",VLOOKUP(A4869,AA_Equipos,8,FALSE))</f>
        <v/>
      </c>
      <c r="J4869" s="273"/>
      <c r="K4869" s="395"/>
      <c r="L4869" s="273"/>
      <c r="M4869" s="394" t="str">
        <f t="shared" si="664"/>
        <v/>
      </c>
      <c r="N4869" s="273"/>
    </row>
    <row r="4870" spans="1:14" ht="12.75" customHeight="1" x14ac:dyDescent="0.25">
      <c r="A4870" s="4"/>
      <c r="B4870" s="4"/>
      <c r="C4870" s="4"/>
      <c r="D4870" s="4"/>
      <c r="E4870" s="4"/>
      <c r="F4870" s="4"/>
      <c r="G4870" s="4"/>
      <c r="H4870" s="4"/>
      <c r="I4870" s="4"/>
      <c r="J4870" s="4"/>
      <c r="K4870" s="396" t="s">
        <v>444</v>
      </c>
      <c r="L4870" s="273"/>
      <c r="M4870" s="394">
        <f>SUM(M4865:N4869)</f>
        <v>1350.4401538461541</v>
      </c>
      <c r="N4870" s="273"/>
    </row>
    <row r="4871" spans="1:14" ht="12.75" customHeight="1" x14ac:dyDescent="0.25">
      <c r="A4871" s="4"/>
      <c r="B4871" s="4"/>
      <c r="C4871" s="4"/>
      <c r="D4871" s="4"/>
      <c r="E4871" s="4"/>
      <c r="F4871" s="4"/>
      <c r="G4871" s="4"/>
      <c r="H4871" s="4"/>
      <c r="I4871" s="4"/>
      <c r="J4871" s="4"/>
      <c r="K4871" s="4"/>
      <c r="L4871" s="4"/>
      <c r="M4871" s="4"/>
      <c r="N4871" s="4"/>
    </row>
    <row r="4872" spans="1:14" ht="12.75" customHeight="1" x14ac:dyDescent="0.2">
      <c r="A4872" s="398" t="s">
        <v>929</v>
      </c>
      <c r="B4872" s="271"/>
      <c r="C4872" s="271"/>
      <c r="D4872" s="271"/>
      <c r="E4872" s="271"/>
      <c r="F4872" s="271"/>
      <c r="G4872" s="271"/>
      <c r="H4872" s="271"/>
      <c r="I4872" s="271"/>
      <c r="J4872" s="271"/>
      <c r="K4872" s="271"/>
      <c r="L4872" s="271"/>
      <c r="M4872" s="271"/>
      <c r="N4872" s="273"/>
    </row>
    <row r="4873" spans="1:14" ht="12.75" customHeight="1" x14ac:dyDescent="0.2">
      <c r="A4873" s="396" t="s">
        <v>76</v>
      </c>
      <c r="B4873" s="271"/>
      <c r="C4873" s="271"/>
      <c r="D4873" s="271"/>
      <c r="E4873" s="271"/>
      <c r="F4873" s="271"/>
      <c r="G4873" s="273"/>
      <c r="H4873" s="88" t="s">
        <v>77</v>
      </c>
      <c r="I4873" s="399" t="s">
        <v>920</v>
      </c>
      <c r="J4873" s="273"/>
      <c r="K4873" s="399" t="s">
        <v>453</v>
      </c>
      <c r="L4873" s="273"/>
      <c r="M4873" s="399" t="s">
        <v>921</v>
      </c>
      <c r="N4873" s="273"/>
    </row>
    <row r="4874" spans="1:14" ht="12.75" customHeight="1" x14ac:dyDescent="0.2">
      <c r="A4874" s="400" t="s">
        <v>930</v>
      </c>
      <c r="B4874" s="271"/>
      <c r="C4874" s="271"/>
      <c r="D4874" s="271"/>
      <c r="E4874" s="271"/>
      <c r="F4874" s="271"/>
      <c r="G4874" s="273"/>
      <c r="H4874" s="29" t="s">
        <v>24</v>
      </c>
      <c r="I4874" s="394">
        <f>+M4861+M4870</f>
        <v>67566.270153846155</v>
      </c>
      <c r="J4874" s="273"/>
      <c r="K4874" s="404">
        <v>0.05</v>
      </c>
      <c r="L4874" s="273"/>
      <c r="M4874" s="394">
        <f t="shared" ref="M4874:M4878" si="665">IF(A4874="","",I4874*K4874)</f>
        <v>3378.3135076923081</v>
      </c>
      <c r="N4874" s="273"/>
    </row>
    <row r="4875" spans="1:14" ht="12.75" customHeight="1" x14ac:dyDescent="0.2">
      <c r="A4875" s="403"/>
      <c r="B4875" s="271"/>
      <c r="C4875" s="271"/>
      <c r="D4875" s="271"/>
      <c r="E4875" s="271"/>
      <c r="F4875" s="271"/>
      <c r="G4875" s="273"/>
      <c r="H4875" s="29"/>
      <c r="I4875" s="394"/>
      <c r="J4875" s="273"/>
      <c r="K4875" s="404"/>
      <c r="L4875" s="273"/>
      <c r="M4875" s="394" t="str">
        <f t="shared" si="665"/>
        <v/>
      </c>
      <c r="N4875" s="273"/>
    </row>
    <row r="4876" spans="1:14" ht="12.75" customHeight="1" x14ac:dyDescent="0.2">
      <c r="A4876" s="400"/>
      <c r="B4876" s="271"/>
      <c r="C4876" s="271"/>
      <c r="D4876" s="271"/>
      <c r="E4876" s="271"/>
      <c r="F4876" s="271"/>
      <c r="G4876" s="273"/>
      <c r="H4876" s="29"/>
      <c r="I4876" s="394"/>
      <c r="J4876" s="273"/>
      <c r="K4876" s="395"/>
      <c r="L4876" s="273"/>
      <c r="M4876" s="394" t="str">
        <f t="shared" si="665"/>
        <v/>
      </c>
      <c r="N4876" s="273"/>
    </row>
    <row r="4877" spans="1:14" ht="12.75" customHeight="1" x14ac:dyDescent="0.2">
      <c r="A4877" s="400"/>
      <c r="B4877" s="271"/>
      <c r="C4877" s="271"/>
      <c r="D4877" s="271"/>
      <c r="E4877" s="271"/>
      <c r="F4877" s="271"/>
      <c r="G4877" s="273"/>
      <c r="H4877" s="29"/>
      <c r="I4877" s="394"/>
      <c r="J4877" s="273"/>
      <c r="K4877" s="395"/>
      <c r="L4877" s="273"/>
      <c r="M4877" s="394" t="str">
        <f t="shared" si="665"/>
        <v/>
      </c>
      <c r="N4877" s="273"/>
    </row>
    <row r="4878" spans="1:14" ht="12.75" customHeight="1" x14ac:dyDescent="0.2">
      <c r="A4878" s="400"/>
      <c r="B4878" s="271"/>
      <c r="C4878" s="271"/>
      <c r="D4878" s="271"/>
      <c r="E4878" s="271"/>
      <c r="F4878" s="271"/>
      <c r="G4878" s="273"/>
      <c r="H4878" s="29"/>
      <c r="I4878" s="394"/>
      <c r="J4878" s="273"/>
      <c r="K4878" s="395"/>
      <c r="L4878" s="273"/>
      <c r="M4878" s="394" t="str">
        <f t="shared" si="665"/>
        <v/>
      </c>
      <c r="N4878" s="273"/>
    </row>
    <row r="4879" spans="1:14" ht="12.75" customHeight="1" x14ac:dyDescent="0.25">
      <c r="A4879" s="4"/>
      <c r="B4879" s="4"/>
      <c r="C4879" s="4"/>
      <c r="D4879" s="4"/>
      <c r="E4879" s="4"/>
      <c r="F4879" s="4"/>
      <c r="G4879" s="4"/>
      <c r="H4879" s="4"/>
      <c r="I4879" s="4"/>
      <c r="J4879" s="4"/>
      <c r="K4879" s="396" t="s">
        <v>444</v>
      </c>
      <c r="L4879" s="273"/>
      <c r="M4879" s="394">
        <f>SUM(M4874:N4878)</f>
        <v>3378.3135076923081</v>
      </c>
      <c r="N4879" s="273"/>
    </row>
    <row r="4880" spans="1:14" ht="12.75" customHeight="1" x14ac:dyDescent="0.25">
      <c r="A4880" s="4"/>
      <c r="B4880" s="4"/>
      <c r="C4880" s="4"/>
      <c r="D4880" s="4"/>
      <c r="E4880" s="4"/>
      <c r="F4880" s="4"/>
      <c r="G4880" s="4"/>
      <c r="H4880" s="4"/>
      <c r="I4880" s="4"/>
      <c r="J4880" s="4"/>
      <c r="K4880" s="4"/>
      <c r="L4880" s="4"/>
      <c r="M4880" s="4"/>
      <c r="N4880" s="4"/>
    </row>
    <row r="4881" spans="1:15" ht="12.75" customHeight="1" x14ac:dyDescent="0.2">
      <c r="A4881" s="398" t="s">
        <v>931</v>
      </c>
      <c r="B4881" s="271"/>
      <c r="C4881" s="271"/>
      <c r="D4881" s="271"/>
      <c r="E4881" s="271"/>
      <c r="F4881" s="271"/>
      <c r="G4881" s="271"/>
      <c r="H4881" s="271"/>
      <c r="I4881" s="271"/>
      <c r="J4881" s="271"/>
      <c r="K4881" s="271"/>
      <c r="L4881" s="271"/>
      <c r="M4881" s="271"/>
      <c r="N4881" s="273"/>
    </row>
    <row r="4882" spans="1:15" ht="12.75" customHeight="1" x14ac:dyDescent="0.2">
      <c r="A4882" s="396" t="s">
        <v>76</v>
      </c>
      <c r="B4882" s="271"/>
      <c r="C4882" s="271"/>
      <c r="D4882" s="271"/>
      <c r="E4882" s="271"/>
      <c r="F4882" s="271"/>
      <c r="G4882" s="273"/>
      <c r="H4882" s="88" t="s">
        <v>77</v>
      </c>
      <c r="I4882" s="399" t="s">
        <v>920</v>
      </c>
      <c r="J4882" s="273"/>
      <c r="K4882" s="90" t="s">
        <v>514</v>
      </c>
      <c r="L4882" s="91" t="s">
        <v>932</v>
      </c>
      <c r="M4882" s="399" t="s">
        <v>921</v>
      </c>
      <c r="N4882" s="273"/>
    </row>
    <row r="4883" spans="1:15" ht="12.75" customHeight="1" x14ac:dyDescent="0.25">
      <c r="A4883" s="393" t="s">
        <v>986</v>
      </c>
      <c r="B4883" s="271"/>
      <c r="C4883" s="271"/>
      <c r="D4883" s="271"/>
      <c r="E4883" s="271"/>
      <c r="F4883" s="271"/>
      <c r="G4883" s="273"/>
      <c r="H4883" s="29" t="str">
        <f>IF(A4883="","",VLOOKUP(A4883,AA_Cuadrillas,4,FALSE))</f>
        <v>Cuadrilla</v>
      </c>
      <c r="I4883" s="394">
        <f>IF(A4883="","",VLOOKUP(A4883,AA_Cuadrillas,5,FALSE))</f>
        <v>186763</v>
      </c>
      <c r="J4883" s="273"/>
      <c r="K4883" s="9">
        <f>IF(A4883="","",F.P!$I$2)</f>
        <v>1.88</v>
      </c>
      <c r="L4883" s="93">
        <v>7.6923076923076927E-2</v>
      </c>
      <c r="M4883" s="394">
        <f t="shared" ref="M4883:M4887" si="666">IF(A4883="","",I4883*K4883*L4883)</f>
        <v>27008.803076923079</v>
      </c>
      <c r="N4883" s="273"/>
    </row>
    <row r="4884" spans="1:15" ht="12.75" customHeight="1" x14ac:dyDescent="0.25">
      <c r="A4884" s="393"/>
      <c r="B4884" s="271"/>
      <c r="C4884" s="271"/>
      <c r="D4884" s="271"/>
      <c r="E4884" s="271"/>
      <c r="F4884" s="271"/>
      <c r="G4884" s="273"/>
      <c r="H4884" s="29" t="str">
        <f>IF(A4884="","",VLOOKUP(A4884,AA_Cuadrillas,4,FALSE))</f>
        <v/>
      </c>
      <c r="I4884" s="394" t="str">
        <f>IF(A4884="","",VLOOKUP(A4884,AA_Cuadrillas,5,FALSE))</f>
        <v/>
      </c>
      <c r="J4884" s="273"/>
      <c r="K4884" s="9" t="str">
        <f>IF(A4884="","",F.P!$I$2)</f>
        <v/>
      </c>
      <c r="L4884" s="9"/>
      <c r="M4884" s="394" t="str">
        <f t="shared" si="666"/>
        <v/>
      </c>
      <c r="N4884" s="273"/>
    </row>
    <row r="4885" spans="1:15" ht="12.75" customHeight="1" x14ac:dyDescent="0.25">
      <c r="A4885" s="393"/>
      <c r="B4885" s="271"/>
      <c r="C4885" s="271"/>
      <c r="D4885" s="271"/>
      <c r="E4885" s="271"/>
      <c r="F4885" s="271"/>
      <c r="G4885" s="273"/>
      <c r="H4885" s="29" t="str">
        <f>IF(A4885="","",VLOOKUP(A4885,AA_Cuadrillas,4,FALSE))</f>
        <v/>
      </c>
      <c r="I4885" s="394" t="str">
        <f>IF(A4885="","",VLOOKUP(A4885,AA_Cuadrillas,5,FALSE))</f>
        <v/>
      </c>
      <c r="J4885" s="273"/>
      <c r="K4885" s="9" t="str">
        <f>IF(A4885="","",F.P!$I$2)</f>
        <v/>
      </c>
      <c r="L4885" s="37"/>
      <c r="M4885" s="394" t="str">
        <f t="shared" si="666"/>
        <v/>
      </c>
      <c r="N4885" s="273"/>
    </row>
    <row r="4886" spans="1:15" ht="12.75" customHeight="1" x14ac:dyDescent="0.25">
      <c r="A4886" s="393"/>
      <c r="B4886" s="271"/>
      <c r="C4886" s="271"/>
      <c r="D4886" s="271"/>
      <c r="E4886" s="271"/>
      <c r="F4886" s="271"/>
      <c r="G4886" s="273"/>
      <c r="H4886" s="29" t="str">
        <f>IF(A4886="","",VLOOKUP(A4886,AA_Cuadrillas,4,FALSE))</f>
        <v/>
      </c>
      <c r="I4886" s="394" t="str">
        <f>IF(A4886="","",VLOOKUP(A4886,AA_Cuadrillas,5,FALSE))</f>
        <v/>
      </c>
      <c r="J4886" s="273"/>
      <c r="K4886" s="9" t="str">
        <f>IF(A4886="","",F.P!$I$2)</f>
        <v/>
      </c>
      <c r="L4886" s="37"/>
      <c r="M4886" s="394" t="str">
        <f t="shared" si="666"/>
        <v/>
      </c>
      <c r="N4886" s="273"/>
    </row>
    <row r="4887" spans="1:15" ht="12.75" customHeight="1" x14ac:dyDescent="0.25">
      <c r="A4887" s="393"/>
      <c r="B4887" s="271"/>
      <c r="C4887" s="271"/>
      <c r="D4887" s="271"/>
      <c r="E4887" s="271"/>
      <c r="F4887" s="271"/>
      <c r="G4887" s="273"/>
      <c r="H4887" s="29" t="str">
        <f>IF(A4887="","",VLOOKUP(A4887,AA_Cuadrillas,4,FALSE))</f>
        <v/>
      </c>
      <c r="I4887" s="394" t="str">
        <f>IF(A4887="","",VLOOKUP(A4887,AA_Cuadrillas,5,FALSE))</f>
        <v/>
      </c>
      <c r="J4887" s="273"/>
      <c r="K4887" s="9" t="str">
        <f>IF(A4887="","",F.P!$I$2)</f>
        <v/>
      </c>
      <c r="L4887" s="37"/>
      <c r="M4887" s="394" t="str">
        <f t="shared" si="666"/>
        <v/>
      </c>
      <c r="N4887" s="273"/>
    </row>
    <row r="4888" spans="1:15" ht="12.75" customHeight="1" x14ac:dyDescent="0.25">
      <c r="A4888" s="4"/>
      <c r="B4888" s="4"/>
      <c r="C4888" s="4"/>
      <c r="D4888" s="4"/>
      <c r="E4888" s="4"/>
      <c r="F4888" s="4"/>
      <c r="G4888" s="4"/>
      <c r="H4888" s="4"/>
      <c r="I4888" s="4"/>
      <c r="J4888" s="4"/>
      <c r="K4888" s="396" t="s">
        <v>444</v>
      </c>
      <c r="L4888" s="273"/>
      <c r="M4888" s="394">
        <f>SUM(M4883:N4887)</f>
        <v>27008.803076923079</v>
      </c>
      <c r="N4888" s="273"/>
    </row>
    <row r="4889" spans="1:15" ht="12.75" customHeight="1" x14ac:dyDescent="0.2"/>
    <row r="4890" spans="1:15" ht="12.75" customHeight="1" x14ac:dyDescent="0.2">
      <c r="A4890" s="407" t="s">
        <v>278</v>
      </c>
      <c r="B4890" s="275"/>
      <c r="C4890" s="275"/>
      <c r="D4890" s="275"/>
      <c r="E4890" s="275"/>
      <c r="F4890" s="275"/>
      <c r="G4890" s="275"/>
      <c r="H4890" s="275"/>
      <c r="I4890" s="275"/>
      <c r="J4890" s="275"/>
      <c r="K4890" s="275"/>
      <c r="L4890" s="275"/>
      <c r="M4890" s="275"/>
      <c r="N4890" s="276"/>
      <c r="O4890" s="166"/>
    </row>
    <row r="4891" spans="1:15" ht="12.75" customHeight="1" x14ac:dyDescent="0.2">
      <c r="A4891" s="277"/>
      <c r="B4891" s="278"/>
      <c r="C4891" s="278"/>
      <c r="D4891" s="278"/>
      <c r="E4891" s="278"/>
      <c r="F4891" s="278"/>
      <c r="G4891" s="278"/>
      <c r="H4891" s="278"/>
      <c r="I4891" s="278"/>
      <c r="J4891" s="278"/>
      <c r="K4891" s="278"/>
      <c r="L4891" s="278"/>
      <c r="M4891" s="278"/>
      <c r="N4891" s="279"/>
      <c r="O4891" s="166"/>
    </row>
    <row r="4892" spans="1:15" ht="12.75" customHeight="1" x14ac:dyDescent="0.2">
      <c r="A4892" s="75"/>
      <c r="B4892" s="75"/>
      <c r="C4892" s="75"/>
      <c r="D4892" s="75"/>
      <c r="E4892" s="75"/>
      <c r="F4892" s="75"/>
      <c r="G4892" s="75"/>
      <c r="H4892" s="75"/>
      <c r="I4892" s="75"/>
      <c r="J4892" s="75"/>
      <c r="K4892" s="75"/>
      <c r="L4892" s="75"/>
      <c r="M4892" s="75"/>
      <c r="N4892" s="75"/>
    </row>
    <row r="4893" spans="1:15" ht="12.75" customHeight="1" x14ac:dyDescent="0.3">
      <c r="A4893" s="79" t="s">
        <v>728</v>
      </c>
      <c r="B4893" s="80" t="str">
        <f>A4890</f>
        <v>SUMINISTRO E INSTALACIÓN DE CODO 90° Ø4" EN HIERRO DUCTIL (INCLUYE MATERIALES, HERRAMIENTAS Y MANO DE OBRA)</v>
      </c>
      <c r="C4893" s="81" t="s">
        <v>916</v>
      </c>
      <c r="D4893" s="82" t="s">
        <v>999</v>
      </c>
      <c r="E4893" s="83" t="s">
        <v>445</v>
      </c>
      <c r="F4893" s="234">
        <f>(H4893+J4893+L4893+N4893)*1.3</f>
        <v>600496.15922400006</v>
      </c>
      <c r="G4893" s="83" t="s">
        <v>607</v>
      </c>
      <c r="H4893" s="86">
        <f>M4914</f>
        <v>987.50760000000014</v>
      </c>
      <c r="I4893" s="83" t="s">
        <v>918</v>
      </c>
      <c r="J4893" s="86">
        <f>M4905</f>
        <v>420126.75</v>
      </c>
      <c r="K4893" s="83" t="s">
        <v>609</v>
      </c>
      <c r="L4893" s="86">
        <f>M4923</f>
        <v>21055.712880000003</v>
      </c>
      <c r="M4893" s="83" t="s">
        <v>610</v>
      </c>
      <c r="N4893" s="86">
        <f>M4932</f>
        <v>19750.152000000002</v>
      </c>
    </row>
    <row r="4894" spans="1:15" ht="12.75" customHeight="1" x14ac:dyDescent="0.25">
      <c r="A4894" s="87"/>
      <c r="B4894" s="87"/>
      <c r="C4894" s="87"/>
      <c r="D4894" s="87"/>
      <c r="E4894" s="87"/>
      <c r="F4894" s="87"/>
      <c r="G4894" s="87"/>
      <c r="J4894" s="87"/>
      <c r="K4894" s="215" t="s">
        <v>3217</v>
      </c>
      <c r="L4894" s="215">
        <f>+F4893*presup!$O$5</f>
        <v>780645.00699120015</v>
      </c>
      <c r="M4894" s="87"/>
      <c r="N4894" s="87"/>
    </row>
    <row r="4895" spans="1:15" ht="12.75" customHeight="1" x14ac:dyDescent="0.2">
      <c r="A4895" s="398" t="s">
        <v>919</v>
      </c>
      <c r="B4895" s="271"/>
      <c r="C4895" s="271"/>
      <c r="D4895" s="271"/>
      <c r="E4895" s="271"/>
      <c r="F4895" s="271"/>
      <c r="G4895" s="271"/>
      <c r="H4895" s="271"/>
      <c r="I4895" s="271"/>
      <c r="J4895" s="271"/>
      <c r="K4895" s="271"/>
      <c r="L4895" s="271"/>
      <c r="M4895" s="271"/>
      <c r="N4895" s="273"/>
    </row>
    <row r="4896" spans="1:15" ht="12.75" customHeight="1" x14ac:dyDescent="0.2">
      <c r="A4896" s="396" t="s">
        <v>76</v>
      </c>
      <c r="B4896" s="271"/>
      <c r="C4896" s="271"/>
      <c r="D4896" s="271"/>
      <c r="E4896" s="271"/>
      <c r="F4896" s="271"/>
      <c r="G4896" s="273"/>
      <c r="H4896" s="88" t="s">
        <v>77</v>
      </c>
      <c r="I4896" s="399" t="s">
        <v>920</v>
      </c>
      <c r="J4896" s="273"/>
      <c r="K4896" s="399" t="s">
        <v>453</v>
      </c>
      <c r="L4896" s="273"/>
      <c r="M4896" s="399" t="s">
        <v>921</v>
      </c>
      <c r="N4896" s="273"/>
    </row>
    <row r="4897" spans="1:14" ht="12.75" customHeight="1" x14ac:dyDescent="0.2">
      <c r="A4897" s="400" t="s">
        <v>1206</v>
      </c>
      <c r="B4897" s="271"/>
      <c r="C4897" s="271"/>
      <c r="D4897" s="271"/>
      <c r="E4897" s="271"/>
      <c r="F4897" s="271"/>
      <c r="G4897" s="273"/>
      <c r="H4897" s="29" t="str">
        <f t="shared" ref="H4897:H4902" si="667">IF(A4897="","",VLOOKUP(A4897,AA_Materiales,7,FALSE))</f>
        <v>Unidad</v>
      </c>
      <c r="I4897" s="394">
        <f t="shared" ref="I4897:I4904" si="668">IF(A4897="","",VLOOKUP(A4897,AA_Materiales,8,FALSE))</f>
        <v>419000</v>
      </c>
      <c r="J4897" s="273"/>
      <c r="K4897" s="395">
        <v>1</v>
      </c>
      <c r="L4897" s="273"/>
      <c r="M4897" s="394">
        <f t="shared" ref="M4897:M4904" si="669">IF(A4897="","",I4897*K4897)</f>
        <v>419000</v>
      </c>
      <c r="N4897" s="273"/>
    </row>
    <row r="4898" spans="1:14" ht="12.75" customHeight="1" x14ac:dyDescent="0.2">
      <c r="A4898" s="400" t="s">
        <v>1111</v>
      </c>
      <c r="B4898" s="271"/>
      <c r="C4898" s="271"/>
      <c r="D4898" s="271"/>
      <c r="E4898" s="271"/>
      <c r="F4898" s="271"/>
      <c r="G4898" s="273"/>
      <c r="H4898" s="29" t="str">
        <f t="shared" si="667"/>
        <v>Unidad</v>
      </c>
      <c r="I4898" s="394">
        <f t="shared" si="668"/>
        <v>22535</v>
      </c>
      <c r="J4898" s="273"/>
      <c r="K4898" s="395">
        <v>0.05</v>
      </c>
      <c r="L4898" s="273"/>
      <c r="M4898" s="394">
        <f t="shared" si="669"/>
        <v>1126.75</v>
      </c>
      <c r="N4898" s="273"/>
    </row>
    <row r="4899" spans="1:14" ht="12.75" customHeight="1" x14ac:dyDescent="0.2">
      <c r="A4899" s="400"/>
      <c r="B4899" s="271"/>
      <c r="C4899" s="271"/>
      <c r="D4899" s="271"/>
      <c r="E4899" s="271"/>
      <c r="F4899" s="271"/>
      <c r="G4899" s="273"/>
      <c r="H4899" s="29" t="str">
        <f t="shared" si="667"/>
        <v/>
      </c>
      <c r="I4899" s="394" t="str">
        <f t="shared" si="668"/>
        <v/>
      </c>
      <c r="J4899" s="273"/>
      <c r="K4899" s="395"/>
      <c r="L4899" s="273"/>
      <c r="M4899" s="394" t="str">
        <f t="shared" si="669"/>
        <v/>
      </c>
      <c r="N4899" s="273"/>
    </row>
    <row r="4900" spans="1:14" ht="12.75" customHeight="1" x14ac:dyDescent="0.2">
      <c r="A4900" s="400"/>
      <c r="B4900" s="271"/>
      <c r="C4900" s="271"/>
      <c r="D4900" s="271"/>
      <c r="E4900" s="271"/>
      <c r="F4900" s="271"/>
      <c r="G4900" s="273"/>
      <c r="H4900" s="29" t="str">
        <f t="shared" si="667"/>
        <v/>
      </c>
      <c r="I4900" s="394" t="str">
        <f t="shared" si="668"/>
        <v/>
      </c>
      <c r="J4900" s="273"/>
      <c r="K4900" s="395"/>
      <c r="L4900" s="273"/>
      <c r="M4900" s="394" t="str">
        <f t="shared" si="669"/>
        <v/>
      </c>
      <c r="N4900" s="273"/>
    </row>
    <row r="4901" spans="1:14" ht="12.75" customHeight="1" x14ac:dyDescent="0.2">
      <c r="A4901" s="400"/>
      <c r="B4901" s="271"/>
      <c r="C4901" s="271"/>
      <c r="D4901" s="271"/>
      <c r="E4901" s="271"/>
      <c r="F4901" s="271"/>
      <c r="G4901" s="273"/>
      <c r="H4901" s="29" t="str">
        <f t="shared" si="667"/>
        <v/>
      </c>
      <c r="I4901" s="394" t="str">
        <f t="shared" si="668"/>
        <v/>
      </c>
      <c r="J4901" s="273"/>
      <c r="K4901" s="395"/>
      <c r="L4901" s="273"/>
      <c r="M4901" s="394" t="str">
        <f t="shared" si="669"/>
        <v/>
      </c>
      <c r="N4901" s="273"/>
    </row>
    <row r="4902" spans="1:14" ht="12.75" customHeight="1" x14ac:dyDescent="0.2">
      <c r="A4902" s="400"/>
      <c r="B4902" s="271"/>
      <c r="C4902" s="271"/>
      <c r="D4902" s="271"/>
      <c r="E4902" s="271"/>
      <c r="F4902" s="271"/>
      <c r="G4902" s="273"/>
      <c r="H4902" s="29" t="str">
        <f t="shared" si="667"/>
        <v/>
      </c>
      <c r="I4902" s="394" t="str">
        <f t="shared" si="668"/>
        <v/>
      </c>
      <c r="J4902" s="273"/>
      <c r="K4902" s="395"/>
      <c r="L4902" s="273"/>
      <c r="M4902" s="394" t="str">
        <f t="shared" si="669"/>
        <v/>
      </c>
      <c r="N4902" s="273"/>
    </row>
    <row r="4903" spans="1:14" ht="12.75" customHeight="1" x14ac:dyDescent="0.2">
      <c r="A4903" s="400"/>
      <c r="B4903" s="271"/>
      <c r="C4903" s="271"/>
      <c r="D4903" s="271"/>
      <c r="E4903" s="271"/>
      <c r="F4903" s="271"/>
      <c r="G4903" s="273"/>
      <c r="H4903" s="29"/>
      <c r="I4903" s="394" t="str">
        <f t="shared" si="668"/>
        <v/>
      </c>
      <c r="J4903" s="273"/>
      <c r="K4903" s="395"/>
      <c r="L4903" s="273"/>
      <c r="M4903" s="394" t="str">
        <f t="shared" si="669"/>
        <v/>
      </c>
      <c r="N4903" s="273"/>
    </row>
    <row r="4904" spans="1:14" ht="12.75" customHeight="1" x14ac:dyDescent="0.2">
      <c r="A4904" s="400"/>
      <c r="B4904" s="271"/>
      <c r="C4904" s="271"/>
      <c r="D4904" s="271"/>
      <c r="E4904" s="271"/>
      <c r="F4904" s="271"/>
      <c r="G4904" s="273"/>
      <c r="H4904" s="29" t="str">
        <f>IF(A4904="","",VLOOKUP(A4904,AA_Materiales,7,FALSE))</f>
        <v/>
      </c>
      <c r="I4904" s="394" t="str">
        <f t="shared" si="668"/>
        <v/>
      </c>
      <c r="J4904" s="273"/>
      <c r="K4904" s="395"/>
      <c r="L4904" s="273"/>
      <c r="M4904" s="394" t="str">
        <f t="shared" si="669"/>
        <v/>
      </c>
      <c r="N4904" s="273"/>
    </row>
    <row r="4905" spans="1:14" ht="12.75" customHeight="1" x14ac:dyDescent="0.25">
      <c r="A4905" s="4"/>
      <c r="B4905" s="4"/>
      <c r="C4905" s="4"/>
      <c r="D4905" s="4"/>
      <c r="E4905" s="4"/>
      <c r="F4905" s="4"/>
      <c r="G4905" s="4"/>
      <c r="H4905" s="4"/>
      <c r="I4905" s="4"/>
      <c r="J4905" s="4"/>
      <c r="K4905" s="396" t="s">
        <v>444</v>
      </c>
      <c r="L4905" s="273"/>
      <c r="M4905" s="394">
        <f>SUM(M4897:N4904)</f>
        <v>420126.75</v>
      </c>
      <c r="N4905" s="273"/>
    </row>
    <row r="4906" spans="1:14" ht="12.75" customHeight="1" x14ac:dyDescent="0.25">
      <c r="A4906" s="4"/>
      <c r="B4906" s="4"/>
      <c r="C4906" s="4"/>
      <c r="D4906" s="4"/>
      <c r="E4906" s="4"/>
      <c r="F4906" s="4"/>
      <c r="G4906" s="4"/>
      <c r="H4906" s="4"/>
      <c r="I4906" s="4"/>
      <c r="J4906" s="4"/>
      <c r="K4906" s="4"/>
      <c r="L4906" s="4"/>
      <c r="M4906" s="4"/>
      <c r="N4906" s="4"/>
    </row>
    <row r="4907" spans="1:14" ht="12.75" customHeight="1" x14ac:dyDescent="0.2">
      <c r="A4907" s="398" t="s">
        <v>926</v>
      </c>
      <c r="B4907" s="271"/>
      <c r="C4907" s="271"/>
      <c r="D4907" s="271"/>
      <c r="E4907" s="271"/>
      <c r="F4907" s="271"/>
      <c r="G4907" s="271"/>
      <c r="H4907" s="271"/>
      <c r="I4907" s="271"/>
      <c r="J4907" s="271"/>
      <c r="K4907" s="271"/>
      <c r="L4907" s="271"/>
      <c r="M4907" s="271"/>
      <c r="N4907" s="273"/>
    </row>
    <row r="4908" spans="1:14" ht="12.75" customHeight="1" x14ac:dyDescent="0.2">
      <c r="A4908" s="396" t="s">
        <v>76</v>
      </c>
      <c r="B4908" s="271"/>
      <c r="C4908" s="271"/>
      <c r="D4908" s="271"/>
      <c r="E4908" s="271"/>
      <c r="F4908" s="271"/>
      <c r="G4908" s="273"/>
      <c r="H4908" s="88" t="s">
        <v>77</v>
      </c>
      <c r="I4908" s="399" t="s">
        <v>920</v>
      </c>
      <c r="J4908" s="273"/>
      <c r="K4908" s="399" t="s">
        <v>453</v>
      </c>
      <c r="L4908" s="273"/>
      <c r="M4908" s="399" t="s">
        <v>921</v>
      </c>
      <c r="N4908" s="273"/>
    </row>
    <row r="4909" spans="1:14" ht="12.75" customHeight="1" x14ac:dyDescent="0.2">
      <c r="A4909" s="400" t="s">
        <v>927</v>
      </c>
      <c r="B4909" s="271"/>
      <c r="C4909" s="271"/>
      <c r="D4909" s="271"/>
      <c r="E4909" s="271"/>
      <c r="F4909" s="271"/>
      <c r="G4909" s="273"/>
      <c r="H4909" s="29" t="str">
        <f>IF(A4909="","",VLOOKUP(A4909,AA_Equipos,7,FALSE))</f>
        <v>% M.O.</v>
      </c>
      <c r="I4909" s="394">
        <f>+M4932</f>
        <v>19750.152000000002</v>
      </c>
      <c r="J4909" s="273"/>
      <c r="K4909" s="404">
        <v>0.05</v>
      </c>
      <c r="L4909" s="273"/>
      <c r="M4909" s="394">
        <f t="shared" ref="M4909:M4913" si="670">IF(A4909="","",I4909*K4909)</f>
        <v>987.50760000000014</v>
      </c>
      <c r="N4909" s="273"/>
    </row>
    <row r="4910" spans="1:14" ht="12.75" customHeight="1" x14ac:dyDescent="0.2">
      <c r="A4910" s="403"/>
      <c r="B4910" s="271"/>
      <c r="C4910" s="271"/>
      <c r="D4910" s="271"/>
      <c r="E4910" s="271"/>
      <c r="F4910" s="271"/>
      <c r="G4910" s="273"/>
      <c r="H4910" s="29" t="str">
        <f>IF(A4910="","",VLOOKUP(A4910,AA_Equipos,7,FALSE))</f>
        <v/>
      </c>
      <c r="I4910" s="394" t="str">
        <f>IF(A4910="","",VLOOKUP(A4910,AA_Equipos,8,FALSE))</f>
        <v/>
      </c>
      <c r="J4910" s="273"/>
      <c r="K4910" s="402"/>
      <c r="L4910" s="273"/>
      <c r="M4910" s="394" t="str">
        <f t="shared" si="670"/>
        <v/>
      </c>
      <c r="N4910" s="273"/>
    </row>
    <row r="4911" spans="1:14" ht="12.75" customHeight="1" x14ac:dyDescent="0.2">
      <c r="A4911" s="400"/>
      <c r="B4911" s="271"/>
      <c r="C4911" s="271"/>
      <c r="D4911" s="271"/>
      <c r="E4911" s="271"/>
      <c r="F4911" s="271"/>
      <c r="G4911" s="273"/>
      <c r="H4911" s="29" t="str">
        <f>IF(A4911="","",VLOOKUP(A4911,AA_Equipos,7,FALSE))</f>
        <v/>
      </c>
      <c r="I4911" s="394"/>
      <c r="J4911" s="273"/>
      <c r="K4911" s="404"/>
      <c r="L4911" s="273"/>
      <c r="M4911" s="394" t="str">
        <f t="shared" si="670"/>
        <v/>
      </c>
      <c r="N4911" s="273"/>
    </row>
    <row r="4912" spans="1:14" ht="12.75" customHeight="1" x14ac:dyDescent="0.2">
      <c r="A4912" s="400"/>
      <c r="B4912" s="271"/>
      <c r="C4912" s="271"/>
      <c r="D4912" s="271"/>
      <c r="E4912" s="271"/>
      <c r="F4912" s="271"/>
      <c r="G4912" s="273"/>
      <c r="H4912" s="29" t="str">
        <f>IF(A4912="","",VLOOKUP(A4912,AA_Equipos,7,FALSE))</f>
        <v/>
      </c>
      <c r="I4912" s="394" t="str">
        <f>IF(A4912="","",VLOOKUP(A4912,AA_Equipos,8,FALSE))</f>
        <v/>
      </c>
      <c r="J4912" s="273"/>
      <c r="K4912" s="395"/>
      <c r="L4912" s="273"/>
      <c r="M4912" s="394" t="str">
        <f t="shared" si="670"/>
        <v/>
      </c>
      <c r="N4912" s="273"/>
    </row>
    <row r="4913" spans="1:14" ht="12.75" customHeight="1" x14ac:dyDescent="0.2">
      <c r="A4913" s="400"/>
      <c r="B4913" s="271"/>
      <c r="C4913" s="271"/>
      <c r="D4913" s="271"/>
      <c r="E4913" s="271"/>
      <c r="F4913" s="271"/>
      <c r="G4913" s="273"/>
      <c r="H4913" s="29" t="str">
        <f>IF(A4913="","",VLOOKUP(A4913,AA_Equipos,7,FALSE))</f>
        <v/>
      </c>
      <c r="I4913" s="394" t="str">
        <f>IF(A4913="","",VLOOKUP(A4913,AA_Equipos,8,FALSE))</f>
        <v/>
      </c>
      <c r="J4913" s="273"/>
      <c r="K4913" s="395"/>
      <c r="L4913" s="273"/>
      <c r="M4913" s="394" t="str">
        <f t="shared" si="670"/>
        <v/>
      </c>
      <c r="N4913" s="273"/>
    </row>
    <row r="4914" spans="1:14" ht="12.75" customHeight="1" x14ac:dyDescent="0.25">
      <c r="A4914" s="4"/>
      <c r="B4914" s="4"/>
      <c r="C4914" s="4"/>
      <c r="D4914" s="4"/>
      <c r="E4914" s="4"/>
      <c r="F4914" s="4"/>
      <c r="G4914" s="4"/>
      <c r="H4914" s="4"/>
      <c r="I4914" s="4"/>
      <c r="J4914" s="4"/>
      <c r="K4914" s="396" t="s">
        <v>444</v>
      </c>
      <c r="L4914" s="273"/>
      <c r="M4914" s="394">
        <f>SUM(M4909:N4913)</f>
        <v>987.50760000000014</v>
      </c>
      <c r="N4914" s="273"/>
    </row>
    <row r="4915" spans="1:14" ht="12.75" customHeight="1" x14ac:dyDescent="0.25">
      <c r="A4915" s="4"/>
      <c r="B4915" s="4"/>
      <c r="C4915" s="4"/>
      <c r="D4915" s="4"/>
      <c r="E4915" s="4"/>
      <c r="F4915" s="4"/>
      <c r="G4915" s="4"/>
      <c r="H4915" s="4"/>
      <c r="I4915" s="4"/>
      <c r="J4915" s="4"/>
      <c r="K4915" s="4"/>
      <c r="L4915" s="4"/>
      <c r="M4915" s="4"/>
      <c r="N4915" s="4"/>
    </row>
    <row r="4916" spans="1:14" ht="12.75" customHeight="1" x14ac:dyDescent="0.2">
      <c r="A4916" s="398" t="s">
        <v>929</v>
      </c>
      <c r="B4916" s="271"/>
      <c r="C4916" s="271"/>
      <c r="D4916" s="271"/>
      <c r="E4916" s="271"/>
      <c r="F4916" s="271"/>
      <c r="G4916" s="271"/>
      <c r="H4916" s="271"/>
      <c r="I4916" s="271"/>
      <c r="J4916" s="271"/>
      <c r="K4916" s="271"/>
      <c r="L4916" s="271"/>
      <c r="M4916" s="271"/>
      <c r="N4916" s="273"/>
    </row>
    <row r="4917" spans="1:14" ht="12.75" customHeight="1" x14ac:dyDescent="0.2">
      <c r="A4917" s="396" t="s">
        <v>76</v>
      </c>
      <c r="B4917" s="271"/>
      <c r="C4917" s="271"/>
      <c r="D4917" s="271"/>
      <c r="E4917" s="271"/>
      <c r="F4917" s="271"/>
      <c r="G4917" s="273"/>
      <c r="H4917" s="88" t="s">
        <v>77</v>
      </c>
      <c r="I4917" s="399" t="s">
        <v>920</v>
      </c>
      <c r="J4917" s="273"/>
      <c r="K4917" s="399" t="s">
        <v>453</v>
      </c>
      <c r="L4917" s="273"/>
      <c r="M4917" s="399" t="s">
        <v>921</v>
      </c>
      <c r="N4917" s="273"/>
    </row>
    <row r="4918" spans="1:14" ht="12.75" customHeight="1" x14ac:dyDescent="0.2">
      <c r="A4918" s="400" t="s">
        <v>930</v>
      </c>
      <c r="B4918" s="271"/>
      <c r="C4918" s="271"/>
      <c r="D4918" s="271"/>
      <c r="E4918" s="271"/>
      <c r="F4918" s="271"/>
      <c r="G4918" s="273"/>
      <c r="H4918" s="29" t="s">
        <v>24</v>
      </c>
      <c r="I4918" s="394">
        <f>+M4914+M4905</f>
        <v>421114.25760000001</v>
      </c>
      <c r="J4918" s="273"/>
      <c r="K4918" s="404">
        <v>0.05</v>
      </c>
      <c r="L4918" s="273"/>
      <c r="M4918" s="394">
        <f t="shared" ref="M4918:M4922" si="671">IF(A4918="","",I4918*K4918)</f>
        <v>21055.712880000003</v>
      </c>
      <c r="N4918" s="273"/>
    </row>
    <row r="4919" spans="1:14" ht="12.75" customHeight="1" x14ac:dyDescent="0.2">
      <c r="A4919" s="403"/>
      <c r="B4919" s="271"/>
      <c r="C4919" s="271"/>
      <c r="D4919" s="271"/>
      <c r="E4919" s="271"/>
      <c r="F4919" s="271"/>
      <c r="G4919" s="273"/>
      <c r="H4919" s="29"/>
      <c r="I4919" s="394"/>
      <c r="J4919" s="273"/>
      <c r="K4919" s="404"/>
      <c r="L4919" s="273"/>
      <c r="M4919" s="394" t="str">
        <f t="shared" si="671"/>
        <v/>
      </c>
      <c r="N4919" s="273"/>
    </row>
    <row r="4920" spans="1:14" ht="12.75" customHeight="1" x14ac:dyDescent="0.2">
      <c r="A4920" s="400"/>
      <c r="B4920" s="271"/>
      <c r="C4920" s="271"/>
      <c r="D4920" s="271"/>
      <c r="E4920" s="271"/>
      <c r="F4920" s="271"/>
      <c r="G4920" s="273"/>
      <c r="H4920" s="29"/>
      <c r="I4920" s="394"/>
      <c r="J4920" s="273"/>
      <c r="K4920" s="395"/>
      <c r="L4920" s="273"/>
      <c r="M4920" s="394" t="str">
        <f t="shared" si="671"/>
        <v/>
      </c>
      <c r="N4920" s="273"/>
    </row>
    <row r="4921" spans="1:14" ht="12.75" customHeight="1" x14ac:dyDescent="0.2">
      <c r="A4921" s="400"/>
      <c r="B4921" s="271"/>
      <c r="C4921" s="271"/>
      <c r="D4921" s="271"/>
      <c r="E4921" s="271"/>
      <c r="F4921" s="271"/>
      <c r="G4921" s="273"/>
      <c r="H4921" s="29"/>
      <c r="I4921" s="394"/>
      <c r="J4921" s="273"/>
      <c r="K4921" s="395"/>
      <c r="L4921" s="273"/>
      <c r="M4921" s="394" t="str">
        <f t="shared" si="671"/>
        <v/>
      </c>
      <c r="N4921" s="273"/>
    </row>
    <row r="4922" spans="1:14" ht="12.75" customHeight="1" x14ac:dyDescent="0.2">
      <c r="A4922" s="400"/>
      <c r="B4922" s="271"/>
      <c r="C4922" s="271"/>
      <c r="D4922" s="271"/>
      <c r="E4922" s="271"/>
      <c r="F4922" s="271"/>
      <c r="G4922" s="273"/>
      <c r="H4922" s="29"/>
      <c r="I4922" s="394"/>
      <c r="J4922" s="273"/>
      <c r="K4922" s="395"/>
      <c r="L4922" s="273"/>
      <c r="M4922" s="394" t="str">
        <f t="shared" si="671"/>
        <v/>
      </c>
      <c r="N4922" s="273"/>
    </row>
    <row r="4923" spans="1:14" ht="12.75" customHeight="1" x14ac:dyDescent="0.25">
      <c r="A4923" s="4"/>
      <c r="B4923" s="4"/>
      <c r="C4923" s="4"/>
      <c r="D4923" s="4"/>
      <c r="E4923" s="4"/>
      <c r="F4923" s="4"/>
      <c r="G4923" s="4"/>
      <c r="H4923" s="4"/>
      <c r="I4923" s="4"/>
      <c r="J4923" s="4"/>
      <c r="K4923" s="396" t="s">
        <v>444</v>
      </c>
      <c r="L4923" s="273"/>
      <c r="M4923" s="394">
        <f>SUM(M4918:N4922)</f>
        <v>21055.712880000003</v>
      </c>
      <c r="N4923" s="273"/>
    </row>
    <row r="4924" spans="1:14" ht="12.75" customHeight="1" x14ac:dyDescent="0.25">
      <c r="A4924" s="4"/>
      <c r="B4924" s="4"/>
      <c r="C4924" s="4"/>
      <c r="D4924" s="4"/>
      <c r="E4924" s="4"/>
      <c r="F4924" s="4"/>
      <c r="G4924" s="4"/>
      <c r="H4924" s="4"/>
      <c r="I4924" s="4"/>
      <c r="J4924" s="4"/>
      <c r="K4924" s="4"/>
      <c r="L4924" s="4"/>
      <c r="M4924" s="4"/>
      <c r="N4924" s="4"/>
    </row>
    <row r="4925" spans="1:14" ht="12.75" customHeight="1" x14ac:dyDescent="0.2">
      <c r="A4925" s="398" t="s">
        <v>931</v>
      </c>
      <c r="B4925" s="271"/>
      <c r="C4925" s="271"/>
      <c r="D4925" s="271"/>
      <c r="E4925" s="271"/>
      <c r="F4925" s="271"/>
      <c r="G4925" s="271"/>
      <c r="H4925" s="271"/>
      <c r="I4925" s="271"/>
      <c r="J4925" s="271"/>
      <c r="K4925" s="271"/>
      <c r="L4925" s="271"/>
      <c r="M4925" s="271"/>
      <c r="N4925" s="273"/>
    </row>
    <row r="4926" spans="1:14" ht="12.75" customHeight="1" x14ac:dyDescent="0.2">
      <c r="A4926" s="396" t="s">
        <v>76</v>
      </c>
      <c r="B4926" s="271"/>
      <c r="C4926" s="271"/>
      <c r="D4926" s="271"/>
      <c r="E4926" s="271"/>
      <c r="F4926" s="271"/>
      <c r="G4926" s="273"/>
      <c r="H4926" s="88" t="s">
        <v>77</v>
      </c>
      <c r="I4926" s="399" t="s">
        <v>920</v>
      </c>
      <c r="J4926" s="273"/>
      <c r="K4926" s="90" t="s">
        <v>514</v>
      </c>
      <c r="L4926" s="91" t="s">
        <v>932</v>
      </c>
      <c r="M4926" s="399" t="s">
        <v>921</v>
      </c>
      <c r="N4926" s="273"/>
    </row>
    <row r="4927" spans="1:14" ht="12.75" customHeight="1" x14ac:dyDescent="0.25">
      <c r="A4927" s="393" t="s">
        <v>1112</v>
      </c>
      <c r="B4927" s="271"/>
      <c r="C4927" s="271"/>
      <c r="D4927" s="271"/>
      <c r="E4927" s="271"/>
      <c r="F4927" s="271"/>
      <c r="G4927" s="273"/>
      <c r="H4927" s="29" t="str">
        <f>IF(A4927="","",VLOOKUP(A4927,AA_Cuadrillas,4,FALSE))</f>
        <v>Cuadrilla</v>
      </c>
      <c r="I4927" s="394">
        <f>IF(A4927="","",VLOOKUP(A4927,AA_Cuadrillas,5,FALSE))</f>
        <v>210108</v>
      </c>
      <c r="J4927" s="273"/>
      <c r="K4927" s="9">
        <f>IF(A4927="","",F.P!$I$2)</f>
        <v>1.88</v>
      </c>
      <c r="L4927" s="93">
        <v>0.05</v>
      </c>
      <c r="M4927" s="394">
        <f t="shared" ref="M4927:M4931" si="672">IF(A4927="","",I4927*K4927*L4927)</f>
        <v>19750.152000000002</v>
      </c>
      <c r="N4927" s="273"/>
    </row>
    <row r="4928" spans="1:14" ht="12.75" customHeight="1" x14ac:dyDescent="0.25">
      <c r="A4928" s="393"/>
      <c r="B4928" s="271"/>
      <c r="C4928" s="271"/>
      <c r="D4928" s="271"/>
      <c r="E4928" s="271"/>
      <c r="F4928" s="271"/>
      <c r="G4928" s="273"/>
      <c r="H4928" s="29" t="str">
        <f>IF(A4928="","",VLOOKUP(A4928,AA_Cuadrillas,4,FALSE))</f>
        <v/>
      </c>
      <c r="I4928" s="394" t="str">
        <f>IF(A4928="","",VLOOKUP(A4928,AA_Cuadrillas,5,FALSE))</f>
        <v/>
      </c>
      <c r="J4928" s="273"/>
      <c r="K4928" s="9" t="str">
        <f>IF(A4928="","",F.P!$I$2)</f>
        <v/>
      </c>
      <c r="L4928" s="9"/>
      <c r="M4928" s="394" t="str">
        <f t="shared" si="672"/>
        <v/>
      </c>
      <c r="N4928" s="273"/>
    </row>
    <row r="4929" spans="1:15" ht="12.75" customHeight="1" x14ac:dyDescent="0.25">
      <c r="A4929" s="393"/>
      <c r="B4929" s="271"/>
      <c r="C4929" s="271"/>
      <c r="D4929" s="271"/>
      <c r="E4929" s="271"/>
      <c r="F4929" s="271"/>
      <c r="G4929" s="273"/>
      <c r="H4929" s="29" t="str">
        <f>IF(A4929="","",VLOOKUP(A4929,AA_Cuadrillas,4,FALSE))</f>
        <v/>
      </c>
      <c r="I4929" s="394" t="str">
        <f>IF(A4929="","",VLOOKUP(A4929,AA_Cuadrillas,5,FALSE))</f>
        <v/>
      </c>
      <c r="J4929" s="273"/>
      <c r="K4929" s="9" t="str">
        <f>IF(A4929="","",F.P!$I$2)</f>
        <v/>
      </c>
      <c r="L4929" s="37"/>
      <c r="M4929" s="394" t="str">
        <f t="shared" si="672"/>
        <v/>
      </c>
      <c r="N4929" s="273"/>
    </row>
    <row r="4930" spans="1:15" ht="12.75" customHeight="1" x14ac:dyDescent="0.25">
      <c r="A4930" s="393"/>
      <c r="B4930" s="271"/>
      <c r="C4930" s="271"/>
      <c r="D4930" s="271"/>
      <c r="E4930" s="271"/>
      <c r="F4930" s="271"/>
      <c r="G4930" s="273"/>
      <c r="H4930" s="29" t="str">
        <f>IF(A4930="","",VLOOKUP(A4930,AA_Cuadrillas,4,FALSE))</f>
        <v/>
      </c>
      <c r="I4930" s="394" t="str">
        <f>IF(A4930="","",VLOOKUP(A4930,AA_Cuadrillas,5,FALSE))</f>
        <v/>
      </c>
      <c r="J4930" s="273"/>
      <c r="K4930" s="9" t="str">
        <f>IF(A4930="","",F.P!$I$2)</f>
        <v/>
      </c>
      <c r="L4930" s="37"/>
      <c r="M4930" s="394" t="str">
        <f t="shared" si="672"/>
        <v/>
      </c>
      <c r="N4930" s="273"/>
    </row>
    <row r="4931" spans="1:15" ht="12.75" customHeight="1" x14ac:dyDescent="0.25">
      <c r="A4931" s="393"/>
      <c r="B4931" s="271"/>
      <c r="C4931" s="271"/>
      <c r="D4931" s="271"/>
      <c r="E4931" s="271"/>
      <c r="F4931" s="271"/>
      <c r="G4931" s="273"/>
      <c r="H4931" s="29" t="str">
        <f>IF(A4931="","",VLOOKUP(A4931,AA_Cuadrillas,4,FALSE))</f>
        <v/>
      </c>
      <c r="I4931" s="394" t="str">
        <f>IF(A4931="","",VLOOKUP(A4931,AA_Cuadrillas,5,FALSE))</f>
        <v/>
      </c>
      <c r="J4931" s="273"/>
      <c r="K4931" s="9" t="str">
        <f>IF(A4931="","",F.P!$I$2)</f>
        <v/>
      </c>
      <c r="L4931" s="37"/>
      <c r="M4931" s="394" t="str">
        <f t="shared" si="672"/>
        <v/>
      </c>
      <c r="N4931" s="273"/>
    </row>
    <row r="4932" spans="1:15" ht="12.75" customHeight="1" x14ac:dyDescent="0.25">
      <c r="A4932" s="4"/>
      <c r="B4932" s="4"/>
      <c r="C4932" s="4"/>
      <c r="D4932" s="4"/>
      <c r="E4932" s="4"/>
      <c r="F4932" s="4"/>
      <c r="G4932" s="4"/>
      <c r="H4932" s="4"/>
      <c r="I4932" s="4"/>
      <c r="J4932" s="4"/>
      <c r="K4932" s="396" t="s">
        <v>444</v>
      </c>
      <c r="L4932" s="273"/>
      <c r="M4932" s="394">
        <f>SUM(M4927:N4931)</f>
        <v>19750.152000000002</v>
      </c>
      <c r="N4932" s="273"/>
    </row>
    <row r="4933" spans="1:15" ht="12.75" customHeight="1" x14ac:dyDescent="0.2"/>
    <row r="4934" spans="1:15" ht="12.75" customHeight="1" x14ac:dyDescent="0.2">
      <c r="A4934" s="407" t="s">
        <v>341</v>
      </c>
      <c r="B4934" s="275"/>
      <c r="C4934" s="275"/>
      <c r="D4934" s="275"/>
      <c r="E4934" s="275"/>
      <c r="F4934" s="275"/>
      <c r="G4934" s="275"/>
      <c r="H4934" s="275"/>
      <c r="I4934" s="275"/>
      <c r="J4934" s="275"/>
      <c r="K4934" s="275"/>
      <c r="L4934" s="275"/>
      <c r="M4934" s="275"/>
      <c r="N4934" s="276"/>
      <c r="O4934" s="166"/>
    </row>
    <row r="4935" spans="1:15" ht="12.75" customHeight="1" x14ac:dyDescent="0.2">
      <c r="A4935" s="277"/>
      <c r="B4935" s="278"/>
      <c r="C4935" s="278"/>
      <c r="D4935" s="278"/>
      <c r="E4935" s="278"/>
      <c r="F4935" s="278"/>
      <c r="G4935" s="278"/>
      <c r="H4935" s="278"/>
      <c r="I4935" s="278"/>
      <c r="J4935" s="278"/>
      <c r="K4935" s="278"/>
      <c r="L4935" s="278"/>
      <c r="M4935" s="278"/>
      <c r="N4935" s="279"/>
      <c r="O4935" s="166"/>
    </row>
    <row r="4936" spans="1:15" ht="12.75" customHeight="1" x14ac:dyDescent="0.2">
      <c r="A4936" s="75"/>
      <c r="B4936" s="75"/>
      <c r="C4936" s="75"/>
      <c r="D4936" s="75"/>
      <c r="E4936" s="75"/>
      <c r="F4936" s="75"/>
      <c r="G4936" s="75"/>
      <c r="H4936" s="75"/>
      <c r="I4936" s="75"/>
      <c r="J4936" s="75"/>
      <c r="K4936" s="75"/>
      <c r="L4936" s="75"/>
      <c r="M4936" s="75"/>
      <c r="N4936" s="75"/>
    </row>
    <row r="4937" spans="1:15" ht="12.75" customHeight="1" x14ac:dyDescent="0.3">
      <c r="A4937" s="79" t="s">
        <v>729</v>
      </c>
      <c r="B4937" s="80" t="str">
        <f>A4934</f>
        <v>SUMINISTRO E INSTALACIÓN CODO 90° PVC 4" (INCLUYE MATERIALES, HERRAMIENTAS Y MANO DE OBRA)</v>
      </c>
      <c r="C4937" s="81" t="s">
        <v>916</v>
      </c>
      <c r="D4937" s="82" t="s">
        <v>999</v>
      </c>
      <c r="E4937" s="83" t="s">
        <v>445</v>
      </c>
      <c r="F4937" s="234">
        <f>(H4937+J4937+L4937+N4937)*1.3</f>
        <v>210561.12168974997</v>
      </c>
      <c r="G4937" s="83" t="s">
        <v>607</v>
      </c>
      <c r="H4937" s="86">
        <f>M4958</f>
        <v>1316.6791499999999</v>
      </c>
      <c r="I4937" s="83" t="s">
        <v>918</v>
      </c>
      <c r="J4937" s="86">
        <f>M4949</f>
        <v>127860.95</v>
      </c>
      <c r="K4937" s="83" t="s">
        <v>609</v>
      </c>
      <c r="L4937" s="86">
        <f>M4967</f>
        <v>6458.8814574999997</v>
      </c>
      <c r="M4937" s="83" t="s">
        <v>610</v>
      </c>
      <c r="N4937" s="86">
        <f>M4976</f>
        <v>26333.582999999999</v>
      </c>
    </row>
    <row r="4938" spans="1:15" ht="12.75" customHeight="1" x14ac:dyDescent="0.25">
      <c r="A4938" s="87"/>
      <c r="B4938" s="87"/>
      <c r="C4938" s="87"/>
      <c r="D4938" s="87"/>
      <c r="E4938" s="87"/>
      <c r="F4938" s="87"/>
      <c r="G4938" s="87"/>
      <c r="J4938" s="87"/>
      <c r="K4938" s="215" t="s">
        <v>3217</v>
      </c>
      <c r="L4938" s="215">
        <f>+F4937*presup!$O$5</f>
        <v>273729.458196675</v>
      </c>
      <c r="M4938" s="87"/>
      <c r="N4938" s="87"/>
    </row>
    <row r="4939" spans="1:15" ht="12.75" customHeight="1" x14ac:dyDescent="0.2">
      <c r="A4939" s="398" t="s">
        <v>919</v>
      </c>
      <c r="B4939" s="271"/>
      <c r="C4939" s="271"/>
      <c r="D4939" s="271"/>
      <c r="E4939" s="271"/>
      <c r="F4939" s="271"/>
      <c r="G4939" s="271"/>
      <c r="H4939" s="271"/>
      <c r="I4939" s="271"/>
      <c r="J4939" s="271"/>
      <c r="K4939" s="271"/>
      <c r="L4939" s="271"/>
      <c r="M4939" s="271"/>
      <c r="N4939" s="273"/>
    </row>
    <row r="4940" spans="1:15" ht="12.75" customHeight="1" x14ac:dyDescent="0.2">
      <c r="A4940" s="396" t="s">
        <v>76</v>
      </c>
      <c r="B4940" s="271"/>
      <c r="C4940" s="271"/>
      <c r="D4940" s="271"/>
      <c r="E4940" s="271"/>
      <c r="F4940" s="271"/>
      <c r="G4940" s="273"/>
      <c r="H4940" s="88" t="s">
        <v>77</v>
      </c>
      <c r="I4940" s="399" t="s">
        <v>920</v>
      </c>
      <c r="J4940" s="273"/>
      <c r="K4940" s="399" t="s">
        <v>453</v>
      </c>
      <c r="L4940" s="273"/>
      <c r="M4940" s="399" t="s">
        <v>921</v>
      </c>
      <c r="N4940" s="273"/>
    </row>
    <row r="4941" spans="1:15" ht="12.75" customHeight="1" x14ac:dyDescent="0.2">
      <c r="A4941" s="400" t="s">
        <v>984</v>
      </c>
      <c r="B4941" s="271"/>
      <c r="C4941" s="271"/>
      <c r="D4941" s="271"/>
      <c r="E4941" s="271"/>
      <c r="F4941" s="271"/>
      <c r="G4941" s="273"/>
      <c r="H4941" s="29" t="str">
        <f t="shared" ref="H4941:H4946" si="673">IF(A4941="","",VLOOKUP(A4941,AA_Materiales,7,FALSE))</f>
        <v>Galón</v>
      </c>
      <c r="I4941" s="394">
        <f t="shared" ref="I4941:I4948" si="674">IF(A4941="","",VLOOKUP(A4941,AA_Materiales,8,FALSE))</f>
        <v>80900</v>
      </c>
      <c r="J4941" s="273"/>
      <c r="K4941" s="395">
        <v>0.03</v>
      </c>
      <c r="L4941" s="273"/>
      <c r="M4941" s="394">
        <f t="shared" ref="M4941:M4948" si="675">IF(A4941="","",I4941*K4941)</f>
        <v>2427</v>
      </c>
      <c r="N4941" s="273"/>
    </row>
    <row r="4942" spans="1:15" ht="12.75" customHeight="1" x14ac:dyDescent="0.2">
      <c r="A4942" s="400" t="s">
        <v>985</v>
      </c>
      <c r="B4942" s="271"/>
      <c r="C4942" s="271"/>
      <c r="D4942" s="271"/>
      <c r="E4942" s="271"/>
      <c r="F4942" s="271"/>
      <c r="G4942" s="273"/>
      <c r="H4942" s="29" t="str">
        <f t="shared" si="673"/>
        <v>Galón</v>
      </c>
      <c r="I4942" s="394">
        <f t="shared" si="674"/>
        <v>47200</v>
      </c>
      <c r="J4942" s="273"/>
      <c r="K4942" s="395">
        <v>0.03</v>
      </c>
      <c r="L4942" s="273"/>
      <c r="M4942" s="394">
        <f t="shared" si="675"/>
        <v>1416</v>
      </c>
      <c r="N4942" s="273"/>
    </row>
    <row r="4943" spans="1:15" ht="12.75" customHeight="1" x14ac:dyDescent="0.2">
      <c r="A4943" s="400" t="s">
        <v>1207</v>
      </c>
      <c r="B4943" s="271"/>
      <c r="C4943" s="271"/>
      <c r="D4943" s="271"/>
      <c r="E4943" s="271"/>
      <c r="F4943" s="271"/>
      <c r="G4943" s="273"/>
      <c r="H4943" s="29" t="str">
        <f t="shared" si="673"/>
        <v>Unidad</v>
      </c>
      <c r="I4943" s="394">
        <f t="shared" si="674"/>
        <v>124017.95</v>
      </c>
      <c r="J4943" s="273"/>
      <c r="K4943" s="395">
        <v>1</v>
      </c>
      <c r="L4943" s="273"/>
      <c r="M4943" s="394">
        <f t="shared" si="675"/>
        <v>124017.95</v>
      </c>
      <c r="N4943" s="273"/>
    </row>
    <row r="4944" spans="1:15" ht="12.75" customHeight="1" x14ac:dyDescent="0.2">
      <c r="A4944" s="400"/>
      <c r="B4944" s="271"/>
      <c r="C4944" s="271"/>
      <c r="D4944" s="271"/>
      <c r="E4944" s="271"/>
      <c r="F4944" s="271"/>
      <c r="G4944" s="273"/>
      <c r="H4944" s="29" t="str">
        <f t="shared" si="673"/>
        <v/>
      </c>
      <c r="I4944" s="394" t="str">
        <f t="shared" si="674"/>
        <v/>
      </c>
      <c r="J4944" s="273"/>
      <c r="K4944" s="395"/>
      <c r="L4944" s="273"/>
      <c r="M4944" s="394" t="str">
        <f t="shared" si="675"/>
        <v/>
      </c>
      <c r="N4944" s="273"/>
    </row>
    <row r="4945" spans="1:14" ht="12.75" customHeight="1" x14ac:dyDescent="0.2">
      <c r="A4945" s="400"/>
      <c r="B4945" s="271"/>
      <c r="C4945" s="271"/>
      <c r="D4945" s="271"/>
      <c r="E4945" s="271"/>
      <c r="F4945" s="271"/>
      <c r="G4945" s="273"/>
      <c r="H4945" s="29" t="str">
        <f t="shared" si="673"/>
        <v/>
      </c>
      <c r="I4945" s="394" t="str">
        <f t="shared" si="674"/>
        <v/>
      </c>
      <c r="J4945" s="273"/>
      <c r="K4945" s="395"/>
      <c r="L4945" s="273"/>
      <c r="M4945" s="394" t="str">
        <f t="shared" si="675"/>
        <v/>
      </c>
      <c r="N4945" s="273"/>
    </row>
    <row r="4946" spans="1:14" ht="12.75" customHeight="1" x14ac:dyDescent="0.2">
      <c r="A4946" s="400"/>
      <c r="B4946" s="271"/>
      <c r="C4946" s="271"/>
      <c r="D4946" s="271"/>
      <c r="E4946" s="271"/>
      <c r="F4946" s="271"/>
      <c r="G4946" s="273"/>
      <c r="H4946" s="29" t="str">
        <f t="shared" si="673"/>
        <v/>
      </c>
      <c r="I4946" s="394" t="str">
        <f t="shared" si="674"/>
        <v/>
      </c>
      <c r="J4946" s="273"/>
      <c r="K4946" s="395"/>
      <c r="L4946" s="273"/>
      <c r="M4946" s="394" t="str">
        <f t="shared" si="675"/>
        <v/>
      </c>
      <c r="N4946" s="273"/>
    </row>
    <row r="4947" spans="1:14" ht="12.75" customHeight="1" x14ac:dyDescent="0.2">
      <c r="A4947" s="400"/>
      <c r="B4947" s="271"/>
      <c r="C4947" s="271"/>
      <c r="D4947" s="271"/>
      <c r="E4947" s="271"/>
      <c r="F4947" s="271"/>
      <c r="G4947" s="273"/>
      <c r="H4947" s="29"/>
      <c r="I4947" s="394" t="str">
        <f t="shared" si="674"/>
        <v/>
      </c>
      <c r="J4947" s="273"/>
      <c r="K4947" s="395"/>
      <c r="L4947" s="273"/>
      <c r="M4947" s="394" t="str">
        <f t="shared" si="675"/>
        <v/>
      </c>
      <c r="N4947" s="273"/>
    </row>
    <row r="4948" spans="1:14" ht="12.75" customHeight="1" x14ac:dyDescent="0.2">
      <c r="A4948" s="400"/>
      <c r="B4948" s="271"/>
      <c r="C4948" s="271"/>
      <c r="D4948" s="271"/>
      <c r="E4948" s="271"/>
      <c r="F4948" s="271"/>
      <c r="G4948" s="273"/>
      <c r="H4948" s="29" t="str">
        <f>IF(A4948="","",VLOOKUP(A4948,AA_Materiales,7,FALSE))</f>
        <v/>
      </c>
      <c r="I4948" s="394" t="str">
        <f t="shared" si="674"/>
        <v/>
      </c>
      <c r="J4948" s="273"/>
      <c r="K4948" s="395"/>
      <c r="L4948" s="273"/>
      <c r="M4948" s="394" t="str">
        <f t="shared" si="675"/>
        <v/>
      </c>
      <c r="N4948" s="273"/>
    </row>
    <row r="4949" spans="1:14" ht="12.75" customHeight="1" x14ac:dyDescent="0.25">
      <c r="A4949" s="4"/>
      <c r="B4949" s="4"/>
      <c r="C4949" s="4"/>
      <c r="D4949" s="4"/>
      <c r="E4949" s="4"/>
      <c r="F4949" s="4"/>
      <c r="G4949" s="4"/>
      <c r="H4949" s="4"/>
      <c r="I4949" s="4"/>
      <c r="J4949" s="4"/>
      <c r="K4949" s="396" t="s">
        <v>444</v>
      </c>
      <c r="L4949" s="273"/>
      <c r="M4949" s="394">
        <f>SUM(M4941:N4948)</f>
        <v>127860.95</v>
      </c>
      <c r="N4949" s="273"/>
    </row>
    <row r="4950" spans="1:14" ht="12.75" customHeight="1" x14ac:dyDescent="0.25">
      <c r="A4950" s="4"/>
      <c r="B4950" s="4"/>
      <c r="C4950" s="4"/>
      <c r="D4950" s="4"/>
      <c r="E4950" s="4"/>
      <c r="F4950" s="4"/>
      <c r="G4950" s="4"/>
      <c r="H4950" s="4"/>
      <c r="I4950" s="4"/>
      <c r="J4950" s="4"/>
      <c r="K4950" s="4"/>
      <c r="L4950" s="4"/>
      <c r="M4950" s="4"/>
      <c r="N4950" s="4"/>
    </row>
    <row r="4951" spans="1:14" ht="12.75" customHeight="1" x14ac:dyDescent="0.2">
      <c r="A4951" s="398" t="s">
        <v>926</v>
      </c>
      <c r="B4951" s="271"/>
      <c r="C4951" s="271"/>
      <c r="D4951" s="271"/>
      <c r="E4951" s="271"/>
      <c r="F4951" s="271"/>
      <c r="G4951" s="271"/>
      <c r="H4951" s="271"/>
      <c r="I4951" s="271"/>
      <c r="J4951" s="271"/>
      <c r="K4951" s="271"/>
      <c r="L4951" s="271"/>
      <c r="M4951" s="271"/>
      <c r="N4951" s="273"/>
    </row>
    <row r="4952" spans="1:14" ht="12.75" customHeight="1" x14ac:dyDescent="0.2">
      <c r="A4952" s="396" t="s">
        <v>76</v>
      </c>
      <c r="B4952" s="271"/>
      <c r="C4952" s="271"/>
      <c r="D4952" s="271"/>
      <c r="E4952" s="271"/>
      <c r="F4952" s="271"/>
      <c r="G4952" s="273"/>
      <c r="H4952" s="88" t="s">
        <v>77</v>
      </c>
      <c r="I4952" s="399" t="s">
        <v>920</v>
      </c>
      <c r="J4952" s="273"/>
      <c r="K4952" s="399" t="s">
        <v>453</v>
      </c>
      <c r="L4952" s="273"/>
      <c r="M4952" s="399" t="s">
        <v>921</v>
      </c>
      <c r="N4952" s="273"/>
    </row>
    <row r="4953" spans="1:14" ht="12.75" customHeight="1" x14ac:dyDescent="0.2">
      <c r="A4953" s="400" t="s">
        <v>927</v>
      </c>
      <c r="B4953" s="271"/>
      <c r="C4953" s="271"/>
      <c r="D4953" s="271"/>
      <c r="E4953" s="271"/>
      <c r="F4953" s="271"/>
      <c r="G4953" s="273"/>
      <c r="H4953" s="29" t="str">
        <f>IF(A4953="","",VLOOKUP(A4953,AA_Equipos,7,FALSE))</f>
        <v>% M.O.</v>
      </c>
      <c r="I4953" s="394">
        <f>+M4976</f>
        <v>26333.582999999999</v>
      </c>
      <c r="J4953" s="273"/>
      <c r="K4953" s="404">
        <v>0.05</v>
      </c>
      <c r="L4953" s="273"/>
      <c r="M4953" s="394">
        <f t="shared" ref="M4953:M4957" si="676">IF(A4953="","",I4953*K4953)</f>
        <v>1316.6791499999999</v>
      </c>
      <c r="N4953" s="273"/>
    </row>
    <row r="4954" spans="1:14" ht="12.75" customHeight="1" x14ac:dyDescent="0.2">
      <c r="A4954" s="403"/>
      <c r="B4954" s="271"/>
      <c r="C4954" s="271"/>
      <c r="D4954" s="271"/>
      <c r="E4954" s="271"/>
      <c r="F4954" s="271"/>
      <c r="G4954" s="273"/>
      <c r="H4954" s="29" t="str">
        <f>IF(A4954="","",VLOOKUP(A4954,AA_Equipos,7,FALSE))</f>
        <v/>
      </c>
      <c r="I4954" s="394" t="str">
        <f>IF(A4954="","",VLOOKUP(A4954,AA_Equipos,8,FALSE))</f>
        <v/>
      </c>
      <c r="J4954" s="273"/>
      <c r="K4954" s="402"/>
      <c r="L4954" s="273"/>
      <c r="M4954" s="394" t="str">
        <f t="shared" si="676"/>
        <v/>
      </c>
      <c r="N4954" s="273"/>
    </row>
    <row r="4955" spans="1:14" ht="12.75" customHeight="1" x14ac:dyDescent="0.2">
      <c r="A4955" s="400"/>
      <c r="B4955" s="271"/>
      <c r="C4955" s="271"/>
      <c r="D4955" s="271"/>
      <c r="E4955" s="271"/>
      <c r="F4955" s="271"/>
      <c r="G4955" s="273"/>
      <c r="H4955" s="29" t="str">
        <f>IF(A4955="","",VLOOKUP(A4955,AA_Equipos,7,FALSE))</f>
        <v/>
      </c>
      <c r="I4955" s="394"/>
      <c r="J4955" s="273"/>
      <c r="K4955" s="404"/>
      <c r="L4955" s="273"/>
      <c r="M4955" s="394" t="str">
        <f t="shared" si="676"/>
        <v/>
      </c>
      <c r="N4955" s="273"/>
    </row>
    <row r="4956" spans="1:14" ht="12.75" customHeight="1" x14ac:dyDescent="0.2">
      <c r="A4956" s="400"/>
      <c r="B4956" s="271"/>
      <c r="C4956" s="271"/>
      <c r="D4956" s="271"/>
      <c r="E4956" s="271"/>
      <c r="F4956" s="271"/>
      <c r="G4956" s="273"/>
      <c r="H4956" s="29" t="str">
        <f>IF(A4956="","",VLOOKUP(A4956,AA_Equipos,7,FALSE))</f>
        <v/>
      </c>
      <c r="I4956" s="394" t="str">
        <f>IF(A4956="","",VLOOKUP(A4956,AA_Equipos,8,FALSE))</f>
        <v/>
      </c>
      <c r="J4956" s="273"/>
      <c r="K4956" s="395"/>
      <c r="L4956" s="273"/>
      <c r="M4956" s="394" t="str">
        <f t="shared" si="676"/>
        <v/>
      </c>
      <c r="N4956" s="273"/>
    </row>
    <row r="4957" spans="1:14" ht="12.75" customHeight="1" x14ac:dyDescent="0.2">
      <c r="A4957" s="400"/>
      <c r="B4957" s="271"/>
      <c r="C4957" s="271"/>
      <c r="D4957" s="271"/>
      <c r="E4957" s="271"/>
      <c r="F4957" s="271"/>
      <c r="G4957" s="273"/>
      <c r="H4957" s="29" t="str">
        <f>IF(A4957="","",VLOOKUP(A4957,AA_Equipos,7,FALSE))</f>
        <v/>
      </c>
      <c r="I4957" s="394" t="str">
        <f>IF(A4957="","",VLOOKUP(A4957,AA_Equipos,8,FALSE))</f>
        <v/>
      </c>
      <c r="J4957" s="273"/>
      <c r="K4957" s="395"/>
      <c r="L4957" s="273"/>
      <c r="M4957" s="394" t="str">
        <f t="shared" si="676"/>
        <v/>
      </c>
      <c r="N4957" s="273"/>
    </row>
    <row r="4958" spans="1:14" ht="12.75" customHeight="1" x14ac:dyDescent="0.25">
      <c r="A4958" s="4"/>
      <c r="B4958" s="4"/>
      <c r="C4958" s="4"/>
      <c r="D4958" s="4"/>
      <c r="E4958" s="4"/>
      <c r="F4958" s="4"/>
      <c r="G4958" s="4"/>
      <c r="H4958" s="4"/>
      <c r="I4958" s="4"/>
      <c r="J4958" s="4"/>
      <c r="K4958" s="396" t="s">
        <v>444</v>
      </c>
      <c r="L4958" s="273"/>
      <c r="M4958" s="394">
        <f>SUM(M4953:N4957)</f>
        <v>1316.6791499999999</v>
      </c>
      <c r="N4958" s="273"/>
    </row>
    <row r="4959" spans="1:14" ht="12.75" customHeight="1" x14ac:dyDescent="0.25">
      <c r="A4959" s="4"/>
      <c r="B4959" s="4"/>
      <c r="C4959" s="4"/>
      <c r="D4959" s="4"/>
      <c r="E4959" s="4"/>
      <c r="F4959" s="4"/>
      <c r="G4959" s="4"/>
      <c r="H4959" s="4"/>
      <c r="I4959" s="4"/>
      <c r="J4959" s="4"/>
      <c r="K4959" s="4"/>
      <c r="L4959" s="4"/>
      <c r="M4959" s="4"/>
      <c r="N4959" s="4"/>
    </row>
    <row r="4960" spans="1:14" ht="12.75" customHeight="1" x14ac:dyDescent="0.2">
      <c r="A4960" s="398" t="s">
        <v>929</v>
      </c>
      <c r="B4960" s="271"/>
      <c r="C4960" s="271"/>
      <c r="D4960" s="271"/>
      <c r="E4960" s="271"/>
      <c r="F4960" s="271"/>
      <c r="G4960" s="271"/>
      <c r="H4960" s="271"/>
      <c r="I4960" s="271"/>
      <c r="J4960" s="271"/>
      <c r="K4960" s="271"/>
      <c r="L4960" s="271"/>
      <c r="M4960" s="271"/>
      <c r="N4960" s="273"/>
    </row>
    <row r="4961" spans="1:14" ht="12.75" customHeight="1" x14ac:dyDescent="0.2">
      <c r="A4961" s="396" t="s">
        <v>76</v>
      </c>
      <c r="B4961" s="271"/>
      <c r="C4961" s="271"/>
      <c r="D4961" s="271"/>
      <c r="E4961" s="271"/>
      <c r="F4961" s="271"/>
      <c r="G4961" s="273"/>
      <c r="H4961" s="88" t="s">
        <v>77</v>
      </c>
      <c r="I4961" s="399" t="s">
        <v>920</v>
      </c>
      <c r="J4961" s="273"/>
      <c r="K4961" s="399" t="s">
        <v>453</v>
      </c>
      <c r="L4961" s="273"/>
      <c r="M4961" s="399" t="s">
        <v>921</v>
      </c>
      <c r="N4961" s="273"/>
    </row>
    <row r="4962" spans="1:14" ht="12.75" customHeight="1" x14ac:dyDescent="0.2">
      <c r="A4962" s="400" t="s">
        <v>930</v>
      </c>
      <c r="B4962" s="271"/>
      <c r="C4962" s="271"/>
      <c r="D4962" s="271"/>
      <c r="E4962" s="271"/>
      <c r="F4962" s="271"/>
      <c r="G4962" s="273"/>
      <c r="H4962" s="29" t="s">
        <v>24</v>
      </c>
      <c r="I4962" s="394">
        <f>+M4958+M4949</f>
        <v>129177.62914999999</v>
      </c>
      <c r="J4962" s="273"/>
      <c r="K4962" s="404">
        <v>0.05</v>
      </c>
      <c r="L4962" s="273"/>
      <c r="M4962" s="394">
        <f t="shared" ref="M4962:M4966" si="677">IF(A4962="","",I4962*K4962)</f>
        <v>6458.8814574999997</v>
      </c>
      <c r="N4962" s="273"/>
    </row>
    <row r="4963" spans="1:14" ht="12.75" customHeight="1" x14ac:dyDescent="0.2">
      <c r="A4963" s="403"/>
      <c r="B4963" s="271"/>
      <c r="C4963" s="271"/>
      <c r="D4963" s="271"/>
      <c r="E4963" s="271"/>
      <c r="F4963" s="271"/>
      <c r="G4963" s="273"/>
      <c r="H4963" s="29"/>
      <c r="I4963" s="394"/>
      <c r="J4963" s="273"/>
      <c r="K4963" s="404"/>
      <c r="L4963" s="273"/>
      <c r="M4963" s="394" t="str">
        <f t="shared" si="677"/>
        <v/>
      </c>
      <c r="N4963" s="273"/>
    </row>
    <row r="4964" spans="1:14" ht="12.75" customHeight="1" x14ac:dyDescent="0.2">
      <c r="A4964" s="400"/>
      <c r="B4964" s="271"/>
      <c r="C4964" s="271"/>
      <c r="D4964" s="271"/>
      <c r="E4964" s="271"/>
      <c r="F4964" s="271"/>
      <c r="G4964" s="273"/>
      <c r="H4964" s="29"/>
      <c r="I4964" s="394"/>
      <c r="J4964" s="273"/>
      <c r="K4964" s="395"/>
      <c r="L4964" s="273"/>
      <c r="M4964" s="394" t="str">
        <f t="shared" si="677"/>
        <v/>
      </c>
      <c r="N4964" s="273"/>
    </row>
    <row r="4965" spans="1:14" ht="12.75" customHeight="1" x14ac:dyDescent="0.2">
      <c r="A4965" s="400"/>
      <c r="B4965" s="271"/>
      <c r="C4965" s="271"/>
      <c r="D4965" s="271"/>
      <c r="E4965" s="271"/>
      <c r="F4965" s="271"/>
      <c r="G4965" s="273"/>
      <c r="H4965" s="29"/>
      <c r="I4965" s="394"/>
      <c r="J4965" s="273"/>
      <c r="K4965" s="395"/>
      <c r="L4965" s="273"/>
      <c r="M4965" s="394" t="str">
        <f t="shared" si="677"/>
        <v/>
      </c>
      <c r="N4965" s="273"/>
    </row>
    <row r="4966" spans="1:14" ht="12.75" customHeight="1" x14ac:dyDescent="0.2">
      <c r="A4966" s="400"/>
      <c r="B4966" s="271"/>
      <c r="C4966" s="271"/>
      <c r="D4966" s="271"/>
      <c r="E4966" s="271"/>
      <c r="F4966" s="271"/>
      <c r="G4966" s="273"/>
      <c r="H4966" s="29"/>
      <c r="I4966" s="394"/>
      <c r="J4966" s="273"/>
      <c r="K4966" s="395"/>
      <c r="L4966" s="273"/>
      <c r="M4966" s="394" t="str">
        <f t="shared" si="677"/>
        <v/>
      </c>
      <c r="N4966" s="273"/>
    </row>
    <row r="4967" spans="1:14" ht="12.75" customHeight="1" x14ac:dyDescent="0.25">
      <c r="A4967" s="4"/>
      <c r="B4967" s="4"/>
      <c r="C4967" s="4"/>
      <c r="D4967" s="4"/>
      <c r="E4967" s="4"/>
      <c r="F4967" s="4"/>
      <c r="G4967" s="4"/>
      <c r="H4967" s="4"/>
      <c r="I4967" s="4"/>
      <c r="J4967" s="4"/>
      <c r="K4967" s="396" t="s">
        <v>444</v>
      </c>
      <c r="L4967" s="273"/>
      <c r="M4967" s="394">
        <f>SUM(M4962:N4966)</f>
        <v>6458.8814574999997</v>
      </c>
      <c r="N4967" s="273"/>
    </row>
    <row r="4968" spans="1:14" ht="12.75" customHeight="1" x14ac:dyDescent="0.25">
      <c r="A4968" s="4"/>
      <c r="B4968" s="4"/>
      <c r="C4968" s="4"/>
      <c r="D4968" s="4"/>
      <c r="E4968" s="4"/>
      <c r="F4968" s="4"/>
      <c r="G4968" s="4"/>
      <c r="H4968" s="4"/>
      <c r="I4968" s="4"/>
      <c r="J4968" s="4"/>
      <c r="K4968" s="4"/>
      <c r="L4968" s="4"/>
      <c r="M4968" s="4"/>
      <c r="N4968" s="4"/>
    </row>
    <row r="4969" spans="1:14" ht="12.75" customHeight="1" x14ac:dyDescent="0.2">
      <c r="A4969" s="398" t="s">
        <v>931</v>
      </c>
      <c r="B4969" s="271"/>
      <c r="C4969" s="271"/>
      <c r="D4969" s="271"/>
      <c r="E4969" s="271"/>
      <c r="F4969" s="271"/>
      <c r="G4969" s="271"/>
      <c r="H4969" s="271"/>
      <c r="I4969" s="271"/>
      <c r="J4969" s="271"/>
      <c r="K4969" s="271"/>
      <c r="L4969" s="271"/>
      <c r="M4969" s="271"/>
      <c r="N4969" s="273"/>
    </row>
    <row r="4970" spans="1:14" ht="12.75" customHeight="1" x14ac:dyDescent="0.2">
      <c r="A4970" s="396" t="s">
        <v>76</v>
      </c>
      <c r="B4970" s="271"/>
      <c r="C4970" s="271"/>
      <c r="D4970" s="271"/>
      <c r="E4970" s="271"/>
      <c r="F4970" s="271"/>
      <c r="G4970" s="273"/>
      <c r="H4970" s="88" t="s">
        <v>77</v>
      </c>
      <c r="I4970" s="399" t="s">
        <v>920</v>
      </c>
      <c r="J4970" s="273"/>
      <c r="K4970" s="90" t="s">
        <v>514</v>
      </c>
      <c r="L4970" s="91" t="s">
        <v>932</v>
      </c>
      <c r="M4970" s="399" t="s">
        <v>921</v>
      </c>
      <c r="N4970" s="273"/>
    </row>
    <row r="4971" spans="1:14" ht="12.75" customHeight="1" x14ac:dyDescent="0.25">
      <c r="A4971" s="393" t="s">
        <v>951</v>
      </c>
      <c r="B4971" s="271"/>
      <c r="C4971" s="271"/>
      <c r="D4971" s="271"/>
      <c r="E4971" s="271"/>
      <c r="F4971" s="271"/>
      <c r="G4971" s="273"/>
      <c r="H4971" s="29" t="str">
        <f>IF(A4971="","",VLOOKUP(A4971,AA_Cuadrillas,4,FALSE))</f>
        <v>Cuadrilla</v>
      </c>
      <c r="I4971" s="394">
        <f>IF(A4971="","",VLOOKUP(A4971,AA_Cuadrillas,5,FALSE))</f>
        <v>186763</v>
      </c>
      <c r="J4971" s="273"/>
      <c r="K4971" s="9">
        <f>IF(A4971="","",F.P!$I$2)</f>
        <v>1.88</v>
      </c>
      <c r="L4971" s="93">
        <v>7.4999999999999997E-2</v>
      </c>
      <c r="M4971" s="394">
        <f t="shared" ref="M4971:M4975" si="678">IF(A4971="","",I4971*K4971*L4971)</f>
        <v>26333.582999999999</v>
      </c>
      <c r="N4971" s="273"/>
    </row>
    <row r="4972" spans="1:14" ht="12.75" customHeight="1" x14ac:dyDescent="0.25">
      <c r="A4972" s="393"/>
      <c r="B4972" s="271"/>
      <c r="C4972" s="271"/>
      <c r="D4972" s="271"/>
      <c r="E4972" s="271"/>
      <c r="F4972" s="271"/>
      <c r="G4972" s="273"/>
      <c r="H4972" s="29" t="str">
        <f>IF(A4972="","",VLOOKUP(A4972,AA_Cuadrillas,4,FALSE))</f>
        <v/>
      </c>
      <c r="I4972" s="394" t="str">
        <f>IF(A4972="","",VLOOKUP(A4972,AA_Cuadrillas,5,FALSE))</f>
        <v/>
      </c>
      <c r="J4972" s="273"/>
      <c r="K4972" s="9" t="str">
        <f>IF(A4972="","",F.P!$I$2)</f>
        <v/>
      </c>
      <c r="L4972" s="9"/>
      <c r="M4972" s="394" t="str">
        <f t="shared" si="678"/>
        <v/>
      </c>
      <c r="N4972" s="273"/>
    </row>
    <row r="4973" spans="1:14" ht="12.75" customHeight="1" x14ac:dyDescent="0.25">
      <c r="A4973" s="393"/>
      <c r="B4973" s="271"/>
      <c r="C4973" s="271"/>
      <c r="D4973" s="271"/>
      <c r="E4973" s="271"/>
      <c r="F4973" s="271"/>
      <c r="G4973" s="273"/>
      <c r="H4973" s="29" t="str">
        <f>IF(A4973="","",VLOOKUP(A4973,AA_Cuadrillas,4,FALSE))</f>
        <v/>
      </c>
      <c r="I4973" s="394" t="str">
        <f>IF(A4973="","",VLOOKUP(A4973,AA_Cuadrillas,5,FALSE))</f>
        <v/>
      </c>
      <c r="J4973" s="273"/>
      <c r="K4973" s="9" t="str">
        <f>IF(A4973="","",F.P!$I$2)</f>
        <v/>
      </c>
      <c r="L4973" s="37"/>
      <c r="M4973" s="394" t="str">
        <f t="shared" si="678"/>
        <v/>
      </c>
      <c r="N4973" s="273"/>
    </row>
    <row r="4974" spans="1:14" ht="12.75" customHeight="1" x14ac:dyDescent="0.25">
      <c r="A4974" s="393"/>
      <c r="B4974" s="271"/>
      <c r="C4974" s="271"/>
      <c r="D4974" s="271"/>
      <c r="E4974" s="271"/>
      <c r="F4974" s="271"/>
      <c r="G4974" s="273"/>
      <c r="H4974" s="29" t="str">
        <f>IF(A4974="","",VLOOKUP(A4974,AA_Cuadrillas,4,FALSE))</f>
        <v/>
      </c>
      <c r="I4974" s="394" t="str">
        <f>IF(A4974="","",VLOOKUP(A4974,AA_Cuadrillas,5,FALSE))</f>
        <v/>
      </c>
      <c r="J4974" s="273"/>
      <c r="K4974" s="9" t="str">
        <f>IF(A4974="","",F.P!$I$2)</f>
        <v/>
      </c>
      <c r="L4974" s="37"/>
      <c r="M4974" s="394" t="str">
        <f t="shared" si="678"/>
        <v/>
      </c>
      <c r="N4974" s="273"/>
    </row>
    <row r="4975" spans="1:14" ht="12.75" customHeight="1" x14ac:dyDescent="0.25">
      <c r="A4975" s="393"/>
      <c r="B4975" s="271"/>
      <c r="C4975" s="271"/>
      <c r="D4975" s="271"/>
      <c r="E4975" s="271"/>
      <c r="F4975" s="271"/>
      <c r="G4975" s="273"/>
      <c r="H4975" s="29" t="str">
        <f>IF(A4975="","",VLOOKUP(A4975,AA_Cuadrillas,4,FALSE))</f>
        <v/>
      </c>
      <c r="I4975" s="394" t="str">
        <f>IF(A4975="","",VLOOKUP(A4975,AA_Cuadrillas,5,FALSE))</f>
        <v/>
      </c>
      <c r="J4975" s="273"/>
      <c r="K4975" s="9" t="str">
        <f>IF(A4975="","",F.P!$I$2)</f>
        <v/>
      </c>
      <c r="L4975" s="37"/>
      <c r="M4975" s="394" t="str">
        <f t="shared" si="678"/>
        <v/>
      </c>
      <c r="N4975" s="273"/>
    </row>
    <row r="4976" spans="1:14" ht="12.75" customHeight="1" x14ac:dyDescent="0.25">
      <c r="A4976" s="4"/>
      <c r="B4976" s="4"/>
      <c r="C4976" s="4"/>
      <c r="D4976" s="4"/>
      <c r="E4976" s="4"/>
      <c r="F4976" s="4"/>
      <c r="G4976" s="4"/>
      <c r="H4976" s="4"/>
      <c r="I4976" s="4"/>
      <c r="J4976" s="4"/>
      <c r="K4976" s="396" t="s">
        <v>444</v>
      </c>
      <c r="L4976" s="273"/>
      <c r="M4976" s="394">
        <f>SUM(M4971:N4975)</f>
        <v>26333.582999999999</v>
      </c>
      <c r="N4976" s="273"/>
    </row>
    <row r="4977" spans="1:15" ht="12.75" customHeight="1" x14ac:dyDescent="0.2"/>
    <row r="4978" spans="1:15" ht="12.75" customHeight="1" x14ac:dyDescent="0.2">
      <c r="A4978" s="407" t="s">
        <v>1208</v>
      </c>
      <c r="B4978" s="275"/>
      <c r="C4978" s="275"/>
      <c r="D4978" s="275"/>
      <c r="E4978" s="275"/>
      <c r="F4978" s="275"/>
      <c r="G4978" s="275"/>
      <c r="H4978" s="275"/>
      <c r="I4978" s="275"/>
      <c r="J4978" s="275"/>
      <c r="K4978" s="275"/>
      <c r="L4978" s="275"/>
      <c r="M4978" s="275"/>
      <c r="N4978" s="276"/>
      <c r="O4978" s="166"/>
    </row>
    <row r="4979" spans="1:15" ht="12.75" customHeight="1" x14ac:dyDescent="0.2">
      <c r="A4979" s="277"/>
      <c r="B4979" s="278"/>
      <c r="C4979" s="278"/>
      <c r="D4979" s="278"/>
      <c r="E4979" s="278"/>
      <c r="F4979" s="278"/>
      <c r="G4979" s="278"/>
      <c r="H4979" s="278"/>
      <c r="I4979" s="278"/>
      <c r="J4979" s="278"/>
      <c r="K4979" s="278"/>
      <c r="L4979" s="278"/>
      <c r="M4979" s="278"/>
      <c r="N4979" s="279"/>
      <c r="O4979" s="166"/>
    </row>
    <row r="4980" spans="1:15" ht="12.75" customHeight="1" x14ac:dyDescent="0.2">
      <c r="A4980" s="75"/>
      <c r="B4980" s="75"/>
      <c r="C4980" s="75"/>
      <c r="D4980" s="75"/>
      <c r="E4980" s="75"/>
      <c r="F4980" s="75"/>
      <c r="G4980" s="75"/>
      <c r="H4980" s="75"/>
      <c r="I4980" s="75"/>
      <c r="J4980" s="75"/>
      <c r="K4980" s="75"/>
      <c r="L4980" s="75"/>
      <c r="M4980" s="75"/>
      <c r="N4980" s="75"/>
    </row>
    <row r="4981" spans="1:15" ht="12.75" customHeight="1" x14ac:dyDescent="0.3">
      <c r="A4981" s="79" t="s">
        <v>730</v>
      </c>
      <c r="B4981" s="80" t="str">
        <f>A4978</f>
        <v>SUMINISTRO E INSTALACIÓN DE TEE PVC  Ø4" (INCLUYE MATERIALES, HERRAMIENTAS Y MANO DE OBRA)</v>
      </c>
      <c r="C4981" s="81" t="s">
        <v>916</v>
      </c>
      <c r="D4981" s="82" t="s">
        <v>999</v>
      </c>
      <c r="E4981" s="83" t="s">
        <v>445</v>
      </c>
      <c r="F4981" s="234">
        <f>(H4981+J4981+L4981+N4981)*1.3</f>
        <v>306106.05446000001</v>
      </c>
      <c r="G4981" s="83" t="s">
        <v>607</v>
      </c>
      <c r="H4981" s="86">
        <f>M5002</f>
        <v>1350.4401538461541</v>
      </c>
      <c r="I4981" s="83" t="s">
        <v>918</v>
      </c>
      <c r="J4981" s="86">
        <f>M4993</f>
        <v>197180.41</v>
      </c>
      <c r="K4981" s="83" t="s">
        <v>609</v>
      </c>
      <c r="L4981" s="86">
        <f>M5011</f>
        <v>9926.5425076923093</v>
      </c>
      <c r="M4981" s="83" t="s">
        <v>610</v>
      </c>
      <c r="N4981" s="86">
        <f>M5020</f>
        <v>27008.803076923079</v>
      </c>
    </row>
    <row r="4982" spans="1:15" ht="12.75" customHeight="1" x14ac:dyDescent="0.25">
      <c r="A4982" s="87"/>
      <c r="B4982" s="87"/>
      <c r="C4982" s="87"/>
      <c r="D4982" s="87"/>
      <c r="E4982" s="87"/>
      <c r="F4982" s="87"/>
      <c r="G4982" s="87"/>
      <c r="J4982" s="87"/>
      <c r="K4982" s="215" t="s">
        <v>3217</v>
      </c>
      <c r="L4982" s="215">
        <f>+F4981*presup!$O$5</f>
        <v>397937.87079800002</v>
      </c>
      <c r="M4982" s="87"/>
      <c r="N4982" s="87"/>
    </row>
    <row r="4983" spans="1:15" ht="12.75" customHeight="1" x14ac:dyDescent="0.2">
      <c r="A4983" s="398" t="s">
        <v>919</v>
      </c>
      <c r="B4983" s="271"/>
      <c r="C4983" s="271"/>
      <c r="D4983" s="271"/>
      <c r="E4983" s="271"/>
      <c r="F4983" s="271"/>
      <c r="G4983" s="271"/>
      <c r="H4983" s="271"/>
      <c r="I4983" s="271"/>
      <c r="J4983" s="271"/>
      <c r="K4983" s="271"/>
      <c r="L4983" s="271"/>
      <c r="M4983" s="271"/>
      <c r="N4983" s="273"/>
    </row>
    <row r="4984" spans="1:15" ht="12.75" customHeight="1" x14ac:dyDescent="0.2">
      <c r="A4984" s="396" t="s">
        <v>76</v>
      </c>
      <c r="B4984" s="271"/>
      <c r="C4984" s="271"/>
      <c r="D4984" s="271"/>
      <c r="E4984" s="271"/>
      <c r="F4984" s="271"/>
      <c r="G4984" s="273"/>
      <c r="H4984" s="88" t="s">
        <v>77</v>
      </c>
      <c r="I4984" s="399" t="s">
        <v>920</v>
      </c>
      <c r="J4984" s="273"/>
      <c r="K4984" s="399" t="s">
        <v>453</v>
      </c>
      <c r="L4984" s="273"/>
      <c r="M4984" s="399" t="s">
        <v>921</v>
      </c>
      <c r="N4984" s="273"/>
    </row>
    <row r="4985" spans="1:15" ht="12.75" customHeight="1" x14ac:dyDescent="0.2">
      <c r="A4985" s="400" t="s">
        <v>984</v>
      </c>
      <c r="B4985" s="271"/>
      <c r="C4985" s="271"/>
      <c r="D4985" s="271"/>
      <c r="E4985" s="271"/>
      <c r="F4985" s="271"/>
      <c r="G4985" s="273"/>
      <c r="H4985" s="29" t="str">
        <f t="shared" ref="H4985:H4990" si="679">IF(A4985="","",VLOOKUP(A4985,AA_Materiales,7,FALSE))</f>
        <v>Galón</v>
      </c>
      <c r="I4985" s="394">
        <f t="shared" ref="I4985:I4992" si="680">IF(A4985="","",VLOOKUP(A4985,AA_Materiales,8,FALSE))</f>
        <v>80900</v>
      </c>
      <c r="J4985" s="273"/>
      <c r="K4985" s="395">
        <v>0.03</v>
      </c>
      <c r="L4985" s="273"/>
      <c r="M4985" s="394">
        <f t="shared" ref="M4985:M4992" si="681">IF(A4985="","",I4985*K4985)</f>
        <v>2427</v>
      </c>
      <c r="N4985" s="273"/>
    </row>
    <row r="4986" spans="1:15" ht="12.75" customHeight="1" x14ac:dyDescent="0.2">
      <c r="A4986" s="400" t="s">
        <v>985</v>
      </c>
      <c r="B4986" s="271"/>
      <c r="C4986" s="271"/>
      <c r="D4986" s="271"/>
      <c r="E4986" s="271"/>
      <c r="F4986" s="271"/>
      <c r="G4986" s="273"/>
      <c r="H4986" s="29" t="str">
        <f t="shared" si="679"/>
        <v>Galón</v>
      </c>
      <c r="I4986" s="394">
        <f t="shared" si="680"/>
        <v>47200</v>
      </c>
      <c r="J4986" s="273"/>
      <c r="K4986" s="395">
        <v>0.03</v>
      </c>
      <c r="L4986" s="273"/>
      <c r="M4986" s="394">
        <f t="shared" si="681"/>
        <v>1416</v>
      </c>
      <c r="N4986" s="273"/>
    </row>
    <row r="4987" spans="1:15" ht="12.75" customHeight="1" x14ac:dyDescent="0.2">
      <c r="A4987" s="400" t="s">
        <v>1209</v>
      </c>
      <c r="B4987" s="271"/>
      <c r="C4987" s="271"/>
      <c r="D4987" s="271"/>
      <c r="E4987" s="271"/>
      <c r="F4987" s="271"/>
      <c r="G4987" s="273"/>
      <c r="H4987" s="29" t="str">
        <f t="shared" si="679"/>
        <v>Unidad</v>
      </c>
      <c r="I4987" s="394">
        <f t="shared" si="680"/>
        <v>193337.41</v>
      </c>
      <c r="J4987" s="273"/>
      <c r="K4987" s="395">
        <v>1</v>
      </c>
      <c r="L4987" s="273"/>
      <c r="M4987" s="394">
        <f t="shared" si="681"/>
        <v>193337.41</v>
      </c>
      <c r="N4987" s="273"/>
    </row>
    <row r="4988" spans="1:15" ht="12.75" customHeight="1" x14ac:dyDescent="0.2">
      <c r="A4988" s="400"/>
      <c r="B4988" s="271"/>
      <c r="C4988" s="271"/>
      <c r="D4988" s="271"/>
      <c r="E4988" s="271"/>
      <c r="F4988" s="271"/>
      <c r="G4988" s="273"/>
      <c r="H4988" s="29" t="str">
        <f t="shared" si="679"/>
        <v/>
      </c>
      <c r="I4988" s="394" t="str">
        <f t="shared" si="680"/>
        <v/>
      </c>
      <c r="J4988" s="273"/>
      <c r="K4988" s="395"/>
      <c r="L4988" s="273"/>
      <c r="M4988" s="394" t="str">
        <f t="shared" si="681"/>
        <v/>
      </c>
      <c r="N4988" s="273"/>
    </row>
    <row r="4989" spans="1:15" ht="12.75" customHeight="1" x14ac:dyDescent="0.2">
      <c r="A4989" s="400"/>
      <c r="B4989" s="271"/>
      <c r="C4989" s="271"/>
      <c r="D4989" s="271"/>
      <c r="E4989" s="271"/>
      <c r="F4989" s="271"/>
      <c r="G4989" s="273"/>
      <c r="H4989" s="29" t="str">
        <f t="shared" si="679"/>
        <v/>
      </c>
      <c r="I4989" s="394" t="str">
        <f t="shared" si="680"/>
        <v/>
      </c>
      <c r="J4989" s="273"/>
      <c r="K4989" s="395"/>
      <c r="L4989" s="273"/>
      <c r="M4989" s="394" t="str">
        <f t="shared" si="681"/>
        <v/>
      </c>
      <c r="N4989" s="273"/>
    </row>
    <row r="4990" spans="1:15" ht="12.75" customHeight="1" x14ac:dyDescent="0.2">
      <c r="A4990" s="400"/>
      <c r="B4990" s="271"/>
      <c r="C4990" s="271"/>
      <c r="D4990" s="271"/>
      <c r="E4990" s="271"/>
      <c r="F4990" s="271"/>
      <c r="G4990" s="273"/>
      <c r="H4990" s="29" t="str">
        <f t="shared" si="679"/>
        <v/>
      </c>
      <c r="I4990" s="394" t="str">
        <f t="shared" si="680"/>
        <v/>
      </c>
      <c r="J4990" s="273"/>
      <c r="K4990" s="395"/>
      <c r="L4990" s="273"/>
      <c r="M4990" s="394" t="str">
        <f t="shared" si="681"/>
        <v/>
      </c>
      <c r="N4990" s="273"/>
    </row>
    <row r="4991" spans="1:15" ht="12.75" customHeight="1" x14ac:dyDescent="0.2">
      <c r="A4991" s="400"/>
      <c r="B4991" s="271"/>
      <c r="C4991" s="271"/>
      <c r="D4991" s="271"/>
      <c r="E4991" s="271"/>
      <c r="F4991" s="271"/>
      <c r="G4991" s="273"/>
      <c r="H4991" s="29"/>
      <c r="I4991" s="394" t="str">
        <f t="shared" si="680"/>
        <v/>
      </c>
      <c r="J4991" s="273"/>
      <c r="K4991" s="395"/>
      <c r="L4991" s="273"/>
      <c r="M4991" s="394" t="str">
        <f t="shared" si="681"/>
        <v/>
      </c>
      <c r="N4991" s="273"/>
    </row>
    <row r="4992" spans="1:15" ht="12.75" customHeight="1" x14ac:dyDescent="0.2">
      <c r="A4992" s="400"/>
      <c r="B4992" s="271"/>
      <c r="C4992" s="271"/>
      <c r="D4992" s="271"/>
      <c r="E4992" s="271"/>
      <c r="F4992" s="271"/>
      <c r="G4992" s="273"/>
      <c r="H4992" s="29" t="str">
        <f>IF(A4992="","",VLOOKUP(A4992,AA_Materiales,7,FALSE))</f>
        <v/>
      </c>
      <c r="I4992" s="394" t="str">
        <f t="shared" si="680"/>
        <v/>
      </c>
      <c r="J4992" s="273"/>
      <c r="K4992" s="395"/>
      <c r="L4992" s="273"/>
      <c r="M4992" s="394" t="str">
        <f t="shared" si="681"/>
        <v/>
      </c>
      <c r="N4992" s="273"/>
    </row>
    <row r="4993" spans="1:14" ht="12.75" customHeight="1" x14ac:dyDescent="0.25">
      <c r="A4993" s="4"/>
      <c r="B4993" s="4"/>
      <c r="C4993" s="4"/>
      <c r="D4993" s="4"/>
      <c r="E4993" s="4"/>
      <c r="F4993" s="4"/>
      <c r="G4993" s="4"/>
      <c r="H4993" s="4"/>
      <c r="I4993" s="4"/>
      <c r="J4993" s="4"/>
      <c r="K4993" s="396" t="s">
        <v>444</v>
      </c>
      <c r="L4993" s="273"/>
      <c r="M4993" s="394">
        <f>SUM(M4985:N4992)</f>
        <v>197180.41</v>
      </c>
      <c r="N4993" s="273"/>
    </row>
    <row r="4994" spans="1:14" ht="12.75" customHeight="1" x14ac:dyDescent="0.25">
      <c r="A4994" s="4"/>
      <c r="B4994" s="4"/>
      <c r="C4994" s="4"/>
      <c r="D4994" s="4"/>
      <c r="E4994" s="4"/>
      <c r="F4994" s="4"/>
      <c r="G4994" s="4"/>
      <c r="H4994" s="4"/>
      <c r="I4994" s="4"/>
      <c r="J4994" s="4"/>
      <c r="K4994" s="4"/>
      <c r="L4994" s="4"/>
      <c r="M4994" s="4"/>
      <c r="N4994" s="4"/>
    </row>
    <row r="4995" spans="1:14" ht="12.75" customHeight="1" x14ac:dyDescent="0.2">
      <c r="A4995" s="398" t="s">
        <v>926</v>
      </c>
      <c r="B4995" s="271"/>
      <c r="C4995" s="271"/>
      <c r="D4995" s="271"/>
      <c r="E4995" s="271"/>
      <c r="F4995" s="271"/>
      <c r="G4995" s="271"/>
      <c r="H4995" s="271"/>
      <c r="I4995" s="271"/>
      <c r="J4995" s="271"/>
      <c r="K4995" s="271"/>
      <c r="L4995" s="271"/>
      <c r="M4995" s="271"/>
      <c r="N4995" s="273"/>
    </row>
    <row r="4996" spans="1:14" ht="12.75" customHeight="1" x14ac:dyDescent="0.2">
      <c r="A4996" s="396" t="s">
        <v>76</v>
      </c>
      <c r="B4996" s="271"/>
      <c r="C4996" s="271"/>
      <c r="D4996" s="271"/>
      <c r="E4996" s="271"/>
      <c r="F4996" s="271"/>
      <c r="G4996" s="273"/>
      <c r="H4996" s="88" t="s">
        <v>77</v>
      </c>
      <c r="I4996" s="399" t="s">
        <v>920</v>
      </c>
      <c r="J4996" s="273"/>
      <c r="K4996" s="399" t="s">
        <v>453</v>
      </c>
      <c r="L4996" s="273"/>
      <c r="M4996" s="399" t="s">
        <v>921</v>
      </c>
      <c r="N4996" s="273"/>
    </row>
    <row r="4997" spans="1:14" ht="12.75" customHeight="1" x14ac:dyDescent="0.2">
      <c r="A4997" s="400" t="s">
        <v>927</v>
      </c>
      <c r="B4997" s="271"/>
      <c r="C4997" s="271"/>
      <c r="D4997" s="271"/>
      <c r="E4997" s="271"/>
      <c r="F4997" s="271"/>
      <c r="G4997" s="273"/>
      <c r="H4997" s="29" t="str">
        <f>IF(A4997="","",VLOOKUP(A4997,AA_Equipos,7,FALSE))</f>
        <v>% M.O.</v>
      </c>
      <c r="I4997" s="394">
        <f>+M5020</f>
        <v>27008.803076923079</v>
      </c>
      <c r="J4997" s="273"/>
      <c r="K4997" s="404">
        <v>0.05</v>
      </c>
      <c r="L4997" s="273"/>
      <c r="M4997" s="394">
        <f t="shared" ref="M4997:M5001" si="682">IF(A4997="","",I4997*K4997)</f>
        <v>1350.4401538461541</v>
      </c>
      <c r="N4997" s="273"/>
    </row>
    <row r="4998" spans="1:14" ht="12.75" customHeight="1" x14ac:dyDescent="0.2">
      <c r="A4998" s="403"/>
      <c r="B4998" s="271"/>
      <c r="C4998" s="271"/>
      <c r="D4998" s="271"/>
      <c r="E4998" s="271"/>
      <c r="F4998" s="271"/>
      <c r="G4998" s="273"/>
      <c r="H4998" s="29" t="str">
        <f>IF(A4998="","",VLOOKUP(A4998,AA_Equipos,7,FALSE))</f>
        <v/>
      </c>
      <c r="I4998" s="394" t="str">
        <f>IF(A4998="","",VLOOKUP(A4998,AA_Equipos,8,FALSE))</f>
        <v/>
      </c>
      <c r="J4998" s="273"/>
      <c r="K4998" s="402"/>
      <c r="L4998" s="273"/>
      <c r="M4998" s="394" t="str">
        <f t="shared" si="682"/>
        <v/>
      </c>
      <c r="N4998" s="273"/>
    </row>
    <row r="4999" spans="1:14" ht="12.75" customHeight="1" x14ac:dyDescent="0.2">
      <c r="A4999" s="400"/>
      <c r="B4999" s="271"/>
      <c r="C4999" s="271"/>
      <c r="D4999" s="271"/>
      <c r="E4999" s="271"/>
      <c r="F4999" s="271"/>
      <c r="G4999" s="273"/>
      <c r="H4999" s="29" t="str">
        <f>IF(A4999="","",VLOOKUP(A4999,AA_Equipos,7,FALSE))</f>
        <v/>
      </c>
      <c r="I4999" s="394"/>
      <c r="J4999" s="273"/>
      <c r="K4999" s="404"/>
      <c r="L4999" s="273"/>
      <c r="M4999" s="394" t="str">
        <f t="shared" si="682"/>
        <v/>
      </c>
      <c r="N4999" s="273"/>
    </row>
    <row r="5000" spans="1:14" ht="12.75" customHeight="1" x14ac:dyDescent="0.2">
      <c r="A5000" s="400"/>
      <c r="B5000" s="271"/>
      <c r="C5000" s="271"/>
      <c r="D5000" s="271"/>
      <c r="E5000" s="271"/>
      <c r="F5000" s="271"/>
      <c r="G5000" s="273"/>
      <c r="H5000" s="29" t="str">
        <f>IF(A5000="","",VLOOKUP(A5000,AA_Equipos,7,FALSE))</f>
        <v/>
      </c>
      <c r="I5000" s="394" t="str">
        <f>IF(A5000="","",VLOOKUP(A5000,AA_Equipos,8,FALSE))</f>
        <v/>
      </c>
      <c r="J5000" s="273"/>
      <c r="K5000" s="395"/>
      <c r="L5000" s="273"/>
      <c r="M5000" s="394" t="str">
        <f t="shared" si="682"/>
        <v/>
      </c>
      <c r="N5000" s="273"/>
    </row>
    <row r="5001" spans="1:14" ht="12.75" customHeight="1" x14ac:dyDescent="0.2">
      <c r="A5001" s="400"/>
      <c r="B5001" s="271"/>
      <c r="C5001" s="271"/>
      <c r="D5001" s="271"/>
      <c r="E5001" s="271"/>
      <c r="F5001" s="271"/>
      <c r="G5001" s="273"/>
      <c r="H5001" s="29" t="str">
        <f>IF(A5001="","",VLOOKUP(A5001,AA_Equipos,7,FALSE))</f>
        <v/>
      </c>
      <c r="I5001" s="394" t="str">
        <f>IF(A5001="","",VLOOKUP(A5001,AA_Equipos,8,FALSE))</f>
        <v/>
      </c>
      <c r="J5001" s="273"/>
      <c r="K5001" s="395"/>
      <c r="L5001" s="273"/>
      <c r="M5001" s="394" t="str">
        <f t="shared" si="682"/>
        <v/>
      </c>
      <c r="N5001" s="273"/>
    </row>
    <row r="5002" spans="1:14" ht="12.75" customHeight="1" x14ac:dyDescent="0.25">
      <c r="A5002" s="4"/>
      <c r="B5002" s="4"/>
      <c r="C5002" s="4"/>
      <c r="D5002" s="4"/>
      <c r="E5002" s="4"/>
      <c r="F5002" s="4"/>
      <c r="G5002" s="4"/>
      <c r="H5002" s="4"/>
      <c r="I5002" s="4"/>
      <c r="J5002" s="4"/>
      <c r="K5002" s="396" t="s">
        <v>444</v>
      </c>
      <c r="L5002" s="273"/>
      <c r="M5002" s="394">
        <f>SUM(M4997:N5001)</f>
        <v>1350.4401538461541</v>
      </c>
      <c r="N5002" s="273"/>
    </row>
    <row r="5003" spans="1:14" ht="12.75" customHeight="1" x14ac:dyDescent="0.25">
      <c r="A5003" s="4"/>
      <c r="B5003" s="4"/>
      <c r="C5003" s="4"/>
      <c r="D5003" s="4"/>
      <c r="E5003" s="4"/>
      <c r="F5003" s="4"/>
      <c r="G5003" s="4"/>
      <c r="H5003" s="4"/>
      <c r="I5003" s="4"/>
      <c r="J5003" s="4"/>
      <c r="K5003" s="4"/>
      <c r="L5003" s="4"/>
      <c r="M5003" s="4"/>
      <c r="N5003" s="4"/>
    </row>
    <row r="5004" spans="1:14" ht="12.75" customHeight="1" x14ac:dyDescent="0.2">
      <c r="A5004" s="398" t="s">
        <v>929</v>
      </c>
      <c r="B5004" s="271"/>
      <c r="C5004" s="271"/>
      <c r="D5004" s="271"/>
      <c r="E5004" s="271"/>
      <c r="F5004" s="271"/>
      <c r="G5004" s="271"/>
      <c r="H5004" s="271"/>
      <c r="I5004" s="271"/>
      <c r="J5004" s="271"/>
      <c r="K5004" s="271"/>
      <c r="L5004" s="271"/>
      <c r="M5004" s="271"/>
      <c r="N5004" s="273"/>
    </row>
    <row r="5005" spans="1:14" ht="12.75" customHeight="1" x14ac:dyDescent="0.2">
      <c r="A5005" s="396" t="s">
        <v>76</v>
      </c>
      <c r="B5005" s="271"/>
      <c r="C5005" s="271"/>
      <c r="D5005" s="271"/>
      <c r="E5005" s="271"/>
      <c r="F5005" s="271"/>
      <c r="G5005" s="273"/>
      <c r="H5005" s="88" t="s">
        <v>77</v>
      </c>
      <c r="I5005" s="399" t="s">
        <v>920</v>
      </c>
      <c r="J5005" s="273"/>
      <c r="K5005" s="399" t="s">
        <v>453</v>
      </c>
      <c r="L5005" s="273"/>
      <c r="M5005" s="399" t="s">
        <v>921</v>
      </c>
      <c r="N5005" s="273"/>
    </row>
    <row r="5006" spans="1:14" ht="12.75" customHeight="1" x14ac:dyDescent="0.2">
      <c r="A5006" s="400" t="s">
        <v>930</v>
      </c>
      <c r="B5006" s="271"/>
      <c r="C5006" s="271"/>
      <c r="D5006" s="271"/>
      <c r="E5006" s="271"/>
      <c r="F5006" s="271"/>
      <c r="G5006" s="273"/>
      <c r="H5006" s="29" t="s">
        <v>24</v>
      </c>
      <c r="I5006" s="394">
        <f>+M4993+M5002</f>
        <v>198530.85015384617</v>
      </c>
      <c r="J5006" s="273"/>
      <c r="K5006" s="404">
        <v>0.05</v>
      </c>
      <c r="L5006" s="273"/>
      <c r="M5006" s="394">
        <f t="shared" ref="M5006:M5010" si="683">IF(A5006="","",I5006*K5006)</f>
        <v>9926.5425076923093</v>
      </c>
      <c r="N5006" s="273"/>
    </row>
    <row r="5007" spans="1:14" ht="12.75" customHeight="1" x14ac:dyDescent="0.2">
      <c r="A5007" s="403"/>
      <c r="B5007" s="271"/>
      <c r="C5007" s="271"/>
      <c r="D5007" s="271"/>
      <c r="E5007" s="271"/>
      <c r="F5007" s="271"/>
      <c r="G5007" s="273"/>
      <c r="H5007" s="29"/>
      <c r="I5007" s="394"/>
      <c r="J5007" s="273"/>
      <c r="K5007" s="404"/>
      <c r="L5007" s="273"/>
      <c r="M5007" s="394" t="str">
        <f t="shared" si="683"/>
        <v/>
      </c>
      <c r="N5007" s="273"/>
    </row>
    <row r="5008" spans="1:14" ht="12.75" customHeight="1" x14ac:dyDescent="0.2">
      <c r="A5008" s="400"/>
      <c r="B5008" s="271"/>
      <c r="C5008" s="271"/>
      <c r="D5008" s="271"/>
      <c r="E5008" s="271"/>
      <c r="F5008" s="271"/>
      <c r="G5008" s="273"/>
      <c r="H5008" s="29"/>
      <c r="I5008" s="394"/>
      <c r="J5008" s="273"/>
      <c r="K5008" s="395"/>
      <c r="L5008" s="273"/>
      <c r="M5008" s="394" t="str">
        <f t="shared" si="683"/>
        <v/>
      </c>
      <c r="N5008" s="273"/>
    </row>
    <row r="5009" spans="1:14" ht="12.75" customHeight="1" x14ac:dyDescent="0.2">
      <c r="A5009" s="400"/>
      <c r="B5009" s="271"/>
      <c r="C5009" s="271"/>
      <c r="D5009" s="271"/>
      <c r="E5009" s="271"/>
      <c r="F5009" s="271"/>
      <c r="G5009" s="273"/>
      <c r="H5009" s="29"/>
      <c r="I5009" s="394"/>
      <c r="J5009" s="273"/>
      <c r="K5009" s="395"/>
      <c r="L5009" s="273"/>
      <c r="M5009" s="394" t="str">
        <f t="shared" si="683"/>
        <v/>
      </c>
      <c r="N5009" s="273"/>
    </row>
    <row r="5010" spans="1:14" ht="12.75" customHeight="1" x14ac:dyDescent="0.2">
      <c r="A5010" s="400"/>
      <c r="B5010" s="271"/>
      <c r="C5010" s="271"/>
      <c r="D5010" s="271"/>
      <c r="E5010" s="271"/>
      <c r="F5010" s="271"/>
      <c r="G5010" s="273"/>
      <c r="H5010" s="29"/>
      <c r="I5010" s="394"/>
      <c r="J5010" s="273"/>
      <c r="K5010" s="395"/>
      <c r="L5010" s="273"/>
      <c r="M5010" s="394" t="str">
        <f t="shared" si="683"/>
        <v/>
      </c>
      <c r="N5010" s="273"/>
    </row>
    <row r="5011" spans="1:14" ht="12.75" customHeight="1" x14ac:dyDescent="0.25">
      <c r="A5011" s="4"/>
      <c r="B5011" s="4"/>
      <c r="C5011" s="4"/>
      <c r="D5011" s="4"/>
      <c r="E5011" s="4"/>
      <c r="F5011" s="4"/>
      <c r="G5011" s="4"/>
      <c r="H5011" s="4"/>
      <c r="I5011" s="4"/>
      <c r="J5011" s="4"/>
      <c r="K5011" s="396" t="s">
        <v>444</v>
      </c>
      <c r="L5011" s="273"/>
      <c r="M5011" s="394">
        <f>SUM(M5006:N5010)</f>
        <v>9926.5425076923093</v>
      </c>
      <c r="N5011" s="273"/>
    </row>
    <row r="5012" spans="1:14" ht="12.75" customHeight="1" x14ac:dyDescent="0.25">
      <c r="A5012" s="4"/>
      <c r="B5012" s="4"/>
      <c r="C5012" s="4"/>
      <c r="D5012" s="4"/>
      <c r="E5012" s="4"/>
      <c r="F5012" s="4"/>
      <c r="G5012" s="4"/>
      <c r="H5012" s="4"/>
      <c r="I5012" s="4"/>
      <c r="J5012" s="4"/>
      <c r="K5012" s="4"/>
      <c r="L5012" s="4"/>
      <c r="M5012" s="4"/>
      <c r="N5012" s="4"/>
    </row>
    <row r="5013" spans="1:14" ht="12.75" customHeight="1" x14ac:dyDescent="0.2">
      <c r="A5013" s="398" t="s">
        <v>931</v>
      </c>
      <c r="B5013" s="271"/>
      <c r="C5013" s="271"/>
      <c r="D5013" s="271"/>
      <c r="E5013" s="271"/>
      <c r="F5013" s="271"/>
      <c r="G5013" s="271"/>
      <c r="H5013" s="271"/>
      <c r="I5013" s="271"/>
      <c r="J5013" s="271"/>
      <c r="K5013" s="271"/>
      <c r="L5013" s="271"/>
      <c r="M5013" s="271"/>
      <c r="N5013" s="273"/>
    </row>
    <row r="5014" spans="1:14" ht="12.75" customHeight="1" x14ac:dyDescent="0.2">
      <c r="A5014" s="396" t="s">
        <v>76</v>
      </c>
      <c r="B5014" s="271"/>
      <c r="C5014" s="271"/>
      <c r="D5014" s="271"/>
      <c r="E5014" s="271"/>
      <c r="F5014" s="271"/>
      <c r="G5014" s="273"/>
      <c r="H5014" s="88" t="s">
        <v>77</v>
      </c>
      <c r="I5014" s="399" t="s">
        <v>920</v>
      </c>
      <c r="J5014" s="273"/>
      <c r="K5014" s="90" t="s">
        <v>514</v>
      </c>
      <c r="L5014" s="91" t="s">
        <v>932</v>
      </c>
      <c r="M5014" s="399" t="s">
        <v>921</v>
      </c>
      <c r="N5014" s="273"/>
    </row>
    <row r="5015" spans="1:14" ht="12.75" customHeight="1" x14ac:dyDescent="0.25">
      <c r="A5015" s="393" t="s">
        <v>986</v>
      </c>
      <c r="B5015" s="271"/>
      <c r="C5015" s="271"/>
      <c r="D5015" s="271"/>
      <c r="E5015" s="271"/>
      <c r="F5015" s="271"/>
      <c r="G5015" s="273"/>
      <c r="H5015" s="29" t="str">
        <f>IF(A5015="","",VLOOKUP(A5015,AA_Cuadrillas,4,FALSE))</f>
        <v>Cuadrilla</v>
      </c>
      <c r="I5015" s="394">
        <f>IF(A5015="","",VLOOKUP(A5015,AA_Cuadrillas,5,FALSE))</f>
        <v>186763</v>
      </c>
      <c r="J5015" s="273"/>
      <c r="K5015" s="9">
        <f>IF(A5015="","",F.P!$I$2)</f>
        <v>1.88</v>
      </c>
      <c r="L5015" s="93">
        <v>7.6923076923076927E-2</v>
      </c>
      <c r="M5015" s="394">
        <f t="shared" ref="M5015:M5019" si="684">IF(A5015="","",I5015*K5015*L5015)</f>
        <v>27008.803076923079</v>
      </c>
      <c r="N5015" s="273"/>
    </row>
    <row r="5016" spans="1:14" ht="12.75" customHeight="1" x14ac:dyDescent="0.25">
      <c r="A5016" s="393"/>
      <c r="B5016" s="271"/>
      <c r="C5016" s="271"/>
      <c r="D5016" s="271"/>
      <c r="E5016" s="271"/>
      <c r="F5016" s="271"/>
      <c r="G5016" s="273"/>
      <c r="H5016" s="29" t="str">
        <f>IF(A5016="","",VLOOKUP(A5016,AA_Cuadrillas,4,FALSE))</f>
        <v/>
      </c>
      <c r="I5016" s="394" t="str">
        <f>IF(A5016="","",VLOOKUP(A5016,AA_Cuadrillas,5,FALSE))</f>
        <v/>
      </c>
      <c r="J5016" s="273"/>
      <c r="K5016" s="9" t="str">
        <f>IF(A5016="","",F.P!$I$2)</f>
        <v/>
      </c>
      <c r="L5016" s="9"/>
      <c r="M5016" s="394" t="str">
        <f t="shared" si="684"/>
        <v/>
      </c>
      <c r="N5016" s="273"/>
    </row>
    <row r="5017" spans="1:14" ht="12.75" customHeight="1" x14ac:dyDescent="0.25">
      <c r="A5017" s="393"/>
      <c r="B5017" s="271"/>
      <c r="C5017" s="271"/>
      <c r="D5017" s="271"/>
      <c r="E5017" s="271"/>
      <c r="F5017" s="271"/>
      <c r="G5017" s="273"/>
      <c r="H5017" s="29" t="str">
        <f>IF(A5017="","",VLOOKUP(A5017,AA_Cuadrillas,4,FALSE))</f>
        <v/>
      </c>
      <c r="I5017" s="394" t="str">
        <f>IF(A5017="","",VLOOKUP(A5017,AA_Cuadrillas,5,FALSE))</f>
        <v/>
      </c>
      <c r="J5017" s="273"/>
      <c r="K5017" s="9" t="str">
        <f>IF(A5017="","",F.P!$I$2)</f>
        <v/>
      </c>
      <c r="L5017" s="37"/>
      <c r="M5017" s="394" t="str">
        <f t="shared" si="684"/>
        <v/>
      </c>
      <c r="N5017" s="273"/>
    </row>
    <row r="5018" spans="1:14" ht="12.75" customHeight="1" x14ac:dyDescent="0.25">
      <c r="A5018" s="393"/>
      <c r="B5018" s="271"/>
      <c r="C5018" s="271"/>
      <c r="D5018" s="271"/>
      <c r="E5018" s="271"/>
      <c r="F5018" s="271"/>
      <c r="G5018" s="273"/>
      <c r="H5018" s="29" t="str">
        <f>IF(A5018="","",VLOOKUP(A5018,AA_Cuadrillas,4,FALSE))</f>
        <v/>
      </c>
      <c r="I5018" s="394" t="str">
        <f>IF(A5018="","",VLOOKUP(A5018,AA_Cuadrillas,5,FALSE))</f>
        <v/>
      </c>
      <c r="J5018" s="273"/>
      <c r="K5018" s="9" t="str">
        <f>IF(A5018="","",F.P!$I$2)</f>
        <v/>
      </c>
      <c r="L5018" s="37"/>
      <c r="M5018" s="394" t="str">
        <f t="shared" si="684"/>
        <v/>
      </c>
      <c r="N5018" s="273"/>
    </row>
    <row r="5019" spans="1:14" ht="12.75" customHeight="1" x14ac:dyDescent="0.25">
      <c r="A5019" s="393"/>
      <c r="B5019" s="271"/>
      <c r="C5019" s="271"/>
      <c r="D5019" s="271"/>
      <c r="E5019" s="271"/>
      <c r="F5019" s="271"/>
      <c r="G5019" s="273"/>
      <c r="H5019" s="29" t="str">
        <f>IF(A5019="","",VLOOKUP(A5019,AA_Cuadrillas,4,FALSE))</f>
        <v/>
      </c>
      <c r="I5019" s="394" t="str">
        <f>IF(A5019="","",VLOOKUP(A5019,AA_Cuadrillas,5,FALSE))</f>
        <v/>
      </c>
      <c r="J5019" s="273"/>
      <c r="K5019" s="9" t="str">
        <f>IF(A5019="","",F.P!$I$2)</f>
        <v/>
      </c>
      <c r="L5019" s="37"/>
      <c r="M5019" s="394" t="str">
        <f t="shared" si="684"/>
        <v/>
      </c>
      <c r="N5019" s="273"/>
    </row>
    <row r="5020" spans="1:14" ht="12.75" customHeight="1" x14ac:dyDescent="0.25">
      <c r="A5020" s="4"/>
      <c r="B5020" s="4"/>
      <c r="C5020" s="4"/>
      <c r="D5020" s="4"/>
      <c r="E5020" s="4"/>
      <c r="F5020" s="4"/>
      <c r="G5020" s="4"/>
      <c r="H5020" s="4"/>
      <c r="I5020" s="4"/>
      <c r="J5020" s="4"/>
      <c r="K5020" s="396" t="s">
        <v>444</v>
      </c>
      <c r="L5020" s="273"/>
      <c r="M5020" s="394">
        <f>SUM(M5015:N5019)</f>
        <v>27008.803076923079</v>
      </c>
      <c r="N5020" s="273"/>
    </row>
    <row r="5021" spans="1:14" ht="12.75" customHeight="1" x14ac:dyDescent="0.2"/>
    <row r="5022" spans="1:14" ht="12.75" customHeight="1" x14ac:dyDescent="0.2">
      <c r="A5022" s="407" t="s">
        <v>1210</v>
      </c>
      <c r="B5022" s="275"/>
      <c r="C5022" s="275"/>
      <c r="D5022" s="275"/>
      <c r="E5022" s="275"/>
      <c r="F5022" s="275"/>
      <c r="G5022" s="275"/>
      <c r="H5022" s="275"/>
      <c r="I5022" s="275"/>
      <c r="J5022" s="275"/>
      <c r="K5022" s="275"/>
      <c r="L5022" s="275"/>
      <c r="M5022" s="275"/>
      <c r="N5022" s="276"/>
    </row>
    <row r="5023" spans="1:14" ht="12.75" customHeight="1" x14ac:dyDescent="0.2">
      <c r="A5023" s="277"/>
      <c r="B5023" s="278"/>
      <c r="C5023" s="278"/>
      <c r="D5023" s="278"/>
      <c r="E5023" s="278"/>
      <c r="F5023" s="278"/>
      <c r="G5023" s="278"/>
      <c r="H5023" s="278"/>
      <c r="I5023" s="278"/>
      <c r="J5023" s="278"/>
      <c r="K5023" s="278"/>
      <c r="L5023" s="278"/>
      <c r="M5023" s="278"/>
      <c r="N5023" s="279"/>
    </row>
    <row r="5024" spans="1:14" ht="12.75" customHeight="1" x14ac:dyDescent="0.2">
      <c r="A5024" s="75"/>
      <c r="B5024" s="75"/>
      <c r="C5024" s="75"/>
      <c r="D5024" s="75"/>
      <c r="E5024" s="75"/>
      <c r="F5024" s="75"/>
      <c r="G5024" s="75"/>
      <c r="H5024" s="75"/>
      <c r="I5024" s="75"/>
      <c r="J5024" s="75"/>
      <c r="K5024" s="75"/>
      <c r="L5024" s="75"/>
      <c r="M5024" s="75"/>
      <c r="N5024" s="75"/>
    </row>
    <row r="5025" spans="1:14" ht="12.75" customHeight="1" x14ac:dyDescent="0.3">
      <c r="A5025" s="79" t="s">
        <v>731</v>
      </c>
      <c r="B5025" s="80" t="str">
        <f>A5022</f>
        <v>SUMINISTRO E INSTALACION DE TEE PVC  Ø6"</v>
      </c>
      <c r="C5025" s="81" t="s">
        <v>916</v>
      </c>
      <c r="D5025" s="82" t="s">
        <v>999</v>
      </c>
      <c r="E5025" s="83" t="s">
        <v>445</v>
      </c>
      <c r="F5025" s="234">
        <f>(H5025+J5025+L5025+N5025)*1.3</f>
        <v>1099106.1162</v>
      </c>
      <c r="G5025" s="83" t="s">
        <v>607</v>
      </c>
      <c r="H5025" s="86">
        <f>M5037</f>
        <v>817107</v>
      </c>
      <c r="I5025" s="83" t="s">
        <v>918</v>
      </c>
      <c r="J5025" s="86">
        <f>M5046</f>
        <v>1350.4401538461541</v>
      </c>
      <c r="K5025" s="83" t="s">
        <v>609</v>
      </c>
      <c r="L5025" s="86">
        <f>M5055</f>
        <v>0</v>
      </c>
      <c r="M5025" s="83" t="s">
        <v>610</v>
      </c>
      <c r="N5025" s="86">
        <f>M5064</f>
        <v>27008.803076923079</v>
      </c>
    </row>
    <row r="5026" spans="1:14" ht="12.75" customHeight="1" x14ac:dyDescent="0.25">
      <c r="A5026" s="87"/>
      <c r="B5026" s="87"/>
      <c r="C5026" s="87"/>
      <c r="D5026" s="87"/>
      <c r="E5026" s="87"/>
      <c r="F5026" s="87"/>
      <c r="G5026" s="87"/>
      <c r="J5026" s="87"/>
      <c r="K5026" s="215" t="s">
        <v>3217</v>
      </c>
      <c r="L5026" s="215">
        <f>+F5025*presup!$O$5</f>
        <v>1428837.9510600001</v>
      </c>
      <c r="M5026" s="87"/>
      <c r="N5026" s="87"/>
    </row>
    <row r="5027" spans="1:14" ht="12.75" customHeight="1" x14ac:dyDescent="0.2">
      <c r="A5027" s="398" t="s">
        <v>919</v>
      </c>
      <c r="B5027" s="271"/>
      <c r="C5027" s="271"/>
      <c r="D5027" s="271"/>
      <c r="E5027" s="271"/>
      <c r="F5027" s="271"/>
      <c r="G5027" s="271"/>
      <c r="H5027" s="271"/>
      <c r="I5027" s="271"/>
      <c r="J5027" s="271"/>
      <c r="K5027" s="271"/>
      <c r="L5027" s="271"/>
      <c r="M5027" s="271"/>
      <c r="N5027" s="273"/>
    </row>
    <row r="5028" spans="1:14" ht="12.75" customHeight="1" x14ac:dyDescent="0.2">
      <c r="A5028" s="396" t="s">
        <v>76</v>
      </c>
      <c r="B5028" s="271"/>
      <c r="C5028" s="271"/>
      <c r="D5028" s="271"/>
      <c r="E5028" s="271"/>
      <c r="F5028" s="271"/>
      <c r="G5028" s="273"/>
      <c r="H5028" s="88" t="s">
        <v>77</v>
      </c>
      <c r="I5028" s="399" t="s">
        <v>920</v>
      </c>
      <c r="J5028" s="273"/>
      <c r="K5028" s="399" t="s">
        <v>453</v>
      </c>
      <c r="L5028" s="273"/>
      <c r="M5028" s="399" t="s">
        <v>921</v>
      </c>
      <c r="N5028" s="273"/>
    </row>
    <row r="5029" spans="1:14" ht="12.75" customHeight="1" x14ac:dyDescent="0.2">
      <c r="A5029" s="400" t="s">
        <v>984</v>
      </c>
      <c r="B5029" s="271"/>
      <c r="C5029" s="271"/>
      <c r="D5029" s="271"/>
      <c r="E5029" s="271"/>
      <c r="F5029" s="271"/>
      <c r="G5029" s="273"/>
      <c r="H5029" s="29" t="str">
        <f t="shared" ref="H5029:H5034" si="685">IF(A5029="","",VLOOKUP(A5029,AA_Materiales,7,FALSE))</f>
        <v>Galón</v>
      </c>
      <c r="I5029" s="394">
        <f t="shared" ref="I5029:I5036" si="686">IF(A5029="","",VLOOKUP(A5029,AA_Materiales,8,FALSE))</f>
        <v>80900</v>
      </c>
      <c r="J5029" s="273"/>
      <c r="K5029" s="395">
        <v>0.03</v>
      </c>
      <c r="L5029" s="273"/>
      <c r="M5029" s="394">
        <f t="shared" ref="M5029:M5036" si="687">IF(A5029="","",I5029*K5029)</f>
        <v>2427</v>
      </c>
      <c r="N5029" s="273"/>
    </row>
    <row r="5030" spans="1:14" ht="12.75" customHeight="1" x14ac:dyDescent="0.2">
      <c r="A5030" s="400" t="s">
        <v>985</v>
      </c>
      <c r="B5030" s="271"/>
      <c r="C5030" s="271"/>
      <c r="D5030" s="271"/>
      <c r="E5030" s="271"/>
      <c r="F5030" s="271"/>
      <c r="G5030" s="273"/>
      <c r="H5030" s="29" t="str">
        <f t="shared" si="685"/>
        <v>Galón</v>
      </c>
      <c r="I5030" s="394">
        <f t="shared" si="686"/>
        <v>47200</v>
      </c>
      <c r="J5030" s="273"/>
      <c r="K5030" s="395">
        <v>0.03</v>
      </c>
      <c r="L5030" s="273"/>
      <c r="M5030" s="394">
        <f t="shared" si="687"/>
        <v>1416</v>
      </c>
      <c r="N5030" s="273"/>
    </row>
    <row r="5031" spans="1:14" ht="12.75" customHeight="1" x14ac:dyDescent="0.2">
      <c r="A5031" s="400" t="s">
        <v>1211</v>
      </c>
      <c r="B5031" s="271"/>
      <c r="C5031" s="271"/>
      <c r="D5031" s="271"/>
      <c r="E5031" s="271"/>
      <c r="F5031" s="271"/>
      <c r="G5031" s="273"/>
      <c r="H5031" s="29" t="str">
        <f t="shared" si="685"/>
        <v>Unidad</v>
      </c>
      <c r="I5031" s="394">
        <f t="shared" si="686"/>
        <v>813264</v>
      </c>
      <c r="J5031" s="273"/>
      <c r="K5031" s="395">
        <v>1</v>
      </c>
      <c r="L5031" s="273"/>
      <c r="M5031" s="394">
        <f t="shared" si="687"/>
        <v>813264</v>
      </c>
      <c r="N5031" s="273"/>
    </row>
    <row r="5032" spans="1:14" ht="12.75" customHeight="1" x14ac:dyDescent="0.2">
      <c r="A5032" s="400"/>
      <c r="B5032" s="271"/>
      <c r="C5032" s="271"/>
      <c r="D5032" s="271"/>
      <c r="E5032" s="271"/>
      <c r="F5032" s="271"/>
      <c r="G5032" s="273"/>
      <c r="H5032" s="29" t="str">
        <f t="shared" si="685"/>
        <v/>
      </c>
      <c r="I5032" s="394" t="str">
        <f t="shared" si="686"/>
        <v/>
      </c>
      <c r="J5032" s="273"/>
      <c r="K5032" s="395"/>
      <c r="L5032" s="273"/>
      <c r="M5032" s="394" t="str">
        <f t="shared" si="687"/>
        <v/>
      </c>
      <c r="N5032" s="273"/>
    </row>
    <row r="5033" spans="1:14" ht="12.75" customHeight="1" x14ac:dyDescent="0.2">
      <c r="A5033" s="400"/>
      <c r="B5033" s="271"/>
      <c r="C5033" s="271"/>
      <c r="D5033" s="271"/>
      <c r="E5033" s="271"/>
      <c r="F5033" s="271"/>
      <c r="G5033" s="273"/>
      <c r="H5033" s="29" t="str">
        <f t="shared" si="685"/>
        <v/>
      </c>
      <c r="I5033" s="394" t="str">
        <f t="shared" si="686"/>
        <v/>
      </c>
      <c r="J5033" s="273"/>
      <c r="K5033" s="395"/>
      <c r="L5033" s="273"/>
      <c r="M5033" s="394" t="str">
        <f t="shared" si="687"/>
        <v/>
      </c>
      <c r="N5033" s="273"/>
    </row>
    <row r="5034" spans="1:14" ht="12.75" customHeight="1" x14ac:dyDescent="0.2">
      <c r="A5034" s="400"/>
      <c r="B5034" s="271"/>
      <c r="C5034" s="271"/>
      <c r="D5034" s="271"/>
      <c r="E5034" s="271"/>
      <c r="F5034" s="271"/>
      <c r="G5034" s="273"/>
      <c r="H5034" s="29" t="str">
        <f t="shared" si="685"/>
        <v/>
      </c>
      <c r="I5034" s="394" t="str">
        <f t="shared" si="686"/>
        <v/>
      </c>
      <c r="J5034" s="273"/>
      <c r="K5034" s="395"/>
      <c r="L5034" s="273"/>
      <c r="M5034" s="394" t="str">
        <f t="shared" si="687"/>
        <v/>
      </c>
      <c r="N5034" s="273"/>
    </row>
    <row r="5035" spans="1:14" ht="12.75" customHeight="1" x14ac:dyDescent="0.2">
      <c r="A5035" s="400"/>
      <c r="B5035" s="271"/>
      <c r="C5035" s="271"/>
      <c r="D5035" s="271"/>
      <c r="E5035" s="271"/>
      <c r="F5035" s="271"/>
      <c r="G5035" s="273"/>
      <c r="H5035" s="29"/>
      <c r="I5035" s="394" t="str">
        <f t="shared" si="686"/>
        <v/>
      </c>
      <c r="J5035" s="273"/>
      <c r="K5035" s="395"/>
      <c r="L5035" s="273"/>
      <c r="M5035" s="394" t="str">
        <f t="shared" si="687"/>
        <v/>
      </c>
      <c r="N5035" s="273"/>
    </row>
    <row r="5036" spans="1:14" ht="12.75" customHeight="1" x14ac:dyDescent="0.2">
      <c r="A5036" s="400"/>
      <c r="B5036" s="271"/>
      <c r="C5036" s="271"/>
      <c r="D5036" s="271"/>
      <c r="E5036" s="271"/>
      <c r="F5036" s="271"/>
      <c r="G5036" s="273"/>
      <c r="H5036" s="29" t="str">
        <f>IF(A5036="","",VLOOKUP(A5036,AA_Materiales,7,FALSE))</f>
        <v/>
      </c>
      <c r="I5036" s="394" t="str">
        <f t="shared" si="686"/>
        <v/>
      </c>
      <c r="J5036" s="273"/>
      <c r="K5036" s="395"/>
      <c r="L5036" s="273"/>
      <c r="M5036" s="394" t="str">
        <f t="shared" si="687"/>
        <v/>
      </c>
      <c r="N5036" s="273"/>
    </row>
    <row r="5037" spans="1:14" ht="12.75" customHeight="1" x14ac:dyDescent="0.25">
      <c r="A5037" s="4"/>
      <c r="B5037" s="4"/>
      <c r="C5037" s="4"/>
      <c r="D5037" s="4"/>
      <c r="E5037" s="4"/>
      <c r="F5037" s="4"/>
      <c r="G5037" s="4"/>
      <c r="H5037" s="4"/>
      <c r="I5037" s="4"/>
      <c r="J5037" s="4"/>
      <c r="K5037" s="396" t="s">
        <v>444</v>
      </c>
      <c r="L5037" s="273"/>
      <c r="M5037" s="394">
        <f>SUM(M5029:N5036)</f>
        <v>817107</v>
      </c>
      <c r="N5037" s="273"/>
    </row>
    <row r="5038" spans="1:14" ht="12.75" customHeight="1" x14ac:dyDescent="0.25">
      <c r="A5038" s="4"/>
      <c r="B5038" s="4"/>
      <c r="C5038" s="4"/>
      <c r="D5038" s="4"/>
      <c r="E5038" s="4"/>
      <c r="F5038" s="4"/>
      <c r="G5038" s="4"/>
      <c r="H5038" s="4"/>
      <c r="I5038" s="4"/>
      <c r="J5038" s="4"/>
      <c r="K5038" s="4"/>
      <c r="L5038" s="4"/>
      <c r="M5038" s="4"/>
      <c r="N5038" s="4"/>
    </row>
    <row r="5039" spans="1:14" ht="12.75" customHeight="1" x14ac:dyDescent="0.2">
      <c r="A5039" s="398" t="s">
        <v>926</v>
      </c>
      <c r="B5039" s="271"/>
      <c r="C5039" s="271"/>
      <c r="D5039" s="271"/>
      <c r="E5039" s="271"/>
      <c r="F5039" s="271"/>
      <c r="G5039" s="271"/>
      <c r="H5039" s="271"/>
      <c r="I5039" s="271"/>
      <c r="J5039" s="271"/>
      <c r="K5039" s="271"/>
      <c r="L5039" s="271"/>
      <c r="M5039" s="271"/>
      <c r="N5039" s="273"/>
    </row>
    <row r="5040" spans="1:14" ht="12.75" customHeight="1" x14ac:dyDescent="0.2">
      <c r="A5040" s="396" t="s">
        <v>76</v>
      </c>
      <c r="B5040" s="271"/>
      <c r="C5040" s="271"/>
      <c r="D5040" s="271"/>
      <c r="E5040" s="271"/>
      <c r="F5040" s="271"/>
      <c r="G5040" s="273"/>
      <c r="H5040" s="88" t="s">
        <v>77</v>
      </c>
      <c r="I5040" s="399" t="s">
        <v>920</v>
      </c>
      <c r="J5040" s="273"/>
      <c r="K5040" s="399" t="s">
        <v>453</v>
      </c>
      <c r="L5040" s="273"/>
      <c r="M5040" s="399" t="s">
        <v>921</v>
      </c>
      <c r="N5040" s="273"/>
    </row>
    <row r="5041" spans="1:14" ht="12.75" customHeight="1" x14ac:dyDescent="0.2">
      <c r="A5041" s="400" t="s">
        <v>927</v>
      </c>
      <c r="B5041" s="271"/>
      <c r="C5041" s="271"/>
      <c r="D5041" s="271"/>
      <c r="E5041" s="271"/>
      <c r="F5041" s="271"/>
      <c r="G5041" s="273"/>
      <c r="H5041" s="29" t="str">
        <f>IF(A5041="","",VLOOKUP(A5041,AA_Equipos,7,FALSE))</f>
        <v>% M.O.</v>
      </c>
      <c r="I5041" s="394">
        <f>+M5064</f>
        <v>27008.803076923079</v>
      </c>
      <c r="J5041" s="273"/>
      <c r="K5041" s="404">
        <v>0.05</v>
      </c>
      <c r="L5041" s="273"/>
      <c r="M5041" s="394">
        <f t="shared" ref="M5041:M5045" si="688">IF(A5041="","",I5041*K5041)</f>
        <v>1350.4401538461541</v>
      </c>
      <c r="N5041" s="273"/>
    </row>
    <row r="5042" spans="1:14" ht="12.75" customHeight="1" x14ac:dyDescent="0.2">
      <c r="A5042" s="403"/>
      <c r="B5042" s="271"/>
      <c r="C5042" s="271"/>
      <c r="D5042" s="271"/>
      <c r="E5042" s="271"/>
      <c r="F5042" s="271"/>
      <c r="G5042" s="273"/>
      <c r="H5042" s="29" t="str">
        <f>IF(A5042="","",VLOOKUP(A5042,AA_Equipos,7,FALSE))</f>
        <v/>
      </c>
      <c r="I5042" s="394" t="str">
        <f>IF(A5042="","",VLOOKUP(A5042,AA_Equipos,8,FALSE))</f>
        <v/>
      </c>
      <c r="J5042" s="273"/>
      <c r="K5042" s="402"/>
      <c r="L5042" s="273"/>
      <c r="M5042" s="394" t="str">
        <f t="shared" si="688"/>
        <v/>
      </c>
      <c r="N5042" s="273"/>
    </row>
    <row r="5043" spans="1:14" ht="12.75" customHeight="1" x14ac:dyDescent="0.2">
      <c r="A5043" s="400"/>
      <c r="B5043" s="271"/>
      <c r="C5043" s="271"/>
      <c r="D5043" s="271"/>
      <c r="E5043" s="271"/>
      <c r="F5043" s="271"/>
      <c r="G5043" s="273"/>
      <c r="H5043" s="29" t="str">
        <f>IF(A5043="","",VLOOKUP(A5043,AA_Equipos,7,FALSE))</f>
        <v/>
      </c>
      <c r="I5043" s="394"/>
      <c r="J5043" s="273"/>
      <c r="K5043" s="404"/>
      <c r="L5043" s="273"/>
      <c r="M5043" s="394" t="str">
        <f t="shared" si="688"/>
        <v/>
      </c>
      <c r="N5043" s="273"/>
    </row>
    <row r="5044" spans="1:14" ht="12.75" customHeight="1" x14ac:dyDescent="0.2">
      <c r="A5044" s="400"/>
      <c r="B5044" s="271"/>
      <c r="C5044" s="271"/>
      <c r="D5044" s="271"/>
      <c r="E5044" s="271"/>
      <c r="F5044" s="271"/>
      <c r="G5044" s="273"/>
      <c r="H5044" s="29" t="str">
        <f>IF(A5044="","",VLOOKUP(A5044,AA_Equipos,7,FALSE))</f>
        <v/>
      </c>
      <c r="I5044" s="394" t="str">
        <f>IF(A5044="","",VLOOKUP(A5044,AA_Equipos,8,FALSE))</f>
        <v/>
      </c>
      <c r="J5044" s="273"/>
      <c r="K5044" s="395"/>
      <c r="L5044" s="273"/>
      <c r="M5044" s="394" t="str">
        <f t="shared" si="688"/>
        <v/>
      </c>
      <c r="N5044" s="273"/>
    </row>
    <row r="5045" spans="1:14" ht="12.75" customHeight="1" x14ac:dyDescent="0.2">
      <c r="A5045" s="400"/>
      <c r="B5045" s="271"/>
      <c r="C5045" s="271"/>
      <c r="D5045" s="271"/>
      <c r="E5045" s="271"/>
      <c r="F5045" s="271"/>
      <c r="G5045" s="273"/>
      <c r="H5045" s="29" t="str">
        <f>IF(A5045="","",VLOOKUP(A5045,AA_Equipos,7,FALSE))</f>
        <v/>
      </c>
      <c r="I5045" s="394" t="str">
        <f>IF(A5045="","",VLOOKUP(A5045,AA_Equipos,8,FALSE))</f>
        <v/>
      </c>
      <c r="J5045" s="273"/>
      <c r="K5045" s="395"/>
      <c r="L5045" s="273"/>
      <c r="M5045" s="394" t="str">
        <f t="shared" si="688"/>
        <v/>
      </c>
      <c r="N5045" s="273"/>
    </row>
    <row r="5046" spans="1:14" ht="12.75" customHeight="1" x14ac:dyDescent="0.25">
      <c r="A5046" s="4"/>
      <c r="B5046" s="4"/>
      <c r="C5046" s="4"/>
      <c r="D5046" s="4"/>
      <c r="E5046" s="4"/>
      <c r="F5046" s="4"/>
      <c r="G5046" s="4"/>
      <c r="H5046" s="4"/>
      <c r="I5046" s="4"/>
      <c r="J5046" s="4"/>
      <c r="K5046" s="396" t="s">
        <v>444</v>
      </c>
      <c r="L5046" s="273"/>
      <c r="M5046" s="394">
        <f>SUM(M5041:N5045)</f>
        <v>1350.4401538461541</v>
      </c>
      <c r="N5046" s="273"/>
    </row>
    <row r="5047" spans="1:14" ht="12.75" customHeight="1" x14ac:dyDescent="0.25">
      <c r="A5047" s="4"/>
      <c r="B5047" s="4"/>
      <c r="C5047" s="4"/>
      <c r="D5047" s="4"/>
      <c r="E5047" s="4"/>
      <c r="F5047" s="4"/>
      <c r="G5047" s="4"/>
      <c r="H5047" s="4"/>
      <c r="I5047" s="4"/>
      <c r="J5047" s="4"/>
      <c r="K5047" s="4"/>
      <c r="L5047" s="4"/>
      <c r="M5047" s="4"/>
      <c r="N5047" s="4"/>
    </row>
    <row r="5048" spans="1:14" ht="12.75" customHeight="1" x14ac:dyDescent="0.2">
      <c r="A5048" s="398" t="s">
        <v>929</v>
      </c>
      <c r="B5048" s="271"/>
      <c r="C5048" s="271"/>
      <c r="D5048" s="271"/>
      <c r="E5048" s="271"/>
      <c r="F5048" s="271"/>
      <c r="G5048" s="271"/>
      <c r="H5048" s="271"/>
      <c r="I5048" s="271"/>
      <c r="J5048" s="271"/>
      <c r="K5048" s="271"/>
      <c r="L5048" s="271"/>
      <c r="M5048" s="271"/>
      <c r="N5048" s="273"/>
    </row>
    <row r="5049" spans="1:14" ht="12.75" customHeight="1" x14ac:dyDescent="0.2">
      <c r="A5049" s="396" t="s">
        <v>76</v>
      </c>
      <c r="B5049" s="271"/>
      <c r="C5049" s="271"/>
      <c r="D5049" s="271"/>
      <c r="E5049" s="271"/>
      <c r="F5049" s="271"/>
      <c r="G5049" s="273"/>
      <c r="H5049" s="88" t="s">
        <v>77</v>
      </c>
      <c r="I5049" s="399" t="s">
        <v>920</v>
      </c>
      <c r="J5049" s="273"/>
      <c r="K5049" s="399" t="s">
        <v>453</v>
      </c>
      <c r="L5049" s="273"/>
      <c r="M5049" s="399" t="s">
        <v>921</v>
      </c>
      <c r="N5049" s="273"/>
    </row>
    <row r="5050" spans="1:14" ht="12.75" customHeight="1" x14ac:dyDescent="0.2">
      <c r="A5050" s="400"/>
      <c r="B5050" s="271"/>
      <c r="C5050" s="271"/>
      <c r="D5050" s="271"/>
      <c r="E5050" s="271"/>
      <c r="F5050" s="271"/>
      <c r="G5050" s="273"/>
      <c r="H5050" s="29"/>
      <c r="I5050" s="394"/>
      <c r="J5050" s="273"/>
      <c r="K5050" s="404"/>
      <c r="L5050" s="273"/>
      <c r="M5050" s="394" t="str">
        <f t="shared" ref="M5050:M5054" si="689">IF(A5050="","",I5050*K5050)</f>
        <v/>
      </c>
      <c r="N5050" s="273"/>
    </row>
    <row r="5051" spans="1:14" ht="12.75" customHeight="1" x14ac:dyDescent="0.2">
      <c r="A5051" s="403"/>
      <c r="B5051" s="271"/>
      <c r="C5051" s="271"/>
      <c r="D5051" s="271"/>
      <c r="E5051" s="271"/>
      <c r="F5051" s="271"/>
      <c r="G5051" s="273"/>
      <c r="H5051" s="29"/>
      <c r="I5051" s="394"/>
      <c r="J5051" s="273"/>
      <c r="K5051" s="404"/>
      <c r="L5051" s="273"/>
      <c r="M5051" s="394" t="str">
        <f t="shared" si="689"/>
        <v/>
      </c>
      <c r="N5051" s="273"/>
    </row>
    <row r="5052" spans="1:14" ht="12.75" customHeight="1" x14ac:dyDescent="0.2">
      <c r="A5052" s="400"/>
      <c r="B5052" s="271"/>
      <c r="C5052" s="271"/>
      <c r="D5052" s="271"/>
      <c r="E5052" s="271"/>
      <c r="F5052" s="271"/>
      <c r="G5052" s="273"/>
      <c r="H5052" s="29"/>
      <c r="I5052" s="394"/>
      <c r="J5052" s="273"/>
      <c r="K5052" s="395"/>
      <c r="L5052" s="273"/>
      <c r="M5052" s="394" t="str">
        <f t="shared" si="689"/>
        <v/>
      </c>
      <c r="N5052" s="273"/>
    </row>
    <row r="5053" spans="1:14" ht="12.75" customHeight="1" x14ac:dyDescent="0.2">
      <c r="A5053" s="400"/>
      <c r="B5053" s="271"/>
      <c r="C5053" s="271"/>
      <c r="D5053" s="271"/>
      <c r="E5053" s="271"/>
      <c r="F5053" s="271"/>
      <c r="G5053" s="273"/>
      <c r="H5053" s="29"/>
      <c r="I5053" s="394"/>
      <c r="J5053" s="273"/>
      <c r="K5053" s="395"/>
      <c r="L5053" s="273"/>
      <c r="M5053" s="394" t="str">
        <f t="shared" si="689"/>
        <v/>
      </c>
      <c r="N5053" s="273"/>
    </row>
    <row r="5054" spans="1:14" ht="12.75" customHeight="1" x14ac:dyDescent="0.2">
      <c r="A5054" s="400"/>
      <c r="B5054" s="271"/>
      <c r="C5054" s="271"/>
      <c r="D5054" s="271"/>
      <c r="E5054" s="271"/>
      <c r="F5054" s="271"/>
      <c r="G5054" s="273"/>
      <c r="H5054" s="29"/>
      <c r="I5054" s="394"/>
      <c r="J5054" s="273"/>
      <c r="K5054" s="395"/>
      <c r="L5054" s="273"/>
      <c r="M5054" s="394" t="str">
        <f t="shared" si="689"/>
        <v/>
      </c>
      <c r="N5054" s="273"/>
    </row>
    <row r="5055" spans="1:14" ht="12.75" customHeight="1" x14ac:dyDescent="0.25">
      <c r="A5055" s="4"/>
      <c r="B5055" s="4"/>
      <c r="C5055" s="4"/>
      <c r="D5055" s="4"/>
      <c r="E5055" s="4"/>
      <c r="F5055" s="4"/>
      <c r="G5055" s="4"/>
      <c r="H5055" s="4"/>
      <c r="I5055" s="4"/>
      <c r="J5055" s="4"/>
      <c r="K5055" s="396" t="s">
        <v>444</v>
      </c>
      <c r="L5055" s="273"/>
      <c r="M5055" s="394">
        <f>SUM(M5050:N5054)</f>
        <v>0</v>
      </c>
      <c r="N5055" s="273"/>
    </row>
    <row r="5056" spans="1:14" ht="12.75" customHeight="1" x14ac:dyDescent="0.25">
      <c r="A5056" s="4"/>
      <c r="B5056" s="4"/>
      <c r="C5056" s="4"/>
      <c r="D5056" s="4"/>
      <c r="E5056" s="4"/>
      <c r="F5056" s="4"/>
      <c r="G5056" s="4"/>
      <c r="H5056" s="4"/>
      <c r="I5056" s="4"/>
      <c r="J5056" s="4"/>
      <c r="K5056" s="4"/>
      <c r="L5056" s="4"/>
      <c r="M5056" s="4"/>
      <c r="N5056" s="4"/>
    </row>
    <row r="5057" spans="1:15" ht="12.75" customHeight="1" x14ac:dyDescent="0.2">
      <c r="A5057" s="398" t="s">
        <v>931</v>
      </c>
      <c r="B5057" s="271"/>
      <c r="C5057" s="271"/>
      <c r="D5057" s="271"/>
      <c r="E5057" s="271"/>
      <c r="F5057" s="271"/>
      <c r="G5057" s="271"/>
      <c r="H5057" s="271"/>
      <c r="I5057" s="271"/>
      <c r="J5057" s="271"/>
      <c r="K5057" s="271"/>
      <c r="L5057" s="271"/>
      <c r="M5057" s="271"/>
      <c r="N5057" s="273"/>
    </row>
    <row r="5058" spans="1:15" ht="12.75" customHeight="1" x14ac:dyDescent="0.2">
      <c r="A5058" s="396" t="s">
        <v>76</v>
      </c>
      <c r="B5058" s="271"/>
      <c r="C5058" s="271"/>
      <c r="D5058" s="271"/>
      <c r="E5058" s="271"/>
      <c r="F5058" s="271"/>
      <c r="G5058" s="273"/>
      <c r="H5058" s="88" t="s">
        <v>77</v>
      </c>
      <c r="I5058" s="399" t="s">
        <v>920</v>
      </c>
      <c r="J5058" s="273"/>
      <c r="K5058" s="90" t="s">
        <v>514</v>
      </c>
      <c r="L5058" s="91" t="s">
        <v>932</v>
      </c>
      <c r="M5058" s="399" t="s">
        <v>921</v>
      </c>
      <c r="N5058" s="273"/>
    </row>
    <row r="5059" spans="1:15" ht="12.75" customHeight="1" x14ac:dyDescent="0.25">
      <c r="A5059" s="393" t="s">
        <v>986</v>
      </c>
      <c r="B5059" s="271"/>
      <c r="C5059" s="271"/>
      <c r="D5059" s="271"/>
      <c r="E5059" s="271"/>
      <c r="F5059" s="271"/>
      <c r="G5059" s="273"/>
      <c r="H5059" s="29" t="str">
        <f>IF(A5059="","",VLOOKUP(A5059,AA_Cuadrillas,4,FALSE))</f>
        <v>Cuadrilla</v>
      </c>
      <c r="I5059" s="394">
        <f>IF(A5059="","",VLOOKUP(A5059,AA_Cuadrillas,5,FALSE))</f>
        <v>186763</v>
      </c>
      <c r="J5059" s="273"/>
      <c r="K5059" s="9">
        <f>IF(A5059="","",F.P!$I$2)</f>
        <v>1.88</v>
      </c>
      <c r="L5059" s="93">
        <v>7.6923076923076927E-2</v>
      </c>
      <c r="M5059" s="394">
        <f t="shared" ref="M5059:M5063" si="690">IF(A5059="","",I5059*K5059*L5059)</f>
        <v>27008.803076923079</v>
      </c>
      <c r="N5059" s="273"/>
    </row>
    <row r="5060" spans="1:15" ht="12.75" customHeight="1" x14ac:dyDescent="0.25">
      <c r="A5060" s="393"/>
      <c r="B5060" s="271"/>
      <c r="C5060" s="271"/>
      <c r="D5060" s="271"/>
      <c r="E5060" s="271"/>
      <c r="F5060" s="271"/>
      <c r="G5060" s="273"/>
      <c r="H5060" s="29" t="str">
        <f>IF(A5060="","",VLOOKUP(A5060,AA_Cuadrillas,4,FALSE))</f>
        <v/>
      </c>
      <c r="I5060" s="394" t="str">
        <f>IF(A5060="","",VLOOKUP(A5060,AA_Cuadrillas,5,FALSE))</f>
        <v/>
      </c>
      <c r="J5060" s="273"/>
      <c r="K5060" s="9" t="str">
        <f>IF(A5060="","",F.P!$I$2)</f>
        <v/>
      </c>
      <c r="L5060" s="9"/>
      <c r="M5060" s="394" t="str">
        <f t="shared" si="690"/>
        <v/>
      </c>
      <c r="N5060" s="273"/>
    </row>
    <row r="5061" spans="1:15" ht="12.75" customHeight="1" x14ac:dyDescent="0.25">
      <c r="A5061" s="393"/>
      <c r="B5061" s="271"/>
      <c r="C5061" s="271"/>
      <c r="D5061" s="271"/>
      <c r="E5061" s="271"/>
      <c r="F5061" s="271"/>
      <c r="G5061" s="273"/>
      <c r="H5061" s="29" t="str">
        <f>IF(A5061="","",VLOOKUP(A5061,AA_Cuadrillas,4,FALSE))</f>
        <v/>
      </c>
      <c r="I5061" s="394" t="str">
        <f>IF(A5061="","",VLOOKUP(A5061,AA_Cuadrillas,5,FALSE))</f>
        <v/>
      </c>
      <c r="J5061" s="273"/>
      <c r="K5061" s="9" t="str">
        <f>IF(A5061="","",F.P!$I$2)</f>
        <v/>
      </c>
      <c r="L5061" s="37"/>
      <c r="M5061" s="394" t="str">
        <f t="shared" si="690"/>
        <v/>
      </c>
      <c r="N5061" s="273"/>
    </row>
    <row r="5062" spans="1:15" ht="12.75" customHeight="1" x14ac:dyDescent="0.25">
      <c r="A5062" s="393"/>
      <c r="B5062" s="271"/>
      <c r="C5062" s="271"/>
      <c r="D5062" s="271"/>
      <c r="E5062" s="271"/>
      <c r="F5062" s="271"/>
      <c r="G5062" s="273"/>
      <c r="H5062" s="29" t="str">
        <f>IF(A5062="","",VLOOKUP(A5062,AA_Cuadrillas,4,FALSE))</f>
        <v/>
      </c>
      <c r="I5062" s="394" t="str">
        <f>IF(A5062="","",VLOOKUP(A5062,AA_Cuadrillas,5,FALSE))</f>
        <v/>
      </c>
      <c r="J5062" s="273"/>
      <c r="K5062" s="9" t="str">
        <f>IF(A5062="","",F.P!$I$2)</f>
        <v/>
      </c>
      <c r="L5062" s="37"/>
      <c r="M5062" s="394" t="str">
        <f t="shared" si="690"/>
        <v/>
      </c>
      <c r="N5062" s="273"/>
    </row>
    <row r="5063" spans="1:15" ht="12.75" customHeight="1" x14ac:dyDescent="0.25">
      <c r="A5063" s="393"/>
      <c r="B5063" s="271"/>
      <c r="C5063" s="271"/>
      <c r="D5063" s="271"/>
      <c r="E5063" s="271"/>
      <c r="F5063" s="271"/>
      <c r="G5063" s="273"/>
      <c r="H5063" s="29" t="str">
        <f>IF(A5063="","",VLOOKUP(A5063,AA_Cuadrillas,4,FALSE))</f>
        <v/>
      </c>
      <c r="I5063" s="394" t="str">
        <f>IF(A5063="","",VLOOKUP(A5063,AA_Cuadrillas,5,FALSE))</f>
        <v/>
      </c>
      <c r="J5063" s="273"/>
      <c r="K5063" s="9" t="str">
        <f>IF(A5063="","",F.P!$I$2)</f>
        <v/>
      </c>
      <c r="L5063" s="37"/>
      <c r="M5063" s="394" t="str">
        <f t="shared" si="690"/>
        <v/>
      </c>
      <c r="N5063" s="273"/>
    </row>
    <row r="5064" spans="1:15" ht="12.75" customHeight="1" x14ac:dyDescent="0.25">
      <c r="A5064" s="4"/>
      <c r="B5064" s="4"/>
      <c r="C5064" s="4"/>
      <c r="D5064" s="4"/>
      <c r="E5064" s="4"/>
      <c r="F5064" s="4"/>
      <c r="G5064" s="4"/>
      <c r="H5064" s="4"/>
      <c r="I5064" s="4"/>
      <c r="J5064" s="4"/>
      <c r="K5064" s="396" t="s">
        <v>444</v>
      </c>
      <c r="L5064" s="273"/>
      <c r="M5064" s="394">
        <f>SUM(M5059:N5063)</f>
        <v>27008.803076923079</v>
      </c>
      <c r="N5064" s="273"/>
    </row>
    <row r="5065" spans="1:15" ht="12.75" customHeight="1" x14ac:dyDescent="0.2"/>
    <row r="5066" spans="1:15" ht="12.75" customHeight="1" x14ac:dyDescent="0.2">
      <c r="A5066" s="407" t="s">
        <v>1212</v>
      </c>
      <c r="B5066" s="275"/>
      <c r="C5066" s="275"/>
      <c r="D5066" s="275"/>
      <c r="E5066" s="275"/>
      <c r="F5066" s="275"/>
      <c r="G5066" s="275"/>
      <c r="H5066" s="275"/>
      <c r="I5066" s="275"/>
      <c r="J5066" s="275"/>
      <c r="K5066" s="275"/>
      <c r="L5066" s="275"/>
      <c r="M5066" s="275"/>
      <c r="N5066" s="276"/>
      <c r="O5066" s="166"/>
    </row>
    <row r="5067" spans="1:15" ht="12.75" customHeight="1" x14ac:dyDescent="0.2">
      <c r="A5067" s="277"/>
      <c r="B5067" s="278"/>
      <c r="C5067" s="278"/>
      <c r="D5067" s="278"/>
      <c r="E5067" s="278"/>
      <c r="F5067" s="278"/>
      <c r="G5067" s="278"/>
      <c r="H5067" s="278"/>
      <c r="I5067" s="278"/>
      <c r="J5067" s="278"/>
      <c r="K5067" s="278"/>
      <c r="L5067" s="278"/>
      <c r="M5067" s="278"/>
      <c r="N5067" s="279"/>
      <c r="O5067" s="166"/>
    </row>
    <row r="5068" spans="1:15" ht="12.75" customHeight="1" x14ac:dyDescent="0.2">
      <c r="A5068" s="75"/>
      <c r="B5068" s="75"/>
      <c r="C5068" s="75"/>
      <c r="D5068" s="75"/>
      <c r="E5068" s="75"/>
      <c r="F5068" s="75"/>
      <c r="G5068" s="75"/>
      <c r="H5068" s="75"/>
      <c r="I5068" s="75"/>
      <c r="J5068" s="75"/>
      <c r="K5068" s="75"/>
      <c r="L5068" s="75"/>
      <c r="M5068" s="75"/>
      <c r="N5068" s="75"/>
    </row>
    <row r="5069" spans="1:15" ht="12.75" customHeight="1" x14ac:dyDescent="0.3">
      <c r="A5069" s="79" t="s">
        <v>732</v>
      </c>
      <c r="B5069" s="80" t="str">
        <f>A5066</f>
        <v>SUMINISTRO E INSTALACION DE MACROMEDIDOR TIPO WOLTMAN Ø3"</v>
      </c>
      <c r="C5069" s="81" t="s">
        <v>916</v>
      </c>
      <c r="D5069" s="82" t="s">
        <v>999</v>
      </c>
      <c r="E5069" s="83" t="s">
        <v>445</v>
      </c>
      <c r="F5069" s="240">
        <f>(H5069+J5069+L5069+N5069)</f>
        <v>8167256.96</v>
      </c>
      <c r="G5069" s="83" t="s">
        <v>607</v>
      </c>
      <c r="H5069" s="86">
        <f>M5081</f>
        <v>4100000</v>
      </c>
      <c r="I5069" s="83" t="s">
        <v>918</v>
      </c>
      <c r="J5069" s="86">
        <f>M5090</f>
        <v>0</v>
      </c>
      <c r="K5069" s="83" t="s">
        <v>609</v>
      </c>
      <c r="L5069" s="86">
        <f>M5099</f>
        <v>205000</v>
      </c>
      <c r="M5069" s="83" t="s">
        <v>610</v>
      </c>
      <c r="N5069" s="86">
        <f>M5108</f>
        <v>3862256.96</v>
      </c>
      <c r="O5069" t="s">
        <v>3231</v>
      </c>
    </row>
    <row r="5070" spans="1:15" ht="12.75" customHeight="1" x14ac:dyDescent="0.25">
      <c r="A5070" s="87"/>
      <c r="B5070" s="87"/>
      <c r="C5070" s="87"/>
      <c r="D5070" s="87"/>
      <c r="E5070" s="87"/>
      <c r="F5070" s="87"/>
      <c r="G5070" s="87"/>
      <c r="J5070" s="87"/>
      <c r="K5070" s="215" t="s">
        <v>3217</v>
      </c>
      <c r="L5070" s="215">
        <f>+F5069*presup!$O$5</f>
        <v>10617434.048</v>
      </c>
      <c r="M5070" s="87"/>
      <c r="N5070" s="87"/>
    </row>
    <row r="5071" spans="1:15" ht="12.75" customHeight="1" x14ac:dyDescent="0.2">
      <c r="A5071" s="398" t="s">
        <v>919</v>
      </c>
      <c r="B5071" s="271"/>
      <c r="C5071" s="271"/>
      <c r="D5071" s="271"/>
      <c r="E5071" s="271"/>
      <c r="F5071" s="271"/>
      <c r="G5071" s="271"/>
      <c r="H5071" s="271"/>
      <c r="I5071" s="271"/>
      <c r="J5071" s="271"/>
      <c r="K5071" s="271"/>
      <c r="L5071" s="271"/>
      <c r="M5071" s="271"/>
      <c r="N5071" s="273"/>
    </row>
    <row r="5072" spans="1:15" ht="12.75" customHeight="1" x14ac:dyDescent="0.2">
      <c r="A5072" s="396" t="s">
        <v>76</v>
      </c>
      <c r="B5072" s="271"/>
      <c r="C5072" s="271"/>
      <c r="D5072" s="271"/>
      <c r="E5072" s="271"/>
      <c r="F5072" s="271"/>
      <c r="G5072" s="273"/>
      <c r="H5072" s="88" t="s">
        <v>77</v>
      </c>
      <c r="I5072" s="399" t="s">
        <v>920</v>
      </c>
      <c r="J5072" s="273"/>
      <c r="K5072" s="399" t="s">
        <v>453</v>
      </c>
      <c r="L5072" s="273"/>
      <c r="M5072" s="399" t="s">
        <v>921</v>
      </c>
      <c r="N5072" s="273"/>
    </row>
    <row r="5073" spans="1:14" ht="12.75" customHeight="1" x14ac:dyDescent="0.2">
      <c r="A5073" s="400" t="s">
        <v>1213</v>
      </c>
      <c r="B5073" s="271"/>
      <c r="C5073" s="271"/>
      <c r="D5073" s="271"/>
      <c r="E5073" s="271"/>
      <c r="F5073" s="271"/>
      <c r="G5073" s="273"/>
      <c r="H5073" s="29" t="str">
        <f t="shared" ref="H5073:H5080" si="691">IF(A5073="","",VLOOKUP(A5073,AA_Materiales,7,FALSE))</f>
        <v>Unidad</v>
      </c>
      <c r="I5073" s="394">
        <f t="shared" ref="I5073:I5080" si="692">IF(A5073="","",VLOOKUP(A5073,AA_Materiales,8,FALSE))</f>
        <v>2500000</v>
      </c>
      <c r="J5073" s="273"/>
      <c r="K5073" s="395">
        <v>1</v>
      </c>
      <c r="L5073" s="273"/>
      <c r="M5073" s="394">
        <f t="shared" ref="M5073:M5080" si="693">IF(A5073="","",I5073*K5073)</f>
        <v>2500000</v>
      </c>
      <c r="N5073" s="273"/>
    </row>
    <row r="5074" spans="1:14" ht="12.75" customHeight="1" x14ac:dyDescent="0.2">
      <c r="A5074" s="400" t="s">
        <v>1214</v>
      </c>
      <c r="B5074" s="271"/>
      <c r="C5074" s="271"/>
      <c r="D5074" s="271"/>
      <c r="E5074" s="271"/>
      <c r="F5074" s="271"/>
      <c r="G5074" s="273"/>
      <c r="H5074" s="29" t="str">
        <f t="shared" si="691"/>
        <v>Unidad</v>
      </c>
      <c r="I5074" s="394">
        <f t="shared" si="692"/>
        <v>1600000</v>
      </c>
      <c r="J5074" s="273"/>
      <c r="K5074" s="395">
        <v>1</v>
      </c>
      <c r="L5074" s="273"/>
      <c r="M5074" s="394">
        <f t="shared" si="693"/>
        <v>1600000</v>
      </c>
      <c r="N5074" s="273"/>
    </row>
    <row r="5075" spans="1:14" ht="12.75" customHeight="1" x14ac:dyDescent="0.2">
      <c r="A5075" s="400" t="s">
        <v>1215</v>
      </c>
      <c r="B5075" s="271"/>
      <c r="C5075" s="271"/>
      <c r="D5075" s="271"/>
      <c r="E5075" s="271"/>
      <c r="F5075" s="271"/>
      <c r="G5075" s="273"/>
      <c r="H5075" s="29" t="str">
        <f t="shared" si="691"/>
        <v>m3</v>
      </c>
      <c r="I5075" s="394"/>
      <c r="J5075" s="273"/>
      <c r="K5075" s="395">
        <v>10.45</v>
      </c>
      <c r="L5075" s="273"/>
      <c r="M5075" s="394">
        <f t="shared" si="693"/>
        <v>0</v>
      </c>
      <c r="N5075" s="273"/>
    </row>
    <row r="5076" spans="1:14" ht="12.75" customHeight="1" x14ac:dyDescent="0.2">
      <c r="A5076" s="400" t="s">
        <v>970</v>
      </c>
      <c r="B5076" s="271"/>
      <c r="C5076" s="271"/>
      <c r="D5076" s="271"/>
      <c r="E5076" s="271"/>
      <c r="F5076" s="271"/>
      <c r="G5076" s="273"/>
      <c r="H5076" s="29" t="str">
        <f t="shared" si="691"/>
        <v>Kg</v>
      </c>
      <c r="I5076" s="394"/>
      <c r="J5076" s="273"/>
      <c r="K5076" s="395">
        <v>836.16</v>
      </c>
      <c r="L5076" s="273"/>
      <c r="M5076" s="394">
        <f t="shared" si="693"/>
        <v>0</v>
      </c>
      <c r="N5076" s="273"/>
    </row>
    <row r="5077" spans="1:14" ht="12.75" customHeight="1" x14ac:dyDescent="0.2">
      <c r="A5077" s="400" t="s">
        <v>1216</v>
      </c>
      <c r="B5077" s="271"/>
      <c r="C5077" s="271"/>
      <c r="D5077" s="271"/>
      <c r="E5077" s="271"/>
      <c r="F5077" s="271"/>
      <c r="G5077" s="273"/>
      <c r="H5077" s="29" t="str">
        <f t="shared" si="691"/>
        <v>Unidad</v>
      </c>
      <c r="I5077" s="394"/>
      <c r="J5077" s="273"/>
      <c r="K5077" s="395">
        <v>2</v>
      </c>
      <c r="L5077" s="273"/>
      <c r="M5077" s="394">
        <f t="shared" si="693"/>
        <v>0</v>
      </c>
      <c r="N5077" s="273"/>
    </row>
    <row r="5078" spans="1:14" ht="12.75" customHeight="1" x14ac:dyDescent="0.2">
      <c r="A5078" s="400" t="s">
        <v>1315</v>
      </c>
      <c r="B5078" s="271"/>
      <c r="C5078" s="271"/>
      <c r="D5078" s="271"/>
      <c r="E5078" s="271"/>
      <c r="F5078" s="271"/>
      <c r="G5078" s="273"/>
      <c r="H5078" s="29" t="str">
        <f t="shared" si="691"/>
        <v>Unidad</v>
      </c>
      <c r="I5078" s="394"/>
      <c r="J5078" s="273"/>
      <c r="K5078" s="395">
        <v>8</v>
      </c>
      <c r="L5078" s="273"/>
      <c r="M5078" s="394">
        <f t="shared" si="693"/>
        <v>0</v>
      </c>
      <c r="N5078" s="273"/>
    </row>
    <row r="5079" spans="1:14" ht="12.75" customHeight="1" x14ac:dyDescent="0.2">
      <c r="A5079" s="400" t="s">
        <v>1164</v>
      </c>
      <c r="B5079" s="271"/>
      <c r="C5079" s="271"/>
      <c r="D5079" s="271"/>
      <c r="E5079" s="271"/>
      <c r="F5079" s="271"/>
      <c r="G5079" s="273"/>
      <c r="H5079" s="29" t="str">
        <f t="shared" si="691"/>
        <v>Kg</v>
      </c>
      <c r="I5079" s="394"/>
      <c r="J5079" s="273"/>
      <c r="K5079" s="395">
        <v>131.69999999999999</v>
      </c>
      <c r="L5079" s="273"/>
      <c r="M5079" s="394">
        <f t="shared" si="693"/>
        <v>0</v>
      </c>
      <c r="N5079" s="273"/>
    </row>
    <row r="5080" spans="1:14" ht="12.75" customHeight="1" x14ac:dyDescent="0.2">
      <c r="A5080" s="400"/>
      <c r="B5080" s="271"/>
      <c r="C5080" s="271"/>
      <c r="D5080" s="271"/>
      <c r="E5080" s="271"/>
      <c r="F5080" s="271"/>
      <c r="G5080" s="273"/>
      <c r="H5080" s="29" t="str">
        <f t="shared" si="691"/>
        <v/>
      </c>
      <c r="I5080" s="394" t="str">
        <f t="shared" si="692"/>
        <v/>
      </c>
      <c r="J5080" s="273"/>
      <c r="K5080" s="395"/>
      <c r="L5080" s="273"/>
      <c r="M5080" s="394" t="str">
        <f t="shared" si="693"/>
        <v/>
      </c>
      <c r="N5080" s="273"/>
    </row>
    <row r="5081" spans="1:14" ht="12.75" customHeight="1" x14ac:dyDescent="0.25">
      <c r="A5081" s="4"/>
      <c r="B5081" s="4"/>
      <c r="C5081" s="4"/>
      <c r="D5081" s="4"/>
      <c r="E5081" s="4"/>
      <c r="F5081" s="4"/>
      <c r="G5081" s="4"/>
      <c r="H5081" s="4"/>
      <c r="I5081" s="4"/>
      <c r="J5081" s="4"/>
      <c r="K5081" s="396" t="s">
        <v>444</v>
      </c>
      <c r="L5081" s="273"/>
      <c r="M5081" s="394">
        <f>SUM(M5073:N5080)</f>
        <v>4100000</v>
      </c>
      <c r="N5081" s="273"/>
    </row>
    <row r="5082" spans="1:14" ht="12.75" customHeight="1" x14ac:dyDescent="0.25">
      <c r="A5082" s="4"/>
      <c r="B5082" s="4"/>
      <c r="C5082" s="4"/>
      <c r="D5082" s="4"/>
      <c r="E5082" s="4"/>
      <c r="F5082" s="4"/>
      <c r="G5082" s="4"/>
      <c r="H5082" s="4"/>
      <c r="I5082" s="4"/>
      <c r="J5082" s="4"/>
      <c r="K5082" s="4"/>
      <c r="L5082" s="4"/>
      <c r="M5082" s="4"/>
      <c r="N5082" s="4"/>
    </row>
    <row r="5083" spans="1:14" ht="12.75" customHeight="1" x14ac:dyDescent="0.2">
      <c r="A5083" s="398" t="s">
        <v>926</v>
      </c>
      <c r="B5083" s="271"/>
      <c r="C5083" s="271"/>
      <c r="D5083" s="271"/>
      <c r="E5083" s="271"/>
      <c r="F5083" s="271"/>
      <c r="G5083" s="271"/>
      <c r="H5083" s="271"/>
      <c r="I5083" s="271"/>
      <c r="J5083" s="271"/>
      <c r="K5083" s="271"/>
      <c r="L5083" s="271"/>
      <c r="M5083" s="271"/>
      <c r="N5083" s="273"/>
    </row>
    <row r="5084" spans="1:14" ht="12.75" customHeight="1" x14ac:dyDescent="0.2">
      <c r="A5084" s="396" t="s">
        <v>76</v>
      </c>
      <c r="B5084" s="271"/>
      <c r="C5084" s="271"/>
      <c r="D5084" s="271"/>
      <c r="E5084" s="271"/>
      <c r="F5084" s="271"/>
      <c r="G5084" s="273"/>
      <c r="H5084" s="88" t="s">
        <v>77</v>
      </c>
      <c r="I5084" s="399" t="s">
        <v>920</v>
      </c>
      <c r="J5084" s="273"/>
      <c r="K5084" s="399" t="s">
        <v>453</v>
      </c>
      <c r="L5084" s="273"/>
      <c r="M5084" s="399" t="s">
        <v>921</v>
      </c>
      <c r="N5084" s="273"/>
    </row>
    <row r="5085" spans="1:14" ht="12.75" customHeight="1" x14ac:dyDescent="0.2">
      <c r="A5085" s="400" t="s">
        <v>927</v>
      </c>
      <c r="B5085" s="271"/>
      <c r="C5085" s="271"/>
      <c r="D5085" s="271"/>
      <c r="E5085" s="271"/>
      <c r="F5085" s="271"/>
      <c r="G5085" s="273"/>
      <c r="H5085" s="29" t="str">
        <f>IF(A5085="","",VLOOKUP(A5085,AA_Equipos,7,FALSE))</f>
        <v>% M.O.</v>
      </c>
      <c r="I5085" s="394"/>
      <c r="J5085" s="273"/>
      <c r="K5085" s="404">
        <v>0.05</v>
      </c>
      <c r="L5085" s="273"/>
      <c r="M5085" s="394">
        <f t="shared" ref="M5085:M5089" si="694">IF(A5085="","",I5085*K5085)</f>
        <v>0</v>
      </c>
      <c r="N5085" s="273"/>
    </row>
    <row r="5086" spans="1:14" ht="12.75" customHeight="1" x14ac:dyDescent="0.2">
      <c r="A5086" s="403"/>
      <c r="B5086" s="271"/>
      <c r="C5086" s="271"/>
      <c r="D5086" s="271"/>
      <c r="E5086" s="271"/>
      <c r="F5086" s="271"/>
      <c r="G5086" s="273"/>
      <c r="H5086" s="29" t="str">
        <f>IF(A5086="","",VLOOKUP(A5086,AA_Equipos,7,FALSE))</f>
        <v/>
      </c>
      <c r="I5086" s="394" t="str">
        <f>IF(A5086="","",VLOOKUP(A5086,AA_Equipos,8,FALSE))</f>
        <v/>
      </c>
      <c r="J5086" s="273"/>
      <c r="K5086" s="402"/>
      <c r="L5086" s="273"/>
      <c r="M5086" s="394" t="str">
        <f t="shared" si="694"/>
        <v/>
      </c>
      <c r="N5086" s="273"/>
    </row>
    <row r="5087" spans="1:14" ht="12.75" customHeight="1" x14ac:dyDescent="0.2">
      <c r="A5087" s="400"/>
      <c r="B5087" s="271"/>
      <c r="C5087" s="271"/>
      <c r="D5087" s="271"/>
      <c r="E5087" s="271"/>
      <c r="F5087" s="271"/>
      <c r="G5087" s="273"/>
      <c r="H5087" s="29" t="str">
        <f>IF(A5087="","",VLOOKUP(A5087,AA_Equipos,7,FALSE))</f>
        <v/>
      </c>
      <c r="I5087" s="394"/>
      <c r="J5087" s="273"/>
      <c r="K5087" s="404"/>
      <c r="L5087" s="273"/>
      <c r="M5087" s="394" t="str">
        <f t="shared" si="694"/>
        <v/>
      </c>
      <c r="N5087" s="273"/>
    </row>
    <row r="5088" spans="1:14" ht="12.75" customHeight="1" x14ac:dyDescent="0.2">
      <c r="A5088" s="400"/>
      <c r="B5088" s="271"/>
      <c r="C5088" s="271"/>
      <c r="D5088" s="271"/>
      <c r="E5088" s="271"/>
      <c r="F5088" s="271"/>
      <c r="G5088" s="273"/>
      <c r="H5088" s="29" t="str">
        <f>IF(A5088="","",VLOOKUP(A5088,AA_Equipos,7,FALSE))</f>
        <v/>
      </c>
      <c r="I5088" s="394" t="str">
        <f>IF(A5088="","",VLOOKUP(A5088,AA_Equipos,8,FALSE))</f>
        <v/>
      </c>
      <c r="J5088" s="273"/>
      <c r="K5088" s="395"/>
      <c r="L5088" s="273"/>
      <c r="M5088" s="394" t="str">
        <f t="shared" si="694"/>
        <v/>
      </c>
      <c r="N5088" s="273"/>
    </row>
    <row r="5089" spans="1:14" ht="12.75" customHeight="1" x14ac:dyDescent="0.2">
      <c r="A5089" s="400"/>
      <c r="B5089" s="271"/>
      <c r="C5089" s="271"/>
      <c r="D5089" s="271"/>
      <c r="E5089" s="271"/>
      <c r="F5089" s="271"/>
      <c r="G5089" s="273"/>
      <c r="H5089" s="29" t="str">
        <f>IF(A5089="","",VLOOKUP(A5089,AA_Equipos,7,FALSE))</f>
        <v/>
      </c>
      <c r="I5089" s="394" t="str">
        <f>IF(A5089="","",VLOOKUP(A5089,AA_Equipos,8,FALSE))</f>
        <v/>
      </c>
      <c r="J5089" s="273"/>
      <c r="K5089" s="395"/>
      <c r="L5089" s="273"/>
      <c r="M5089" s="394" t="str">
        <f t="shared" si="694"/>
        <v/>
      </c>
      <c r="N5089" s="273"/>
    </row>
    <row r="5090" spans="1:14" ht="12.75" customHeight="1" x14ac:dyDescent="0.25">
      <c r="A5090" s="4"/>
      <c r="B5090" s="4"/>
      <c r="C5090" s="4"/>
      <c r="D5090" s="4"/>
      <c r="E5090" s="4"/>
      <c r="F5090" s="4"/>
      <c r="G5090" s="4"/>
      <c r="H5090" s="4"/>
      <c r="I5090" s="4"/>
      <c r="J5090" s="4"/>
      <c r="K5090" s="396" t="s">
        <v>444</v>
      </c>
      <c r="L5090" s="273"/>
      <c r="M5090" s="394">
        <f>SUM(M5085:N5089)</f>
        <v>0</v>
      </c>
      <c r="N5090" s="273"/>
    </row>
    <row r="5091" spans="1:14" ht="12.75" customHeight="1" x14ac:dyDescent="0.25">
      <c r="A5091" s="4"/>
      <c r="B5091" s="4"/>
      <c r="C5091" s="4"/>
      <c r="D5091" s="4"/>
      <c r="E5091" s="4"/>
      <c r="F5091" s="4"/>
      <c r="G5091" s="4"/>
      <c r="H5091" s="4"/>
      <c r="I5091" s="4"/>
      <c r="J5091" s="4"/>
      <c r="K5091" s="4"/>
      <c r="L5091" s="4"/>
      <c r="M5091" s="4"/>
      <c r="N5091" s="4"/>
    </row>
    <row r="5092" spans="1:14" ht="12.75" customHeight="1" x14ac:dyDescent="0.2">
      <c r="A5092" s="398" t="s">
        <v>929</v>
      </c>
      <c r="B5092" s="271"/>
      <c r="C5092" s="271"/>
      <c r="D5092" s="271"/>
      <c r="E5092" s="271"/>
      <c r="F5092" s="271"/>
      <c r="G5092" s="271"/>
      <c r="H5092" s="271"/>
      <c r="I5092" s="271"/>
      <c r="J5092" s="271"/>
      <c r="K5092" s="271"/>
      <c r="L5092" s="271"/>
      <c r="M5092" s="271"/>
      <c r="N5092" s="273"/>
    </row>
    <row r="5093" spans="1:14" ht="12.75" customHeight="1" x14ac:dyDescent="0.2">
      <c r="A5093" s="396" t="s">
        <v>76</v>
      </c>
      <c r="B5093" s="271"/>
      <c r="C5093" s="271"/>
      <c r="D5093" s="271"/>
      <c r="E5093" s="271"/>
      <c r="F5093" s="271"/>
      <c r="G5093" s="273"/>
      <c r="H5093" s="88" t="s">
        <v>77</v>
      </c>
      <c r="I5093" s="399" t="s">
        <v>920</v>
      </c>
      <c r="J5093" s="273"/>
      <c r="K5093" s="399" t="s">
        <v>453</v>
      </c>
      <c r="L5093" s="273"/>
      <c r="M5093" s="399" t="s">
        <v>921</v>
      </c>
      <c r="N5093" s="273"/>
    </row>
    <row r="5094" spans="1:14" ht="12.75" customHeight="1" x14ac:dyDescent="0.2">
      <c r="A5094" s="400" t="s">
        <v>966</v>
      </c>
      <c r="B5094" s="271"/>
      <c r="C5094" s="271"/>
      <c r="D5094" s="271"/>
      <c r="E5094" s="271"/>
      <c r="F5094" s="271"/>
      <c r="G5094" s="273"/>
      <c r="H5094" s="29" t="s">
        <v>24</v>
      </c>
      <c r="I5094" s="394"/>
      <c r="J5094" s="273"/>
      <c r="K5094" s="404">
        <v>0.01</v>
      </c>
      <c r="L5094" s="273"/>
      <c r="M5094" s="394">
        <f t="shared" ref="M5094:M5098" si="695">IF(A5094="","",I5094*K5094)</f>
        <v>0</v>
      </c>
      <c r="N5094" s="273"/>
    </row>
    <row r="5095" spans="1:14" ht="12.75" customHeight="1" x14ac:dyDescent="0.2">
      <c r="A5095" s="403" t="s">
        <v>3174</v>
      </c>
      <c r="B5095" s="271"/>
      <c r="C5095" s="271"/>
      <c r="D5095" s="271"/>
      <c r="E5095" s="271"/>
      <c r="F5095" s="271"/>
      <c r="G5095" s="273"/>
      <c r="H5095" s="29" t="s">
        <v>24</v>
      </c>
      <c r="I5095" s="394">
        <f>M5081</f>
        <v>4100000</v>
      </c>
      <c r="J5095" s="273"/>
      <c r="K5095" s="404">
        <v>0.05</v>
      </c>
      <c r="L5095" s="273"/>
      <c r="M5095" s="394">
        <f t="shared" si="695"/>
        <v>205000</v>
      </c>
      <c r="N5095" s="273"/>
    </row>
    <row r="5096" spans="1:14" ht="12.75" customHeight="1" x14ac:dyDescent="0.2">
      <c r="A5096" s="400"/>
      <c r="B5096" s="271"/>
      <c r="C5096" s="271"/>
      <c r="D5096" s="271"/>
      <c r="E5096" s="271"/>
      <c r="F5096" s="271"/>
      <c r="G5096" s="273"/>
      <c r="H5096" s="29"/>
      <c r="I5096" s="394"/>
      <c r="J5096" s="273"/>
      <c r="K5096" s="395"/>
      <c r="L5096" s="273"/>
      <c r="M5096" s="394" t="str">
        <f t="shared" si="695"/>
        <v/>
      </c>
      <c r="N5096" s="273"/>
    </row>
    <row r="5097" spans="1:14" ht="12.75" customHeight="1" x14ac:dyDescent="0.2">
      <c r="A5097" s="400"/>
      <c r="B5097" s="271"/>
      <c r="C5097" s="271"/>
      <c r="D5097" s="271"/>
      <c r="E5097" s="271"/>
      <c r="F5097" s="271"/>
      <c r="G5097" s="273"/>
      <c r="H5097" s="29"/>
      <c r="I5097" s="394"/>
      <c r="J5097" s="273"/>
      <c r="K5097" s="395"/>
      <c r="L5097" s="273"/>
      <c r="M5097" s="394" t="str">
        <f t="shared" si="695"/>
        <v/>
      </c>
      <c r="N5097" s="273"/>
    </row>
    <row r="5098" spans="1:14" ht="12.75" customHeight="1" x14ac:dyDescent="0.2">
      <c r="A5098" s="400"/>
      <c r="B5098" s="271"/>
      <c r="C5098" s="271"/>
      <c r="D5098" s="271"/>
      <c r="E5098" s="271"/>
      <c r="F5098" s="271"/>
      <c r="G5098" s="273"/>
      <c r="H5098" s="29"/>
      <c r="I5098" s="394"/>
      <c r="J5098" s="273"/>
      <c r="K5098" s="395"/>
      <c r="L5098" s="273"/>
      <c r="M5098" s="394" t="str">
        <f t="shared" si="695"/>
        <v/>
      </c>
      <c r="N5098" s="273"/>
    </row>
    <row r="5099" spans="1:14" ht="12.75" customHeight="1" x14ac:dyDescent="0.25">
      <c r="A5099" s="4"/>
      <c r="B5099" s="4"/>
      <c r="C5099" s="4"/>
      <c r="D5099" s="4"/>
      <c r="E5099" s="4"/>
      <c r="F5099" s="4"/>
      <c r="G5099" s="4"/>
      <c r="H5099" s="4"/>
      <c r="I5099" s="4"/>
      <c r="J5099" s="4"/>
      <c r="K5099" s="396" t="s">
        <v>444</v>
      </c>
      <c r="L5099" s="273"/>
      <c r="M5099" s="394">
        <f>SUM(M5094:N5098)</f>
        <v>205000</v>
      </c>
      <c r="N5099" s="273"/>
    </row>
    <row r="5100" spans="1:14" ht="12.75" customHeight="1" x14ac:dyDescent="0.25">
      <c r="A5100" s="4"/>
      <c r="B5100" s="4"/>
      <c r="C5100" s="4"/>
      <c r="D5100" s="4"/>
      <c r="E5100" s="4"/>
      <c r="F5100" s="4"/>
      <c r="G5100" s="4"/>
      <c r="H5100" s="4"/>
      <c r="I5100" s="4"/>
      <c r="J5100" s="4"/>
      <c r="K5100" s="4"/>
      <c r="L5100" s="4"/>
      <c r="M5100" s="4"/>
      <c r="N5100" s="4"/>
    </row>
    <row r="5101" spans="1:14" ht="12.75" customHeight="1" x14ac:dyDescent="0.2">
      <c r="A5101" s="398" t="s">
        <v>931</v>
      </c>
      <c r="B5101" s="271"/>
      <c r="C5101" s="271"/>
      <c r="D5101" s="271"/>
      <c r="E5101" s="271"/>
      <c r="F5101" s="271"/>
      <c r="G5101" s="271"/>
      <c r="H5101" s="271"/>
      <c r="I5101" s="271"/>
      <c r="J5101" s="271"/>
      <c r="K5101" s="271"/>
      <c r="L5101" s="271"/>
      <c r="M5101" s="271"/>
      <c r="N5101" s="273"/>
    </row>
    <row r="5102" spans="1:14" ht="12.75" customHeight="1" x14ac:dyDescent="0.2">
      <c r="A5102" s="396" t="s">
        <v>76</v>
      </c>
      <c r="B5102" s="271"/>
      <c r="C5102" s="271"/>
      <c r="D5102" s="271"/>
      <c r="E5102" s="271"/>
      <c r="F5102" s="271"/>
      <c r="G5102" s="273"/>
      <c r="H5102" s="88" t="s">
        <v>77</v>
      </c>
      <c r="I5102" s="399" t="s">
        <v>920</v>
      </c>
      <c r="J5102" s="273"/>
      <c r="K5102" s="90" t="s">
        <v>514</v>
      </c>
      <c r="L5102" s="91" t="s">
        <v>932</v>
      </c>
      <c r="M5102" s="399" t="s">
        <v>921</v>
      </c>
      <c r="N5102" s="273"/>
    </row>
    <row r="5103" spans="1:14" ht="12.75" customHeight="1" x14ac:dyDescent="0.25">
      <c r="A5103" s="393" t="s">
        <v>1106</v>
      </c>
      <c r="B5103" s="271"/>
      <c r="C5103" s="271"/>
      <c r="D5103" s="271"/>
      <c r="E5103" s="271"/>
      <c r="F5103" s="271"/>
      <c r="G5103" s="273"/>
      <c r="H5103" s="29" t="str">
        <f>IF(A5103="","",VLOOKUP(A5103,AA_Cuadrillas,4,FALSE))</f>
        <v>Cuadrilla</v>
      </c>
      <c r="I5103" s="394">
        <f>IF(A5103="","",VLOOKUP(A5103,AA_Cuadrillas,5,FALSE))</f>
        <v>256799</v>
      </c>
      <c r="J5103" s="273"/>
      <c r="K5103" s="9">
        <f>IF(A5103="","",F.P!$I$2)</f>
        <v>1.88</v>
      </c>
      <c r="L5103" s="93">
        <v>8</v>
      </c>
      <c r="M5103" s="394">
        <f>IF(A5103="","",I5103*K5103*L5103)</f>
        <v>3862256.96</v>
      </c>
      <c r="N5103" s="273"/>
    </row>
    <row r="5104" spans="1:14" ht="12.75" customHeight="1" x14ac:dyDescent="0.25">
      <c r="A5104" s="393"/>
      <c r="B5104" s="271"/>
      <c r="C5104" s="271"/>
      <c r="D5104" s="271"/>
      <c r="E5104" s="271"/>
      <c r="F5104" s="271"/>
      <c r="G5104" s="273"/>
      <c r="H5104" s="29" t="str">
        <f>IF(A5104="","",VLOOKUP(A5104,AA_Cuadrillas,4,FALSE))</f>
        <v/>
      </c>
      <c r="I5104" s="394" t="str">
        <f>IF(A5104="","",VLOOKUP(A5104,AA_Cuadrillas,5,FALSE))</f>
        <v/>
      </c>
      <c r="J5104" s="273"/>
      <c r="K5104" s="9" t="str">
        <f>IF(A5104="","",F.P!$I$2)</f>
        <v/>
      </c>
      <c r="L5104" s="9"/>
      <c r="M5104" s="394" t="str">
        <f t="shared" ref="M5104:M5107" si="696">IF(A5104="","",I5104*K5104*L5104)</f>
        <v/>
      </c>
      <c r="N5104" s="273"/>
    </row>
    <row r="5105" spans="1:14" ht="12.75" customHeight="1" x14ac:dyDescent="0.25">
      <c r="A5105" s="393"/>
      <c r="B5105" s="271"/>
      <c r="C5105" s="271"/>
      <c r="D5105" s="271"/>
      <c r="E5105" s="271"/>
      <c r="F5105" s="271"/>
      <c r="G5105" s="273"/>
      <c r="H5105" s="29" t="str">
        <f>IF(A5105="","",VLOOKUP(A5105,AA_Cuadrillas,4,FALSE))</f>
        <v/>
      </c>
      <c r="I5105" s="394" t="str">
        <f>IF(A5105="","",VLOOKUP(A5105,AA_Cuadrillas,5,FALSE))</f>
        <v/>
      </c>
      <c r="J5105" s="273"/>
      <c r="K5105" s="9" t="str">
        <f>IF(A5105="","",F.P!$I$2)</f>
        <v/>
      </c>
      <c r="L5105" s="37"/>
      <c r="M5105" s="394" t="str">
        <f t="shared" si="696"/>
        <v/>
      </c>
      <c r="N5105" s="273"/>
    </row>
    <row r="5106" spans="1:14" ht="12.75" customHeight="1" x14ac:dyDescent="0.25">
      <c r="A5106" s="393"/>
      <c r="B5106" s="271"/>
      <c r="C5106" s="271"/>
      <c r="D5106" s="271"/>
      <c r="E5106" s="271"/>
      <c r="F5106" s="271"/>
      <c r="G5106" s="273"/>
      <c r="H5106" s="29" t="str">
        <f>IF(A5106="","",VLOOKUP(A5106,AA_Cuadrillas,4,FALSE))</f>
        <v/>
      </c>
      <c r="I5106" s="394" t="str">
        <f>IF(A5106="","",VLOOKUP(A5106,AA_Cuadrillas,5,FALSE))</f>
        <v/>
      </c>
      <c r="J5106" s="273"/>
      <c r="K5106" s="9" t="str">
        <f>IF(A5106="","",F.P!$I$2)</f>
        <v/>
      </c>
      <c r="L5106" s="37"/>
      <c r="M5106" s="394" t="str">
        <f t="shared" si="696"/>
        <v/>
      </c>
      <c r="N5106" s="273"/>
    </row>
    <row r="5107" spans="1:14" ht="12.75" customHeight="1" x14ac:dyDescent="0.25">
      <c r="A5107" s="393"/>
      <c r="B5107" s="271"/>
      <c r="C5107" s="271"/>
      <c r="D5107" s="271"/>
      <c r="E5107" s="271"/>
      <c r="F5107" s="271"/>
      <c r="G5107" s="273"/>
      <c r="H5107" s="29" t="str">
        <f>IF(A5107="","",VLOOKUP(A5107,AA_Cuadrillas,4,FALSE))</f>
        <v/>
      </c>
      <c r="I5107" s="394" t="str">
        <f>IF(A5107="","",VLOOKUP(A5107,AA_Cuadrillas,5,FALSE))</f>
        <v/>
      </c>
      <c r="J5107" s="273"/>
      <c r="K5107" s="9" t="str">
        <f>IF(A5107="","",F.P!$I$2)</f>
        <v/>
      </c>
      <c r="L5107" s="37"/>
      <c r="M5107" s="394" t="str">
        <f t="shared" si="696"/>
        <v/>
      </c>
      <c r="N5107" s="273"/>
    </row>
    <row r="5108" spans="1:14" ht="12.75" customHeight="1" x14ac:dyDescent="0.25">
      <c r="A5108" s="4"/>
      <c r="B5108" s="4"/>
      <c r="C5108" s="4"/>
      <c r="D5108" s="4"/>
      <c r="E5108" s="4"/>
      <c r="F5108" s="4"/>
      <c r="G5108" s="4"/>
      <c r="H5108" s="4"/>
      <c r="I5108" s="4"/>
      <c r="J5108" s="4"/>
      <c r="K5108" s="396" t="s">
        <v>444</v>
      </c>
      <c r="L5108" s="273"/>
      <c r="M5108" s="394">
        <f>SUM(M5103:N5107)</f>
        <v>3862256.96</v>
      </c>
      <c r="N5108" s="273"/>
    </row>
    <row r="5109" spans="1:14" ht="12.75" customHeight="1" x14ac:dyDescent="0.2"/>
    <row r="5110" spans="1:14" ht="12.75" customHeight="1" x14ac:dyDescent="0.2">
      <c r="A5110" s="407" t="s">
        <v>318</v>
      </c>
      <c r="B5110" s="275"/>
      <c r="C5110" s="275"/>
      <c r="D5110" s="275"/>
      <c r="E5110" s="275"/>
      <c r="F5110" s="275"/>
      <c r="G5110" s="275"/>
      <c r="H5110" s="275"/>
      <c r="I5110" s="275"/>
      <c r="J5110" s="275"/>
      <c r="K5110" s="275"/>
      <c r="L5110" s="275"/>
      <c r="M5110" s="275"/>
      <c r="N5110" s="276"/>
    </row>
    <row r="5111" spans="1:14" ht="12.75" customHeight="1" x14ac:dyDescent="0.2">
      <c r="A5111" s="277"/>
      <c r="B5111" s="278"/>
      <c r="C5111" s="278"/>
      <c r="D5111" s="278"/>
      <c r="E5111" s="278"/>
      <c r="F5111" s="278"/>
      <c r="G5111" s="278"/>
      <c r="H5111" s="278"/>
      <c r="I5111" s="278"/>
      <c r="J5111" s="278"/>
      <c r="K5111" s="278"/>
      <c r="L5111" s="278"/>
      <c r="M5111" s="278"/>
      <c r="N5111" s="279"/>
    </row>
    <row r="5112" spans="1:14" ht="12.75" customHeight="1" x14ac:dyDescent="0.2">
      <c r="A5112" s="75"/>
      <c r="B5112" s="75"/>
      <c r="C5112" s="75"/>
      <c r="D5112" s="75"/>
      <c r="E5112" s="75"/>
      <c r="F5112" s="75"/>
      <c r="G5112" s="75"/>
      <c r="H5112" s="75"/>
      <c r="I5112" s="75"/>
      <c r="J5112" s="75"/>
      <c r="K5112" s="75"/>
      <c r="L5112" s="75"/>
      <c r="M5112" s="75"/>
      <c r="N5112" s="75"/>
    </row>
    <row r="5113" spans="1:14" ht="12.75" customHeight="1" x14ac:dyDescent="0.3">
      <c r="A5113" s="79" t="s">
        <v>733</v>
      </c>
      <c r="B5113" s="80" t="str">
        <f>A5110</f>
        <v>SUMINISTRO E INSTALACIÓN DE VÁLVULA DE COMPUERTA CON VOLANTE Ø8" EN HIERRO DUCTIL (INCLUYE MATERIALES, HERRAMIENTAS Y MANO DE OBRA)</v>
      </c>
      <c r="C5113" s="81" t="s">
        <v>916</v>
      </c>
      <c r="D5113" s="82" t="s">
        <v>999</v>
      </c>
      <c r="E5113" s="83" t="s">
        <v>445</v>
      </c>
      <c r="F5113" s="86">
        <f>H5113+J5113+L5113+N5113</f>
        <v>3055202.0971999997</v>
      </c>
      <c r="G5113" s="83" t="s">
        <v>607</v>
      </c>
      <c r="H5113" s="86">
        <f>M5134</f>
        <v>10533.433199999999</v>
      </c>
      <c r="I5113" s="83" t="s">
        <v>918</v>
      </c>
      <c r="J5113" s="86">
        <f>M5125</f>
        <v>2834000</v>
      </c>
      <c r="K5113" s="83" t="s">
        <v>609</v>
      </c>
      <c r="L5113" s="86">
        <f>M5143</f>
        <v>0</v>
      </c>
      <c r="M5113" s="83" t="s">
        <v>610</v>
      </c>
      <c r="N5113" s="86">
        <f>M5152</f>
        <v>210668.66399999999</v>
      </c>
    </row>
    <row r="5114" spans="1:14" ht="12.75" customHeight="1" x14ac:dyDescent="0.25">
      <c r="A5114" s="87"/>
      <c r="B5114" s="87"/>
      <c r="C5114" s="87"/>
      <c r="D5114" s="87"/>
      <c r="E5114" s="87"/>
      <c r="F5114" s="87"/>
      <c r="G5114" s="87"/>
      <c r="J5114" s="87"/>
      <c r="K5114" s="215" t="s">
        <v>3217</v>
      </c>
      <c r="L5114" s="215">
        <f>+F5113*presup!$O$5</f>
        <v>3971762.7263599997</v>
      </c>
      <c r="M5114" s="87"/>
      <c r="N5114" s="87"/>
    </row>
    <row r="5115" spans="1:14" ht="12.75" customHeight="1" x14ac:dyDescent="0.2">
      <c r="A5115" s="398" t="s">
        <v>919</v>
      </c>
      <c r="B5115" s="271"/>
      <c r="C5115" s="271"/>
      <c r="D5115" s="271"/>
      <c r="E5115" s="271"/>
      <c r="F5115" s="271"/>
      <c r="G5115" s="271"/>
      <c r="H5115" s="271"/>
      <c r="I5115" s="271"/>
      <c r="J5115" s="271"/>
      <c r="K5115" s="271"/>
      <c r="L5115" s="271"/>
      <c r="M5115" s="271"/>
      <c r="N5115" s="273"/>
    </row>
    <row r="5116" spans="1:14" ht="12.75" customHeight="1" x14ac:dyDescent="0.2">
      <c r="A5116" s="396" t="s">
        <v>76</v>
      </c>
      <c r="B5116" s="271"/>
      <c r="C5116" s="271"/>
      <c r="D5116" s="271"/>
      <c r="E5116" s="271"/>
      <c r="F5116" s="271"/>
      <c r="G5116" s="273"/>
      <c r="H5116" s="88" t="s">
        <v>77</v>
      </c>
      <c r="I5116" s="399" t="s">
        <v>920</v>
      </c>
      <c r="J5116" s="273"/>
      <c r="K5116" s="399" t="s">
        <v>453</v>
      </c>
      <c r="L5116" s="273"/>
      <c r="M5116" s="399" t="s">
        <v>921</v>
      </c>
      <c r="N5116" s="273"/>
    </row>
    <row r="5117" spans="1:14" ht="12.75" customHeight="1" x14ac:dyDescent="0.2">
      <c r="A5117" s="403" t="s">
        <v>1219</v>
      </c>
      <c r="B5117" s="271"/>
      <c r="C5117" s="271"/>
      <c r="D5117" s="271"/>
      <c r="E5117" s="271"/>
      <c r="F5117" s="271"/>
      <c r="G5117" s="273"/>
      <c r="H5117" s="29" t="str">
        <f t="shared" ref="H5117:H5124" si="697">IF(A5117="","",VLOOKUP(A5117,AA_Materiales,7,FALSE))</f>
        <v>Unidad</v>
      </c>
      <c r="I5117" s="394">
        <f t="shared" ref="I5117:I5124" si="698">IF(A5117="","",VLOOKUP(A5117,AA_Materiales,8,FALSE))</f>
        <v>2834000</v>
      </c>
      <c r="J5117" s="273"/>
      <c r="K5117" s="395">
        <v>1</v>
      </c>
      <c r="L5117" s="273"/>
      <c r="M5117" s="394">
        <f t="shared" ref="M5117:M5124" si="699">IF(A5117="","",I5117*K5117)</f>
        <v>2834000</v>
      </c>
      <c r="N5117" s="273"/>
    </row>
    <row r="5118" spans="1:14" ht="12.75" customHeight="1" x14ac:dyDescent="0.2">
      <c r="A5118" s="403"/>
      <c r="B5118" s="271"/>
      <c r="C5118" s="271"/>
      <c r="D5118" s="271"/>
      <c r="E5118" s="271"/>
      <c r="F5118" s="271"/>
      <c r="G5118" s="273"/>
      <c r="H5118" s="29" t="str">
        <f t="shared" si="697"/>
        <v/>
      </c>
      <c r="I5118" s="394" t="str">
        <f t="shared" si="698"/>
        <v/>
      </c>
      <c r="J5118" s="273"/>
      <c r="K5118" s="395"/>
      <c r="L5118" s="273"/>
      <c r="M5118" s="394" t="str">
        <f t="shared" si="699"/>
        <v/>
      </c>
      <c r="N5118" s="273"/>
    </row>
    <row r="5119" spans="1:14" ht="12.75" customHeight="1" x14ac:dyDescent="0.2">
      <c r="A5119" s="403"/>
      <c r="B5119" s="271"/>
      <c r="C5119" s="271"/>
      <c r="D5119" s="271"/>
      <c r="E5119" s="271"/>
      <c r="F5119" s="271"/>
      <c r="G5119" s="273"/>
      <c r="H5119" s="29" t="str">
        <f t="shared" si="697"/>
        <v/>
      </c>
      <c r="I5119" s="394" t="str">
        <f t="shared" si="698"/>
        <v/>
      </c>
      <c r="J5119" s="273"/>
      <c r="K5119" s="395"/>
      <c r="L5119" s="273"/>
      <c r="M5119" s="394" t="str">
        <f t="shared" si="699"/>
        <v/>
      </c>
      <c r="N5119" s="273"/>
    </row>
    <row r="5120" spans="1:14" ht="12.75" customHeight="1" x14ac:dyDescent="0.2">
      <c r="A5120" s="403"/>
      <c r="B5120" s="271"/>
      <c r="C5120" s="271"/>
      <c r="D5120" s="271"/>
      <c r="E5120" s="271"/>
      <c r="F5120" s="271"/>
      <c r="G5120" s="273"/>
      <c r="H5120" s="29" t="str">
        <f t="shared" si="697"/>
        <v/>
      </c>
      <c r="I5120" s="394" t="str">
        <f t="shared" si="698"/>
        <v/>
      </c>
      <c r="J5120" s="273"/>
      <c r="K5120" s="395"/>
      <c r="L5120" s="273"/>
      <c r="M5120" s="394" t="str">
        <f t="shared" si="699"/>
        <v/>
      </c>
      <c r="N5120" s="273"/>
    </row>
    <row r="5121" spans="1:14" ht="12.75" customHeight="1" x14ac:dyDescent="0.2">
      <c r="A5121" s="403"/>
      <c r="B5121" s="271"/>
      <c r="C5121" s="271"/>
      <c r="D5121" s="271"/>
      <c r="E5121" s="271"/>
      <c r="F5121" s="271"/>
      <c r="G5121" s="273"/>
      <c r="H5121" s="29" t="str">
        <f t="shared" si="697"/>
        <v/>
      </c>
      <c r="I5121" s="394" t="str">
        <f t="shared" si="698"/>
        <v/>
      </c>
      <c r="J5121" s="273"/>
      <c r="K5121" s="395"/>
      <c r="L5121" s="273"/>
      <c r="M5121" s="394" t="str">
        <f t="shared" si="699"/>
        <v/>
      </c>
      <c r="N5121" s="273"/>
    </row>
    <row r="5122" spans="1:14" ht="12.75" customHeight="1" x14ac:dyDescent="0.2">
      <c r="A5122" s="403"/>
      <c r="B5122" s="271"/>
      <c r="C5122" s="271"/>
      <c r="D5122" s="271"/>
      <c r="E5122" s="271"/>
      <c r="F5122" s="271"/>
      <c r="G5122" s="273"/>
      <c r="H5122" s="29" t="str">
        <f t="shared" si="697"/>
        <v/>
      </c>
      <c r="I5122" s="394" t="str">
        <f t="shared" si="698"/>
        <v/>
      </c>
      <c r="J5122" s="273"/>
      <c r="K5122" s="395"/>
      <c r="L5122" s="273"/>
      <c r="M5122" s="394" t="str">
        <f t="shared" si="699"/>
        <v/>
      </c>
      <c r="N5122" s="273"/>
    </row>
    <row r="5123" spans="1:14" ht="12.75" customHeight="1" x14ac:dyDescent="0.2">
      <c r="A5123" s="403"/>
      <c r="B5123" s="271"/>
      <c r="C5123" s="271"/>
      <c r="D5123" s="271"/>
      <c r="E5123" s="271"/>
      <c r="F5123" s="271"/>
      <c r="G5123" s="273"/>
      <c r="H5123" s="29" t="str">
        <f t="shared" si="697"/>
        <v/>
      </c>
      <c r="I5123" s="394" t="str">
        <f t="shared" si="698"/>
        <v/>
      </c>
      <c r="J5123" s="273"/>
      <c r="K5123" s="395"/>
      <c r="L5123" s="273"/>
      <c r="M5123" s="394" t="str">
        <f t="shared" si="699"/>
        <v/>
      </c>
      <c r="N5123" s="273"/>
    </row>
    <row r="5124" spans="1:14" ht="12.75" customHeight="1" x14ac:dyDescent="0.2">
      <c r="A5124" s="403"/>
      <c r="B5124" s="271"/>
      <c r="C5124" s="271"/>
      <c r="D5124" s="271"/>
      <c r="E5124" s="271"/>
      <c r="F5124" s="271"/>
      <c r="G5124" s="273"/>
      <c r="H5124" s="29" t="str">
        <f t="shared" si="697"/>
        <v/>
      </c>
      <c r="I5124" s="394" t="str">
        <f t="shared" si="698"/>
        <v/>
      </c>
      <c r="J5124" s="273"/>
      <c r="K5124" s="395"/>
      <c r="L5124" s="273"/>
      <c r="M5124" s="394" t="str">
        <f t="shared" si="699"/>
        <v/>
      </c>
      <c r="N5124" s="273"/>
    </row>
    <row r="5125" spans="1:14" ht="12.75" customHeight="1" x14ac:dyDescent="0.25">
      <c r="A5125" s="4"/>
      <c r="B5125" s="4"/>
      <c r="C5125" s="4"/>
      <c r="D5125" s="4"/>
      <c r="E5125" s="4"/>
      <c r="F5125" s="4"/>
      <c r="G5125" s="4"/>
      <c r="H5125" s="4"/>
      <c r="I5125" s="4"/>
      <c r="J5125" s="4"/>
      <c r="K5125" s="396" t="s">
        <v>444</v>
      </c>
      <c r="L5125" s="273"/>
      <c r="M5125" s="394">
        <f>SUM(M5117:N5124)</f>
        <v>2834000</v>
      </c>
      <c r="N5125" s="273"/>
    </row>
    <row r="5126" spans="1:14" ht="12.75" customHeight="1" x14ac:dyDescent="0.25">
      <c r="A5126" s="4"/>
      <c r="B5126" s="4"/>
      <c r="C5126" s="4"/>
      <c r="D5126" s="4"/>
      <c r="E5126" s="4"/>
      <c r="F5126" s="4"/>
      <c r="G5126" s="4"/>
      <c r="H5126" s="4"/>
      <c r="I5126" s="4"/>
      <c r="J5126" s="4"/>
      <c r="K5126" s="4"/>
      <c r="L5126" s="4"/>
      <c r="M5126" s="4"/>
      <c r="N5126" s="4"/>
    </row>
    <row r="5127" spans="1:14" ht="12.75" customHeight="1" x14ac:dyDescent="0.2">
      <c r="A5127" s="398" t="s">
        <v>926</v>
      </c>
      <c r="B5127" s="271"/>
      <c r="C5127" s="271"/>
      <c r="D5127" s="271"/>
      <c r="E5127" s="271"/>
      <c r="F5127" s="271"/>
      <c r="G5127" s="271"/>
      <c r="H5127" s="271"/>
      <c r="I5127" s="271"/>
      <c r="J5127" s="271"/>
      <c r="K5127" s="271"/>
      <c r="L5127" s="271"/>
      <c r="M5127" s="271"/>
      <c r="N5127" s="273"/>
    </row>
    <row r="5128" spans="1:14" ht="12.75" customHeight="1" x14ac:dyDescent="0.2">
      <c r="A5128" s="396" t="s">
        <v>76</v>
      </c>
      <c r="B5128" s="271"/>
      <c r="C5128" s="271"/>
      <c r="D5128" s="271"/>
      <c r="E5128" s="271"/>
      <c r="F5128" s="271"/>
      <c r="G5128" s="273"/>
      <c r="H5128" s="88" t="s">
        <v>77</v>
      </c>
      <c r="I5128" s="399" t="s">
        <v>920</v>
      </c>
      <c r="J5128" s="273"/>
      <c r="K5128" s="399" t="s">
        <v>453</v>
      </c>
      <c r="L5128" s="273"/>
      <c r="M5128" s="399" t="s">
        <v>921</v>
      </c>
      <c r="N5128" s="273"/>
    </row>
    <row r="5129" spans="1:14" ht="12.75" customHeight="1" x14ac:dyDescent="0.2">
      <c r="A5129" s="400" t="s">
        <v>927</v>
      </c>
      <c r="B5129" s="271"/>
      <c r="C5129" s="271"/>
      <c r="D5129" s="271"/>
      <c r="E5129" s="271"/>
      <c r="F5129" s="271"/>
      <c r="G5129" s="273"/>
      <c r="H5129" s="29" t="str">
        <f>IF(A5129="","",VLOOKUP(A5129,AA_Equipos,7,FALSE))</f>
        <v>% M.O.</v>
      </c>
      <c r="I5129" s="394">
        <f>+M5152</f>
        <v>210668.66399999999</v>
      </c>
      <c r="J5129" s="273"/>
      <c r="K5129" s="404">
        <v>0.05</v>
      </c>
      <c r="L5129" s="273"/>
      <c r="M5129" s="394">
        <f t="shared" ref="M5129:M5133" si="700">IF(A5129="","",I5129*K5129)</f>
        <v>10533.433199999999</v>
      </c>
      <c r="N5129" s="273"/>
    </row>
    <row r="5130" spans="1:14" ht="12.75" customHeight="1" x14ac:dyDescent="0.2">
      <c r="A5130" s="403"/>
      <c r="B5130" s="271"/>
      <c r="C5130" s="271"/>
      <c r="D5130" s="271"/>
      <c r="E5130" s="271"/>
      <c r="F5130" s="271"/>
      <c r="G5130" s="273"/>
      <c r="H5130" s="29" t="str">
        <f>IF(A5130="","",VLOOKUP(A5130,AA_Equipos,7,FALSE))</f>
        <v/>
      </c>
      <c r="I5130" s="394" t="str">
        <f>IF(A5130="","",VLOOKUP(A5130,AA_Equipos,8,FALSE))</f>
        <v/>
      </c>
      <c r="J5130" s="273"/>
      <c r="K5130" s="402"/>
      <c r="L5130" s="273"/>
      <c r="M5130" s="394" t="str">
        <f t="shared" si="700"/>
        <v/>
      </c>
      <c r="N5130" s="273"/>
    </row>
    <row r="5131" spans="1:14" ht="12.75" customHeight="1" x14ac:dyDescent="0.2">
      <c r="A5131" s="400"/>
      <c r="B5131" s="271"/>
      <c r="C5131" s="271"/>
      <c r="D5131" s="271"/>
      <c r="E5131" s="271"/>
      <c r="F5131" s="271"/>
      <c r="G5131" s="273"/>
      <c r="H5131" s="29" t="str">
        <f>IF(A5131="","",VLOOKUP(A5131,AA_Equipos,7,FALSE))</f>
        <v/>
      </c>
      <c r="I5131" s="394" t="str">
        <f>IF(A5131="","",VLOOKUP(A5131,AA_Equipos,8,FALSE))</f>
        <v/>
      </c>
      <c r="J5131" s="273"/>
      <c r="K5131" s="401"/>
      <c r="L5131" s="273"/>
      <c r="M5131" s="394" t="str">
        <f t="shared" si="700"/>
        <v/>
      </c>
      <c r="N5131" s="273"/>
    </row>
    <row r="5132" spans="1:14" ht="12.75" customHeight="1" x14ac:dyDescent="0.2">
      <c r="A5132" s="400"/>
      <c r="B5132" s="271"/>
      <c r="C5132" s="271"/>
      <c r="D5132" s="271"/>
      <c r="E5132" s="271"/>
      <c r="F5132" s="271"/>
      <c r="G5132" s="273"/>
      <c r="H5132" s="29" t="str">
        <f>IF(A5132="","",VLOOKUP(A5132,AA_Equipos,7,FALSE))</f>
        <v/>
      </c>
      <c r="I5132" s="394" t="str">
        <f>IF(A5132="","",VLOOKUP(A5132,AA_Equipos,8,FALSE))</f>
        <v/>
      </c>
      <c r="J5132" s="273"/>
      <c r="K5132" s="395"/>
      <c r="L5132" s="273"/>
      <c r="M5132" s="394" t="str">
        <f t="shared" si="700"/>
        <v/>
      </c>
      <c r="N5132" s="273"/>
    </row>
    <row r="5133" spans="1:14" ht="12.75" customHeight="1" x14ac:dyDescent="0.2">
      <c r="A5133" s="400"/>
      <c r="B5133" s="271"/>
      <c r="C5133" s="271"/>
      <c r="D5133" s="271"/>
      <c r="E5133" s="271"/>
      <c r="F5133" s="271"/>
      <c r="G5133" s="273"/>
      <c r="H5133" s="29" t="str">
        <f>IF(A5133="","",VLOOKUP(A5133,AA_Equipos,7,FALSE))</f>
        <v/>
      </c>
      <c r="I5133" s="394" t="str">
        <f>IF(A5133="","",VLOOKUP(A5133,AA_Equipos,8,FALSE))</f>
        <v/>
      </c>
      <c r="J5133" s="273"/>
      <c r="K5133" s="395"/>
      <c r="L5133" s="273"/>
      <c r="M5133" s="394" t="str">
        <f t="shared" si="700"/>
        <v/>
      </c>
      <c r="N5133" s="273"/>
    </row>
    <row r="5134" spans="1:14" ht="12.75" customHeight="1" x14ac:dyDescent="0.25">
      <c r="A5134" s="4"/>
      <c r="B5134" s="4"/>
      <c r="C5134" s="4"/>
      <c r="D5134" s="4"/>
      <c r="E5134" s="4"/>
      <c r="F5134" s="4"/>
      <c r="G5134" s="4"/>
      <c r="H5134" s="4"/>
      <c r="I5134" s="4"/>
      <c r="J5134" s="4"/>
      <c r="K5134" s="396" t="s">
        <v>444</v>
      </c>
      <c r="L5134" s="273"/>
      <c r="M5134" s="394">
        <f>SUM(M5129:N5133)</f>
        <v>10533.433199999999</v>
      </c>
      <c r="N5134" s="273"/>
    </row>
    <row r="5135" spans="1:14" ht="12.75" customHeight="1" x14ac:dyDescent="0.25">
      <c r="A5135" s="4"/>
      <c r="B5135" s="4"/>
      <c r="C5135" s="4"/>
      <c r="D5135" s="4"/>
      <c r="E5135" s="4"/>
      <c r="F5135" s="4"/>
      <c r="G5135" s="4"/>
      <c r="H5135" s="4"/>
      <c r="I5135" s="4"/>
      <c r="J5135" s="4"/>
      <c r="K5135" s="4"/>
      <c r="L5135" s="4"/>
      <c r="M5135" s="4"/>
      <c r="N5135" s="4"/>
    </row>
    <row r="5136" spans="1:14" ht="12.75" customHeight="1" x14ac:dyDescent="0.2">
      <c r="A5136" s="398" t="s">
        <v>929</v>
      </c>
      <c r="B5136" s="271"/>
      <c r="C5136" s="271"/>
      <c r="D5136" s="271"/>
      <c r="E5136" s="271"/>
      <c r="F5136" s="271"/>
      <c r="G5136" s="271"/>
      <c r="H5136" s="271"/>
      <c r="I5136" s="271"/>
      <c r="J5136" s="271"/>
      <c r="K5136" s="271"/>
      <c r="L5136" s="271"/>
      <c r="M5136" s="271"/>
      <c r="N5136" s="273"/>
    </row>
    <row r="5137" spans="1:14" ht="12.75" customHeight="1" x14ac:dyDescent="0.2">
      <c r="A5137" s="396" t="s">
        <v>76</v>
      </c>
      <c r="B5137" s="271"/>
      <c r="C5137" s="271"/>
      <c r="D5137" s="271"/>
      <c r="E5137" s="271"/>
      <c r="F5137" s="271"/>
      <c r="G5137" s="273"/>
      <c r="H5137" s="88" t="s">
        <v>77</v>
      </c>
      <c r="I5137" s="399" t="s">
        <v>920</v>
      </c>
      <c r="J5137" s="273"/>
      <c r="K5137" s="399" t="s">
        <v>453</v>
      </c>
      <c r="L5137" s="273"/>
      <c r="M5137" s="399" t="s">
        <v>921</v>
      </c>
      <c r="N5137" s="273"/>
    </row>
    <row r="5138" spans="1:14" ht="12.75" customHeight="1" x14ac:dyDescent="0.2">
      <c r="A5138" s="400"/>
      <c r="B5138" s="271"/>
      <c r="C5138" s="271"/>
      <c r="D5138" s="271"/>
      <c r="E5138" s="271"/>
      <c r="F5138" s="271"/>
      <c r="G5138" s="273"/>
      <c r="H5138" s="29"/>
      <c r="I5138" s="394"/>
      <c r="J5138" s="273"/>
      <c r="K5138" s="404"/>
      <c r="L5138" s="273"/>
      <c r="M5138" s="394" t="str">
        <f t="shared" ref="M5138:M5142" si="701">IF(A5138="","",I5138*K5138)</f>
        <v/>
      </c>
      <c r="N5138" s="273"/>
    </row>
    <row r="5139" spans="1:14" ht="12.75" customHeight="1" x14ac:dyDescent="0.2">
      <c r="A5139" s="403"/>
      <c r="B5139" s="271"/>
      <c r="C5139" s="271"/>
      <c r="D5139" s="271"/>
      <c r="E5139" s="271"/>
      <c r="F5139" s="271"/>
      <c r="G5139" s="273"/>
      <c r="H5139" s="29"/>
      <c r="I5139" s="394"/>
      <c r="J5139" s="273"/>
      <c r="K5139" s="404"/>
      <c r="L5139" s="273"/>
      <c r="M5139" s="394" t="str">
        <f t="shared" si="701"/>
        <v/>
      </c>
      <c r="N5139" s="273"/>
    </row>
    <row r="5140" spans="1:14" ht="12.75" customHeight="1" x14ac:dyDescent="0.2">
      <c r="A5140" s="400"/>
      <c r="B5140" s="271"/>
      <c r="C5140" s="271"/>
      <c r="D5140" s="271"/>
      <c r="E5140" s="271"/>
      <c r="F5140" s="271"/>
      <c r="G5140" s="273"/>
      <c r="H5140" s="29"/>
      <c r="I5140" s="394"/>
      <c r="J5140" s="273"/>
      <c r="K5140" s="395"/>
      <c r="L5140" s="273"/>
      <c r="M5140" s="394" t="str">
        <f t="shared" si="701"/>
        <v/>
      </c>
      <c r="N5140" s="273"/>
    </row>
    <row r="5141" spans="1:14" ht="12.75" customHeight="1" x14ac:dyDescent="0.2">
      <c r="A5141" s="400"/>
      <c r="B5141" s="271"/>
      <c r="C5141" s="271"/>
      <c r="D5141" s="271"/>
      <c r="E5141" s="271"/>
      <c r="F5141" s="271"/>
      <c r="G5141" s="273"/>
      <c r="H5141" s="29"/>
      <c r="I5141" s="394"/>
      <c r="J5141" s="273"/>
      <c r="K5141" s="395"/>
      <c r="L5141" s="273"/>
      <c r="M5141" s="394" t="str">
        <f t="shared" si="701"/>
        <v/>
      </c>
      <c r="N5141" s="273"/>
    </row>
    <row r="5142" spans="1:14" ht="12.75" customHeight="1" x14ac:dyDescent="0.2">
      <c r="A5142" s="400"/>
      <c r="B5142" s="271"/>
      <c r="C5142" s="271"/>
      <c r="D5142" s="271"/>
      <c r="E5142" s="271"/>
      <c r="F5142" s="271"/>
      <c r="G5142" s="273"/>
      <c r="H5142" s="29"/>
      <c r="I5142" s="394"/>
      <c r="J5142" s="273"/>
      <c r="K5142" s="395"/>
      <c r="L5142" s="273"/>
      <c r="M5142" s="394" t="str">
        <f t="shared" si="701"/>
        <v/>
      </c>
      <c r="N5142" s="273"/>
    </row>
    <row r="5143" spans="1:14" ht="12.75" customHeight="1" x14ac:dyDescent="0.25">
      <c r="A5143" s="4"/>
      <c r="B5143" s="4"/>
      <c r="C5143" s="4"/>
      <c r="D5143" s="4"/>
      <c r="E5143" s="4"/>
      <c r="F5143" s="4"/>
      <c r="G5143" s="4"/>
      <c r="H5143" s="4"/>
      <c r="I5143" s="4"/>
      <c r="J5143" s="4"/>
      <c r="K5143" s="396" t="s">
        <v>444</v>
      </c>
      <c r="L5143" s="273"/>
      <c r="M5143" s="394">
        <f>SUM(M5138:N5142)</f>
        <v>0</v>
      </c>
      <c r="N5143" s="273"/>
    </row>
    <row r="5144" spans="1:14" ht="12.75" customHeight="1" x14ac:dyDescent="0.25">
      <c r="A5144" s="4"/>
      <c r="B5144" s="4"/>
      <c r="C5144" s="4"/>
      <c r="D5144" s="4"/>
      <c r="E5144" s="4"/>
      <c r="F5144" s="4"/>
      <c r="G5144" s="4"/>
      <c r="H5144" s="4"/>
      <c r="I5144" s="4"/>
      <c r="J5144" s="4"/>
      <c r="K5144" s="4"/>
      <c r="L5144" s="4"/>
      <c r="M5144" s="4"/>
      <c r="N5144" s="4"/>
    </row>
    <row r="5145" spans="1:14" ht="12.75" customHeight="1" x14ac:dyDescent="0.2">
      <c r="A5145" s="398" t="s">
        <v>931</v>
      </c>
      <c r="B5145" s="271"/>
      <c r="C5145" s="271"/>
      <c r="D5145" s="271"/>
      <c r="E5145" s="271"/>
      <c r="F5145" s="271"/>
      <c r="G5145" s="271"/>
      <c r="H5145" s="271"/>
      <c r="I5145" s="271"/>
      <c r="J5145" s="271"/>
      <c r="K5145" s="271"/>
      <c r="L5145" s="271"/>
      <c r="M5145" s="271"/>
      <c r="N5145" s="273"/>
    </row>
    <row r="5146" spans="1:14" ht="12.75" customHeight="1" x14ac:dyDescent="0.2">
      <c r="A5146" s="396" t="s">
        <v>76</v>
      </c>
      <c r="B5146" s="271"/>
      <c r="C5146" s="271"/>
      <c r="D5146" s="271"/>
      <c r="E5146" s="271"/>
      <c r="F5146" s="271"/>
      <c r="G5146" s="273"/>
      <c r="H5146" s="88" t="s">
        <v>77</v>
      </c>
      <c r="I5146" s="399" t="s">
        <v>920</v>
      </c>
      <c r="J5146" s="273"/>
      <c r="K5146" s="90" t="s">
        <v>514</v>
      </c>
      <c r="L5146" s="91" t="s">
        <v>932</v>
      </c>
      <c r="M5146" s="399" t="s">
        <v>921</v>
      </c>
      <c r="N5146" s="273"/>
    </row>
    <row r="5147" spans="1:14" ht="12.75" customHeight="1" x14ac:dyDescent="0.25">
      <c r="A5147" s="393" t="s">
        <v>986</v>
      </c>
      <c r="B5147" s="271"/>
      <c r="C5147" s="271"/>
      <c r="D5147" s="271"/>
      <c r="E5147" s="271"/>
      <c r="F5147" s="271"/>
      <c r="G5147" s="273"/>
      <c r="H5147" s="29" t="str">
        <f>IF(A5147="","",VLOOKUP(A5147,AA_Cuadrillas,4,FALSE))</f>
        <v>Cuadrilla</v>
      </c>
      <c r="I5147" s="394">
        <f>IF(A5147="","",VLOOKUP(A5147,AA_Cuadrillas,5,FALSE))</f>
        <v>186763</v>
      </c>
      <c r="J5147" s="273"/>
      <c r="K5147" s="9">
        <f>IF(A5147="","",F.P!$I$2)</f>
        <v>1.88</v>
      </c>
      <c r="L5147" s="97">
        <v>0.6</v>
      </c>
      <c r="M5147" s="394">
        <f t="shared" ref="M5147:M5151" si="702">IF(A5147="","",I5147*K5147*L5147)</f>
        <v>210668.66399999999</v>
      </c>
      <c r="N5147" s="273"/>
    </row>
    <row r="5148" spans="1:14" ht="12.75" customHeight="1" x14ac:dyDescent="0.25">
      <c r="A5148" s="393"/>
      <c r="B5148" s="271"/>
      <c r="C5148" s="271"/>
      <c r="D5148" s="271"/>
      <c r="E5148" s="271"/>
      <c r="F5148" s="271"/>
      <c r="G5148" s="273"/>
      <c r="H5148" s="29" t="str">
        <f>IF(A5148="","",VLOOKUP(A5148,AA_Cuadrillas,4,FALSE))</f>
        <v/>
      </c>
      <c r="I5148" s="394" t="str">
        <f>IF(A5148="","",VLOOKUP(A5148,AA_Cuadrillas,5,FALSE))</f>
        <v/>
      </c>
      <c r="J5148" s="273"/>
      <c r="K5148" s="9" t="str">
        <f>IF(A5148="","",F.P!$I$2)</f>
        <v/>
      </c>
      <c r="L5148" s="9"/>
      <c r="M5148" s="394" t="str">
        <f t="shared" si="702"/>
        <v/>
      </c>
      <c r="N5148" s="273"/>
    </row>
    <row r="5149" spans="1:14" ht="12.75" customHeight="1" x14ac:dyDescent="0.25">
      <c r="A5149" s="393"/>
      <c r="B5149" s="271"/>
      <c r="C5149" s="271"/>
      <c r="D5149" s="271"/>
      <c r="E5149" s="271"/>
      <c r="F5149" s="271"/>
      <c r="G5149" s="273"/>
      <c r="H5149" s="29" t="str">
        <f>IF(A5149="","",VLOOKUP(A5149,AA_Cuadrillas,4,FALSE))</f>
        <v/>
      </c>
      <c r="I5149" s="394" t="str">
        <f>IF(A5149="","",VLOOKUP(A5149,AA_Cuadrillas,5,FALSE))</f>
        <v/>
      </c>
      <c r="J5149" s="273"/>
      <c r="K5149" s="9" t="str">
        <f>IF(A5149="","",F.P!$I$2)</f>
        <v/>
      </c>
      <c r="L5149" s="37"/>
      <c r="M5149" s="394" t="str">
        <f t="shared" si="702"/>
        <v/>
      </c>
      <c r="N5149" s="273"/>
    </row>
    <row r="5150" spans="1:14" ht="12.75" customHeight="1" x14ac:dyDescent="0.25">
      <c r="A5150" s="393"/>
      <c r="B5150" s="271"/>
      <c r="C5150" s="271"/>
      <c r="D5150" s="271"/>
      <c r="E5150" s="271"/>
      <c r="F5150" s="271"/>
      <c r="G5150" s="273"/>
      <c r="H5150" s="29" t="str">
        <f>IF(A5150="","",VLOOKUP(A5150,AA_Cuadrillas,4,FALSE))</f>
        <v/>
      </c>
      <c r="I5150" s="394" t="str">
        <f>IF(A5150="","",VLOOKUP(A5150,AA_Cuadrillas,5,FALSE))</f>
        <v/>
      </c>
      <c r="J5150" s="273"/>
      <c r="K5150" s="9" t="str">
        <f>IF(A5150="","",F.P!$I$2)</f>
        <v/>
      </c>
      <c r="L5150" s="37"/>
      <c r="M5150" s="394" t="str">
        <f t="shared" si="702"/>
        <v/>
      </c>
      <c r="N5150" s="273"/>
    </row>
    <row r="5151" spans="1:14" ht="12.75" customHeight="1" x14ac:dyDescent="0.25">
      <c r="A5151" s="393"/>
      <c r="B5151" s="271"/>
      <c r="C5151" s="271"/>
      <c r="D5151" s="271"/>
      <c r="E5151" s="271"/>
      <c r="F5151" s="271"/>
      <c r="G5151" s="273"/>
      <c r="H5151" s="29" t="str">
        <f>IF(A5151="","",VLOOKUP(A5151,AA_Cuadrillas,4,FALSE))</f>
        <v/>
      </c>
      <c r="I5151" s="394" t="str">
        <f>IF(A5151="","",VLOOKUP(A5151,AA_Cuadrillas,5,FALSE))</f>
        <v/>
      </c>
      <c r="J5151" s="273"/>
      <c r="K5151" s="9" t="str">
        <f>IF(A5151="","",F.P!$I$2)</f>
        <v/>
      </c>
      <c r="L5151" s="37"/>
      <c r="M5151" s="394" t="str">
        <f t="shared" si="702"/>
        <v/>
      </c>
      <c r="N5151" s="273"/>
    </row>
    <row r="5152" spans="1:14" ht="12.75" customHeight="1" x14ac:dyDescent="0.25">
      <c r="A5152" s="4"/>
      <c r="B5152" s="4"/>
      <c r="C5152" s="4"/>
      <c r="D5152" s="4"/>
      <c r="E5152" s="4"/>
      <c r="F5152" s="4"/>
      <c r="G5152" s="4"/>
      <c r="H5152" s="4"/>
      <c r="I5152" s="4"/>
      <c r="J5152" s="4"/>
      <c r="K5152" s="396" t="s">
        <v>444</v>
      </c>
      <c r="L5152" s="273"/>
      <c r="M5152" s="394">
        <f>SUM(M5147:N5151)</f>
        <v>210668.66399999999</v>
      </c>
      <c r="N5152" s="273"/>
    </row>
    <row r="5153" spans="1:15" ht="12.75" customHeight="1" x14ac:dyDescent="0.2"/>
    <row r="5154" spans="1:15" ht="12.75" customHeight="1" x14ac:dyDescent="0.2">
      <c r="A5154" s="407" t="s">
        <v>330</v>
      </c>
      <c r="B5154" s="275"/>
      <c r="C5154" s="275"/>
      <c r="D5154" s="275"/>
      <c r="E5154" s="275"/>
      <c r="F5154" s="275"/>
      <c r="G5154" s="275"/>
      <c r="H5154" s="275"/>
      <c r="I5154" s="275"/>
      <c r="J5154" s="275"/>
      <c r="K5154" s="275"/>
      <c r="L5154" s="275"/>
      <c r="M5154" s="275"/>
      <c r="N5154" s="276"/>
      <c r="O5154" s="166"/>
    </row>
    <row r="5155" spans="1:15" ht="12.75" customHeight="1" x14ac:dyDescent="0.2">
      <c r="A5155" s="277"/>
      <c r="B5155" s="278"/>
      <c r="C5155" s="278"/>
      <c r="D5155" s="278"/>
      <c r="E5155" s="278"/>
      <c r="F5155" s="278"/>
      <c r="G5155" s="278"/>
      <c r="H5155" s="278"/>
      <c r="I5155" s="278"/>
      <c r="J5155" s="278"/>
      <c r="K5155" s="278"/>
      <c r="L5155" s="278"/>
      <c r="M5155" s="278"/>
      <c r="N5155" s="279"/>
      <c r="O5155" s="166"/>
    </row>
    <row r="5156" spans="1:15" ht="12.75" customHeight="1" x14ac:dyDescent="0.2">
      <c r="A5156" s="75"/>
      <c r="B5156" s="75"/>
      <c r="C5156" s="75"/>
      <c r="D5156" s="75"/>
      <c r="E5156" s="75"/>
      <c r="F5156" s="75"/>
      <c r="G5156" s="75"/>
      <c r="H5156" s="75"/>
      <c r="I5156" s="75"/>
      <c r="J5156" s="75"/>
      <c r="K5156" s="75"/>
      <c r="L5156" s="75"/>
      <c r="M5156" s="75"/>
      <c r="N5156" s="75"/>
    </row>
    <row r="5157" spans="1:15" ht="12.75" customHeight="1" x14ac:dyDescent="0.3">
      <c r="A5157" s="79" t="s">
        <v>734</v>
      </c>
      <c r="B5157" s="80" t="str">
        <f>A5154</f>
        <v>SUMINISTRO E INSTALACIÓN DE CODO 90° Ø6" EN HIERRO DUCTIL (INCLUYE MATERIALES, HERRAMIENTAS Y MANO DE OBRA)</v>
      </c>
      <c r="C5157" s="81" t="s">
        <v>916</v>
      </c>
      <c r="D5157" s="82" t="s">
        <v>999</v>
      </c>
      <c r="E5157" s="83" t="s">
        <v>445</v>
      </c>
      <c r="F5157" s="86">
        <f>H5157+J5157+L5157+N5157</f>
        <v>947278.76885999995</v>
      </c>
      <c r="G5157" s="83" t="s">
        <v>607</v>
      </c>
      <c r="H5157" s="86">
        <f>M5178</f>
        <v>10533.433199999999</v>
      </c>
      <c r="I5157" s="83" t="s">
        <v>918</v>
      </c>
      <c r="J5157" s="86">
        <f>M5169</f>
        <v>691000</v>
      </c>
      <c r="K5157" s="83" t="s">
        <v>609</v>
      </c>
      <c r="L5157" s="86">
        <f>M5187</f>
        <v>35076.67166</v>
      </c>
      <c r="M5157" s="83" t="s">
        <v>610</v>
      </c>
      <c r="N5157" s="86">
        <f>M5196</f>
        <v>210668.66399999999</v>
      </c>
    </row>
    <row r="5158" spans="1:15" ht="12.75" customHeight="1" x14ac:dyDescent="0.25">
      <c r="A5158" s="87"/>
      <c r="B5158" s="87"/>
      <c r="C5158" s="87"/>
      <c r="D5158" s="87"/>
      <c r="E5158" s="242" t="s">
        <v>3253</v>
      </c>
      <c r="F5158" s="259">
        <f>F5157*1.3</f>
        <v>1231462.399518</v>
      </c>
      <c r="G5158" s="87"/>
      <c r="J5158" s="87"/>
      <c r="K5158" s="215" t="s">
        <v>3217</v>
      </c>
      <c r="L5158" s="215"/>
      <c r="M5158" s="87"/>
      <c r="N5158" s="87"/>
    </row>
    <row r="5159" spans="1:15" ht="12.75" customHeight="1" x14ac:dyDescent="0.2">
      <c r="A5159" s="398" t="s">
        <v>919</v>
      </c>
      <c r="B5159" s="271"/>
      <c r="C5159" s="271"/>
      <c r="D5159" s="271"/>
      <c r="E5159" s="271"/>
      <c r="F5159" s="271"/>
      <c r="G5159" s="271"/>
      <c r="H5159" s="271"/>
      <c r="I5159" s="271"/>
      <c r="J5159" s="271"/>
      <c r="K5159" s="271"/>
      <c r="L5159" s="271"/>
      <c r="M5159" s="271"/>
      <c r="N5159" s="273"/>
    </row>
    <row r="5160" spans="1:15" ht="12.75" customHeight="1" x14ac:dyDescent="0.2">
      <c r="A5160" s="396" t="s">
        <v>76</v>
      </c>
      <c r="B5160" s="271"/>
      <c r="C5160" s="271"/>
      <c r="D5160" s="271"/>
      <c r="E5160" s="271"/>
      <c r="F5160" s="271"/>
      <c r="G5160" s="273"/>
      <c r="H5160" s="88" t="s">
        <v>77</v>
      </c>
      <c r="I5160" s="399" t="s">
        <v>920</v>
      </c>
      <c r="J5160" s="273"/>
      <c r="K5160" s="399" t="s">
        <v>453</v>
      </c>
      <c r="L5160" s="273"/>
      <c r="M5160" s="399" t="s">
        <v>921</v>
      </c>
      <c r="N5160" s="273"/>
    </row>
    <row r="5161" spans="1:15" ht="12.75" customHeight="1" x14ac:dyDescent="0.2">
      <c r="A5161" s="403" t="s">
        <v>1220</v>
      </c>
      <c r="B5161" s="271"/>
      <c r="C5161" s="271"/>
      <c r="D5161" s="271"/>
      <c r="E5161" s="271"/>
      <c r="F5161" s="271"/>
      <c r="G5161" s="273"/>
      <c r="H5161" s="29" t="str">
        <f t="shared" ref="H5161:H5168" si="703">IF(A5161="","",VLOOKUP(A5161,AA_Materiales,7,FALSE))</f>
        <v>Unidad</v>
      </c>
      <c r="I5161" s="394">
        <f t="shared" ref="I5161:I5168" si="704">IF(A5161="","",VLOOKUP(A5161,AA_Materiales,8,FALSE))</f>
        <v>691000</v>
      </c>
      <c r="J5161" s="273"/>
      <c r="K5161" s="395">
        <v>1</v>
      </c>
      <c r="L5161" s="273"/>
      <c r="M5161" s="394">
        <f t="shared" ref="M5161:M5168" si="705">IF(A5161="","",I5161*K5161)</f>
        <v>691000</v>
      </c>
      <c r="N5161" s="273"/>
    </row>
    <row r="5162" spans="1:15" ht="12.75" customHeight="1" x14ac:dyDescent="0.2">
      <c r="A5162" s="403"/>
      <c r="B5162" s="271"/>
      <c r="C5162" s="271"/>
      <c r="D5162" s="271"/>
      <c r="E5162" s="271"/>
      <c r="F5162" s="271"/>
      <c r="G5162" s="273"/>
      <c r="H5162" s="29" t="str">
        <f t="shared" si="703"/>
        <v/>
      </c>
      <c r="I5162" s="394" t="str">
        <f t="shared" si="704"/>
        <v/>
      </c>
      <c r="J5162" s="273"/>
      <c r="K5162" s="395"/>
      <c r="L5162" s="273"/>
      <c r="M5162" s="394" t="str">
        <f t="shared" si="705"/>
        <v/>
      </c>
      <c r="N5162" s="273"/>
    </row>
    <row r="5163" spans="1:15" ht="12.75" customHeight="1" x14ac:dyDescent="0.2">
      <c r="A5163" s="403"/>
      <c r="B5163" s="271"/>
      <c r="C5163" s="271"/>
      <c r="D5163" s="271"/>
      <c r="E5163" s="271"/>
      <c r="F5163" s="271"/>
      <c r="G5163" s="273"/>
      <c r="H5163" s="29" t="str">
        <f t="shared" si="703"/>
        <v/>
      </c>
      <c r="I5163" s="394" t="str">
        <f t="shared" si="704"/>
        <v/>
      </c>
      <c r="J5163" s="273"/>
      <c r="K5163" s="395"/>
      <c r="L5163" s="273"/>
      <c r="M5163" s="394" t="str">
        <f t="shared" si="705"/>
        <v/>
      </c>
      <c r="N5163" s="273"/>
    </row>
    <row r="5164" spans="1:15" ht="12.75" customHeight="1" x14ac:dyDescent="0.2">
      <c r="A5164" s="403"/>
      <c r="B5164" s="271"/>
      <c r="C5164" s="271"/>
      <c r="D5164" s="271"/>
      <c r="E5164" s="271"/>
      <c r="F5164" s="271"/>
      <c r="G5164" s="273"/>
      <c r="H5164" s="29" t="str">
        <f t="shared" si="703"/>
        <v/>
      </c>
      <c r="I5164" s="394" t="str">
        <f t="shared" si="704"/>
        <v/>
      </c>
      <c r="J5164" s="273"/>
      <c r="K5164" s="395"/>
      <c r="L5164" s="273"/>
      <c r="M5164" s="394" t="str">
        <f t="shared" si="705"/>
        <v/>
      </c>
      <c r="N5164" s="273"/>
    </row>
    <row r="5165" spans="1:15" ht="12.75" customHeight="1" x14ac:dyDescent="0.2">
      <c r="A5165" s="403"/>
      <c r="B5165" s="271"/>
      <c r="C5165" s="271"/>
      <c r="D5165" s="271"/>
      <c r="E5165" s="271"/>
      <c r="F5165" s="271"/>
      <c r="G5165" s="273"/>
      <c r="H5165" s="29" t="str">
        <f t="shared" si="703"/>
        <v/>
      </c>
      <c r="I5165" s="394" t="str">
        <f t="shared" si="704"/>
        <v/>
      </c>
      <c r="J5165" s="273"/>
      <c r="K5165" s="395"/>
      <c r="L5165" s="273"/>
      <c r="M5165" s="394" t="str">
        <f t="shared" si="705"/>
        <v/>
      </c>
      <c r="N5165" s="273"/>
    </row>
    <row r="5166" spans="1:15" ht="12.75" customHeight="1" x14ac:dyDescent="0.2">
      <c r="A5166" s="403"/>
      <c r="B5166" s="271"/>
      <c r="C5166" s="271"/>
      <c r="D5166" s="271"/>
      <c r="E5166" s="271"/>
      <c r="F5166" s="271"/>
      <c r="G5166" s="273"/>
      <c r="H5166" s="29" t="str">
        <f t="shared" si="703"/>
        <v/>
      </c>
      <c r="I5166" s="394" t="str">
        <f t="shared" si="704"/>
        <v/>
      </c>
      <c r="J5166" s="273"/>
      <c r="K5166" s="395"/>
      <c r="L5166" s="273"/>
      <c r="M5166" s="394" t="str">
        <f t="shared" si="705"/>
        <v/>
      </c>
      <c r="N5166" s="273"/>
    </row>
    <row r="5167" spans="1:15" ht="12.75" customHeight="1" x14ac:dyDescent="0.2">
      <c r="A5167" s="403"/>
      <c r="B5167" s="271"/>
      <c r="C5167" s="271"/>
      <c r="D5167" s="271"/>
      <c r="E5167" s="271"/>
      <c r="F5167" s="271"/>
      <c r="G5167" s="273"/>
      <c r="H5167" s="29" t="str">
        <f t="shared" si="703"/>
        <v/>
      </c>
      <c r="I5167" s="394" t="str">
        <f t="shared" si="704"/>
        <v/>
      </c>
      <c r="J5167" s="273"/>
      <c r="K5167" s="395"/>
      <c r="L5167" s="273"/>
      <c r="M5167" s="394" t="str">
        <f t="shared" si="705"/>
        <v/>
      </c>
      <c r="N5167" s="273"/>
    </row>
    <row r="5168" spans="1:15" ht="12.75" customHeight="1" x14ac:dyDescent="0.2">
      <c r="A5168" s="403"/>
      <c r="B5168" s="271"/>
      <c r="C5168" s="271"/>
      <c r="D5168" s="271"/>
      <c r="E5168" s="271"/>
      <c r="F5168" s="271"/>
      <c r="G5168" s="273"/>
      <c r="H5168" s="29" t="str">
        <f t="shared" si="703"/>
        <v/>
      </c>
      <c r="I5168" s="394" t="str">
        <f t="shared" si="704"/>
        <v/>
      </c>
      <c r="J5168" s="273"/>
      <c r="K5168" s="395"/>
      <c r="L5168" s="273"/>
      <c r="M5168" s="394" t="str">
        <f t="shared" si="705"/>
        <v/>
      </c>
      <c r="N5168" s="273"/>
    </row>
    <row r="5169" spans="1:14" ht="12.75" customHeight="1" x14ac:dyDescent="0.25">
      <c r="A5169" s="4"/>
      <c r="B5169" s="4"/>
      <c r="C5169" s="4"/>
      <c r="D5169" s="4"/>
      <c r="E5169" s="4"/>
      <c r="F5169" s="4"/>
      <c r="G5169" s="4"/>
      <c r="H5169" s="4"/>
      <c r="I5169" s="4"/>
      <c r="J5169" s="4"/>
      <c r="K5169" s="396" t="s">
        <v>444</v>
      </c>
      <c r="L5169" s="273"/>
      <c r="M5169" s="394">
        <f>SUM(M5161:N5168)</f>
        <v>691000</v>
      </c>
      <c r="N5169" s="273"/>
    </row>
    <row r="5170" spans="1:14" ht="12.75" customHeight="1" x14ac:dyDescent="0.25">
      <c r="A5170" s="4"/>
      <c r="B5170" s="4"/>
      <c r="C5170" s="4"/>
      <c r="D5170" s="4"/>
      <c r="E5170" s="4"/>
      <c r="F5170" s="4"/>
      <c r="G5170" s="4"/>
      <c r="H5170" s="4"/>
      <c r="I5170" s="4"/>
      <c r="J5170" s="4"/>
      <c r="K5170" s="4"/>
      <c r="L5170" s="4"/>
      <c r="M5170" s="4"/>
      <c r="N5170" s="4"/>
    </row>
    <row r="5171" spans="1:14" ht="12.75" customHeight="1" x14ac:dyDescent="0.2">
      <c r="A5171" s="398" t="s">
        <v>926</v>
      </c>
      <c r="B5171" s="271"/>
      <c r="C5171" s="271"/>
      <c r="D5171" s="271"/>
      <c r="E5171" s="271"/>
      <c r="F5171" s="271"/>
      <c r="G5171" s="271"/>
      <c r="H5171" s="271"/>
      <c r="I5171" s="271"/>
      <c r="J5171" s="271"/>
      <c r="K5171" s="271"/>
      <c r="L5171" s="271"/>
      <c r="M5171" s="271"/>
      <c r="N5171" s="273"/>
    </row>
    <row r="5172" spans="1:14" ht="12.75" customHeight="1" x14ac:dyDescent="0.2">
      <c r="A5172" s="396" t="s">
        <v>76</v>
      </c>
      <c r="B5172" s="271"/>
      <c r="C5172" s="271"/>
      <c r="D5172" s="271"/>
      <c r="E5172" s="271"/>
      <c r="F5172" s="271"/>
      <c r="G5172" s="273"/>
      <c r="H5172" s="88" t="s">
        <v>77</v>
      </c>
      <c r="I5172" s="399" t="s">
        <v>920</v>
      </c>
      <c r="J5172" s="273"/>
      <c r="K5172" s="399" t="s">
        <v>453</v>
      </c>
      <c r="L5172" s="273"/>
      <c r="M5172" s="399" t="s">
        <v>921</v>
      </c>
      <c r="N5172" s="273"/>
    </row>
    <row r="5173" spans="1:14" ht="12.75" customHeight="1" x14ac:dyDescent="0.2">
      <c r="A5173" s="400" t="s">
        <v>927</v>
      </c>
      <c r="B5173" s="271"/>
      <c r="C5173" s="271"/>
      <c r="D5173" s="271"/>
      <c r="E5173" s="271"/>
      <c r="F5173" s="271"/>
      <c r="G5173" s="273"/>
      <c r="H5173" s="29" t="str">
        <f>IF(A5173="","",VLOOKUP(A5173,AA_Equipos,7,FALSE))</f>
        <v>% M.O.</v>
      </c>
      <c r="I5173" s="394">
        <f>+M5196</f>
        <v>210668.66399999999</v>
      </c>
      <c r="J5173" s="273"/>
      <c r="K5173" s="404">
        <v>0.05</v>
      </c>
      <c r="L5173" s="273"/>
      <c r="M5173" s="394">
        <f t="shared" ref="M5173:M5177" si="706">IF(A5173="","",I5173*K5173)</f>
        <v>10533.433199999999</v>
      </c>
      <c r="N5173" s="273"/>
    </row>
    <row r="5174" spans="1:14" ht="12.75" customHeight="1" x14ac:dyDescent="0.2">
      <c r="A5174" s="403"/>
      <c r="B5174" s="271"/>
      <c r="C5174" s="271"/>
      <c r="D5174" s="271"/>
      <c r="E5174" s="271"/>
      <c r="F5174" s="271"/>
      <c r="G5174" s="273"/>
      <c r="H5174" s="29" t="str">
        <f>IF(A5174="","",VLOOKUP(A5174,AA_Equipos,7,FALSE))</f>
        <v/>
      </c>
      <c r="I5174" s="394" t="str">
        <f>IF(A5174="","",VLOOKUP(A5174,AA_Equipos,8,FALSE))</f>
        <v/>
      </c>
      <c r="J5174" s="273"/>
      <c r="K5174" s="402"/>
      <c r="L5174" s="273"/>
      <c r="M5174" s="394" t="str">
        <f t="shared" si="706"/>
        <v/>
      </c>
      <c r="N5174" s="273"/>
    </row>
    <row r="5175" spans="1:14" ht="12.75" customHeight="1" x14ac:dyDescent="0.2">
      <c r="A5175" s="400"/>
      <c r="B5175" s="271"/>
      <c r="C5175" s="271"/>
      <c r="D5175" s="271"/>
      <c r="E5175" s="271"/>
      <c r="F5175" s="271"/>
      <c r="G5175" s="273"/>
      <c r="H5175" s="29" t="str">
        <f>IF(A5175="","",VLOOKUP(A5175,AA_Equipos,7,FALSE))</f>
        <v/>
      </c>
      <c r="I5175" s="394" t="str">
        <f>IF(A5175="","",VLOOKUP(A5175,AA_Equipos,8,FALSE))</f>
        <v/>
      </c>
      <c r="J5175" s="273"/>
      <c r="K5175" s="401"/>
      <c r="L5175" s="273"/>
      <c r="M5175" s="394" t="str">
        <f t="shared" si="706"/>
        <v/>
      </c>
      <c r="N5175" s="273"/>
    </row>
    <row r="5176" spans="1:14" ht="12.75" customHeight="1" x14ac:dyDescent="0.2">
      <c r="A5176" s="400"/>
      <c r="B5176" s="271"/>
      <c r="C5176" s="271"/>
      <c r="D5176" s="271"/>
      <c r="E5176" s="271"/>
      <c r="F5176" s="271"/>
      <c r="G5176" s="273"/>
      <c r="H5176" s="29" t="str">
        <f>IF(A5176="","",VLOOKUP(A5176,AA_Equipos,7,FALSE))</f>
        <v/>
      </c>
      <c r="I5176" s="394" t="str">
        <f>IF(A5176="","",VLOOKUP(A5176,AA_Equipos,8,FALSE))</f>
        <v/>
      </c>
      <c r="J5176" s="273"/>
      <c r="K5176" s="395"/>
      <c r="L5176" s="273"/>
      <c r="M5176" s="394" t="str">
        <f t="shared" si="706"/>
        <v/>
      </c>
      <c r="N5176" s="273"/>
    </row>
    <row r="5177" spans="1:14" ht="12.75" customHeight="1" x14ac:dyDescent="0.2">
      <c r="A5177" s="400"/>
      <c r="B5177" s="271"/>
      <c r="C5177" s="271"/>
      <c r="D5177" s="271"/>
      <c r="E5177" s="271"/>
      <c r="F5177" s="271"/>
      <c r="G5177" s="273"/>
      <c r="H5177" s="29" t="str">
        <f>IF(A5177="","",VLOOKUP(A5177,AA_Equipos,7,FALSE))</f>
        <v/>
      </c>
      <c r="I5177" s="394" t="str">
        <f>IF(A5177="","",VLOOKUP(A5177,AA_Equipos,8,FALSE))</f>
        <v/>
      </c>
      <c r="J5177" s="273"/>
      <c r="K5177" s="395"/>
      <c r="L5177" s="273"/>
      <c r="M5177" s="394" t="str">
        <f t="shared" si="706"/>
        <v/>
      </c>
      <c r="N5177" s="273"/>
    </row>
    <row r="5178" spans="1:14" ht="12.75" customHeight="1" x14ac:dyDescent="0.25">
      <c r="A5178" s="4"/>
      <c r="B5178" s="4"/>
      <c r="C5178" s="4"/>
      <c r="D5178" s="4"/>
      <c r="E5178" s="4"/>
      <c r="F5178" s="4"/>
      <c r="G5178" s="4"/>
      <c r="H5178" s="4"/>
      <c r="I5178" s="4"/>
      <c r="J5178" s="4"/>
      <c r="K5178" s="396" t="s">
        <v>444</v>
      </c>
      <c r="L5178" s="273"/>
      <c r="M5178" s="394">
        <f>SUM(M5173:N5177)</f>
        <v>10533.433199999999</v>
      </c>
      <c r="N5178" s="273"/>
    </row>
    <row r="5179" spans="1:14" ht="12.75" customHeight="1" x14ac:dyDescent="0.25">
      <c r="A5179" s="4"/>
      <c r="B5179" s="4"/>
      <c r="C5179" s="4"/>
      <c r="D5179" s="4"/>
      <c r="E5179" s="4"/>
      <c r="F5179" s="4"/>
      <c r="G5179" s="4"/>
      <c r="H5179" s="4"/>
      <c r="I5179" s="4"/>
      <c r="J5179" s="4"/>
      <c r="K5179" s="4"/>
      <c r="L5179" s="4"/>
      <c r="M5179" s="4"/>
      <c r="N5179" s="4"/>
    </row>
    <row r="5180" spans="1:14" ht="12.75" customHeight="1" x14ac:dyDescent="0.2">
      <c r="A5180" s="398" t="s">
        <v>929</v>
      </c>
      <c r="B5180" s="271"/>
      <c r="C5180" s="271"/>
      <c r="D5180" s="271"/>
      <c r="E5180" s="271"/>
      <c r="F5180" s="271"/>
      <c r="G5180" s="271"/>
      <c r="H5180" s="271"/>
      <c r="I5180" s="271"/>
      <c r="J5180" s="271"/>
      <c r="K5180" s="271"/>
      <c r="L5180" s="271"/>
      <c r="M5180" s="271"/>
      <c r="N5180" s="273"/>
    </row>
    <row r="5181" spans="1:14" ht="12.75" customHeight="1" x14ac:dyDescent="0.2">
      <c r="A5181" s="396" t="s">
        <v>76</v>
      </c>
      <c r="B5181" s="271"/>
      <c r="C5181" s="271"/>
      <c r="D5181" s="271"/>
      <c r="E5181" s="271"/>
      <c r="F5181" s="271"/>
      <c r="G5181" s="273"/>
      <c r="H5181" s="88" t="s">
        <v>77</v>
      </c>
      <c r="I5181" s="399" t="s">
        <v>920</v>
      </c>
      <c r="J5181" s="273"/>
      <c r="K5181" s="399" t="s">
        <v>453</v>
      </c>
      <c r="L5181" s="273"/>
      <c r="M5181" s="399" t="s">
        <v>921</v>
      </c>
      <c r="N5181" s="273"/>
    </row>
    <row r="5182" spans="1:14" ht="12.75" customHeight="1" x14ac:dyDescent="0.2">
      <c r="A5182" s="400" t="s">
        <v>930</v>
      </c>
      <c r="B5182" s="271"/>
      <c r="C5182" s="271"/>
      <c r="D5182" s="271"/>
      <c r="E5182" s="271"/>
      <c r="F5182" s="271"/>
      <c r="G5182" s="273"/>
      <c r="H5182" s="29" t="s">
        <v>24</v>
      </c>
      <c r="I5182" s="394">
        <f>+M5169+M5178</f>
        <v>701533.43319999997</v>
      </c>
      <c r="J5182" s="273"/>
      <c r="K5182" s="404">
        <v>0.05</v>
      </c>
      <c r="L5182" s="273"/>
      <c r="M5182" s="394">
        <f t="shared" ref="M5182:M5186" si="707">IF(A5182="","",I5182*K5182)</f>
        <v>35076.67166</v>
      </c>
      <c r="N5182" s="273"/>
    </row>
    <row r="5183" spans="1:14" ht="12.75" customHeight="1" x14ac:dyDescent="0.2">
      <c r="A5183" s="403"/>
      <c r="B5183" s="271"/>
      <c r="C5183" s="271"/>
      <c r="D5183" s="271"/>
      <c r="E5183" s="271"/>
      <c r="F5183" s="271"/>
      <c r="G5183" s="273"/>
      <c r="H5183" s="29"/>
      <c r="I5183" s="394"/>
      <c r="J5183" s="273"/>
      <c r="K5183" s="404"/>
      <c r="L5183" s="273"/>
      <c r="M5183" s="394" t="str">
        <f t="shared" si="707"/>
        <v/>
      </c>
      <c r="N5183" s="273"/>
    </row>
    <row r="5184" spans="1:14" ht="12.75" customHeight="1" x14ac:dyDescent="0.2">
      <c r="A5184" s="400"/>
      <c r="B5184" s="271"/>
      <c r="C5184" s="271"/>
      <c r="D5184" s="271"/>
      <c r="E5184" s="271"/>
      <c r="F5184" s="271"/>
      <c r="G5184" s="273"/>
      <c r="H5184" s="29"/>
      <c r="I5184" s="394"/>
      <c r="J5184" s="273"/>
      <c r="K5184" s="395"/>
      <c r="L5184" s="273"/>
      <c r="M5184" s="394" t="str">
        <f t="shared" si="707"/>
        <v/>
      </c>
      <c r="N5184" s="273"/>
    </row>
    <row r="5185" spans="1:14" ht="12.75" customHeight="1" x14ac:dyDescent="0.2">
      <c r="A5185" s="400"/>
      <c r="B5185" s="271"/>
      <c r="C5185" s="271"/>
      <c r="D5185" s="271"/>
      <c r="E5185" s="271"/>
      <c r="F5185" s="271"/>
      <c r="G5185" s="273"/>
      <c r="H5185" s="29"/>
      <c r="I5185" s="394"/>
      <c r="J5185" s="273"/>
      <c r="K5185" s="395"/>
      <c r="L5185" s="273"/>
      <c r="M5185" s="394" t="str">
        <f t="shared" si="707"/>
        <v/>
      </c>
      <c r="N5185" s="273"/>
    </row>
    <row r="5186" spans="1:14" ht="12.75" customHeight="1" x14ac:dyDescent="0.2">
      <c r="A5186" s="400"/>
      <c r="B5186" s="271"/>
      <c r="C5186" s="271"/>
      <c r="D5186" s="271"/>
      <c r="E5186" s="271"/>
      <c r="F5186" s="271"/>
      <c r="G5186" s="273"/>
      <c r="H5186" s="29"/>
      <c r="I5186" s="394"/>
      <c r="J5186" s="273"/>
      <c r="K5186" s="395"/>
      <c r="L5186" s="273"/>
      <c r="M5186" s="394" t="str">
        <f t="shared" si="707"/>
        <v/>
      </c>
      <c r="N5186" s="273"/>
    </row>
    <row r="5187" spans="1:14" ht="12.75" customHeight="1" x14ac:dyDescent="0.25">
      <c r="A5187" s="4"/>
      <c r="B5187" s="4"/>
      <c r="C5187" s="4"/>
      <c r="D5187" s="4"/>
      <c r="E5187" s="4"/>
      <c r="F5187" s="4"/>
      <c r="G5187" s="4"/>
      <c r="H5187" s="4"/>
      <c r="I5187" s="4"/>
      <c r="J5187" s="4"/>
      <c r="K5187" s="396" t="s">
        <v>444</v>
      </c>
      <c r="L5187" s="273"/>
      <c r="M5187" s="394">
        <f>SUM(M5182:N5186)</f>
        <v>35076.67166</v>
      </c>
      <c r="N5187" s="273"/>
    </row>
    <row r="5188" spans="1:14" ht="12.75" customHeight="1" x14ac:dyDescent="0.25">
      <c r="A5188" s="4"/>
      <c r="B5188" s="4"/>
      <c r="C5188" s="4"/>
      <c r="D5188" s="4"/>
      <c r="E5188" s="4"/>
      <c r="F5188" s="4"/>
      <c r="G5188" s="4"/>
      <c r="H5188" s="4"/>
      <c r="I5188" s="4"/>
      <c r="J5188" s="4"/>
      <c r="K5188" s="4"/>
      <c r="L5188" s="4"/>
      <c r="M5188" s="4"/>
      <c r="N5188" s="4"/>
    </row>
    <row r="5189" spans="1:14" ht="12.75" customHeight="1" x14ac:dyDescent="0.2">
      <c r="A5189" s="398" t="s">
        <v>931</v>
      </c>
      <c r="B5189" s="271"/>
      <c r="C5189" s="271"/>
      <c r="D5189" s="271"/>
      <c r="E5189" s="271"/>
      <c r="F5189" s="271"/>
      <c r="G5189" s="271"/>
      <c r="H5189" s="271"/>
      <c r="I5189" s="271"/>
      <c r="J5189" s="271"/>
      <c r="K5189" s="271"/>
      <c r="L5189" s="271"/>
      <c r="M5189" s="271"/>
      <c r="N5189" s="273"/>
    </row>
    <row r="5190" spans="1:14" ht="12.75" customHeight="1" x14ac:dyDescent="0.2">
      <c r="A5190" s="396" t="s">
        <v>76</v>
      </c>
      <c r="B5190" s="271"/>
      <c r="C5190" s="271"/>
      <c r="D5190" s="271"/>
      <c r="E5190" s="271"/>
      <c r="F5190" s="271"/>
      <c r="G5190" s="273"/>
      <c r="H5190" s="88" t="s">
        <v>77</v>
      </c>
      <c r="I5190" s="399" t="s">
        <v>920</v>
      </c>
      <c r="J5190" s="273"/>
      <c r="K5190" s="90" t="s">
        <v>514</v>
      </c>
      <c r="L5190" s="91" t="s">
        <v>932</v>
      </c>
      <c r="M5190" s="399" t="s">
        <v>921</v>
      </c>
      <c r="N5190" s="273"/>
    </row>
    <row r="5191" spans="1:14" ht="12.75" customHeight="1" x14ac:dyDescent="0.25">
      <c r="A5191" s="393" t="s">
        <v>986</v>
      </c>
      <c r="B5191" s="271"/>
      <c r="C5191" s="271"/>
      <c r="D5191" s="271"/>
      <c r="E5191" s="271"/>
      <c r="F5191" s="271"/>
      <c r="G5191" s="273"/>
      <c r="H5191" s="29" t="str">
        <f>IF(A5191="","",VLOOKUP(A5191,AA_Cuadrillas,4,FALSE))</f>
        <v>Cuadrilla</v>
      </c>
      <c r="I5191" s="394">
        <f>IF(A5191="","",VLOOKUP(A5191,AA_Cuadrillas,5,FALSE))</f>
        <v>186763</v>
      </c>
      <c r="J5191" s="273"/>
      <c r="K5191" s="9">
        <f>IF(A5191="","",F.P!$I$2)</f>
        <v>1.88</v>
      </c>
      <c r="L5191" s="97">
        <v>0.6</v>
      </c>
      <c r="M5191" s="394">
        <f t="shared" ref="M5191:M5195" si="708">IF(A5191="","",I5191*K5191*L5191)</f>
        <v>210668.66399999999</v>
      </c>
      <c r="N5191" s="273"/>
    </row>
    <row r="5192" spans="1:14" ht="12.75" customHeight="1" x14ac:dyDescent="0.25">
      <c r="A5192" s="393"/>
      <c r="B5192" s="271"/>
      <c r="C5192" s="271"/>
      <c r="D5192" s="271"/>
      <c r="E5192" s="271"/>
      <c r="F5192" s="271"/>
      <c r="G5192" s="273"/>
      <c r="H5192" s="29" t="str">
        <f>IF(A5192="","",VLOOKUP(A5192,AA_Cuadrillas,4,FALSE))</f>
        <v/>
      </c>
      <c r="I5192" s="394" t="str">
        <f>IF(A5192="","",VLOOKUP(A5192,AA_Cuadrillas,5,FALSE))</f>
        <v/>
      </c>
      <c r="J5192" s="273"/>
      <c r="K5192" s="9" t="str">
        <f>IF(A5192="","",F.P!$I$2)</f>
        <v/>
      </c>
      <c r="L5192" s="9"/>
      <c r="M5192" s="394" t="str">
        <f t="shared" si="708"/>
        <v/>
      </c>
      <c r="N5192" s="273"/>
    </row>
    <row r="5193" spans="1:14" ht="12.75" customHeight="1" x14ac:dyDescent="0.25">
      <c r="A5193" s="393"/>
      <c r="B5193" s="271"/>
      <c r="C5193" s="271"/>
      <c r="D5193" s="271"/>
      <c r="E5193" s="271"/>
      <c r="F5193" s="271"/>
      <c r="G5193" s="273"/>
      <c r="H5193" s="29" t="str">
        <f>IF(A5193="","",VLOOKUP(A5193,AA_Cuadrillas,4,FALSE))</f>
        <v/>
      </c>
      <c r="I5193" s="394" t="str">
        <f>IF(A5193="","",VLOOKUP(A5193,AA_Cuadrillas,5,FALSE))</f>
        <v/>
      </c>
      <c r="J5193" s="273"/>
      <c r="K5193" s="9" t="str">
        <f>IF(A5193="","",F.P!$I$2)</f>
        <v/>
      </c>
      <c r="L5193" s="37"/>
      <c r="M5193" s="394" t="str">
        <f t="shared" si="708"/>
        <v/>
      </c>
      <c r="N5193" s="273"/>
    </row>
    <row r="5194" spans="1:14" ht="12.75" customHeight="1" x14ac:dyDescent="0.25">
      <c r="A5194" s="393"/>
      <c r="B5194" s="271"/>
      <c r="C5194" s="271"/>
      <c r="D5194" s="271"/>
      <c r="E5194" s="271"/>
      <c r="F5194" s="271"/>
      <c r="G5194" s="273"/>
      <c r="H5194" s="29" t="str">
        <f>IF(A5194="","",VLOOKUP(A5194,AA_Cuadrillas,4,FALSE))</f>
        <v/>
      </c>
      <c r="I5194" s="394" t="str">
        <f>IF(A5194="","",VLOOKUP(A5194,AA_Cuadrillas,5,FALSE))</f>
        <v/>
      </c>
      <c r="J5194" s="273"/>
      <c r="K5194" s="9" t="str">
        <f>IF(A5194="","",F.P!$I$2)</f>
        <v/>
      </c>
      <c r="L5194" s="37"/>
      <c r="M5194" s="394" t="str">
        <f t="shared" si="708"/>
        <v/>
      </c>
      <c r="N5194" s="273"/>
    </row>
    <row r="5195" spans="1:14" ht="12.75" customHeight="1" x14ac:dyDescent="0.25">
      <c r="A5195" s="393"/>
      <c r="B5195" s="271"/>
      <c r="C5195" s="271"/>
      <c r="D5195" s="271"/>
      <c r="E5195" s="271"/>
      <c r="F5195" s="271"/>
      <c r="G5195" s="273"/>
      <c r="H5195" s="29" t="str">
        <f>IF(A5195="","",VLOOKUP(A5195,AA_Cuadrillas,4,FALSE))</f>
        <v/>
      </c>
      <c r="I5195" s="394" t="str">
        <f>IF(A5195="","",VLOOKUP(A5195,AA_Cuadrillas,5,FALSE))</f>
        <v/>
      </c>
      <c r="J5195" s="273"/>
      <c r="K5195" s="9" t="str">
        <f>IF(A5195="","",F.P!$I$2)</f>
        <v/>
      </c>
      <c r="L5195" s="37"/>
      <c r="M5195" s="394" t="str">
        <f t="shared" si="708"/>
        <v/>
      </c>
      <c r="N5195" s="273"/>
    </row>
    <row r="5196" spans="1:14" ht="12.75" customHeight="1" x14ac:dyDescent="0.25">
      <c r="A5196" s="4"/>
      <c r="B5196" s="4"/>
      <c r="C5196" s="4"/>
      <c r="D5196" s="4"/>
      <c r="E5196" s="4"/>
      <c r="F5196" s="4"/>
      <c r="G5196" s="4"/>
      <c r="H5196" s="4"/>
      <c r="I5196" s="4"/>
      <c r="J5196" s="4"/>
      <c r="K5196" s="396" t="s">
        <v>444</v>
      </c>
      <c r="L5196" s="273"/>
      <c r="M5196" s="394">
        <f>SUM(M5191:N5195)</f>
        <v>210668.66399999999</v>
      </c>
      <c r="N5196" s="273"/>
    </row>
    <row r="5197" spans="1:14" ht="12.75" customHeight="1" x14ac:dyDescent="0.2"/>
    <row r="5198" spans="1:14" ht="12.75" customHeight="1" x14ac:dyDescent="0.2">
      <c r="A5198" s="407" t="s">
        <v>322</v>
      </c>
      <c r="B5198" s="275"/>
      <c r="C5198" s="275"/>
      <c r="D5198" s="275"/>
      <c r="E5198" s="275"/>
      <c r="F5198" s="275"/>
      <c r="G5198" s="275"/>
      <c r="H5198" s="275"/>
      <c r="I5198" s="275"/>
      <c r="J5198" s="275"/>
      <c r="K5198" s="275"/>
      <c r="L5198" s="275"/>
      <c r="M5198" s="275"/>
      <c r="N5198" s="276"/>
    </row>
    <row r="5199" spans="1:14" ht="12.75" customHeight="1" x14ac:dyDescent="0.2">
      <c r="A5199" s="277"/>
      <c r="B5199" s="278"/>
      <c r="C5199" s="278"/>
      <c r="D5199" s="278"/>
      <c r="E5199" s="278"/>
      <c r="F5199" s="278"/>
      <c r="G5199" s="278"/>
      <c r="H5199" s="278"/>
      <c r="I5199" s="278"/>
      <c r="J5199" s="278"/>
      <c r="K5199" s="278"/>
      <c r="L5199" s="278"/>
      <c r="M5199" s="278"/>
      <c r="N5199" s="279"/>
    </row>
    <row r="5200" spans="1:14" ht="12.75" customHeight="1" x14ac:dyDescent="0.2">
      <c r="A5200" s="75"/>
      <c r="B5200" s="75"/>
      <c r="C5200" s="75"/>
      <c r="D5200" s="75"/>
      <c r="E5200" s="75"/>
      <c r="F5200" s="75"/>
      <c r="G5200" s="75"/>
      <c r="H5200" s="75"/>
      <c r="I5200" s="75"/>
      <c r="J5200" s="75"/>
      <c r="K5200" s="75"/>
      <c r="L5200" s="75"/>
      <c r="M5200" s="75"/>
      <c r="N5200" s="75"/>
    </row>
    <row r="5201" spans="1:15" ht="12.75" customHeight="1" x14ac:dyDescent="0.3">
      <c r="A5201" s="79" t="s">
        <v>735</v>
      </c>
      <c r="B5201" s="80" t="str">
        <f>A5198</f>
        <v>SUMINISTRO E INSTALACIÓN DE UNIÓN DE DESMONTAJE Ø6" EN HIERRO DUCTIL (INCLUYE MATERIALES, HERRAMIENTAS Y MANO DE OBRA)</v>
      </c>
      <c r="C5201" s="81" t="s">
        <v>916</v>
      </c>
      <c r="D5201" s="82" t="s">
        <v>999</v>
      </c>
      <c r="E5201" s="83" t="s">
        <v>445</v>
      </c>
      <c r="F5201" s="240">
        <f>H5201+J5201+L5201+N5201</f>
        <v>992167.5405</v>
      </c>
      <c r="G5201" s="83" t="s">
        <v>607</v>
      </c>
      <c r="H5201" s="86">
        <f>M5220</f>
        <v>4388.9305000000004</v>
      </c>
      <c r="I5201" s="83" t="s">
        <v>918</v>
      </c>
      <c r="J5201" s="86">
        <f>M5211</f>
        <v>900000</v>
      </c>
      <c r="K5201" s="83" t="s">
        <v>609</v>
      </c>
      <c r="L5201" s="86">
        <f>M5229</f>
        <v>0</v>
      </c>
      <c r="M5201" s="83" t="s">
        <v>610</v>
      </c>
      <c r="N5201" s="86">
        <f>M5238</f>
        <v>87778.61</v>
      </c>
      <c r="O5201" t="s">
        <v>3222</v>
      </c>
    </row>
    <row r="5202" spans="1:15" ht="12.75" customHeight="1" x14ac:dyDescent="0.25">
      <c r="A5202" s="87"/>
      <c r="B5202" s="87"/>
      <c r="C5202" s="87"/>
      <c r="D5202" s="87"/>
      <c r="E5202" s="87"/>
      <c r="F5202" s="87"/>
      <c r="G5202" s="87"/>
      <c r="J5202" s="87"/>
      <c r="K5202" s="215" t="s">
        <v>3217</v>
      </c>
      <c r="L5202" s="215">
        <f>+F5201*presup!$O$5</f>
        <v>1289817.80265</v>
      </c>
      <c r="M5202" s="87"/>
      <c r="N5202" s="87"/>
    </row>
    <row r="5203" spans="1:15" ht="12.75" customHeight="1" x14ac:dyDescent="0.2">
      <c r="A5203" s="398" t="s">
        <v>919</v>
      </c>
      <c r="B5203" s="271"/>
      <c r="C5203" s="271"/>
      <c r="D5203" s="271"/>
      <c r="E5203" s="271"/>
      <c r="F5203" s="271"/>
      <c r="G5203" s="271"/>
      <c r="H5203" s="271"/>
      <c r="I5203" s="271"/>
      <c r="J5203" s="271"/>
      <c r="K5203" s="271"/>
      <c r="L5203" s="271"/>
      <c r="M5203" s="271"/>
      <c r="N5203" s="273"/>
    </row>
    <row r="5204" spans="1:15" ht="12.75" customHeight="1" x14ac:dyDescent="0.2">
      <c r="A5204" s="396" t="s">
        <v>76</v>
      </c>
      <c r="B5204" s="271"/>
      <c r="C5204" s="271"/>
      <c r="D5204" s="271"/>
      <c r="E5204" s="271"/>
      <c r="F5204" s="271"/>
      <c r="G5204" s="273"/>
      <c r="H5204" s="88" t="s">
        <v>77</v>
      </c>
      <c r="I5204" s="399" t="s">
        <v>920</v>
      </c>
      <c r="J5204" s="273"/>
      <c r="K5204" s="399" t="s">
        <v>453</v>
      </c>
      <c r="L5204" s="273"/>
      <c r="M5204" s="399" t="s">
        <v>921</v>
      </c>
      <c r="N5204" s="273"/>
    </row>
    <row r="5205" spans="1:15" ht="12.75" customHeight="1" x14ac:dyDescent="0.2">
      <c r="A5205" s="403" t="s">
        <v>1221</v>
      </c>
      <c r="B5205" s="271"/>
      <c r="C5205" s="271"/>
      <c r="D5205" s="271"/>
      <c r="E5205" s="271"/>
      <c r="F5205" s="271"/>
      <c r="G5205" s="273"/>
      <c r="H5205" s="29" t="str">
        <f t="shared" ref="H5205:H5210" si="709">IF(A5205="","",VLOOKUP(A5205,AA_Materiales,7,FALSE))</f>
        <v>Unidad</v>
      </c>
      <c r="I5205" s="394">
        <f t="shared" ref="I5205:I5210" si="710">IF(A5205="","",VLOOKUP(A5205,AA_Materiales,8,FALSE))</f>
        <v>900000</v>
      </c>
      <c r="J5205" s="273"/>
      <c r="K5205" s="395">
        <v>1</v>
      </c>
      <c r="L5205" s="273"/>
      <c r="M5205" s="394">
        <f t="shared" ref="M5205:M5210" si="711">IF(A5205="","",I5205*K5205)</f>
        <v>900000</v>
      </c>
      <c r="N5205" s="273"/>
    </row>
    <row r="5206" spans="1:15" ht="12.75" customHeight="1" x14ac:dyDescent="0.2">
      <c r="A5206" s="403"/>
      <c r="B5206" s="271"/>
      <c r="C5206" s="271"/>
      <c r="D5206" s="271"/>
      <c r="E5206" s="271"/>
      <c r="F5206" s="271"/>
      <c r="G5206" s="273"/>
      <c r="H5206" s="29" t="str">
        <f t="shared" si="709"/>
        <v/>
      </c>
      <c r="I5206" s="394" t="str">
        <f t="shared" si="710"/>
        <v/>
      </c>
      <c r="J5206" s="273"/>
      <c r="K5206" s="395"/>
      <c r="L5206" s="273"/>
      <c r="M5206" s="394" t="str">
        <f t="shared" si="711"/>
        <v/>
      </c>
      <c r="N5206" s="273"/>
    </row>
    <row r="5207" spans="1:15" ht="12.75" customHeight="1" x14ac:dyDescent="0.2">
      <c r="A5207" s="403"/>
      <c r="B5207" s="271"/>
      <c r="C5207" s="271"/>
      <c r="D5207" s="271"/>
      <c r="E5207" s="271"/>
      <c r="F5207" s="271"/>
      <c r="G5207" s="273"/>
      <c r="H5207" s="29" t="str">
        <f t="shared" si="709"/>
        <v/>
      </c>
      <c r="I5207" s="394" t="str">
        <f t="shared" si="710"/>
        <v/>
      </c>
      <c r="J5207" s="273"/>
      <c r="K5207" s="395"/>
      <c r="L5207" s="273"/>
      <c r="M5207" s="394" t="str">
        <f t="shared" si="711"/>
        <v/>
      </c>
      <c r="N5207" s="273"/>
    </row>
    <row r="5208" spans="1:15" ht="12.75" customHeight="1" x14ac:dyDescent="0.2">
      <c r="A5208" s="403"/>
      <c r="B5208" s="271"/>
      <c r="C5208" s="271"/>
      <c r="D5208" s="271"/>
      <c r="E5208" s="271"/>
      <c r="F5208" s="271"/>
      <c r="G5208" s="273"/>
      <c r="H5208" s="29" t="str">
        <f t="shared" si="709"/>
        <v/>
      </c>
      <c r="I5208" s="394" t="str">
        <f t="shared" si="710"/>
        <v/>
      </c>
      <c r="J5208" s="273"/>
      <c r="K5208" s="395"/>
      <c r="L5208" s="273"/>
      <c r="M5208" s="394" t="str">
        <f t="shared" si="711"/>
        <v/>
      </c>
      <c r="N5208" s="273"/>
    </row>
    <row r="5209" spans="1:15" ht="12.75" customHeight="1" x14ac:dyDescent="0.2">
      <c r="A5209" s="403"/>
      <c r="B5209" s="271"/>
      <c r="C5209" s="271"/>
      <c r="D5209" s="271"/>
      <c r="E5209" s="271"/>
      <c r="F5209" s="271"/>
      <c r="G5209" s="273"/>
      <c r="H5209" s="29" t="str">
        <f t="shared" si="709"/>
        <v/>
      </c>
      <c r="I5209" s="394" t="str">
        <f t="shared" si="710"/>
        <v/>
      </c>
      <c r="J5209" s="273"/>
      <c r="K5209" s="395"/>
      <c r="L5209" s="273"/>
      <c r="M5209" s="394" t="str">
        <f t="shared" si="711"/>
        <v/>
      </c>
      <c r="N5209" s="273"/>
    </row>
    <row r="5210" spans="1:15" ht="12.75" customHeight="1" x14ac:dyDescent="0.2">
      <c r="A5210" s="403"/>
      <c r="B5210" s="271"/>
      <c r="C5210" s="271"/>
      <c r="D5210" s="271"/>
      <c r="E5210" s="271"/>
      <c r="F5210" s="271"/>
      <c r="G5210" s="273"/>
      <c r="H5210" s="29" t="str">
        <f t="shared" si="709"/>
        <v/>
      </c>
      <c r="I5210" s="394" t="str">
        <f t="shared" si="710"/>
        <v/>
      </c>
      <c r="J5210" s="273"/>
      <c r="K5210" s="395"/>
      <c r="L5210" s="273"/>
      <c r="M5210" s="394" t="str">
        <f t="shared" si="711"/>
        <v/>
      </c>
      <c r="N5210" s="273"/>
    </row>
    <row r="5211" spans="1:15" ht="12.75" customHeight="1" x14ac:dyDescent="0.25">
      <c r="A5211" s="4"/>
      <c r="B5211" s="4"/>
      <c r="C5211" s="4"/>
      <c r="D5211" s="4"/>
      <c r="E5211" s="4"/>
      <c r="F5211" s="4"/>
      <c r="G5211" s="4"/>
      <c r="H5211" s="4"/>
      <c r="I5211" s="4"/>
      <c r="J5211" s="4"/>
      <c r="K5211" s="396" t="s">
        <v>444</v>
      </c>
      <c r="L5211" s="273"/>
      <c r="M5211" s="394">
        <f>SUM(M5205:N5210)</f>
        <v>900000</v>
      </c>
      <c r="N5211" s="273"/>
    </row>
    <row r="5212" spans="1:15" ht="12.75" customHeight="1" x14ac:dyDescent="0.25">
      <c r="A5212" s="4"/>
      <c r="B5212" s="4"/>
      <c r="C5212" s="4"/>
      <c r="D5212" s="4"/>
      <c r="E5212" s="4"/>
      <c r="F5212" s="4"/>
      <c r="G5212" s="4"/>
      <c r="H5212" s="4"/>
      <c r="I5212" s="4"/>
      <c r="J5212" s="4"/>
      <c r="K5212" s="4"/>
      <c r="L5212" s="4"/>
      <c r="M5212" s="4"/>
      <c r="N5212" s="4"/>
    </row>
    <row r="5213" spans="1:15" ht="12.75" customHeight="1" x14ac:dyDescent="0.2">
      <c r="A5213" s="398" t="s">
        <v>926</v>
      </c>
      <c r="B5213" s="271"/>
      <c r="C5213" s="271"/>
      <c r="D5213" s="271"/>
      <c r="E5213" s="271"/>
      <c r="F5213" s="271"/>
      <c r="G5213" s="271"/>
      <c r="H5213" s="271"/>
      <c r="I5213" s="271"/>
      <c r="J5213" s="271"/>
      <c r="K5213" s="271"/>
      <c r="L5213" s="271"/>
      <c r="M5213" s="271"/>
      <c r="N5213" s="273"/>
    </row>
    <row r="5214" spans="1:15" ht="12.75" customHeight="1" x14ac:dyDescent="0.2">
      <c r="A5214" s="396" t="s">
        <v>76</v>
      </c>
      <c r="B5214" s="271"/>
      <c r="C5214" s="271"/>
      <c r="D5214" s="271"/>
      <c r="E5214" s="271"/>
      <c r="F5214" s="271"/>
      <c r="G5214" s="273"/>
      <c r="H5214" s="88" t="s">
        <v>77</v>
      </c>
      <c r="I5214" s="399" t="s">
        <v>920</v>
      </c>
      <c r="J5214" s="273"/>
      <c r="K5214" s="399" t="s">
        <v>453</v>
      </c>
      <c r="L5214" s="273"/>
      <c r="M5214" s="399" t="s">
        <v>921</v>
      </c>
      <c r="N5214" s="273"/>
    </row>
    <row r="5215" spans="1:15" ht="12.75" customHeight="1" x14ac:dyDescent="0.2">
      <c r="A5215" s="400" t="s">
        <v>927</v>
      </c>
      <c r="B5215" s="271"/>
      <c r="C5215" s="271"/>
      <c r="D5215" s="271"/>
      <c r="E5215" s="271"/>
      <c r="F5215" s="271"/>
      <c r="G5215" s="273"/>
      <c r="H5215" s="29" t="str">
        <f>IF(A5215="","",VLOOKUP(A5215,AA_Equipos,7,FALSE))</f>
        <v>% M.O.</v>
      </c>
      <c r="I5215" s="394">
        <f>+M5238</f>
        <v>87778.61</v>
      </c>
      <c r="J5215" s="273"/>
      <c r="K5215" s="404">
        <v>0.05</v>
      </c>
      <c r="L5215" s="273"/>
      <c r="M5215" s="394">
        <f t="shared" ref="M5215:M5219" si="712">IF(A5215="","",I5215*K5215)</f>
        <v>4388.9305000000004</v>
      </c>
      <c r="N5215" s="273"/>
    </row>
    <row r="5216" spans="1:15" ht="12.75" customHeight="1" x14ac:dyDescent="0.2">
      <c r="A5216" s="403"/>
      <c r="B5216" s="271"/>
      <c r="C5216" s="271"/>
      <c r="D5216" s="271"/>
      <c r="E5216" s="271"/>
      <c r="F5216" s="271"/>
      <c r="G5216" s="273"/>
      <c r="H5216" s="29" t="str">
        <f>IF(A5216="","",VLOOKUP(A5216,AA_Equipos,7,FALSE))</f>
        <v/>
      </c>
      <c r="I5216" s="394" t="str">
        <f>IF(A5216="","",VLOOKUP(A5216,AA_Equipos,8,FALSE))</f>
        <v/>
      </c>
      <c r="J5216" s="273"/>
      <c r="K5216" s="402"/>
      <c r="L5216" s="273"/>
      <c r="M5216" s="394" t="str">
        <f t="shared" si="712"/>
        <v/>
      </c>
      <c r="N5216" s="273"/>
    </row>
    <row r="5217" spans="1:14" ht="12.75" customHeight="1" x14ac:dyDescent="0.2">
      <c r="A5217" s="400"/>
      <c r="B5217" s="271"/>
      <c r="C5217" s="271"/>
      <c r="D5217" s="271"/>
      <c r="E5217" s="271"/>
      <c r="F5217" s="271"/>
      <c r="G5217" s="273"/>
      <c r="H5217" s="29" t="str">
        <f>IF(A5217="","",VLOOKUP(A5217,AA_Equipos,7,FALSE))</f>
        <v/>
      </c>
      <c r="I5217" s="394" t="str">
        <f>IF(A5217="","",VLOOKUP(A5217,AA_Equipos,8,FALSE))</f>
        <v/>
      </c>
      <c r="J5217" s="273"/>
      <c r="K5217" s="401"/>
      <c r="L5217" s="273"/>
      <c r="M5217" s="394" t="str">
        <f t="shared" si="712"/>
        <v/>
      </c>
      <c r="N5217" s="273"/>
    </row>
    <row r="5218" spans="1:14" ht="12.75" customHeight="1" x14ac:dyDescent="0.2">
      <c r="A5218" s="400"/>
      <c r="B5218" s="271"/>
      <c r="C5218" s="271"/>
      <c r="D5218" s="271"/>
      <c r="E5218" s="271"/>
      <c r="F5218" s="271"/>
      <c r="G5218" s="273"/>
      <c r="H5218" s="29" t="str">
        <f>IF(A5218="","",VLOOKUP(A5218,AA_Equipos,7,FALSE))</f>
        <v/>
      </c>
      <c r="I5218" s="394" t="str">
        <f>IF(A5218="","",VLOOKUP(A5218,AA_Equipos,8,FALSE))</f>
        <v/>
      </c>
      <c r="J5218" s="273"/>
      <c r="K5218" s="395"/>
      <c r="L5218" s="273"/>
      <c r="M5218" s="394" t="str">
        <f t="shared" si="712"/>
        <v/>
      </c>
      <c r="N5218" s="273"/>
    </row>
    <row r="5219" spans="1:14" ht="12.75" customHeight="1" x14ac:dyDescent="0.2">
      <c r="A5219" s="400"/>
      <c r="B5219" s="271"/>
      <c r="C5219" s="271"/>
      <c r="D5219" s="271"/>
      <c r="E5219" s="271"/>
      <c r="F5219" s="271"/>
      <c r="G5219" s="273"/>
      <c r="H5219" s="29" t="str">
        <f>IF(A5219="","",VLOOKUP(A5219,AA_Equipos,7,FALSE))</f>
        <v/>
      </c>
      <c r="I5219" s="394" t="str">
        <f>IF(A5219="","",VLOOKUP(A5219,AA_Equipos,8,FALSE))</f>
        <v/>
      </c>
      <c r="J5219" s="273"/>
      <c r="K5219" s="395"/>
      <c r="L5219" s="273"/>
      <c r="M5219" s="394" t="str">
        <f t="shared" si="712"/>
        <v/>
      </c>
      <c r="N5219" s="273"/>
    </row>
    <row r="5220" spans="1:14" ht="12.75" customHeight="1" x14ac:dyDescent="0.25">
      <c r="A5220" s="4"/>
      <c r="B5220" s="4"/>
      <c r="C5220" s="4"/>
      <c r="D5220" s="4"/>
      <c r="E5220" s="4"/>
      <c r="F5220" s="4"/>
      <c r="G5220" s="4"/>
      <c r="H5220" s="4"/>
      <c r="I5220" s="4"/>
      <c r="J5220" s="4"/>
      <c r="K5220" s="396" t="s">
        <v>444</v>
      </c>
      <c r="L5220" s="273"/>
      <c r="M5220" s="394">
        <f>SUM(M5215:N5219)</f>
        <v>4388.9305000000004</v>
      </c>
      <c r="N5220" s="273"/>
    </row>
    <row r="5221" spans="1:14" ht="12.75" customHeight="1" x14ac:dyDescent="0.25">
      <c r="A5221" s="4"/>
      <c r="B5221" s="4"/>
      <c r="C5221" s="4"/>
      <c r="D5221" s="4"/>
      <c r="E5221" s="4"/>
      <c r="F5221" s="4"/>
      <c r="G5221" s="4"/>
      <c r="H5221" s="4"/>
      <c r="I5221" s="4"/>
      <c r="J5221" s="4"/>
      <c r="K5221" s="4"/>
      <c r="L5221" s="4"/>
      <c r="M5221" s="4"/>
      <c r="N5221" s="4"/>
    </row>
    <row r="5222" spans="1:14" ht="12.75" customHeight="1" x14ac:dyDescent="0.2">
      <c r="A5222" s="398" t="s">
        <v>929</v>
      </c>
      <c r="B5222" s="271"/>
      <c r="C5222" s="271"/>
      <c r="D5222" s="271"/>
      <c r="E5222" s="271"/>
      <c r="F5222" s="271"/>
      <c r="G5222" s="271"/>
      <c r="H5222" s="271"/>
      <c r="I5222" s="271"/>
      <c r="J5222" s="271"/>
      <c r="K5222" s="271"/>
      <c r="L5222" s="271"/>
      <c r="M5222" s="271"/>
      <c r="N5222" s="273"/>
    </row>
    <row r="5223" spans="1:14" ht="12.75" customHeight="1" x14ac:dyDescent="0.2">
      <c r="A5223" s="396" t="s">
        <v>76</v>
      </c>
      <c r="B5223" s="271"/>
      <c r="C5223" s="271"/>
      <c r="D5223" s="271"/>
      <c r="E5223" s="271"/>
      <c r="F5223" s="271"/>
      <c r="G5223" s="273"/>
      <c r="H5223" s="88" t="s">
        <v>77</v>
      </c>
      <c r="I5223" s="399" t="s">
        <v>920</v>
      </c>
      <c r="J5223" s="273"/>
      <c r="K5223" s="399" t="s">
        <v>453</v>
      </c>
      <c r="L5223" s="273"/>
      <c r="M5223" s="399" t="s">
        <v>921</v>
      </c>
      <c r="N5223" s="273"/>
    </row>
    <row r="5224" spans="1:14" ht="12.75" customHeight="1" x14ac:dyDescent="0.2">
      <c r="A5224" s="400"/>
      <c r="B5224" s="271"/>
      <c r="C5224" s="271"/>
      <c r="D5224" s="271"/>
      <c r="E5224" s="271"/>
      <c r="F5224" s="271"/>
      <c r="G5224" s="273"/>
      <c r="H5224" s="29"/>
      <c r="I5224" s="394"/>
      <c r="J5224" s="273"/>
      <c r="K5224" s="404"/>
      <c r="L5224" s="273"/>
      <c r="M5224" s="394" t="str">
        <f t="shared" ref="M5224:M5228" si="713">IF(A5224="","",I5224*K5224)</f>
        <v/>
      </c>
      <c r="N5224" s="273"/>
    </row>
    <row r="5225" spans="1:14" ht="12.75" customHeight="1" x14ac:dyDescent="0.2">
      <c r="A5225" s="403"/>
      <c r="B5225" s="271"/>
      <c r="C5225" s="271"/>
      <c r="D5225" s="271"/>
      <c r="E5225" s="271"/>
      <c r="F5225" s="271"/>
      <c r="G5225" s="273"/>
      <c r="H5225" s="29"/>
      <c r="I5225" s="394"/>
      <c r="J5225" s="273"/>
      <c r="K5225" s="404"/>
      <c r="L5225" s="273"/>
      <c r="M5225" s="394" t="str">
        <f t="shared" si="713"/>
        <v/>
      </c>
      <c r="N5225" s="273"/>
    </row>
    <row r="5226" spans="1:14" ht="12.75" customHeight="1" x14ac:dyDescent="0.2">
      <c r="A5226" s="400"/>
      <c r="B5226" s="271"/>
      <c r="C5226" s="271"/>
      <c r="D5226" s="271"/>
      <c r="E5226" s="271"/>
      <c r="F5226" s="271"/>
      <c r="G5226" s="273"/>
      <c r="H5226" s="29"/>
      <c r="I5226" s="394"/>
      <c r="J5226" s="273"/>
      <c r="K5226" s="395"/>
      <c r="L5226" s="273"/>
      <c r="M5226" s="394" t="str">
        <f t="shared" si="713"/>
        <v/>
      </c>
      <c r="N5226" s="273"/>
    </row>
    <row r="5227" spans="1:14" ht="12.75" customHeight="1" x14ac:dyDescent="0.2">
      <c r="A5227" s="400"/>
      <c r="B5227" s="271"/>
      <c r="C5227" s="271"/>
      <c r="D5227" s="271"/>
      <c r="E5227" s="271"/>
      <c r="F5227" s="271"/>
      <c r="G5227" s="273"/>
      <c r="H5227" s="29"/>
      <c r="I5227" s="394"/>
      <c r="J5227" s="273"/>
      <c r="K5227" s="395"/>
      <c r="L5227" s="273"/>
      <c r="M5227" s="394" t="str">
        <f t="shared" si="713"/>
        <v/>
      </c>
      <c r="N5227" s="273"/>
    </row>
    <row r="5228" spans="1:14" ht="12.75" customHeight="1" x14ac:dyDescent="0.2">
      <c r="A5228" s="400"/>
      <c r="B5228" s="271"/>
      <c r="C5228" s="271"/>
      <c r="D5228" s="271"/>
      <c r="E5228" s="271"/>
      <c r="F5228" s="271"/>
      <c r="G5228" s="273"/>
      <c r="H5228" s="29"/>
      <c r="I5228" s="394"/>
      <c r="J5228" s="273"/>
      <c r="K5228" s="395"/>
      <c r="L5228" s="273"/>
      <c r="M5228" s="394" t="str">
        <f t="shared" si="713"/>
        <v/>
      </c>
      <c r="N5228" s="273"/>
    </row>
    <row r="5229" spans="1:14" ht="12.75" customHeight="1" x14ac:dyDescent="0.25">
      <c r="A5229" s="4"/>
      <c r="B5229" s="4"/>
      <c r="C5229" s="4"/>
      <c r="D5229" s="4"/>
      <c r="E5229" s="4"/>
      <c r="F5229" s="4"/>
      <c r="G5229" s="4"/>
      <c r="H5229" s="4"/>
      <c r="I5229" s="4"/>
      <c r="J5229" s="4"/>
      <c r="K5229" s="396" t="s">
        <v>444</v>
      </c>
      <c r="L5229" s="273"/>
      <c r="M5229" s="394">
        <f>SUM(M5224:N5228)</f>
        <v>0</v>
      </c>
      <c r="N5229" s="273"/>
    </row>
    <row r="5230" spans="1:14" ht="12.75" customHeight="1" x14ac:dyDescent="0.25">
      <c r="A5230" s="4"/>
      <c r="B5230" s="4"/>
      <c r="C5230" s="4"/>
      <c r="D5230" s="4"/>
      <c r="E5230" s="4"/>
      <c r="F5230" s="4"/>
      <c r="G5230" s="4"/>
      <c r="H5230" s="4"/>
      <c r="I5230" s="4"/>
      <c r="J5230" s="4"/>
      <c r="K5230" s="4"/>
      <c r="L5230" s="4"/>
      <c r="M5230" s="4"/>
      <c r="N5230" s="4"/>
    </row>
    <row r="5231" spans="1:14" ht="12.75" customHeight="1" x14ac:dyDescent="0.2">
      <c r="A5231" s="398" t="s">
        <v>931</v>
      </c>
      <c r="B5231" s="271"/>
      <c r="C5231" s="271"/>
      <c r="D5231" s="271"/>
      <c r="E5231" s="271"/>
      <c r="F5231" s="271"/>
      <c r="G5231" s="271"/>
      <c r="H5231" s="271"/>
      <c r="I5231" s="271"/>
      <c r="J5231" s="271"/>
      <c r="K5231" s="271"/>
      <c r="L5231" s="271"/>
      <c r="M5231" s="271"/>
      <c r="N5231" s="273"/>
    </row>
    <row r="5232" spans="1:14" ht="12.75" customHeight="1" x14ac:dyDescent="0.2">
      <c r="A5232" s="396" t="s">
        <v>76</v>
      </c>
      <c r="B5232" s="271"/>
      <c r="C5232" s="271"/>
      <c r="D5232" s="271"/>
      <c r="E5232" s="271"/>
      <c r="F5232" s="271"/>
      <c r="G5232" s="273"/>
      <c r="H5232" s="88" t="s">
        <v>77</v>
      </c>
      <c r="I5232" s="399" t="s">
        <v>920</v>
      </c>
      <c r="J5232" s="273"/>
      <c r="K5232" s="90" t="s">
        <v>514</v>
      </c>
      <c r="L5232" s="91" t="s">
        <v>932</v>
      </c>
      <c r="M5232" s="399" t="s">
        <v>921</v>
      </c>
      <c r="N5232" s="273"/>
    </row>
    <row r="5233" spans="1:14" ht="12.75" customHeight="1" x14ac:dyDescent="0.25">
      <c r="A5233" s="393" t="s">
        <v>986</v>
      </c>
      <c r="B5233" s="271"/>
      <c r="C5233" s="271"/>
      <c r="D5233" s="271"/>
      <c r="E5233" s="271"/>
      <c r="F5233" s="271"/>
      <c r="G5233" s="273"/>
      <c r="H5233" s="29" t="str">
        <f>IF(A5233="","",VLOOKUP(A5233,AA_Cuadrillas,4,FALSE))</f>
        <v>Cuadrilla</v>
      </c>
      <c r="I5233" s="394">
        <f>IF(A5233="","",VLOOKUP(A5233,AA_Cuadrillas,5,FALSE))</f>
        <v>186763</v>
      </c>
      <c r="J5233" s="273"/>
      <c r="K5233" s="9">
        <f>IF(A5233="","",F.P!$I$2)</f>
        <v>1.88</v>
      </c>
      <c r="L5233" s="97">
        <v>0.25</v>
      </c>
      <c r="M5233" s="394">
        <f t="shared" ref="M5233:M5237" si="714">IF(A5233="","",I5233*K5233*L5233)</f>
        <v>87778.61</v>
      </c>
      <c r="N5233" s="273"/>
    </row>
    <row r="5234" spans="1:14" ht="12.75" customHeight="1" x14ac:dyDescent="0.25">
      <c r="A5234" s="393"/>
      <c r="B5234" s="271"/>
      <c r="C5234" s="271"/>
      <c r="D5234" s="271"/>
      <c r="E5234" s="271"/>
      <c r="F5234" s="271"/>
      <c r="G5234" s="273"/>
      <c r="H5234" s="29" t="str">
        <f>IF(A5234="","",VLOOKUP(A5234,AA_Cuadrillas,4,FALSE))</f>
        <v/>
      </c>
      <c r="I5234" s="394" t="str">
        <f>IF(A5234="","",VLOOKUP(A5234,AA_Cuadrillas,5,FALSE))</f>
        <v/>
      </c>
      <c r="J5234" s="273"/>
      <c r="K5234" s="9" t="str">
        <f>IF(A5234="","",F.P!$I$2)</f>
        <v/>
      </c>
      <c r="L5234" s="9"/>
      <c r="M5234" s="394" t="str">
        <f t="shared" si="714"/>
        <v/>
      </c>
      <c r="N5234" s="273"/>
    </row>
    <row r="5235" spans="1:14" ht="12.75" customHeight="1" x14ac:dyDescent="0.25">
      <c r="A5235" s="393"/>
      <c r="B5235" s="271"/>
      <c r="C5235" s="271"/>
      <c r="D5235" s="271"/>
      <c r="E5235" s="271"/>
      <c r="F5235" s="271"/>
      <c r="G5235" s="273"/>
      <c r="H5235" s="29" t="str">
        <f>IF(A5235="","",VLOOKUP(A5235,AA_Cuadrillas,4,FALSE))</f>
        <v/>
      </c>
      <c r="I5235" s="394" t="str">
        <f>IF(A5235="","",VLOOKUP(A5235,AA_Cuadrillas,5,FALSE))</f>
        <v/>
      </c>
      <c r="J5235" s="273"/>
      <c r="K5235" s="9" t="str">
        <f>IF(A5235="","",F.P!$I$2)</f>
        <v/>
      </c>
      <c r="L5235" s="37"/>
      <c r="M5235" s="394" t="str">
        <f t="shared" si="714"/>
        <v/>
      </c>
      <c r="N5235" s="273"/>
    </row>
    <row r="5236" spans="1:14" ht="12.75" customHeight="1" x14ac:dyDescent="0.25">
      <c r="A5236" s="393"/>
      <c r="B5236" s="271"/>
      <c r="C5236" s="271"/>
      <c r="D5236" s="271"/>
      <c r="E5236" s="271"/>
      <c r="F5236" s="271"/>
      <c r="G5236" s="273"/>
      <c r="H5236" s="29" t="str">
        <f>IF(A5236="","",VLOOKUP(A5236,AA_Cuadrillas,4,FALSE))</f>
        <v/>
      </c>
      <c r="I5236" s="394" t="str">
        <f>IF(A5236="","",VLOOKUP(A5236,AA_Cuadrillas,5,FALSE))</f>
        <v/>
      </c>
      <c r="J5236" s="273"/>
      <c r="K5236" s="9" t="str">
        <f>IF(A5236="","",F.P!$I$2)</f>
        <v/>
      </c>
      <c r="L5236" s="37"/>
      <c r="M5236" s="394" t="str">
        <f t="shared" si="714"/>
        <v/>
      </c>
      <c r="N5236" s="273"/>
    </row>
    <row r="5237" spans="1:14" ht="12.75" customHeight="1" x14ac:dyDescent="0.25">
      <c r="A5237" s="393"/>
      <c r="B5237" s="271"/>
      <c r="C5237" s="271"/>
      <c r="D5237" s="271"/>
      <c r="E5237" s="271"/>
      <c r="F5237" s="271"/>
      <c r="G5237" s="273"/>
      <c r="H5237" s="29" t="str">
        <f>IF(A5237="","",VLOOKUP(A5237,AA_Cuadrillas,4,FALSE))</f>
        <v/>
      </c>
      <c r="I5237" s="394" t="str">
        <f>IF(A5237="","",VLOOKUP(A5237,AA_Cuadrillas,5,FALSE))</f>
        <v/>
      </c>
      <c r="J5237" s="273"/>
      <c r="K5237" s="9" t="str">
        <f>IF(A5237="","",F.P!$I$2)</f>
        <v/>
      </c>
      <c r="L5237" s="37"/>
      <c r="M5237" s="394" t="str">
        <f t="shared" si="714"/>
        <v/>
      </c>
      <c r="N5237" s="273"/>
    </row>
    <row r="5238" spans="1:14" ht="12.75" customHeight="1" x14ac:dyDescent="0.25">
      <c r="A5238" s="4"/>
      <c r="B5238" s="4"/>
      <c r="C5238" s="4"/>
      <c r="D5238" s="4"/>
      <c r="E5238" s="4"/>
      <c r="F5238" s="4"/>
      <c r="G5238" s="4"/>
      <c r="H5238" s="4"/>
      <c r="I5238" s="4"/>
      <c r="J5238" s="4"/>
      <c r="K5238" s="396" t="s">
        <v>444</v>
      </c>
      <c r="L5238" s="273"/>
      <c r="M5238" s="394">
        <f>SUM(M5233:N5237)</f>
        <v>87778.61</v>
      </c>
      <c r="N5238" s="273"/>
    </row>
    <row r="5239" spans="1:14" ht="12.75" customHeight="1" x14ac:dyDescent="0.2"/>
    <row r="5240" spans="1:14" ht="12.75" customHeight="1" x14ac:dyDescent="0.2">
      <c r="A5240" s="407" t="s">
        <v>1222</v>
      </c>
      <c r="B5240" s="275"/>
      <c r="C5240" s="275"/>
      <c r="D5240" s="275"/>
      <c r="E5240" s="275"/>
      <c r="F5240" s="275"/>
      <c r="G5240" s="275"/>
      <c r="H5240" s="275"/>
      <c r="I5240" s="275"/>
      <c r="J5240" s="275"/>
      <c r="K5240" s="275"/>
      <c r="L5240" s="275"/>
      <c r="M5240" s="275"/>
      <c r="N5240" s="276"/>
    </row>
    <row r="5241" spans="1:14" ht="12.75" customHeight="1" x14ac:dyDescent="0.2">
      <c r="A5241" s="277"/>
      <c r="B5241" s="278"/>
      <c r="C5241" s="278"/>
      <c r="D5241" s="278"/>
      <c r="E5241" s="278"/>
      <c r="F5241" s="278"/>
      <c r="G5241" s="278"/>
      <c r="H5241" s="278"/>
      <c r="I5241" s="278"/>
      <c r="J5241" s="278"/>
      <c r="K5241" s="278"/>
      <c r="L5241" s="278"/>
      <c r="M5241" s="278"/>
      <c r="N5241" s="279"/>
    </row>
    <row r="5242" spans="1:14" ht="12.75" customHeight="1" x14ac:dyDescent="0.2">
      <c r="A5242" s="75"/>
      <c r="B5242" s="75"/>
      <c r="C5242" s="75"/>
      <c r="D5242" s="75"/>
      <c r="E5242" s="75"/>
      <c r="F5242" s="75"/>
      <c r="G5242" s="75"/>
      <c r="H5242" s="75"/>
      <c r="I5242" s="75"/>
      <c r="J5242" s="75"/>
      <c r="K5242" s="75"/>
      <c r="L5242" s="75"/>
      <c r="M5242" s="75"/>
      <c r="N5242" s="75"/>
    </row>
    <row r="5243" spans="1:14" ht="12.75" customHeight="1" x14ac:dyDescent="0.3">
      <c r="A5243" s="79" t="s">
        <v>736</v>
      </c>
      <c r="B5243" s="80" t="str">
        <f>A5240</f>
        <v>SUMINISTRO E INSTALACIÓN DE NIPLE PASAMURO DE Ø10" EN HIERRO DUCTIL (INCLUYE MATERIALES, HERRAMIENTAS Y MANO DE OBRA)</v>
      </c>
      <c r="C5243" s="81" t="s">
        <v>916</v>
      </c>
      <c r="D5243" s="82" t="s">
        <v>999</v>
      </c>
      <c r="E5243" s="83" t="s">
        <v>445</v>
      </c>
      <c r="F5243" s="86">
        <f>H5243+J5243+L5243+N5243</f>
        <v>1016342.5405</v>
      </c>
      <c r="G5243" s="83" t="s">
        <v>607</v>
      </c>
      <c r="H5243" s="86">
        <f>M5262</f>
        <v>4388.9305000000004</v>
      </c>
      <c r="I5243" s="83" t="s">
        <v>918</v>
      </c>
      <c r="J5243" s="86">
        <f>M5253</f>
        <v>924175</v>
      </c>
      <c r="K5243" s="83" t="s">
        <v>609</v>
      </c>
      <c r="L5243" s="86">
        <f>M5271</f>
        <v>0</v>
      </c>
      <c r="M5243" s="83" t="s">
        <v>610</v>
      </c>
      <c r="N5243" s="86">
        <f>M5280</f>
        <v>87778.61</v>
      </c>
    </row>
    <row r="5244" spans="1:14" ht="12.75" customHeight="1" x14ac:dyDescent="0.25">
      <c r="A5244" s="87"/>
      <c r="B5244" s="87"/>
      <c r="C5244" s="87"/>
      <c r="D5244" s="87"/>
      <c r="E5244" s="87"/>
      <c r="F5244" s="87"/>
      <c r="G5244" s="87"/>
      <c r="J5244" s="87"/>
      <c r="K5244" s="215" t="s">
        <v>3217</v>
      </c>
      <c r="L5244" s="215">
        <f>+F5243*presup!$O$5</f>
        <v>1321245.30265</v>
      </c>
      <c r="M5244" s="87"/>
      <c r="N5244" s="87"/>
    </row>
    <row r="5245" spans="1:14" ht="12.75" customHeight="1" x14ac:dyDescent="0.2">
      <c r="A5245" s="398" t="s">
        <v>919</v>
      </c>
      <c r="B5245" s="271"/>
      <c r="C5245" s="271"/>
      <c r="D5245" s="271"/>
      <c r="E5245" s="271"/>
      <c r="F5245" s="271"/>
      <c r="G5245" s="271"/>
      <c r="H5245" s="271"/>
      <c r="I5245" s="271"/>
      <c r="J5245" s="271"/>
      <c r="K5245" s="271"/>
      <c r="L5245" s="271"/>
      <c r="M5245" s="271"/>
      <c r="N5245" s="273"/>
    </row>
    <row r="5246" spans="1:14" ht="12.75" customHeight="1" x14ac:dyDescent="0.2">
      <c r="A5246" s="396" t="s">
        <v>76</v>
      </c>
      <c r="B5246" s="271"/>
      <c r="C5246" s="271"/>
      <c r="D5246" s="271"/>
      <c r="E5246" s="271"/>
      <c r="F5246" s="271"/>
      <c r="G5246" s="273"/>
      <c r="H5246" s="88" t="s">
        <v>77</v>
      </c>
      <c r="I5246" s="399" t="s">
        <v>920</v>
      </c>
      <c r="J5246" s="273"/>
      <c r="K5246" s="399" t="s">
        <v>453</v>
      </c>
      <c r="L5246" s="273"/>
      <c r="M5246" s="399" t="s">
        <v>921</v>
      </c>
      <c r="N5246" s="273"/>
    </row>
    <row r="5247" spans="1:14" ht="12.75" customHeight="1" x14ac:dyDescent="0.2">
      <c r="A5247" s="403" t="s">
        <v>1223</v>
      </c>
      <c r="B5247" s="271"/>
      <c r="C5247" s="271"/>
      <c r="D5247" s="271"/>
      <c r="E5247" s="271"/>
      <c r="F5247" s="271"/>
      <c r="G5247" s="273"/>
      <c r="H5247" s="29" t="str">
        <f t="shared" ref="H5247:H5252" si="715">IF(A5247="","",VLOOKUP(A5247,AA_Materiales,7,FALSE))</f>
        <v>Unidad</v>
      </c>
      <c r="I5247" s="394">
        <f t="shared" ref="I5247:I5252" si="716">IF(A5247="","",VLOOKUP(A5247,AA_Materiales,8,FALSE))</f>
        <v>924175</v>
      </c>
      <c r="J5247" s="273"/>
      <c r="K5247" s="395">
        <v>1</v>
      </c>
      <c r="L5247" s="273"/>
      <c r="M5247" s="394">
        <f t="shared" ref="M5247:M5252" si="717">IF(A5247="","",I5247*K5247)</f>
        <v>924175</v>
      </c>
      <c r="N5247" s="273"/>
    </row>
    <row r="5248" spans="1:14" ht="12.75" customHeight="1" x14ac:dyDescent="0.2">
      <c r="A5248" s="403"/>
      <c r="B5248" s="271"/>
      <c r="C5248" s="271"/>
      <c r="D5248" s="271"/>
      <c r="E5248" s="271"/>
      <c r="F5248" s="271"/>
      <c r="G5248" s="273"/>
      <c r="H5248" s="29" t="str">
        <f t="shared" si="715"/>
        <v/>
      </c>
      <c r="I5248" s="394" t="str">
        <f t="shared" si="716"/>
        <v/>
      </c>
      <c r="J5248" s="273"/>
      <c r="K5248" s="395"/>
      <c r="L5248" s="273"/>
      <c r="M5248" s="394" t="str">
        <f t="shared" si="717"/>
        <v/>
      </c>
      <c r="N5248" s="273"/>
    </row>
    <row r="5249" spans="1:14" ht="12.75" customHeight="1" x14ac:dyDescent="0.2">
      <c r="A5249" s="403"/>
      <c r="B5249" s="271"/>
      <c r="C5249" s="271"/>
      <c r="D5249" s="271"/>
      <c r="E5249" s="271"/>
      <c r="F5249" s="271"/>
      <c r="G5249" s="273"/>
      <c r="H5249" s="29" t="str">
        <f t="shared" si="715"/>
        <v/>
      </c>
      <c r="I5249" s="394" t="str">
        <f t="shared" si="716"/>
        <v/>
      </c>
      <c r="J5249" s="273"/>
      <c r="K5249" s="395"/>
      <c r="L5249" s="273"/>
      <c r="M5249" s="394" t="str">
        <f t="shared" si="717"/>
        <v/>
      </c>
      <c r="N5249" s="273"/>
    </row>
    <row r="5250" spans="1:14" ht="12.75" customHeight="1" x14ac:dyDescent="0.2">
      <c r="A5250" s="403"/>
      <c r="B5250" s="271"/>
      <c r="C5250" s="271"/>
      <c r="D5250" s="271"/>
      <c r="E5250" s="271"/>
      <c r="F5250" s="271"/>
      <c r="G5250" s="273"/>
      <c r="H5250" s="29" t="str">
        <f t="shared" si="715"/>
        <v/>
      </c>
      <c r="I5250" s="394" t="str">
        <f t="shared" si="716"/>
        <v/>
      </c>
      <c r="J5250" s="273"/>
      <c r="K5250" s="395"/>
      <c r="L5250" s="273"/>
      <c r="M5250" s="394" t="str">
        <f t="shared" si="717"/>
        <v/>
      </c>
      <c r="N5250" s="273"/>
    </row>
    <row r="5251" spans="1:14" ht="12.75" customHeight="1" x14ac:dyDescent="0.2">
      <c r="A5251" s="403"/>
      <c r="B5251" s="271"/>
      <c r="C5251" s="271"/>
      <c r="D5251" s="271"/>
      <c r="E5251" s="271"/>
      <c r="F5251" s="271"/>
      <c r="G5251" s="273"/>
      <c r="H5251" s="29" t="str">
        <f t="shared" si="715"/>
        <v/>
      </c>
      <c r="I5251" s="394" t="str">
        <f t="shared" si="716"/>
        <v/>
      </c>
      <c r="J5251" s="273"/>
      <c r="K5251" s="395"/>
      <c r="L5251" s="273"/>
      <c r="M5251" s="394" t="str">
        <f t="shared" si="717"/>
        <v/>
      </c>
      <c r="N5251" s="273"/>
    </row>
    <row r="5252" spans="1:14" ht="12.75" customHeight="1" x14ac:dyDescent="0.2">
      <c r="A5252" s="403"/>
      <c r="B5252" s="271"/>
      <c r="C5252" s="271"/>
      <c r="D5252" s="271"/>
      <c r="E5252" s="271"/>
      <c r="F5252" s="271"/>
      <c r="G5252" s="273"/>
      <c r="H5252" s="29" t="str">
        <f t="shared" si="715"/>
        <v/>
      </c>
      <c r="I5252" s="394" t="str">
        <f t="shared" si="716"/>
        <v/>
      </c>
      <c r="J5252" s="273"/>
      <c r="K5252" s="395"/>
      <c r="L5252" s="273"/>
      <c r="M5252" s="394" t="str">
        <f t="shared" si="717"/>
        <v/>
      </c>
      <c r="N5252" s="273"/>
    </row>
    <row r="5253" spans="1:14" ht="12.75" customHeight="1" x14ac:dyDescent="0.25">
      <c r="A5253" s="4"/>
      <c r="B5253" s="4"/>
      <c r="C5253" s="4"/>
      <c r="D5253" s="4"/>
      <c r="E5253" s="4"/>
      <c r="F5253" s="4"/>
      <c r="G5253" s="4"/>
      <c r="H5253" s="4"/>
      <c r="I5253" s="4"/>
      <c r="J5253" s="4"/>
      <c r="K5253" s="396" t="s">
        <v>444</v>
      </c>
      <c r="L5253" s="273"/>
      <c r="M5253" s="394">
        <f>SUM(M5247:N5252)</f>
        <v>924175</v>
      </c>
      <c r="N5253" s="273"/>
    </row>
    <row r="5254" spans="1:14" ht="12.75" customHeight="1" x14ac:dyDescent="0.25">
      <c r="A5254" s="4"/>
      <c r="B5254" s="4"/>
      <c r="C5254" s="4"/>
      <c r="D5254" s="4"/>
      <c r="E5254" s="4"/>
      <c r="F5254" s="4"/>
      <c r="G5254" s="4"/>
      <c r="H5254" s="4"/>
      <c r="I5254" s="4"/>
      <c r="J5254" s="4"/>
      <c r="K5254" s="4"/>
      <c r="L5254" s="4"/>
      <c r="M5254" s="4"/>
      <c r="N5254" s="4"/>
    </row>
    <row r="5255" spans="1:14" ht="12.75" customHeight="1" x14ac:dyDescent="0.2">
      <c r="A5255" s="398" t="s">
        <v>926</v>
      </c>
      <c r="B5255" s="271"/>
      <c r="C5255" s="271"/>
      <c r="D5255" s="271"/>
      <c r="E5255" s="271"/>
      <c r="F5255" s="271"/>
      <c r="G5255" s="271"/>
      <c r="H5255" s="271"/>
      <c r="I5255" s="271"/>
      <c r="J5255" s="271"/>
      <c r="K5255" s="271"/>
      <c r="L5255" s="271"/>
      <c r="M5255" s="271"/>
      <c r="N5255" s="273"/>
    </row>
    <row r="5256" spans="1:14" ht="12.75" customHeight="1" x14ac:dyDescent="0.2">
      <c r="A5256" s="396" t="s">
        <v>76</v>
      </c>
      <c r="B5256" s="271"/>
      <c r="C5256" s="271"/>
      <c r="D5256" s="271"/>
      <c r="E5256" s="271"/>
      <c r="F5256" s="271"/>
      <c r="G5256" s="273"/>
      <c r="H5256" s="88" t="s">
        <v>77</v>
      </c>
      <c r="I5256" s="399" t="s">
        <v>920</v>
      </c>
      <c r="J5256" s="273"/>
      <c r="K5256" s="399" t="s">
        <v>453</v>
      </c>
      <c r="L5256" s="273"/>
      <c r="M5256" s="399" t="s">
        <v>921</v>
      </c>
      <c r="N5256" s="273"/>
    </row>
    <row r="5257" spans="1:14" ht="12.75" customHeight="1" x14ac:dyDescent="0.2">
      <c r="A5257" s="400" t="s">
        <v>927</v>
      </c>
      <c r="B5257" s="271"/>
      <c r="C5257" s="271"/>
      <c r="D5257" s="271"/>
      <c r="E5257" s="271"/>
      <c r="F5257" s="271"/>
      <c r="G5257" s="273"/>
      <c r="H5257" s="29" t="str">
        <f>IF(A5257="","",VLOOKUP(A5257,AA_Equipos,7,FALSE))</f>
        <v>% M.O.</v>
      </c>
      <c r="I5257" s="394">
        <f>+M5280</f>
        <v>87778.61</v>
      </c>
      <c r="J5257" s="273"/>
      <c r="K5257" s="404">
        <v>0.05</v>
      </c>
      <c r="L5257" s="273"/>
      <c r="M5257" s="394">
        <f t="shared" ref="M5257:M5261" si="718">IF(A5257="","",I5257*K5257)</f>
        <v>4388.9305000000004</v>
      </c>
      <c r="N5257" s="273"/>
    </row>
    <row r="5258" spans="1:14" ht="12.75" customHeight="1" x14ac:dyDescent="0.2">
      <c r="A5258" s="403"/>
      <c r="B5258" s="271"/>
      <c r="C5258" s="271"/>
      <c r="D5258" s="271"/>
      <c r="E5258" s="271"/>
      <c r="F5258" s="271"/>
      <c r="G5258" s="273"/>
      <c r="H5258" s="29" t="str">
        <f>IF(A5258="","",VLOOKUP(A5258,AA_Equipos,7,FALSE))</f>
        <v/>
      </c>
      <c r="I5258" s="394" t="str">
        <f>IF(A5258="","",VLOOKUP(A5258,AA_Equipos,8,FALSE))</f>
        <v/>
      </c>
      <c r="J5258" s="273"/>
      <c r="K5258" s="402"/>
      <c r="L5258" s="273"/>
      <c r="M5258" s="394" t="str">
        <f t="shared" si="718"/>
        <v/>
      </c>
      <c r="N5258" s="273"/>
    </row>
    <row r="5259" spans="1:14" ht="12.75" customHeight="1" x14ac:dyDescent="0.2">
      <c r="A5259" s="400"/>
      <c r="B5259" s="271"/>
      <c r="C5259" s="271"/>
      <c r="D5259" s="271"/>
      <c r="E5259" s="271"/>
      <c r="F5259" s="271"/>
      <c r="G5259" s="273"/>
      <c r="H5259" s="29" t="str">
        <f>IF(A5259="","",VLOOKUP(A5259,AA_Equipos,7,FALSE))</f>
        <v/>
      </c>
      <c r="I5259" s="394" t="str">
        <f>IF(A5259="","",VLOOKUP(A5259,AA_Equipos,8,FALSE))</f>
        <v/>
      </c>
      <c r="J5259" s="273"/>
      <c r="K5259" s="401"/>
      <c r="L5259" s="273"/>
      <c r="M5259" s="394" t="str">
        <f t="shared" si="718"/>
        <v/>
      </c>
      <c r="N5259" s="273"/>
    </row>
    <row r="5260" spans="1:14" ht="12.75" customHeight="1" x14ac:dyDescent="0.2">
      <c r="A5260" s="400"/>
      <c r="B5260" s="271"/>
      <c r="C5260" s="271"/>
      <c r="D5260" s="271"/>
      <c r="E5260" s="271"/>
      <c r="F5260" s="271"/>
      <c r="G5260" s="273"/>
      <c r="H5260" s="29" t="str">
        <f>IF(A5260="","",VLOOKUP(A5260,AA_Equipos,7,FALSE))</f>
        <v/>
      </c>
      <c r="I5260" s="394" t="str">
        <f>IF(A5260="","",VLOOKUP(A5260,AA_Equipos,8,FALSE))</f>
        <v/>
      </c>
      <c r="J5260" s="273"/>
      <c r="K5260" s="395"/>
      <c r="L5260" s="273"/>
      <c r="M5260" s="394" t="str">
        <f t="shared" si="718"/>
        <v/>
      </c>
      <c r="N5260" s="273"/>
    </row>
    <row r="5261" spans="1:14" ht="12.75" customHeight="1" x14ac:dyDescent="0.2">
      <c r="A5261" s="400"/>
      <c r="B5261" s="271"/>
      <c r="C5261" s="271"/>
      <c r="D5261" s="271"/>
      <c r="E5261" s="271"/>
      <c r="F5261" s="271"/>
      <c r="G5261" s="273"/>
      <c r="H5261" s="29" t="str">
        <f>IF(A5261="","",VLOOKUP(A5261,AA_Equipos,7,FALSE))</f>
        <v/>
      </c>
      <c r="I5261" s="394" t="str">
        <f>IF(A5261="","",VLOOKUP(A5261,AA_Equipos,8,FALSE))</f>
        <v/>
      </c>
      <c r="J5261" s="273"/>
      <c r="K5261" s="395"/>
      <c r="L5261" s="273"/>
      <c r="M5261" s="394" t="str">
        <f t="shared" si="718"/>
        <v/>
      </c>
      <c r="N5261" s="273"/>
    </row>
    <row r="5262" spans="1:14" ht="12.75" customHeight="1" x14ac:dyDescent="0.25">
      <c r="A5262" s="4"/>
      <c r="B5262" s="4"/>
      <c r="C5262" s="4"/>
      <c r="D5262" s="4"/>
      <c r="E5262" s="4"/>
      <c r="F5262" s="4"/>
      <c r="G5262" s="4"/>
      <c r="H5262" s="4"/>
      <c r="I5262" s="4"/>
      <c r="J5262" s="4"/>
      <c r="K5262" s="396" t="s">
        <v>444</v>
      </c>
      <c r="L5262" s="273"/>
      <c r="M5262" s="394">
        <f>SUM(M5257:N5261)</f>
        <v>4388.9305000000004</v>
      </c>
      <c r="N5262" s="273"/>
    </row>
    <row r="5263" spans="1:14" ht="12.75" customHeight="1" x14ac:dyDescent="0.25">
      <c r="A5263" s="4"/>
      <c r="B5263" s="4"/>
      <c r="C5263" s="4"/>
      <c r="D5263" s="4"/>
      <c r="E5263" s="4"/>
      <c r="F5263" s="4"/>
      <c r="G5263" s="4"/>
      <c r="H5263" s="4"/>
      <c r="I5263" s="4"/>
      <c r="J5263" s="4"/>
      <c r="K5263" s="4"/>
      <c r="L5263" s="4"/>
      <c r="M5263" s="4"/>
      <c r="N5263" s="4"/>
    </row>
    <row r="5264" spans="1:14" ht="12.75" customHeight="1" x14ac:dyDescent="0.2">
      <c r="A5264" s="398" t="s">
        <v>929</v>
      </c>
      <c r="B5264" s="271"/>
      <c r="C5264" s="271"/>
      <c r="D5264" s="271"/>
      <c r="E5264" s="271"/>
      <c r="F5264" s="271"/>
      <c r="G5264" s="271"/>
      <c r="H5264" s="271"/>
      <c r="I5264" s="271"/>
      <c r="J5264" s="271"/>
      <c r="K5264" s="271"/>
      <c r="L5264" s="271"/>
      <c r="M5264" s="271"/>
      <c r="N5264" s="273"/>
    </row>
    <row r="5265" spans="1:14" ht="12.75" customHeight="1" x14ac:dyDescent="0.2">
      <c r="A5265" s="396" t="s">
        <v>76</v>
      </c>
      <c r="B5265" s="271"/>
      <c r="C5265" s="271"/>
      <c r="D5265" s="271"/>
      <c r="E5265" s="271"/>
      <c r="F5265" s="271"/>
      <c r="G5265" s="273"/>
      <c r="H5265" s="88" t="s">
        <v>77</v>
      </c>
      <c r="I5265" s="399" t="s">
        <v>920</v>
      </c>
      <c r="J5265" s="273"/>
      <c r="K5265" s="399" t="s">
        <v>453</v>
      </c>
      <c r="L5265" s="273"/>
      <c r="M5265" s="399" t="s">
        <v>921</v>
      </c>
      <c r="N5265" s="273"/>
    </row>
    <row r="5266" spans="1:14" ht="12.75" customHeight="1" x14ac:dyDescent="0.2">
      <c r="A5266" s="400"/>
      <c r="B5266" s="271"/>
      <c r="C5266" s="271"/>
      <c r="D5266" s="271"/>
      <c r="E5266" s="271"/>
      <c r="F5266" s="271"/>
      <c r="G5266" s="273"/>
      <c r="H5266" s="29"/>
      <c r="I5266" s="394"/>
      <c r="J5266" s="273"/>
      <c r="K5266" s="404"/>
      <c r="L5266" s="273"/>
      <c r="M5266" s="394" t="str">
        <f t="shared" ref="M5266:M5270" si="719">IF(A5266="","",I5266*K5266)</f>
        <v/>
      </c>
      <c r="N5266" s="273"/>
    </row>
    <row r="5267" spans="1:14" ht="12.75" customHeight="1" x14ac:dyDescent="0.2">
      <c r="A5267" s="403"/>
      <c r="B5267" s="271"/>
      <c r="C5267" s="271"/>
      <c r="D5267" s="271"/>
      <c r="E5267" s="271"/>
      <c r="F5267" s="271"/>
      <c r="G5267" s="273"/>
      <c r="H5267" s="29"/>
      <c r="I5267" s="394"/>
      <c r="J5267" s="273"/>
      <c r="K5267" s="404"/>
      <c r="L5267" s="273"/>
      <c r="M5267" s="394" t="str">
        <f t="shared" si="719"/>
        <v/>
      </c>
      <c r="N5267" s="273"/>
    </row>
    <row r="5268" spans="1:14" ht="12.75" customHeight="1" x14ac:dyDescent="0.2">
      <c r="A5268" s="400"/>
      <c r="B5268" s="271"/>
      <c r="C5268" s="271"/>
      <c r="D5268" s="271"/>
      <c r="E5268" s="271"/>
      <c r="F5268" s="271"/>
      <c r="G5268" s="273"/>
      <c r="H5268" s="29"/>
      <c r="I5268" s="394"/>
      <c r="J5268" s="273"/>
      <c r="K5268" s="395"/>
      <c r="L5268" s="273"/>
      <c r="M5268" s="394" t="str">
        <f t="shared" si="719"/>
        <v/>
      </c>
      <c r="N5268" s="273"/>
    </row>
    <row r="5269" spans="1:14" ht="12.75" customHeight="1" x14ac:dyDescent="0.2">
      <c r="A5269" s="400"/>
      <c r="B5269" s="271"/>
      <c r="C5269" s="271"/>
      <c r="D5269" s="271"/>
      <c r="E5269" s="271"/>
      <c r="F5269" s="271"/>
      <c r="G5269" s="273"/>
      <c r="H5269" s="29"/>
      <c r="I5269" s="394"/>
      <c r="J5269" s="273"/>
      <c r="K5269" s="395"/>
      <c r="L5269" s="273"/>
      <c r="M5269" s="394" t="str">
        <f t="shared" si="719"/>
        <v/>
      </c>
      <c r="N5269" s="273"/>
    </row>
    <row r="5270" spans="1:14" ht="12.75" customHeight="1" x14ac:dyDescent="0.2">
      <c r="A5270" s="400"/>
      <c r="B5270" s="271"/>
      <c r="C5270" s="271"/>
      <c r="D5270" s="271"/>
      <c r="E5270" s="271"/>
      <c r="F5270" s="271"/>
      <c r="G5270" s="273"/>
      <c r="H5270" s="29"/>
      <c r="I5270" s="394"/>
      <c r="J5270" s="273"/>
      <c r="K5270" s="395"/>
      <c r="L5270" s="273"/>
      <c r="M5270" s="394" t="str">
        <f t="shared" si="719"/>
        <v/>
      </c>
      <c r="N5270" s="273"/>
    </row>
    <row r="5271" spans="1:14" ht="12.75" customHeight="1" x14ac:dyDescent="0.25">
      <c r="A5271" s="4"/>
      <c r="B5271" s="4"/>
      <c r="C5271" s="4"/>
      <c r="D5271" s="4"/>
      <c r="E5271" s="4"/>
      <c r="F5271" s="4"/>
      <c r="G5271" s="4"/>
      <c r="H5271" s="4"/>
      <c r="I5271" s="4"/>
      <c r="J5271" s="4"/>
      <c r="K5271" s="396" t="s">
        <v>444</v>
      </c>
      <c r="L5271" s="273"/>
      <c r="M5271" s="394">
        <f>SUM(M5266:N5270)</f>
        <v>0</v>
      </c>
      <c r="N5271" s="273"/>
    </row>
    <row r="5272" spans="1:14" ht="12.75" customHeight="1" x14ac:dyDescent="0.25">
      <c r="A5272" s="4"/>
      <c r="B5272" s="4"/>
      <c r="C5272" s="4"/>
      <c r="D5272" s="4"/>
      <c r="E5272" s="4"/>
      <c r="F5272" s="4"/>
      <c r="G5272" s="4"/>
      <c r="H5272" s="4"/>
      <c r="I5272" s="4"/>
      <c r="J5272" s="4"/>
      <c r="K5272" s="4"/>
      <c r="L5272" s="4"/>
      <c r="M5272" s="4"/>
      <c r="N5272" s="4"/>
    </row>
    <row r="5273" spans="1:14" ht="12.75" customHeight="1" x14ac:dyDescent="0.2">
      <c r="A5273" s="398" t="s">
        <v>931</v>
      </c>
      <c r="B5273" s="271"/>
      <c r="C5273" s="271"/>
      <c r="D5273" s="271"/>
      <c r="E5273" s="271"/>
      <c r="F5273" s="271"/>
      <c r="G5273" s="271"/>
      <c r="H5273" s="271"/>
      <c r="I5273" s="271"/>
      <c r="J5273" s="271"/>
      <c r="K5273" s="271"/>
      <c r="L5273" s="271"/>
      <c r="M5273" s="271"/>
      <c r="N5273" s="273"/>
    </row>
    <row r="5274" spans="1:14" ht="12.75" customHeight="1" x14ac:dyDescent="0.2">
      <c r="A5274" s="396" t="s">
        <v>76</v>
      </c>
      <c r="B5274" s="271"/>
      <c r="C5274" s="271"/>
      <c r="D5274" s="271"/>
      <c r="E5274" s="271"/>
      <c r="F5274" s="271"/>
      <c r="G5274" s="273"/>
      <c r="H5274" s="88" t="s">
        <v>77</v>
      </c>
      <c r="I5274" s="399" t="s">
        <v>920</v>
      </c>
      <c r="J5274" s="273"/>
      <c r="K5274" s="90" t="s">
        <v>514</v>
      </c>
      <c r="L5274" s="91" t="s">
        <v>932</v>
      </c>
      <c r="M5274" s="399" t="s">
        <v>921</v>
      </c>
      <c r="N5274" s="273"/>
    </row>
    <row r="5275" spans="1:14" ht="12.75" customHeight="1" x14ac:dyDescent="0.25">
      <c r="A5275" s="393" t="s">
        <v>986</v>
      </c>
      <c r="B5275" s="271"/>
      <c r="C5275" s="271"/>
      <c r="D5275" s="271"/>
      <c r="E5275" s="271"/>
      <c r="F5275" s="271"/>
      <c r="G5275" s="273"/>
      <c r="H5275" s="29" t="str">
        <f>IF(A5275="","",VLOOKUP(A5275,AA_Cuadrillas,4,FALSE))</f>
        <v>Cuadrilla</v>
      </c>
      <c r="I5275" s="394">
        <f>IF(A5275="","",VLOOKUP(A5275,AA_Cuadrillas,5,FALSE))</f>
        <v>186763</v>
      </c>
      <c r="J5275" s="273"/>
      <c r="K5275" s="9">
        <f>IF(A5275="","",F.P!$I$2)</f>
        <v>1.88</v>
      </c>
      <c r="L5275" s="97">
        <v>0.25</v>
      </c>
      <c r="M5275" s="394">
        <f t="shared" ref="M5275:M5279" si="720">IF(A5275="","",I5275*K5275*L5275)</f>
        <v>87778.61</v>
      </c>
      <c r="N5275" s="273"/>
    </row>
    <row r="5276" spans="1:14" ht="12.75" customHeight="1" x14ac:dyDescent="0.25">
      <c r="A5276" s="393"/>
      <c r="B5276" s="271"/>
      <c r="C5276" s="271"/>
      <c r="D5276" s="271"/>
      <c r="E5276" s="271"/>
      <c r="F5276" s="271"/>
      <c r="G5276" s="273"/>
      <c r="H5276" s="29" t="str">
        <f>IF(A5276="","",VLOOKUP(A5276,AA_Cuadrillas,4,FALSE))</f>
        <v/>
      </c>
      <c r="I5276" s="394" t="str">
        <f>IF(A5276="","",VLOOKUP(A5276,AA_Cuadrillas,5,FALSE))</f>
        <v/>
      </c>
      <c r="J5276" s="273"/>
      <c r="K5276" s="9" t="str">
        <f>IF(A5276="","",F.P!$I$2)</f>
        <v/>
      </c>
      <c r="L5276" s="9"/>
      <c r="M5276" s="394" t="str">
        <f t="shared" si="720"/>
        <v/>
      </c>
      <c r="N5276" s="273"/>
    </row>
    <row r="5277" spans="1:14" ht="12.75" customHeight="1" x14ac:dyDescent="0.25">
      <c r="A5277" s="393"/>
      <c r="B5277" s="271"/>
      <c r="C5277" s="271"/>
      <c r="D5277" s="271"/>
      <c r="E5277" s="271"/>
      <c r="F5277" s="271"/>
      <c r="G5277" s="273"/>
      <c r="H5277" s="29" t="str">
        <f>IF(A5277="","",VLOOKUP(A5277,AA_Cuadrillas,4,FALSE))</f>
        <v/>
      </c>
      <c r="I5277" s="394" t="str">
        <f>IF(A5277="","",VLOOKUP(A5277,AA_Cuadrillas,5,FALSE))</f>
        <v/>
      </c>
      <c r="J5277" s="273"/>
      <c r="K5277" s="9" t="str">
        <f>IF(A5277="","",F.P!$I$2)</f>
        <v/>
      </c>
      <c r="L5277" s="37"/>
      <c r="M5277" s="394" t="str">
        <f t="shared" si="720"/>
        <v/>
      </c>
      <c r="N5277" s="273"/>
    </row>
    <row r="5278" spans="1:14" ht="12.75" customHeight="1" x14ac:dyDescent="0.25">
      <c r="A5278" s="393"/>
      <c r="B5278" s="271"/>
      <c r="C5278" s="271"/>
      <c r="D5278" s="271"/>
      <c r="E5278" s="271"/>
      <c r="F5278" s="271"/>
      <c r="G5278" s="273"/>
      <c r="H5278" s="29" t="str">
        <f>IF(A5278="","",VLOOKUP(A5278,AA_Cuadrillas,4,FALSE))</f>
        <v/>
      </c>
      <c r="I5278" s="394" t="str">
        <f>IF(A5278="","",VLOOKUP(A5278,AA_Cuadrillas,5,FALSE))</f>
        <v/>
      </c>
      <c r="J5278" s="273"/>
      <c r="K5278" s="9" t="str">
        <f>IF(A5278="","",F.P!$I$2)</f>
        <v/>
      </c>
      <c r="L5278" s="37"/>
      <c r="M5278" s="394" t="str">
        <f t="shared" si="720"/>
        <v/>
      </c>
      <c r="N5278" s="273"/>
    </row>
    <row r="5279" spans="1:14" ht="12.75" customHeight="1" x14ac:dyDescent="0.25">
      <c r="A5279" s="393"/>
      <c r="B5279" s="271"/>
      <c r="C5279" s="271"/>
      <c r="D5279" s="271"/>
      <c r="E5279" s="271"/>
      <c r="F5279" s="271"/>
      <c r="G5279" s="273"/>
      <c r="H5279" s="29" t="str">
        <f>IF(A5279="","",VLOOKUP(A5279,AA_Cuadrillas,4,FALSE))</f>
        <v/>
      </c>
      <c r="I5279" s="394" t="str">
        <f>IF(A5279="","",VLOOKUP(A5279,AA_Cuadrillas,5,FALSE))</f>
        <v/>
      </c>
      <c r="J5279" s="273"/>
      <c r="K5279" s="9" t="str">
        <f>IF(A5279="","",F.P!$I$2)</f>
        <v/>
      </c>
      <c r="L5279" s="37"/>
      <c r="M5279" s="394" t="str">
        <f t="shared" si="720"/>
        <v/>
      </c>
      <c r="N5279" s="273"/>
    </row>
    <row r="5280" spans="1:14" ht="12.75" customHeight="1" x14ac:dyDescent="0.25">
      <c r="A5280" s="4"/>
      <c r="B5280" s="4"/>
      <c r="C5280" s="4"/>
      <c r="D5280" s="4"/>
      <c r="E5280" s="4"/>
      <c r="F5280" s="4"/>
      <c r="G5280" s="4"/>
      <c r="H5280" s="4"/>
      <c r="I5280" s="4"/>
      <c r="J5280" s="4"/>
      <c r="K5280" s="396" t="s">
        <v>444</v>
      </c>
      <c r="L5280" s="273"/>
      <c r="M5280" s="394">
        <f>SUM(M5275:N5279)</f>
        <v>87778.61</v>
      </c>
      <c r="N5280" s="273"/>
    </row>
    <row r="5281" spans="1:15" ht="12.75" customHeight="1" x14ac:dyDescent="0.2"/>
    <row r="5282" spans="1:15" ht="12.75" customHeight="1" x14ac:dyDescent="0.2">
      <c r="A5282" s="407" t="s">
        <v>323</v>
      </c>
      <c r="B5282" s="275"/>
      <c r="C5282" s="275"/>
      <c r="D5282" s="275"/>
      <c r="E5282" s="275"/>
      <c r="F5282" s="275"/>
      <c r="G5282" s="275"/>
      <c r="H5282" s="275"/>
      <c r="I5282" s="275"/>
      <c r="J5282" s="275"/>
      <c r="K5282" s="275"/>
      <c r="L5282" s="275"/>
      <c r="M5282" s="275"/>
      <c r="N5282" s="276"/>
    </row>
    <row r="5283" spans="1:15" ht="12.75" customHeight="1" x14ac:dyDescent="0.2">
      <c r="A5283" s="277"/>
      <c r="B5283" s="278"/>
      <c r="C5283" s="278"/>
      <c r="D5283" s="278"/>
      <c r="E5283" s="278"/>
      <c r="F5283" s="278"/>
      <c r="G5283" s="278"/>
      <c r="H5283" s="278"/>
      <c r="I5283" s="278"/>
      <c r="J5283" s="278"/>
      <c r="K5283" s="278"/>
      <c r="L5283" s="278"/>
      <c r="M5283" s="278"/>
      <c r="N5283" s="279"/>
    </row>
    <row r="5284" spans="1:15" ht="12.75" customHeight="1" x14ac:dyDescent="0.2">
      <c r="A5284" s="75"/>
      <c r="B5284" s="75"/>
      <c r="C5284" s="75"/>
      <c r="D5284" s="75"/>
      <c r="E5284" s="75"/>
      <c r="F5284" s="75"/>
      <c r="G5284" s="75"/>
      <c r="H5284" s="75"/>
      <c r="I5284" s="75"/>
      <c r="J5284" s="75"/>
      <c r="K5284" s="75"/>
      <c r="L5284" s="75"/>
      <c r="M5284" s="75"/>
      <c r="N5284" s="75"/>
    </row>
    <row r="5285" spans="1:15" ht="12.75" customHeight="1" x14ac:dyDescent="0.3">
      <c r="A5285" s="79" t="s">
        <v>737</v>
      </c>
      <c r="B5285" s="80" t="str">
        <f>A5282</f>
        <v>SUMINISTRO E INSTALACIÓN DE UNIÓN DE DESMONTAJE Ø10" EN HIERRO DUCTIL (INCLUYE MATERIALES, HERRAMIENTAS Y MANO DE OBRA)</v>
      </c>
      <c r="C5285" s="81" t="s">
        <v>916</v>
      </c>
      <c r="D5285" s="82" t="s">
        <v>999</v>
      </c>
      <c r="E5285" s="83" t="s">
        <v>445</v>
      </c>
      <c r="F5285" s="240">
        <f>H5285+J5285+L5285+N5285</f>
        <v>2412167.5404999997</v>
      </c>
      <c r="G5285" s="83" t="s">
        <v>607</v>
      </c>
      <c r="H5285" s="86">
        <f>M5304</f>
        <v>4388.9305000000004</v>
      </c>
      <c r="I5285" s="83" t="s">
        <v>918</v>
      </c>
      <c r="J5285" s="86">
        <f>M5295</f>
        <v>2320000</v>
      </c>
      <c r="K5285" s="83" t="s">
        <v>609</v>
      </c>
      <c r="L5285" s="86">
        <f>M5313</f>
        <v>0</v>
      </c>
      <c r="M5285" s="83" t="s">
        <v>610</v>
      </c>
      <c r="N5285" s="86">
        <f>M5322</f>
        <v>87778.61</v>
      </c>
      <c r="O5285" t="s">
        <v>3239</v>
      </c>
    </row>
    <row r="5286" spans="1:15" ht="12.75" customHeight="1" x14ac:dyDescent="0.25">
      <c r="A5286" s="87"/>
      <c r="B5286" s="87"/>
      <c r="C5286" s="87"/>
      <c r="D5286" s="87"/>
      <c r="E5286" s="87"/>
      <c r="F5286" s="87"/>
      <c r="G5286" s="87"/>
      <c r="J5286" s="87"/>
      <c r="K5286" s="215" t="s">
        <v>3217</v>
      </c>
      <c r="L5286" s="215">
        <f>+F5285*presup!$O$5</f>
        <v>3135817.8026499995</v>
      </c>
      <c r="M5286" s="87"/>
      <c r="N5286" s="87"/>
    </row>
    <row r="5287" spans="1:15" ht="12.75" customHeight="1" x14ac:dyDescent="0.2">
      <c r="A5287" s="398" t="s">
        <v>919</v>
      </c>
      <c r="B5287" s="271"/>
      <c r="C5287" s="271"/>
      <c r="D5287" s="271"/>
      <c r="E5287" s="271"/>
      <c r="F5287" s="271"/>
      <c r="G5287" s="271"/>
      <c r="H5287" s="271"/>
      <c r="I5287" s="271"/>
      <c r="J5287" s="271"/>
      <c r="K5287" s="271"/>
      <c r="L5287" s="271"/>
      <c r="M5287" s="271"/>
      <c r="N5287" s="273"/>
    </row>
    <row r="5288" spans="1:15" ht="12.75" customHeight="1" x14ac:dyDescent="0.2">
      <c r="A5288" s="396" t="s">
        <v>76</v>
      </c>
      <c r="B5288" s="271"/>
      <c r="C5288" s="271"/>
      <c r="D5288" s="271"/>
      <c r="E5288" s="271"/>
      <c r="F5288" s="271"/>
      <c r="G5288" s="273"/>
      <c r="H5288" s="88" t="s">
        <v>77</v>
      </c>
      <c r="I5288" s="399" t="s">
        <v>920</v>
      </c>
      <c r="J5288" s="273"/>
      <c r="K5288" s="399" t="s">
        <v>453</v>
      </c>
      <c r="L5288" s="273"/>
      <c r="M5288" s="399" t="s">
        <v>921</v>
      </c>
      <c r="N5288" s="273"/>
    </row>
    <row r="5289" spans="1:15" ht="12.75" customHeight="1" x14ac:dyDescent="0.2">
      <c r="A5289" s="403" t="s">
        <v>1224</v>
      </c>
      <c r="B5289" s="271"/>
      <c r="C5289" s="271"/>
      <c r="D5289" s="271"/>
      <c r="E5289" s="271"/>
      <c r="F5289" s="271"/>
      <c r="G5289" s="273"/>
      <c r="H5289" s="29" t="str">
        <f t="shared" ref="H5289:H5294" si="721">IF(A5289="","",VLOOKUP(A5289,AA_Materiales,7,FALSE))</f>
        <v>Unidad</v>
      </c>
      <c r="I5289" s="394">
        <f t="shared" ref="I5289:I5294" si="722">IF(A5289="","",VLOOKUP(A5289,AA_Materiales,8,FALSE))</f>
        <v>2320000</v>
      </c>
      <c r="J5289" s="273"/>
      <c r="K5289" s="395">
        <v>1</v>
      </c>
      <c r="L5289" s="273"/>
      <c r="M5289" s="394">
        <f t="shared" ref="M5289:M5294" si="723">IF(A5289="","",I5289*K5289)</f>
        <v>2320000</v>
      </c>
      <c r="N5289" s="273"/>
    </row>
    <row r="5290" spans="1:15" ht="12.75" customHeight="1" x14ac:dyDescent="0.2">
      <c r="A5290" s="403"/>
      <c r="B5290" s="271"/>
      <c r="C5290" s="271"/>
      <c r="D5290" s="271"/>
      <c r="E5290" s="271"/>
      <c r="F5290" s="271"/>
      <c r="G5290" s="273"/>
      <c r="H5290" s="29" t="str">
        <f t="shared" si="721"/>
        <v/>
      </c>
      <c r="I5290" s="394" t="str">
        <f t="shared" si="722"/>
        <v/>
      </c>
      <c r="J5290" s="273"/>
      <c r="K5290" s="395"/>
      <c r="L5290" s="273"/>
      <c r="M5290" s="394" t="str">
        <f t="shared" si="723"/>
        <v/>
      </c>
      <c r="N5290" s="273"/>
    </row>
    <row r="5291" spans="1:15" ht="12.75" customHeight="1" x14ac:dyDescent="0.2">
      <c r="A5291" s="403"/>
      <c r="B5291" s="271"/>
      <c r="C5291" s="271"/>
      <c r="D5291" s="271"/>
      <c r="E5291" s="271"/>
      <c r="F5291" s="271"/>
      <c r="G5291" s="273"/>
      <c r="H5291" s="29" t="str">
        <f t="shared" si="721"/>
        <v/>
      </c>
      <c r="I5291" s="394" t="str">
        <f t="shared" si="722"/>
        <v/>
      </c>
      <c r="J5291" s="273"/>
      <c r="K5291" s="395"/>
      <c r="L5291" s="273"/>
      <c r="M5291" s="394" t="str">
        <f t="shared" si="723"/>
        <v/>
      </c>
      <c r="N5291" s="273"/>
    </row>
    <row r="5292" spans="1:15" ht="12.75" customHeight="1" x14ac:dyDescent="0.2">
      <c r="A5292" s="403"/>
      <c r="B5292" s="271"/>
      <c r="C5292" s="271"/>
      <c r="D5292" s="271"/>
      <c r="E5292" s="271"/>
      <c r="F5292" s="271"/>
      <c r="G5292" s="273"/>
      <c r="H5292" s="29" t="str">
        <f t="shared" si="721"/>
        <v/>
      </c>
      <c r="I5292" s="394" t="str">
        <f t="shared" si="722"/>
        <v/>
      </c>
      <c r="J5292" s="273"/>
      <c r="K5292" s="395"/>
      <c r="L5292" s="273"/>
      <c r="M5292" s="394" t="str">
        <f t="shared" si="723"/>
        <v/>
      </c>
      <c r="N5292" s="273"/>
    </row>
    <row r="5293" spans="1:15" ht="12.75" customHeight="1" x14ac:dyDescent="0.2">
      <c r="A5293" s="403"/>
      <c r="B5293" s="271"/>
      <c r="C5293" s="271"/>
      <c r="D5293" s="271"/>
      <c r="E5293" s="271"/>
      <c r="F5293" s="271"/>
      <c r="G5293" s="273"/>
      <c r="H5293" s="29" t="str">
        <f t="shared" si="721"/>
        <v/>
      </c>
      <c r="I5293" s="394" t="str">
        <f t="shared" si="722"/>
        <v/>
      </c>
      <c r="J5293" s="273"/>
      <c r="K5293" s="395"/>
      <c r="L5293" s="273"/>
      <c r="M5293" s="394" t="str">
        <f t="shared" si="723"/>
        <v/>
      </c>
      <c r="N5293" s="273"/>
    </row>
    <row r="5294" spans="1:15" ht="12.75" customHeight="1" x14ac:dyDescent="0.2">
      <c r="A5294" s="403"/>
      <c r="B5294" s="271"/>
      <c r="C5294" s="271"/>
      <c r="D5294" s="271"/>
      <c r="E5294" s="271"/>
      <c r="F5294" s="271"/>
      <c r="G5294" s="273"/>
      <c r="H5294" s="29" t="str">
        <f t="shared" si="721"/>
        <v/>
      </c>
      <c r="I5294" s="394" t="str">
        <f t="shared" si="722"/>
        <v/>
      </c>
      <c r="J5294" s="273"/>
      <c r="K5294" s="395"/>
      <c r="L5294" s="273"/>
      <c r="M5294" s="394" t="str">
        <f t="shared" si="723"/>
        <v/>
      </c>
      <c r="N5294" s="273"/>
    </row>
    <row r="5295" spans="1:15" ht="12.75" customHeight="1" x14ac:dyDescent="0.25">
      <c r="A5295" s="4"/>
      <c r="B5295" s="4"/>
      <c r="C5295" s="4"/>
      <c r="D5295" s="4"/>
      <c r="E5295" s="4"/>
      <c r="F5295" s="4"/>
      <c r="G5295" s="4"/>
      <c r="H5295" s="4"/>
      <c r="I5295" s="4"/>
      <c r="J5295" s="4"/>
      <c r="K5295" s="396" t="s">
        <v>444</v>
      </c>
      <c r="L5295" s="273"/>
      <c r="M5295" s="394">
        <f>SUM(M5289:N5294)</f>
        <v>2320000</v>
      </c>
      <c r="N5295" s="273"/>
    </row>
    <row r="5296" spans="1:15" ht="12.75" customHeight="1" x14ac:dyDescent="0.25">
      <c r="A5296" s="4"/>
      <c r="B5296" s="4"/>
      <c r="C5296" s="4"/>
      <c r="D5296" s="4"/>
      <c r="E5296" s="4"/>
      <c r="F5296" s="4"/>
      <c r="G5296" s="4"/>
      <c r="H5296" s="4"/>
      <c r="I5296" s="4"/>
      <c r="J5296" s="4"/>
      <c r="K5296" s="4"/>
      <c r="L5296" s="4"/>
      <c r="M5296" s="4"/>
      <c r="N5296" s="4"/>
    </row>
    <row r="5297" spans="1:14" ht="12.75" customHeight="1" x14ac:dyDescent="0.2">
      <c r="A5297" s="398" t="s">
        <v>926</v>
      </c>
      <c r="B5297" s="271"/>
      <c r="C5297" s="271"/>
      <c r="D5297" s="271"/>
      <c r="E5297" s="271"/>
      <c r="F5297" s="271"/>
      <c r="G5297" s="271"/>
      <c r="H5297" s="271"/>
      <c r="I5297" s="271"/>
      <c r="J5297" s="271"/>
      <c r="K5297" s="271"/>
      <c r="L5297" s="271"/>
      <c r="M5297" s="271"/>
      <c r="N5297" s="273"/>
    </row>
    <row r="5298" spans="1:14" ht="12.75" customHeight="1" x14ac:dyDescent="0.2">
      <c r="A5298" s="396" t="s">
        <v>76</v>
      </c>
      <c r="B5298" s="271"/>
      <c r="C5298" s="271"/>
      <c r="D5298" s="271"/>
      <c r="E5298" s="271"/>
      <c r="F5298" s="271"/>
      <c r="G5298" s="273"/>
      <c r="H5298" s="88" t="s">
        <v>77</v>
      </c>
      <c r="I5298" s="399" t="s">
        <v>920</v>
      </c>
      <c r="J5298" s="273"/>
      <c r="K5298" s="399" t="s">
        <v>453</v>
      </c>
      <c r="L5298" s="273"/>
      <c r="M5298" s="399" t="s">
        <v>921</v>
      </c>
      <c r="N5298" s="273"/>
    </row>
    <row r="5299" spans="1:14" ht="12.75" customHeight="1" x14ac:dyDescent="0.2">
      <c r="A5299" s="400" t="s">
        <v>927</v>
      </c>
      <c r="B5299" s="271"/>
      <c r="C5299" s="271"/>
      <c r="D5299" s="271"/>
      <c r="E5299" s="271"/>
      <c r="F5299" s="271"/>
      <c r="G5299" s="273"/>
      <c r="H5299" s="29" t="str">
        <f>IF(A5299="","",VLOOKUP(A5299,AA_Equipos,7,FALSE))</f>
        <v>% M.O.</v>
      </c>
      <c r="I5299" s="394">
        <f>+M5322</f>
        <v>87778.61</v>
      </c>
      <c r="J5299" s="273"/>
      <c r="K5299" s="404">
        <v>0.05</v>
      </c>
      <c r="L5299" s="273"/>
      <c r="M5299" s="394">
        <f t="shared" ref="M5299:M5303" si="724">IF(A5299="","",I5299*K5299)</f>
        <v>4388.9305000000004</v>
      </c>
      <c r="N5299" s="273"/>
    </row>
    <row r="5300" spans="1:14" ht="12.75" customHeight="1" x14ac:dyDescent="0.2">
      <c r="A5300" s="403"/>
      <c r="B5300" s="271"/>
      <c r="C5300" s="271"/>
      <c r="D5300" s="271"/>
      <c r="E5300" s="271"/>
      <c r="F5300" s="271"/>
      <c r="G5300" s="273"/>
      <c r="H5300" s="29" t="str">
        <f>IF(A5300="","",VLOOKUP(A5300,AA_Equipos,7,FALSE))</f>
        <v/>
      </c>
      <c r="I5300" s="394" t="str">
        <f>IF(A5300="","",VLOOKUP(A5300,AA_Equipos,8,FALSE))</f>
        <v/>
      </c>
      <c r="J5300" s="273"/>
      <c r="K5300" s="402"/>
      <c r="L5300" s="273"/>
      <c r="M5300" s="394" t="str">
        <f t="shared" si="724"/>
        <v/>
      </c>
      <c r="N5300" s="273"/>
    </row>
    <row r="5301" spans="1:14" ht="12.75" customHeight="1" x14ac:dyDescent="0.2">
      <c r="A5301" s="400"/>
      <c r="B5301" s="271"/>
      <c r="C5301" s="271"/>
      <c r="D5301" s="271"/>
      <c r="E5301" s="271"/>
      <c r="F5301" s="271"/>
      <c r="G5301" s="273"/>
      <c r="H5301" s="29" t="str">
        <f>IF(A5301="","",VLOOKUP(A5301,AA_Equipos,7,FALSE))</f>
        <v/>
      </c>
      <c r="I5301" s="394" t="str">
        <f>IF(A5301="","",VLOOKUP(A5301,AA_Equipos,8,FALSE))</f>
        <v/>
      </c>
      <c r="J5301" s="273"/>
      <c r="K5301" s="401"/>
      <c r="L5301" s="273"/>
      <c r="M5301" s="394" t="str">
        <f t="shared" si="724"/>
        <v/>
      </c>
      <c r="N5301" s="273"/>
    </row>
    <row r="5302" spans="1:14" ht="12.75" customHeight="1" x14ac:dyDescent="0.2">
      <c r="A5302" s="400"/>
      <c r="B5302" s="271"/>
      <c r="C5302" s="271"/>
      <c r="D5302" s="271"/>
      <c r="E5302" s="271"/>
      <c r="F5302" s="271"/>
      <c r="G5302" s="273"/>
      <c r="H5302" s="29" t="str">
        <f>IF(A5302="","",VLOOKUP(A5302,AA_Equipos,7,FALSE))</f>
        <v/>
      </c>
      <c r="I5302" s="394" t="str">
        <f>IF(A5302="","",VLOOKUP(A5302,AA_Equipos,8,FALSE))</f>
        <v/>
      </c>
      <c r="J5302" s="273"/>
      <c r="K5302" s="395"/>
      <c r="L5302" s="273"/>
      <c r="M5302" s="394" t="str">
        <f t="shared" si="724"/>
        <v/>
      </c>
      <c r="N5302" s="273"/>
    </row>
    <row r="5303" spans="1:14" ht="12.75" customHeight="1" x14ac:dyDescent="0.2">
      <c r="A5303" s="400"/>
      <c r="B5303" s="271"/>
      <c r="C5303" s="271"/>
      <c r="D5303" s="271"/>
      <c r="E5303" s="271"/>
      <c r="F5303" s="271"/>
      <c r="G5303" s="273"/>
      <c r="H5303" s="29" t="str">
        <f>IF(A5303="","",VLOOKUP(A5303,AA_Equipos,7,FALSE))</f>
        <v/>
      </c>
      <c r="I5303" s="394" t="str">
        <f>IF(A5303="","",VLOOKUP(A5303,AA_Equipos,8,FALSE))</f>
        <v/>
      </c>
      <c r="J5303" s="273"/>
      <c r="K5303" s="395"/>
      <c r="L5303" s="273"/>
      <c r="M5303" s="394" t="str">
        <f t="shared" si="724"/>
        <v/>
      </c>
      <c r="N5303" s="273"/>
    </row>
    <row r="5304" spans="1:14" ht="12.75" customHeight="1" x14ac:dyDescent="0.25">
      <c r="A5304" s="4"/>
      <c r="B5304" s="4"/>
      <c r="C5304" s="4"/>
      <c r="D5304" s="4"/>
      <c r="E5304" s="4"/>
      <c r="F5304" s="4"/>
      <c r="G5304" s="4"/>
      <c r="H5304" s="4"/>
      <c r="I5304" s="4"/>
      <c r="J5304" s="4"/>
      <c r="K5304" s="396" t="s">
        <v>444</v>
      </c>
      <c r="L5304" s="273"/>
      <c r="M5304" s="394">
        <f>SUM(M5299:N5303)</f>
        <v>4388.9305000000004</v>
      </c>
      <c r="N5304" s="273"/>
    </row>
    <row r="5305" spans="1:14" ht="12.75" customHeight="1" x14ac:dyDescent="0.25">
      <c r="A5305" s="4"/>
      <c r="B5305" s="4"/>
      <c r="C5305" s="4"/>
      <c r="D5305" s="4"/>
      <c r="E5305" s="4"/>
      <c r="F5305" s="4"/>
      <c r="G5305" s="4"/>
      <c r="H5305" s="4"/>
      <c r="I5305" s="4"/>
      <c r="J5305" s="4"/>
      <c r="K5305" s="4"/>
      <c r="L5305" s="4"/>
      <c r="M5305" s="4"/>
      <c r="N5305" s="4"/>
    </row>
    <row r="5306" spans="1:14" ht="12.75" customHeight="1" x14ac:dyDescent="0.2">
      <c r="A5306" s="398" t="s">
        <v>929</v>
      </c>
      <c r="B5306" s="271"/>
      <c r="C5306" s="271"/>
      <c r="D5306" s="271"/>
      <c r="E5306" s="271"/>
      <c r="F5306" s="271"/>
      <c r="G5306" s="271"/>
      <c r="H5306" s="271"/>
      <c r="I5306" s="271"/>
      <c r="J5306" s="271"/>
      <c r="K5306" s="271"/>
      <c r="L5306" s="271"/>
      <c r="M5306" s="271"/>
      <c r="N5306" s="273"/>
    </row>
    <row r="5307" spans="1:14" ht="12.75" customHeight="1" x14ac:dyDescent="0.2">
      <c r="A5307" s="396" t="s">
        <v>76</v>
      </c>
      <c r="B5307" s="271"/>
      <c r="C5307" s="271"/>
      <c r="D5307" s="271"/>
      <c r="E5307" s="271"/>
      <c r="F5307" s="271"/>
      <c r="G5307" s="273"/>
      <c r="H5307" s="88" t="s">
        <v>77</v>
      </c>
      <c r="I5307" s="399" t="s">
        <v>920</v>
      </c>
      <c r="J5307" s="273"/>
      <c r="K5307" s="399" t="s">
        <v>453</v>
      </c>
      <c r="L5307" s="273"/>
      <c r="M5307" s="399" t="s">
        <v>921</v>
      </c>
      <c r="N5307" s="273"/>
    </row>
    <row r="5308" spans="1:14" ht="12.75" customHeight="1" x14ac:dyDescent="0.2">
      <c r="A5308" s="400"/>
      <c r="B5308" s="271"/>
      <c r="C5308" s="271"/>
      <c r="D5308" s="271"/>
      <c r="E5308" s="271"/>
      <c r="F5308" s="271"/>
      <c r="G5308" s="273"/>
      <c r="H5308" s="29"/>
      <c r="I5308" s="394"/>
      <c r="J5308" s="273"/>
      <c r="K5308" s="404"/>
      <c r="L5308" s="273"/>
      <c r="M5308" s="394" t="str">
        <f t="shared" ref="M5308:M5312" si="725">IF(A5308="","",I5308*K5308)</f>
        <v/>
      </c>
      <c r="N5308" s="273"/>
    </row>
    <row r="5309" spans="1:14" ht="12.75" customHeight="1" x14ac:dyDescent="0.2">
      <c r="A5309" s="403"/>
      <c r="B5309" s="271"/>
      <c r="C5309" s="271"/>
      <c r="D5309" s="271"/>
      <c r="E5309" s="271"/>
      <c r="F5309" s="271"/>
      <c r="G5309" s="273"/>
      <c r="H5309" s="29"/>
      <c r="I5309" s="394"/>
      <c r="J5309" s="273"/>
      <c r="K5309" s="404"/>
      <c r="L5309" s="273"/>
      <c r="M5309" s="394" t="str">
        <f t="shared" si="725"/>
        <v/>
      </c>
      <c r="N5309" s="273"/>
    </row>
    <row r="5310" spans="1:14" ht="12.75" customHeight="1" x14ac:dyDescent="0.2">
      <c r="A5310" s="400"/>
      <c r="B5310" s="271"/>
      <c r="C5310" s="271"/>
      <c r="D5310" s="271"/>
      <c r="E5310" s="271"/>
      <c r="F5310" s="271"/>
      <c r="G5310" s="273"/>
      <c r="H5310" s="29"/>
      <c r="I5310" s="394"/>
      <c r="J5310" s="273"/>
      <c r="K5310" s="395"/>
      <c r="L5310" s="273"/>
      <c r="M5310" s="394" t="str">
        <f t="shared" si="725"/>
        <v/>
      </c>
      <c r="N5310" s="273"/>
    </row>
    <row r="5311" spans="1:14" ht="12.75" customHeight="1" x14ac:dyDescent="0.2">
      <c r="A5311" s="400"/>
      <c r="B5311" s="271"/>
      <c r="C5311" s="271"/>
      <c r="D5311" s="271"/>
      <c r="E5311" s="271"/>
      <c r="F5311" s="271"/>
      <c r="G5311" s="273"/>
      <c r="H5311" s="29"/>
      <c r="I5311" s="394"/>
      <c r="J5311" s="273"/>
      <c r="K5311" s="395"/>
      <c r="L5311" s="273"/>
      <c r="M5311" s="394" t="str">
        <f t="shared" si="725"/>
        <v/>
      </c>
      <c r="N5311" s="273"/>
    </row>
    <row r="5312" spans="1:14" ht="12.75" customHeight="1" x14ac:dyDescent="0.2">
      <c r="A5312" s="400"/>
      <c r="B5312" s="271"/>
      <c r="C5312" s="271"/>
      <c r="D5312" s="271"/>
      <c r="E5312" s="271"/>
      <c r="F5312" s="271"/>
      <c r="G5312" s="273"/>
      <c r="H5312" s="29"/>
      <c r="I5312" s="394"/>
      <c r="J5312" s="273"/>
      <c r="K5312" s="395"/>
      <c r="L5312" s="273"/>
      <c r="M5312" s="394" t="str">
        <f t="shared" si="725"/>
        <v/>
      </c>
      <c r="N5312" s="273"/>
    </row>
    <row r="5313" spans="1:14" ht="12.75" customHeight="1" x14ac:dyDescent="0.25">
      <c r="A5313" s="4"/>
      <c r="B5313" s="4"/>
      <c r="C5313" s="4"/>
      <c r="D5313" s="4"/>
      <c r="E5313" s="4"/>
      <c r="F5313" s="4"/>
      <c r="G5313" s="4"/>
      <c r="H5313" s="4"/>
      <c r="I5313" s="4"/>
      <c r="J5313" s="4"/>
      <c r="K5313" s="396" t="s">
        <v>444</v>
      </c>
      <c r="L5313" s="273"/>
      <c r="M5313" s="394">
        <f>SUM(M5308:N5312)</f>
        <v>0</v>
      </c>
      <c r="N5313" s="273"/>
    </row>
    <row r="5314" spans="1:14" ht="12.75" customHeight="1" x14ac:dyDescent="0.25">
      <c r="A5314" s="4"/>
      <c r="B5314" s="4"/>
      <c r="C5314" s="4"/>
      <c r="D5314" s="4"/>
      <c r="E5314" s="4"/>
      <c r="F5314" s="4"/>
      <c r="G5314" s="4"/>
      <c r="H5314" s="4"/>
      <c r="I5314" s="4"/>
      <c r="J5314" s="4"/>
      <c r="K5314" s="4"/>
      <c r="L5314" s="4"/>
      <c r="M5314" s="4"/>
      <c r="N5314" s="4"/>
    </row>
    <row r="5315" spans="1:14" ht="12.75" customHeight="1" x14ac:dyDescent="0.2">
      <c r="A5315" s="398" t="s">
        <v>931</v>
      </c>
      <c r="B5315" s="271"/>
      <c r="C5315" s="271"/>
      <c r="D5315" s="271"/>
      <c r="E5315" s="271"/>
      <c r="F5315" s="271"/>
      <c r="G5315" s="271"/>
      <c r="H5315" s="271"/>
      <c r="I5315" s="271"/>
      <c r="J5315" s="271"/>
      <c r="K5315" s="271"/>
      <c r="L5315" s="271"/>
      <c r="M5315" s="271"/>
      <c r="N5315" s="273"/>
    </row>
    <row r="5316" spans="1:14" ht="12.75" customHeight="1" x14ac:dyDescent="0.2">
      <c r="A5316" s="396" t="s">
        <v>76</v>
      </c>
      <c r="B5316" s="271"/>
      <c r="C5316" s="271"/>
      <c r="D5316" s="271"/>
      <c r="E5316" s="271"/>
      <c r="F5316" s="271"/>
      <c r="G5316" s="273"/>
      <c r="H5316" s="88" t="s">
        <v>77</v>
      </c>
      <c r="I5316" s="399" t="s">
        <v>920</v>
      </c>
      <c r="J5316" s="273"/>
      <c r="K5316" s="90" t="s">
        <v>514</v>
      </c>
      <c r="L5316" s="91" t="s">
        <v>932</v>
      </c>
      <c r="M5316" s="399" t="s">
        <v>921</v>
      </c>
      <c r="N5316" s="273"/>
    </row>
    <row r="5317" spans="1:14" ht="12.75" customHeight="1" x14ac:dyDescent="0.25">
      <c r="A5317" s="393" t="s">
        <v>986</v>
      </c>
      <c r="B5317" s="271"/>
      <c r="C5317" s="271"/>
      <c r="D5317" s="271"/>
      <c r="E5317" s="271"/>
      <c r="F5317" s="271"/>
      <c r="G5317" s="273"/>
      <c r="H5317" s="29" t="str">
        <f>IF(A5317="","",VLOOKUP(A5317,AA_Cuadrillas,4,FALSE))</f>
        <v>Cuadrilla</v>
      </c>
      <c r="I5317" s="394">
        <f>IF(A5317="","",VLOOKUP(A5317,AA_Cuadrillas,5,FALSE))</f>
        <v>186763</v>
      </c>
      <c r="J5317" s="273"/>
      <c r="K5317" s="9">
        <f>IF(A5317="","",F.P!$I$2)</f>
        <v>1.88</v>
      </c>
      <c r="L5317" s="97">
        <v>0.25</v>
      </c>
      <c r="M5317" s="394">
        <f t="shared" ref="M5317:M5321" si="726">IF(A5317="","",I5317*K5317*L5317)</f>
        <v>87778.61</v>
      </c>
      <c r="N5317" s="273"/>
    </row>
    <row r="5318" spans="1:14" ht="12.75" customHeight="1" x14ac:dyDescent="0.25">
      <c r="A5318" s="393"/>
      <c r="B5318" s="271"/>
      <c r="C5318" s="271"/>
      <c r="D5318" s="271"/>
      <c r="E5318" s="271"/>
      <c r="F5318" s="271"/>
      <c r="G5318" s="273"/>
      <c r="H5318" s="29" t="str">
        <f>IF(A5318="","",VLOOKUP(A5318,AA_Cuadrillas,4,FALSE))</f>
        <v/>
      </c>
      <c r="I5318" s="394" t="str">
        <f>IF(A5318="","",VLOOKUP(A5318,AA_Cuadrillas,5,FALSE))</f>
        <v/>
      </c>
      <c r="J5318" s="273"/>
      <c r="K5318" s="9" t="str">
        <f>IF(A5318="","",F.P!$I$2)</f>
        <v/>
      </c>
      <c r="L5318" s="9"/>
      <c r="M5318" s="394" t="str">
        <f t="shared" si="726"/>
        <v/>
      </c>
      <c r="N5318" s="273"/>
    </row>
    <row r="5319" spans="1:14" ht="12.75" customHeight="1" x14ac:dyDescent="0.25">
      <c r="A5319" s="393"/>
      <c r="B5319" s="271"/>
      <c r="C5319" s="271"/>
      <c r="D5319" s="271"/>
      <c r="E5319" s="271"/>
      <c r="F5319" s="271"/>
      <c r="G5319" s="273"/>
      <c r="H5319" s="29" t="str">
        <f>IF(A5319="","",VLOOKUP(A5319,AA_Cuadrillas,4,FALSE))</f>
        <v/>
      </c>
      <c r="I5319" s="394" t="str">
        <f>IF(A5319="","",VLOOKUP(A5319,AA_Cuadrillas,5,FALSE))</f>
        <v/>
      </c>
      <c r="J5319" s="273"/>
      <c r="K5319" s="9" t="str">
        <f>IF(A5319="","",F.P!$I$2)</f>
        <v/>
      </c>
      <c r="L5319" s="37"/>
      <c r="M5319" s="394" t="str">
        <f t="shared" si="726"/>
        <v/>
      </c>
      <c r="N5319" s="273"/>
    </row>
    <row r="5320" spans="1:14" ht="12.75" customHeight="1" x14ac:dyDescent="0.25">
      <c r="A5320" s="393"/>
      <c r="B5320" s="271"/>
      <c r="C5320" s="271"/>
      <c r="D5320" s="271"/>
      <c r="E5320" s="271"/>
      <c r="F5320" s="271"/>
      <c r="G5320" s="273"/>
      <c r="H5320" s="29" t="str">
        <f>IF(A5320="","",VLOOKUP(A5320,AA_Cuadrillas,4,FALSE))</f>
        <v/>
      </c>
      <c r="I5320" s="394" t="str">
        <f>IF(A5320="","",VLOOKUP(A5320,AA_Cuadrillas,5,FALSE))</f>
        <v/>
      </c>
      <c r="J5320" s="273"/>
      <c r="K5320" s="9" t="str">
        <f>IF(A5320="","",F.P!$I$2)</f>
        <v/>
      </c>
      <c r="L5320" s="37"/>
      <c r="M5320" s="394" t="str">
        <f t="shared" si="726"/>
        <v/>
      </c>
      <c r="N5320" s="273"/>
    </row>
    <row r="5321" spans="1:14" ht="12.75" customHeight="1" x14ac:dyDescent="0.25">
      <c r="A5321" s="393"/>
      <c r="B5321" s="271"/>
      <c r="C5321" s="271"/>
      <c r="D5321" s="271"/>
      <c r="E5321" s="271"/>
      <c r="F5321" s="271"/>
      <c r="G5321" s="273"/>
      <c r="H5321" s="29" t="str">
        <f>IF(A5321="","",VLOOKUP(A5321,AA_Cuadrillas,4,FALSE))</f>
        <v/>
      </c>
      <c r="I5321" s="394" t="str">
        <f>IF(A5321="","",VLOOKUP(A5321,AA_Cuadrillas,5,FALSE))</f>
        <v/>
      </c>
      <c r="J5321" s="273"/>
      <c r="K5321" s="9" t="str">
        <f>IF(A5321="","",F.P!$I$2)</f>
        <v/>
      </c>
      <c r="L5321" s="37"/>
      <c r="M5321" s="394" t="str">
        <f t="shared" si="726"/>
        <v/>
      </c>
      <c r="N5321" s="273"/>
    </row>
    <row r="5322" spans="1:14" ht="12.75" customHeight="1" x14ac:dyDescent="0.25">
      <c r="A5322" s="4"/>
      <c r="B5322" s="4"/>
      <c r="C5322" s="4"/>
      <c r="D5322" s="4"/>
      <c r="E5322" s="4"/>
      <c r="F5322" s="4"/>
      <c r="G5322" s="4"/>
      <c r="H5322" s="4"/>
      <c r="I5322" s="4"/>
      <c r="J5322" s="4"/>
      <c r="K5322" s="396" t="s">
        <v>444</v>
      </c>
      <c r="L5322" s="273"/>
      <c r="M5322" s="394">
        <f>SUM(M5317:N5321)</f>
        <v>87778.61</v>
      </c>
      <c r="N5322" s="273"/>
    </row>
    <row r="5323" spans="1:14" ht="12.75" customHeight="1" x14ac:dyDescent="0.2"/>
    <row r="5324" spans="1:14" ht="12.75" customHeight="1" x14ac:dyDescent="0.2">
      <c r="A5324" s="407" t="s">
        <v>1225</v>
      </c>
      <c r="B5324" s="275"/>
      <c r="C5324" s="275"/>
      <c r="D5324" s="275"/>
      <c r="E5324" s="275"/>
      <c r="F5324" s="275"/>
      <c r="G5324" s="275"/>
      <c r="H5324" s="275"/>
      <c r="I5324" s="275"/>
      <c r="J5324" s="275"/>
      <c r="K5324" s="275"/>
      <c r="L5324" s="275"/>
      <c r="M5324" s="275"/>
      <c r="N5324" s="276"/>
    </row>
    <row r="5325" spans="1:14" ht="12.75" customHeight="1" x14ac:dyDescent="0.2">
      <c r="A5325" s="277"/>
      <c r="B5325" s="278"/>
      <c r="C5325" s="278"/>
      <c r="D5325" s="278"/>
      <c r="E5325" s="278"/>
      <c r="F5325" s="278"/>
      <c r="G5325" s="278"/>
      <c r="H5325" s="278"/>
      <c r="I5325" s="278"/>
      <c r="J5325" s="278"/>
      <c r="K5325" s="278"/>
      <c r="L5325" s="278"/>
      <c r="M5325" s="278"/>
      <c r="N5325" s="279"/>
    </row>
    <row r="5326" spans="1:14" ht="12.75" customHeight="1" x14ac:dyDescent="0.2">
      <c r="A5326" s="75"/>
      <c r="B5326" s="75"/>
      <c r="C5326" s="75"/>
      <c r="D5326" s="75"/>
      <c r="E5326" s="75"/>
      <c r="F5326" s="75"/>
      <c r="G5326" s="75"/>
      <c r="H5326" s="75"/>
      <c r="I5326" s="75"/>
      <c r="J5326" s="75"/>
      <c r="K5326" s="75"/>
      <c r="L5326" s="75"/>
      <c r="M5326" s="75"/>
      <c r="N5326" s="75"/>
    </row>
    <row r="5327" spans="1:14" ht="12.75" customHeight="1" x14ac:dyDescent="0.3">
      <c r="A5327" s="79" t="s">
        <v>738</v>
      </c>
      <c r="B5327" s="80" t="str">
        <f>A5324</f>
        <v>SUMINISTRO E INSTALACION DE MACROMEDIDOR TIPO WOLTMAN Ø4"</v>
      </c>
      <c r="C5327" s="81" t="s">
        <v>916</v>
      </c>
      <c r="D5327" s="82" t="s">
        <v>999</v>
      </c>
      <c r="E5327" s="83" t="s">
        <v>445</v>
      </c>
      <c r="F5327" s="86">
        <f>H5327+J5327+L5327+N5327</f>
        <v>27271892.267816257</v>
      </c>
      <c r="G5327" s="83" t="s">
        <v>607</v>
      </c>
      <c r="H5327" s="86">
        <f>M5339</f>
        <v>22202680.007816259</v>
      </c>
      <c r="I5327" s="83" t="s">
        <v>918</v>
      </c>
      <c r="J5327" s="86">
        <f>M5348</f>
        <v>241391.06000000003</v>
      </c>
      <c r="K5327" s="83" t="s">
        <v>609</v>
      </c>
      <c r="L5327" s="86">
        <f>M5357</f>
        <v>0</v>
      </c>
      <c r="M5327" s="83" t="s">
        <v>610</v>
      </c>
      <c r="N5327" s="86">
        <f>M5366</f>
        <v>4827821.2</v>
      </c>
    </row>
    <row r="5328" spans="1:14" ht="12.75" customHeight="1" x14ac:dyDescent="0.25">
      <c r="A5328" s="87"/>
      <c r="B5328" s="87"/>
      <c r="C5328" s="87"/>
      <c r="D5328" s="87"/>
      <c r="E5328" s="87"/>
      <c r="F5328" s="87"/>
      <c r="G5328" s="87"/>
      <c r="J5328" s="87"/>
      <c r="K5328" s="215" t="s">
        <v>3217</v>
      </c>
      <c r="L5328" s="215">
        <f>+F5327*presup!$O$5</f>
        <v>35453459.948161133</v>
      </c>
      <c r="M5328" s="87"/>
      <c r="N5328" s="87"/>
    </row>
    <row r="5329" spans="1:14" ht="12.75" customHeight="1" x14ac:dyDescent="0.2">
      <c r="A5329" s="398" t="s">
        <v>919</v>
      </c>
      <c r="B5329" s="271"/>
      <c r="C5329" s="271"/>
      <c r="D5329" s="271"/>
      <c r="E5329" s="271"/>
      <c r="F5329" s="271"/>
      <c r="G5329" s="271"/>
      <c r="H5329" s="271"/>
      <c r="I5329" s="271"/>
      <c r="J5329" s="271"/>
      <c r="K5329" s="271"/>
      <c r="L5329" s="271"/>
      <c r="M5329" s="271"/>
      <c r="N5329" s="273"/>
    </row>
    <row r="5330" spans="1:14" ht="12.75" customHeight="1" x14ac:dyDescent="0.2">
      <c r="A5330" s="396" t="s">
        <v>76</v>
      </c>
      <c r="B5330" s="271"/>
      <c r="C5330" s="271"/>
      <c r="D5330" s="271"/>
      <c r="E5330" s="271"/>
      <c r="F5330" s="271"/>
      <c r="G5330" s="273"/>
      <c r="H5330" s="88" t="s">
        <v>77</v>
      </c>
      <c r="I5330" s="399" t="s">
        <v>920</v>
      </c>
      <c r="J5330" s="273"/>
      <c r="K5330" s="399" t="s">
        <v>453</v>
      </c>
      <c r="L5330" s="273"/>
      <c r="M5330" s="399" t="s">
        <v>921</v>
      </c>
      <c r="N5330" s="273"/>
    </row>
    <row r="5331" spans="1:14" ht="12.75" customHeight="1" x14ac:dyDescent="0.2">
      <c r="A5331" s="400" t="s">
        <v>1226</v>
      </c>
      <c r="B5331" s="271"/>
      <c r="C5331" s="271"/>
      <c r="D5331" s="271"/>
      <c r="E5331" s="271"/>
      <c r="F5331" s="271"/>
      <c r="G5331" s="273"/>
      <c r="H5331" s="29" t="str">
        <f t="shared" ref="H5331:H5338" si="727">IF(A5331="","",VLOOKUP(A5331,AA_Materiales,7,FALSE))</f>
        <v>Unidad</v>
      </c>
      <c r="I5331" s="394">
        <f t="shared" ref="I5331:I5338" si="728">IF(A5331="","",VLOOKUP(A5331,AA_Materiales,8,FALSE))</f>
        <v>2975000</v>
      </c>
      <c r="J5331" s="273"/>
      <c r="K5331" s="395">
        <v>1</v>
      </c>
      <c r="L5331" s="273"/>
      <c r="M5331" s="394">
        <f t="shared" ref="M5331:M5338" si="729">IF(A5331="","",I5331*K5331)</f>
        <v>2975000</v>
      </c>
      <c r="N5331" s="273"/>
    </row>
    <row r="5332" spans="1:14" ht="12.75" customHeight="1" x14ac:dyDescent="0.2">
      <c r="A5332" s="400" t="s">
        <v>1214</v>
      </c>
      <c r="B5332" s="271"/>
      <c r="C5332" s="271"/>
      <c r="D5332" s="271"/>
      <c r="E5332" s="271"/>
      <c r="F5332" s="271"/>
      <c r="G5332" s="273"/>
      <c r="H5332" s="29" t="str">
        <f t="shared" si="727"/>
        <v>Unidad</v>
      </c>
      <c r="I5332" s="394">
        <f t="shared" si="728"/>
        <v>1600000</v>
      </c>
      <c r="J5332" s="273"/>
      <c r="K5332" s="395">
        <v>1</v>
      </c>
      <c r="L5332" s="273"/>
      <c r="M5332" s="394">
        <f t="shared" si="729"/>
        <v>1600000</v>
      </c>
      <c r="N5332" s="273"/>
    </row>
    <row r="5333" spans="1:14" ht="12.75" customHeight="1" x14ac:dyDescent="0.2">
      <c r="A5333" s="400" t="s">
        <v>1215</v>
      </c>
      <c r="B5333" s="271"/>
      <c r="C5333" s="271"/>
      <c r="D5333" s="271"/>
      <c r="E5333" s="271"/>
      <c r="F5333" s="271"/>
      <c r="G5333" s="273"/>
      <c r="H5333" s="29" t="str">
        <f t="shared" si="727"/>
        <v>m3</v>
      </c>
      <c r="I5333" s="394">
        <f t="shared" si="728"/>
        <v>790161.82467906782</v>
      </c>
      <c r="J5333" s="273"/>
      <c r="K5333" s="395">
        <v>10.45</v>
      </c>
      <c r="L5333" s="273"/>
      <c r="M5333" s="394">
        <f t="shared" si="729"/>
        <v>8257191.0678962581</v>
      </c>
      <c r="N5333" s="273"/>
    </row>
    <row r="5334" spans="1:14" ht="12.75" customHeight="1" x14ac:dyDescent="0.2">
      <c r="A5334" s="400" t="s">
        <v>970</v>
      </c>
      <c r="B5334" s="271"/>
      <c r="C5334" s="271"/>
      <c r="D5334" s="271"/>
      <c r="E5334" s="271"/>
      <c r="F5334" s="271"/>
      <c r="G5334" s="273"/>
      <c r="H5334" s="29" t="str">
        <f t="shared" si="727"/>
        <v>Kg</v>
      </c>
      <c r="I5334" s="394">
        <f t="shared" si="728"/>
        <v>5883.1369999999997</v>
      </c>
      <c r="J5334" s="273"/>
      <c r="K5334" s="395">
        <v>836.16</v>
      </c>
      <c r="L5334" s="273"/>
      <c r="M5334" s="394">
        <f t="shared" si="729"/>
        <v>4919243.8339199992</v>
      </c>
      <c r="N5334" s="273"/>
    </row>
    <row r="5335" spans="1:14" ht="12.75" customHeight="1" x14ac:dyDescent="0.2">
      <c r="A5335" s="400" t="s">
        <v>1216</v>
      </c>
      <c r="B5335" s="271"/>
      <c r="C5335" s="271"/>
      <c r="D5335" s="271"/>
      <c r="E5335" s="271"/>
      <c r="F5335" s="271"/>
      <c r="G5335" s="273"/>
      <c r="H5335" s="29" t="str">
        <f t="shared" si="727"/>
        <v>Unidad</v>
      </c>
      <c r="I5335" s="394">
        <f t="shared" si="728"/>
        <v>276410.71000000002</v>
      </c>
      <c r="J5335" s="273"/>
      <c r="K5335" s="395">
        <v>2</v>
      </c>
      <c r="L5335" s="273"/>
      <c r="M5335" s="394">
        <f t="shared" si="729"/>
        <v>552821.42000000004</v>
      </c>
      <c r="N5335" s="273"/>
    </row>
    <row r="5336" spans="1:14" ht="12.75" customHeight="1" x14ac:dyDescent="0.2">
      <c r="A5336" s="400" t="s">
        <v>1217</v>
      </c>
      <c r="B5336" s="271"/>
      <c r="C5336" s="271"/>
      <c r="D5336" s="271"/>
      <c r="E5336" s="271"/>
      <c r="F5336" s="271"/>
      <c r="G5336" s="273"/>
      <c r="H5336" s="29" t="str">
        <f t="shared" si="727"/>
        <v>Unidad</v>
      </c>
      <c r="I5336" s="394">
        <f t="shared" si="728"/>
        <v>291900</v>
      </c>
      <c r="J5336" s="273"/>
      <c r="K5336" s="395">
        <v>8</v>
      </c>
      <c r="L5336" s="273"/>
      <c r="M5336" s="394">
        <f t="shared" si="729"/>
        <v>2335200</v>
      </c>
      <c r="N5336" s="273"/>
    </row>
    <row r="5337" spans="1:14" ht="12.75" customHeight="1" x14ac:dyDescent="0.2">
      <c r="A5337" s="400" t="s">
        <v>1218</v>
      </c>
      <c r="B5337" s="271"/>
      <c r="C5337" s="271"/>
      <c r="D5337" s="271"/>
      <c r="E5337" s="271"/>
      <c r="F5337" s="271"/>
      <c r="G5337" s="273"/>
      <c r="H5337" s="29" t="str">
        <f t="shared" si="727"/>
        <v>Kg</v>
      </c>
      <c r="I5337" s="394">
        <f t="shared" si="728"/>
        <v>11869.58</v>
      </c>
      <c r="J5337" s="273"/>
      <c r="K5337" s="395">
        <v>131.69999999999999</v>
      </c>
      <c r="L5337" s="273"/>
      <c r="M5337" s="394">
        <f t="shared" si="729"/>
        <v>1563223.6859999998</v>
      </c>
      <c r="N5337" s="273"/>
    </row>
    <row r="5338" spans="1:14" ht="12.75" customHeight="1" x14ac:dyDescent="0.2">
      <c r="A5338" s="400"/>
      <c r="B5338" s="271"/>
      <c r="C5338" s="271"/>
      <c r="D5338" s="271"/>
      <c r="E5338" s="271"/>
      <c r="F5338" s="271"/>
      <c r="G5338" s="273"/>
      <c r="H5338" s="29" t="str">
        <f t="shared" si="727"/>
        <v/>
      </c>
      <c r="I5338" s="394" t="str">
        <f t="shared" si="728"/>
        <v/>
      </c>
      <c r="J5338" s="273"/>
      <c r="K5338" s="395"/>
      <c r="L5338" s="273"/>
      <c r="M5338" s="394" t="str">
        <f t="shared" si="729"/>
        <v/>
      </c>
      <c r="N5338" s="273"/>
    </row>
    <row r="5339" spans="1:14" ht="12.75" customHeight="1" x14ac:dyDescent="0.25">
      <c r="A5339" s="4"/>
      <c r="B5339" s="4"/>
      <c r="C5339" s="4"/>
      <c r="D5339" s="4"/>
      <c r="E5339" s="4"/>
      <c r="F5339" s="4"/>
      <c r="G5339" s="4"/>
      <c r="H5339" s="4"/>
      <c r="I5339" s="4"/>
      <c r="J5339" s="4"/>
      <c r="K5339" s="396" t="s">
        <v>444</v>
      </c>
      <c r="L5339" s="273"/>
      <c r="M5339" s="394">
        <f>SUM(M5331:N5338)</f>
        <v>22202680.007816259</v>
      </c>
      <c r="N5339" s="273"/>
    </row>
    <row r="5340" spans="1:14" ht="12.75" customHeight="1" x14ac:dyDescent="0.25">
      <c r="A5340" s="4"/>
      <c r="B5340" s="4"/>
      <c r="C5340" s="4"/>
      <c r="D5340" s="4"/>
      <c r="E5340" s="4"/>
      <c r="F5340" s="4"/>
      <c r="G5340" s="4"/>
      <c r="H5340" s="4"/>
      <c r="I5340" s="4"/>
      <c r="J5340" s="4"/>
      <c r="K5340" s="4"/>
      <c r="L5340" s="4"/>
      <c r="M5340" s="4"/>
      <c r="N5340" s="4"/>
    </row>
    <row r="5341" spans="1:14" ht="12.75" customHeight="1" x14ac:dyDescent="0.2">
      <c r="A5341" s="398" t="s">
        <v>926</v>
      </c>
      <c r="B5341" s="271"/>
      <c r="C5341" s="271"/>
      <c r="D5341" s="271"/>
      <c r="E5341" s="271"/>
      <c r="F5341" s="271"/>
      <c r="G5341" s="271"/>
      <c r="H5341" s="271"/>
      <c r="I5341" s="271"/>
      <c r="J5341" s="271"/>
      <c r="K5341" s="271"/>
      <c r="L5341" s="271"/>
      <c r="M5341" s="271"/>
      <c r="N5341" s="273"/>
    </row>
    <row r="5342" spans="1:14" ht="12.75" customHeight="1" x14ac:dyDescent="0.2">
      <c r="A5342" s="396" t="s">
        <v>76</v>
      </c>
      <c r="B5342" s="271"/>
      <c r="C5342" s="271"/>
      <c r="D5342" s="271"/>
      <c r="E5342" s="271"/>
      <c r="F5342" s="271"/>
      <c r="G5342" s="273"/>
      <c r="H5342" s="88" t="s">
        <v>77</v>
      </c>
      <c r="I5342" s="399" t="s">
        <v>920</v>
      </c>
      <c r="J5342" s="273"/>
      <c r="K5342" s="399" t="s">
        <v>453</v>
      </c>
      <c r="L5342" s="273"/>
      <c r="M5342" s="399" t="s">
        <v>921</v>
      </c>
      <c r="N5342" s="273"/>
    </row>
    <row r="5343" spans="1:14" ht="12.75" customHeight="1" x14ac:dyDescent="0.2">
      <c r="A5343" s="400" t="s">
        <v>927</v>
      </c>
      <c r="B5343" s="271"/>
      <c r="C5343" s="271"/>
      <c r="D5343" s="271"/>
      <c r="E5343" s="271"/>
      <c r="F5343" s="271"/>
      <c r="G5343" s="273"/>
      <c r="H5343" s="29" t="str">
        <f>IF(A5343="","",VLOOKUP(A5343,AA_Equipos,7,FALSE))</f>
        <v>% M.O.</v>
      </c>
      <c r="I5343" s="394">
        <f>+M5366</f>
        <v>4827821.2</v>
      </c>
      <c r="J5343" s="273"/>
      <c r="K5343" s="404">
        <v>0.05</v>
      </c>
      <c r="L5343" s="273"/>
      <c r="M5343" s="394">
        <f t="shared" ref="M5343:M5347" si="730">IF(A5343="","",I5343*K5343)</f>
        <v>241391.06000000003</v>
      </c>
      <c r="N5343" s="273"/>
    </row>
    <row r="5344" spans="1:14" ht="12.75" customHeight="1" x14ac:dyDescent="0.2">
      <c r="A5344" s="403"/>
      <c r="B5344" s="271"/>
      <c r="C5344" s="271"/>
      <c r="D5344" s="271"/>
      <c r="E5344" s="271"/>
      <c r="F5344" s="271"/>
      <c r="G5344" s="273"/>
      <c r="H5344" s="29" t="str">
        <f>IF(A5344="","",VLOOKUP(A5344,AA_Equipos,7,FALSE))</f>
        <v/>
      </c>
      <c r="I5344" s="394" t="str">
        <f>IF(A5344="","",VLOOKUP(A5344,AA_Equipos,8,FALSE))</f>
        <v/>
      </c>
      <c r="J5344" s="273"/>
      <c r="K5344" s="402"/>
      <c r="L5344" s="273"/>
      <c r="M5344" s="394" t="str">
        <f t="shared" si="730"/>
        <v/>
      </c>
      <c r="N5344" s="273"/>
    </row>
    <row r="5345" spans="1:14" ht="12.75" customHeight="1" x14ac:dyDescent="0.2">
      <c r="A5345" s="400"/>
      <c r="B5345" s="271"/>
      <c r="C5345" s="271"/>
      <c r="D5345" s="271"/>
      <c r="E5345" s="271"/>
      <c r="F5345" s="271"/>
      <c r="G5345" s="273"/>
      <c r="H5345" s="29" t="str">
        <f>IF(A5345="","",VLOOKUP(A5345,AA_Equipos,7,FALSE))</f>
        <v/>
      </c>
      <c r="I5345" s="394"/>
      <c r="J5345" s="273"/>
      <c r="K5345" s="404"/>
      <c r="L5345" s="273"/>
      <c r="M5345" s="394" t="str">
        <f t="shared" si="730"/>
        <v/>
      </c>
      <c r="N5345" s="273"/>
    </row>
    <row r="5346" spans="1:14" ht="12.75" customHeight="1" x14ac:dyDescent="0.2">
      <c r="A5346" s="400"/>
      <c r="B5346" s="271"/>
      <c r="C5346" s="271"/>
      <c r="D5346" s="271"/>
      <c r="E5346" s="271"/>
      <c r="F5346" s="271"/>
      <c r="G5346" s="273"/>
      <c r="H5346" s="29" t="str">
        <f>IF(A5346="","",VLOOKUP(A5346,AA_Equipos,7,FALSE))</f>
        <v/>
      </c>
      <c r="I5346" s="394" t="str">
        <f>IF(A5346="","",VLOOKUP(A5346,AA_Equipos,8,FALSE))</f>
        <v/>
      </c>
      <c r="J5346" s="273"/>
      <c r="K5346" s="395"/>
      <c r="L5346" s="273"/>
      <c r="M5346" s="394" t="str">
        <f t="shared" si="730"/>
        <v/>
      </c>
      <c r="N5346" s="273"/>
    </row>
    <row r="5347" spans="1:14" ht="12.75" customHeight="1" x14ac:dyDescent="0.2">
      <c r="A5347" s="400"/>
      <c r="B5347" s="271"/>
      <c r="C5347" s="271"/>
      <c r="D5347" s="271"/>
      <c r="E5347" s="271"/>
      <c r="F5347" s="271"/>
      <c r="G5347" s="273"/>
      <c r="H5347" s="29" t="str">
        <f>IF(A5347="","",VLOOKUP(A5347,AA_Equipos,7,FALSE))</f>
        <v/>
      </c>
      <c r="I5347" s="394" t="str">
        <f>IF(A5347="","",VLOOKUP(A5347,AA_Equipos,8,FALSE))</f>
        <v/>
      </c>
      <c r="J5347" s="273"/>
      <c r="K5347" s="395"/>
      <c r="L5347" s="273"/>
      <c r="M5347" s="394" t="str">
        <f t="shared" si="730"/>
        <v/>
      </c>
      <c r="N5347" s="273"/>
    </row>
    <row r="5348" spans="1:14" ht="12.75" customHeight="1" x14ac:dyDescent="0.25">
      <c r="A5348" s="4"/>
      <c r="B5348" s="4"/>
      <c r="C5348" s="4"/>
      <c r="D5348" s="4"/>
      <c r="E5348" s="4"/>
      <c r="F5348" s="4"/>
      <c r="G5348" s="4"/>
      <c r="H5348" s="4"/>
      <c r="I5348" s="4"/>
      <c r="J5348" s="4"/>
      <c r="K5348" s="396" t="s">
        <v>444</v>
      </c>
      <c r="L5348" s="273"/>
      <c r="M5348" s="394">
        <f>SUM(M5343:N5347)</f>
        <v>241391.06000000003</v>
      </c>
      <c r="N5348" s="273"/>
    </row>
    <row r="5349" spans="1:14" ht="12.75" customHeight="1" x14ac:dyDescent="0.25">
      <c r="A5349" s="4"/>
      <c r="B5349" s="4"/>
      <c r="C5349" s="4"/>
      <c r="D5349" s="4"/>
      <c r="E5349" s="4"/>
      <c r="F5349" s="4"/>
      <c r="G5349" s="4"/>
      <c r="H5349" s="4"/>
      <c r="I5349" s="4"/>
      <c r="J5349" s="4"/>
      <c r="K5349" s="4"/>
      <c r="L5349" s="4"/>
      <c r="M5349" s="4"/>
      <c r="N5349" s="4"/>
    </row>
    <row r="5350" spans="1:14" ht="12.75" customHeight="1" x14ac:dyDescent="0.2">
      <c r="A5350" s="398" t="s">
        <v>929</v>
      </c>
      <c r="B5350" s="271"/>
      <c r="C5350" s="271"/>
      <c r="D5350" s="271"/>
      <c r="E5350" s="271"/>
      <c r="F5350" s="271"/>
      <c r="G5350" s="271"/>
      <c r="H5350" s="271"/>
      <c r="I5350" s="271"/>
      <c r="J5350" s="271"/>
      <c r="K5350" s="271"/>
      <c r="L5350" s="271"/>
      <c r="M5350" s="271"/>
      <c r="N5350" s="273"/>
    </row>
    <row r="5351" spans="1:14" ht="12.75" customHeight="1" x14ac:dyDescent="0.2">
      <c r="A5351" s="396" t="s">
        <v>76</v>
      </c>
      <c r="B5351" s="271"/>
      <c r="C5351" s="271"/>
      <c r="D5351" s="271"/>
      <c r="E5351" s="271"/>
      <c r="F5351" s="271"/>
      <c r="G5351" s="273"/>
      <c r="H5351" s="88" t="s">
        <v>77</v>
      </c>
      <c r="I5351" s="399" t="s">
        <v>920</v>
      </c>
      <c r="J5351" s="273"/>
      <c r="K5351" s="399" t="s">
        <v>453</v>
      </c>
      <c r="L5351" s="273"/>
      <c r="M5351" s="399" t="s">
        <v>921</v>
      </c>
      <c r="N5351" s="273"/>
    </row>
    <row r="5352" spans="1:14" ht="12.75" customHeight="1" x14ac:dyDescent="0.2">
      <c r="A5352" s="400"/>
      <c r="B5352" s="271"/>
      <c r="C5352" s="271"/>
      <c r="D5352" s="271"/>
      <c r="E5352" s="271"/>
      <c r="F5352" s="271"/>
      <c r="G5352" s="273"/>
      <c r="H5352" s="29"/>
      <c r="I5352" s="394"/>
      <c r="J5352" s="273"/>
      <c r="K5352" s="404"/>
      <c r="L5352" s="273"/>
      <c r="M5352" s="394" t="str">
        <f t="shared" ref="M5352:M5356" si="731">IF(A5352="","",I5352*K5352)</f>
        <v/>
      </c>
      <c r="N5352" s="273"/>
    </row>
    <row r="5353" spans="1:14" ht="12.75" customHeight="1" x14ac:dyDescent="0.2">
      <c r="A5353" s="403"/>
      <c r="B5353" s="271"/>
      <c r="C5353" s="271"/>
      <c r="D5353" s="271"/>
      <c r="E5353" s="271"/>
      <c r="F5353" s="271"/>
      <c r="G5353" s="273"/>
      <c r="H5353" s="29"/>
      <c r="I5353" s="394"/>
      <c r="J5353" s="273"/>
      <c r="K5353" s="404"/>
      <c r="L5353" s="273"/>
      <c r="M5353" s="394" t="str">
        <f t="shared" si="731"/>
        <v/>
      </c>
      <c r="N5353" s="273"/>
    </row>
    <row r="5354" spans="1:14" ht="12.75" customHeight="1" x14ac:dyDescent="0.2">
      <c r="A5354" s="400"/>
      <c r="B5354" s="271"/>
      <c r="C5354" s="271"/>
      <c r="D5354" s="271"/>
      <c r="E5354" s="271"/>
      <c r="F5354" s="271"/>
      <c r="G5354" s="273"/>
      <c r="H5354" s="29"/>
      <c r="I5354" s="394"/>
      <c r="J5354" s="273"/>
      <c r="K5354" s="395"/>
      <c r="L5354" s="273"/>
      <c r="M5354" s="394" t="str">
        <f t="shared" si="731"/>
        <v/>
      </c>
      <c r="N5354" s="273"/>
    </row>
    <row r="5355" spans="1:14" ht="12.75" customHeight="1" x14ac:dyDescent="0.2">
      <c r="A5355" s="400"/>
      <c r="B5355" s="271"/>
      <c r="C5355" s="271"/>
      <c r="D5355" s="271"/>
      <c r="E5355" s="271"/>
      <c r="F5355" s="271"/>
      <c r="G5355" s="273"/>
      <c r="H5355" s="29"/>
      <c r="I5355" s="394"/>
      <c r="J5355" s="273"/>
      <c r="K5355" s="395"/>
      <c r="L5355" s="273"/>
      <c r="M5355" s="394" t="str">
        <f t="shared" si="731"/>
        <v/>
      </c>
      <c r="N5355" s="273"/>
    </row>
    <row r="5356" spans="1:14" ht="12.75" customHeight="1" x14ac:dyDescent="0.2">
      <c r="A5356" s="400"/>
      <c r="B5356" s="271"/>
      <c r="C5356" s="271"/>
      <c r="D5356" s="271"/>
      <c r="E5356" s="271"/>
      <c r="F5356" s="271"/>
      <c r="G5356" s="273"/>
      <c r="H5356" s="29"/>
      <c r="I5356" s="394"/>
      <c r="J5356" s="273"/>
      <c r="K5356" s="395"/>
      <c r="L5356" s="273"/>
      <c r="M5356" s="394" t="str">
        <f t="shared" si="731"/>
        <v/>
      </c>
      <c r="N5356" s="273"/>
    </row>
    <row r="5357" spans="1:14" ht="12.75" customHeight="1" x14ac:dyDescent="0.25">
      <c r="A5357" s="4"/>
      <c r="B5357" s="4"/>
      <c r="C5357" s="4"/>
      <c r="D5357" s="4"/>
      <c r="E5357" s="4"/>
      <c r="F5357" s="4"/>
      <c r="G5357" s="4"/>
      <c r="H5357" s="4"/>
      <c r="I5357" s="4"/>
      <c r="J5357" s="4"/>
      <c r="K5357" s="396" t="s">
        <v>444</v>
      </c>
      <c r="L5357" s="273"/>
      <c r="M5357" s="394">
        <f>SUM(M5352:N5356)</f>
        <v>0</v>
      </c>
      <c r="N5357" s="273"/>
    </row>
    <row r="5358" spans="1:14" ht="12.75" customHeight="1" x14ac:dyDescent="0.25">
      <c r="A5358" s="4"/>
      <c r="B5358" s="4"/>
      <c r="C5358" s="4"/>
      <c r="D5358" s="4"/>
      <c r="E5358" s="4"/>
      <c r="F5358" s="4"/>
      <c r="G5358" s="4"/>
      <c r="H5358" s="4"/>
      <c r="I5358" s="4"/>
      <c r="J5358" s="4"/>
      <c r="K5358" s="4"/>
      <c r="L5358" s="4"/>
      <c r="M5358" s="4"/>
      <c r="N5358" s="4"/>
    </row>
    <row r="5359" spans="1:14" ht="12.75" customHeight="1" x14ac:dyDescent="0.2">
      <c r="A5359" s="398" t="s">
        <v>931</v>
      </c>
      <c r="B5359" s="271"/>
      <c r="C5359" s="271"/>
      <c r="D5359" s="271"/>
      <c r="E5359" s="271"/>
      <c r="F5359" s="271"/>
      <c r="G5359" s="271"/>
      <c r="H5359" s="271"/>
      <c r="I5359" s="271"/>
      <c r="J5359" s="271"/>
      <c r="K5359" s="271"/>
      <c r="L5359" s="271"/>
      <c r="M5359" s="271"/>
      <c r="N5359" s="273"/>
    </row>
    <row r="5360" spans="1:14" ht="12.75" customHeight="1" x14ac:dyDescent="0.2">
      <c r="A5360" s="396" t="s">
        <v>76</v>
      </c>
      <c r="B5360" s="271"/>
      <c r="C5360" s="271"/>
      <c r="D5360" s="271"/>
      <c r="E5360" s="271"/>
      <c r="F5360" s="271"/>
      <c r="G5360" s="273"/>
      <c r="H5360" s="88" t="s">
        <v>77</v>
      </c>
      <c r="I5360" s="399" t="s">
        <v>920</v>
      </c>
      <c r="J5360" s="273"/>
      <c r="K5360" s="90" t="s">
        <v>514</v>
      </c>
      <c r="L5360" s="91" t="s">
        <v>932</v>
      </c>
      <c r="M5360" s="399" t="s">
        <v>921</v>
      </c>
      <c r="N5360" s="273"/>
    </row>
    <row r="5361" spans="1:14" ht="12.75" customHeight="1" x14ac:dyDescent="0.25">
      <c r="A5361" s="393" t="s">
        <v>1106</v>
      </c>
      <c r="B5361" s="271"/>
      <c r="C5361" s="271"/>
      <c r="D5361" s="271"/>
      <c r="E5361" s="271"/>
      <c r="F5361" s="271"/>
      <c r="G5361" s="273"/>
      <c r="H5361" s="29" t="str">
        <f>IF(A5361="","",VLOOKUP(A5361,AA_Cuadrillas,4,FALSE))</f>
        <v>Cuadrilla</v>
      </c>
      <c r="I5361" s="394">
        <f>IF(A5361="","",VLOOKUP(A5361,AA_Cuadrillas,5,FALSE))</f>
        <v>256799</v>
      </c>
      <c r="J5361" s="273"/>
      <c r="K5361" s="9">
        <f>IF(A5361="","",F.P!$I$2)</f>
        <v>1.88</v>
      </c>
      <c r="L5361" s="93">
        <f>1/0.1</f>
        <v>10</v>
      </c>
      <c r="M5361" s="394">
        <f t="shared" ref="M5361:M5365" si="732">IF(A5361="","",I5361*K5361*L5361)</f>
        <v>4827821.2</v>
      </c>
      <c r="N5361" s="273"/>
    </row>
    <row r="5362" spans="1:14" ht="12.75" customHeight="1" x14ac:dyDescent="0.25">
      <c r="A5362" s="393"/>
      <c r="B5362" s="271"/>
      <c r="C5362" s="271"/>
      <c r="D5362" s="271"/>
      <c r="E5362" s="271"/>
      <c r="F5362" s="271"/>
      <c r="G5362" s="273"/>
      <c r="H5362" s="29" t="str">
        <f>IF(A5362="","",VLOOKUP(A5362,AA_Cuadrillas,4,FALSE))</f>
        <v/>
      </c>
      <c r="I5362" s="394" t="str">
        <f>IF(A5362="","",VLOOKUP(A5362,AA_Cuadrillas,5,FALSE))</f>
        <v/>
      </c>
      <c r="J5362" s="273"/>
      <c r="K5362" s="9" t="str">
        <f>IF(A5362="","",F.P!$I$2)</f>
        <v/>
      </c>
      <c r="L5362" s="9"/>
      <c r="M5362" s="394" t="str">
        <f t="shared" si="732"/>
        <v/>
      </c>
      <c r="N5362" s="273"/>
    </row>
    <row r="5363" spans="1:14" ht="12.75" customHeight="1" x14ac:dyDescent="0.25">
      <c r="A5363" s="393"/>
      <c r="B5363" s="271"/>
      <c r="C5363" s="271"/>
      <c r="D5363" s="271"/>
      <c r="E5363" s="271"/>
      <c r="F5363" s="271"/>
      <c r="G5363" s="273"/>
      <c r="H5363" s="29" t="str">
        <f>IF(A5363="","",VLOOKUP(A5363,AA_Cuadrillas,4,FALSE))</f>
        <v/>
      </c>
      <c r="I5363" s="394" t="str">
        <f>IF(A5363="","",VLOOKUP(A5363,AA_Cuadrillas,5,FALSE))</f>
        <v/>
      </c>
      <c r="J5363" s="273"/>
      <c r="K5363" s="9" t="str">
        <f>IF(A5363="","",F.P!$I$2)</f>
        <v/>
      </c>
      <c r="L5363" s="37"/>
      <c r="M5363" s="394" t="str">
        <f t="shared" si="732"/>
        <v/>
      </c>
      <c r="N5363" s="273"/>
    </row>
    <row r="5364" spans="1:14" ht="12.75" customHeight="1" x14ac:dyDescent="0.25">
      <c r="A5364" s="393"/>
      <c r="B5364" s="271"/>
      <c r="C5364" s="271"/>
      <c r="D5364" s="271"/>
      <c r="E5364" s="271"/>
      <c r="F5364" s="271"/>
      <c r="G5364" s="273"/>
      <c r="H5364" s="29" t="str">
        <f>IF(A5364="","",VLOOKUP(A5364,AA_Cuadrillas,4,FALSE))</f>
        <v/>
      </c>
      <c r="I5364" s="394" t="str">
        <f>IF(A5364="","",VLOOKUP(A5364,AA_Cuadrillas,5,FALSE))</f>
        <v/>
      </c>
      <c r="J5364" s="273"/>
      <c r="K5364" s="9" t="str">
        <f>IF(A5364="","",F.P!$I$2)</f>
        <v/>
      </c>
      <c r="L5364" s="37"/>
      <c r="M5364" s="394" t="str">
        <f t="shared" si="732"/>
        <v/>
      </c>
      <c r="N5364" s="273"/>
    </row>
    <row r="5365" spans="1:14" ht="12.75" customHeight="1" x14ac:dyDescent="0.25">
      <c r="A5365" s="393"/>
      <c r="B5365" s="271"/>
      <c r="C5365" s="271"/>
      <c r="D5365" s="271"/>
      <c r="E5365" s="271"/>
      <c r="F5365" s="271"/>
      <c r="G5365" s="273"/>
      <c r="H5365" s="29" t="str">
        <f>IF(A5365="","",VLOOKUP(A5365,AA_Cuadrillas,4,FALSE))</f>
        <v/>
      </c>
      <c r="I5365" s="394" t="str">
        <f>IF(A5365="","",VLOOKUP(A5365,AA_Cuadrillas,5,FALSE))</f>
        <v/>
      </c>
      <c r="J5365" s="273"/>
      <c r="K5365" s="9" t="str">
        <f>IF(A5365="","",F.P!$I$2)</f>
        <v/>
      </c>
      <c r="L5365" s="37"/>
      <c r="M5365" s="394" t="str">
        <f t="shared" si="732"/>
        <v/>
      </c>
      <c r="N5365" s="273"/>
    </row>
    <row r="5366" spans="1:14" ht="12.75" customHeight="1" x14ac:dyDescent="0.25">
      <c r="A5366" s="4"/>
      <c r="B5366" s="4"/>
      <c r="C5366" s="4"/>
      <c r="D5366" s="4"/>
      <c r="E5366" s="4"/>
      <c r="F5366" s="4"/>
      <c r="G5366" s="4"/>
      <c r="H5366" s="4"/>
      <c r="I5366" s="4"/>
      <c r="J5366" s="4"/>
      <c r="K5366" s="396" t="s">
        <v>444</v>
      </c>
      <c r="L5366" s="273"/>
      <c r="M5366" s="394">
        <f>SUM(M5361:N5365)</f>
        <v>4827821.2</v>
      </c>
      <c r="N5366" s="273"/>
    </row>
    <row r="5367" spans="1:14" ht="12.75" customHeight="1" x14ac:dyDescent="0.2"/>
    <row r="5368" spans="1:14" ht="12.75" customHeight="1" x14ac:dyDescent="0.2">
      <c r="A5368" s="407" t="s">
        <v>1227</v>
      </c>
      <c r="B5368" s="275"/>
      <c r="C5368" s="275"/>
      <c r="D5368" s="275"/>
      <c r="E5368" s="275"/>
      <c r="F5368" s="275"/>
      <c r="G5368" s="275"/>
      <c r="H5368" s="275"/>
      <c r="I5368" s="275"/>
      <c r="J5368" s="275"/>
      <c r="K5368" s="275"/>
      <c r="L5368" s="275"/>
      <c r="M5368" s="275"/>
      <c r="N5368" s="276"/>
    </row>
    <row r="5369" spans="1:14" ht="12.75" customHeight="1" x14ac:dyDescent="0.2">
      <c r="A5369" s="277"/>
      <c r="B5369" s="278"/>
      <c r="C5369" s="278"/>
      <c r="D5369" s="278"/>
      <c r="E5369" s="278"/>
      <c r="F5369" s="278"/>
      <c r="G5369" s="278"/>
      <c r="H5369" s="278"/>
      <c r="I5369" s="278"/>
      <c r="J5369" s="278"/>
      <c r="K5369" s="278"/>
      <c r="L5369" s="278"/>
      <c r="M5369" s="278"/>
      <c r="N5369" s="279"/>
    </row>
    <row r="5370" spans="1:14" ht="12.75" customHeight="1" x14ac:dyDescent="0.2">
      <c r="A5370" s="75"/>
      <c r="B5370" s="75"/>
      <c r="C5370" s="75"/>
      <c r="D5370" s="75"/>
      <c r="E5370" s="75"/>
      <c r="F5370" s="75"/>
      <c r="G5370" s="75"/>
      <c r="H5370" s="75"/>
      <c r="I5370" s="75"/>
      <c r="J5370" s="75"/>
      <c r="K5370" s="75"/>
      <c r="L5370" s="75"/>
      <c r="M5370" s="75"/>
      <c r="N5370" s="75"/>
    </row>
    <row r="5371" spans="1:14" ht="12.75" customHeight="1" x14ac:dyDescent="0.3">
      <c r="A5371" s="79" t="s">
        <v>739</v>
      </c>
      <c r="B5371" s="80" t="str">
        <f>A5368</f>
        <v>SUMINISTRO E INSTALACIÓN CODO 90° PVC Ø6"</v>
      </c>
      <c r="C5371" s="81" t="s">
        <v>916</v>
      </c>
      <c r="D5371" s="82" t="s">
        <v>999</v>
      </c>
      <c r="E5371" s="83" t="s">
        <v>445</v>
      </c>
      <c r="F5371" s="86">
        <f>H5371+J5371+L5371+N5371</f>
        <v>203848.36880000003</v>
      </c>
      <c r="G5371" s="83" t="s">
        <v>607</v>
      </c>
      <c r="H5371" s="86">
        <f>M5383</f>
        <v>199240</v>
      </c>
      <c r="I5371" s="83" t="s">
        <v>918</v>
      </c>
      <c r="J5371" s="86">
        <f>M5392</f>
        <v>219.44613333333334</v>
      </c>
      <c r="K5371" s="83" t="s">
        <v>609</v>
      </c>
      <c r="L5371" s="86">
        <f>M5401</f>
        <v>0</v>
      </c>
      <c r="M5371" s="83" t="s">
        <v>610</v>
      </c>
      <c r="N5371" s="86">
        <f>M5410</f>
        <v>4388.9226666666664</v>
      </c>
    </row>
    <row r="5372" spans="1:14" ht="12.75" customHeight="1" x14ac:dyDescent="0.25">
      <c r="A5372" s="87"/>
      <c r="B5372" s="87"/>
      <c r="C5372" s="87"/>
      <c r="D5372" s="87"/>
      <c r="E5372" s="87"/>
      <c r="F5372" s="87"/>
      <c r="G5372" s="87"/>
      <c r="J5372" s="87"/>
      <c r="K5372" s="215" t="s">
        <v>3217</v>
      </c>
      <c r="L5372" s="215">
        <f>+F5371*presup!$O$5</f>
        <v>265002.87944000005</v>
      </c>
      <c r="M5372" s="87"/>
      <c r="N5372" s="87"/>
    </row>
    <row r="5373" spans="1:14" ht="12.75" customHeight="1" x14ac:dyDescent="0.2">
      <c r="A5373" s="398" t="s">
        <v>919</v>
      </c>
      <c r="B5373" s="271"/>
      <c r="C5373" s="271"/>
      <c r="D5373" s="271"/>
      <c r="E5373" s="271"/>
      <c r="F5373" s="271"/>
      <c r="G5373" s="271"/>
      <c r="H5373" s="271"/>
      <c r="I5373" s="271"/>
      <c r="J5373" s="271"/>
      <c r="K5373" s="271"/>
      <c r="L5373" s="271"/>
      <c r="M5373" s="271"/>
      <c r="N5373" s="273"/>
    </row>
    <row r="5374" spans="1:14" ht="12.75" customHeight="1" x14ac:dyDescent="0.2">
      <c r="A5374" s="396" t="s">
        <v>76</v>
      </c>
      <c r="B5374" s="271"/>
      <c r="C5374" s="271"/>
      <c r="D5374" s="271"/>
      <c r="E5374" s="271"/>
      <c r="F5374" s="271"/>
      <c r="G5374" s="273"/>
      <c r="H5374" s="88" t="s">
        <v>77</v>
      </c>
      <c r="I5374" s="399" t="s">
        <v>920</v>
      </c>
      <c r="J5374" s="273"/>
      <c r="K5374" s="399" t="s">
        <v>453</v>
      </c>
      <c r="L5374" s="273"/>
      <c r="M5374" s="399" t="s">
        <v>921</v>
      </c>
      <c r="N5374" s="273"/>
    </row>
    <row r="5375" spans="1:14" ht="12.75" customHeight="1" x14ac:dyDescent="0.2">
      <c r="A5375" s="400" t="s">
        <v>984</v>
      </c>
      <c r="B5375" s="271"/>
      <c r="C5375" s="271"/>
      <c r="D5375" s="271"/>
      <c r="E5375" s="271"/>
      <c r="F5375" s="271"/>
      <c r="G5375" s="273"/>
      <c r="H5375" s="29" t="str">
        <f t="shared" ref="H5375:H5380" si="733">IF(A5375="","",VLOOKUP(A5375,AA_Materiales,7,FALSE))</f>
        <v>Galón</v>
      </c>
      <c r="I5375" s="394">
        <f t="shared" ref="I5375:I5382" si="734">IF(A5375="","",VLOOKUP(A5375,AA_Materiales,8,FALSE))</f>
        <v>80900</v>
      </c>
      <c r="J5375" s="273"/>
      <c r="K5375" s="395">
        <v>0.03</v>
      </c>
      <c r="L5375" s="273"/>
      <c r="M5375" s="394">
        <f t="shared" ref="M5375:M5382" si="735">IF(A5375="","",I5375*K5375)</f>
        <v>2427</v>
      </c>
      <c r="N5375" s="273"/>
    </row>
    <row r="5376" spans="1:14" ht="12.75" customHeight="1" x14ac:dyDescent="0.2">
      <c r="A5376" s="400" t="s">
        <v>985</v>
      </c>
      <c r="B5376" s="271"/>
      <c r="C5376" s="271"/>
      <c r="D5376" s="271"/>
      <c r="E5376" s="271"/>
      <c r="F5376" s="271"/>
      <c r="G5376" s="273"/>
      <c r="H5376" s="29" t="str">
        <f t="shared" si="733"/>
        <v>Galón</v>
      </c>
      <c r="I5376" s="394">
        <f t="shared" si="734"/>
        <v>47200</v>
      </c>
      <c r="J5376" s="273"/>
      <c r="K5376" s="395">
        <v>0.03</v>
      </c>
      <c r="L5376" s="273"/>
      <c r="M5376" s="394">
        <f t="shared" si="735"/>
        <v>1416</v>
      </c>
      <c r="N5376" s="273"/>
    </row>
    <row r="5377" spans="1:14" ht="12.75" customHeight="1" x14ac:dyDescent="0.2">
      <c r="A5377" s="400" t="s">
        <v>1228</v>
      </c>
      <c r="B5377" s="271"/>
      <c r="C5377" s="271"/>
      <c r="D5377" s="271"/>
      <c r="E5377" s="271"/>
      <c r="F5377" s="271"/>
      <c r="G5377" s="273"/>
      <c r="H5377" s="29" t="str">
        <f t="shared" si="733"/>
        <v>Unidad</v>
      </c>
      <c r="I5377" s="394">
        <f t="shared" si="734"/>
        <v>195397</v>
      </c>
      <c r="J5377" s="273"/>
      <c r="K5377" s="395">
        <v>1</v>
      </c>
      <c r="L5377" s="273"/>
      <c r="M5377" s="394">
        <f t="shared" si="735"/>
        <v>195397</v>
      </c>
      <c r="N5377" s="273"/>
    </row>
    <row r="5378" spans="1:14" ht="12.75" customHeight="1" x14ac:dyDescent="0.2">
      <c r="A5378" s="400"/>
      <c r="B5378" s="271"/>
      <c r="C5378" s="271"/>
      <c r="D5378" s="271"/>
      <c r="E5378" s="271"/>
      <c r="F5378" s="271"/>
      <c r="G5378" s="273"/>
      <c r="H5378" s="29" t="str">
        <f t="shared" si="733"/>
        <v/>
      </c>
      <c r="I5378" s="394" t="str">
        <f t="shared" si="734"/>
        <v/>
      </c>
      <c r="J5378" s="273"/>
      <c r="K5378" s="395"/>
      <c r="L5378" s="273"/>
      <c r="M5378" s="394" t="str">
        <f t="shared" si="735"/>
        <v/>
      </c>
      <c r="N5378" s="273"/>
    </row>
    <row r="5379" spans="1:14" ht="12.75" customHeight="1" x14ac:dyDescent="0.2">
      <c r="A5379" s="400"/>
      <c r="B5379" s="271"/>
      <c r="C5379" s="271"/>
      <c r="D5379" s="271"/>
      <c r="E5379" s="271"/>
      <c r="F5379" s="271"/>
      <c r="G5379" s="273"/>
      <c r="H5379" s="29" t="str">
        <f t="shared" si="733"/>
        <v/>
      </c>
      <c r="I5379" s="394" t="str">
        <f t="shared" si="734"/>
        <v/>
      </c>
      <c r="J5379" s="273"/>
      <c r="K5379" s="395"/>
      <c r="L5379" s="273"/>
      <c r="M5379" s="394" t="str">
        <f t="shared" si="735"/>
        <v/>
      </c>
      <c r="N5379" s="273"/>
    </row>
    <row r="5380" spans="1:14" ht="12.75" customHeight="1" x14ac:dyDescent="0.2">
      <c r="A5380" s="400"/>
      <c r="B5380" s="271"/>
      <c r="C5380" s="271"/>
      <c r="D5380" s="271"/>
      <c r="E5380" s="271"/>
      <c r="F5380" s="271"/>
      <c r="G5380" s="273"/>
      <c r="H5380" s="29" t="str">
        <f t="shared" si="733"/>
        <v/>
      </c>
      <c r="I5380" s="394" t="str">
        <f t="shared" si="734"/>
        <v/>
      </c>
      <c r="J5380" s="273"/>
      <c r="K5380" s="395"/>
      <c r="L5380" s="273"/>
      <c r="M5380" s="394" t="str">
        <f t="shared" si="735"/>
        <v/>
      </c>
      <c r="N5380" s="273"/>
    </row>
    <row r="5381" spans="1:14" ht="12.75" customHeight="1" x14ac:dyDescent="0.2">
      <c r="A5381" s="400"/>
      <c r="B5381" s="271"/>
      <c r="C5381" s="271"/>
      <c r="D5381" s="271"/>
      <c r="E5381" s="271"/>
      <c r="F5381" s="271"/>
      <c r="G5381" s="273"/>
      <c r="H5381" s="29"/>
      <c r="I5381" s="394" t="str">
        <f t="shared" si="734"/>
        <v/>
      </c>
      <c r="J5381" s="273"/>
      <c r="K5381" s="395"/>
      <c r="L5381" s="273"/>
      <c r="M5381" s="394" t="str">
        <f t="shared" si="735"/>
        <v/>
      </c>
      <c r="N5381" s="273"/>
    </row>
    <row r="5382" spans="1:14" ht="12.75" customHeight="1" x14ac:dyDescent="0.2">
      <c r="A5382" s="400"/>
      <c r="B5382" s="271"/>
      <c r="C5382" s="271"/>
      <c r="D5382" s="271"/>
      <c r="E5382" s="271"/>
      <c r="F5382" s="271"/>
      <c r="G5382" s="273"/>
      <c r="H5382" s="29" t="str">
        <f>IF(A5382="","",VLOOKUP(A5382,AA_Materiales,7,FALSE))</f>
        <v/>
      </c>
      <c r="I5382" s="394" t="str">
        <f t="shared" si="734"/>
        <v/>
      </c>
      <c r="J5382" s="273"/>
      <c r="K5382" s="395"/>
      <c r="L5382" s="273"/>
      <c r="M5382" s="394" t="str">
        <f t="shared" si="735"/>
        <v/>
      </c>
      <c r="N5382" s="273"/>
    </row>
    <row r="5383" spans="1:14" ht="12.75" customHeight="1" x14ac:dyDescent="0.25">
      <c r="A5383" s="4"/>
      <c r="B5383" s="4"/>
      <c r="C5383" s="4"/>
      <c r="D5383" s="4"/>
      <c r="E5383" s="4"/>
      <c r="F5383" s="4"/>
      <c r="G5383" s="4"/>
      <c r="H5383" s="4"/>
      <c r="I5383" s="4"/>
      <c r="J5383" s="4"/>
      <c r="K5383" s="396" t="s">
        <v>444</v>
      </c>
      <c r="L5383" s="273"/>
      <c r="M5383" s="394">
        <f>SUM(M5375:N5382)</f>
        <v>199240</v>
      </c>
      <c r="N5383" s="273"/>
    </row>
    <row r="5384" spans="1:14" ht="12.75" customHeight="1" x14ac:dyDescent="0.25">
      <c r="A5384" s="4"/>
      <c r="B5384" s="4"/>
      <c r="C5384" s="4"/>
      <c r="D5384" s="4"/>
      <c r="E5384" s="4"/>
      <c r="F5384" s="4"/>
      <c r="G5384" s="4"/>
      <c r="H5384" s="4"/>
      <c r="I5384" s="4"/>
      <c r="J5384" s="4"/>
      <c r="K5384" s="4"/>
      <c r="L5384" s="4"/>
      <c r="M5384" s="4"/>
      <c r="N5384" s="4"/>
    </row>
    <row r="5385" spans="1:14" ht="12.75" customHeight="1" x14ac:dyDescent="0.2">
      <c r="A5385" s="398" t="s">
        <v>926</v>
      </c>
      <c r="B5385" s="271"/>
      <c r="C5385" s="271"/>
      <c r="D5385" s="271"/>
      <c r="E5385" s="271"/>
      <c r="F5385" s="271"/>
      <c r="G5385" s="271"/>
      <c r="H5385" s="271"/>
      <c r="I5385" s="271"/>
      <c r="J5385" s="271"/>
      <c r="K5385" s="271"/>
      <c r="L5385" s="271"/>
      <c r="M5385" s="271"/>
      <c r="N5385" s="273"/>
    </row>
    <row r="5386" spans="1:14" ht="12.75" customHeight="1" x14ac:dyDescent="0.2">
      <c r="A5386" s="396" t="s">
        <v>76</v>
      </c>
      <c r="B5386" s="271"/>
      <c r="C5386" s="271"/>
      <c r="D5386" s="271"/>
      <c r="E5386" s="271"/>
      <c r="F5386" s="271"/>
      <c r="G5386" s="273"/>
      <c r="H5386" s="88" t="s">
        <v>77</v>
      </c>
      <c r="I5386" s="399" t="s">
        <v>920</v>
      </c>
      <c r="J5386" s="273"/>
      <c r="K5386" s="399" t="s">
        <v>453</v>
      </c>
      <c r="L5386" s="273"/>
      <c r="M5386" s="399" t="s">
        <v>921</v>
      </c>
      <c r="N5386" s="273"/>
    </row>
    <row r="5387" spans="1:14" ht="12.75" customHeight="1" x14ac:dyDescent="0.2">
      <c r="A5387" s="400" t="s">
        <v>927</v>
      </c>
      <c r="B5387" s="271"/>
      <c r="C5387" s="271"/>
      <c r="D5387" s="271"/>
      <c r="E5387" s="271"/>
      <c r="F5387" s="271"/>
      <c r="G5387" s="273"/>
      <c r="H5387" s="29" t="str">
        <f>IF(A5387="","",VLOOKUP(A5387,AA_Equipos,7,FALSE))</f>
        <v>% M.O.</v>
      </c>
      <c r="I5387" s="394">
        <f>+M5410</f>
        <v>4388.9226666666664</v>
      </c>
      <c r="J5387" s="273"/>
      <c r="K5387" s="404">
        <v>0.05</v>
      </c>
      <c r="L5387" s="273"/>
      <c r="M5387" s="394">
        <f t="shared" ref="M5387:M5391" si="736">IF(A5387="","",I5387*K5387)</f>
        <v>219.44613333333334</v>
      </c>
      <c r="N5387" s="273"/>
    </row>
    <row r="5388" spans="1:14" ht="12.75" customHeight="1" x14ac:dyDescent="0.2">
      <c r="A5388" s="403"/>
      <c r="B5388" s="271"/>
      <c r="C5388" s="271"/>
      <c r="D5388" s="271"/>
      <c r="E5388" s="271"/>
      <c r="F5388" s="271"/>
      <c r="G5388" s="273"/>
      <c r="H5388" s="29" t="str">
        <f>IF(A5388="","",VLOOKUP(A5388,AA_Equipos,7,FALSE))</f>
        <v/>
      </c>
      <c r="I5388" s="394" t="str">
        <f>IF(A5388="","",VLOOKUP(A5388,AA_Equipos,8,FALSE))</f>
        <v/>
      </c>
      <c r="J5388" s="273"/>
      <c r="K5388" s="402"/>
      <c r="L5388" s="273"/>
      <c r="M5388" s="394" t="str">
        <f t="shared" si="736"/>
        <v/>
      </c>
      <c r="N5388" s="273"/>
    </row>
    <row r="5389" spans="1:14" ht="12.75" customHeight="1" x14ac:dyDescent="0.2">
      <c r="A5389" s="400"/>
      <c r="B5389" s="271"/>
      <c r="C5389" s="271"/>
      <c r="D5389" s="271"/>
      <c r="E5389" s="271"/>
      <c r="F5389" s="271"/>
      <c r="G5389" s="273"/>
      <c r="H5389" s="29" t="str">
        <f>IF(A5389="","",VLOOKUP(A5389,AA_Equipos,7,FALSE))</f>
        <v/>
      </c>
      <c r="I5389" s="394"/>
      <c r="J5389" s="273"/>
      <c r="K5389" s="404"/>
      <c r="L5389" s="273"/>
      <c r="M5389" s="394" t="str">
        <f t="shared" si="736"/>
        <v/>
      </c>
      <c r="N5389" s="273"/>
    </row>
    <row r="5390" spans="1:14" ht="12.75" customHeight="1" x14ac:dyDescent="0.2">
      <c r="A5390" s="400"/>
      <c r="B5390" s="271"/>
      <c r="C5390" s="271"/>
      <c r="D5390" s="271"/>
      <c r="E5390" s="271"/>
      <c r="F5390" s="271"/>
      <c r="G5390" s="273"/>
      <c r="H5390" s="29" t="str">
        <f>IF(A5390="","",VLOOKUP(A5390,AA_Equipos,7,FALSE))</f>
        <v/>
      </c>
      <c r="I5390" s="394" t="str">
        <f>IF(A5390="","",VLOOKUP(A5390,AA_Equipos,8,FALSE))</f>
        <v/>
      </c>
      <c r="J5390" s="273"/>
      <c r="K5390" s="395"/>
      <c r="L5390" s="273"/>
      <c r="M5390" s="394" t="str">
        <f t="shared" si="736"/>
        <v/>
      </c>
      <c r="N5390" s="273"/>
    </row>
    <row r="5391" spans="1:14" ht="12.75" customHeight="1" x14ac:dyDescent="0.2">
      <c r="A5391" s="400"/>
      <c r="B5391" s="271"/>
      <c r="C5391" s="271"/>
      <c r="D5391" s="271"/>
      <c r="E5391" s="271"/>
      <c r="F5391" s="271"/>
      <c r="G5391" s="273"/>
      <c r="H5391" s="29" t="str">
        <f>IF(A5391="","",VLOOKUP(A5391,AA_Equipos,7,FALSE))</f>
        <v/>
      </c>
      <c r="I5391" s="394" t="str">
        <f>IF(A5391="","",VLOOKUP(A5391,AA_Equipos,8,FALSE))</f>
        <v/>
      </c>
      <c r="J5391" s="273"/>
      <c r="K5391" s="395"/>
      <c r="L5391" s="273"/>
      <c r="M5391" s="394" t="str">
        <f t="shared" si="736"/>
        <v/>
      </c>
      <c r="N5391" s="273"/>
    </row>
    <row r="5392" spans="1:14" ht="12.75" customHeight="1" x14ac:dyDescent="0.25">
      <c r="A5392" s="4"/>
      <c r="B5392" s="4"/>
      <c r="C5392" s="4"/>
      <c r="D5392" s="4"/>
      <c r="E5392" s="4"/>
      <c r="F5392" s="4"/>
      <c r="G5392" s="4"/>
      <c r="H5392" s="4"/>
      <c r="I5392" s="4"/>
      <c r="J5392" s="4"/>
      <c r="K5392" s="396" t="s">
        <v>444</v>
      </c>
      <c r="L5392" s="273"/>
      <c r="M5392" s="394">
        <f>SUM(M5387:N5391)</f>
        <v>219.44613333333334</v>
      </c>
      <c r="N5392" s="273"/>
    </row>
    <row r="5393" spans="1:14" ht="12.75" customHeight="1" x14ac:dyDescent="0.25">
      <c r="A5393" s="4"/>
      <c r="B5393" s="4"/>
      <c r="C5393" s="4"/>
      <c r="D5393" s="4"/>
      <c r="E5393" s="4"/>
      <c r="F5393" s="4"/>
      <c r="G5393" s="4"/>
      <c r="H5393" s="4"/>
      <c r="I5393" s="4"/>
      <c r="J5393" s="4"/>
      <c r="K5393" s="4"/>
      <c r="L5393" s="4"/>
      <c r="M5393" s="4"/>
      <c r="N5393" s="4"/>
    </row>
    <row r="5394" spans="1:14" ht="12.75" customHeight="1" x14ac:dyDescent="0.2">
      <c r="A5394" s="398" t="s">
        <v>929</v>
      </c>
      <c r="B5394" s="271"/>
      <c r="C5394" s="271"/>
      <c r="D5394" s="271"/>
      <c r="E5394" s="271"/>
      <c r="F5394" s="271"/>
      <c r="G5394" s="271"/>
      <c r="H5394" s="271"/>
      <c r="I5394" s="271"/>
      <c r="J5394" s="271"/>
      <c r="K5394" s="271"/>
      <c r="L5394" s="271"/>
      <c r="M5394" s="271"/>
      <c r="N5394" s="273"/>
    </row>
    <row r="5395" spans="1:14" ht="12.75" customHeight="1" x14ac:dyDescent="0.2">
      <c r="A5395" s="396" t="s">
        <v>76</v>
      </c>
      <c r="B5395" s="271"/>
      <c r="C5395" s="271"/>
      <c r="D5395" s="271"/>
      <c r="E5395" s="271"/>
      <c r="F5395" s="271"/>
      <c r="G5395" s="273"/>
      <c r="H5395" s="88" t="s">
        <v>77</v>
      </c>
      <c r="I5395" s="399" t="s">
        <v>920</v>
      </c>
      <c r="J5395" s="273"/>
      <c r="K5395" s="399" t="s">
        <v>453</v>
      </c>
      <c r="L5395" s="273"/>
      <c r="M5395" s="399" t="s">
        <v>921</v>
      </c>
      <c r="N5395" s="273"/>
    </row>
    <row r="5396" spans="1:14" ht="12.75" customHeight="1" x14ac:dyDescent="0.2">
      <c r="A5396" s="400"/>
      <c r="B5396" s="271"/>
      <c r="C5396" s="271"/>
      <c r="D5396" s="271"/>
      <c r="E5396" s="271"/>
      <c r="F5396" s="271"/>
      <c r="G5396" s="273"/>
      <c r="H5396" s="29"/>
      <c r="I5396" s="394"/>
      <c r="J5396" s="273"/>
      <c r="K5396" s="404"/>
      <c r="L5396" s="273"/>
      <c r="M5396" s="394" t="str">
        <f t="shared" ref="M5396:M5400" si="737">IF(A5396="","",I5396*K5396)</f>
        <v/>
      </c>
      <c r="N5396" s="273"/>
    </row>
    <row r="5397" spans="1:14" ht="12.75" customHeight="1" x14ac:dyDescent="0.2">
      <c r="A5397" s="403"/>
      <c r="B5397" s="271"/>
      <c r="C5397" s="271"/>
      <c r="D5397" s="271"/>
      <c r="E5397" s="271"/>
      <c r="F5397" s="271"/>
      <c r="G5397" s="273"/>
      <c r="H5397" s="29"/>
      <c r="I5397" s="394"/>
      <c r="J5397" s="273"/>
      <c r="K5397" s="404"/>
      <c r="L5397" s="273"/>
      <c r="M5397" s="394" t="str">
        <f t="shared" si="737"/>
        <v/>
      </c>
      <c r="N5397" s="273"/>
    </row>
    <row r="5398" spans="1:14" ht="12.75" customHeight="1" x14ac:dyDescent="0.2">
      <c r="A5398" s="400"/>
      <c r="B5398" s="271"/>
      <c r="C5398" s="271"/>
      <c r="D5398" s="271"/>
      <c r="E5398" s="271"/>
      <c r="F5398" s="271"/>
      <c r="G5398" s="273"/>
      <c r="H5398" s="29"/>
      <c r="I5398" s="394"/>
      <c r="J5398" s="273"/>
      <c r="K5398" s="395"/>
      <c r="L5398" s="273"/>
      <c r="M5398" s="394" t="str">
        <f t="shared" si="737"/>
        <v/>
      </c>
      <c r="N5398" s="273"/>
    </row>
    <row r="5399" spans="1:14" ht="12.75" customHeight="1" x14ac:dyDescent="0.2">
      <c r="A5399" s="400"/>
      <c r="B5399" s="271"/>
      <c r="C5399" s="271"/>
      <c r="D5399" s="271"/>
      <c r="E5399" s="271"/>
      <c r="F5399" s="271"/>
      <c r="G5399" s="273"/>
      <c r="H5399" s="29"/>
      <c r="I5399" s="394"/>
      <c r="J5399" s="273"/>
      <c r="K5399" s="395"/>
      <c r="L5399" s="273"/>
      <c r="M5399" s="394" t="str">
        <f t="shared" si="737"/>
        <v/>
      </c>
      <c r="N5399" s="273"/>
    </row>
    <row r="5400" spans="1:14" ht="12.75" customHeight="1" x14ac:dyDescent="0.2">
      <c r="A5400" s="400"/>
      <c r="B5400" s="271"/>
      <c r="C5400" s="271"/>
      <c r="D5400" s="271"/>
      <c r="E5400" s="271"/>
      <c r="F5400" s="271"/>
      <c r="G5400" s="273"/>
      <c r="H5400" s="29"/>
      <c r="I5400" s="394"/>
      <c r="J5400" s="273"/>
      <c r="K5400" s="395"/>
      <c r="L5400" s="273"/>
      <c r="M5400" s="394" t="str">
        <f t="shared" si="737"/>
        <v/>
      </c>
      <c r="N5400" s="273"/>
    </row>
    <row r="5401" spans="1:14" ht="12.75" customHeight="1" x14ac:dyDescent="0.25">
      <c r="A5401" s="4"/>
      <c r="B5401" s="4"/>
      <c r="C5401" s="4"/>
      <c r="D5401" s="4"/>
      <c r="E5401" s="4"/>
      <c r="F5401" s="4"/>
      <c r="G5401" s="4"/>
      <c r="H5401" s="4"/>
      <c r="I5401" s="4"/>
      <c r="J5401" s="4"/>
      <c r="K5401" s="396" t="s">
        <v>444</v>
      </c>
      <c r="L5401" s="273"/>
      <c r="M5401" s="394">
        <f>SUM(M5396:N5400)</f>
        <v>0</v>
      </c>
      <c r="N5401" s="273"/>
    </row>
    <row r="5402" spans="1:14" ht="12.75" customHeight="1" x14ac:dyDescent="0.25">
      <c r="A5402" s="4"/>
      <c r="B5402" s="4"/>
      <c r="C5402" s="4"/>
      <c r="D5402" s="4"/>
      <c r="E5402" s="4"/>
      <c r="F5402" s="4"/>
      <c r="G5402" s="4"/>
      <c r="H5402" s="4"/>
      <c r="I5402" s="4"/>
      <c r="J5402" s="4"/>
      <c r="K5402" s="4"/>
      <c r="L5402" s="4"/>
      <c r="M5402" s="4"/>
      <c r="N5402" s="4"/>
    </row>
    <row r="5403" spans="1:14" ht="12.75" customHeight="1" x14ac:dyDescent="0.2">
      <c r="A5403" s="398" t="s">
        <v>931</v>
      </c>
      <c r="B5403" s="271"/>
      <c r="C5403" s="271"/>
      <c r="D5403" s="271"/>
      <c r="E5403" s="271"/>
      <c r="F5403" s="271"/>
      <c r="G5403" s="271"/>
      <c r="H5403" s="271"/>
      <c r="I5403" s="271"/>
      <c r="J5403" s="271"/>
      <c r="K5403" s="271"/>
      <c r="L5403" s="271"/>
      <c r="M5403" s="271"/>
      <c r="N5403" s="273"/>
    </row>
    <row r="5404" spans="1:14" ht="12.75" customHeight="1" x14ac:dyDescent="0.2">
      <c r="A5404" s="396" t="s">
        <v>76</v>
      </c>
      <c r="B5404" s="271"/>
      <c r="C5404" s="271"/>
      <c r="D5404" s="271"/>
      <c r="E5404" s="271"/>
      <c r="F5404" s="271"/>
      <c r="G5404" s="273"/>
      <c r="H5404" s="88" t="s">
        <v>77</v>
      </c>
      <c r="I5404" s="399" t="s">
        <v>920</v>
      </c>
      <c r="J5404" s="273"/>
      <c r="K5404" s="90" t="s">
        <v>514</v>
      </c>
      <c r="L5404" s="91" t="s">
        <v>932</v>
      </c>
      <c r="M5404" s="399" t="s">
        <v>921</v>
      </c>
      <c r="N5404" s="273"/>
    </row>
    <row r="5405" spans="1:14" ht="12.75" customHeight="1" x14ac:dyDescent="0.25">
      <c r="A5405" s="393" t="s">
        <v>936</v>
      </c>
      <c r="B5405" s="271"/>
      <c r="C5405" s="271"/>
      <c r="D5405" s="271"/>
      <c r="E5405" s="271"/>
      <c r="F5405" s="271"/>
      <c r="G5405" s="273"/>
      <c r="H5405" s="29" t="str">
        <f>IF(A5405="","",VLOOKUP(A5405,AA_Cuadrillas,4,FALSE))</f>
        <v>Cuadrilla</v>
      </c>
      <c r="I5405" s="394">
        <f>IF(A5405="","",VLOOKUP(A5405,AA_Cuadrillas,5,FALSE))</f>
        <v>70036</v>
      </c>
      <c r="J5405" s="273"/>
      <c r="K5405" s="9">
        <f>IF(A5405="","",F.P!$I$2)</f>
        <v>1.88</v>
      </c>
      <c r="L5405" s="93">
        <v>3.3333333333333333E-2</v>
      </c>
      <c r="M5405" s="394">
        <f t="shared" ref="M5405:M5409" si="738">IF(A5405="","",I5405*K5405*L5405)</f>
        <v>4388.9226666666664</v>
      </c>
      <c r="N5405" s="273"/>
    </row>
    <row r="5406" spans="1:14" ht="12.75" customHeight="1" x14ac:dyDescent="0.25">
      <c r="A5406" s="393"/>
      <c r="B5406" s="271"/>
      <c r="C5406" s="271"/>
      <c r="D5406" s="271"/>
      <c r="E5406" s="271"/>
      <c r="F5406" s="271"/>
      <c r="G5406" s="273"/>
      <c r="H5406" s="29" t="str">
        <f>IF(A5406="","",VLOOKUP(A5406,AA_Cuadrillas,4,FALSE))</f>
        <v/>
      </c>
      <c r="I5406" s="394" t="str">
        <f>IF(A5406="","",VLOOKUP(A5406,AA_Cuadrillas,5,FALSE))</f>
        <v/>
      </c>
      <c r="J5406" s="273"/>
      <c r="K5406" s="9" t="str">
        <f>IF(A5406="","",F.P!$I$2)</f>
        <v/>
      </c>
      <c r="L5406" s="9"/>
      <c r="M5406" s="394" t="str">
        <f t="shared" si="738"/>
        <v/>
      </c>
      <c r="N5406" s="273"/>
    </row>
    <row r="5407" spans="1:14" ht="12.75" customHeight="1" x14ac:dyDescent="0.25">
      <c r="A5407" s="393"/>
      <c r="B5407" s="271"/>
      <c r="C5407" s="271"/>
      <c r="D5407" s="271"/>
      <c r="E5407" s="271"/>
      <c r="F5407" s="271"/>
      <c r="G5407" s="273"/>
      <c r="H5407" s="29" t="str">
        <f>IF(A5407="","",VLOOKUP(A5407,AA_Cuadrillas,4,FALSE))</f>
        <v/>
      </c>
      <c r="I5407" s="394" t="str">
        <f>IF(A5407="","",VLOOKUP(A5407,AA_Cuadrillas,5,FALSE))</f>
        <v/>
      </c>
      <c r="J5407" s="273"/>
      <c r="K5407" s="9" t="str">
        <f>IF(A5407="","",F.P!$I$2)</f>
        <v/>
      </c>
      <c r="L5407" s="37"/>
      <c r="M5407" s="394" t="str">
        <f t="shared" si="738"/>
        <v/>
      </c>
      <c r="N5407" s="273"/>
    </row>
    <row r="5408" spans="1:14" ht="12.75" customHeight="1" x14ac:dyDescent="0.25">
      <c r="A5408" s="393"/>
      <c r="B5408" s="271"/>
      <c r="C5408" s="271"/>
      <c r="D5408" s="271"/>
      <c r="E5408" s="271"/>
      <c r="F5408" s="271"/>
      <c r="G5408" s="273"/>
      <c r="H5408" s="29" t="str">
        <f>IF(A5408="","",VLOOKUP(A5408,AA_Cuadrillas,4,FALSE))</f>
        <v/>
      </c>
      <c r="I5408" s="394" t="str">
        <f>IF(A5408="","",VLOOKUP(A5408,AA_Cuadrillas,5,FALSE))</f>
        <v/>
      </c>
      <c r="J5408" s="273"/>
      <c r="K5408" s="9" t="str">
        <f>IF(A5408="","",F.P!$I$2)</f>
        <v/>
      </c>
      <c r="L5408" s="37"/>
      <c r="M5408" s="394" t="str">
        <f t="shared" si="738"/>
        <v/>
      </c>
      <c r="N5408" s="273"/>
    </row>
    <row r="5409" spans="1:14" ht="12.75" customHeight="1" x14ac:dyDescent="0.25">
      <c r="A5409" s="393"/>
      <c r="B5409" s="271"/>
      <c r="C5409" s="271"/>
      <c r="D5409" s="271"/>
      <c r="E5409" s="271"/>
      <c r="F5409" s="271"/>
      <c r="G5409" s="273"/>
      <c r="H5409" s="29" t="str">
        <f>IF(A5409="","",VLOOKUP(A5409,AA_Cuadrillas,4,FALSE))</f>
        <v/>
      </c>
      <c r="I5409" s="394" t="str">
        <f>IF(A5409="","",VLOOKUP(A5409,AA_Cuadrillas,5,FALSE))</f>
        <v/>
      </c>
      <c r="J5409" s="273"/>
      <c r="K5409" s="9" t="str">
        <f>IF(A5409="","",F.P!$I$2)</f>
        <v/>
      </c>
      <c r="L5409" s="37"/>
      <c r="M5409" s="394" t="str">
        <f t="shared" si="738"/>
        <v/>
      </c>
      <c r="N5409" s="273"/>
    </row>
    <row r="5410" spans="1:14" ht="12.75" customHeight="1" x14ac:dyDescent="0.25">
      <c r="A5410" s="4"/>
      <c r="B5410" s="4"/>
      <c r="C5410" s="4"/>
      <c r="D5410" s="4"/>
      <c r="E5410" s="4"/>
      <c r="F5410" s="4"/>
      <c r="G5410" s="4"/>
      <c r="H5410" s="4"/>
      <c r="I5410" s="4"/>
      <c r="J5410" s="4"/>
      <c r="K5410" s="396" t="s">
        <v>444</v>
      </c>
      <c r="L5410" s="273"/>
      <c r="M5410" s="394">
        <f>SUM(M5405:N5409)</f>
        <v>4388.9226666666664</v>
      </c>
      <c r="N5410" s="273"/>
    </row>
    <row r="5411" spans="1:14" ht="12.75" customHeight="1" x14ac:dyDescent="0.2"/>
    <row r="5412" spans="1:14" ht="12.75" customHeight="1" x14ac:dyDescent="0.2">
      <c r="A5412" s="407" t="s">
        <v>335</v>
      </c>
      <c r="B5412" s="275"/>
      <c r="C5412" s="275"/>
      <c r="D5412" s="275"/>
      <c r="E5412" s="275"/>
      <c r="F5412" s="275"/>
      <c r="G5412" s="275"/>
      <c r="H5412" s="275"/>
      <c r="I5412" s="275"/>
      <c r="J5412" s="275"/>
      <c r="K5412" s="275"/>
      <c r="L5412" s="275"/>
      <c r="M5412" s="275"/>
      <c r="N5412" s="276"/>
    </row>
    <row r="5413" spans="1:14" ht="12.75" customHeight="1" x14ac:dyDescent="0.2">
      <c r="A5413" s="277"/>
      <c r="B5413" s="278"/>
      <c r="C5413" s="278"/>
      <c r="D5413" s="278"/>
      <c r="E5413" s="278"/>
      <c r="F5413" s="278"/>
      <c r="G5413" s="278"/>
      <c r="H5413" s="278"/>
      <c r="I5413" s="278"/>
      <c r="J5413" s="278"/>
      <c r="K5413" s="278"/>
      <c r="L5413" s="278"/>
      <c r="M5413" s="278"/>
      <c r="N5413" s="279"/>
    </row>
    <row r="5414" spans="1:14" ht="12.75" customHeight="1" x14ac:dyDescent="0.2">
      <c r="A5414" s="75"/>
      <c r="B5414" s="75"/>
      <c r="C5414" s="75"/>
      <c r="D5414" s="75"/>
      <c r="E5414" s="75"/>
      <c r="F5414" s="75"/>
      <c r="G5414" s="75"/>
      <c r="H5414" s="75"/>
      <c r="I5414" s="75"/>
      <c r="J5414" s="75"/>
      <c r="K5414" s="75"/>
      <c r="L5414" s="75"/>
      <c r="M5414" s="75"/>
      <c r="N5414" s="75"/>
    </row>
    <row r="5415" spans="1:14" ht="12.75" customHeight="1" x14ac:dyDescent="0.3">
      <c r="A5415" s="79" t="s">
        <v>740</v>
      </c>
      <c r="B5415" s="80" t="str">
        <f>A5412</f>
        <v>SUMINISTRO E INSTALACIÓN DE TAPA Y ARO (INCLUYE MATERIALES, HERRAMIENTAS Y MANO DE OBRA)</v>
      </c>
      <c r="C5415" s="81" t="s">
        <v>916</v>
      </c>
      <c r="D5415" s="82" t="s">
        <v>999</v>
      </c>
      <c r="E5415" s="83" t="s">
        <v>445</v>
      </c>
      <c r="F5415" s="86">
        <f>H5415+J5415+L5415+N5415</f>
        <v>519978.42492069711</v>
      </c>
      <c r="G5415" s="83" t="s">
        <v>607</v>
      </c>
      <c r="H5415" s="86">
        <f>M5436</f>
        <v>109.72306666666667</v>
      </c>
      <c r="I5415" s="83" t="s">
        <v>918</v>
      </c>
      <c r="J5415" s="86">
        <f>M5427</f>
        <v>517674.24052069709</v>
      </c>
      <c r="K5415" s="83" t="s">
        <v>609</v>
      </c>
      <c r="L5415" s="86">
        <f>M5445</f>
        <v>0</v>
      </c>
      <c r="M5415" s="83" t="s">
        <v>610</v>
      </c>
      <c r="N5415" s="86">
        <f>M5454</f>
        <v>2194.4613333333332</v>
      </c>
    </row>
    <row r="5416" spans="1:14" ht="12.75" customHeight="1" x14ac:dyDescent="0.25">
      <c r="A5416" s="87"/>
      <c r="B5416" s="87"/>
      <c r="C5416" s="87"/>
      <c r="D5416" s="87"/>
      <c r="E5416" s="87"/>
      <c r="F5416" s="87"/>
      <c r="G5416" s="87"/>
      <c r="J5416" s="87"/>
      <c r="K5416" s="215" t="s">
        <v>3217</v>
      </c>
      <c r="L5416" s="215">
        <f>+F5415*presup!$O$5</f>
        <v>675971.95239690621</v>
      </c>
      <c r="M5416" s="87"/>
      <c r="N5416" s="87"/>
    </row>
    <row r="5417" spans="1:14" ht="12.75" customHeight="1" x14ac:dyDescent="0.2">
      <c r="A5417" s="398" t="s">
        <v>919</v>
      </c>
      <c r="B5417" s="271"/>
      <c r="C5417" s="271"/>
      <c r="D5417" s="271"/>
      <c r="E5417" s="271"/>
      <c r="F5417" s="271"/>
      <c r="G5417" s="271"/>
      <c r="H5417" s="271"/>
      <c r="I5417" s="271"/>
      <c r="J5417" s="271"/>
      <c r="K5417" s="271"/>
      <c r="L5417" s="271"/>
      <c r="M5417" s="271"/>
      <c r="N5417" s="273"/>
    </row>
    <row r="5418" spans="1:14" ht="12.75" customHeight="1" x14ac:dyDescent="0.2">
      <c r="A5418" s="396" t="s">
        <v>76</v>
      </c>
      <c r="B5418" s="271"/>
      <c r="C5418" s="271"/>
      <c r="D5418" s="271"/>
      <c r="E5418" s="271"/>
      <c r="F5418" s="271"/>
      <c r="G5418" s="273"/>
      <c r="H5418" s="88" t="s">
        <v>77</v>
      </c>
      <c r="I5418" s="399" t="s">
        <v>920</v>
      </c>
      <c r="J5418" s="273"/>
      <c r="K5418" s="399" t="s">
        <v>453</v>
      </c>
      <c r="L5418" s="273"/>
      <c r="M5418" s="399" t="s">
        <v>921</v>
      </c>
      <c r="N5418" s="273"/>
    </row>
    <row r="5419" spans="1:14" ht="12.75" customHeight="1" x14ac:dyDescent="0.2">
      <c r="A5419" s="400" t="s">
        <v>1216</v>
      </c>
      <c r="B5419" s="271"/>
      <c r="C5419" s="271"/>
      <c r="D5419" s="271"/>
      <c r="E5419" s="271"/>
      <c r="F5419" s="271"/>
      <c r="G5419" s="273"/>
      <c r="H5419" s="29" t="str">
        <f t="shared" ref="H5419:H5424" si="739">IF(A5419="","",VLOOKUP(A5419,AA_Materiales,7,FALSE))</f>
        <v>Unidad</v>
      </c>
      <c r="I5419" s="394">
        <f t="shared" ref="I5419:I5426" si="740">IF(A5419="","",VLOOKUP(A5419,AA_Materiales,8,FALSE))</f>
        <v>276410.71000000002</v>
      </c>
      <c r="J5419" s="273"/>
      <c r="K5419" s="395">
        <v>1</v>
      </c>
      <c r="L5419" s="273"/>
      <c r="M5419" s="394">
        <f t="shared" ref="M5419:M5426" si="741">IF(A5419="","",I5419*K5419)</f>
        <v>276410.71000000002</v>
      </c>
      <c r="N5419" s="273"/>
    </row>
    <row r="5420" spans="1:14" ht="12.75" customHeight="1" x14ac:dyDescent="0.2">
      <c r="A5420" s="400" t="s">
        <v>987</v>
      </c>
      <c r="B5420" s="271"/>
      <c r="C5420" s="271"/>
      <c r="D5420" s="271"/>
      <c r="E5420" s="271"/>
      <c r="F5420" s="271"/>
      <c r="G5420" s="273"/>
      <c r="H5420" s="29" t="str">
        <f t="shared" si="739"/>
        <v>m3</v>
      </c>
      <c r="I5420" s="394">
        <f t="shared" si="740"/>
        <v>965054.12208278815</v>
      </c>
      <c r="J5420" s="273"/>
      <c r="K5420" s="395">
        <v>0.25</v>
      </c>
      <c r="L5420" s="273"/>
      <c r="M5420" s="394">
        <f t="shared" si="741"/>
        <v>241263.53052069704</v>
      </c>
      <c r="N5420" s="273"/>
    </row>
    <row r="5421" spans="1:14" ht="12.75" customHeight="1" x14ac:dyDescent="0.2">
      <c r="A5421" s="400"/>
      <c r="B5421" s="271"/>
      <c r="C5421" s="271"/>
      <c r="D5421" s="271"/>
      <c r="E5421" s="271"/>
      <c r="F5421" s="271"/>
      <c r="G5421" s="273"/>
      <c r="H5421" s="29" t="str">
        <f t="shared" si="739"/>
        <v/>
      </c>
      <c r="I5421" s="394" t="str">
        <f t="shared" si="740"/>
        <v/>
      </c>
      <c r="J5421" s="273"/>
      <c r="K5421" s="395"/>
      <c r="L5421" s="273"/>
      <c r="M5421" s="394" t="str">
        <f t="shared" si="741"/>
        <v/>
      </c>
      <c r="N5421" s="273"/>
    </row>
    <row r="5422" spans="1:14" ht="12.75" customHeight="1" x14ac:dyDescent="0.2">
      <c r="A5422" s="400"/>
      <c r="B5422" s="271"/>
      <c r="C5422" s="271"/>
      <c r="D5422" s="271"/>
      <c r="E5422" s="271"/>
      <c r="F5422" s="271"/>
      <c r="G5422" s="273"/>
      <c r="H5422" s="29" t="str">
        <f t="shared" si="739"/>
        <v/>
      </c>
      <c r="I5422" s="394" t="str">
        <f t="shared" si="740"/>
        <v/>
      </c>
      <c r="J5422" s="273"/>
      <c r="K5422" s="395"/>
      <c r="L5422" s="273"/>
      <c r="M5422" s="394" t="str">
        <f t="shared" si="741"/>
        <v/>
      </c>
      <c r="N5422" s="273"/>
    </row>
    <row r="5423" spans="1:14" ht="12.75" customHeight="1" x14ac:dyDescent="0.2">
      <c r="A5423" s="400"/>
      <c r="B5423" s="271"/>
      <c r="C5423" s="271"/>
      <c r="D5423" s="271"/>
      <c r="E5423" s="271"/>
      <c r="F5423" s="271"/>
      <c r="G5423" s="273"/>
      <c r="H5423" s="29" t="str">
        <f t="shared" si="739"/>
        <v/>
      </c>
      <c r="I5423" s="394" t="str">
        <f t="shared" si="740"/>
        <v/>
      </c>
      <c r="J5423" s="273"/>
      <c r="K5423" s="395"/>
      <c r="L5423" s="273"/>
      <c r="M5423" s="394" t="str">
        <f t="shared" si="741"/>
        <v/>
      </c>
      <c r="N5423" s="273"/>
    </row>
    <row r="5424" spans="1:14" ht="12.75" customHeight="1" x14ac:dyDescent="0.2">
      <c r="A5424" s="400"/>
      <c r="B5424" s="271"/>
      <c r="C5424" s="271"/>
      <c r="D5424" s="271"/>
      <c r="E5424" s="271"/>
      <c r="F5424" s="271"/>
      <c r="G5424" s="273"/>
      <c r="H5424" s="29" t="str">
        <f t="shared" si="739"/>
        <v/>
      </c>
      <c r="I5424" s="394" t="str">
        <f t="shared" si="740"/>
        <v/>
      </c>
      <c r="J5424" s="273"/>
      <c r="K5424" s="395"/>
      <c r="L5424" s="273"/>
      <c r="M5424" s="394" t="str">
        <f t="shared" si="741"/>
        <v/>
      </c>
      <c r="N5424" s="273"/>
    </row>
    <row r="5425" spans="1:14" ht="12.75" customHeight="1" x14ac:dyDescent="0.2">
      <c r="A5425" s="400"/>
      <c r="B5425" s="271"/>
      <c r="C5425" s="271"/>
      <c r="D5425" s="271"/>
      <c r="E5425" s="271"/>
      <c r="F5425" s="271"/>
      <c r="G5425" s="273"/>
      <c r="H5425" s="29"/>
      <c r="I5425" s="394" t="str">
        <f t="shared" si="740"/>
        <v/>
      </c>
      <c r="J5425" s="273"/>
      <c r="K5425" s="395"/>
      <c r="L5425" s="273"/>
      <c r="M5425" s="394" t="str">
        <f t="shared" si="741"/>
        <v/>
      </c>
      <c r="N5425" s="273"/>
    </row>
    <row r="5426" spans="1:14" ht="12.75" customHeight="1" x14ac:dyDescent="0.2">
      <c r="A5426" s="400"/>
      <c r="B5426" s="271"/>
      <c r="C5426" s="271"/>
      <c r="D5426" s="271"/>
      <c r="E5426" s="271"/>
      <c r="F5426" s="271"/>
      <c r="G5426" s="273"/>
      <c r="H5426" s="29" t="str">
        <f>IF(A5426="","",VLOOKUP(A5426,AA_Materiales,7,FALSE))</f>
        <v/>
      </c>
      <c r="I5426" s="394" t="str">
        <f t="shared" si="740"/>
        <v/>
      </c>
      <c r="J5426" s="273"/>
      <c r="K5426" s="395"/>
      <c r="L5426" s="273"/>
      <c r="M5426" s="394" t="str">
        <f t="shared" si="741"/>
        <v/>
      </c>
      <c r="N5426" s="273"/>
    </row>
    <row r="5427" spans="1:14" ht="12.75" customHeight="1" x14ac:dyDescent="0.25">
      <c r="A5427" s="4"/>
      <c r="B5427" s="4"/>
      <c r="C5427" s="4"/>
      <c r="D5427" s="4"/>
      <c r="E5427" s="4"/>
      <c r="F5427" s="4"/>
      <c r="G5427" s="4"/>
      <c r="H5427" s="4"/>
      <c r="I5427" s="4"/>
      <c r="J5427" s="4"/>
      <c r="K5427" s="396" t="s">
        <v>444</v>
      </c>
      <c r="L5427" s="273"/>
      <c r="M5427" s="394">
        <f>SUM(M5419:N5426)</f>
        <v>517674.24052069709</v>
      </c>
      <c r="N5427" s="273"/>
    </row>
    <row r="5428" spans="1:14" ht="12.75" customHeight="1" x14ac:dyDescent="0.25">
      <c r="A5428" s="4"/>
      <c r="B5428" s="4"/>
      <c r="C5428" s="4"/>
      <c r="D5428" s="4"/>
      <c r="E5428" s="4"/>
      <c r="F5428" s="4"/>
      <c r="G5428" s="4"/>
      <c r="H5428" s="4"/>
      <c r="I5428" s="4"/>
      <c r="J5428" s="4"/>
      <c r="K5428" s="4"/>
      <c r="L5428" s="4"/>
      <c r="M5428" s="4"/>
      <c r="N5428" s="4"/>
    </row>
    <row r="5429" spans="1:14" ht="12.75" customHeight="1" x14ac:dyDescent="0.2">
      <c r="A5429" s="398" t="s">
        <v>926</v>
      </c>
      <c r="B5429" s="271"/>
      <c r="C5429" s="271"/>
      <c r="D5429" s="271"/>
      <c r="E5429" s="271"/>
      <c r="F5429" s="271"/>
      <c r="G5429" s="271"/>
      <c r="H5429" s="271"/>
      <c r="I5429" s="271"/>
      <c r="J5429" s="271"/>
      <c r="K5429" s="271"/>
      <c r="L5429" s="271"/>
      <c r="M5429" s="271"/>
      <c r="N5429" s="273"/>
    </row>
    <row r="5430" spans="1:14" ht="12.75" customHeight="1" x14ac:dyDescent="0.2">
      <c r="A5430" s="396" t="s">
        <v>76</v>
      </c>
      <c r="B5430" s="271"/>
      <c r="C5430" s="271"/>
      <c r="D5430" s="271"/>
      <c r="E5430" s="271"/>
      <c r="F5430" s="271"/>
      <c r="G5430" s="273"/>
      <c r="H5430" s="88" t="s">
        <v>77</v>
      </c>
      <c r="I5430" s="399" t="s">
        <v>920</v>
      </c>
      <c r="J5430" s="273"/>
      <c r="K5430" s="399" t="s">
        <v>453</v>
      </c>
      <c r="L5430" s="273"/>
      <c r="M5430" s="399" t="s">
        <v>921</v>
      </c>
      <c r="N5430" s="273"/>
    </row>
    <row r="5431" spans="1:14" ht="12.75" customHeight="1" x14ac:dyDescent="0.2">
      <c r="A5431" s="400" t="s">
        <v>927</v>
      </c>
      <c r="B5431" s="271"/>
      <c r="C5431" s="271"/>
      <c r="D5431" s="271"/>
      <c r="E5431" s="271"/>
      <c r="F5431" s="271"/>
      <c r="G5431" s="273"/>
      <c r="H5431" s="29" t="str">
        <f>IF(A5431="","",VLOOKUP(A5431,AA_Equipos,7,FALSE))</f>
        <v>% M.O.</v>
      </c>
      <c r="I5431" s="394">
        <f>+M5454</f>
        <v>2194.4613333333332</v>
      </c>
      <c r="J5431" s="273"/>
      <c r="K5431" s="404">
        <v>0.05</v>
      </c>
      <c r="L5431" s="273"/>
      <c r="M5431" s="394">
        <f t="shared" ref="M5431:M5435" si="742">IF(A5431="","",I5431*K5431)</f>
        <v>109.72306666666667</v>
      </c>
      <c r="N5431" s="273"/>
    </row>
    <row r="5432" spans="1:14" ht="12.75" customHeight="1" x14ac:dyDescent="0.2">
      <c r="A5432" s="403"/>
      <c r="B5432" s="271"/>
      <c r="C5432" s="271"/>
      <c r="D5432" s="271"/>
      <c r="E5432" s="271"/>
      <c r="F5432" s="271"/>
      <c r="G5432" s="273"/>
      <c r="H5432" s="29" t="str">
        <f>IF(A5432="","",VLOOKUP(A5432,AA_Equipos,7,FALSE))</f>
        <v/>
      </c>
      <c r="I5432" s="394" t="str">
        <f>IF(A5432="","",VLOOKUP(A5432,AA_Equipos,8,FALSE))</f>
        <v/>
      </c>
      <c r="J5432" s="273"/>
      <c r="K5432" s="402"/>
      <c r="L5432" s="273"/>
      <c r="M5432" s="394" t="str">
        <f t="shared" si="742"/>
        <v/>
      </c>
      <c r="N5432" s="273"/>
    </row>
    <row r="5433" spans="1:14" ht="12.75" customHeight="1" x14ac:dyDescent="0.2">
      <c r="A5433" s="400"/>
      <c r="B5433" s="271"/>
      <c r="C5433" s="271"/>
      <c r="D5433" s="271"/>
      <c r="E5433" s="271"/>
      <c r="F5433" s="271"/>
      <c r="G5433" s="273"/>
      <c r="H5433" s="29" t="str">
        <f>IF(A5433="","",VLOOKUP(A5433,AA_Equipos,7,FALSE))</f>
        <v/>
      </c>
      <c r="I5433" s="394"/>
      <c r="J5433" s="273"/>
      <c r="K5433" s="404"/>
      <c r="L5433" s="273"/>
      <c r="M5433" s="394" t="str">
        <f t="shared" si="742"/>
        <v/>
      </c>
      <c r="N5433" s="273"/>
    </row>
    <row r="5434" spans="1:14" ht="12.75" customHeight="1" x14ac:dyDescent="0.2">
      <c r="A5434" s="400"/>
      <c r="B5434" s="271"/>
      <c r="C5434" s="271"/>
      <c r="D5434" s="271"/>
      <c r="E5434" s="271"/>
      <c r="F5434" s="271"/>
      <c r="G5434" s="273"/>
      <c r="H5434" s="29" t="str">
        <f>IF(A5434="","",VLOOKUP(A5434,AA_Equipos,7,FALSE))</f>
        <v/>
      </c>
      <c r="I5434" s="394" t="str">
        <f>IF(A5434="","",VLOOKUP(A5434,AA_Equipos,8,FALSE))</f>
        <v/>
      </c>
      <c r="J5434" s="273"/>
      <c r="K5434" s="395"/>
      <c r="L5434" s="273"/>
      <c r="M5434" s="394" t="str">
        <f t="shared" si="742"/>
        <v/>
      </c>
      <c r="N5434" s="273"/>
    </row>
    <row r="5435" spans="1:14" ht="12.75" customHeight="1" x14ac:dyDescent="0.2">
      <c r="A5435" s="400"/>
      <c r="B5435" s="271"/>
      <c r="C5435" s="271"/>
      <c r="D5435" s="271"/>
      <c r="E5435" s="271"/>
      <c r="F5435" s="271"/>
      <c r="G5435" s="273"/>
      <c r="H5435" s="29" t="str">
        <f>IF(A5435="","",VLOOKUP(A5435,AA_Equipos,7,FALSE))</f>
        <v/>
      </c>
      <c r="I5435" s="394" t="str">
        <f>IF(A5435="","",VLOOKUP(A5435,AA_Equipos,8,FALSE))</f>
        <v/>
      </c>
      <c r="J5435" s="273"/>
      <c r="K5435" s="395"/>
      <c r="L5435" s="273"/>
      <c r="M5435" s="394" t="str">
        <f t="shared" si="742"/>
        <v/>
      </c>
      <c r="N5435" s="273"/>
    </row>
    <row r="5436" spans="1:14" ht="12.75" customHeight="1" x14ac:dyDescent="0.25">
      <c r="A5436" s="4"/>
      <c r="B5436" s="4"/>
      <c r="C5436" s="4"/>
      <c r="D5436" s="4"/>
      <c r="E5436" s="4"/>
      <c r="F5436" s="4"/>
      <c r="G5436" s="4"/>
      <c r="H5436" s="4"/>
      <c r="I5436" s="4"/>
      <c r="J5436" s="4"/>
      <c r="K5436" s="396" t="s">
        <v>444</v>
      </c>
      <c r="L5436" s="273"/>
      <c r="M5436" s="394">
        <f>SUM(M5431:N5435)</f>
        <v>109.72306666666667</v>
      </c>
      <c r="N5436" s="273"/>
    </row>
    <row r="5437" spans="1:14" ht="12.75" customHeight="1" x14ac:dyDescent="0.25">
      <c r="A5437" s="4"/>
      <c r="B5437" s="4"/>
      <c r="C5437" s="4"/>
      <c r="D5437" s="4"/>
      <c r="E5437" s="4"/>
      <c r="F5437" s="4"/>
      <c r="G5437" s="4"/>
      <c r="H5437" s="4"/>
      <c r="I5437" s="4"/>
      <c r="J5437" s="4"/>
      <c r="K5437" s="4"/>
      <c r="L5437" s="4"/>
      <c r="M5437" s="4"/>
      <c r="N5437" s="4"/>
    </row>
    <row r="5438" spans="1:14" ht="12.75" customHeight="1" x14ac:dyDescent="0.2">
      <c r="A5438" s="398" t="s">
        <v>929</v>
      </c>
      <c r="B5438" s="271"/>
      <c r="C5438" s="271"/>
      <c r="D5438" s="271"/>
      <c r="E5438" s="271"/>
      <c r="F5438" s="271"/>
      <c r="G5438" s="271"/>
      <c r="H5438" s="271"/>
      <c r="I5438" s="271"/>
      <c r="J5438" s="271"/>
      <c r="K5438" s="271"/>
      <c r="L5438" s="271"/>
      <c r="M5438" s="271"/>
      <c r="N5438" s="273"/>
    </row>
    <row r="5439" spans="1:14" ht="12.75" customHeight="1" x14ac:dyDescent="0.2">
      <c r="A5439" s="396" t="s">
        <v>76</v>
      </c>
      <c r="B5439" s="271"/>
      <c r="C5439" s="271"/>
      <c r="D5439" s="271"/>
      <c r="E5439" s="271"/>
      <c r="F5439" s="271"/>
      <c r="G5439" s="273"/>
      <c r="H5439" s="88" t="s">
        <v>77</v>
      </c>
      <c r="I5439" s="399" t="s">
        <v>920</v>
      </c>
      <c r="J5439" s="273"/>
      <c r="K5439" s="399" t="s">
        <v>453</v>
      </c>
      <c r="L5439" s="273"/>
      <c r="M5439" s="399" t="s">
        <v>921</v>
      </c>
      <c r="N5439" s="273"/>
    </row>
    <row r="5440" spans="1:14" ht="12.75" customHeight="1" x14ac:dyDescent="0.2">
      <c r="A5440" s="400"/>
      <c r="B5440" s="271"/>
      <c r="C5440" s="271"/>
      <c r="D5440" s="271"/>
      <c r="E5440" s="271"/>
      <c r="F5440" s="271"/>
      <c r="G5440" s="273"/>
      <c r="H5440" s="29"/>
      <c r="I5440" s="394"/>
      <c r="J5440" s="273"/>
      <c r="K5440" s="404"/>
      <c r="L5440" s="273"/>
      <c r="M5440" s="394" t="str">
        <f t="shared" ref="M5440:M5444" si="743">IF(A5440="","",I5440*K5440)</f>
        <v/>
      </c>
      <c r="N5440" s="273"/>
    </row>
    <row r="5441" spans="1:14" ht="12.75" customHeight="1" x14ac:dyDescent="0.2">
      <c r="A5441" s="403"/>
      <c r="B5441" s="271"/>
      <c r="C5441" s="271"/>
      <c r="D5441" s="271"/>
      <c r="E5441" s="271"/>
      <c r="F5441" s="271"/>
      <c r="G5441" s="273"/>
      <c r="H5441" s="29"/>
      <c r="I5441" s="394"/>
      <c r="J5441" s="273"/>
      <c r="K5441" s="404"/>
      <c r="L5441" s="273"/>
      <c r="M5441" s="394" t="str">
        <f t="shared" si="743"/>
        <v/>
      </c>
      <c r="N5441" s="273"/>
    </row>
    <row r="5442" spans="1:14" ht="12.75" customHeight="1" x14ac:dyDescent="0.2">
      <c r="A5442" s="400"/>
      <c r="B5442" s="271"/>
      <c r="C5442" s="271"/>
      <c r="D5442" s="271"/>
      <c r="E5442" s="271"/>
      <c r="F5442" s="271"/>
      <c r="G5442" s="273"/>
      <c r="H5442" s="29"/>
      <c r="I5442" s="394"/>
      <c r="J5442" s="273"/>
      <c r="K5442" s="395"/>
      <c r="L5442" s="273"/>
      <c r="M5442" s="394" t="str">
        <f t="shared" si="743"/>
        <v/>
      </c>
      <c r="N5442" s="273"/>
    </row>
    <row r="5443" spans="1:14" ht="12.75" customHeight="1" x14ac:dyDescent="0.2">
      <c r="A5443" s="400"/>
      <c r="B5443" s="271"/>
      <c r="C5443" s="271"/>
      <c r="D5443" s="271"/>
      <c r="E5443" s="271"/>
      <c r="F5443" s="271"/>
      <c r="G5443" s="273"/>
      <c r="H5443" s="29"/>
      <c r="I5443" s="394"/>
      <c r="J5443" s="273"/>
      <c r="K5443" s="395"/>
      <c r="L5443" s="273"/>
      <c r="M5443" s="394" t="str">
        <f t="shared" si="743"/>
        <v/>
      </c>
      <c r="N5443" s="273"/>
    </row>
    <row r="5444" spans="1:14" ht="12.75" customHeight="1" x14ac:dyDescent="0.2">
      <c r="A5444" s="400"/>
      <c r="B5444" s="271"/>
      <c r="C5444" s="271"/>
      <c r="D5444" s="271"/>
      <c r="E5444" s="271"/>
      <c r="F5444" s="271"/>
      <c r="G5444" s="273"/>
      <c r="H5444" s="29"/>
      <c r="I5444" s="394"/>
      <c r="J5444" s="273"/>
      <c r="K5444" s="395"/>
      <c r="L5444" s="273"/>
      <c r="M5444" s="394" t="str">
        <f t="shared" si="743"/>
        <v/>
      </c>
      <c r="N5444" s="273"/>
    </row>
    <row r="5445" spans="1:14" ht="12.75" customHeight="1" x14ac:dyDescent="0.25">
      <c r="A5445" s="4"/>
      <c r="B5445" s="4"/>
      <c r="C5445" s="4"/>
      <c r="D5445" s="4"/>
      <c r="E5445" s="4"/>
      <c r="F5445" s="4"/>
      <c r="G5445" s="4"/>
      <c r="H5445" s="4"/>
      <c r="I5445" s="4"/>
      <c r="J5445" s="4"/>
      <c r="K5445" s="396" t="s">
        <v>444</v>
      </c>
      <c r="L5445" s="273"/>
      <c r="M5445" s="394">
        <f>SUM(M5440:N5444)</f>
        <v>0</v>
      </c>
      <c r="N5445" s="273"/>
    </row>
    <row r="5446" spans="1:14" ht="12.75" customHeight="1" x14ac:dyDescent="0.25">
      <c r="A5446" s="4"/>
      <c r="B5446" s="4"/>
      <c r="C5446" s="4"/>
      <c r="D5446" s="4"/>
      <c r="E5446" s="4"/>
      <c r="F5446" s="4"/>
      <c r="G5446" s="4"/>
      <c r="H5446" s="4"/>
      <c r="I5446" s="4"/>
      <c r="J5446" s="4"/>
      <c r="K5446" s="4"/>
      <c r="L5446" s="4"/>
      <c r="M5446" s="4"/>
      <c r="N5446" s="4"/>
    </row>
    <row r="5447" spans="1:14" ht="12.75" customHeight="1" x14ac:dyDescent="0.2">
      <c r="A5447" s="398" t="s">
        <v>931</v>
      </c>
      <c r="B5447" s="271"/>
      <c r="C5447" s="271"/>
      <c r="D5447" s="271"/>
      <c r="E5447" s="271"/>
      <c r="F5447" s="271"/>
      <c r="G5447" s="271"/>
      <c r="H5447" s="271"/>
      <c r="I5447" s="271"/>
      <c r="J5447" s="271"/>
      <c r="K5447" s="271"/>
      <c r="L5447" s="271"/>
      <c r="M5447" s="271"/>
      <c r="N5447" s="273"/>
    </row>
    <row r="5448" spans="1:14" ht="12.75" customHeight="1" x14ac:dyDescent="0.2">
      <c r="A5448" s="396" t="s">
        <v>76</v>
      </c>
      <c r="B5448" s="271"/>
      <c r="C5448" s="271"/>
      <c r="D5448" s="271"/>
      <c r="E5448" s="271"/>
      <c r="F5448" s="271"/>
      <c r="G5448" s="273"/>
      <c r="H5448" s="88" t="s">
        <v>77</v>
      </c>
      <c r="I5448" s="399" t="s">
        <v>920</v>
      </c>
      <c r="J5448" s="273"/>
      <c r="K5448" s="90" t="s">
        <v>514</v>
      </c>
      <c r="L5448" s="91" t="s">
        <v>932</v>
      </c>
      <c r="M5448" s="399" t="s">
        <v>921</v>
      </c>
      <c r="N5448" s="273"/>
    </row>
    <row r="5449" spans="1:14" ht="12.75" customHeight="1" x14ac:dyDescent="0.25">
      <c r="A5449" s="393" t="s">
        <v>936</v>
      </c>
      <c r="B5449" s="271"/>
      <c r="C5449" s="271"/>
      <c r="D5449" s="271"/>
      <c r="E5449" s="271"/>
      <c r="F5449" s="271"/>
      <c r="G5449" s="273"/>
      <c r="H5449" s="29" t="str">
        <f>IF(A5449="","",VLOOKUP(A5449,AA_Cuadrillas,4,FALSE))</f>
        <v>Cuadrilla</v>
      </c>
      <c r="I5449" s="394">
        <f>IF(A5449="","",VLOOKUP(A5449,AA_Cuadrillas,5,FALSE))</f>
        <v>70036</v>
      </c>
      <c r="J5449" s="273"/>
      <c r="K5449" s="9">
        <f>IF(A5449="","",F.P!$I$2)</f>
        <v>1.88</v>
      </c>
      <c r="L5449" s="93">
        <v>1.6666666666666666E-2</v>
      </c>
      <c r="M5449" s="394">
        <f t="shared" ref="M5449:M5453" si="744">IF(A5449="","",I5449*K5449*L5449)</f>
        <v>2194.4613333333332</v>
      </c>
      <c r="N5449" s="273"/>
    </row>
    <row r="5450" spans="1:14" ht="12.75" customHeight="1" x14ac:dyDescent="0.25">
      <c r="A5450" s="393"/>
      <c r="B5450" s="271"/>
      <c r="C5450" s="271"/>
      <c r="D5450" s="271"/>
      <c r="E5450" s="271"/>
      <c r="F5450" s="271"/>
      <c r="G5450" s="273"/>
      <c r="H5450" s="29" t="str">
        <f>IF(A5450="","",VLOOKUP(A5450,AA_Cuadrillas,4,FALSE))</f>
        <v/>
      </c>
      <c r="I5450" s="394" t="str">
        <f>IF(A5450="","",VLOOKUP(A5450,AA_Cuadrillas,5,FALSE))</f>
        <v/>
      </c>
      <c r="J5450" s="273"/>
      <c r="K5450" s="9" t="str">
        <f>IF(A5450="","",F.P!$I$2)</f>
        <v/>
      </c>
      <c r="L5450" s="9"/>
      <c r="M5450" s="394" t="str">
        <f t="shared" si="744"/>
        <v/>
      </c>
      <c r="N5450" s="273"/>
    </row>
    <row r="5451" spans="1:14" ht="12.75" customHeight="1" x14ac:dyDescent="0.25">
      <c r="A5451" s="393"/>
      <c r="B5451" s="271"/>
      <c r="C5451" s="271"/>
      <c r="D5451" s="271"/>
      <c r="E5451" s="271"/>
      <c r="F5451" s="271"/>
      <c r="G5451" s="273"/>
      <c r="H5451" s="29" t="str">
        <f>IF(A5451="","",VLOOKUP(A5451,AA_Cuadrillas,4,FALSE))</f>
        <v/>
      </c>
      <c r="I5451" s="394" t="str">
        <f>IF(A5451="","",VLOOKUP(A5451,AA_Cuadrillas,5,FALSE))</f>
        <v/>
      </c>
      <c r="J5451" s="273"/>
      <c r="K5451" s="9" t="str">
        <f>IF(A5451="","",F.P!$I$2)</f>
        <v/>
      </c>
      <c r="L5451" s="37"/>
      <c r="M5451" s="394" t="str">
        <f t="shared" si="744"/>
        <v/>
      </c>
      <c r="N5451" s="273"/>
    </row>
    <row r="5452" spans="1:14" ht="12.75" customHeight="1" x14ac:dyDescent="0.25">
      <c r="A5452" s="393"/>
      <c r="B5452" s="271"/>
      <c r="C5452" s="271"/>
      <c r="D5452" s="271"/>
      <c r="E5452" s="271"/>
      <c r="F5452" s="271"/>
      <c r="G5452" s="273"/>
      <c r="H5452" s="29" t="str">
        <f>IF(A5452="","",VLOOKUP(A5452,AA_Cuadrillas,4,FALSE))</f>
        <v/>
      </c>
      <c r="I5452" s="394" t="str">
        <f>IF(A5452="","",VLOOKUP(A5452,AA_Cuadrillas,5,FALSE))</f>
        <v/>
      </c>
      <c r="J5452" s="273"/>
      <c r="K5452" s="9" t="str">
        <f>IF(A5452="","",F.P!$I$2)</f>
        <v/>
      </c>
      <c r="L5452" s="37"/>
      <c r="M5452" s="394" t="str">
        <f t="shared" si="744"/>
        <v/>
      </c>
      <c r="N5452" s="273"/>
    </row>
    <row r="5453" spans="1:14" ht="12.75" customHeight="1" x14ac:dyDescent="0.25">
      <c r="A5453" s="393"/>
      <c r="B5453" s="271"/>
      <c r="C5453" s="271"/>
      <c r="D5453" s="271"/>
      <c r="E5453" s="271"/>
      <c r="F5453" s="271"/>
      <c r="G5453" s="273"/>
      <c r="H5453" s="29" t="str">
        <f>IF(A5453="","",VLOOKUP(A5453,AA_Cuadrillas,4,FALSE))</f>
        <v/>
      </c>
      <c r="I5453" s="394" t="str">
        <f>IF(A5453="","",VLOOKUP(A5453,AA_Cuadrillas,5,FALSE))</f>
        <v/>
      </c>
      <c r="J5453" s="273"/>
      <c r="K5453" s="9" t="str">
        <f>IF(A5453="","",F.P!$I$2)</f>
        <v/>
      </c>
      <c r="L5453" s="37"/>
      <c r="M5453" s="394" t="str">
        <f t="shared" si="744"/>
        <v/>
      </c>
      <c r="N5453" s="273"/>
    </row>
    <row r="5454" spans="1:14" ht="12.75" customHeight="1" x14ac:dyDescent="0.25">
      <c r="A5454" s="4"/>
      <c r="B5454" s="4"/>
      <c r="C5454" s="4"/>
      <c r="D5454" s="4"/>
      <c r="E5454" s="4"/>
      <c r="F5454" s="4"/>
      <c r="G5454" s="4"/>
      <c r="H5454" s="4"/>
      <c r="I5454" s="4"/>
      <c r="J5454" s="4"/>
      <c r="K5454" s="396" t="s">
        <v>444</v>
      </c>
      <c r="L5454" s="273"/>
      <c r="M5454" s="394">
        <f>SUM(M5449:N5453)</f>
        <v>2194.4613333333332</v>
      </c>
      <c r="N5454" s="273"/>
    </row>
    <row r="5455" spans="1:14" ht="12.75" customHeight="1" x14ac:dyDescent="0.2"/>
    <row r="5456" spans="1:14" ht="12.75" customHeight="1" x14ac:dyDescent="0.2">
      <c r="A5456" s="407" t="s">
        <v>1229</v>
      </c>
      <c r="B5456" s="275"/>
      <c r="C5456" s="275"/>
      <c r="D5456" s="275"/>
      <c r="E5456" s="275"/>
      <c r="F5456" s="275"/>
      <c r="G5456" s="275"/>
      <c r="H5456" s="275"/>
      <c r="I5456" s="275"/>
      <c r="J5456" s="275"/>
      <c r="K5456" s="275"/>
      <c r="L5456" s="275"/>
      <c r="M5456" s="275"/>
      <c r="N5456" s="276"/>
    </row>
    <row r="5457" spans="1:14" ht="12.75" customHeight="1" x14ac:dyDescent="0.2">
      <c r="A5457" s="277"/>
      <c r="B5457" s="278"/>
      <c r="C5457" s="278"/>
      <c r="D5457" s="278"/>
      <c r="E5457" s="278"/>
      <c r="F5457" s="278"/>
      <c r="G5457" s="278"/>
      <c r="H5457" s="278"/>
      <c r="I5457" s="278"/>
      <c r="J5457" s="278"/>
      <c r="K5457" s="278"/>
      <c r="L5457" s="278"/>
      <c r="M5457" s="278"/>
      <c r="N5457" s="279"/>
    </row>
    <row r="5458" spans="1:14" ht="12.75" customHeight="1" x14ac:dyDescent="0.2">
      <c r="A5458" s="75"/>
      <c r="B5458" s="75"/>
      <c r="C5458" s="75"/>
      <c r="D5458" s="75"/>
      <c r="E5458" s="75"/>
      <c r="F5458" s="75"/>
      <c r="G5458" s="75"/>
      <c r="H5458" s="75"/>
      <c r="I5458" s="75"/>
      <c r="J5458" s="75"/>
      <c r="K5458" s="75"/>
      <c r="L5458" s="75"/>
      <c r="M5458" s="75"/>
      <c r="N5458" s="75"/>
    </row>
    <row r="5459" spans="1:14" ht="12.75" customHeight="1" x14ac:dyDescent="0.3">
      <c r="A5459" s="79" t="s">
        <v>741</v>
      </c>
      <c r="B5459" s="80" t="str">
        <f>A5456</f>
        <v>SUMINISTRO E INSTALACIÓN DE CABEZAL DE DESCARGA EN CONCRETO REFORZADO 4000 PSI (INCLUYE MATERIALES, EQUIPOS HERRAMIENTAS Y MANO DE OBRA)</v>
      </c>
      <c r="C5459" s="81" t="s">
        <v>916</v>
      </c>
      <c r="D5459" s="82" t="s">
        <v>999</v>
      </c>
      <c r="E5459" s="83" t="s">
        <v>445</v>
      </c>
      <c r="F5459" s="86">
        <f>H5459+J5459+L5459+N5459</f>
        <v>4789283.0065372027</v>
      </c>
      <c r="G5459" s="83" t="s">
        <v>607</v>
      </c>
      <c r="H5459" s="86">
        <f>M5471</f>
        <v>4488879.934037203</v>
      </c>
      <c r="I5459" s="83" t="s">
        <v>918</v>
      </c>
      <c r="J5459" s="86">
        <f>M5480</f>
        <v>146790.6225</v>
      </c>
      <c r="K5459" s="83" t="s">
        <v>609</v>
      </c>
      <c r="L5459" s="86">
        <f>M5489</f>
        <v>0</v>
      </c>
      <c r="M5459" s="83" t="s">
        <v>610</v>
      </c>
      <c r="N5459" s="86">
        <f>M5498</f>
        <v>153612.44999999998</v>
      </c>
    </row>
    <row r="5460" spans="1:14" ht="12.75" customHeight="1" x14ac:dyDescent="0.25">
      <c r="A5460" s="87"/>
      <c r="B5460" s="87"/>
      <c r="C5460" s="87"/>
      <c r="D5460" s="87"/>
      <c r="E5460" s="87"/>
      <c r="F5460" s="87"/>
      <c r="G5460" s="87"/>
      <c r="J5460" s="87"/>
      <c r="K5460" s="215" t="s">
        <v>3217</v>
      </c>
      <c r="L5460" s="215">
        <f>+F5459*presup!$O$5</f>
        <v>6226067.9084983636</v>
      </c>
      <c r="M5460" s="87"/>
      <c r="N5460" s="87"/>
    </row>
    <row r="5461" spans="1:14" ht="12.75" customHeight="1" x14ac:dyDescent="0.2">
      <c r="A5461" s="398" t="s">
        <v>919</v>
      </c>
      <c r="B5461" s="271"/>
      <c r="C5461" s="271"/>
      <c r="D5461" s="271"/>
      <c r="E5461" s="271"/>
      <c r="F5461" s="271"/>
      <c r="G5461" s="271"/>
      <c r="H5461" s="271"/>
      <c r="I5461" s="271"/>
      <c r="J5461" s="271"/>
      <c r="K5461" s="271"/>
      <c r="L5461" s="271"/>
      <c r="M5461" s="271"/>
      <c r="N5461" s="273"/>
    </row>
    <row r="5462" spans="1:14" ht="12.75" customHeight="1" x14ac:dyDescent="0.2">
      <c r="A5462" s="396" t="s">
        <v>76</v>
      </c>
      <c r="B5462" s="271"/>
      <c r="C5462" s="271"/>
      <c r="D5462" s="271"/>
      <c r="E5462" s="271"/>
      <c r="F5462" s="271"/>
      <c r="G5462" s="273"/>
      <c r="H5462" s="88" t="s">
        <v>77</v>
      </c>
      <c r="I5462" s="399" t="s">
        <v>920</v>
      </c>
      <c r="J5462" s="273"/>
      <c r="K5462" s="399" t="s">
        <v>453</v>
      </c>
      <c r="L5462" s="273"/>
      <c r="M5462" s="399" t="s">
        <v>921</v>
      </c>
      <c r="N5462" s="273"/>
    </row>
    <row r="5463" spans="1:14" ht="12.75" customHeight="1" x14ac:dyDescent="0.2">
      <c r="A5463" s="400" t="s">
        <v>970</v>
      </c>
      <c r="B5463" s="271"/>
      <c r="C5463" s="271"/>
      <c r="D5463" s="271"/>
      <c r="E5463" s="271"/>
      <c r="F5463" s="271"/>
      <c r="G5463" s="273"/>
      <c r="H5463" s="29" t="str">
        <f t="shared" ref="H5463:H5468" si="745">IF(A5463="","",VLOOKUP(A5463,AA_Materiales,7,FALSE))</f>
        <v>Kg</v>
      </c>
      <c r="I5463" s="394">
        <f t="shared" ref="I5463:I5470" si="746">IF(A5463="","",VLOOKUP(A5463,AA_Materiales,8,FALSE))</f>
        <v>5883.1369999999997</v>
      </c>
      <c r="J5463" s="273"/>
      <c r="K5463" s="395">
        <v>360</v>
      </c>
      <c r="L5463" s="273"/>
      <c r="M5463" s="394">
        <f t="shared" ref="M5463:M5470" si="747">IF(A5463="","",I5463*K5463)</f>
        <v>2117929.3199999998</v>
      </c>
      <c r="N5463" s="273"/>
    </row>
    <row r="5464" spans="1:14" ht="12.75" customHeight="1" x14ac:dyDescent="0.2">
      <c r="A5464" s="400" t="s">
        <v>971</v>
      </c>
      <c r="B5464" s="271"/>
      <c r="C5464" s="271"/>
      <c r="D5464" s="271"/>
      <c r="E5464" s="271"/>
      <c r="F5464" s="271"/>
      <c r="G5464" s="273"/>
      <c r="H5464" s="29" t="str">
        <f t="shared" si="745"/>
        <v>Kg</v>
      </c>
      <c r="I5464" s="394">
        <f t="shared" si="746"/>
        <v>9302.8000000000011</v>
      </c>
      <c r="J5464" s="273"/>
      <c r="K5464" s="395">
        <v>0.05</v>
      </c>
      <c r="L5464" s="273"/>
      <c r="M5464" s="394">
        <f t="shared" si="747"/>
        <v>465.1400000000001</v>
      </c>
      <c r="N5464" s="273"/>
    </row>
    <row r="5465" spans="1:14" ht="12.75" customHeight="1" x14ac:dyDescent="0.2">
      <c r="A5465" s="400" t="s">
        <v>1215</v>
      </c>
      <c r="B5465" s="271"/>
      <c r="C5465" s="271"/>
      <c r="D5465" s="271"/>
      <c r="E5465" s="271"/>
      <c r="F5465" s="271"/>
      <c r="G5465" s="273"/>
      <c r="H5465" s="29" t="str">
        <f t="shared" si="745"/>
        <v>m3</v>
      </c>
      <c r="I5465" s="394">
        <f t="shared" si="746"/>
        <v>790161.82467906782</v>
      </c>
      <c r="J5465" s="273"/>
      <c r="K5465" s="395">
        <v>3</v>
      </c>
      <c r="L5465" s="273"/>
      <c r="M5465" s="394">
        <f t="shared" si="747"/>
        <v>2370485.4740372035</v>
      </c>
      <c r="N5465" s="273"/>
    </row>
    <row r="5466" spans="1:14" ht="12.75" customHeight="1" x14ac:dyDescent="0.2">
      <c r="A5466" s="400"/>
      <c r="B5466" s="271"/>
      <c r="C5466" s="271"/>
      <c r="D5466" s="271"/>
      <c r="E5466" s="271"/>
      <c r="F5466" s="271"/>
      <c r="G5466" s="273"/>
      <c r="H5466" s="29" t="str">
        <f t="shared" si="745"/>
        <v/>
      </c>
      <c r="I5466" s="394" t="str">
        <f t="shared" si="746"/>
        <v/>
      </c>
      <c r="J5466" s="273"/>
      <c r="K5466" s="395"/>
      <c r="L5466" s="273"/>
      <c r="M5466" s="394" t="str">
        <f t="shared" si="747"/>
        <v/>
      </c>
      <c r="N5466" s="273"/>
    </row>
    <row r="5467" spans="1:14" ht="12.75" customHeight="1" x14ac:dyDescent="0.2">
      <c r="A5467" s="400"/>
      <c r="B5467" s="271"/>
      <c r="C5467" s="271"/>
      <c r="D5467" s="271"/>
      <c r="E5467" s="271"/>
      <c r="F5467" s="271"/>
      <c r="G5467" s="273"/>
      <c r="H5467" s="29" t="str">
        <f t="shared" si="745"/>
        <v/>
      </c>
      <c r="I5467" s="394" t="str">
        <f t="shared" si="746"/>
        <v/>
      </c>
      <c r="J5467" s="273"/>
      <c r="K5467" s="395"/>
      <c r="L5467" s="273"/>
      <c r="M5467" s="394" t="str">
        <f t="shared" si="747"/>
        <v/>
      </c>
      <c r="N5467" s="273"/>
    </row>
    <row r="5468" spans="1:14" ht="12.75" customHeight="1" x14ac:dyDescent="0.2">
      <c r="A5468" s="400"/>
      <c r="B5468" s="271"/>
      <c r="C5468" s="271"/>
      <c r="D5468" s="271"/>
      <c r="E5468" s="271"/>
      <c r="F5468" s="271"/>
      <c r="G5468" s="273"/>
      <c r="H5468" s="29" t="str">
        <f t="shared" si="745"/>
        <v/>
      </c>
      <c r="I5468" s="394" t="str">
        <f t="shared" si="746"/>
        <v/>
      </c>
      <c r="J5468" s="273"/>
      <c r="K5468" s="395"/>
      <c r="L5468" s="273"/>
      <c r="M5468" s="394" t="str">
        <f t="shared" si="747"/>
        <v/>
      </c>
      <c r="N5468" s="273"/>
    </row>
    <row r="5469" spans="1:14" ht="12.75" customHeight="1" x14ac:dyDescent="0.2">
      <c r="A5469" s="400"/>
      <c r="B5469" s="271"/>
      <c r="C5469" s="271"/>
      <c r="D5469" s="271"/>
      <c r="E5469" s="271"/>
      <c r="F5469" s="271"/>
      <c r="G5469" s="273"/>
      <c r="H5469" s="29"/>
      <c r="I5469" s="394" t="str">
        <f t="shared" si="746"/>
        <v/>
      </c>
      <c r="J5469" s="273"/>
      <c r="K5469" s="395"/>
      <c r="L5469" s="273"/>
      <c r="M5469" s="394" t="str">
        <f t="shared" si="747"/>
        <v/>
      </c>
      <c r="N5469" s="273"/>
    </row>
    <row r="5470" spans="1:14" ht="12.75" customHeight="1" x14ac:dyDescent="0.2">
      <c r="A5470" s="400"/>
      <c r="B5470" s="271"/>
      <c r="C5470" s="271"/>
      <c r="D5470" s="271"/>
      <c r="E5470" s="271"/>
      <c r="F5470" s="271"/>
      <c r="G5470" s="273"/>
      <c r="H5470" s="29" t="str">
        <f>IF(A5470="","",VLOOKUP(A5470,AA_Materiales,7,FALSE))</f>
        <v/>
      </c>
      <c r="I5470" s="394" t="str">
        <f t="shared" si="746"/>
        <v/>
      </c>
      <c r="J5470" s="273"/>
      <c r="K5470" s="395"/>
      <c r="L5470" s="273"/>
      <c r="M5470" s="394" t="str">
        <f t="shared" si="747"/>
        <v/>
      </c>
      <c r="N5470" s="273"/>
    </row>
    <row r="5471" spans="1:14" ht="12.75" customHeight="1" x14ac:dyDescent="0.25">
      <c r="A5471" s="4"/>
      <c r="B5471" s="4"/>
      <c r="C5471" s="4"/>
      <c r="D5471" s="4"/>
      <c r="E5471" s="4"/>
      <c r="F5471" s="4"/>
      <c r="G5471" s="4"/>
      <c r="H5471" s="4"/>
      <c r="I5471" s="4"/>
      <c r="J5471" s="4"/>
      <c r="K5471" s="396" t="s">
        <v>444</v>
      </c>
      <c r="L5471" s="273"/>
      <c r="M5471" s="394">
        <f>SUM(M5463:N5470)</f>
        <v>4488879.934037203</v>
      </c>
      <c r="N5471" s="273"/>
    </row>
    <row r="5472" spans="1:14" ht="12.75" customHeight="1" x14ac:dyDescent="0.25">
      <c r="A5472" s="4"/>
      <c r="B5472" s="4"/>
      <c r="C5472" s="4"/>
      <c r="D5472" s="4"/>
      <c r="E5472" s="4"/>
      <c r="F5472" s="4"/>
      <c r="G5472" s="4"/>
      <c r="H5472" s="4"/>
      <c r="I5472" s="4"/>
      <c r="J5472" s="4"/>
      <c r="K5472" s="4"/>
      <c r="L5472" s="4"/>
      <c r="M5472" s="4"/>
      <c r="N5472" s="4"/>
    </row>
    <row r="5473" spans="1:14" ht="12.75" customHeight="1" x14ac:dyDescent="0.2">
      <c r="A5473" s="398" t="s">
        <v>926</v>
      </c>
      <c r="B5473" s="271"/>
      <c r="C5473" s="271"/>
      <c r="D5473" s="271"/>
      <c r="E5473" s="271"/>
      <c r="F5473" s="271"/>
      <c r="G5473" s="271"/>
      <c r="H5473" s="271"/>
      <c r="I5473" s="271"/>
      <c r="J5473" s="271"/>
      <c r="K5473" s="271"/>
      <c r="L5473" s="271"/>
      <c r="M5473" s="271"/>
      <c r="N5473" s="273"/>
    </row>
    <row r="5474" spans="1:14" ht="12.75" customHeight="1" x14ac:dyDescent="0.2">
      <c r="A5474" s="396" t="s">
        <v>76</v>
      </c>
      <c r="B5474" s="271"/>
      <c r="C5474" s="271"/>
      <c r="D5474" s="271"/>
      <c r="E5474" s="271"/>
      <c r="F5474" s="271"/>
      <c r="G5474" s="273"/>
      <c r="H5474" s="88" t="s">
        <v>77</v>
      </c>
      <c r="I5474" s="399" t="s">
        <v>920</v>
      </c>
      <c r="J5474" s="273"/>
      <c r="K5474" s="399" t="s">
        <v>453</v>
      </c>
      <c r="L5474" s="273"/>
      <c r="M5474" s="399" t="s">
        <v>921</v>
      </c>
      <c r="N5474" s="273"/>
    </row>
    <row r="5475" spans="1:14" ht="12.75" customHeight="1" x14ac:dyDescent="0.2">
      <c r="A5475" s="400" t="s">
        <v>927</v>
      </c>
      <c r="B5475" s="271"/>
      <c r="C5475" s="271"/>
      <c r="D5475" s="271"/>
      <c r="E5475" s="271"/>
      <c r="F5475" s="271"/>
      <c r="G5475" s="273"/>
      <c r="H5475" s="29" t="str">
        <f>IF(A5475="","",VLOOKUP(A5475,AA_Equipos,7,FALSE))</f>
        <v>% M.O.</v>
      </c>
      <c r="I5475" s="394">
        <f>+M5498</f>
        <v>153612.44999999998</v>
      </c>
      <c r="J5475" s="273"/>
      <c r="K5475" s="404">
        <v>0.05</v>
      </c>
      <c r="L5475" s="273"/>
      <c r="M5475" s="394">
        <f t="shared" ref="M5475:M5479" si="748">IF(A5475="","",I5475*K5475)</f>
        <v>7680.6224999999995</v>
      </c>
      <c r="N5475" s="273"/>
    </row>
    <row r="5476" spans="1:14" ht="12.75" customHeight="1" x14ac:dyDescent="0.2">
      <c r="A5476" s="403" t="s">
        <v>957</v>
      </c>
      <c r="B5476" s="271"/>
      <c r="C5476" s="271"/>
      <c r="D5476" s="271"/>
      <c r="E5476" s="271"/>
      <c r="F5476" s="271"/>
      <c r="G5476" s="273"/>
      <c r="H5476" s="29" t="str">
        <f>IF(A5476="","",VLOOKUP(A5476,AA_Equipos,7,FALSE))</f>
        <v>Dia</v>
      </c>
      <c r="I5476" s="394">
        <f>IF(A5476="","",VLOOKUP(A5476,AA_Equipos,8,FALSE))</f>
        <v>107071</v>
      </c>
      <c r="J5476" s="273"/>
      <c r="K5476" s="402">
        <v>0.5</v>
      </c>
      <c r="L5476" s="273"/>
      <c r="M5476" s="394">
        <f t="shared" si="748"/>
        <v>53535.5</v>
      </c>
      <c r="N5476" s="273"/>
    </row>
    <row r="5477" spans="1:14" ht="12.75" customHeight="1" x14ac:dyDescent="0.2">
      <c r="A5477" s="400" t="s">
        <v>964</v>
      </c>
      <c r="B5477" s="271"/>
      <c r="C5477" s="271"/>
      <c r="D5477" s="271"/>
      <c r="E5477" s="271"/>
      <c r="F5477" s="271"/>
      <c r="G5477" s="273"/>
      <c r="H5477" s="29" t="str">
        <f>IF(A5477="","",VLOOKUP(A5477,AA_Equipos,7,FALSE))</f>
        <v>Dia</v>
      </c>
      <c r="I5477" s="394">
        <f>IF(A5477="","",VLOOKUP(A5477,AA_Equipos,8,FALSE))</f>
        <v>71766</v>
      </c>
      <c r="J5477" s="273"/>
      <c r="K5477" s="402">
        <v>0.75</v>
      </c>
      <c r="L5477" s="273"/>
      <c r="M5477" s="394">
        <f t="shared" si="748"/>
        <v>53824.5</v>
      </c>
      <c r="N5477" s="273"/>
    </row>
    <row r="5478" spans="1:14" ht="12.75" customHeight="1" x14ac:dyDescent="0.2">
      <c r="A5478" s="400" t="s">
        <v>1230</v>
      </c>
      <c r="B5478" s="271"/>
      <c r="C5478" s="271"/>
      <c r="D5478" s="271"/>
      <c r="E5478" s="271"/>
      <c r="F5478" s="271"/>
      <c r="G5478" s="273"/>
      <c r="H5478" s="29" t="str">
        <f>IF(A5478="","",VLOOKUP(A5478,AA_Equipos,7,FALSE))</f>
        <v>m2</v>
      </c>
      <c r="I5478" s="394">
        <f>IF(A5478="","",VLOOKUP(A5478,AA_Equipos,8,FALSE))</f>
        <v>12700</v>
      </c>
      <c r="J5478" s="273"/>
      <c r="K5478" s="402">
        <v>2.5</v>
      </c>
      <c r="L5478" s="273"/>
      <c r="M5478" s="394">
        <f t="shared" si="748"/>
        <v>31750</v>
      </c>
      <c r="N5478" s="273"/>
    </row>
    <row r="5479" spans="1:14" ht="12.75" customHeight="1" x14ac:dyDescent="0.2">
      <c r="A5479" s="400"/>
      <c r="B5479" s="271"/>
      <c r="C5479" s="271"/>
      <c r="D5479" s="271"/>
      <c r="E5479" s="271"/>
      <c r="F5479" s="271"/>
      <c r="G5479" s="273"/>
      <c r="H5479" s="29" t="str">
        <f>IF(A5479="","",VLOOKUP(A5479,AA_Equipos,7,FALSE))</f>
        <v/>
      </c>
      <c r="I5479" s="394" t="str">
        <f>IF(A5479="","",VLOOKUP(A5479,AA_Equipos,8,FALSE))</f>
        <v/>
      </c>
      <c r="J5479" s="273"/>
      <c r="K5479" s="395"/>
      <c r="L5479" s="273"/>
      <c r="M5479" s="394" t="str">
        <f t="shared" si="748"/>
        <v/>
      </c>
      <c r="N5479" s="273"/>
    </row>
    <row r="5480" spans="1:14" ht="12.75" customHeight="1" x14ac:dyDescent="0.25">
      <c r="A5480" s="4"/>
      <c r="B5480" s="4"/>
      <c r="C5480" s="4"/>
      <c r="D5480" s="4"/>
      <c r="E5480" s="4"/>
      <c r="F5480" s="4"/>
      <c r="G5480" s="4"/>
      <c r="H5480" s="4"/>
      <c r="I5480" s="4"/>
      <c r="J5480" s="4"/>
      <c r="K5480" s="396" t="s">
        <v>444</v>
      </c>
      <c r="L5480" s="273"/>
      <c r="M5480" s="394">
        <f>SUM(M5475:N5479)</f>
        <v>146790.6225</v>
      </c>
      <c r="N5480" s="273"/>
    </row>
    <row r="5481" spans="1:14" ht="12.75" customHeight="1" x14ac:dyDescent="0.25">
      <c r="A5481" s="4"/>
      <c r="B5481" s="4"/>
      <c r="C5481" s="4"/>
      <c r="D5481" s="4"/>
      <c r="E5481" s="4"/>
      <c r="F5481" s="4"/>
      <c r="G5481" s="4"/>
      <c r="H5481" s="4"/>
      <c r="I5481" s="4"/>
      <c r="J5481" s="4"/>
      <c r="K5481" s="4"/>
      <c r="L5481" s="4"/>
      <c r="M5481" s="4"/>
      <c r="N5481" s="4"/>
    </row>
    <row r="5482" spans="1:14" ht="12.75" customHeight="1" x14ac:dyDescent="0.2">
      <c r="A5482" s="398" t="s">
        <v>929</v>
      </c>
      <c r="B5482" s="271"/>
      <c r="C5482" s="271"/>
      <c r="D5482" s="271"/>
      <c r="E5482" s="271"/>
      <c r="F5482" s="271"/>
      <c r="G5482" s="271"/>
      <c r="H5482" s="271"/>
      <c r="I5482" s="271"/>
      <c r="J5482" s="271"/>
      <c r="K5482" s="271"/>
      <c r="L5482" s="271"/>
      <c r="M5482" s="271"/>
      <c r="N5482" s="273"/>
    </row>
    <row r="5483" spans="1:14" ht="12.75" customHeight="1" x14ac:dyDescent="0.2">
      <c r="A5483" s="396" t="s">
        <v>76</v>
      </c>
      <c r="B5483" s="271"/>
      <c r="C5483" s="271"/>
      <c r="D5483" s="271"/>
      <c r="E5483" s="271"/>
      <c r="F5483" s="271"/>
      <c r="G5483" s="273"/>
      <c r="H5483" s="88" t="s">
        <v>77</v>
      </c>
      <c r="I5483" s="399" t="s">
        <v>920</v>
      </c>
      <c r="J5483" s="273"/>
      <c r="K5483" s="399" t="s">
        <v>453</v>
      </c>
      <c r="L5483" s="273"/>
      <c r="M5483" s="399" t="s">
        <v>921</v>
      </c>
      <c r="N5483" s="273"/>
    </row>
    <row r="5484" spans="1:14" ht="12.75" customHeight="1" x14ac:dyDescent="0.2">
      <c r="A5484" s="400"/>
      <c r="B5484" s="271"/>
      <c r="C5484" s="271"/>
      <c r="D5484" s="271"/>
      <c r="E5484" s="271"/>
      <c r="F5484" s="271"/>
      <c r="G5484" s="273"/>
      <c r="H5484" s="29"/>
      <c r="I5484" s="394"/>
      <c r="J5484" s="273"/>
      <c r="K5484" s="404"/>
      <c r="L5484" s="273"/>
      <c r="M5484" s="394" t="str">
        <f t="shared" ref="M5484:M5488" si="749">IF(A5484="","",I5484*K5484)</f>
        <v/>
      </c>
      <c r="N5484" s="273"/>
    </row>
    <row r="5485" spans="1:14" ht="12.75" customHeight="1" x14ac:dyDescent="0.2">
      <c r="A5485" s="403"/>
      <c r="B5485" s="271"/>
      <c r="C5485" s="271"/>
      <c r="D5485" s="271"/>
      <c r="E5485" s="271"/>
      <c r="F5485" s="271"/>
      <c r="G5485" s="273"/>
      <c r="H5485" s="29"/>
      <c r="I5485" s="394"/>
      <c r="J5485" s="273"/>
      <c r="K5485" s="404"/>
      <c r="L5485" s="273"/>
      <c r="M5485" s="394" t="str">
        <f t="shared" si="749"/>
        <v/>
      </c>
      <c r="N5485" s="273"/>
    </row>
    <row r="5486" spans="1:14" ht="12.75" customHeight="1" x14ac:dyDescent="0.2">
      <c r="A5486" s="400"/>
      <c r="B5486" s="271"/>
      <c r="C5486" s="271"/>
      <c r="D5486" s="271"/>
      <c r="E5486" s="271"/>
      <c r="F5486" s="271"/>
      <c r="G5486" s="273"/>
      <c r="H5486" s="29"/>
      <c r="I5486" s="394"/>
      <c r="J5486" s="273"/>
      <c r="K5486" s="395"/>
      <c r="L5486" s="273"/>
      <c r="M5486" s="394" t="str">
        <f t="shared" si="749"/>
        <v/>
      </c>
      <c r="N5486" s="273"/>
    </row>
    <row r="5487" spans="1:14" ht="12.75" customHeight="1" x14ac:dyDescent="0.2">
      <c r="A5487" s="400"/>
      <c r="B5487" s="271"/>
      <c r="C5487" s="271"/>
      <c r="D5487" s="271"/>
      <c r="E5487" s="271"/>
      <c r="F5487" s="271"/>
      <c r="G5487" s="273"/>
      <c r="H5487" s="29"/>
      <c r="I5487" s="394"/>
      <c r="J5487" s="273"/>
      <c r="K5487" s="395"/>
      <c r="L5487" s="273"/>
      <c r="M5487" s="394" t="str">
        <f t="shared" si="749"/>
        <v/>
      </c>
      <c r="N5487" s="273"/>
    </row>
    <row r="5488" spans="1:14" ht="12.75" customHeight="1" x14ac:dyDescent="0.2">
      <c r="A5488" s="400"/>
      <c r="B5488" s="271"/>
      <c r="C5488" s="271"/>
      <c r="D5488" s="271"/>
      <c r="E5488" s="271"/>
      <c r="F5488" s="271"/>
      <c r="G5488" s="273"/>
      <c r="H5488" s="29"/>
      <c r="I5488" s="394"/>
      <c r="J5488" s="273"/>
      <c r="K5488" s="395"/>
      <c r="L5488" s="273"/>
      <c r="M5488" s="394" t="str">
        <f t="shared" si="749"/>
        <v/>
      </c>
      <c r="N5488" s="273"/>
    </row>
    <row r="5489" spans="1:14" ht="12.75" customHeight="1" x14ac:dyDescent="0.25">
      <c r="A5489" s="4"/>
      <c r="B5489" s="4"/>
      <c r="C5489" s="4"/>
      <c r="D5489" s="4"/>
      <c r="E5489" s="4"/>
      <c r="F5489" s="4"/>
      <c r="G5489" s="4"/>
      <c r="H5489" s="4"/>
      <c r="I5489" s="4"/>
      <c r="J5489" s="4"/>
      <c r="K5489" s="396" t="s">
        <v>444</v>
      </c>
      <c r="L5489" s="273"/>
      <c r="M5489" s="394">
        <f>SUM(M5484:N5488)</f>
        <v>0</v>
      </c>
      <c r="N5489" s="273"/>
    </row>
    <row r="5490" spans="1:14" ht="12.75" customHeight="1" x14ac:dyDescent="0.25">
      <c r="A5490" s="4"/>
      <c r="B5490" s="4"/>
      <c r="C5490" s="4"/>
      <c r="D5490" s="4"/>
      <c r="E5490" s="4"/>
      <c r="F5490" s="4"/>
      <c r="G5490" s="4"/>
      <c r="H5490" s="4"/>
      <c r="I5490" s="4"/>
      <c r="J5490" s="4"/>
      <c r="K5490" s="4"/>
      <c r="L5490" s="4"/>
      <c r="M5490" s="4"/>
      <c r="N5490" s="4"/>
    </row>
    <row r="5491" spans="1:14" ht="12.75" customHeight="1" x14ac:dyDescent="0.2">
      <c r="A5491" s="398" t="s">
        <v>931</v>
      </c>
      <c r="B5491" s="271"/>
      <c r="C5491" s="271"/>
      <c r="D5491" s="271"/>
      <c r="E5491" s="271"/>
      <c r="F5491" s="271"/>
      <c r="G5491" s="271"/>
      <c r="H5491" s="271"/>
      <c r="I5491" s="271"/>
      <c r="J5491" s="271"/>
      <c r="K5491" s="271"/>
      <c r="L5491" s="271"/>
      <c r="M5491" s="271"/>
      <c r="N5491" s="273"/>
    </row>
    <row r="5492" spans="1:14" ht="12.75" customHeight="1" x14ac:dyDescent="0.2">
      <c r="A5492" s="396" t="s">
        <v>76</v>
      </c>
      <c r="B5492" s="271"/>
      <c r="C5492" s="271"/>
      <c r="D5492" s="271"/>
      <c r="E5492" s="271"/>
      <c r="F5492" s="271"/>
      <c r="G5492" s="273"/>
      <c r="H5492" s="88" t="s">
        <v>77</v>
      </c>
      <c r="I5492" s="399" t="s">
        <v>920</v>
      </c>
      <c r="J5492" s="273"/>
      <c r="K5492" s="90" t="s">
        <v>514</v>
      </c>
      <c r="L5492" s="91" t="s">
        <v>932</v>
      </c>
      <c r="M5492" s="399" t="s">
        <v>921</v>
      </c>
      <c r="N5492" s="273"/>
    </row>
    <row r="5493" spans="1:14" ht="12.75" customHeight="1" x14ac:dyDescent="0.25">
      <c r="A5493" s="393" t="s">
        <v>1177</v>
      </c>
      <c r="B5493" s="271"/>
      <c r="C5493" s="271"/>
      <c r="D5493" s="271"/>
      <c r="E5493" s="271"/>
      <c r="F5493" s="271"/>
      <c r="G5493" s="273"/>
      <c r="H5493" s="29" t="str">
        <f>IF(A5493="","",VLOOKUP(A5493,AA_Cuadrillas,4,FALSE))</f>
        <v>Cuadrilla</v>
      </c>
      <c r="I5493" s="394">
        <f>IF(A5493="","",VLOOKUP(A5493,AA_Cuadrillas,5,FALSE))</f>
        <v>326835</v>
      </c>
      <c r="J5493" s="273"/>
      <c r="K5493" s="9">
        <f>IF(A5493="","",F.P!$I$2)</f>
        <v>1.88</v>
      </c>
      <c r="L5493" s="93">
        <v>0.25</v>
      </c>
      <c r="M5493" s="394">
        <f t="shared" ref="M5493:M5497" si="750">IF(A5493="","",I5493*K5493*L5493)</f>
        <v>153612.44999999998</v>
      </c>
      <c r="N5493" s="273"/>
    </row>
    <row r="5494" spans="1:14" ht="12.75" customHeight="1" x14ac:dyDescent="0.25">
      <c r="A5494" s="393"/>
      <c r="B5494" s="271"/>
      <c r="C5494" s="271"/>
      <c r="D5494" s="271"/>
      <c r="E5494" s="271"/>
      <c r="F5494" s="271"/>
      <c r="G5494" s="273"/>
      <c r="H5494" s="29" t="str">
        <f>IF(A5494="","",VLOOKUP(A5494,AA_Cuadrillas,4,FALSE))</f>
        <v/>
      </c>
      <c r="I5494" s="394" t="str">
        <f>IF(A5494="","",VLOOKUP(A5494,AA_Cuadrillas,5,FALSE))</f>
        <v/>
      </c>
      <c r="J5494" s="273"/>
      <c r="K5494" s="9" t="str">
        <f>IF(A5494="","",F.P!$I$2)</f>
        <v/>
      </c>
      <c r="L5494" s="9"/>
      <c r="M5494" s="394" t="str">
        <f t="shared" si="750"/>
        <v/>
      </c>
      <c r="N5494" s="273"/>
    </row>
    <row r="5495" spans="1:14" ht="12.75" customHeight="1" x14ac:dyDescent="0.25">
      <c r="A5495" s="393"/>
      <c r="B5495" s="271"/>
      <c r="C5495" s="271"/>
      <c r="D5495" s="271"/>
      <c r="E5495" s="271"/>
      <c r="F5495" s="271"/>
      <c r="G5495" s="273"/>
      <c r="H5495" s="29" t="str">
        <f>IF(A5495="","",VLOOKUP(A5495,AA_Cuadrillas,4,FALSE))</f>
        <v/>
      </c>
      <c r="I5495" s="394" t="str">
        <f>IF(A5495="","",VLOOKUP(A5495,AA_Cuadrillas,5,FALSE))</f>
        <v/>
      </c>
      <c r="J5495" s="273"/>
      <c r="K5495" s="9" t="str">
        <f>IF(A5495="","",F.P!$I$2)</f>
        <v/>
      </c>
      <c r="L5495" s="37"/>
      <c r="M5495" s="394" t="str">
        <f t="shared" si="750"/>
        <v/>
      </c>
      <c r="N5495" s="273"/>
    </row>
    <row r="5496" spans="1:14" ht="12.75" customHeight="1" x14ac:dyDescent="0.25">
      <c r="A5496" s="393"/>
      <c r="B5496" s="271"/>
      <c r="C5496" s="271"/>
      <c r="D5496" s="271"/>
      <c r="E5496" s="271"/>
      <c r="F5496" s="271"/>
      <c r="G5496" s="273"/>
      <c r="H5496" s="29" t="str">
        <f>IF(A5496="","",VLOOKUP(A5496,AA_Cuadrillas,4,FALSE))</f>
        <v/>
      </c>
      <c r="I5496" s="394" t="str">
        <f>IF(A5496="","",VLOOKUP(A5496,AA_Cuadrillas,5,FALSE))</f>
        <v/>
      </c>
      <c r="J5496" s="273"/>
      <c r="K5496" s="9" t="str">
        <f>IF(A5496="","",F.P!$I$2)</f>
        <v/>
      </c>
      <c r="L5496" s="37"/>
      <c r="M5496" s="394" t="str">
        <f t="shared" si="750"/>
        <v/>
      </c>
      <c r="N5496" s="273"/>
    </row>
    <row r="5497" spans="1:14" ht="12.75" customHeight="1" x14ac:dyDescent="0.25">
      <c r="A5497" s="393"/>
      <c r="B5497" s="271"/>
      <c r="C5497" s="271"/>
      <c r="D5497" s="271"/>
      <c r="E5497" s="271"/>
      <c r="F5497" s="271"/>
      <c r="G5497" s="273"/>
      <c r="H5497" s="29" t="str">
        <f>IF(A5497="","",VLOOKUP(A5497,AA_Cuadrillas,4,FALSE))</f>
        <v/>
      </c>
      <c r="I5497" s="394" t="str">
        <f>IF(A5497="","",VLOOKUP(A5497,AA_Cuadrillas,5,FALSE))</f>
        <v/>
      </c>
      <c r="J5497" s="273"/>
      <c r="K5497" s="9" t="str">
        <f>IF(A5497="","",F.P!$I$2)</f>
        <v/>
      </c>
      <c r="L5497" s="37"/>
      <c r="M5497" s="394" t="str">
        <f t="shared" si="750"/>
        <v/>
      </c>
      <c r="N5497" s="273"/>
    </row>
    <row r="5498" spans="1:14" ht="12.75" customHeight="1" x14ac:dyDescent="0.25">
      <c r="A5498" s="4"/>
      <c r="B5498" s="4"/>
      <c r="C5498" s="4"/>
      <c r="D5498" s="4"/>
      <c r="E5498" s="4"/>
      <c r="F5498" s="4"/>
      <c r="G5498" s="4"/>
      <c r="H5498" s="4"/>
      <c r="I5498" s="4"/>
      <c r="J5498" s="4"/>
      <c r="K5498" s="396" t="s">
        <v>444</v>
      </c>
      <c r="L5498" s="273"/>
      <c r="M5498" s="394">
        <f>SUM(M5493:N5497)</f>
        <v>153612.44999999998</v>
      </c>
      <c r="N5498" s="273"/>
    </row>
    <row r="5499" spans="1:14" ht="12.75" customHeight="1" x14ac:dyDescent="0.2"/>
    <row r="5500" spans="1:14" ht="12.75" customHeight="1" x14ac:dyDescent="0.2">
      <c r="A5500" s="407" t="s">
        <v>1231</v>
      </c>
      <c r="B5500" s="275"/>
      <c r="C5500" s="275"/>
      <c r="D5500" s="275"/>
      <c r="E5500" s="275"/>
      <c r="F5500" s="275"/>
      <c r="G5500" s="275"/>
      <c r="H5500" s="275"/>
      <c r="I5500" s="275"/>
      <c r="J5500" s="275"/>
      <c r="K5500" s="275"/>
      <c r="L5500" s="275"/>
      <c r="M5500" s="275"/>
      <c r="N5500" s="276"/>
    </row>
    <row r="5501" spans="1:14" ht="12.75" customHeight="1" x14ac:dyDescent="0.2">
      <c r="A5501" s="277"/>
      <c r="B5501" s="278"/>
      <c r="C5501" s="278"/>
      <c r="D5501" s="278"/>
      <c r="E5501" s="278"/>
      <c r="F5501" s="278"/>
      <c r="G5501" s="278"/>
      <c r="H5501" s="278"/>
      <c r="I5501" s="278"/>
      <c r="J5501" s="278"/>
      <c r="K5501" s="278"/>
      <c r="L5501" s="278"/>
      <c r="M5501" s="278"/>
      <c r="N5501" s="279"/>
    </row>
    <row r="5502" spans="1:14" ht="12.75" customHeight="1" x14ac:dyDescent="0.2">
      <c r="A5502" s="75"/>
      <c r="B5502" s="75"/>
      <c r="C5502" s="75"/>
      <c r="D5502" s="75"/>
      <c r="E5502" s="75"/>
      <c r="F5502" s="75"/>
      <c r="G5502" s="75"/>
      <c r="H5502" s="75"/>
      <c r="I5502" s="75"/>
      <c r="J5502" s="75"/>
      <c r="K5502" s="75"/>
      <c r="L5502" s="75"/>
      <c r="M5502" s="75"/>
      <c r="N5502" s="75"/>
    </row>
    <row r="5503" spans="1:14" ht="12.75" customHeight="1" x14ac:dyDescent="0.3">
      <c r="A5503" s="79" t="s">
        <v>742</v>
      </c>
      <c r="B5503" s="80" t="str">
        <f>A5500</f>
        <v>RELLENO CON GRAVA TRITURADA</v>
      </c>
      <c r="C5503" s="81" t="s">
        <v>916</v>
      </c>
      <c r="D5503" s="82" t="s">
        <v>258</v>
      </c>
      <c r="E5503" s="83" t="s">
        <v>445</v>
      </c>
      <c r="F5503" s="86">
        <f>H5503+J5503+L5503+N5503</f>
        <v>202813.77025</v>
      </c>
      <c r="G5503" s="83" t="s">
        <v>607</v>
      </c>
      <c r="H5503" s="86">
        <f>M5515</f>
        <v>85680</v>
      </c>
      <c r="I5503" s="83" t="s">
        <v>918</v>
      </c>
      <c r="J5503" s="86">
        <f>M5524</f>
        <v>2194.4652500000002</v>
      </c>
      <c r="K5503" s="83" t="s">
        <v>609</v>
      </c>
      <c r="L5503" s="86">
        <f>M5533</f>
        <v>71050</v>
      </c>
      <c r="M5503" s="83" t="s">
        <v>610</v>
      </c>
      <c r="N5503" s="86">
        <f>M5542</f>
        <v>43889.305</v>
      </c>
    </row>
    <row r="5504" spans="1:14" ht="12.75" customHeight="1" x14ac:dyDescent="0.25">
      <c r="A5504" s="87"/>
      <c r="B5504" s="87"/>
      <c r="C5504" s="87"/>
      <c r="D5504" s="87"/>
      <c r="E5504" s="87"/>
      <c r="F5504" s="87"/>
      <c r="G5504" s="87"/>
      <c r="J5504" s="87"/>
      <c r="K5504" s="215" t="s">
        <v>3217</v>
      </c>
      <c r="L5504" s="215">
        <f>+F5503*presup!$O$5</f>
        <v>263657.90132499998</v>
      </c>
      <c r="M5504" s="87"/>
      <c r="N5504" s="87"/>
    </row>
    <row r="5505" spans="1:14" ht="12.75" customHeight="1" x14ac:dyDescent="0.2">
      <c r="A5505" s="398" t="s">
        <v>919</v>
      </c>
      <c r="B5505" s="271"/>
      <c r="C5505" s="271"/>
      <c r="D5505" s="271"/>
      <c r="E5505" s="271"/>
      <c r="F5505" s="271"/>
      <c r="G5505" s="271"/>
      <c r="H5505" s="271"/>
      <c r="I5505" s="271"/>
      <c r="J5505" s="271"/>
      <c r="K5505" s="271"/>
      <c r="L5505" s="271"/>
      <c r="M5505" s="271"/>
      <c r="N5505" s="273"/>
    </row>
    <row r="5506" spans="1:14" ht="12.75" customHeight="1" x14ac:dyDescent="0.2">
      <c r="A5506" s="396" t="s">
        <v>76</v>
      </c>
      <c r="B5506" s="271"/>
      <c r="C5506" s="271"/>
      <c r="D5506" s="271"/>
      <c r="E5506" s="271"/>
      <c r="F5506" s="271"/>
      <c r="G5506" s="273"/>
      <c r="H5506" s="88" t="s">
        <v>77</v>
      </c>
      <c r="I5506" s="399" t="s">
        <v>920</v>
      </c>
      <c r="J5506" s="273"/>
      <c r="K5506" s="399" t="s">
        <v>453</v>
      </c>
      <c r="L5506" s="273"/>
      <c r="M5506" s="399" t="s">
        <v>921</v>
      </c>
      <c r="N5506" s="273"/>
    </row>
    <row r="5507" spans="1:14" ht="12.75" customHeight="1" x14ac:dyDescent="0.2">
      <c r="A5507" s="400" t="s">
        <v>1232</v>
      </c>
      <c r="B5507" s="271"/>
      <c r="C5507" s="271"/>
      <c r="D5507" s="271"/>
      <c r="E5507" s="271"/>
      <c r="F5507" s="271"/>
      <c r="G5507" s="273"/>
      <c r="H5507" s="29" t="str">
        <f t="shared" ref="H5507:H5512" si="751">IF(A5507="","",VLOOKUP(A5507,AA_Materiales,7,FALSE))</f>
        <v>m3</v>
      </c>
      <c r="I5507" s="394">
        <f t="shared" ref="I5507:I5514" si="752">IF(A5507="","",VLOOKUP(A5507,AA_Materiales,8,FALSE))</f>
        <v>71400</v>
      </c>
      <c r="J5507" s="273"/>
      <c r="K5507" s="395">
        <v>1.2</v>
      </c>
      <c r="L5507" s="273"/>
      <c r="M5507" s="394">
        <f t="shared" ref="M5507:M5514" si="753">IF(A5507="","",I5507*K5507)</f>
        <v>85680</v>
      </c>
      <c r="N5507" s="273"/>
    </row>
    <row r="5508" spans="1:14" ht="12.75" customHeight="1" x14ac:dyDescent="0.2">
      <c r="A5508" s="400"/>
      <c r="B5508" s="271"/>
      <c r="C5508" s="271"/>
      <c r="D5508" s="271"/>
      <c r="E5508" s="271"/>
      <c r="F5508" s="271"/>
      <c r="G5508" s="273"/>
      <c r="H5508" s="29" t="str">
        <f t="shared" si="751"/>
        <v/>
      </c>
      <c r="I5508" s="394" t="str">
        <f t="shared" si="752"/>
        <v/>
      </c>
      <c r="J5508" s="273"/>
      <c r="K5508" s="395"/>
      <c r="L5508" s="273"/>
      <c r="M5508" s="394" t="str">
        <f t="shared" si="753"/>
        <v/>
      </c>
      <c r="N5508" s="273"/>
    </row>
    <row r="5509" spans="1:14" ht="12.75" customHeight="1" x14ac:dyDescent="0.2">
      <c r="A5509" s="400"/>
      <c r="B5509" s="271"/>
      <c r="C5509" s="271"/>
      <c r="D5509" s="271"/>
      <c r="E5509" s="271"/>
      <c r="F5509" s="271"/>
      <c r="G5509" s="273"/>
      <c r="H5509" s="29" t="str">
        <f t="shared" si="751"/>
        <v/>
      </c>
      <c r="I5509" s="394" t="str">
        <f t="shared" si="752"/>
        <v/>
      </c>
      <c r="J5509" s="273"/>
      <c r="K5509" s="395"/>
      <c r="L5509" s="273"/>
      <c r="M5509" s="394" t="str">
        <f t="shared" si="753"/>
        <v/>
      </c>
      <c r="N5509" s="273"/>
    </row>
    <row r="5510" spans="1:14" ht="12.75" customHeight="1" x14ac:dyDescent="0.2">
      <c r="A5510" s="400"/>
      <c r="B5510" s="271"/>
      <c r="C5510" s="271"/>
      <c r="D5510" s="271"/>
      <c r="E5510" s="271"/>
      <c r="F5510" s="271"/>
      <c r="G5510" s="273"/>
      <c r="H5510" s="29" t="str">
        <f t="shared" si="751"/>
        <v/>
      </c>
      <c r="I5510" s="394" t="str">
        <f t="shared" si="752"/>
        <v/>
      </c>
      <c r="J5510" s="273"/>
      <c r="K5510" s="395"/>
      <c r="L5510" s="273"/>
      <c r="M5510" s="394" t="str">
        <f t="shared" si="753"/>
        <v/>
      </c>
      <c r="N5510" s="273"/>
    </row>
    <row r="5511" spans="1:14" ht="12.75" customHeight="1" x14ac:dyDescent="0.2">
      <c r="A5511" s="400"/>
      <c r="B5511" s="271"/>
      <c r="C5511" s="271"/>
      <c r="D5511" s="271"/>
      <c r="E5511" s="271"/>
      <c r="F5511" s="271"/>
      <c r="G5511" s="273"/>
      <c r="H5511" s="29" t="str">
        <f t="shared" si="751"/>
        <v/>
      </c>
      <c r="I5511" s="394" t="str">
        <f t="shared" si="752"/>
        <v/>
      </c>
      <c r="J5511" s="273"/>
      <c r="K5511" s="395"/>
      <c r="L5511" s="273"/>
      <c r="M5511" s="394" t="str">
        <f t="shared" si="753"/>
        <v/>
      </c>
      <c r="N5511" s="273"/>
    </row>
    <row r="5512" spans="1:14" ht="12.75" customHeight="1" x14ac:dyDescent="0.2">
      <c r="A5512" s="400"/>
      <c r="B5512" s="271"/>
      <c r="C5512" s="271"/>
      <c r="D5512" s="271"/>
      <c r="E5512" s="271"/>
      <c r="F5512" s="271"/>
      <c r="G5512" s="273"/>
      <c r="H5512" s="29" t="str">
        <f t="shared" si="751"/>
        <v/>
      </c>
      <c r="I5512" s="394" t="str">
        <f t="shared" si="752"/>
        <v/>
      </c>
      <c r="J5512" s="273"/>
      <c r="K5512" s="395"/>
      <c r="L5512" s="273"/>
      <c r="M5512" s="394" t="str">
        <f t="shared" si="753"/>
        <v/>
      </c>
      <c r="N5512" s="273"/>
    </row>
    <row r="5513" spans="1:14" ht="12.75" customHeight="1" x14ac:dyDescent="0.2">
      <c r="A5513" s="400"/>
      <c r="B5513" s="271"/>
      <c r="C5513" s="271"/>
      <c r="D5513" s="271"/>
      <c r="E5513" s="271"/>
      <c r="F5513" s="271"/>
      <c r="G5513" s="273"/>
      <c r="H5513" s="29"/>
      <c r="I5513" s="394" t="str">
        <f t="shared" si="752"/>
        <v/>
      </c>
      <c r="J5513" s="273"/>
      <c r="K5513" s="395"/>
      <c r="L5513" s="273"/>
      <c r="M5513" s="394" t="str">
        <f t="shared" si="753"/>
        <v/>
      </c>
      <c r="N5513" s="273"/>
    </row>
    <row r="5514" spans="1:14" ht="12.75" customHeight="1" x14ac:dyDescent="0.2">
      <c r="A5514" s="400"/>
      <c r="B5514" s="271"/>
      <c r="C5514" s="271"/>
      <c r="D5514" s="271"/>
      <c r="E5514" s="271"/>
      <c r="F5514" s="271"/>
      <c r="G5514" s="273"/>
      <c r="H5514" s="29" t="str">
        <f>IF(A5514="","",VLOOKUP(A5514,AA_Materiales,7,FALSE))</f>
        <v/>
      </c>
      <c r="I5514" s="394" t="str">
        <f t="shared" si="752"/>
        <v/>
      </c>
      <c r="J5514" s="273"/>
      <c r="K5514" s="395"/>
      <c r="L5514" s="273"/>
      <c r="M5514" s="394" t="str">
        <f t="shared" si="753"/>
        <v/>
      </c>
      <c r="N5514" s="273"/>
    </row>
    <row r="5515" spans="1:14" ht="12.75" customHeight="1" x14ac:dyDescent="0.25">
      <c r="A5515" s="4"/>
      <c r="B5515" s="4"/>
      <c r="C5515" s="4"/>
      <c r="D5515" s="4"/>
      <c r="E5515" s="4"/>
      <c r="F5515" s="4"/>
      <c r="G5515" s="4"/>
      <c r="H5515" s="4"/>
      <c r="I5515" s="4"/>
      <c r="J5515" s="4"/>
      <c r="K5515" s="396" t="s">
        <v>444</v>
      </c>
      <c r="L5515" s="273"/>
      <c r="M5515" s="394">
        <f>SUM(M5507:N5514)</f>
        <v>85680</v>
      </c>
      <c r="N5515" s="273"/>
    </row>
    <row r="5516" spans="1:14" ht="12.75" customHeight="1" x14ac:dyDescent="0.25">
      <c r="A5516" s="4"/>
      <c r="B5516" s="4"/>
      <c r="C5516" s="4"/>
      <c r="D5516" s="4"/>
      <c r="E5516" s="4"/>
      <c r="F5516" s="4"/>
      <c r="G5516" s="4"/>
      <c r="H5516" s="4"/>
      <c r="I5516" s="4"/>
      <c r="J5516" s="4"/>
      <c r="K5516" s="4"/>
      <c r="L5516" s="4"/>
      <c r="M5516" s="4"/>
      <c r="N5516" s="4"/>
    </row>
    <row r="5517" spans="1:14" ht="12.75" customHeight="1" x14ac:dyDescent="0.2">
      <c r="A5517" s="398" t="s">
        <v>926</v>
      </c>
      <c r="B5517" s="271"/>
      <c r="C5517" s="271"/>
      <c r="D5517" s="271"/>
      <c r="E5517" s="271"/>
      <c r="F5517" s="271"/>
      <c r="G5517" s="271"/>
      <c r="H5517" s="271"/>
      <c r="I5517" s="271"/>
      <c r="J5517" s="271"/>
      <c r="K5517" s="271"/>
      <c r="L5517" s="271"/>
      <c r="M5517" s="271"/>
      <c r="N5517" s="273"/>
    </row>
    <row r="5518" spans="1:14" ht="12.75" customHeight="1" x14ac:dyDescent="0.2">
      <c r="A5518" s="396" t="s">
        <v>76</v>
      </c>
      <c r="B5518" s="271"/>
      <c r="C5518" s="271"/>
      <c r="D5518" s="271"/>
      <c r="E5518" s="271"/>
      <c r="F5518" s="271"/>
      <c r="G5518" s="273"/>
      <c r="H5518" s="88" t="s">
        <v>77</v>
      </c>
      <c r="I5518" s="399" t="s">
        <v>920</v>
      </c>
      <c r="J5518" s="273"/>
      <c r="K5518" s="399" t="s">
        <v>453</v>
      </c>
      <c r="L5518" s="273"/>
      <c r="M5518" s="399" t="s">
        <v>921</v>
      </c>
      <c r="N5518" s="273"/>
    </row>
    <row r="5519" spans="1:14" ht="12.75" customHeight="1" x14ac:dyDescent="0.2">
      <c r="A5519" s="400" t="s">
        <v>927</v>
      </c>
      <c r="B5519" s="271"/>
      <c r="C5519" s="271"/>
      <c r="D5519" s="271"/>
      <c r="E5519" s="271"/>
      <c r="F5519" s="271"/>
      <c r="G5519" s="273"/>
      <c r="H5519" s="29" t="str">
        <f>IF(A5519="","",VLOOKUP(A5519,AA_Equipos,7,FALSE))</f>
        <v>% M.O.</v>
      </c>
      <c r="I5519" s="394">
        <f>+M5542</f>
        <v>43889.305</v>
      </c>
      <c r="J5519" s="273"/>
      <c r="K5519" s="404">
        <v>0.05</v>
      </c>
      <c r="L5519" s="273"/>
      <c r="M5519" s="394">
        <f t="shared" ref="M5519:M5523" si="754">IF(A5519="","",I5519*K5519)</f>
        <v>2194.4652500000002</v>
      </c>
      <c r="N5519" s="273"/>
    </row>
    <row r="5520" spans="1:14" ht="12.75" customHeight="1" x14ac:dyDescent="0.2">
      <c r="A5520" s="403"/>
      <c r="B5520" s="271"/>
      <c r="C5520" s="271"/>
      <c r="D5520" s="271"/>
      <c r="E5520" s="271"/>
      <c r="F5520" s="271"/>
      <c r="G5520" s="273"/>
      <c r="H5520" s="29" t="str">
        <f>IF(A5520="","",VLOOKUP(A5520,AA_Equipos,7,FALSE))</f>
        <v/>
      </c>
      <c r="I5520" s="394" t="str">
        <f>IF(A5520="","",VLOOKUP(A5520,AA_Equipos,8,FALSE))</f>
        <v/>
      </c>
      <c r="J5520" s="273"/>
      <c r="K5520" s="402"/>
      <c r="L5520" s="273"/>
      <c r="M5520" s="394" t="str">
        <f t="shared" si="754"/>
        <v/>
      </c>
      <c r="N5520" s="273"/>
    </row>
    <row r="5521" spans="1:14" ht="12.75" customHeight="1" x14ac:dyDescent="0.2">
      <c r="A5521" s="400"/>
      <c r="B5521" s="271"/>
      <c r="C5521" s="271"/>
      <c r="D5521" s="271"/>
      <c r="E5521" s="271"/>
      <c r="F5521" s="271"/>
      <c r="G5521" s="273"/>
      <c r="H5521" s="29" t="str">
        <f>IF(A5521="","",VLOOKUP(A5521,AA_Equipos,7,FALSE))</f>
        <v/>
      </c>
      <c r="I5521" s="394" t="str">
        <f>IF(A5521="","",VLOOKUP(A5521,AA_Equipos,8,FALSE))</f>
        <v/>
      </c>
      <c r="J5521" s="273"/>
      <c r="K5521" s="402"/>
      <c r="L5521" s="273"/>
      <c r="M5521" s="394" t="str">
        <f t="shared" si="754"/>
        <v/>
      </c>
      <c r="N5521" s="273"/>
    </row>
    <row r="5522" spans="1:14" ht="12.75" customHeight="1" x14ac:dyDescent="0.2">
      <c r="A5522" s="400"/>
      <c r="B5522" s="271"/>
      <c r="C5522" s="271"/>
      <c r="D5522" s="271"/>
      <c r="E5522" s="271"/>
      <c r="F5522" s="271"/>
      <c r="G5522" s="273"/>
      <c r="H5522" s="29" t="str">
        <f>IF(A5522="","",VLOOKUP(A5522,AA_Equipos,7,FALSE))</f>
        <v/>
      </c>
      <c r="I5522" s="394" t="str">
        <f>IF(A5522="","",VLOOKUP(A5522,AA_Equipos,8,FALSE))</f>
        <v/>
      </c>
      <c r="J5522" s="273"/>
      <c r="K5522" s="402"/>
      <c r="L5522" s="273"/>
      <c r="M5522" s="394" t="str">
        <f t="shared" si="754"/>
        <v/>
      </c>
      <c r="N5522" s="273"/>
    </row>
    <row r="5523" spans="1:14" ht="12.75" customHeight="1" x14ac:dyDescent="0.2">
      <c r="A5523" s="400"/>
      <c r="B5523" s="271"/>
      <c r="C5523" s="271"/>
      <c r="D5523" s="271"/>
      <c r="E5523" s="271"/>
      <c r="F5523" s="271"/>
      <c r="G5523" s="273"/>
      <c r="H5523" s="29" t="str">
        <f>IF(A5523="","",VLOOKUP(A5523,AA_Equipos,7,FALSE))</f>
        <v/>
      </c>
      <c r="I5523" s="394" t="str">
        <f>IF(A5523="","",VLOOKUP(A5523,AA_Equipos,8,FALSE))</f>
        <v/>
      </c>
      <c r="J5523" s="273"/>
      <c r="K5523" s="395"/>
      <c r="L5523" s="273"/>
      <c r="M5523" s="394" t="str">
        <f t="shared" si="754"/>
        <v/>
      </c>
      <c r="N5523" s="273"/>
    </row>
    <row r="5524" spans="1:14" ht="12.75" customHeight="1" x14ac:dyDescent="0.25">
      <c r="A5524" s="4"/>
      <c r="B5524" s="4"/>
      <c r="C5524" s="4"/>
      <c r="D5524" s="4"/>
      <c r="E5524" s="4"/>
      <c r="F5524" s="4"/>
      <c r="G5524" s="4"/>
      <c r="H5524" s="4"/>
      <c r="I5524" s="4"/>
      <c r="J5524" s="4"/>
      <c r="K5524" s="396" t="s">
        <v>444</v>
      </c>
      <c r="L5524" s="273"/>
      <c r="M5524" s="394">
        <f>SUM(M5519:N5523)</f>
        <v>2194.4652500000002</v>
      </c>
      <c r="N5524" s="273"/>
    </row>
    <row r="5525" spans="1:14" ht="12.75" customHeight="1" x14ac:dyDescent="0.25">
      <c r="A5525" s="4"/>
      <c r="B5525" s="4"/>
      <c r="C5525" s="4"/>
      <c r="D5525" s="4"/>
      <c r="E5525" s="4"/>
      <c r="F5525" s="4"/>
      <c r="G5525" s="4"/>
      <c r="H5525" s="4"/>
      <c r="I5525" s="4"/>
      <c r="J5525" s="4"/>
      <c r="K5525" s="4"/>
      <c r="L5525" s="4"/>
      <c r="M5525" s="4"/>
      <c r="N5525" s="4"/>
    </row>
    <row r="5526" spans="1:14" ht="12.75" customHeight="1" x14ac:dyDescent="0.2">
      <c r="A5526" s="398" t="s">
        <v>929</v>
      </c>
      <c r="B5526" s="271"/>
      <c r="C5526" s="271"/>
      <c r="D5526" s="271"/>
      <c r="E5526" s="271"/>
      <c r="F5526" s="271"/>
      <c r="G5526" s="271"/>
      <c r="H5526" s="271"/>
      <c r="I5526" s="271"/>
      <c r="J5526" s="271"/>
      <c r="K5526" s="271"/>
      <c r="L5526" s="271"/>
      <c r="M5526" s="271"/>
      <c r="N5526" s="273"/>
    </row>
    <row r="5527" spans="1:14" ht="12.75" customHeight="1" x14ac:dyDescent="0.2">
      <c r="A5527" s="396" t="s">
        <v>76</v>
      </c>
      <c r="B5527" s="271"/>
      <c r="C5527" s="271"/>
      <c r="D5527" s="271"/>
      <c r="E5527" s="271"/>
      <c r="F5527" s="271"/>
      <c r="G5527" s="273"/>
      <c r="H5527" s="88" t="s">
        <v>77</v>
      </c>
      <c r="I5527" s="399" t="s">
        <v>920</v>
      </c>
      <c r="J5527" s="273"/>
      <c r="K5527" s="399" t="s">
        <v>453</v>
      </c>
      <c r="L5527" s="273"/>
      <c r="M5527" s="399" t="s">
        <v>921</v>
      </c>
      <c r="N5527" s="273"/>
    </row>
    <row r="5528" spans="1:14" ht="12.75" customHeight="1" x14ac:dyDescent="0.2">
      <c r="A5528" s="400" t="s">
        <v>960</v>
      </c>
      <c r="B5528" s="271"/>
      <c r="C5528" s="271"/>
      <c r="D5528" s="271"/>
      <c r="E5528" s="271"/>
      <c r="F5528" s="271"/>
      <c r="G5528" s="273"/>
      <c r="H5528" s="29" t="s">
        <v>967</v>
      </c>
      <c r="I5528" s="394">
        <v>1450</v>
      </c>
      <c r="J5528" s="273"/>
      <c r="K5528" s="417">
        <f>+Indice!L21</f>
        <v>49</v>
      </c>
      <c r="L5528" s="273"/>
      <c r="M5528" s="394">
        <f t="shared" ref="M5528:M5532" si="755">IF(A5528="","",I5528*K5528)</f>
        <v>71050</v>
      </c>
      <c r="N5528" s="273"/>
    </row>
    <row r="5529" spans="1:14" ht="12.75" customHeight="1" x14ac:dyDescent="0.2">
      <c r="A5529" s="403"/>
      <c r="B5529" s="271"/>
      <c r="C5529" s="271"/>
      <c r="D5529" s="271"/>
      <c r="E5529" s="271"/>
      <c r="F5529" s="271"/>
      <c r="G5529" s="273"/>
      <c r="H5529" s="29"/>
      <c r="I5529" s="394"/>
      <c r="J5529" s="273"/>
      <c r="K5529" s="404"/>
      <c r="L5529" s="273"/>
      <c r="M5529" s="394" t="str">
        <f t="shared" si="755"/>
        <v/>
      </c>
      <c r="N5529" s="273"/>
    </row>
    <row r="5530" spans="1:14" ht="12.75" customHeight="1" x14ac:dyDescent="0.2">
      <c r="A5530" s="400"/>
      <c r="B5530" s="271"/>
      <c r="C5530" s="271"/>
      <c r="D5530" s="271"/>
      <c r="E5530" s="271"/>
      <c r="F5530" s="271"/>
      <c r="G5530" s="273"/>
      <c r="H5530" s="29"/>
      <c r="I5530" s="394"/>
      <c r="J5530" s="273"/>
      <c r="K5530" s="395"/>
      <c r="L5530" s="273"/>
      <c r="M5530" s="394" t="str">
        <f t="shared" si="755"/>
        <v/>
      </c>
      <c r="N5530" s="273"/>
    </row>
    <row r="5531" spans="1:14" ht="12.75" customHeight="1" x14ac:dyDescent="0.2">
      <c r="A5531" s="400"/>
      <c r="B5531" s="271"/>
      <c r="C5531" s="271"/>
      <c r="D5531" s="271"/>
      <c r="E5531" s="271"/>
      <c r="F5531" s="271"/>
      <c r="G5531" s="273"/>
      <c r="H5531" s="29"/>
      <c r="I5531" s="394"/>
      <c r="J5531" s="273"/>
      <c r="K5531" s="395"/>
      <c r="L5531" s="273"/>
      <c r="M5531" s="394" t="str">
        <f t="shared" si="755"/>
        <v/>
      </c>
      <c r="N5531" s="273"/>
    </row>
    <row r="5532" spans="1:14" ht="12.75" customHeight="1" x14ac:dyDescent="0.2">
      <c r="A5532" s="400"/>
      <c r="B5532" s="271"/>
      <c r="C5532" s="271"/>
      <c r="D5532" s="271"/>
      <c r="E5532" s="271"/>
      <c r="F5532" s="271"/>
      <c r="G5532" s="273"/>
      <c r="H5532" s="29"/>
      <c r="I5532" s="394"/>
      <c r="J5532" s="273"/>
      <c r="K5532" s="395"/>
      <c r="L5532" s="273"/>
      <c r="M5532" s="394" t="str">
        <f t="shared" si="755"/>
        <v/>
      </c>
      <c r="N5532" s="273"/>
    </row>
    <row r="5533" spans="1:14" ht="12.75" customHeight="1" x14ac:dyDescent="0.25">
      <c r="A5533" s="4"/>
      <c r="B5533" s="4"/>
      <c r="C5533" s="4"/>
      <c r="D5533" s="4"/>
      <c r="E5533" s="4"/>
      <c r="F5533" s="4"/>
      <c r="G5533" s="4"/>
      <c r="H5533" s="4"/>
      <c r="I5533" s="4"/>
      <c r="J5533" s="4"/>
      <c r="K5533" s="396" t="s">
        <v>444</v>
      </c>
      <c r="L5533" s="273"/>
      <c r="M5533" s="394">
        <f>SUM(M5528:N5532)</f>
        <v>71050</v>
      </c>
      <c r="N5533" s="273"/>
    </row>
    <row r="5534" spans="1:14" ht="12.75" customHeight="1" x14ac:dyDescent="0.25">
      <c r="A5534" s="4"/>
      <c r="B5534" s="4"/>
      <c r="C5534" s="4"/>
      <c r="D5534" s="4"/>
      <c r="E5534" s="4"/>
      <c r="F5534" s="4"/>
      <c r="G5534" s="4"/>
      <c r="H5534" s="4"/>
      <c r="I5534" s="4"/>
      <c r="J5534" s="4"/>
      <c r="K5534" s="4"/>
      <c r="L5534" s="4"/>
      <c r="M5534" s="4"/>
      <c r="N5534" s="4"/>
    </row>
    <row r="5535" spans="1:14" ht="12.75" customHeight="1" x14ac:dyDescent="0.2">
      <c r="A5535" s="398" t="s">
        <v>931</v>
      </c>
      <c r="B5535" s="271"/>
      <c r="C5535" s="271"/>
      <c r="D5535" s="271"/>
      <c r="E5535" s="271"/>
      <c r="F5535" s="271"/>
      <c r="G5535" s="271"/>
      <c r="H5535" s="271"/>
      <c r="I5535" s="271"/>
      <c r="J5535" s="271"/>
      <c r="K5535" s="271"/>
      <c r="L5535" s="271"/>
      <c r="M5535" s="271"/>
      <c r="N5535" s="273"/>
    </row>
    <row r="5536" spans="1:14" ht="12.75" customHeight="1" x14ac:dyDescent="0.2">
      <c r="A5536" s="396" t="s">
        <v>76</v>
      </c>
      <c r="B5536" s="271"/>
      <c r="C5536" s="271"/>
      <c r="D5536" s="271"/>
      <c r="E5536" s="271"/>
      <c r="F5536" s="271"/>
      <c r="G5536" s="273"/>
      <c r="H5536" s="88" t="s">
        <v>77</v>
      </c>
      <c r="I5536" s="399" t="s">
        <v>920</v>
      </c>
      <c r="J5536" s="273"/>
      <c r="K5536" s="90" t="s">
        <v>514</v>
      </c>
      <c r="L5536" s="91" t="s">
        <v>932</v>
      </c>
      <c r="M5536" s="399" t="s">
        <v>921</v>
      </c>
      <c r="N5536" s="273"/>
    </row>
    <row r="5537" spans="1:15" ht="12.75" customHeight="1" x14ac:dyDescent="0.25">
      <c r="A5537" s="393" t="s">
        <v>951</v>
      </c>
      <c r="B5537" s="271"/>
      <c r="C5537" s="271"/>
      <c r="D5537" s="271"/>
      <c r="E5537" s="271"/>
      <c r="F5537" s="271"/>
      <c r="G5537" s="273"/>
      <c r="H5537" s="29" t="str">
        <f>IF(A5537="","",VLOOKUP(A5537,AA_Cuadrillas,4,FALSE))</f>
        <v>Cuadrilla</v>
      </c>
      <c r="I5537" s="394">
        <f>IF(A5537="","",VLOOKUP(A5537,AA_Cuadrillas,5,FALSE))</f>
        <v>186763</v>
      </c>
      <c r="J5537" s="273"/>
      <c r="K5537" s="9">
        <f>IF(A5537="","",F.P!$I$2)</f>
        <v>1.88</v>
      </c>
      <c r="L5537" s="93">
        <v>0.125</v>
      </c>
      <c r="M5537" s="394">
        <f t="shared" ref="M5537:M5541" si="756">IF(A5537="","",I5537*K5537*L5537)</f>
        <v>43889.305</v>
      </c>
      <c r="N5537" s="273"/>
    </row>
    <row r="5538" spans="1:15" ht="12.75" customHeight="1" x14ac:dyDescent="0.25">
      <c r="A5538" s="393"/>
      <c r="B5538" s="271"/>
      <c r="C5538" s="271"/>
      <c r="D5538" s="271"/>
      <c r="E5538" s="271"/>
      <c r="F5538" s="271"/>
      <c r="G5538" s="273"/>
      <c r="H5538" s="29" t="str">
        <f>IF(A5538="","",VLOOKUP(A5538,AA_Cuadrillas,4,FALSE))</f>
        <v/>
      </c>
      <c r="I5538" s="394" t="str">
        <f>IF(A5538="","",VLOOKUP(A5538,AA_Cuadrillas,5,FALSE))</f>
        <v/>
      </c>
      <c r="J5538" s="273"/>
      <c r="K5538" s="9" t="str">
        <f>IF(A5538="","",F.P!$I$2)</f>
        <v/>
      </c>
      <c r="L5538" s="9"/>
      <c r="M5538" s="394" t="str">
        <f t="shared" si="756"/>
        <v/>
      </c>
      <c r="N5538" s="273"/>
    </row>
    <row r="5539" spans="1:15" ht="12.75" customHeight="1" x14ac:dyDescent="0.25">
      <c r="A5539" s="393"/>
      <c r="B5539" s="271"/>
      <c r="C5539" s="271"/>
      <c r="D5539" s="271"/>
      <c r="E5539" s="271"/>
      <c r="F5539" s="271"/>
      <c r="G5539" s="273"/>
      <c r="H5539" s="29" t="str">
        <f>IF(A5539="","",VLOOKUP(A5539,AA_Cuadrillas,4,FALSE))</f>
        <v/>
      </c>
      <c r="I5539" s="394" t="str">
        <f>IF(A5539="","",VLOOKUP(A5539,AA_Cuadrillas,5,FALSE))</f>
        <v/>
      </c>
      <c r="J5539" s="273"/>
      <c r="K5539" s="9" t="str">
        <f>IF(A5539="","",F.P!$I$2)</f>
        <v/>
      </c>
      <c r="L5539" s="37"/>
      <c r="M5539" s="394" t="str">
        <f t="shared" si="756"/>
        <v/>
      </c>
      <c r="N5539" s="273"/>
    </row>
    <row r="5540" spans="1:15" ht="12.75" customHeight="1" x14ac:dyDescent="0.25">
      <c r="A5540" s="393"/>
      <c r="B5540" s="271"/>
      <c r="C5540" s="271"/>
      <c r="D5540" s="271"/>
      <c r="E5540" s="271"/>
      <c r="F5540" s="271"/>
      <c r="G5540" s="273"/>
      <c r="H5540" s="29" t="str">
        <f>IF(A5540="","",VLOOKUP(A5540,AA_Cuadrillas,4,FALSE))</f>
        <v/>
      </c>
      <c r="I5540" s="394" t="str">
        <f>IF(A5540="","",VLOOKUP(A5540,AA_Cuadrillas,5,FALSE))</f>
        <v/>
      </c>
      <c r="J5540" s="273"/>
      <c r="K5540" s="9" t="str">
        <f>IF(A5540="","",F.P!$I$2)</f>
        <v/>
      </c>
      <c r="L5540" s="37"/>
      <c r="M5540" s="394" t="str">
        <f t="shared" si="756"/>
        <v/>
      </c>
      <c r="N5540" s="273"/>
    </row>
    <row r="5541" spans="1:15" ht="12.75" customHeight="1" x14ac:dyDescent="0.25">
      <c r="A5541" s="393"/>
      <c r="B5541" s="271"/>
      <c r="C5541" s="271"/>
      <c r="D5541" s="271"/>
      <c r="E5541" s="271"/>
      <c r="F5541" s="271"/>
      <c r="G5541" s="273"/>
      <c r="H5541" s="29" t="str">
        <f>IF(A5541="","",VLOOKUP(A5541,AA_Cuadrillas,4,FALSE))</f>
        <v/>
      </c>
      <c r="I5541" s="394" t="str">
        <f>IF(A5541="","",VLOOKUP(A5541,AA_Cuadrillas,5,FALSE))</f>
        <v/>
      </c>
      <c r="J5541" s="273"/>
      <c r="K5541" s="9" t="str">
        <f>IF(A5541="","",F.P!$I$2)</f>
        <v/>
      </c>
      <c r="L5541" s="37"/>
      <c r="M5541" s="394" t="str">
        <f t="shared" si="756"/>
        <v/>
      </c>
      <c r="N5541" s="273"/>
    </row>
    <row r="5542" spans="1:15" ht="12.75" customHeight="1" x14ac:dyDescent="0.25">
      <c r="A5542" s="4"/>
      <c r="B5542" s="4"/>
      <c r="C5542" s="4"/>
      <c r="D5542" s="4"/>
      <c r="E5542" s="4"/>
      <c r="F5542" s="4"/>
      <c r="G5542" s="4"/>
      <c r="H5542" s="4"/>
      <c r="I5542" s="4"/>
      <c r="J5542" s="4"/>
      <c r="K5542" s="396" t="s">
        <v>444</v>
      </c>
      <c r="L5542" s="273"/>
      <c r="M5542" s="394">
        <f>SUM(M5537:N5541)</f>
        <v>43889.305</v>
      </c>
      <c r="N5542" s="273"/>
    </row>
    <row r="5543" spans="1:15" ht="12.75" customHeight="1" x14ac:dyDescent="0.2"/>
    <row r="5544" spans="1:15" ht="12.75" customHeight="1" x14ac:dyDescent="0.2">
      <c r="A5544" s="407" t="s">
        <v>263</v>
      </c>
      <c r="B5544" s="275"/>
      <c r="C5544" s="275"/>
      <c r="D5544" s="275"/>
      <c r="E5544" s="275"/>
      <c r="F5544" s="275"/>
      <c r="G5544" s="275"/>
      <c r="H5544" s="275"/>
      <c r="I5544" s="275"/>
      <c r="J5544" s="275"/>
      <c r="K5544" s="275"/>
      <c r="L5544" s="275"/>
      <c r="M5544" s="275"/>
      <c r="N5544" s="276"/>
      <c r="O5544" s="166"/>
    </row>
    <row r="5545" spans="1:15" ht="12.75" customHeight="1" x14ac:dyDescent="0.2">
      <c r="A5545" s="277"/>
      <c r="B5545" s="278"/>
      <c r="C5545" s="278"/>
      <c r="D5545" s="278"/>
      <c r="E5545" s="278"/>
      <c r="F5545" s="278"/>
      <c r="G5545" s="278"/>
      <c r="H5545" s="278"/>
      <c r="I5545" s="278"/>
      <c r="J5545" s="278"/>
      <c r="K5545" s="278"/>
      <c r="L5545" s="278"/>
      <c r="M5545" s="278"/>
      <c r="N5545" s="279"/>
      <c r="O5545" s="166"/>
    </row>
    <row r="5546" spans="1:15" ht="12.75" customHeight="1" x14ac:dyDescent="0.2">
      <c r="A5546" s="75"/>
      <c r="B5546" s="75"/>
      <c r="C5546" s="75"/>
      <c r="D5546" s="75"/>
      <c r="E5546" s="75"/>
      <c r="F5546" s="75"/>
      <c r="G5546" s="75"/>
      <c r="H5546" s="75"/>
      <c r="I5546" s="75"/>
      <c r="J5546" s="75"/>
      <c r="K5546" s="75"/>
      <c r="L5546" s="75"/>
      <c r="M5546" s="75"/>
      <c r="N5546" s="75"/>
    </row>
    <row r="5547" spans="1:15" ht="12.75" customHeight="1" x14ac:dyDescent="0.3">
      <c r="A5547" s="79" t="s">
        <v>743</v>
      </c>
      <c r="B5547" s="80" t="str">
        <f>A5544</f>
        <v>MURO EN TOLETE COMÚN 0,12M (INCLUYE PAÑETE, MATERIALES, HERRAMIENTA MENOR Y MANO DE OBRA)</v>
      </c>
      <c r="C5547" s="81" t="s">
        <v>916</v>
      </c>
      <c r="D5547" s="82" t="s">
        <v>934</v>
      </c>
      <c r="E5547" s="83" t="s">
        <v>445</v>
      </c>
      <c r="F5547" s="234">
        <f>(H5547+J5547+L5547+N5547)*1.3</f>
        <v>135727.79720923855</v>
      </c>
      <c r="G5547" s="83" t="s">
        <v>607</v>
      </c>
      <c r="H5547" s="86">
        <f>M5568</f>
        <v>1755.5722000000003</v>
      </c>
      <c r="I5547" s="83" t="s">
        <v>918</v>
      </c>
      <c r="J5547" s="86">
        <f>M5559</f>
        <v>64239.240993581348</v>
      </c>
      <c r="K5547" s="83" t="s">
        <v>609</v>
      </c>
      <c r="L5547" s="86">
        <f>M5577</f>
        <v>3299.7406596790674</v>
      </c>
      <c r="M5547" s="83" t="s">
        <v>610</v>
      </c>
      <c r="N5547" s="86">
        <f>M5586</f>
        <v>35111.444000000003</v>
      </c>
    </row>
    <row r="5548" spans="1:15" ht="12.75" customHeight="1" x14ac:dyDescent="0.25">
      <c r="A5548" s="87"/>
      <c r="B5548" s="87"/>
      <c r="C5548" s="87"/>
      <c r="D5548" s="87"/>
      <c r="E5548" s="87"/>
      <c r="F5548" s="87"/>
      <c r="G5548" s="87"/>
      <c r="J5548" s="87"/>
      <c r="K5548" s="215" t="s">
        <v>3217</v>
      </c>
      <c r="L5548" s="215">
        <f>+F5547*presup!$O$5</f>
        <v>176446.13637201011</v>
      </c>
      <c r="M5548" s="87"/>
      <c r="N5548" s="87"/>
    </row>
    <row r="5549" spans="1:15" ht="12.75" customHeight="1" x14ac:dyDescent="0.2">
      <c r="A5549" s="398" t="s">
        <v>919</v>
      </c>
      <c r="B5549" s="271"/>
      <c r="C5549" s="271"/>
      <c r="D5549" s="271"/>
      <c r="E5549" s="271"/>
      <c r="F5549" s="271"/>
      <c r="G5549" s="271"/>
      <c r="H5549" s="271"/>
      <c r="I5549" s="271"/>
      <c r="J5549" s="271"/>
      <c r="K5549" s="271"/>
      <c r="L5549" s="271"/>
      <c r="M5549" s="271"/>
      <c r="N5549" s="273"/>
    </row>
    <row r="5550" spans="1:15" ht="12.75" customHeight="1" x14ac:dyDescent="0.2">
      <c r="A5550" s="396" t="s">
        <v>76</v>
      </c>
      <c r="B5550" s="271"/>
      <c r="C5550" s="271"/>
      <c r="D5550" s="271"/>
      <c r="E5550" s="271"/>
      <c r="F5550" s="271"/>
      <c r="G5550" s="273"/>
      <c r="H5550" s="88" t="s">
        <v>77</v>
      </c>
      <c r="I5550" s="399" t="s">
        <v>920</v>
      </c>
      <c r="J5550" s="273"/>
      <c r="K5550" s="399" t="s">
        <v>453</v>
      </c>
      <c r="L5550" s="273"/>
      <c r="M5550" s="399" t="s">
        <v>921</v>
      </c>
      <c r="N5550" s="273"/>
    </row>
    <row r="5551" spans="1:15" ht="12.75" customHeight="1" x14ac:dyDescent="0.2">
      <c r="A5551" s="400" t="s">
        <v>1233</v>
      </c>
      <c r="B5551" s="271"/>
      <c r="C5551" s="271"/>
      <c r="D5551" s="271"/>
      <c r="E5551" s="271"/>
      <c r="F5551" s="271"/>
      <c r="G5551" s="273"/>
      <c r="H5551" s="29" t="str">
        <f t="shared" ref="H5551:H5556" si="757">IF(A5551="","",VLOOKUP(A5551,AA_Materiales,7,FALSE))</f>
        <v>Unidad</v>
      </c>
      <c r="I5551" s="394">
        <f t="shared" ref="I5551:I5558" si="758">IF(A5551="","",VLOOKUP(A5551,AA_Materiales,8,FALSE))</f>
        <v>897.06</v>
      </c>
      <c r="J5551" s="273"/>
      <c r="K5551" s="395">
        <v>55</v>
      </c>
      <c r="L5551" s="273"/>
      <c r="M5551" s="394">
        <f t="shared" ref="M5551:M5558" si="759">IF(A5551="","",I5551*K5551)</f>
        <v>49338.299999999996</v>
      </c>
      <c r="N5551" s="273"/>
    </row>
    <row r="5552" spans="1:15" ht="12.75" customHeight="1" x14ac:dyDescent="0.2">
      <c r="A5552" s="400" t="s">
        <v>1023</v>
      </c>
      <c r="B5552" s="271"/>
      <c r="C5552" s="271"/>
      <c r="D5552" s="271"/>
      <c r="E5552" s="271"/>
      <c r="F5552" s="271"/>
      <c r="G5552" s="273"/>
      <c r="H5552" s="29" t="str">
        <f t="shared" si="757"/>
        <v>m3</v>
      </c>
      <c r="I5552" s="394">
        <f t="shared" si="758"/>
        <v>745047.0496790678</v>
      </c>
      <c r="J5552" s="273"/>
      <c r="K5552" s="395">
        <v>0.02</v>
      </c>
      <c r="L5552" s="273"/>
      <c r="M5552" s="394">
        <f t="shared" si="759"/>
        <v>14900.940993581356</v>
      </c>
      <c r="N5552" s="273"/>
    </row>
    <row r="5553" spans="1:14" ht="12.75" customHeight="1" x14ac:dyDescent="0.2">
      <c r="A5553" s="400"/>
      <c r="B5553" s="271"/>
      <c r="C5553" s="271"/>
      <c r="D5553" s="271"/>
      <c r="E5553" s="271"/>
      <c r="F5553" s="271"/>
      <c r="G5553" s="273"/>
      <c r="H5553" s="29" t="str">
        <f t="shared" si="757"/>
        <v/>
      </c>
      <c r="I5553" s="394" t="str">
        <f t="shared" si="758"/>
        <v/>
      </c>
      <c r="J5553" s="273"/>
      <c r="K5553" s="395"/>
      <c r="L5553" s="273"/>
      <c r="M5553" s="394" t="str">
        <f t="shared" si="759"/>
        <v/>
      </c>
      <c r="N5553" s="273"/>
    </row>
    <row r="5554" spans="1:14" ht="12.75" customHeight="1" x14ac:dyDescent="0.2">
      <c r="A5554" s="400"/>
      <c r="B5554" s="271"/>
      <c r="C5554" s="271"/>
      <c r="D5554" s="271"/>
      <c r="E5554" s="271"/>
      <c r="F5554" s="271"/>
      <c r="G5554" s="273"/>
      <c r="H5554" s="29" t="str">
        <f t="shared" si="757"/>
        <v/>
      </c>
      <c r="I5554" s="394" t="str">
        <f t="shared" si="758"/>
        <v/>
      </c>
      <c r="J5554" s="273"/>
      <c r="K5554" s="395"/>
      <c r="L5554" s="273"/>
      <c r="M5554" s="394" t="str">
        <f t="shared" si="759"/>
        <v/>
      </c>
      <c r="N5554" s="273"/>
    </row>
    <row r="5555" spans="1:14" ht="12.75" customHeight="1" x14ac:dyDescent="0.2">
      <c r="A5555" s="400"/>
      <c r="B5555" s="271"/>
      <c r="C5555" s="271"/>
      <c r="D5555" s="271"/>
      <c r="E5555" s="271"/>
      <c r="F5555" s="271"/>
      <c r="G5555" s="273"/>
      <c r="H5555" s="29" t="str">
        <f t="shared" si="757"/>
        <v/>
      </c>
      <c r="I5555" s="394" t="str">
        <f t="shared" si="758"/>
        <v/>
      </c>
      <c r="J5555" s="273"/>
      <c r="K5555" s="395"/>
      <c r="L5555" s="273"/>
      <c r="M5555" s="394" t="str">
        <f t="shared" si="759"/>
        <v/>
      </c>
      <c r="N5555" s="273"/>
    </row>
    <row r="5556" spans="1:14" ht="12.75" customHeight="1" x14ac:dyDescent="0.2">
      <c r="A5556" s="400"/>
      <c r="B5556" s="271"/>
      <c r="C5556" s="271"/>
      <c r="D5556" s="271"/>
      <c r="E5556" s="271"/>
      <c r="F5556" s="271"/>
      <c r="G5556" s="273"/>
      <c r="H5556" s="29" t="str">
        <f t="shared" si="757"/>
        <v/>
      </c>
      <c r="I5556" s="394" t="str">
        <f t="shared" si="758"/>
        <v/>
      </c>
      <c r="J5556" s="273"/>
      <c r="K5556" s="395"/>
      <c r="L5556" s="273"/>
      <c r="M5556" s="394" t="str">
        <f t="shared" si="759"/>
        <v/>
      </c>
      <c r="N5556" s="273"/>
    </row>
    <row r="5557" spans="1:14" ht="12.75" customHeight="1" x14ac:dyDescent="0.2">
      <c r="A5557" s="400"/>
      <c r="B5557" s="271"/>
      <c r="C5557" s="271"/>
      <c r="D5557" s="271"/>
      <c r="E5557" s="271"/>
      <c r="F5557" s="271"/>
      <c r="G5557" s="273"/>
      <c r="H5557" s="29"/>
      <c r="I5557" s="394" t="str">
        <f t="shared" si="758"/>
        <v/>
      </c>
      <c r="J5557" s="273"/>
      <c r="K5557" s="395"/>
      <c r="L5557" s="273"/>
      <c r="M5557" s="394" t="str">
        <f t="shared" si="759"/>
        <v/>
      </c>
      <c r="N5557" s="273"/>
    </row>
    <row r="5558" spans="1:14" ht="12.75" customHeight="1" x14ac:dyDescent="0.2">
      <c r="A5558" s="400"/>
      <c r="B5558" s="271"/>
      <c r="C5558" s="271"/>
      <c r="D5558" s="271"/>
      <c r="E5558" s="271"/>
      <c r="F5558" s="271"/>
      <c r="G5558" s="273"/>
      <c r="H5558" s="29" t="str">
        <f>IF(A5558="","",VLOOKUP(A5558,AA_Materiales,7,FALSE))</f>
        <v/>
      </c>
      <c r="I5558" s="394" t="str">
        <f t="shared" si="758"/>
        <v/>
      </c>
      <c r="J5558" s="273"/>
      <c r="K5558" s="395"/>
      <c r="L5558" s="273"/>
      <c r="M5558" s="394" t="str">
        <f t="shared" si="759"/>
        <v/>
      </c>
      <c r="N5558" s="273"/>
    </row>
    <row r="5559" spans="1:14" ht="12.75" customHeight="1" x14ac:dyDescent="0.25">
      <c r="A5559" s="4"/>
      <c r="B5559" s="4"/>
      <c r="C5559" s="4"/>
      <c r="D5559" s="4"/>
      <c r="E5559" s="4"/>
      <c r="F5559" s="4"/>
      <c r="G5559" s="4"/>
      <c r="H5559" s="4"/>
      <c r="I5559" s="4"/>
      <c r="J5559" s="4"/>
      <c r="K5559" s="396" t="s">
        <v>444</v>
      </c>
      <c r="L5559" s="273"/>
      <c r="M5559" s="394">
        <f>SUM(M5551:N5558)</f>
        <v>64239.240993581348</v>
      </c>
      <c r="N5559" s="273"/>
    </row>
    <row r="5560" spans="1:14" ht="12.75" customHeight="1" x14ac:dyDescent="0.25">
      <c r="A5560" s="4"/>
      <c r="B5560" s="4"/>
      <c r="C5560" s="4"/>
      <c r="D5560" s="4"/>
      <c r="E5560" s="4"/>
      <c r="F5560" s="4"/>
      <c r="G5560" s="4"/>
      <c r="H5560" s="4"/>
      <c r="I5560" s="4"/>
      <c r="J5560" s="4"/>
      <c r="K5560" s="4"/>
      <c r="L5560" s="4"/>
      <c r="M5560" s="4"/>
      <c r="N5560" s="4"/>
    </row>
    <row r="5561" spans="1:14" ht="12.75" customHeight="1" x14ac:dyDescent="0.2">
      <c r="A5561" s="398" t="s">
        <v>926</v>
      </c>
      <c r="B5561" s="271"/>
      <c r="C5561" s="271"/>
      <c r="D5561" s="271"/>
      <c r="E5561" s="271"/>
      <c r="F5561" s="271"/>
      <c r="G5561" s="271"/>
      <c r="H5561" s="271"/>
      <c r="I5561" s="271"/>
      <c r="J5561" s="271"/>
      <c r="K5561" s="271"/>
      <c r="L5561" s="271"/>
      <c r="M5561" s="271"/>
      <c r="N5561" s="273"/>
    </row>
    <row r="5562" spans="1:14" ht="12.75" customHeight="1" x14ac:dyDescent="0.2">
      <c r="A5562" s="396" t="s">
        <v>76</v>
      </c>
      <c r="B5562" s="271"/>
      <c r="C5562" s="271"/>
      <c r="D5562" s="271"/>
      <c r="E5562" s="271"/>
      <c r="F5562" s="271"/>
      <c r="G5562" s="273"/>
      <c r="H5562" s="88" t="s">
        <v>77</v>
      </c>
      <c r="I5562" s="399" t="s">
        <v>920</v>
      </c>
      <c r="J5562" s="273"/>
      <c r="K5562" s="399" t="s">
        <v>453</v>
      </c>
      <c r="L5562" s="273"/>
      <c r="M5562" s="399" t="s">
        <v>921</v>
      </c>
      <c r="N5562" s="273"/>
    </row>
    <row r="5563" spans="1:14" ht="12.75" customHeight="1" x14ac:dyDescent="0.2">
      <c r="A5563" s="400" t="s">
        <v>927</v>
      </c>
      <c r="B5563" s="271"/>
      <c r="C5563" s="271"/>
      <c r="D5563" s="271"/>
      <c r="E5563" s="271"/>
      <c r="F5563" s="271"/>
      <c r="G5563" s="273"/>
      <c r="H5563" s="29" t="str">
        <f>IF(A5563="","",VLOOKUP(A5563,AA_Equipos,7,FALSE))</f>
        <v>% M.O.</v>
      </c>
      <c r="I5563" s="394">
        <f>+M5586</f>
        <v>35111.444000000003</v>
      </c>
      <c r="J5563" s="273"/>
      <c r="K5563" s="404">
        <v>0.05</v>
      </c>
      <c r="L5563" s="273"/>
      <c r="M5563" s="394">
        <f t="shared" ref="M5563:M5567" si="760">IF(A5563="","",I5563*K5563)</f>
        <v>1755.5722000000003</v>
      </c>
      <c r="N5563" s="273"/>
    </row>
    <row r="5564" spans="1:14" ht="12.75" customHeight="1" x14ac:dyDescent="0.2">
      <c r="A5564" s="403"/>
      <c r="B5564" s="271"/>
      <c r="C5564" s="271"/>
      <c r="D5564" s="271"/>
      <c r="E5564" s="271"/>
      <c r="F5564" s="271"/>
      <c r="G5564" s="273"/>
      <c r="H5564" s="29" t="str">
        <f>IF(A5564="","",VLOOKUP(A5564,AA_Equipos,7,FALSE))</f>
        <v/>
      </c>
      <c r="I5564" s="394" t="str">
        <f>IF(A5564="","",VLOOKUP(A5564,AA_Equipos,8,FALSE))</f>
        <v/>
      </c>
      <c r="J5564" s="273"/>
      <c r="K5564" s="402"/>
      <c r="L5564" s="273"/>
      <c r="M5564" s="394" t="str">
        <f t="shared" si="760"/>
        <v/>
      </c>
      <c r="N5564" s="273"/>
    </row>
    <row r="5565" spans="1:14" ht="12.75" customHeight="1" x14ac:dyDescent="0.2">
      <c r="A5565" s="400"/>
      <c r="B5565" s="271"/>
      <c r="C5565" s="271"/>
      <c r="D5565" s="271"/>
      <c r="E5565" s="271"/>
      <c r="F5565" s="271"/>
      <c r="G5565" s="273"/>
      <c r="H5565" s="29" t="str">
        <f>IF(A5565="","",VLOOKUP(A5565,AA_Equipos,7,FALSE))</f>
        <v/>
      </c>
      <c r="I5565" s="394" t="str">
        <f>IF(A5565="","",VLOOKUP(A5565,AA_Equipos,8,FALSE))</f>
        <v/>
      </c>
      <c r="J5565" s="273"/>
      <c r="K5565" s="402"/>
      <c r="L5565" s="273"/>
      <c r="M5565" s="394" t="str">
        <f t="shared" si="760"/>
        <v/>
      </c>
      <c r="N5565" s="273"/>
    </row>
    <row r="5566" spans="1:14" ht="12.75" customHeight="1" x14ac:dyDescent="0.2">
      <c r="A5566" s="400"/>
      <c r="B5566" s="271"/>
      <c r="C5566" s="271"/>
      <c r="D5566" s="271"/>
      <c r="E5566" s="271"/>
      <c r="F5566" s="271"/>
      <c r="G5566" s="273"/>
      <c r="H5566" s="29" t="str">
        <f>IF(A5566="","",VLOOKUP(A5566,AA_Equipos,7,FALSE))</f>
        <v/>
      </c>
      <c r="I5566" s="394" t="str">
        <f>IF(A5566="","",VLOOKUP(A5566,AA_Equipos,8,FALSE))</f>
        <v/>
      </c>
      <c r="J5566" s="273"/>
      <c r="K5566" s="402"/>
      <c r="L5566" s="273"/>
      <c r="M5566" s="394" t="str">
        <f t="shared" si="760"/>
        <v/>
      </c>
      <c r="N5566" s="273"/>
    </row>
    <row r="5567" spans="1:14" ht="12.75" customHeight="1" x14ac:dyDescent="0.2">
      <c r="A5567" s="400"/>
      <c r="B5567" s="271"/>
      <c r="C5567" s="271"/>
      <c r="D5567" s="271"/>
      <c r="E5567" s="271"/>
      <c r="F5567" s="271"/>
      <c r="G5567" s="273"/>
      <c r="H5567" s="29" t="str">
        <f>IF(A5567="","",VLOOKUP(A5567,AA_Equipos,7,FALSE))</f>
        <v/>
      </c>
      <c r="I5567" s="394" t="str">
        <f>IF(A5567="","",VLOOKUP(A5567,AA_Equipos,8,FALSE))</f>
        <v/>
      </c>
      <c r="J5567" s="273"/>
      <c r="K5567" s="395"/>
      <c r="L5567" s="273"/>
      <c r="M5567" s="394" t="str">
        <f t="shared" si="760"/>
        <v/>
      </c>
      <c r="N5567" s="273"/>
    </row>
    <row r="5568" spans="1:14" ht="12.75" customHeight="1" x14ac:dyDescent="0.25">
      <c r="A5568" s="4"/>
      <c r="B5568" s="4"/>
      <c r="C5568" s="4"/>
      <c r="D5568" s="4"/>
      <c r="E5568" s="4"/>
      <c r="F5568" s="4"/>
      <c r="G5568" s="4"/>
      <c r="H5568" s="4"/>
      <c r="I5568" s="4"/>
      <c r="J5568" s="4"/>
      <c r="K5568" s="396" t="s">
        <v>444</v>
      </c>
      <c r="L5568" s="273"/>
      <c r="M5568" s="394">
        <f>SUM(M5563:N5567)</f>
        <v>1755.5722000000003</v>
      </c>
      <c r="N5568" s="273"/>
    </row>
    <row r="5569" spans="1:14" ht="12.75" customHeight="1" x14ac:dyDescent="0.25">
      <c r="A5569" s="4"/>
      <c r="B5569" s="4"/>
      <c r="C5569" s="4"/>
      <c r="D5569" s="4"/>
      <c r="E5569" s="4"/>
      <c r="F5569" s="4"/>
      <c r="G5569" s="4"/>
      <c r="H5569" s="4"/>
      <c r="I5569" s="4"/>
      <c r="J5569" s="4"/>
      <c r="K5569" s="4"/>
      <c r="L5569" s="4"/>
      <c r="M5569" s="4"/>
      <c r="N5569" s="4"/>
    </row>
    <row r="5570" spans="1:14" ht="12.75" customHeight="1" x14ac:dyDescent="0.2">
      <c r="A5570" s="398" t="s">
        <v>929</v>
      </c>
      <c r="B5570" s="271"/>
      <c r="C5570" s="271"/>
      <c r="D5570" s="271"/>
      <c r="E5570" s="271"/>
      <c r="F5570" s="271"/>
      <c r="G5570" s="271"/>
      <c r="H5570" s="271"/>
      <c r="I5570" s="271"/>
      <c r="J5570" s="271"/>
      <c r="K5570" s="271"/>
      <c r="L5570" s="271"/>
      <c r="M5570" s="271"/>
      <c r="N5570" s="273"/>
    </row>
    <row r="5571" spans="1:14" ht="12.75" customHeight="1" x14ac:dyDescent="0.2">
      <c r="A5571" s="396" t="s">
        <v>76</v>
      </c>
      <c r="B5571" s="271"/>
      <c r="C5571" s="271"/>
      <c r="D5571" s="271"/>
      <c r="E5571" s="271"/>
      <c r="F5571" s="271"/>
      <c r="G5571" s="273"/>
      <c r="H5571" s="88" t="s">
        <v>77</v>
      </c>
      <c r="I5571" s="399" t="s">
        <v>920</v>
      </c>
      <c r="J5571" s="273"/>
      <c r="K5571" s="399" t="s">
        <v>453</v>
      </c>
      <c r="L5571" s="273"/>
      <c r="M5571" s="399" t="s">
        <v>921</v>
      </c>
      <c r="N5571" s="273"/>
    </row>
    <row r="5572" spans="1:14" ht="12.75" customHeight="1" x14ac:dyDescent="0.2">
      <c r="A5572" s="400" t="s">
        <v>960</v>
      </c>
      <c r="B5572" s="271"/>
      <c r="C5572" s="271"/>
      <c r="D5572" s="271"/>
      <c r="E5572" s="271"/>
      <c r="F5572" s="271"/>
      <c r="G5572" s="273"/>
      <c r="H5572" s="29" t="s">
        <v>950</v>
      </c>
      <c r="I5572" s="394">
        <f>+M5559</f>
        <v>64239.240993581348</v>
      </c>
      <c r="J5572" s="273"/>
      <c r="K5572" s="404">
        <v>0.05</v>
      </c>
      <c r="L5572" s="273"/>
      <c r="M5572" s="394">
        <f t="shared" ref="M5572:M5576" si="761">IF(A5572="","",I5572*K5572)</f>
        <v>3211.9620496790676</v>
      </c>
      <c r="N5572" s="273"/>
    </row>
    <row r="5573" spans="1:14" ht="12.75" customHeight="1" x14ac:dyDescent="0.2">
      <c r="A5573" s="403" t="s">
        <v>3174</v>
      </c>
      <c r="B5573" s="271"/>
      <c r="C5573" s="271"/>
      <c r="D5573" s="271"/>
      <c r="E5573" s="271"/>
      <c r="F5573" s="271"/>
      <c r="G5573" s="273"/>
      <c r="H5573" s="29" t="s">
        <v>24</v>
      </c>
      <c r="I5573" s="394">
        <f>+M5568</f>
        <v>1755.5722000000003</v>
      </c>
      <c r="J5573" s="273"/>
      <c r="K5573" s="404">
        <v>0.05</v>
      </c>
      <c r="L5573" s="273"/>
      <c r="M5573" s="394">
        <f t="shared" si="761"/>
        <v>87.778610000000015</v>
      </c>
      <c r="N5573" s="273"/>
    </row>
    <row r="5574" spans="1:14" ht="12.75" customHeight="1" x14ac:dyDescent="0.2">
      <c r="A5574" s="400"/>
      <c r="B5574" s="271"/>
      <c r="C5574" s="271"/>
      <c r="D5574" s="271"/>
      <c r="E5574" s="271"/>
      <c r="F5574" s="271"/>
      <c r="G5574" s="273"/>
      <c r="H5574" s="29"/>
      <c r="I5574" s="394"/>
      <c r="J5574" s="273"/>
      <c r="K5574" s="395"/>
      <c r="L5574" s="273"/>
      <c r="M5574" s="394" t="str">
        <f t="shared" si="761"/>
        <v/>
      </c>
      <c r="N5574" s="273"/>
    </row>
    <row r="5575" spans="1:14" ht="12.75" customHeight="1" x14ac:dyDescent="0.2">
      <c r="A5575" s="400"/>
      <c r="B5575" s="271"/>
      <c r="C5575" s="271"/>
      <c r="D5575" s="271"/>
      <c r="E5575" s="271"/>
      <c r="F5575" s="271"/>
      <c r="G5575" s="273"/>
      <c r="H5575" s="29"/>
      <c r="I5575" s="394"/>
      <c r="J5575" s="273"/>
      <c r="K5575" s="395"/>
      <c r="L5575" s="273"/>
      <c r="M5575" s="394" t="str">
        <f t="shared" si="761"/>
        <v/>
      </c>
      <c r="N5575" s="273"/>
    </row>
    <row r="5576" spans="1:14" ht="12.75" customHeight="1" x14ac:dyDescent="0.2">
      <c r="A5576" s="400"/>
      <c r="B5576" s="271"/>
      <c r="C5576" s="271"/>
      <c r="D5576" s="271"/>
      <c r="E5576" s="271"/>
      <c r="F5576" s="271"/>
      <c r="G5576" s="273"/>
      <c r="H5576" s="29"/>
      <c r="I5576" s="394"/>
      <c r="J5576" s="273"/>
      <c r="K5576" s="395"/>
      <c r="L5576" s="273"/>
      <c r="M5576" s="394" t="str">
        <f t="shared" si="761"/>
        <v/>
      </c>
      <c r="N5576" s="273"/>
    </row>
    <row r="5577" spans="1:14" ht="12.75" customHeight="1" x14ac:dyDescent="0.25">
      <c r="A5577" s="4"/>
      <c r="B5577" s="4"/>
      <c r="C5577" s="4"/>
      <c r="D5577" s="4"/>
      <c r="E5577" s="4"/>
      <c r="F5577" s="4"/>
      <c r="G5577" s="4"/>
      <c r="H5577" s="4"/>
      <c r="I5577" s="4"/>
      <c r="J5577" s="4"/>
      <c r="K5577" s="396" t="s">
        <v>444</v>
      </c>
      <c r="L5577" s="273"/>
      <c r="M5577" s="394">
        <f>SUM(M5572:N5576)</f>
        <v>3299.7406596790674</v>
      </c>
      <c r="N5577" s="273"/>
    </row>
    <row r="5578" spans="1:14" ht="12.75" customHeight="1" x14ac:dyDescent="0.25">
      <c r="A5578" s="4"/>
      <c r="B5578" s="4"/>
      <c r="C5578" s="4"/>
      <c r="D5578" s="4"/>
      <c r="E5578" s="4"/>
      <c r="F5578" s="4"/>
      <c r="G5578" s="4"/>
      <c r="H5578" s="4"/>
      <c r="I5578" s="4"/>
      <c r="J5578" s="4"/>
      <c r="K5578" s="4"/>
      <c r="L5578" s="4"/>
      <c r="M5578" s="4"/>
      <c r="N5578" s="4"/>
    </row>
    <row r="5579" spans="1:14" ht="12.75" customHeight="1" x14ac:dyDescent="0.2">
      <c r="A5579" s="398" t="s">
        <v>931</v>
      </c>
      <c r="B5579" s="271"/>
      <c r="C5579" s="271"/>
      <c r="D5579" s="271"/>
      <c r="E5579" s="271"/>
      <c r="F5579" s="271"/>
      <c r="G5579" s="271"/>
      <c r="H5579" s="271"/>
      <c r="I5579" s="271"/>
      <c r="J5579" s="271"/>
      <c r="K5579" s="271"/>
      <c r="L5579" s="271"/>
      <c r="M5579" s="271"/>
      <c r="N5579" s="273"/>
    </row>
    <row r="5580" spans="1:14" ht="12.75" customHeight="1" x14ac:dyDescent="0.2">
      <c r="A5580" s="396" t="s">
        <v>76</v>
      </c>
      <c r="B5580" s="271"/>
      <c r="C5580" s="271"/>
      <c r="D5580" s="271"/>
      <c r="E5580" s="271"/>
      <c r="F5580" s="271"/>
      <c r="G5580" s="273"/>
      <c r="H5580" s="88" t="s">
        <v>77</v>
      </c>
      <c r="I5580" s="399" t="s">
        <v>920</v>
      </c>
      <c r="J5580" s="273"/>
      <c r="K5580" s="90" t="s">
        <v>514</v>
      </c>
      <c r="L5580" s="91" t="s">
        <v>932</v>
      </c>
      <c r="M5580" s="399" t="s">
        <v>921</v>
      </c>
      <c r="N5580" s="273"/>
    </row>
    <row r="5581" spans="1:14" ht="12.75" customHeight="1" x14ac:dyDescent="0.25">
      <c r="A5581" s="393" t="s">
        <v>951</v>
      </c>
      <c r="B5581" s="271"/>
      <c r="C5581" s="271"/>
      <c r="D5581" s="271"/>
      <c r="E5581" s="271"/>
      <c r="F5581" s="271"/>
      <c r="G5581" s="273"/>
      <c r="H5581" s="29" t="str">
        <f>IF(A5581="","",VLOOKUP(A5581,AA_Cuadrillas,4,FALSE))</f>
        <v>Cuadrilla</v>
      </c>
      <c r="I5581" s="394">
        <f>IF(A5581="","",VLOOKUP(A5581,AA_Cuadrillas,5,FALSE))</f>
        <v>186763</v>
      </c>
      <c r="J5581" s="273"/>
      <c r="K5581" s="9">
        <f>IF(A5581="","",F.P!$I$2)</f>
        <v>1.88</v>
      </c>
      <c r="L5581" s="93">
        <v>0.1</v>
      </c>
      <c r="M5581" s="394">
        <f t="shared" ref="M5581:M5585" si="762">IF(A5581="","",I5581*K5581*L5581)</f>
        <v>35111.444000000003</v>
      </c>
      <c r="N5581" s="273"/>
    </row>
    <row r="5582" spans="1:14" ht="12.75" customHeight="1" x14ac:dyDescent="0.25">
      <c r="A5582" s="393"/>
      <c r="B5582" s="271"/>
      <c r="C5582" s="271"/>
      <c r="D5582" s="271"/>
      <c r="E5582" s="271"/>
      <c r="F5582" s="271"/>
      <c r="G5582" s="273"/>
      <c r="H5582" s="29" t="str">
        <f>IF(A5582="","",VLOOKUP(A5582,AA_Cuadrillas,4,FALSE))</f>
        <v/>
      </c>
      <c r="I5582" s="394" t="str">
        <f>IF(A5582="","",VLOOKUP(A5582,AA_Cuadrillas,5,FALSE))</f>
        <v/>
      </c>
      <c r="J5582" s="273"/>
      <c r="K5582" s="9" t="str">
        <f>IF(A5582="","",F.P!$I$2)</f>
        <v/>
      </c>
      <c r="L5582" s="9"/>
      <c r="M5582" s="394" t="str">
        <f t="shared" si="762"/>
        <v/>
      </c>
      <c r="N5582" s="273"/>
    </row>
    <row r="5583" spans="1:14" ht="12.75" customHeight="1" x14ac:dyDescent="0.25">
      <c r="A5583" s="393"/>
      <c r="B5583" s="271"/>
      <c r="C5583" s="271"/>
      <c r="D5583" s="271"/>
      <c r="E5583" s="271"/>
      <c r="F5583" s="271"/>
      <c r="G5583" s="273"/>
      <c r="H5583" s="29" t="str">
        <f>IF(A5583="","",VLOOKUP(A5583,AA_Cuadrillas,4,FALSE))</f>
        <v/>
      </c>
      <c r="I5583" s="394" t="str">
        <f>IF(A5583="","",VLOOKUP(A5583,AA_Cuadrillas,5,FALSE))</f>
        <v/>
      </c>
      <c r="J5583" s="273"/>
      <c r="K5583" s="9" t="str">
        <f>IF(A5583="","",F.P!$I$2)</f>
        <v/>
      </c>
      <c r="L5583" s="37"/>
      <c r="M5583" s="394" t="str">
        <f t="shared" si="762"/>
        <v/>
      </c>
      <c r="N5583" s="273"/>
    </row>
    <row r="5584" spans="1:14" ht="12.75" customHeight="1" x14ac:dyDescent="0.25">
      <c r="A5584" s="393"/>
      <c r="B5584" s="271"/>
      <c r="C5584" s="271"/>
      <c r="D5584" s="271"/>
      <c r="E5584" s="271"/>
      <c r="F5584" s="271"/>
      <c r="G5584" s="273"/>
      <c r="H5584" s="29" t="str">
        <f>IF(A5584="","",VLOOKUP(A5584,AA_Cuadrillas,4,FALSE))</f>
        <v/>
      </c>
      <c r="I5584" s="394" t="str">
        <f>IF(A5584="","",VLOOKUP(A5584,AA_Cuadrillas,5,FALSE))</f>
        <v/>
      </c>
      <c r="J5584" s="273"/>
      <c r="K5584" s="9" t="str">
        <f>IF(A5584="","",F.P!$I$2)</f>
        <v/>
      </c>
      <c r="L5584" s="37"/>
      <c r="M5584" s="394" t="str">
        <f t="shared" si="762"/>
        <v/>
      </c>
      <c r="N5584" s="273"/>
    </row>
    <row r="5585" spans="1:14" ht="12.75" customHeight="1" x14ac:dyDescent="0.25">
      <c r="A5585" s="393"/>
      <c r="B5585" s="271"/>
      <c r="C5585" s="271"/>
      <c r="D5585" s="271"/>
      <c r="E5585" s="271"/>
      <c r="F5585" s="271"/>
      <c r="G5585" s="273"/>
      <c r="H5585" s="29" t="str">
        <f>IF(A5585="","",VLOOKUP(A5585,AA_Cuadrillas,4,FALSE))</f>
        <v/>
      </c>
      <c r="I5585" s="394" t="str">
        <f>IF(A5585="","",VLOOKUP(A5585,AA_Cuadrillas,5,FALSE))</f>
        <v/>
      </c>
      <c r="J5585" s="273"/>
      <c r="K5585" s="9" t="str">
        <f>IF(A5585="","",F.P!$I$2)</f>
        <v/>
      </c>
      <c r="L5585" s="37"/>
      <c r="M5585" s="394" t="str">
        <f t="shared" si="762"/>
        <v/>
      </c>
      <c r="N5585" s="273"/>
    </row>
    <row r="5586" spans="1:14" ht="12.75" customHeight="1" x14ac:dyDescent="0.25">
      <c r="A5586" s="4"/>
      <c r="B5586" s="4"/>
      <c r="C5586" s="4"/>
      <c r="D5586" s="4"/>
      <c r="E5586" s="4"/>
      <c r="F5586" s="4"/>
      <c r="G5586" s="4"/>
      <c r="H5586" s="4"/>
      <c r="I5586" s="4"/>
      <c r="J5586" s="4"/>
      <c r="K5586" s="396" t="s">
        <v>444</v>
      </c>
      <c r="L5586" s="273"/>
      <c r="M5586" s="394">
        <f>SUM(M5581:N5585)</f>
        <v>35111.444000000003</v>
      </c>
      <c r="N5586" s="273"/>
    </row>
    <row r="5587" spans="1:14" ht="12.75" customHeight="1" x14ac:dyDescent="0.2"/>
    <row r="5588" spans="1:14" ht="12.75" customHeight="1" x14ac:dyDescent="0.2">
      <c r="A5588" s="407" t="s">
        <v>1234</v>
      </c>
      <c r="B5588" s="275"/>
      <c r="C5588" s="275"/>
      <c r="D5588" s="275"/>
      <c r="E5588" s="275"/>
      <c r="F5588" s="275"/>
      <c r="G5588" s="275"/>
      <c r="H5588" s="275"/>
      <c r="I5588" s="275"/>
      <c r="J5588" s="275"/>
      <c r="K5588" s="275"/>
      <c r="L5588" s="275"/>
      <c r="M5588" s="275"/>
      <c r="N5588" s="276"/>
    </row>
    <row r="5589" spans="1:14" ht="12.75" customHeight="1" x14ac:dyDescent="0.2">
      <c r="A5589" s="277"/>
      <c r="B5589" s="278"/>
      <c r="C5589" s="278"/>
      <c r="D5589" s="278"/>
      <c r="E5589" s="278"/>
      <c r="F5589" s="278"/>
      <c r="G5589" s="278"/>
      <c r="H5589" s="278"/>
      <c r="I5589" s="278"/>
      <c r="J5589" s="278"/>
      <c r="K5589" s="278"/>
      <c r="L5589" s="278"/>
      <c r="M5589" s="278"/>
      <c r="N5589" s="279"/>
    </row>
    <row r="5590" spans="1:14" ht="12.75" customHeight="1" x14ac:dyDescent="0.2">
      <c r="A5590" s="75"/>
      <c r="B5590" s="75"/>
      <c r="C5590" s="75"/>
      <c r="D5590" s="75"/>
      <c r="E5590" s="75"/>
      <c r="F5590" s="75"/>
      <c r="G5590" s="75"/>
      <c r="H5590" s="75"/>
      <c r="I5590" s="75"/>
      <c r="J5590" s="75"/>
      <c r="K5590" s="75"/>
      <c r="L5590" s="75"/>
      <c r="M5590" s="75"/>
      <c r="N5590" s="75"/>
    </row>
    <row r="5591" spans="1:14" ht="12.75" customHeight="1" x14ac:dyDescent="0.3">
      <c r="A5591" s="79" t="s">
        <v>744</v>
      </c>
      <c r="B5591" s="80" t="str">
        <f>A5588</f>
        <v>SUMINISTRO E INSTALACIÓN DE SISTEMA DE CUBIERTA PARA LECHO DE SECADO EN ESTRUCTURA METÁLICA PERLÍN EN CAJÓN</v>
      </c>
      <c r="C5591" s="81" t="s">
        <v>916</v>
      </c>
      <c r="D5591" s="82" t="s">
        <v>999</v>
      </c>
      <c r="E5591" s="83" t="s">
        <v>445</v>
      </c>
      <c r="F5591" s="86">
        <f>H5591+J5591+L5591+N5591</f>
        <v>7473335.3603999997</v>
      </c>
      <c r="G5591" s="83" t="s">
        <v>607</v>
      </c>
      <c r="H5591" s="86">
        <f>M5603</f>
        <v>5655951</v>
      </c>
      <c r="I5591" s="83" t="s">
        <v>918</v>
      </c>
      <c r="J5591" s="86">
        <f>M5612</f>
        <v>73075.562399999995</v>
      </c>
      <c r="K5591" s="83" t="s">
        <v>609</v>
      </c>
      <c r="L5591" s="86">
        <f>M5621</f>
        <v>282797.55</v>
      </c>
      <c r="M5591" s="83" t="s">
        <v>610</v>
      </c>
      <c r="N5591" s="86">
        <f>M5630</f>
        <v>1461511.2479999999</v>
      </c>
    </row>
    <row r="5592" spans="1:14" ht="12.75" customHeight="1" x14ac:dyDescent="0.25">
      <c r="A5592" s="87"/>
      <c r="B5592" s="87"/>
      <c r="C5592" s="87"/>
      <c r="D5592" s="87"/>
      <c r="E5592" s="87"/>
      <c r="F5592" s="87"/>
      <c r="G5592" s="87"/>
      <c r="J5592" s="87"/>
      <c r="K5592" s="215" t="s">
        <v>3217</v>
      </c>
      <c r="L5592" s="215">
        <f>+F5591*presup!$O$5</f>
        <v>9715335.9685200006</v>
      </c>
      <c r="M5592" s="87"/>
      <c r="N5592" s="87"/>
    </row>
    <row r="5593" spans="1:14" ht="12.75" customHeight="1" x14ac:dyDescent="0.2">
      <c r="A5593" s="398" t="s">
        <v>919</v>
      </c>
      <c r="B5593" s="271"/>
      <c r="C5593" s="271"/>
      <c r="D5593" s="271"/>
      <c r="E5593" s="271"/>
      <c r="F5593" s="271"/>
      <c r="G5593" s="271"/>
      <c r="H5593" s="271"/>
      <c r="I5593" s="271"/>
      <c r="J5593" s="271"/>
      <c r="K5593" s="271"/>
      <c r="L5593" s="271"/>
      <c r="M5593" s="271"/>
      <c r="N5593" s="273"/>
    </row>
    <row r="5594" spans="1:14" ht="12.75" customHeight="1" x14ac:dyDescent="0.2">
      <c r="A5594" s="396" t="s">
        <v>76</v>
      </c>
      <c r="B5594" s="271"/>
      <c r="C5594" s="271"/>
      <c r="D5594" s="271"/>
      <c r="E5594" s="271"/>
      <c r="F5594" s="271"/>
      <c r="G5594" s="273"/>
      <c r="H5594" s="88" t="s">
        <v>77</v>
      </c>
      <c r="I5594" s="399" t="s">
        <v>920</v>
      </c>
      <c r="J5594" s="273"/>
      <c r="K5594" s="399" t="s">
        <v>453</v>
      </c>
      <c r="L5594" s="273"/>
      <c r="M5594" s="399" t="s">
        <v>921</v>
      </c>
      <c r="N5594" s="273"/>
    </row>
    <row r="5595" spans="1:14" ht="12.75" customHeight="1" x14ac:dyDescent="0.2">
      <c r="A5595" s="400" t="s">
        <v>1235</v>
      </c>
      <c r="B5595" s="271"/>
      <c r="C5595" s="271"/>
      <c r="D5595" s="271"/>
      <c r="E5595" s="271"/>
      <c r="F5595" s="271"/>
      <c r="G5595" s="273"/>
      <c r="H5595" s="29" t="str">
        <f t="shared" ref="H5595:H5600" si="763">IF(A5595="","",VLOOKUP(A5595,AA_Materiales,7,FALSE))</f>
        <v>Unidad</v>
      </c>
      <c r="I5595" s="394">
        <f t="shared" ref="I5595:I5602" si="764">IF(A5595="","",VLOOKUP(A5595,AA_Materiales,8,FALSE))</f>
        <v>5655951</v>
      </c>
      <c r="J5595" s="273"/>
      <c r="K5595" s="395">
        <v>1</v>
      </c>
      <c r="L5595" s="273"/>
      <c r="M5595" s="394">
        <f t="shared" ref="M5595:M5602" si="765">IF(A5595="","",I5595*K5595)</f>
        <v>5655951</v>
      </c>
      <c r="N5595" s="273"/>
    </row>
    <row r="5596" spans="1:14" ht="12.75" customHeight="1" x14ac:dyDescent="0.2">
      <c r="A5596" s="400"/>
      <c r="B5596" s="271"/>
      <c r="C5596" s="271"/>
      <c r="D5596" s="271"/>
      <c r="E5596" s="271"/>
      <c r="F5596" s="271"/>
      <c r="G5596" s="273"/>
      <c r="H5596" s="29" t="str">
        <f t="shared" si="763"/>
        <v/>
      </c>
      <c r="I5596" s="394" t="str">
        <f t="shared" si="764"/>
        <v/>
      </c>
      <c r="J5596" s="273"/>
      <c r="K5596" s="395"/>
      <c r="L5596" s="273"/>
      <c r="M5596" s="394" t="str">
        <f t="shared" si="765"/>
        <v/>
      </c>
      <c r="N5596" s="273"/>
    </row>
    <row r="5597" spans="1:14" ht="12.75" customHeight="1" x14ac:dyDescent="0.2">
      <c r="A5597" s="400"/>
      <c r="B5597" s="271"/>
      <c r="C5597" s="271"/>
      <c r="D5597" s="271"/>
      <c r="E5597" s="271"/>
      <c r="F5597" s="271"/>
      <c r="G5597" s="273"/>
      <c r="H5597" s="29" t="str">
        <f t="shared" si="763"/>
        <v/>
      </c>
      <c r="I5597" s="394" t="str">
        <f t="shared" si="764"/>
        <v/>
      </c>
      <c r="J5597" s="273"/>
      <c r="K5597" s="395"/>
      <c r="L5597" s="273"/>
      <c r="M5597" s="394" t="str">
        <f t="shared" si="765"/>
        <v/>
      </c>
      <c r="N5597" s="273"/>
    </row>
    <row r="5598" spans="1:14" ht="12.75" customHeight="1" x14ac:dyDescent="0.2">
      <c r="A5598" s="400"/>
      <c r="B5598" s="271"/>
      <c r="C5598" s="271"/>
      <c r="D5598" s="271"/>
      <c r="E5598" s="271"/>
      <c r="F5598" s="271"/>
      <c r="G5598" s="273"/>
      <c r="H5598" s="29" t="str">
        <f t="shared" si="763"/>
        <v/>
      </c>
      <c r="I5598" s="394" t="str">
        <f t="shared" si="764"/>
        <v/>
      </c>
      <c r="J5598" s="273"/>
      <c r="K5598" s="395"/>
      <c r="L5598" s="273"/>
      <c r="M5598" s="394" t="str">
        <f t="shared" si="765"/>
        <v/>
      </c>
      <c r="N5598" s="273"/>
    </row>
    <row r="5599" spans="1:14" ht="12.75" customHeight="1" x14ac:dyDescent="0.2">
      <c r="A5599" s="400"/>
      <c r="B5599" s="271"/>
      <c r="C5599" s="271"/>
      <c r="D5599" s="271"/>
      <c r="E5599" s="271"/>
      <c r="F5599" s="271"/>
      <c r="G5599" s="273"/>
      <c r="H5599" s="29" t="str">
        <f t="shared" si="763"/>
        <v/>
      </c>
      <c r="I5599" s="394" t="str">
        <f t="shared" si="764"/>
        <v/>
      </c>
      <c r="J5599" s="273"/>
      <c r="K5599" s="395"/>
      <c r="L5599" s="273"/>
      <c r="M5599" s="394" t="str">
        <f t="shared" si="765"/>
        <v/>
      </c>
      <c r="N5599" s="273"/>
    </row>
    <row r="5600" spans="1:14" ht="12.75" customHeight="1" x14ac:dyDescent="0.2">
      <c r="A5600" s="400"/>
      <c r="B5600" s="271"/>
      <c r="C5600" s="271"/>
      <c r="D5600" s="271"/>
      <c r="E5600" s="271"/>
      <c r="F5600" s="271"/>
      <c r="G5600" s="273"/>
      <c r="H5600" s="29" t="str">
        <f t="shared" si="763"/>
        <v/>
      </c>
      <c r="I5600" s="394" t="str">
        <f t="shared" si="764"/>
        <v/>
      </c>
      <c r="J5600" s="273"/>
      <c r="K5600" s="395"/>
      <c r="L5600" s="273"/>
      <c r="M5600" s="394" t="str">
        <f t="shared" si="765"/>
        <v/>
      </c>
      <c r="N5600" s="273"/>
    </row>
    <row r="5601" spans="1:14" ht="12.75" customHeight="1" x14ac:dyDescent="0.2">
      <c r="A5601" s="400"/>
      <c r="B5601" s="271"/>
      <c r="C5601" s="271"/>
      <c r="D5601" s="271"/>
      <c r="E5601" s="271"/>
      <c r="F5601" s="271"/>
      <c r="G5601" s="273"/>
      <c r="H5601" s="29"/>
      <c r="I5601" s="394" t="str">
        <f t="shared" si="764"/>
        <v/>
      </c>
      <c r="J5601" s="273"/>
      <c r="K5601" s="395"/>
      <c r="L5601" s="273"/>
      <c r="M5601" s="394" t="str">
        <f t="shared" si="765"/>
        <v/>
      </c>
      <c r="N5601" s="273"/>
    </row>
    <row r="5602" spans="1:14" ht="12.75" customHeight="1" x14ac:dyDescent="0.2">
      <c r="A5602" s="400"/>
      <c r="B5602" s="271"/>
      <c r="C5602" s="271"/>
      <c r="D5602" s="271"/>
      <c r="E5602" s="271"/>
      <c r="F5602" s="271"/>
      <c r="G5602" s="273"/>
      <c r="H5602" s="29" t="str">
        <f>IF(A5602="","",VLOOKUP(A5602,AA_Materiales,7,FALSE))</f>
        <v/>
      </c>
      <c r="I5602" s="394" t="str">
        <f t="shared" si="764"/>
        <v/>
      </c>
      <c r="J5602" s="273"/>
      <c r="K5602" s="395"/>
      <c r="L5602" s="273"/>
      <c r="M5602" s="394" t="str">
        <f t="shared" si="765"/>
        <v/>
      </c>
      <c r="N5602" s="273"/>
    </row>
    <row r="5603" spans="1:14" ht="12.75" customHeight="1" x14ac:dyDescent="0.25">
      <c r="A5603" s="4"/>
      <c r="B5603" s="4"/>
      <c r="C5603" s="4"/>
      <c r="D5603" s="4"/>
      <c r="E5603" s="4"/>
      <c r="F5603" s="4"/>
      <c r="G5603" s="4"/>
      <c r="H5603" s="4"/>
      <c r="I5603" s="4"/>
      <c r="J5603" s="4"/>
      <c r="K5603" s="396" t="s">
        <v>444</v>
      </c>
      <c r="L5603" s="273"/>
      <c r="M5603" s="394">
        <f>SUM(M5595:N5602)</f>
        <v>5655951</v>
      </c>
      <c r="N5603" s="273"/>
    </row>
    <row r="5604" spans="1:14" ht="12.75" customHeight="1" x14ac:dyDescent="0.25">
      <c r="A5604" s="4"/>
      <c r="B5604" s="4"/>
      <c r="C5604" s="4"/>
      <c r="D5604" s="4"/>
      <c r="E5604" s="4"/>
      <c r="F5604" s="4"/>
      <c r="G5604" s="4"/>
      <c r="H5604" s="4"/>
      <c r="I5604" s="4"/>
      <c r="J5604" s="4"/>
      <c r="K5604" s="4"/>
      <c r="L5604" s="4"/>
      <c r="M5604" s="4"/>
      <c r="N5604" s="4"/>
    </row>
    <row r="5605" spans="1:14" ht="12.75" customHeight="1" x14ac:dyDescent="0.2">
      <c r="A5605" s="398" t="s">
        <v>926</v>
      </c>
      <c r="B5605" s="271"/>
      <c r="C5605" s="271"/>
      <c r="D5605" s="271"/>
      <c r="E5605" s="271"/>
      <c r="F5605" s="271"/>
      <c r="G5605" s="271"/>
      <c r="H5605" s="271"/>
      <c r="I5605" s="271"/>
      <c r="J5605" s="271"/>
      <c r="K5605" s="271"/>
      <c r="L5605" s="271"/>
      <c r="M5605" s="271"/>
      <c r="N5605" s="273"/>
    </row>
    <row r="5606" spans="1:14" ht="12.75" customHeight="1" x14ac:dyDescent="0.2">
      <c r="A5606" s="396" t="s">
        <v>76</v>
      </c>
      <c r="B5606" s="271"/>
      <c r="C5606" s="271"/>
      <c r="D5606" s="271"/>
      <c r="E5606" s="271"/>
      <c r="F5606" s="271"/>
      <c r="G5606" s="273"/>
      <c r="H5606" s="88" t="s">
        <v>77</v>
      </c>
      <c r="I5606" s="399" t="s">
        <v>920</v>
      </c>
      <c r="J5606" s="273"/>
      <c r="K5606" s="399" t="s">
        <v>453</v>
      </c>
      <c r="L5606" s="273"/>
      <c r="M5606" s="399" t="s">
        <v>921</v>
      </c>
      <c r="N5606" s="273"/>
    </row>
    <row r="5607" spans="1:14" ht="12.75" customHeight="1" x14ac:dyDescent="0.2">
      <c r="A5607" s="400" t="s">
        <v>927</v>
      </c>
      <c r="B5607" s="271"/>
      <c r="C5607" s="271"/>
      <c r="D5607" s="271"/>
      <c r="E5607" s="271"/>
      <c r="F5607" s="271"/>
      <c r="G5607" s="273"/>
      <c r="H5607" s="29" t="str">
        <f>IF(A5607="","",VLOOKUP(A5607,AA_Equipos,7,FALSE))</f>
        <v>% M.O.</v>
      </c>
      <c r="I5607" s="394">
        <f>+M5630</f>
        <v>1461511.2479999999</v>
      </c>
      <c r="J5607" s="273"/>
      <c r="K5607" s="404">
        <v>0.05</v>
      </c>
      <c r="L5607" s="273"/>
      <c r="M5607" s="394">
        <f t="shared" ref="M5607:M5611" si="766">IF(A5607="","",I5607*K5607)</f>
        <v>73075.562399999995</v>
      </c>
      <c r="N5607" s="273"/>
    </row>
    <row r="5608" spans="1:14" ht="12.75" customHeight="1" x14ac:dyDescent="0.2">
      <c r="A5608" s="403"/>
      <c r="B5608" s="271"/>
      <c r="C5608" s="271"/>
      <c r="D5608" s="271"/>
      <c r="E5608" s="271"/>
      <c r="F5608" s="271"/>
      <c r="G5608" s="273"/>
      <c r="H5608" s="29" t="str">
        <f>IF(A5608="","",VLOOKUP(A5608,AA_Equipos,7,FALSE))</f>
        <v/>
      </c>
      <c r="I5608" s="394" t="str">
        <f>IF(A5608="","",VLOOKUP(A5608,AA_Equipos,8,FALSE))</f>
        <v/>
      </c>
      <c r="J5608" s="273"/>
      <c r="K5608" s="402"/>
      <c r="L5608" s="273"/>
      <c r="M5608" s="394" t="str">
        <f t="shared" si="766"/>
        <v/>
      </c>
      <c r="N5608" s="273"/>
    </row>
    <row r="5609" spans="1:14" ht="12.75" customHeight="1" x14ac:dyDescent="0.2">
      <c r="A5609" s="400"/>
      <c r="B5609" s="271"/>
      <c r="C5609" s="271"/>
      <c r="D5609" s="271"/>
      <c r="E5609" s="271"/>
      <c r="F5609" s="271"/>
      <c r="G5609" s="273"/>
      <c r="H5609" s="29" t="str">
        <f>IF(A5609="","",VLOOKUP(A5609,AA_Equipos,7,FALSE))</f>
        <v/>
      </c>
      <c r="I5609" s="394" t="str">
        <f>IF(A5609="","",VLOOKUP(A5609,AA_Equipos,8,FALSE))</f>
        <v/>
      </c>
      <c r="J5609" s="273"/>
      <c r="K5609" s="402"/>
      <c r="L5609" s="273"/>
      <c r="M5609" s="394" t="str">
        <f t="shared" si="766"/>
        <v/>
      </c>
      <c r="N5609" s="273"/>
    </row>
    <row r="5610" spans="1:14" ht="12.75" customHeight="1" x14ac:dyDescent="0.2">
      <c r="A5610" s="400"/>
      <c r="B5610" s="271"/>
      <c r="C5610" s="271"/>
      <c r="D5610" s="271"/>
      <c r="E5610" s="271"/>
      <c r="F5610" s="271"/>
      <c r="G5610" s="273"/>
      <c r="H5610" s="29" t="str">
        <f>IF(A5610="","",VLOOKUP(A5610,AA_Equipos,7,FALSE))</f>
        <v/>
      </c>
      <c r="I5610" s="394" t="str">
        <f>IF(A5610="","",VLOOKUP(A5610,AA_Equipos,8,FALSE))</f>
        <v/>
      </c>
      <c r="J5610" s="273"/>
      <c r="K5610" s="402"/>
      <c r="L5610" s="273"/>
      <c r="M5610" s="394" t="str">
        <f t="shared" si="766"/>
        <v/>
      </c>
      <c r="N5610" s="273"/>
    </row>
    <row r="5611" spans="1:14" ht="12.75" customHeight="1" x14ac:dyDescent="0.2">
      <c r="A5611" s="400"/>
      <c r="B5611" s="271"/>
      <c r="C5611" s="271"/>
      <c r="D5611" s="271"/>
      <c r="E5611" s="271"/>
      <c r="F5611" s="271"/>
      <c r="G5611" s="273"/>
      <c r="H5611" s="29" t="str">
        <f>IF(A5611="","",VLOOKUP(A5611,AA_Equipos,7,FALSE))</f>
        <v/>
      </c>
      <c r="I5611" s="394" t="str">
        <f>IF(A5611="","",VLOOKUP(A5611,AA_Equipos,8,FALSE))</f>
        <v/>
      </c>
      <c r="J5611" s="273"/>
      <c r="K5611" s="395"/>
      <c r="L5611" s="273"/>
      <c r="M5611" s="394" t="str">
        <f t="shared" si="766"/>
        <v/>
      </c>
      <c r="N5611" s="273"/>
    </row>
    <row r="5612" spans="1:14" ht="12.75" customHeight="1" x14ac:dyDescent="0.25">
      <c r="A5612" s="4"/>
      <c r="B5612" s="4"/>
      <c r="C5612" s="4"/>
      <c r="D5612" s="4"/>
      <c r="E5612" s="4"/>
      <c r="F5612" s="4"/>
      <c r="G5612" s="4"/>
      <c r="H5612" s="4"/>
      <c r="I5612" s="4"/>
      <c r="J5612" s="4"/>
      <c r="K5612" s="396" t="s">
        <v>444</v>
      </c>
      <c r="L5612" s="273"/>
      <c r="M5612" s="394">
        <f>SUM(M5607:N5611)</f>
        <v>73075.562399999995</v>
      </c>
      <c r="N5612" s="273"/>
    </row>
    <row r="5613" spans="1:14" ht="12.75" customHeight="1" x14ac:dyDescent="0.25">
      <c r="A5613" s="4"/>
      <c r="B5613" s="4"/>
      <c r="C5613" s="4"/>
      <c r="D5613" s="4"/>
      <c r="E5613" s="4"/>
      <c r="F5613" s="4"/>
      <c r="G5613" s="4"/>
      <c r="H5613" s="4"/>
      <c r="I5613" s="4"/>
      <c r="J5613" s="4"/>
      <c r="K5613" s="4"/>
      <c r="L5613" s="4"/>
      <c r="M5613" s="4"/>
      <c r="N5613" s="4"/>
    </row>
    <row r="5614" spans="1:14" ht="12.75" customHeight="1" x14ac:dyDescent="0.2">
      <c r="A5614" s="398" t="s">
        <v>929</v>
      </c>
      <c r="B5614" s="271"/>
      <c r="C5614" s="271"/>
      <c r="D5614" s="271"/>
      <c r="E5614" s="271"/>
      <c r="F5614" s="271"/>
      <c r="G5614" s="271"/>
      <c r="H5614" s="271"/>
      <c r="I5614" s="271"/>
      <c r="J5614" s="271"/>
      <c r="K5614" s="271"/>
      <c r="L5614" s="271"/>
      <c r="M5614" s="271"/>
      <c r="N5614" s="273"/>
    </row>
    <row r="5615" spans="1:14" ht="12.75" customHeight="1" x14ac:dyDescent="0.2">
      <c r="A5615" s="396" t="s">
        <v>76</v>
      </c>
      <c r="B5615" s="271"/>
      <c r="C5615" s="271"/>
      <c r="D5615" s="271"/>
      <c r="E5615" s="271"/>
      <c r="F5615" s="271"/>
      <c r="G5615" s="273"/>
      <c r="H5615" s="88" t="s">
        <v>77</v>
      </c>
      <c r="I5615" s="399" t="s">
        <v>920</v>
      </c>
      <c r="J5615" s="273"/>
      <c r="K5615" s="399" t="s">
        <v>453</v>
      </c>
      <c r="L5615" s="273"/>
      <c r="M5615" s="399" t="s">
        <v>921</v>
      </c>
      <c r="N5615" s="273"/>
    </row>
    <row r="5616" spans="1:14" ht="12.75" customHeight="1" x14ac:dyDescent="0.2">
      <c r="A5616" s="400" t="s">
        <v>960</v>
      </c>
      <c r="B5616" s="271"/>
      <c r="C5616" s="271"/>
      <c r="D5616" s="271"/>
      <c r="E5616" s="271"/>
      <c r="F5616" s="271"/>
      <c r="G5616" s="273"/>
      <c r="H5616" s="29" t="s">
        <v>950</v>
      </c>
      <c r="I5616" s="394">
        <f>+M5603</f>
        <v>5655951</v>
      </c>
      <c r="J5616" s="273"/>
      <c r="K5616" s="404">
        <v>0.05</v>
      </c>
      <c r="L5616" s="273"/>
      <c r="M5616" s="394">
        <f t="shared" ref="M5616:M5620" si="767">IF(A5616="","",I5616*K5616)</f>
        <v>282797.55</v>
      </c>
      <c r="N5616" s="273"/>
    </row>
    <row r="5617" spans="1:14" ht="12.75" customHeight="1" x14ac:dyDescent="0.2">
      <c r="A5617" s="403"/>
      <c r="B5617" s="271"/>
      <c r="C5617" s="271"/>
      <c r="D5617" s="271"/>
      <c r="E5617" s="271"/>
      <c r="F5617" s="271"/>
      <c r="G5617" s="273"/>
      <c r="H5617" s="29"/>
      <c r="I5617" s="394"/>
      <c r="J5617" s="273"/>
      <c r="K5617" s="404"/>
      <c r="L5617" s="273"/>
      <c r="M5617" s="394" t="str">
        <f t="shared" si="767"/>
        <v/>
      </c>
      <c r="N5617" s="273"/>
    </row>
    <row r="5618" spans="1:14" ht="12.75" customHeight="1" x14ac:dyDescent="0.2">
      <c r="A5618" s="400"/>
      <c r="B5618" s="271"/>
      <c r="C5618" s="271"/>
      <c r="D5618" s="271"/>
      <c r="E5618" s="271"/>
      <c r="F5618" s="271"/>
      <c r="G5618" s="273"/>
      <c r="H5618" s="29"/>
      <c r="I5618" s="394"/>
      <c r="J5618" s="273"/>
      <c r="K5618" s="395"/>
      <c r="L5618" s="273"/>
      <c r="M5618" s="394" t="str">
        <f t="shared" si="767"/>
        <v/>
      </c>
      <c r="N5618" s="273"/>
    </row>
    <row r="5619" spans="1:14" ht="12.75" customHeight="1" x14ac:dyDescent="0.2">
      <c r="A5619" s="400"/>
      <c r="B5619" s="271"/>
      <c r="C5619" s="271"/>
      <c r="D5619" s="271"/>
      <c r="E5619" s="271"/>
      <c r="F5619" s="271"/>
      <c r="G5619" s="273"/>
      <c r="H5619" s="29"/>
      <c r="I5619" s="394"/>
      <c r="J5619" s="273"/>
      <c r="K5619" s="395"/>
      <c r="L5619" s="273"/>
      <c r="M5619" s="394" t="str">
        <f t="shared" si="767"/>
        <v/>
      </c>
      <c r="N5619" s="273"/>
    </row>
    <row r="5620" spans="1:14" ht="12.75" customHeight="1" x14ac:dyDescent="0.2">
      <c r="A5620" s="400"/>
      <c r="B5620" s="271"/>
      <c r="C5620" s="271"/>
      <c r="D5620" s="271"/>
      <c r="E5620" s="271"/>
      <c r="F5620" s="271"/>
      <c r="G5620" s="273"/>
      <c r="H5620" s="29"/>
      <c r="I5620" s="394"/>
      <c r="J5620" s="273"/>
      <c r="K5620" s="395"/>
      <c r="L5620" s="273"/>
      <c r="M5620" s="394" t="str">
        <f t="shared" si="767"/>
        <v/>
      </c>
      <c r="N5620" s="273"/>
    </row>
    <row r="5621" spans="1:14" ht="12.75" customHeight="1" x14ac:dyDescent="0.25">
      <c r="A5621" s="4"/>
      <c r="B5621" s="4"/>
      <c r="C5621" s="4"/>
      <c r="D5621" s="4"/>
      <c r="E5621" s="4"/>
      <c r="F5621" s="4"/>
      <c r="G5621" s="4"/>
      <c r="H5621" s="4"/>
      <c r="I5621" s="4"/>
      <c r="J5621" s="4"/>
      <c r="K5621" s="396" t="s">
        <v>444</v>
      </c>
      <c r="L5621" s="273"/>
      <c r="M5621" s="394">
        <f>SUM(M5616:N5620)</f>
        <v>282797.55</v>
      </c>
      <c r="N5621" s="273"/>
    </row>
    <row r="5622" spans="1:14" ht="12.75" customHeight="1" x14ac:dyDescent="0.25">
      <c r="A5622" s="4"/>
      <c r="B5622" s="4"/>
      <c r="C5622" s="4"/>
      <c r="D5622" s="4"/>
      <c r="E5622" s="4"/>
      <c r="F5622" s="4"/>
      <c r="G5622" s="4"/>
      <c r="H5622" s="4"/>
      <c r="I5622" s="4"/>
      <c r="J5622" s="4"/>
      <c r="K5622" s="4"/>
      <c r="L5622" s="4"/>
      <c r="M5622" s="4"/>
      <c r="N5622" s="4"/>
    </row>
    <row r="5623" spans="1:14" ht="12.75" customHeight="1" x14ac:dyDescent="0.2">
      <c r="A5623" s="398" t="s">
        <v>931</v>
      </c>
      <c r="B5623" s="271"/>
      <c r="C5623" s="271"/>
      <c r="D5623" s="271"/>
      <c r="E5623" s="271"/>
      <c r="F5623" s="271"/>
      <c r="G5623" s="271"/>
      <c r="H5623" s="271"/>
      <c r="I5623" s="271"/>
      <c r="J5623" s="271"/>
      <c r="K5623" s="271"/>
      <c r="L5623" s="271"/>
      <c r="M5623" s="271"/>
      <c r="N5623" s="273"/>
    </row>
    <row r="5624" spans="1:14" ht="12.75" customHeight="1" x14ac:dyDescent="0.2">
      <c r="A5624" s="396" t="s">
        <v>76</v>
      </c>
      <c r="B5624" s="271"/>
      <c r="C5624" s="271"/>
      <c r="D5624" s="271"/>
      <c r="E5624" s="271"/>
      <c r="F5624" s="271"/>
      <c r="G5624" s="273"/>
      <c r="H5624" s="88" t="s">
        <v>77</v>
      </c>
      <c r="I5624" s="399" t="s">
        <v>920</v>
      </c>
      <c r="J5624" s="273"/>
      <c r="K5624" s="90" t="s">
        <v>514</v>
      </c>
      <c r="L5624" s="91" t="s">
        <v>932</v>
      </c>
      <c r="M5624" s="399" t="s">
        <v>921</v>
      </c>
      <c r="N5624" s="273"/>
    </row>
    <row r="5625" spans="1:14" ht="12.75" customHeight="1" x14ac:dyDescent="0.25">
      <c r="A5625" s="393" t="s">
        <v>1112</v>
      </c>
      <c r="B5625" s="271"/>
      <c r="C5625" s="271"/>
      <c r="D5625" s="271"/>
      <c r="E5625" s="271"/>
      <c r="F5625" s="271"/>
      <c r="G5625" s="273"/>
      <c r="H5625" s="29" t="str">
        <f>IF(A5625="","",VLOOKUP(A5625,AA_Cuadrillas,4,FALSE))</f>
        <v>Cuadrilla</v>
      </c>
      <c r="I5625" s="394">
        <f>IF(A5625="","",VLOOKUP(A5625,AA_Cuadrillas,5,FALSE))</f>
        <v>210108</v>
      </c>
      <c r="J5625" s="273"/>
      <c r="K5625" s="9">
        <f>IF(A5625="","",F.P!$I$2)</f>
        <v>1.88</v>
      </c>
      <c r="L5625" s="93">
        <v>3.7</v>
      </c>
      <c r="M5625" s="394">
        <f t="shared" ref="M5625:M5629" si="768">IF(A5625="","",I5625*K5625*L5625)</f>
        <v>1461511.2479999999</v>
      </c>
      <c r="N5625" s="273"/>
    </row>
    <row r="5626" spans="1:14" ht="12.75" customHeight="1" x14ac:dyDescent="0.25">
      <c r="A5626" s="393"/>
      <c r="B5626" s="271"/>
      <c r="C5626" s="271"/>
      <c r="D5626" s="271"/>
      <c r="E5626" s="271"/>
      <c r="F5626" s="271"/>
      <c r="G5626" s="273"/>
      <c r="H5626" s="29" t="str">
        <f>IF(A5626="","",VLOOKUP(A5626,AA_Cuadrillas,4,FALSE))</f>
        <v/>
      </c>
      <c r="I5626" s="394" t="str">
        <f>IF(A5626="","",VLOOKUP(A5626,AA_Cuadrillas,5,FALSE))</f>
        <v/>
      </c>
      <c r="J5626" s="273"/>
      <c r="K5626" s="9" t="str">
        <f>IF(A5626="","",F.P!$I$2)</f>
        <v/>
      </c>
      <c r="L5626" s="9"/>
      <c r="M5626" s="394" t="str">
        <f t="shared" si="768"/>
        <v/>
      </c>
      <c r="N5626" s="273"/>
    </row>
    <row r="5627" spans="1:14" ht="12.75" customHeight="1" x14ac:dyDescent="0.25">
      <c r="A5627" s="393"/>
      <c r="B5627" s="271"/>
      <c r="C5627" s="271"/>
      <c r="D5627" s="271"/>
      <c r="E5627" s="271"/>
      <c r="F5627" s="271"/>
      <c r="G5627" s="273"/>
      <c r="H5627" s="29" t="str">
        <f>IF(A5627="","",VLOOKUP(A5627,AA_Cuadrillas,4,FALSE))</f>
        <v/>
      </c>
      <c r="I5627" s="394" t="str">
        <f>IF(A5627="","",VLOOKUP(A5627,AA_Cuadrillas,5,FALSE))</f>
        <v/>
      </c>
      <c r="J5627" s="273"/>
      <c r="K5627" s="9" t="str">
        <f>IF(A5627="","",F.P!$I$2)</f>
        <v/>
      </c>
      <c r="L5627" s="37"/>
      <c r="M5627" s="394" t="str">
        <f t="shared" si="768"/>
        <v/>
      </c>
      <c r="N5627" s="273"/>
    </row>
    <row r="5628" spans="1:14" ht="12.75" customHeight="1" x14ac:dyDescent="0.25">
      <c r="A5628" s="393"/>
      <c r="B5628" s="271"/>
      <c r="C5628" s="271"/>
      <c r="D5628" s="271"/>
      <c r="E5628" s="271"/>
      <c r="F5628" s="271"/>
      <c r="G5628" s="273"/>
      <c r="H5628" s="29" t="str">
        <f>IF(A5628="","",VLOOKUP(A5628,AA_Cuadrillas,4,FALSE))</f>
        <v/>
      </c>
      <c r="I5628" s="394" t="str">
        <f>IF(A5628="","",VLOOKUP(A5628,AA_Cuadrillas,5,FALSE))</f>
        <v/>
      </c>
      <c r="J5628" s="273"/>
      <c r="K5628" s="9" t="str">
        <f>IF(A5628="","",F.P!$I$2)</f>
        <v/>
      </c>
      <c r="L5628" s="37"/>
      <c r="M5628" s="394" t="str">
        <f t="shared" si="768"/>
        <v/>
      </c>
      <c r="N5628" s="273"/>
    </row>
    <row r="5629" spans="1:14" ht="12.75" customHeight="1" x14ac:dyDescent="0.25">
      <c r="A5629" s="393"/>
      <c r="B5629" s="271"/>
      <c r="C5629" s="271"/>
      <c r="D5629" s="271"/>
      <c r="E5629" s="271"/>
      <c r="F5629" s="271"/>
      <c r="G5629" s="273"/>
      <c r="H5629" s="29" t="str">
        <f>IF(A5629="","",VLOOKUP(A5629,AA_Cuadrillas,4,FALSE))</f>
        <v/>
      </c>
      <c r="I5629" s="394" t="str">
        <f>IF(A5629="","",VLOOKUP(A5629,AA_Cuadrillas,5,FALSE))</f>
        <v/>
      </c>
      <c r="J5629" s="273"/>
      <c r="K5629" s="9" t="str">
        <f>IF(A5629="","",F.P!$I$2)</f>
        <v/>
      </c>
      <c r="L5629" s="37"/>
      <c r="M5629" s="394" t="str">
        <f t="shared" si="768"/>
        <v/>
      </c>
      <c r="N5629" s="273"/>
    </row>
    <row r="5630" spans="1:14" ht="12.75" customHeight="1" x14ac:dyDescent="0.25">
      <c r="A5630" s="4"/>
      <c r="B5630" s="4"/>
      <c r="C5630" s="4"/>
      <c r="D5630" s="4"/>
      <c r="E5630" s="4"/>
      <c r="F5630" s="4"/>
      <c r="G5630" s="4"/>
      <c r="H5630" s="4"/>
      <c r="I5630" s="4"/>
      <c r="J5630" s="4"/>
      <c r="K5630" s="396" t="s">
        <v>444</v>
      </c>
      <c r="L5630" s="273"/>
      <c r="M5630" s="394">
        <f>SUM(M5625:N5629)</f>
        <v>1461511.2479999999</v>
      </c>
      <c r="N5630" s="273"/>
    </row>
    <row r="5631" spans="1:14" ht="12.75" customHeight="1" x14ac:dyDescent="0.2"/>
    <row r="5632" spans="1:14" ht="12.75" customHeight="1" x14ac:dyDescent="0.2">
      <c r="A5632" s="407" t="s">
        <v>1236</v>
      </c>
      <c r="B5632" s="275"/>
      <c r="C5632" s="275"/>
      <c r="D5632" s="275"/>
      <c r="E5632" s="275"/>
      <c r="F5632" s="275"/>
      <c r="G5632" s="275"/>
      <c r="H5632" s="275"/>
      <c r="I5632" s="275"/>
      <c r="J5632" s="275"/>
      <c r="K5632" s="275"/>
      <c r="L5632" s="275"/>
      <c r="M5632" s="275"/>
      <c r="N5632" s="276"/>
    </row>
    <row r="5633" spans="1:14" ht="12.75" customHeight="1" x14ac:dyDescent="0.2">
      <c r="A5633" s="277"/>
      <c r="B5633" s="278"/>
      <c r="C5633" s="278"/>
      <c r="D5633" s="278"/>
      <c r="E5633" s="278"/>
      <c r="F5633" s="278"/>
      <c r="G5633" s="278"/>
      <c r="H5633" s="278"/>
      <c r="I5633" s="278"/>
      <c r="J5633" s="278"/>
      <c r="K5633" s="278"/>
      <c r="L5633" s="278"/>
      <c r="M5633" s="278"/>
      <c r="N5633" s="279"/>
    </row>
    <row r="5634" spans="1:14" ht="12.75" customHeight="1" x14ac:dyDescent="0.2">
      <c r="A5634" s="75"/>
      <c r="B5634" s="75"/>
      <c r="C5634" s="75"/>
      <c r="D5634" s="75"/>
      <c r="E5634" s="75"/>
      <c r="F5634" s="75"/>
      <c r="G5634" s="75"/>
      <c r="H5634" s="75"/>
      <c r="I5634" s="75"/>
      <c r="J5634" s="75"/>
      <c r="K5634" s="75"/>
      <c r="L5634" s="75"/>
      <c r="M5634" s="75"/>
      <c r="N5634" s="75"/>
    </row>
    <row r="5635" spans="1:14" ht="12.75" customHeight="1" x14ac:dyDescent="0.3">
      <c r="A5635" s="79" t="s">
        <v>745</v>
      </c>
      <c r="B5635" s="80" t="str">
        <f>A5632</f>
        <v>SUMINISTRO E INSTALACION DE YEE SANITARIA 4"x4" PVC</v>
      </c>
      <c r="C5635" s="81" t="s">
        <v>916</v>
      </c>
      <c r="D5635" s="82" t="s">
        <v>999</v>
      </c>
      <c r="E5635" s="83" t="s">
        <v>445</v>
      </c>
      <c r="F5635" s="86">
        <f>H5635+J5635+L5635+N5635</f>
        <v>38972.574479999996</v>
      </c>
      <c r="G5635" s="83" t="s">
        <v>607</v>
      </c>
      <c r="H5635" s="86">
        <f>M5647</f>
        <v>27900</v>
      </c>
      <c r="I5635" s="83" t="s">
        <v>918</v>
      </c>
      <c r="J5635" s="86">
        <f>M5656</f>
        <v>460.83688000000006</v>
      </c>
      <c r="K5635" s="83" t="s">
        <v>609</v>
      </c>
      <c r="L5635" s="86">
        <f>M5665</f>
        <v>1395</v>
      </c>
      <c r="M5635" s="83" t="s">
        <v>610</v>
      </c>
      <c r="N5635" s="86">
        <f>M5674</f>
        <v>9216.7376000000004</v>
      </c>
    </row>
    <row r="5636" spans="1:14" ht="12.75" customHeight="1" x14ac:dyDescent="0.25">
      <c r="A5636" s="87"/>
      <c r="B5636" s="87"/>
      <c r="C5636" s="87"/>
      <c r="D5636" s="87"/>
      <c r="E5636" s="87"/>
      <c r="F5636" s="87"/>
      <c r="G5636" s="87"/>
      <c r="J5636" s="87"/>
      <c r="K5636" s="215" t="s">
        <v>3217</v>
      </c>
      <c r="L5636" s="215">
        <f>+F5635*presup!$O$5</f>
        <v>50664.346823999993</v>
      </c>
      <c r="M5636" s="87"/>
      <c r="N5636" s="87"/>
    </row>
    <row r="5637" spans="1:14" ht="12.75" customHeight="1" x14ac:dyDescent="0.2">
      <c r="A5637" s="398" t="s">
        <v>919</v>
      </c>
      <c r="B5637" s="271"/>
      <c r="C5637" s="271"/>
      <c r="D5637" s="271"/>
      <c r="E5637" s="271"/>
      <c r="F5637" s="271"/>
      <c r="G5637" s="271"/>
      <c r="H5637" s="271"/>
      <c r="I5637" s="271"/>
      <c r="J5637" s="271"/>
      <c r="K5637" s="271"/>
      <c r="L5637" s="271"/>
      <c r="M5637" s="271"/>
      <c r="N5637" s="273"/>
    </row>
    <row r="5638" spans="1:14" ht="12.75" customHeight="1" x14ac:dyDescent="0.2">
      <c r="A5638" s="396" t="s">
        <v>76</v>
      </c>
      <c r="B5638" s="271"/>
      <c r="C5638" s="271"/>
      <c r="D5638" s="271"/>
      <c r="E5638" s="271"/>
      <c r="F5638" s="271"/>
      <c r="G5638" s="273"/>
      <c r="H5638" s="88" t="s">
        <v>77</v>
      </c>
      <c r="I5638" s="399" t="s">
        <v>920</v>
      </c>
      <c r="J5638" s="273"/>
      <c r="K5638" s="399" t="s">
        <v>453</v>
      </c>
      <c r="L5638" s="273"/>
      <c r="M5638" s="399" t="s">
        <v>921</v>
      </c>
      <c r="N5638" s="273"/>
    </row>
    <row r="5639" spans="1:14" ht="12.75" customHeight="1" x14ac:dyDescent="0.2">
      <c r="A5639" s="400" t="s">
        <v>1237</v>
      </c>
      <c r="B5639" s="271"/>
      <c r="C5639" s="271"/>
      <c r="D5639" s="271"/>
      <c r="E5639" s="271"/>
      <c r="F5639" s="271"/>
      <c r="G5639" s="273"/>
      <c r="H5639" s="29" t="str">
        <f t="shared" ref="H5639:H5644" si="769">IF(A5639="","",VLOOKUP(A5639,AA_Materiales,7,FALSE))</f>
        <v>Unidad</v>
      </c>
      <c r="I5639" s="394">
        <f t="shared" ref="I5639:I5646" si="770">IF(A5639="","",VLOOKUP(A5639,AA_Materiales,8,FALSE))</f>
        <v>27900</v>
      </c>
      <c r="J5639" s="273"/>
      <c r="K5639" s="395">
        <v>1</v>
      </c>
      <c r="L5639" s="273"/>
      <c r="M5639" s="394">
        <f t="shared" ref="M5639:M5646" si="771">IF(A5639="","",I5639*K5639)</f>
        <v>27900</v>
      </c>
      <c r="N5639" s="273"/>
    </row>
    <row r="5640" spans="1:14" ht="12.75" customHeight="1" x14ac:dyDescent="0.2">
      <c r="A5640" s="400"/>
      <c r="B5640" s="271"/>
      <c r="C5640" s="271"/>
      <c r="D5640" s="271"/>
      <c r="E5640" s="271"/>
      <c r="F5640" s="271"/>
      <c r="G5640" s="273"/>
      <c r="H5640" s="29" t="str">
        <f t="shared" si="769"/>
        <v/>
      </c>
      <c r="I5640" s="394" t="str">
        <f t="shared" si="770"/>
        <v/>
      </c>
      <c r="J5640" s="273"/>
      <c r="K5640" s="395"/>
      <c r="L5640" s="273"/>
      <c r="M5640" s="394" t="str">
        <f t="shared" si="771"/>
        <v/>
      </c>
      <c r="N5640" s="273"/>
    </row>
    <row r="5641" spans="1:14" ht="12.75" customHeight="1" x14ac:dyDescent="0.2">
      <c r="A5641" s="400"/>
      <c r="B5641" s="271"/>
      <c r="C5641" s="271"/>
      <c r="D5641" s="271"/>
      <c r="E5641" s="271"/>
      <c r="F5641" s="271"/>
      <c r="G5641" s="273"/>
      <c r="H5641" s="29" t="str">
        <f t="shared" si="769"/>
        <v/>
      </c>
      <c r="I5641" s="394" t="str">
        <f t="shared" si="770"/>
        <v/>
      </c>
      <c r="J5641" s="273"/>
      <c r="K5641" s="395"/>
      <c r="L5641" s="273"/>
      <c r="M5641" s="394" t="str">
        <f t="shared" si="771"/>
        <v/>
      </c>
      <c r="N5641" s="273"/>
    </row>
    <row r="5642" spans="1:14" ht="12.75" customHeight="1" x14ac:dyDescent="0.2">
      <c r="A5642" s="400"/>
      <c r="B5642" s="271"/>
      <c r="C5642" s="271"/>
      <c r="D5642" s="271"/>
      <c r="E5642" s="271"/>
      <c r="F5642" s="271"/>
      <c r="G5642" s="273"/>
      <c r="H5642" s="29" t="str">
        <f t="shared" si="769"/>
        <v/>
      </c>
      <c r="I5642" s="394" t="str">
        <f t="shared" si="770"/>
        <v/>
      </c>
      <c r="J5642" s="273"/>
      <c r="K5642" s="395"/>
      <c r="L5642" s="273"/>
      <c r="M5642" s="394" t="str">
        <f t="shared" si="771"/>
        <v/>
      </c>
      <c r="N5642" s="273"/>
    </row>
    <row r="5643" spans="1:14" ht="12.75" customHeight="1" x14ac:dyDescent="0.2">
      <c r="A5643" s="400"/>
      <c r="B5643" s="271"/>
      <c r="C5643" s="271"/>
      <c r="D5643" s="271"/>
      <c r="E5643" s="271"/>
      <c r="F5643" s="271"/>
      <c r="G5643" s="273"/>
      <c r="H5643" s="29" t="str">
        <f t="shared" si="769"/>
        <v/>
      </c>
      <c r="I5643" s="394" t="str">
        <f t="shared" si="770"/>
        <v/>
      </c>
      <c r="J5643" s="273"/>
      <c r="K5643" s="395"/>
      <c r="L5643" s="273"/>
      <c r="M5643" s="394" t="str">
        <f t="shared" si="771"/>
        <v/>
      </c>
      <c r="N5643" s="273"/>
    </row>
    <row r="5644" spans="1:14" ht="12.75" customHeight="1" x14ac:dyDescent="0.2">
      <c r="A5644" s="400"/>
      <c r="B5644" s="271"/>
      <c r="C5644" s="271"/>
      <c r="D5644" s="271"/>
      <c r="E5644" s="271"/>
      <c r="F5644" s="271"/>
      <c r="G5644" s="273"/>
      <c r="H5644" s="29" t="str">
        <f t="shared" si="769"/>
        <v/>
      </c>
      <c r="I5644" s="394" t="str">
        <f t="shared" si="770"/>
        <v/>
      </c>
      <c r="J5644" s="273"/>
      <c r="K5644" s="395"/>
      <c r="L5644" s="273"/>
      <c r="M5644" s="394" t="str">
        <f t="shared" si="771"/>
        <v/>
      </c>
      <c r="N5644" s="273"/>
    </row>
    <row r="5645" spans="1:14" ht="12.75" customHeight="1" x14ac:dyDescent="0.2">
      <c r="A5645" s="400"/>
      <c r="B5645" s="271"/>
      <c r="C5645" s="271"/>
      <c r="D5645" s="271"/>
      <c r="E5645" s="271"/>
      <c r="F5645" s="271"/>
      <c r="G5645" s="273"/>
      <c r="H5645" s="29"/>
      <c r="I5645" s="394" t="str">
        <f t="shared" si="770"/>
        <v/>
      </c>
      <c r="J5645" s="273"/>
      <c r="K5645" s="395"/>
      <c r="L5645" s="273"/>
      <c r="M5645" s="394" t="str">
        <f t="shared" si="771"/>
        <v/>
      </c>
      <c r="N5645" s="273"/>
    </row>
    <row r="5646" spans="1:14" ht="12.75" customHeight="1" x14ac:dyDescent="0.2">
      <c r="A5646" s="400"/>
      <c r="B5646" s="271"/>
      <c r="C5646" s="271"/>
      <c r="D5646" s="271"/>
      <c r="E5646" s="271"/>
      <c r="F5646" s="271"/>
      <c r="G5646" s="273"/>
      <c r="H5646" s="29" t="str">
        <f>IF(A5646="","",VLOOKUP(A5646,AA_Materiales,7,FALSE))</f>
        <v/>
      </c>
      <c r="I5646" s="394" t="str">
        <f t="shared" si="770"/>
        <v/>
      </c>
      <c r="J5646" s="273"/>
      <c r="K5646" s="395"/>
      <c r="L5646" s="273"/>
      <c r="M5646" s="394" t="str">
        <f t="shared" si="771"/>
        <v/>
      </c>
      <c r="N5646" s="273"/>
    </row>
    <row r="5647" spans="1:14" ht="12.75" customHeight="1" x14ac:dyDescent="0.25">
      <c r="A5647" s="4"/>
      <c r="B5647" s="4"/>
      <c r="C5647" s="4"/>
      <c r="D5647" s="4"/>
      <c r="E5647" s="4"/>
      <c r="F5647" s="4"/>
      <c r="G5647" s="4"/>
      <c r="H5647" s="4"/>
      <c r="I5647" s="4"/>
      <c r="J5647" s="4"/>
      <c r="K5647" s="396" t="s">
        <v>444</v>
      </c>
      <c r="L5647" s="273"/>
      <c r="M5647" s="394">
        <f>SUM(M5639:N5646)</f>
        <v>27900</v>
      </c>
      <c r="N5647" s="273"/>
    </row>
    <row r="5648" spans="1:14" ht="12.75" customHeight="1" x14ac:dyDescent="0.25">
      <c r="A5648" s="4"/>
      <c r="B5648" s="4"/>
      <c r="C5648" s="4"/>
      <c r="D5648" s="4"/>
      <c r="E5648" s="4"/>
      <c r="F5648" s="4"/>
      <c r="G5648" s="4"/>
      <c r="H5648" s="4"/>
      <c r="I5648" s="4"/>
      <c r="J5648" s="4"/>
      <c r="K5648" s="4"/>
      <c r="L5648" s="4"/>
      <c r="M5648" s="4"/>
      <c r="N5648" s="4"/>
    </row>
    <row r="5649" spans="1:14" ht="12.75" customHeight="1" x14ac:dyDescent="0.2">
      <c r="A5649" s="398" t="s">
        <v>926</v>
      </c>
      <c r="B5649" s="271"/>
      <c r="C5649" s="271"/>
      <c r="D5649" s="271"/>
      <c r="E5649" s="271"/>
      <c r="F5649" s="271"/>
      <c r="G5649" s="271"/>
      <c r="H5649" s="271"/>
      <c r="I5649" s="271"/>
      <c r="J5649" s="271"/>
      <c r="K5649" s="271"/>
      <c r="L5649" s="271"/>
      <c r="M5649" s="271"/>
      <c r="N5649" s="273"/>
    </row>
    <row r="5650" spans="1:14" ht="12.75" customHeight="1" x14ac:dyDescent="0.2">
      <c r="A5650" s="396" t="s">
        <v>76</v>
      </c>
      <c r="B5650" s="271"/>
      <c r="C5650" s="271"/>
      <c r="D5650" s="271"/>
      <c r="E5650" s="271"/>
      <c r="F5650" s="271"/>
      <c r="G5650" s="273"/>
      <c r="H5650" s="88" t="s">
        <v>77</v>
      </c>
      <c r="I5650" s="399" t="s">
        <v>920</v>
      </c>
      <c r="J5650" s="273"/>
      <c r="K5650" s="399" t="s">
        <v>453</v>
      </c>
      <c r="L5650" s="273"/>
      <c r="M5650" s="399" t="s">
        <v>921</v>
      </c>
      <c r="N5650" s="273"/>
    </row>
    <row r="5651" spans="1:14" ht="12.75" customHeight="1" x14ac:dyDescent="0.2">
      <c r="A5651" s="400" t="s">
        <v>927</v>
      </c>
      <c r="B5651" s="271"/>
      <c r="C5651" s="271"/>
      <c r="D5651" s="271"/>
      <c r="E5651" s="271"/>
      <c r="F5651" s="271"/>
      <c r="G5651" s="273"/>
      <c r="H5651" s="29" t="str">
        <f>IF(A5651="","",VLOOKUP(A5651,AA_Equipos,7,FALSE))</f>
        <v>% M.O.</v>
      </c>
      <c r="I5651" s="394">
        <f>+M5674</f>
        <v>9216.7376000000004</v>
      </c>
      <c r="J5651" s="273"/>
      <c r="K5651" s="404">
        <v>0.05</v>
      </c>
      <c r="L5651" s="273"/>
      <c r="M5651" s="394">
        <f t="shared" ref="M5651:M5655" si="772">IF(A5651="","",I5651*K5651)</f>
        <v>460.83688000000006</v>
      </c>
      <c r="N5651" s="273"/>
    </row>
    <row r="5652" spans="1:14" ht="12.75" customHeight="1" x14ac:dyDescent="0.2">
      <c r="A5652" s="403"/>
      <c r="B5652" s="271"/>
      <c r="C5652" s="271"/>
      <c r="D5652" s="271"/>
      <c r="E5652" s="271"/>
      <c r="F5652" s="271"/>
      <c r="G5652" s="273"/>
      <c r="H5652" s="29" t="str">
        <f>IF(A5652="","",VLOOKUP(A5652,AA_Equipos,7,FALSE))</f>
        <v/>
      </c>
      <c r="I5652" s="394" t="str">
        <f>IF(A5652="","",VLOOKUP(A5652,AA_Equipos,8,FALSE))</f>
        <v/>
      </c>
      <c r="J5652" s="273"/>
      <c r="K5652" s="402"/>
      <c r="L5652" s="273"/>
      <c r="M5652" s="394" t="str">
        <f t="shared" si="772"/>
        <v/>
      </c>
      <c r="N5652" s="273"/>
    </row>
    <row r="5653" spans="1:14" ht="12.75" customHeight="1" x14ac:dyDescent="0.2">
      <c r="A5653" s="400"/>
      <c r="B5653" s="271"/>
      <c r="C5653" s="271"/>
      <c r="D5653" s="271"/>
      <c r="E5653" s="271"/>
      <c r="F5653" s="271"/>
      <c r="G5653" s="273"/>
      <c r="H5653" s="29" t="str">
        <f>IF(A5653="","",VLOOKUP(A5653,AA_Equipos,7,FALSE))</f>
        <v/>
      </c>
      <c r="I5653" s="394" t="str">
        <f>IF(A5653="","",VLOOKUP(A5653,AA_Equipos,8,FALSE))</f>
        <v/>
      </c>
      <c r="J5653" s="273"/>
      <c r="K5653" s="402"/>
      <c r="L5653" s="273"/>
      <c r="M5653" s="394" t="str">
        <f t="shared" si="772"/>
        <v/>
      </c>
      <c r="N5653" s="273"/>
    </row>
    <row r="5654" spans="1:14" ht="12.75" customHeight="1" x14ac:dyDescent="0.2">
      <c r="A5654" s="400"/>
      <c r="B5654" s="271"/>
      <c r="C5654" s="271"/>
      <c r="D5654" s="271"/>
      <c r="E5654" s="271"/>
      <c r="F5654" s="271"/>
      <c r="G5654" s="273"/>
      <c r="H5654" s="29" t="str">
        <f>IF(A5654="","",VLOOKUP(A5654,AA_Equipos,7,FALSE))</f>
        <v/>
      </c>
      <c r="I5654" s="394" t="str">
        <f>IF(A5654="","",VLOOKUP(A5654,AA_Equipos,8,FALSE))</f>
        <v/>
      </c>
      <c r="J5654" s="273"/>
      <c r="K5654" s="402"/>
      <c r="L5654" s="273"/>
      <c r="M5654" s="394" t="str">
        <f t="shared" si="772"/>
        <v/>
      </c>
      <c r="N5654" s="273"/>
    </row>
    <row r="5655" spans="1:14" ht="12.75" customHeight="1" x14ac:dyDescent="0.2">
      <c r="A5655" s="400"/>
      <c r="B5655" s="271"/>
      <c r="C5655" s="271"/>
      <c r="D5655" s="271"/>
      <c r="E5655" s="271"/>
      <c r="F5655" s="271"/>
      <c r="G5655" s="273"/>
      <c r="H5655" s="29" t="str">
        <f>IF(A5655="","",VLOOKUP(A5655,AA_Equipos,7,FALSE))</f>
        <v/>
      </c>
      <c r="I5655" s="394" t="str">
        <f>IF(A5655="","",VLOOKUP(A5655,AA_Equipos,8,FALSE))</f>
        <v/>
      </c>
      <c r="J5655" s="273"/>
      <c r="K5655" s="395"/>
      <c r="L5655" s="273"/>
      <c r="M5655" s="394" t="str">
        <f t="shared" si="772"/>
        <v/>
      </c>
      <c r="N5655" s="273"/>
    </row>
    <row r="5656" spans="1:14" ht="12.75" customHeight="1" x14ac:dyDescent="0.25">
      <c r="A5656" s="4"/>
      <c r="B5656" s="4"/>
      <c r="C5656" s="4"/>
      <c r="D5656" s="4"/>
      <c r="E5656" s="4"/>
      <c r="F5656" s="4"/>
      <c r="G5656" s="4"/>
      <c r="H5656" s="4"/>
      <c r="I5656" s="4"/>
      <c r="J5656" s="4"/>
      <c r="K5656" s="396" t="s">
        <v>444</v>
      </c>
      <c r="L5656" s="273"/>
      <c r="M5656" s="394">
        <f>SUM(M5651:N5655)</f>
        <v>460.83688000000006</v>
      </c>
      <c r="N5656" s="273"/>
    </row>
    <row r="5657" spans="1:14" ht="12.75" customHeight="1" x14ac:dyDescent="0.25">
      <c r="A5657" s="4"/>
      <c r="B5657" s="4"/>
      <c r="C5657" s="4"/>
      <c r="D5657" s="4"/>
      <c r="E5657" s="4"/>
      <c r="F5657" s="4"/>
      <c r="G5657" s="4"/>
      <c r="H5657" s="4"/>
      <c r="I5657" s="4"/>
      <c r="J5657" s="4"/>
      <c r="K5657" s="4"/>
      <c r="L5657" s="4"/>
      <c r="M5657" s="4"/>
      <c r="N5657" s="4"/>
    </row>
    <row r="5658" spans="1:14" ht="12.75" customHeight="1" x14ac:dyDescent="0.2">
      <c r="A5658" s="398" t="s">
        <v>929</v>
      </c>
      <c r="B5658" s="271"/>
      <c r="C5658" s="271"/>
      <c r="D5658" s="271"/>
      <c r="E5658" s="271"/>
      <c r="F5658" s="271"/>
      <c r="G5658" s="271"/>
      <c r="H5658" s="271"/>
      <c r="I5658" s="271"/>
      <c r="J5658" s="271"/>
      <c r="K5658" s="271"/>
      <c r="L5658" s="271"/>
      <c r="M5658" s="271"/>
      <c r="N5658" s="273"/>
    </row>
    <row r="5659" spans="1:14" ht="12.75" customHeight="1" x14ac:dyDescent="0.2">
      <c r="A5659" s="396" t="s">
        <v>76</v>
      </c>
      <c r="B5659" s="271"/>
      <c r="C5659" s="271"/>
      <c r="D5659" s="271"/>
      <c r="E5659" s="271"/>
      <c r="F5659" s="271"/>
      <c r="G5659" s="273"/>
      <c r="H5659" s="88" t="s">
        <v>77</v>
      </c>
      <c r="I5659" s="399" t="s">
        <v>920</v>
      </c>
      <c r="J5659" s="273"/>
      <c r="K5659" s="399" t="s">
        <v>453</v>
      </c>
      <c r="L5659" s="273"/>
      <c r="M5659" s="399" t="s">
        <v>921</v>
      </c>
      <c r="N5659" s="273"/>
    </row>
    <row r="5660" spans="1:14" ht="12.75" customHeight="1" x14ac:dyDescent="0.2">
      <c r="A5660" s="400" t="s">
        <v>960</v>
      </c>
      <c r="B5660" s="271"/>
      <c r="C5660" s="271"/>
      <c r="D5660" s="271"/>
      <c r="E5660" s="271"/>
      <c r="F5660" s="271"/>
      <c r="G5660" s="273"/>
      <c r="H5660" s="29" t="s">
        <v>950</v>
      </c>
      <c r="I5660" s="394">
        <f>+M5647</f>
        <v>27900</v>
      </c>
      <c r="J5660" s="273"/>
      <c r="K5660" s="404">
        <v>0.05</v>
      </c>
      <c r="L5660" s="273"/>
      <c r="M5660" s="394">
        <f t="shared" ref="M5660:M5664" si="773">IF(A5660="","",I5660*K5660)</f>
        <v>1395</v>
      </c>
      <c r="N5660" s="273"/>
    </row>
    <row r="5661" spans="1:14" ht="12.75" customHeight="1" x14ac:dyDescent="0.2">
      <c r="A5661" s="403"/>
      <c r="B5661" s="271"/>
      <c r="C5661" s="271"/>
      <c r="D5661" s="271"/>
      <c r="E5661" s="271"/>
      <c r="F5661" s="271"/>
      <c r="G5661" s="273"/>
      <c r="H5661" s="29"/>
      <c r="I5661" s="394"/>
      <c r="J5661" s="273"/>
      <c r="K5661" s="404"/>
      <c r="L5661" s="273"/>
      <c r="M5661" s="394" t="str">
        <f t="shared" si="773"/>
        <v/>
      </c>
      <c r="N5661" s="273"/>
    </row>
    <row r="5662" spans="1:14" ht="12.75" customHeight="1" x14ac:dyDescent="0.2">
      <c r="A5662" s="400"/>
      <c r="B5662" s="271"/>
      <c r="C5662" s="271"/>
      <c r="D5662" s="271"/>
      <c r="E5662" s="271"/>
      <c r="F5662" s="271"/>
      <c r="G5662" s="273"/>
      <c r="H5662" s="29"/>
      <c r="I5662" s="394"/>
      <c r="J5662" s="273"/>
      <c r="K5662" s="395"/>
      <c r="L5662" s="273"/>
      <c r="M5662" s="394" t="str">
        <f t="shared" si="773"/>
        <v/>
      </c>
      <c r="N5662" s="273"/>
    </row>
    <row r="5663" spans="1:14" ht="12.75" customHeight="1" x14ac:dyDescent="0.2">
      <c r="A5663" s="400"/>
      <c r="B5663" s="271"/>
      <c r="C5663" s="271"/>
      <c r="D5663" s="271"/>
      <c r="E5663" s="271"/>
      <c r="F5663" s="271"/>
      <c r="G5663" s="273"/>
      <c r="H5663" s="29"/>
      <c r="I5663" s="394"/>
      <c r="J5663" s="273"/>
      <c r="K5663" s="395"/>
      <c r="L5663" s="273"/>
      <c r="M5663" s="394" t="str">
        <f t="shared" si="773"/>
        <v/>
      </c>
      <c r="N5663" s="273"/>
    </row>
    <row r="5664" spans="1:14" ht="12.75" customHeight="1" x14ac:dyDescent="0.2">
      <c r="A5664" s="400"/>
      <c r="B5664" s="271"/>
      <c r="C5664" s="271"/>
      <c r="D5664" s="271"/>
      <c r="E5664" s="271"/>
      <c r="F5664" s="271"/>
      <c r="G5664" s="273"/>
      <c r="H5664" s="29"/>
      <c r="I5664" s="394"/>
      <c r="J5664" s="273"/>
      <c r="K5664" s="395"/>
      <c r="L5664" s="273"/>
      <c r="M5664" s="394" t="str">
        <f t="shared" si="773"/>
        <v/>
      </c>
      <c r="N5664" s="273"/>
    </row>
    <row r="5665" spans="1:14" ht="12.75" customHeight="1" x14ac:dyDescent="0.25">
      <c r="A5665" s="4"/>
      <c r="B5665" s="4"/>
      <c r="C5665" s="4"/>
      <c r="D5665" s="4"/>
      <c r="E5665" s="4"/>
      <c r="F5665" s="4"/>
      <c r="G5665" s="4"/>
      <c r="H5665" s="4"/>
      <c r="I5665" s="4"/>
      <c r="J5665" s="4"/>
      <c r="K5665" s="396" t="s">
        <v>444</v>
      </c>
      <c r="L5665" s="273"/>
      <c r="M5665" s="394">
        <f>SUM(M5660:N5664)</f>
        <v>1395</v>
      </c>
      <c r="N5665" s="273"/>
    </row>
    <row r="5666" spans="1:14" ht="12.75" customHeight="1" x14ac:dyDescent="0.25">
      <c r="A5666" s="4"/>
      <c r="B5666" s="4"/>
      <c r="C5666" s="4"/>
      <c r="D5666" s="4"/>
      <c r="E5666" s="4"/>
      <c r="F5666" s="4"/>
      <c r="G5666" s="4"/>
      <c r="H5666" s="4"/>
      <c r="I5666" s="4"/>
      <c r="J5666" s="4"/>
      <c r="K5666" s="4"/>
      <c r="L5666" s="4"/>
      <c r="M5666" s="4"/>
      <c r="N5666" s="4"/>
    </row>
    <row r="5667" spans="1:14" ht="12.75" customHeight="1" x14ac:dyDescent="0.2">
      <c r="A5667" s="398" t="s">
        <v>931</v>
      </c>
      <c r="B5667" s="271"/>
      <c r="C5667" s="271"/>
      <c r="D5667" s="271"/>
      <c r="E5667" s="271"/>
      <c r="F5667" s="271"/>
      <c r="G5667" s="271"/>
      <c r="H5667" s="271"/>
      <c r="I5667" s="271"/>
      <c r="J5667" s="271"/>
      <c r="K5667" s="271"/>
      <c r="L5667" s="271"/>
      <c r="M5667" s="271"/>
      <c r="N5667" s="273"/>
    </row>
    <row r="5668" spans="1:14" ht="12.75" customHeight="1" x14ac:dyDescent="0.2">
      <c r="A5668" s="396" t="s">
        <v>76</v>
      </c>
      <c r="B5668" s="271"/>
      <c r="C5668" s="271"/>
      <c r="D5668" s="271"/>
      <c r="E5668" s="271"/>
      <c r="F5668" s="271"/>
      <c r="G5668" s="273"/>
      <c r="H5668" s="88" t="s">
        <v>77</v>
      </c>
      <c r="I5668" s="399" t="s">
        <v>920</v>
      </c>
      <c r="J5668" s="273"/>
      <c r="K5668" s="90" t="s">
        <v>514</v>
      </c>
      <c r="L5668" s="91" t="s">
        <v>932</v>
      </c>
      <c r="M5668" s="399" t="s">
        <v>921</v>
      </c>
      <c r="N5668" s="273"/>
    </row>
    <row r="5669" spans="1:14" ht="12.75" customHeight="1" x14ac:dyDescent="0.25">
      <c r="A5669" s="393" t="s">
        <v>936</v>
      </c>
      <c r="B5669" s="271"/>
      <c r="C5669" s="271"/>
      <c r="D5669" s="271"/>
      <c r="E5669" s="271"/>
      <c r="F5669" s="271"/>
      <c r="G5669" s="273"/>
      <c r="H5669" s="29" t="str">
        <f>IF(A5669="","",VLOOKUP(A5669,AA_Cuadrillas,4,FALSE))</f>
        <v>Cuadrilla</v>
      </c>
      <c r="I5669" s="394">
        <f>IF(A5669="","",VLOOKUP(A5669,AA_Cuadrillas,5,FALSE))</f>
        <v>70036</v>
      </c>
      <c r="J5669" s="273"/>
      <c r="K5669" s="9">
        <f>IF(A5669="","",F.P!$I$2)</f>
        <v>1.88</v>
      </c>
      <c r="L5669" s="93">
        <v>7.0000000000000007E-2</v>
      </c>
      <c r="M5669" s="394">
        <f t="shared" ref="M5669:M5673" si="774">IF(A5669="","",I5669*K5669*L5669)</f>
        <v>9216.7376000000004</v>
      </c>
      <c r="N5669" s="273"/>
    </row>
    <row r="5670" spans="1:14" ht="12.75" customHeight="1" x14ac:dyDescent="0.25">
      <c r="A5670" s="393"/>
      <c r="B5670" s="271"/>
      <c r="C5670" s="271"/>
      <c r="D5670" s="271"/>
      <c r="E5670" s="271"/>
      <c r="F5670" s="271"/>
      <c r="G5670" s="273"/>
      <c r="H5670" s="29" t="str">
        <f>IF(A5670="","",VLOOKUP(A5670,AA_Cuadrillas,4,FALSE))</f>
        <v/>
      </c>
      <c r="I5670" s="394" t="str">
        <f>IF(A5670="","",VLOOKUP(A5670,AA_Cuadrillas,5,FALSE))</f>
        <v/>
      </c>
      <c r="J5670" s="273"/>
      <c r="K5670" s="9" t="str">
        <f>IF(A5670="","",F.P!$I$2)</f>
        <v/>
      </c>
      <c r="L5670" s="9"/>
      <c r="M5670" s="394" t="str">
        <f t="shared" si="774"/>
        <v/>
      </c>
      <c r="N5670" s="273"/>
    </row>
    <row r="5671" spans="1:14" ht="12.75" customHeight="1" x14ac:dyDescent="0.25">
      <c r="A5671" s="393"/>
      <c r="B5671" s="271"/>
      <c r="C5671" s="271"/>
      <c r="D5671" s="271"/>
      <c r="E5671" s="271"/>
      <c r="F5671" s="271"/>
      <c r="G5671" s="273"/>
      <c r="H5671" s="29" t="str">
        <f>IF(A5671="","",VLOOKUP(A5671,AA_Cuadrillas,4,FALSE))</f>
        <v/>
      </c>
      <c r="I5671" s="394" t="str">
        <f>IF(A5671="","",VLOOKUP(A5671,AA_Cuadrillas,5,FALSE))</f>
        <v/>
      </c>
      <c r="J5671" s="273"/>
      <c r="K5671" s="9" t="str">
        <f>IF(A5671="","",F.P!$I$2)</f>
        <v/>
      </c>
      <c r="L5671" s="37"/>
      <c r="M5671" s="394" t="str">
        <f t="shared" si="774"/>
        <v/>
      </c>
      <c r="N5671" s="273"/>
    </row>
    <row r="5672" spans="1:14" ht="12.75" customHeight="1" x14ac:dyDescent="0.25">
      <c r="A5672" s="393"/>
      <c r="B5672" s="271"/>
      <c r="C5672" s="271"/>
      <c r="D5672" s="271"/>
      <c r="E5672" s="271"/>
      <c r="F5672" s="271"/>
      <c r="G5672" s="273"/>
      <c r="H5672" s="29" t="str">
        <f>IF(A5672="","",VLOOKUP(A5672,AA_Cuadrillas,4,FALSE))</f>
        <v/>
      </c>
      <c r="I5672" s="394" t="str">
        <f>IF(A5672="","",VLOOKUP(A5672,AA_Cuadrillas,5,FALSE))</f>
        <v/>
      </c>
      <c r="J5672" s="273"/>
      <c r="K5672" s="9" t="str">
        <f>IF(A5672="","",F.P!$I$2)</f>
        <v/>
      </c>
      <c r="L5672" s="37"/>
      <c r="M5672" s="394" t="str">
        <f t="shared" si="774"/>
        <v/>
      </c>
      <c r="N5672" s="273"/>
    </row>
    <row r="5673" spans="1:14" ht="12.75" customHeight="1" x14ac:dyDescent="0.25">
      <c r="A5673" s="393"/>
      <c r="B5673" s="271"/>
      <c r="C5673" s="271"/>
      <c r="D5673" s="271"/>
      <c r="E5673" s="271"/>
      <c r="F5673" s="271"/>
      <c r="G5673" s="273"/>
      <c r="H5673" s="29" t="str">
        <f>IF(A5673="","",VLOOKUP(A5673,AA_Cuadrillas,4,FALSE))</f>
        <v/>
      </c>
      <c r="I5673" s="394" t="str">
        <f>IF(A5673="","",VLOOKUP(A5673,AA_Cuadrillas,5,FALSE))</f>
        <v/>
      </c>
      <c r="J5673" s="273"/>
      <c r="K5673" s="9" t="str">
        <f>IF(A5673="","",F.P!$I$2)</f>
        <v/>
      </c>
      <c r="L5673" s="37"/>
      <c r="M5673" s="394" t="str">
        <f t="shared" si="774"/>
        <v/>
      </c>
      <c r="N5673" s="273"/>
    </row>
    <row r="5674" spans="1:14" ht="12.75" customHeight="1" x14ac:dyDescent="0.25">
      <c r="A5674" s="4"/>
      <c r="B5674" s="4"/>
      <c r="C5674" s="4"/>
      <c r="D5674" s="4"/>
      <c r="E5674" s="4"/>
      <c r="F5674" s="4"/>
      <c r="G5674" s="4"/>
      <c r="H5674" s="4"/>
      <c r="I5674" s="4"/>
      <c r="J5674" s="4"/>
      <c r="K5674" s="396" t="s">
        <v>444</v>
      </c>
      <c r="L5674" s="273"/>
      <c r="M5674" s="394">
        <f>SUM(M5669:N5673)</f>
        <v>9216.7376000000004</v>
      </c>
      <c r="N5674" s="273"/>
    </row>
    <row r="5675" spans="1:14" ht="12.75" customHeight="1" x14ac:dyDescent="0.2"/>
    <row r="5676" spans="1:14" ht="12.75" customHeight="1" x14ac:dyDescent="0.2">
      <c r="A5676" s="407" t="s">
        <v>1238</v>
      </c>
      <c r="B5676" s="275"/>
      <c r="C5676" s="275"/>
      <c r="D5676" s="275"/>
      <c r="E5676" s="275"/>
      <c r="F5676" s="275"/>
      <c r="G5676" s="275"/>
      <c r="H5676" s="275"/>
      <c r="I5676" s="275"/>
      <c r="J5676" s="275"/>
      <c r="K5676" s="275"/>
      <c r="L5676" s="275"/>
      <c r="M5676" s="275"/>
      <c r="N5676" s="276"/>
    </row>
    <row r="5677" spans="1:14" ht="12.75" customHeight="1" x14ac:dyDescent="0.2">
      <c r="A5677" s="277"/>
      <c r="B5677" s="278"/>
      <c r="C5677" s="278"/>
      <c r="D5677" s="278"/>
      <c r="E5677" s="278"/>
      <c r="F5677" s="278"/>
      <c r="G5677" s="278"/>
      <c r="H5677" s="278"/>
      <c r="I5677" s="278"/>
      <c r="J5677" s="278"/>
      <c r="K5677" s="278"/>
      <c r="L5677" s="278"/>
      <c r="M5677" s="278"/>
      <c r="N5677" s="279"/>
    </row>
    <row r="5678" spans="1:14" ht="12.75" customHeight="1" x14ac:dyDescent="0.2">
      <c r="A5678" s="75"/>
      <c r="B5678" s="75"/>
      <c r="C5678" s="75"/>
      <c r="D5678" s="75"/>
      <c r="E5678" s="75"/>
      <c r="F5678" s="75"/>
      <c r="G5678" s="75"/>
      <c r="H5678" s="75"/>
      <c r="I5678" s="75"/>
      <c r="J5678" s="75"/>
      <c r="K5678" s="75"/>
      <c r="L5678" s="75"/>
      <c r="M5678" s="75"/>
      <c r="N5678" s="75"/>
    </row>
    <row r="5679" spans="1:14" ht="12.75" customHeight="1" x14ac:dyDescent="0.3">
      <c r="A5679" s="79" t="s">
        <v>746</v>
      </c>
      <c r="B5679" s="80" t="str">
        <f>A5676</f>
        <v>SUMINISTRO E INSTALACION DE CODO Ø4" x 45° PVC</v>
      </c>
      <c r="C5679" s="81" t="s">
        <v>916</v>
      </c>
      <c r="D5679" s="82" t="s">
        <v>999</v>
      </c>
      <c r="E5679" s="83" t="s">
        <v>445</v>
      </c>
      <c r="F5679" s="86">
        <f>H5679+J5679+L5679+N5679</f>
        <v>119371.99399999999</v>
      </c>
      <c r="G5679" s="83" t="s">
        <v>607</v>
      </c>
      <c r="H5679" s="86">
        <f>M5691</f>
        <v>91743</v>
      </c>
      <c r="I5679" s="83" t="s">
        <v>918</v>
      </c>
      <c r="J5679" s="86">
        <f>M5700</f>
        <v>1097.2306666666666</v>
      </c>
      <c r="K5679" s="83" t="s">
        <v>609</v>
      </c>
      <c r="L5679" s="86">
        <f>M5709</f>
        <v>4587.1500000000005</v>
      </c>
      <c r="M5679" s="83" t="s">
        <v>610</v>
      </c>
      <c r="N5679" s="86">
        <f>M5718</f>
        <v>21944.613333333331</v>
      </c>
    </row>
    <row r="5680" spans="1:14" ht="12.75" customHeight="1" x14ac:dyDescent="0.25">
      <c r="A5680" s="87"/>
      <c r="B5680" s="87"/>
      <c r="C5680" s="87"/>
      <c r="D5680" s="87"/>
      <c r="E5680" s="87"/>
      <c r="F5680" s="87"/>
      <c r="G5680" s="87"/>
      <c r="J5680" s="87"/>
      <c r="K5680" s="215" t="s">
        <v>3217</v>
      </c>
      <c r="L5680" s="215">
        <f>+F5679*presup!$O$5</f>
        <v>155183.59219999998</v>
      </c>
      <c r="M5680" s="87"/>
      <c r="N5680" s="87"/>
    </row>
    <row r="5681" spans="1:14" ht="12.75" customHeight="1" x14ac:dyDescent="0.2">
      <c r="A5681" s="398" t="s">
        <v>919</v>
      </c>
      <c r="B5681" s="271"/>
      <c r="C5681" s="271"/>
      <c r="D5681" s="271"/>
      <c r="E5681" s="271"/>
      <c r="F5681" s="271"/>
      <c r="G5681" s="271"/>
      <c r="H5681" s="271"/>
      <c r="I5681" s="271"/>
      <c r="J5681" s="271"/>
      <c r="K5681" s="271"/>
      <c r="L5681" s="271"/>
      <c r="M5681" s="271"/>
      <c r="N5681" s="273"/>
    </row>
    <row r="5682" spans="1:14" ht="12.75" customHeight="1" x14ac:dyDescent="0.2">
      <c r="A5682" s="396" t="s">
        <v>76</v>
      </c>
      <c r="B5682" s="271"/>
      <c r="C5682" s="271"/>
      <c r="D5682" s="271"/>
      <c r="E5682" s="271"/>
      <c r="F5682" s="271"/>
      <c r="G5682" s="273"/>
      <c r="H5682" s="88" t="s">
        <v>77</v>
      </c>
      <c r="I5682" s="399" t="s">
        <v>920</v>
      </c>
      <c r="J5682" s="273"/>
      <c r="K5682" s="399" t="s">
        <v>453</v>
      </c>
      <c r="L5682" s="273"/>
      <c r="M5682" s="399" t="s">
        <v>921</v>
      </c>
      <c r="N5682" s="273"/>
    </row>
    <row r="5683" spans="1:14" ht="12.75" customHeight="1" x14ac:dyDescent="0.2">
      <c r="A5683" s="400" t="s">
        <v>1239</v>
      </c>
      <c r="B5683" s="271"/>
      <c r="C5683" s="271"/>
      <c r="D5683" s="271"/>
      <c r="E5683" s="271"/>
      <c r="F5683" s="271"/>
      <c r="G5683" s="273"/>
      <c r="H5683" s="29" t="str">
        <f t="shared" ref="H5683:H5688" si="775">IF(A5683="","",VLOOKUP(A5683,AA_Materiales,7,FALSE))</f>
        <v>Unidad</v>
      </c>
      <c r="I5683" s="394">
        <f t="shared" ref="I5683:I5690" si="776">IF(A5683="","",VLOOKUP(A5683,AA_Materiales,8,FALSE))</f>
        <v>87900</v>
      </c>
      <c r="J5683" s="273"/>
      <c r="K5683" s="395">
        <v>1</v>
      </c>
      <c r="L5683" s="273"/>
      <c r="M5683" s="394">
        <f t="shared" ref="M5683:M5690" si="777">IF(A5683="","",I5683*K5683)</f>
        <v>87900</v>
      </c>
      <c r="N5683" s="273"/>
    </row>
    <row r="5684" spans="1:14" ht="12.75" customHeight="1" x14ac:dyDescent="0.2">
      <c r="A5684" s="400" t="s">
        <v>984</v>
      </c>
      <c r="B5684" s="271"/>
      <c r="C5684" s="271"/>
      <c r="D5684" s="271"/>
      <c r="E5684" s="271"/>
      <c r="F5684" s="271"/>
      <c r="G5684" s="273"/>
      <c r="H5684" s="29" t="str">
        <f t="shared" si="775"/>
        <v>Galón</v>
      </c>
      <c r="I5684" s="394">
        <f t="shared" si="776"/>
        <v>80900</v>
      </c>
      <c r="J5684" s="273"/>
      <c r="K5684" s="395">
        <v>0.03</v>
      </c>
      <c r="L5684" s="273"/>
      <c r="M5684" s="394">
        <f t="shared" si="777"/>
        <v>2427</v>
      </c>
      <c r="N5684" s="273"/>
    </row>
    <row r="5685" spans="1:14" ht="12.75" customHeight="1" x14ac:dyDescent="0.2">
      <c r="A5685" s="400" t="s">
        <v>985</v>
      </c>
      <c r="B5685" s="271"/>
      <c r="C5685" s="271"/>
      <c r="D5685" s="271"/>
      <c r="E5685" s="271"/>
      <c r="F5685" s="271"/>
      <c r="G5685" s="273"/>
      <c r="H5685" s="29" t="str">
        <f t="shared" si="775"/>
        <v>Galón</v>
      </c>
      <c r="I5685" s="394">
        <f t="shared" si="776"/>
        <v>47200</v>
      </c>
      <c r="J5685" s="273"/>
      <c r="K5685" s="395">
        <v>0.03</v>
      </c>
      <c r="L5685" s="273"/>
      <c r="M5685" s="394">
        <f t="shared" si="777"/>
        <v>1416</v>
      </c>
      <c r="N5685" s="273"/>
    </row>
    <row r="5686" spans="1:14" ht="12.75" customHeight="1" x14ac:dyDescent="0.2">
      <c r="A5686" s="400"/>
      <c r="B5686" s="271"/>
      <c r="C5686" s="271"/>
      <c r="D5686" s="271"/>
      <c r="E5686" s="271"/>
      <c r="F5686" s="271"/>
      <c r="G5686" s="273"/>
      <c r="H5686" s="29" t="str">
        <f t="shared" si="775"/>
        <v/>
      </c>
      <c r="I5686" s="394" t="str">
        <f t="shared" si="776"/>
        <v/>
      </c>
      <c r="J5686" s="273"/>
      <c r="K5686" s="395"/>
      <c r="L5686" s="273"/>
      <c r="M5686" s="394" t="str">
        <f t="shared" si="777"/>
        <v/>
      </c>
      <c r="N5686" s="273"/>
    </row>
    <row r="5687" spans="1:14" ht="12.75" customHeight="1" x14ac:dyDescent="0.2">
      <c r="A5687" s="400"/>
      <c r="B5687" s="271"/>
      <c r="C5687" s="271"/>
      <c r="D5687" s="271"/>
      <c r="E5687" s="271"/>
      <c r="F5687" s="271"/>
      <c r="G5687" s="273"/>
      <c r="H5687" s="29" t="str">
        <f t="shared" si="775"/>
        <v/>
      </c>
      <c r="I5687" s="394" t="str">
        <f t="shared" si="776"/>
        <v/>
      </c>
      <c r="J5687" s="273"/>
      <c r="K5687" s="395"/>
      <c r="L5687" s="273"/>
      <c r="M5687" s="394" t="str">
        <f t="shared" si="777"/>
        <v/>
      </c>
      <c r="N5687" s="273"/>
    </row>
    <row r="5688" spans="1:14" ht="12.75" customHeight="1" x14ac:dyDescent="0.2">
      <c r="A5688" s="400"/>
      <c r="B5688" s="271"/>
      <c r="C5688" s="271"/>
      <c r="D5688" s="271"/>
      <c r="E5688" s="271"/>
      <c r="F5688" s="271"/>
      <c r="G5688" s="273"/>
      <c r="H5688" s="29" t="str">
        <f t="shared" si="775"/>
        <v/>
      </c>
      <c r="I5688" s="394" t="str">
        <f t="shared" si="776"/>
        <v/>
      </c>
      <c r="J5688" s="273"/>
      <c r="K5688" s="395"/>
      <c r="L5688" s="273"/>
      <c r="M5688" s="394" t="str">
        <f t="shared" si="777"/>
        <v/>
      </c>
      <c r="N5688" s="273"/>
    </row>
    <row r="5689" spans="1:14" ht="12.75" customHeight="1" x14ac:dyDescent="0.2">
      <c r="A5689" s="400"/>
      <c r="B5689" s="271"/>
      <c r="C5689" s="271"/>
      <c r="D5689" s="271"/>
      <c r="E5689" s="271"/>
      <c r="F5689" s="271"/>
      <c r="G5689" s="273"/>
      <c r="H5689" s="29"/>
      <c r="I5689" s="394" t="str">
        <f t="shared" si="776"/>
        <v/>
      </c>
      <c r="J5689" s="273"/>
      <c r="K5689" s="395"/>
      <c r="L5689" s="273"/>
      <c r="M5689" s="394" t="str">
        <f t="shared" si="777"/>
        <v/>
      </c>
      <c r="N5689" s="273"/>
    </row>
    <row r="5690" spans="1:14" ht="12.75" customHeight="1" x14ac:dyDescent="0.2">
      <c r="A5690" s="400"/>
      <c r="B5690" s="271"/>
      <c r="C5690" s="271"/>
      <c r="D5690" s="271"/>
      <c r="E5690" s="271"/>
      <c r="F5690" s="271"/>
      <c r="G5690" s="273"/>
      <c r="H5690" s="29" t="str">
        <f>IF(A5690="","",VLOOKUP(A5690,AA_Materiales,7,FALSE))</f>
        <v/>
      </c>
      <c r="I5690" s="394" t="str">
        <f t="shared" si="776"/>
        <v/>
      </c>
      <c r="J5690" s="273"/>
      <c r="K5690" s="395"/>
      <c r="L5690" s="273"/>
      <c r="M5690" s="394" t="str">
        <f t="shared" si="777"/>
        <v/>
      </c>
      <c r="N5690" s="273"/>
    </row>
    <row r="5691" spans="1:14" ht="12.75" customHeight="1" x14ac:dyDescent="0.25">
      <c r="A5691" s="4"/>
      <c r="B5691" s="4"/>
      <c r="C5691" s="4"/>
      <c r="D5691" s="4"/>
      <c r="E5691" s="4"/>
      <c r="F5691" s="4"/>
      <c r="G5691" s="4"/>
      <c r="H5691" s="4"/>
      <c r="I5691" s="4"/>
      <c r="J5691" s="4"/>
      <c r="K5691" s="396" t="s">
        <v>444</v>
      </c>
      <c r="L5691" s="273"/>
      <c r="M5691" s="394">
        <f>SUM(M5683:N5690)</f>
        <v>91743</v>
      </c>
      <c r="N5691" s="273"/>
    </row>
    <row r="5692" spans="1:14" ht="12.75" customHeight="1" x14ac:dyDescent="0.25">
      <c r="A5692" s="4"/>
      <c r="B5692" s="4"/>
      <c r="C5692" s="4"/>
      <c r="D5692" s="4"/>
      <c r="E5692" s="4"/>
      <c r="F5692" s="4"/>
      <c r="G5692" s="4"/>
      <c r="H5692" s="4"/>
      <c r="I5692" s="4"/>
      <c r="J5692" s="4"/>
      <c r="K5692" s="4"/>
      <c r="L5692" s="4"/>
      <c r="M5692" s="4"/>
      <c r="N5692" s="4"/>
    </row>
    <row r="5693" spans="1:14" ht="12.75" customHeight="1" x14ac:dyDescent="0.2">
      <c r="A5693" s="398" t="s">
        <v>926</v>
      </c>
      <c r="B5693" s="271"/>
      <c r="C5693" s="271"/>
      <c r="D5693" s="271"/>
      <c r="E5693" s="271"/>
      <c r="F5693" s="271"/>
      <c r="G5693" s="271"/>
      <c r="H5693" s="271"/>
      <c r="I5693" s="271"/>
      <c r="J5693" s="271"/>
      <c r="K5693" s="271"/>
      <c r="L5693" s="271"/>
      <c r="M5693" s="271"/>
      <c r="N5693" s="273"/>
    </row>
    <row r="5694" spans="1:14" ht="12.75" customHeight="1" x14ac:dyDescent="0.2">
      <c r="A5694" s="396" t="s">
        <v>76</v>
      </c>
      <c r="B5694" s="271"/>
      <c r="C5694" s="271"/>
      <c r="D5694" s="271"/>
      <c r="E5694" s="271"/>
      <c r="F5694" s="271"/>
      <c r="G5694" s="273"/>
      <c r="H5694" s="88" t="s">
        <v>77</v>
      </c>
      <c r="I5694" s="399" t="s">
        <v>920</v>
      </c>
      <c r="J5694" s="273"/>
      <c r="K5694" s="399" t="s">
        <v>453</v>
      </c>
      <c r="L5694" s="273"/>
      <c r="M5694" s="399" t="s">
        <v>921</v>
      </c>
      <c r="N5694" s="273"/>
    </row>
    <row r="5695" spans="1:14" ht="12.75" customHeight="1" x14ac:dyDescent="0.2">
      <c r="A5695" s="400" t="s">
        <v>927</v>
      </c>
      <c r="B5695" s="271"/>
      <c r="C5695" s="271"/>
      <c r="D5695" s="271"/>
      <c r="E5695" s="271"/>
      <c r="F5695" s="271"/>
      <c r="G5695" s="273"/>
      <c r="H5695" s="29" t="str">
        <f>IF(A5695="","",VLOOKUP(A5695,AA_Equipos,7,FALSE))</f>
        <v>% M.O.</v>
      </c>
      <c r="I5695" s="394">
        <f>+M5718</f>
        <v>21944.613333333331</v>
      </c>
      <c r="J5695" s="273"/>
      <c r="K5695" s="404">
        <v>0.05</v>
      </c>
      <c r="L5695" s="273"/>
      <c r="M5695" s="394">
        <f t="shared" ref="M5695:M5699" si="778">IF(A5695="","",I5695*K5695)</f>
        <v>1097.2306666666666</v>
      </c>
      <c r="N5695" s="273"/>
    </row>
    <row r="5696" spans="1:14" ht="12.75" customHeight="1" x14ac:dyDescent="0.2">
      <c r="A5696" s="403"/>
      <c r="B5696" s="271"/>
      <c r="C5696" s="271"/>
      <c r="D5696" s="271"/>
      <c r="E5696" s="271"/>
      <c r="F5696" s="271"/>
      <c r="G5696" s="273"/>
      <c r="H5696" s="29" t="str">
        <f>IF(A5696="","",VLOOKUP(A5696,AA_Equipos,7,FALSE))</f>
        <v/>
      </c>
      <c r="I5696" s="394" t="str">
        <f>IF(A5696="","",VLOOKUP(A5696,AA_Equipos,8,FALSE))</f>
        <v/>
      </c>
      <c r="J5696" s="273"/>
      <c r="K5696" s="402"/>
      <c r="L5696" s="273"/>
      <c r="M5696" s="394" t="str">
        <f t="shared" si="778"/>
        <v/>
      </c>
      <c r="N5696" s="273"/>
    </row>
    <row r="5697" spans="1:14" ht="12.75" customHeight="1" x14ac:dyDescent="0.2">
      <c r="A5697" s="400"/>
      <c r="B5697" s="271"/>
      <c r="C5697" s="271"/>
      <c r="D5697" s="271"/>
      <c r="E5697" s="271"/>
      <c r="F5697" s="271"/>
      <c r="G5697" s="273"/>
      <c r="H5697" s="29" t="str">
        <f>IF(A5697="","",VLOOKUP(A5697,AA_Equipos,7,FALSE))</f>
        <v/>
      </c>
      <c r="I5697" s="394" t="str">
        <f>IF(A5697="","",VLOOKUP(A5697,AA_Equipos,8,FALSE))</f>
        <v/>
      </c>
      <c r="J5697" s="273"/>
      <c r="K5697" s="402"/>
      <c r="L5697" s="273"/>
      <c r="M5697" s="394" t="str">
        <f t="shared" si="778"/>
        <v/>
      </c>
      <c r="N5697" s="273"/>
    </row>
    <row r="5698" spans="1:14" ht="12.75" customHeight="1" x14ac:dyDescent="0.2">
      <c r="A5698" s="400"/>
      <c r="B5698" s="271"/>
      <c r="C5698" s="271"/>
      <c r="D5698" s="271"/>
      <c r="E5698" s="271"/>
      <c r="F5698" s="271"/>
      <c r="G5698" s="273"/>
      <c r="H5698" s="29" t="str">
        <f>IF(A5698="","",VLOOKUP(A5698,AA_Equipos,7,FALSE))</f>
        <v/>
      </c>
      <c r="I5698" s="394" t="str">
        <f>IF(A5698="","",VLOOKUP(A5698,AA_Equipos,8,FALSE))</f>
        <v/>
      </c>
      <c r="J5698" s="273"/>
      <c r="K5698" s="402"/>
      <c r="L5698" s="273"/>
      <c r="M5698" s="394" t="str">
        <f t="shared" si="778"/>
        <v/>
      </c>
      <c r="N5698" s="273"/>
    </row>
    <row r="5699" spans="1:14" ht="12.75" customHeight="1" x14ac:dyDescent="0.2">
      <c r="A5699" s="400"/>
      <c r="B5699" s="271"/>
      <c r="C5699" s="271"/>
      <c r="D5699" s="271"/>
      <c r="E5699" s="271"/>
      <c r="F5699" s="271"/>
      <c r="G5699" s="273"/>
      <c r="H5699" s="29" t="str">
        <f>IF(A5699="","",VLOOKUP(A5699,AA_Equipos,7,FALSE))</f>
        <v/>
      </c>
      <c r="I5699" s="394" t="str">
        <f>IF(A5699="","",VLOOKUP(A5699,AA_Equipos,8,FALSE))</f>
        <v/>
      </c>
      <c r="J5699" s="273"/>
      <c r="K5699" s="395"/>
      <c r="L5699" s="273"/>
      <c r="M5699" s="394" t="str">
        <f t="shared" si="778"/>
        <v/>
      </c>
      <c r="N5699" s="273"/>
    </row>
    <row r="5700" spans="1:14" ht="12.75" customHeight="1" x14ac:dyDescent="0.25">
      <c r="A5700" s="4"/>
      <c r="B5700" s="4"/>
      <c r="C5700" s="4"/>
      <c r="D5700" s="4"/>
      <c r="E5700" s="4"/>
      <c r="F5700" s="4"/>
      <c r="G5700" s="4"/>
      <c r="H5700" s="4"/>
      <c r="I5700" s="4"/>
      <c r="J5700" s="4"/>
      <c r="K5700" s="396" t="s">
        <v>444</v>
      </c>
      <c r="L5700" s="273"/>
      <c r="M5700" s="394">
        <f>SUM(M5695:N5699)</f>
        <v>1097.2306666666666</v>
      </c>
      <c r="N5700" s="273"/>
    </row>
    <row r="5701" spans="1:14" ht="12.75" customHeight="1" x14ac:dyDescent="0.25">
      <c r="A5701" s="4"/>
      <c r="B5701" s="4"/>
      <c r="C5701" s="4"/>
      <c r="D5701" s="4"/>
      <c r="E5701" s="4"/>
      <c r="F5701" s="4"/>
      <c r="G5701" s="4"/>
      <c r="H5701" s="4"/>
      <c r="I5701" s="4"/>
      <c r="J5701" s="4"/>
      <c r="K5701" s="4"/>
      <c r="L5701" s="4"/>
      <c r="M5701" s="4"/>
      <c r="N5701" s="4"/>
    </row>
    <row r="5702" spans="1:14" ht="12.75" customHeight="1" x14ac:dyDescent="0.2">
      <c r="A5702" s="398" t="s">
        <v>929</v>
      </c>
      <c r="B5702" s="271"/>
      <c r="C5702" s="271"/>
      <c r="D5702" s="271"/>
      <c r="E5702" s="271"/>
      <c r="F5702" s="271"/>
      <c r="G5702" s="271"/>
      <c r="H5702" s="271"/>
      <c r="I5702" s="271"/>
      <c r="J5702" s="271"/>
      <c r="K5702" s="271"/>
      <c r="L5702" s="271"/>
      <c r="M5702" s="271"/>
      <c r="N5702" s="273"/>
    </row>
    <row r="5703" spans="1:14" ht="12.75" customHeight="1" x14ac:dyDescent="0.2">
      <c r="A5703" s="396" t="s">
        <v>76</v>
      </c>
      <c r="B5703" s="271"/>
      <c r="C5703" s="271"/>
      <c r="D5703" s="271"/>
      <c r="E5703" s="271"/>
      <c r="F5703" s="271"/>
      <c r="G5703" s="273"/>
      <c r="H5703" s="88" t="s">
        <v>77</v>
      </c>
      <c r="I5703" s="399" t="s">
        <v>920</v>
      </c>
      <c r="J5703" s="273"/>
      <c r="K5703" s="399" t="s">
        <v>453</v>
      </c>
      <c r="L5703" s="273"/>
      <c r="M5703" s="399" t="s">
        <v>921</v>
      </c>
      <c r="N5703" s="273"/>
    </row>
    <row r="5704" spans="1:14" ht="12.75" customHeight="1" x14ac:dyDescent="0.2">
      <c r="A5704" s="400" t="s">
        <v>960</v>
      </c>
      <c r="B5704" s="271"/>
      <c r="C5704" s="271"/>
      <c r="D5704" s="271"/>
      <c r="E5704" s="271"/>
      <c r="F5704" s="271"/>
      <c r="G5704" s="273"/>
      <c r="H5704" s="29" t="s">
        <v>950</v>
      </c>
      <c r="I5704" s="394">
        <f>+M5691</f>
        <v>91743</v>
      </c>
      <c r="J5704" s="273"/>
      <c r="K5704" s="404">
        <v>0.05</v>
      </c>
      <c r="L5704" s="273"/>
      <c r="M5704" s="394">
        <f t="shared" ref="M5704:M5708" si="779">IF(A5704="","",I5704*K5704)</f>
        <v>4587.1500000000005</v>
      </c>
      <c r="N5704" s="273"/>
    </row>
    <row r="5705" spans="1:14" ht="12.75" customHeight="1" x14ac:dyDescent="0.2">
      <c r="A5705" s="403"/>
      <c r="B5705" s="271"/>
      <c r="C5705" s="271"/>
      <c r="D5705" s="271"/>
      <c r="E5705" s="271"/>
      <c r="F5705" s="271"/>
      <c r="G5705" s="273"/>
      <c r="H5705" s="29"/>
      <c r="I5705" s="394"/>
      <c r="J5705" s="273"/>
      <c r="K5705" s="404"/>
      <c r="L5705" s="273"/>
      <c r="M5705" s="394" t="str">
        <f t="shared" si="779"/>
        <v/>
      </c>
      <c r="N5705" s="273"/>
    </row>
    <row r="5706" spans="1:14" ht="12.75" customHeight="1" x14ac:dyDescent="0.2">
      <c r="A5706" s="400"/>
      <c r="B5706" s="271"/>
      <c r="C5706" s="271"/>
      <c r="D5706" s="271"/>
      <c r="E5706" s="271"/>
      <c r="F5706" s="271"/>
      <c r="G5706" s="273"/>
      <c r="H5706" s="29"/>
      <c r="I5706" s="394"/>
      <c r="J5706" s="273"/>
      <c r="K5706" s="395"/>
      <c r="L5706" s="273"/>
      <c r="M5706" s="394" t="str">
        <f t="shared" si="779"/>
        <v/>
      </c>
      <c r="N5706" s="273"/>
    </row>
    <row r="5707" spans="1:14" ht="12.75" customHeight="1" x14ac:dyDescent="0.2">
      <c r="A5707" s="400"/>
      <c r="B5707" s="271"/>
      <c r="C5707" s="271"/>
      <c r="D5707" s="271"/>
      <c r="E5707" s="271"/>
      <c r="F5707" s="271"/>
      <c r="G5707" s="273"/>
      <c r="H5707" s="29"/>
      <c r="I5707" s="394"/>
      <c r="J5707" s="273"/>
      <c r="K5707" s="395"/>
      <c r="L5707" s="273"/>
      <c r="M5707" s="394" t="str">
        <f t="shared" si="779"/>
        <v/>
      </c>
      <c r="N5707" s="273"/>
    </row>
    <row r="5708" spans="1:14" ht="12.75" customHeight="1" x14ac:dyDescent="0.2">
      <c r="A5708" s="400"/>
      <c r="B5708" s="271"/>
      <c r="C5708" s="271"/>
      <c r="D5708" s="271"/>
      <c r="E5708" s="271"/>
      <c r="F5708" s="271"/>
      <c r="G5708" s="273"/>
      <c r="H5708" s="29"/>
      <c r="I5708" s="394"/>
      <c r="J5708" s="273"/>
      <c r="K5708" s="395"/>
      <c r="L5708" s="273"/>
      <c r="M5708" s="394" t="str">
        <f t="shared" si="779"/>
        <v/>
      </c>
      <c r="N5708" s="273"/>
    </row>
    <row r="5709" spans="1:14" ht="12.75" customHeight="1" x14ac:dyDescent="0.25">
      <c r="A5709" s="4"/>
      <c r="B5709" s="4"/>
      <c r="C5709" s="4"/>
      <c r="D5709" s="4"/>
      <c r="E5709" s="4"/>
      <c r="F5709" s="4"/>
      <c r="G5709" s="4"/>
      <c r="H5709" s="4"/>
      <c r="I5709" s="4"/>
      <c r="J5709" s="4"/>
      <c r="K5709" s="396" t="s">
        <v>444</v>
      </c>
      <c r="L5709" s="273"/>
      <c r="M5709" s="394">
        <f>SUM(M5704:N5708)</f>
        <v>4587.1500000000005</v>
      </c>
      <c r="N5709" s="273"/>
    </row>
    <row r="5710" spans="1:14" ht="12.75" customHeight="1" x14ac:dyDescent="0.25">
      <c r="A5710" s="4"/>
      <c r="B5710" s="4"/>
      <c r="C5710" s="4"/>
      <c r="D5710" s="4"/>
      <c r="E5710" s="4"/>
      <c r="F5710" s="4"/>
      <c r="G5710" s="4"/>
      <c r="H5710" s="4"/>
      <c r="I5710" s="4"/>
      <c r="J5710" s="4"/>
      <c r="K5710" s="4"/>
      <c r="L5710" s="4"/>
      <c r="M5710" s="4"/>
      <c r="N5710" s="4"/>
    </row>
    <row r="5711" spans="1:14" ht="12.75" customHeight="1" x14ac:dyDescent="0.2">
      <c r="A5711" s="398" t="s">
        <v>931</v>
      </c>
      <c r="B5711" s="271"/>
      <c r="C5711" s="271"/>
      <c r="D5711" s="271"/>
      <c r="E5711" s="271"/>
      <c r="F5711" s="271"/>
      <c r="G5711" s="271"/>
      <c r="H5711" s="271"/>
      <c r="I5711" s="271"/>
      <c r="J5711" s="271"/>
      <c r="K5711" s="271"/>
      <c r="L5711" s="271"/>
      <c r="M5711" s="271"/>
      <c r="N5711" s="273"/>
    </row>
    <row r="5712" spans="1:14" ht="12.75" customHeight="1" x14ac:dyDescent="0.2">
      <c r="A5712" s="396" t="s">
        <v>76</v>
      </c>
      <c r="B5712" s="271"/>
      <c r="C5712" s="271"/>
      <c r="D5712" s="271"/>
      <c r="E5712" s="271"/>
      <c r="F5712" s="271"/>
      <c r="G5712" s="273"/>
      <c r="H5712" s="88" t="s">
        <v>77</v>
      </c>
      <c r="I5712" s="399" t="s">
        <v>920</v>
      </c>
      <c r="J5712" s="273"/>
      <c r="K5712" s="90" t="s">
        <v>514</v>
      </c>
      <c r="L5712" s="91" t="s">
        <v>932</v>
      </c>
      <c r="M5712" s="399" t="s">
        <v>921</v>
      </c>
      <c r="N5712" s="273"/>
    </row>
    <row r="5713" spans="1:14" ht="12.75" customHeight="1" x14ac:dyDescent="0.25">
      <c r="A5713" s="393" t="s">
        <v>936</v>
      </c>
      <c r="B5713" s="271"/>
      <c r="C5713" s="271"/>
      <c r="D5713" s="271"/>
      <c r="E5713" s="271"/>
      <c r="F5713" s="271"/>
      <c r="G5713" s="273"/>
      <c r="H5713" s="29" t="str">
        <f>IF(A5713="","",VLOOKUP(A5713,AA_Cuadrillas,4,FALSE))</f>
        <v>Cuadrilla</v>
      </c>
      <c r="I5713" s="394">
        <f>IF(A5713="","",VLOOKUP(A5713,AA_Cuadrillas,5,FALSE))</f>
        <v>70036</v>
      </c>
      <c r="J5713" s="273"/>
      <c r="K5713" s="9">
        <f>IF(A5713="","",F.P!$I$2)</f>
        <v>1.88</v>
      </c>
      <c r="L5713" s="93">
        <v>0.16666666666666666</v>
      </c>
      <c r="M5713" s="394">
        <f t="shared" ref="M5713:M5717" si="780">IF(A5713="","",I5713*K5713*L5713)</f>
        <v>21944.613333333331</v>
      </c>
      <c r="N5713" s="273"/>
    </row>
    <row r="5714" spans="1:14" ht="12.75" customHeight="1" x14ac:dyDescent="0.25">
      <c r="A5714" s="393"/>
      <c r="B5714" s="271"/>
      <c r="C5714" s="271"/>
      <c r="D5714" s="271"/>
      <c r="E5714" s="271"/>
      <c r="F5714" s="271"/>
      <c r="G5714" s="273"/>
      <c r="H5714" s="29" t="str">
        <f>IF(A5714="","",VLOOKUP(A5714,AA_Cuadrillas,4,FALSE))</f>
        <v/>
      </c>
      <c r="I5714" s="394" t="str">
        <f>IF(A5714="","",VLOOKUP(A5714,AA_Cuadrillas,5,FALSE))</f>
        <v/>
      </c>
      <c r="J5714" s="273"/>
      <c r="K5714" s="9" t="str">
        <f>IF(A5714="","",F.P!$I$2)</f>
        <v/>
      </c>
      <c r="L5714" s="9"/>
      <c r="M5714" s="394" t="str">
        <f t="shared" si="780"/>
        <v/>
      </c>
      <c r="N5714" s="273"/>
    </row>
    <row r="5715" spans="1:14" ht="12.75" customHeight="1" x14ac:dyDescent="0.25">
      <c r="A5715" s="393"/>
      <c r="B5715" s="271"/>
      <c r="C5715" s="271"/>
      <c r="D5715" s="271"/>
      <c r="E5715" s="271"/>
      <c r="F5715" s="271"/>
      <c r="G5715" s="273"/>
      <c r="H5715" s="29" t="str">
        <f>IF(A5715="","",VLOOKUP(A5715,AA_Cuadrillas,4,FALSE))</f>
        <v/>
      </c>
      <c r="I5715" s="394" t="str">
        <f>IF(A5715="","",VLOOKUP(A5715,AA_Cuadrillas,5,FALSE))</f>
        <v/>
      </c>
      <c r="J5715" s="273"/>
      <c r="K5715" s="9" t="str">
        <f>IF(A5715="","",F.P!$I$2)</f>
        <v/>
      </c>
      <c r="L5715" s="37"/>
      <c r="M5715" s="394" t="str">
        <f t="shared" si="780"/>
        <v/>
      </c>
      <c r="N5715" s="273"/>
    </row>
    <row r="5716" spans="1:14" ht="12.75" customHeight="1" x14ac:dyDescent="0.25">
      <c r="A5716" s="393"/>
      <c r="B5716" s="271"/>
      <c r="C5716" s="271"/>
      <c r="D5716" s="271"/>
      <c r="E5716" s="271"/>
      <c r="F5716" s="271"/>
      <c r="G5716" s="273"/>
      <c r="H5716" s="29" t="str">
        <f>IF(A5716="","",VLOOKUP(A5716,AA_Cuadrillas,4,FALSE))</f>
        <v/>
      </c>
      <c r="I5716" s="394" t="str">
        <f>IF(A5716="","",VLOOKUP(A5716,AA_Cuadrillas,5,FALSE))</f>
        <v/>
      </c>
      <c r="J5716" s="273"/>
      <c r="K5716" s="9" t="str">
        <f>IF(A5716="","",F.P!$I$2)</f>
        <v/>
      </c>
      <c r="L5716" s="37"/>
      <c r="M5716" s="394" t="str">
        <f t="shared" si="780"/>
        <v/>
      </c>
      <c r="N5716" s="273"/>
    </row>
    <row r="5717" spans="1:14" ht="12.75" customHeight="1" x14ac:dyDescent="0.25">
      <c r="A5717" s="393"/>
      <c r="B5717" s="271"/>
      <c r="C5717" s="271"/>
      <c r="D5717" s="271"/>
      <c r="E5717" s="271"/>
      <c r="F5717" s="271"/>
      <c r="G5717" s="273"/>
      <c r="H5717" s="29" t="str">
        <f>IF(A5717="","",VLOOKUP(A5717,AA_Cuadrillas,4,FALSE))</f>
        <v/>
      </c>
      <c r="I5717" s="394" t="str">
        <f>IF(A5717="","",VLOOKUP(A5717,AA_Cuadrillas,5,FALSE))</f>
        <v/>
      </c>
      <c r="J5717" s="273"/>
      <c r="K5717" s="9" t="str">
        <f>IF(A5717="","",F.P!$I$2)</f>
        <v/>
      </c>
      <c r="L5717" s="37"/>
      <c r="M5717" s="394" t="str">
        <f t="shared" si="780"/>
        <v/>
      </c>
      <c r="N5717" s="273"/>
    </row>
    <row r="5718" spans="1:14" ht="12.75" customHeight="1" x14ac:dyDescent="0.25">
      <c r="A5718" s="4"/>
      <c r="B5718" s="4"/>
      <c r="C5718" s="4"/>
      <c r="D5718" s="4"/>
      <c r="E5718" s="4"/>
      <c r="F5718" s="4"/>
      <c r="G5718" s="4"/>
      <c r="H5718" s="4"/>
      <c r="I5718" s="4"/>
      <c r="J5718" s="4"/>
      <c r="K5718" s="396" t="s">
        <v>444</v>
      </c>
      <c r="L5718" s="273"/>
      <c r="M5718" s="394">
        <f>SUM(M5713:N5717)</f>
        <v>21944.613333333331</v>
      </c>
      <c r="N5718" s="273"/>
    </row>
    <row r="5719" spans="1:14" ht="12.75" customHeight="1" x14ac:dyDescent="0.2"/>
    <row r="5720" spans="1:14" ht="12.75" customHeight="1" x14ac:dyDescent="0.2">
      <c r="A5720" s="407" t="s">
        <v>1240</v>
      </c>
      <c r="B5720" s="275"/>
      <c r="C5720" s="275"/>
      <c r="D5720" s="275"/>
      <c r="E5720" s="275"/>
      <c r="F5720" s="275"/>
      <c r="G5720" s="275"/>
      <c r="H5720" s="275"/>
      <c r="I5720" s="275"/>
      <c r="J5720" s="275"/>
      <c r="K5720" s="275"/>
      <c r="L5720" s="275"/>
      <c r="M5720" s="275"/>
      <c r="N5720" s="276"/>
    </row>
    <row r="5721" spans="1:14" ht="12.75" customHeight="1" x14ac:dyDescent="0.2">
      <c r="A5721" s="277"/>
      <c r="B5721" s="278"/>
      <c r="C5721" s="278"/>
      <c r="D5721" s="278"/>
      <c r="E5721" s="278"/>
      <c r="F5721" s="278"/>
      <c r="G5721" s="278"/>
      <c r="H5721" s="278"/>
      <c r="I5721" s="278"/>
      <c r="J5721" s="278"/>
      <c r="K5721" s="278"/>
      <c r="L5721" s="278"/>
      <c r="M5721" s="278"/>
      <c r="N5721" s="279"/>
    </row>
    <row r="5722" spans="1:14" s="217" customFormat="1" ht="12.75" customHeight="1" x14ac:dyDescent="0.2">
      <c r="A5722" s="216"/>
      <c r="B5722" s="216"/>
      <c r="C5722" s="216"/>
      <c r="D5722" s="216"/>
      <c r="E5722" s="216"/>
      <c r="F5722" s="216"/>
      <c r="G5722" s="216"/>
      <c r="H5722" s="216"/>
      <c r="I5722" s="216"/>
      <c r="J5722" s="216"/>
      <c r="K5722" s="216"/>
      <c r="L5722" s="216"/>
      <c r="M5722" s="216"/>
      <c r="N5722" s="216"/>
    </row>
    <row r="5723" spans="1:14" ht="12.75" customHeight="1" x14ac:dyDescent="0.3">
      <c r="A5723" s="79" t="s">
        <v>747</v>
      </c>
      <c r="B5723" s="80" t="str">
        <f>A5720</f>
        <v>SUMINISTRO E INSTALACIÓN DE LECHO FILTRANTE PARA TRATAMIENTO DE AGUA POTABLE (INCLUYE CAPA DE ARENA, ANTRÁCITA Y GRAVA DE SOPORTE)</v>
      </c>
      <c r="C5723" s="81" t="s">
        <v>916</v>
      </c>
      <c r="D5723" s="82" t="s">
        <v>999</v>
      </c>
      <c r="E5723" s="83" t="s">
        <v>445</v>
      </c>
      <c r="F5723" s="86">
        <f>H5723+J5723+L5723+N5723</f>
        <v>3989681.5196699998</v>
      </c>
      <c r="G5723" s="83" t="s">
        <v>607</v>
      </c>
      <c r="H5723" s="86">
        <f>M5735</f>
        <v>3448582.2453999999</v>
      </c>
      <c r="I5723" s="83" t="s">
        <v>918</v>
      </c>
      <c r="J5723" s="86">
        <f>M5744</f>
        <v>17555.722000000002</v>
      </c>
      <c r="K5723" s="83" t="s">
        <v>609</v>
      </c>
      <c r="L5723" s="86">
        <f>M5753</f>
        <v>172429.11227000001</v>
      </c>
      <c r="M5723" s="83" t="s">
        <v>610</v>
      </c>
      <c r="N5723" s="86">
        <f>M5762</f>
        <v>351114.44</v>
      </c>
    </row>
    <row r="5724" spans="1:14" ht="12.75" customHeight="1" x14ac:dyDescent="0.25">
      <c r="A5724" s="87"/>
      <c r="B5724" s="87"/>
      <c r="C5724" s="87"/>
      <c r="D5724" s="87"/>
      <c r="E5724" s="87"/>
      <c r="F5724" s="87"/>
      <c r="G5724" s="87"/>
      <c r="J5724" s="87"/>
      <c r="K5724" s="215" t="s">
        <v>3217</v>
      </c>
      <c r="L5724" s="215">
        <f>+F5723*presup!$O$5</f>
        <v>5186585.975571</v>
      </c>
      <c r="M5724" s="87"/>
      <c r="N5724" s="87"/>
    </row>
    <row r="5725" spans="1:14" ht="12.75" customHeight="1" x14ac:dyDescent="0.2">
      <c r="A5725" s="398" t="s">
        <v>919</v>
      </c>
      <c r="B5725" s="271"/>
      <c r="C5725" s="271"/>
      <c r="D5725" s="271"/>
      <c r="E5725" s="271"/>
      <c r="F5725" s="271"/>
      <c r="G5725" s="271"/>
      <c r="H5725" s="271"/>
      <c r="I5725" s="271"/>
      <c r="J5725" s="271"/>
      <c r="K5725" s="271"/>
      <c r="L5725" s="271"/>
      <c r="M5725" s="271"/>
      <c r="N5725" s="273"/>
    </row>
    <row r="5726" spans="1:14" ht="12.75" customHeight="1" x14ac:dyDescent="0.2">
      <c r="A5726" s="396" t="s">
        <v>76</v>
      </c>
      <c r="B5726" s="271"/>
      <c r="C5726" s="271"/>
      <c r="D5726" s="271"/>
      <c r="E5726" s="271"/>
      <c r="F5726" s="271"/>
      <c r="G5726" s="273"/>
      <c r="H5726" s="88" t="s">
        <v>77</v>
      </c>
      <c r="I5726" s="399" t="s">
        <v>920</v>
      </c>
      <c r="J5726" s="273"/>
      <c r="K5726" s="399" t="s">
        <v>453</v>
      </c>
      <c r="L5726" s="273"/>
      <c r="M5726" s="399" t="s">
        <v>921</v>
      </c>
      <c r="N5726" s="273"/>
    </row>
    <row r="5727" spans="1:14" ht="12.75" customHeight="1" x14ac:dyDescent="0.2">
      <c r="A5727" s="400" t="str">
        <f>'precios '!C15</f>
        <v>Triturado pasante de 3/4" retenido en 3/8"</v>
      </c>
      <c r="B5727" s="271"/>
      <c r="C5727" s="271"/>
      <c r="D5727" s="271"/>
      <c r="E5727" s="271"/>
      <c r="F5727" s="271"/>
      <c r="G5727" s="273"/>
      <c r="H5727" s="29" t="str">
        <f t="shared" ref="H5727:H5732" si="781">IF(A5727="","",VLOOKUP(A5727,AA_Materiales,7,FALSE))</f>
        <v>m3</v>
      </c>
      <c r="I5727" s="394">
        <f t="shared" ref="I5727:I5734" si="782">IF(A5727="","",VLOOKUP(A5727,AA_Materiales,8,FALSE))</f>
        <v>90000</v>
      </c>
      <c r="J5727" s="273"/>
      <c r="K5727" s="395">
        <v>2</v>
      </c>
      <c r="L5727" s="273"/>
      <c r="M5727" s="394">
        <f t="shared" ref="M5727:M5734" si="783">IF(A5727="","",I5727*K5727)</f>
        <v>180000</v>
      </c>
      <c r="N5727" s="273"/>
    </row>
    <row r="5728" spans="1:14" ht="12.75" customHeight="1" x14ac:dyDescent="0.2">
      <c r="A5728" s="400" t="s">
        <v>1242</v>
      </c>
      <c r="B5728" s="271"/>
      <c r="C5728" s="271"/>
      <c r="D5728" s="271"/>
      <c r="E5728" s="271"/>
      <c r="F5728" s="271"/>
      <c r="G5728" s="273"/>
      <c r="H5728" s="29" t="str">
        <f t="shared" si="781"/>
        <v>m3</v>
      </c>
      <c r="I5728" s="394">
        <f t="shared" si="782"/>
        <v>833789.63</v>
      </c>
      <c r="J5728" s="273"/>
      <c r="K5728" s="395">
        <v>2.58</v>
      </c>
      <c r="L5728" s="273"/>
      <c r="M5728" s="394">
        <f t="shared" si="783"/>
        <v>2151177.2453999999</v>
      </c>
      <c r="N5728" s="273"/>
    </row>
    <row r="5729" spans="1:14" ht="12.75" customHeight="1" x14ac:dyDescent="0.2">
      <c r="A5729" s="424" t="str">
        <f>'precios '!C14</f>
        <v>Arena triturada pasante 3/8"</v>
      </c>
      <c r="B5729" s="414"/>
      <c r="C5729" s="414"/>
      <c r="D5729" s="414"/>
      <c r="E5729" s="414"/>
      <c r="F5729" s="414"/>
      <c r="G5729" s="415"/>
      <c r="H5729" s="29" t="str">
        <f t="shared" si="781"/>
        <v>m3</v>
      </c>
      <c r="I5729" s="394">
        <f t="shared" si="782"/>
        <v>83000</v>
      </c>
      <c r="J5729" s="273"/>
      <c r="K5729" s="395">
        <v>2</v>
      </c>
      <c r="L5729" s="273"/>
      <c r="M5729" s="394">
        <f t="shared" si="783"/>
        <v>166000</v>
      </c>
      <c r="N5729" s="273"/>
    </row>
    <row r="5730" spans="1:14" ht="12.75" customHeight="1" x14ac:dyDescent="0.2">
      <c r="A5730" s="400" t="s">
        <v>1162</v>
      </c>
      <c r="B5730" s="271"/>
      <c r="C5730" s="271"/>
      <c r="D5730" s="271"/>
      <c r="E5730" s="271"/>
      <c r="F5730" s="271"/>
      <c r="G5730" s="273"/>
      <c r="H5730" s="29" t="str">
        <f t="shared" si="781"/>
        <v>ml</v>
      </c>
      <c r="I5730" s="394">
        <f t="shared" si="782"/>
        <v>47570.25</v>
      </c>
      <c r="J5730" s="273"/>
      <c r="K5730" s="395">
        <v>20</v>
      </c>
      <c r="L5730" s="273"/>
      <c r="M5730" s="394">
        <f t="shared" si="783"/>
        <v>951405</v>
      </c>
      <c r="N5730" s="273"/>
    </row>
    <row r="5731" spans="1:14" ht="12.75" customHeight="1" x14ac:dyDescent="0.2">
      <c r="A5731" s="400"/>
      <c r="B5731" s="271"/>
      <c r="C5731" s="271"/>
      <c r="D5731" s="271"/>
      <c r="E5731" s="271"/>
      <c r="F5731" s="271"/>
      <c r="G5731" s="273"/>
      <c r="H5731" s="29" t="str">
        <f t="shared" si="781"/>
        <v/>
      </c>
      <c r="I5731" s="394" t="str">
        <f t="shared" si="782"/>
        <v/>
      </c>
      <c r="J5731" s="273"/>
      <c r="K5731" s="395"/>
      <c r="L5731" s="273"/>
      <c r="M5731" s="394" t="str">
        <f t="shared" si="783"/>
        <v/>
      </c>
      <c r="N5731" s="273"/>
    </row>
    <row r="5732" spans="1:14" ht="12.75" customHeight="1" x14ac:dyDescent="0.2">
      <c r="A5732" s="400"/>
      <c r="B5732" s="271"/>
      <c r="C5732" s="271"/>
      <c r="D5732" s="271"/>
      <c r="E5732" s="271"/>
      <c r="F5732" s="271"/>
      <c r="G5732" s="273"/>
      <c r="H5732" s="29" t="str">
        <f t="shared" si="781"/>
        <v/>
      </c>
      <c r="I5732" s="394" t="str">
        <f t="shared" si="782"/>
        <v/>
      </c>
      <c r="J5732" s="273"/>
      <c r="K5732" s="395"/>
      <c r="L5732" s="273"/>
      <c r="M5732" s="394" t="str">
        <f t="shared" si="783"/>
        <v/>
      </c>
      <c r="N5732" s="273"/>
    </row>
    <row r="5733" spans="1:14" ht="12.75" customHeight="1" x14ac:dyDescent="0.2">
      <c r="A5733" s="400"/>
      <c r="B5733" s="271"/>
      <c r="C5733" s="271"/>
      <c r="D5733" s="271"/>
      <c r="E5733" s="271"/>
      <c r="F5733" s="271"/>
      <c r="G5733" s="273"/>
      <c r="H5733" s="29"/>
      <c r="I5733" s="394" t="str">
        <f t="shared" si="782"/>
        <v/>
      </c>
      <c r="J5733" s="273"/>
      <c r="K5733" s="395"/>
      <c r="L5733" s="273"/>
      <c r="M5733" s="394" t="str">
        <f t="shared" si="783"/>
        <v/>
      </c>
      <c r="N5733" s="273"/>
    </row>
    <row r="5734" spans="1:14" ht="12.75" customHeight="1" x14ac:dyDescent="0.2">
      <c r="A5734" s="400"/>
      <c r="B5734" s="271"/>
      <c r="C5734" s="271"/>
      <c r="D5734" s="271"/>
      <c r="E5734" s="271"/>
      <c r="F5734" s="271"/>
      <c r="G5734" s="273"/>
      <c r="H5734" s="29" t="str">
        <f>IF(A5734="","",VLOOKUP(A5734,AA_Materiales,7,FALSE))</f>
        <v/>
      </c>
      <c r="I5734" s="394" t="str">
        <f t="shared" si="782"/>
        <v/>
      </c>
      <c r="J5734" s="273"/>
      <c r="K5734" s="395"/>
      <c r="L5734" s="273"/>
      <c r="M5734" s="394" t="str">
        <f t="shared" si="783"/>
        <v/>
      </c>
      <c r="N5734" s="273"/>
    </row>
    <row r="5735" spans="1:14" ht="12.75" customHeight="1" x14ac:dyDescent="0.25">
      <c r="A5735" s="4"/>
      <c r="B5735" s="4"/>
      <c r="C5735" s="4"/>
      <c r="D5735" s="4"/>
      <c r="E5735" s="4"/>
      <c r="F5735" s="4"/>
      <c r="G5735" s="4"/>
      <c r="H5735" s="4"/>
      <c r="I5735" s="4"/>
      <c r="J5735" s="4"/>
      <c r="K5735" s="396" t="s">
        <v>444</v>
      </c>
      <c r="L5735" s="273"/>
      <c r="M5735" s="394">
        <f>SUM(M5727:N5734)</f>
        <v>3448582.2453999999</v>
      </c>
      <c r="N5735" s="273"/>
    </row>
    <row r="5736" spans="1:14" ht="12.75" customHeight="1" x14ac:dyDescent="0.25">
      <c r="A5736" s="4"/>
      <c r="B5736" s="4"/>
      <c r="C5736" s="4"/>
      <c r="D5736" s="4"/>
      <c r="E5736" s="4"/>
      <c r="F5736" s="4"/>
      <c r="G5736" s="4"/>
      <c r="H5736" s="4"/>
      <c r="I5736" s="4"/>
      <c r="J5736" s="4"/>
      <c r="K5736" s="4"/>
      <c r="L5736" s="4"/>
      <c r="M5736" s="4"/>
      <c r="N5736" s="4"/>
    </row>
    <row r="5737" spans="1:14" ht="12.75" customHeight="1" x14ac:dyDescent="0.2">
      <c r="A5737" s="398" t="s">
        <v>926</v>
      </c>
      <c r="B5737" s="271"/>
      <c r="C5737" s="271"/>
      <c r="D5737" s="271"/>
      <c r="E5737" s="271"/>
      <c r="F5737" s="271"/>
      <c r="G5737" s="271"/>
      <c r="H5737" s="271"/>
      <c r="I5737" s="271"/>
      <c r="J5737" s="271"/>
      <c r="K5737" s="271"/>
      <c r="L5737" s="271"/>
      <c r="M5737" s="271"/>
      <c r="N5737" s="273"/>
    </row>
    <row r="5738" spans="1:14" ht="12.75" customHeight="1" x14ac:dyDescent="0.2">
      <c r="A5738" s="396" t="s">
        <v>76</v>
      </c>
      <c r="B5738" s="271"/>
      <c r="C5738" s="271"/>
      <c r="D5738" s="271"/>
      <c r="E5738" s="271"/>
      <c r="F5738" s="271"/>
      <c r="G5738" s="273"/>
      <c r="H5738" s="88" t="s">
        <v>77</v>
      </c>
      <c r="I5738" s="399" t="s">
        <v>920</v>
      </c>
      <c r="J5738" s="273"/>
      <c r="K5738" s="399" t="s">
        <v>453</v>
      </c>
      <c r="L5738" s="273"/>
      <c r="M5738" s="399" t="s">
        <v>921</v>
      </c>
      <c r="N5738" s="273"/>
    </row>
    <row r="5739" spans="1:14" ht="12.75" customHeight="1" x14ac:dyDescent="0.2">
      <c r="A5739" s="400" t="s">
        <v>927</v>
      </c>
      <c r="B5739" s="271"/>
      <c r="C5739" s="271"/>
      <c r="D5739" s="271"/>
      <c r="E5739" s="271"/>
      <c r="F5739" s="271"/>
      <c r="G5739" s="273"/>
      <c r="H5739" s="29" t="str">
        <f>IF(A5739="","",VLOOKUP(A5739,AA_Equipos,7,FALSE))</f>
        <v>% M.O.</v>
      </c>
      <c r="I5739" s="394">
        <f>+M5762</f>
        <v>351114.44</v>
      </c>
      <c r="J5739" s="273"/>
      <c r="K5739" s="404">
        <v>0.05</v>
      </c>
      <c r="L5739" s="273"/>
      <c r="M5739" s="394">
        <f t="shared" ref="M5739:M5743" si="784">IF(A5739="","",I5739*K5739)</f>
        <v>17555.722000000002</v>
      </c>
      <c r="N5739" s="273"/>
    </row>
    <row r="5740" spans="1:14" ht="12.75" customHeight="1" x14ac:dyDescent="0.2">
      <c r="A5740" s="403"/>
      <c r="B5740" s="271"/>
      <c r="C5740" s="271"/>
      <c r="D5740" s="271"/>
      <c r="E5740" s="271"/>
      <c r="F5740" s="271"/>
      <c r="G5740" s="273"/>
      <c r="H5740" s="29" t="str">
        <f>IF(A5740="","",VLOOKUP(A5740,AA_Equipos,7,FALSE))</f>
        <v/>
      </c>
      <c r="I5740" s="394" t="str">
        <f>IF(A5740="","",VLOOKUP(A5740,AA_Equipos,8,FALSE))</f>
        <v/>
      </c>
      <c r="J5740" s="273"/>
      <c r="K5740" s="402"/>
      <c r="L5740" s="273"/>
      <c r="M5740" s="394" t="str">
        <f t="shared" si="784"/>
        <v/>
      </c>
      <c r="N5740" s="273"/>
    </row>
    <row r="5741" spans="1:14" ht="12.75" customHeight="1" x14ac:dyDescent="0.2">
      <c r="A5741" s="400"/>
      <c r="B5741" s="271"/>
      <c r="C5741" s="271"/>
      <c r="D5741" s="271"/>
      <c r="E5741" s="271"/>
      <c r="F5741" s="271"/>
      <c r="G5741" s="273"/>
      <c r="H5741" s="29" t="str">
        <f>IF(A5741="","",VLOOKUP(A5741,AA_Equipos,7,FALSE))</f>
        <v/>
      </c>
      <c r="I5741" s="394" t="str">
        <f>IF(A5741="","",VLOOKUP(A5741,AA_Equipos,8,FALSE))</f>
        <v/>
      </c>
      <c r="J5741" s="273"/>
      <c r="K5741" s="402"/>
      <c r="L5741" s="273"/>
      <c r="M5741" s="394" t="str">
        <f t="shared" si="784"/>
        <v/>
      </c>
      <c r="N5741" s="273"/>
    </row>
    <row r="5742" spans="1:14" ht="12.75" customHeight="1" x14ac:dyDescent="0.2">
      <c r="A5742" s="400"/>
      <c r="B5742" s="271"/>
      <c r="C5742" s="271"/>
      <c r="D5742" s="271"/>
      <c r="E5742" s="271"/>
      <c r="F5742" s="271"/>
      <c r="G5742" s="273"/>
      <c r="H5742" s="29" t="str">
        <f>IF(A5742="","",VLOOKUP(A5742,AA_Equipos,7,FALSE))</f>
        <v/>
      </c>
      <c r="I5742" s="394" t="str">
        <f>IF(A5742="","",VLOOKUP(A5742,AA_Equipos,8,FALSE))</f>
        <v/>
      </c>
      <c r="J5742" s="273"/>
      <c r="K5742" s="402"/>
      <c r="L5742" s="273"/>
      <c r="M5742" s="394" t="str">
        <f t="shared" si="784"/>
        <v/>
      </c>
      <c r="N5742" s="273"/>
    </row>
    <row r="5743" spans="1:14" ht="12.75" customHeight="1" x14ac:dyDescent="0.2">
      <c r="A5743" s="400"/>
      <c r="B5743" s="271"/>
      <c r="C5743" s="271"/>
      <c r="D5743" s="271"/>
      <c r="E5743" s="271"/>
      <c r="F5743" s="271"/>
      <c r="G5743" s="273"/>
      <c r="H5743" s="29" t="str">
        <f>IF(A5743="","",VLOOKUP(A5743,AA_Equipos,7,FALSE))</f>
        <v/>
      </c>
      <c r="I5743" s="394" t="str">
        <f>IF(A5743="","",VLOOKUP(A5743,AA_Equipos,8,FALSE))</f>
        <v/>
      </c>
      <c r="J5743" s="273"/>
      <c r="K5743" s="395"/>
      <c r="L5743" s="273"/>
      <c r="M5743" s="394" t="str">
        <f t="shared" si="784"/>
        <v/>
      </c>
      <c r="N5743" s="273"/>
    </row>
    <row r="5744" spans="1:14" ht="12.75" customHeight="1" x14ac:dyDescent="0.25">
      <c r="A5744" s="4"/>
      <c r="B5744" s="4"/>
      <c r="C5744" s="4"/>
      <c r="D5744" s="4"/>
      <c r="E5744" s="4"/>
      <c r="F5744" s="4"/>
      <c r="G5744" s="4"/>
      <c r="H5744" s="4"/>
      <c r="I5744" s="4"/>
      <c r="J5744" s="4"/>
      <c r="K5744" s="396" t="s">
        <v>444</v>
      </c>
      <c r="L5744" s="273"/>
      <c r="M5744" s="394">
        <f>SUM(M5739:N5743)</f>
        <v>17555.722000000002</v>
      </c>
      <c r="N5744" s="273"/>
    </row>
    <row r="5745" spans="1:14" ht="12.75" customHeight="1" x14ac:dyDescent="0.25">
      <c r="A5745" s="4"/>
      <c r="B5745" s="4"/>
      <c r="C5745" s="4"/>
      <c r="D5745" s="4"/>
      <c r="E5745" s="4"/>
      <c r="F5745" s="4"/>
      <c r="G5745" s="4"/>
      <c r="H5745" s="4"/>
      <c r="I5745" s="4"/>
      <c r="J5745" s="4"/>
      <c r="K5745" s="4"/>
      <c r="L5745" s="4"/>
      <c r="M5745" s="4"/>
      <c r="N5745" s="4"/>
    </row>
    <row r="5746" spans="1:14" ht="12.75" customHeight="1" x14ac:dyDescent="0.2">
      <c r="A5746" s="398" t="s">
        <v>929</v>
      </c>
      <c r="B5746" s="271"/>
      <c r="C5746" s="271"/>
      <c r="D5746" s="271"/>
      <c r="E5746" s="271"/>
      <c r="F5746" s="271"/>
      <c r="G5746" s="271"/>
      <c r="H5746" s="271"/>
      <c r="I5746" s="271"/>
      <c r="J5746" s="271"/>
      <c r="K5746" s="271"/>
      <c r="L5746" s="271"/>
      <c r="M5746" s="271"/>
      <c r="N5746" s="273"/>
    </row>
    <row r="5747" spans="1:14" ht="12.75" customHeight="1" x14ac:dyDescent="0.2">
      <c r="A5747" s="396" t="s">
        <v>76</v>
      </c>
      <c r="B5747" s="271"/>
      <c r="C5747" s="271"/>
      <c r="D5747" s="271"/>
      <c r="E5747" s="271"/>
      <c r="F5747" s="271"/>
      <c r="G5747" s="273"/>
      <c r="H5747" s="88" t="s">
        <v>77</v>
      </c>
      <c r="I5747" s="399" t="s">
        <v>920</v>
      </c>
      <c r="J5747" s="273"/>
      <c r="K5747" s="399" t="s">
        <v>453</v>
      </c>
      <c r="L5747" s="273"/>
      <c r="M5747" s="399" t="s">
        <v>921</v>
      </c>
      <c r="N5747" s="273"/>
    </row>
    <row r="5748" spans="1:14" ht="12.75" customHeight="1" x14ac:dyDescent="0.2">
      <c r="A5748" s="400" t="s">
        <v>960</v>
      </c>
      <c r="B5748" s="271"/>
      <c r="C5748" s="271"/>
      <c r="D5748" s="271"/>
      <c r="E5748" s="271"/>
      <c r="F5748" s="271"/>
      <c r="G5748" s="273"/>
      <c r="H5748" s="29" t="s">
        <v>950</v>
      </c>
      <c r="I5748" s="394">
        <f>+M5735</f>
        <v>3448582.2453999999</v>
      </c>
      <c r="J5748" s="273"/>
      <c r="K5748" s="404">
        <v>0.05</v>
      </c>
      <c r="L5748" s="273"/>
      <c r="M5748" s="394">
        <f t="shared" ref="M5748:M5752" si="785">IF(A5748="","",I5748*K5748)</f>
        <v>172429.11227000001</v>
      </c>
      <c r="N5748" s="273"/>
    </row>
    <row r="5749" spans="1:14" ht="12.75" customHeight="1" x14ac:dyDescent="0.2">
      <c r="A5749" s="403"/>
      <c r="B5749" s="271"/>
      <c r="C5749" s="271"/>
      <c r="D5749" s="271"/>
      <c r="E5749" s="271"/>
      <c r="F5749" s="271"/>
      <c r="G5749" s="273"/>
      <c r="H5749" s="29"/>
      <c r="I5749" s="394"/>
      <c r="J5749" s="273"/>
      <c r="K5749" s="404"/>
      <c r="L5749" s="273"/>
      <c r="M5749" s="394" t="str">
        <f t="shared" si="785"/>
        <v/>
      </c>
      <c r="N5749" s="273"/>
    </row>
    <row r="5750" spans="1:14" ht="12.75" customHeight="1" x14ac:dyDescent="0.2">
      <c r="A5750" s="400"/>
      <c r="B5750" s="271"/>
      <c r="C5750" s="271"/>
      <c r="D5750" s="271"/>
      <c r="E5750" s="271"/>
      <c r="F5750" s="271"/>
      <c r="G5750" s="273"/>
      <c r="H5750" s="29"/>
      <c r="I5750" s="394"/>
      <c r="J5750" s="273"/>
      <c r="K5750" s="395"/>
      <c r="L5750" s="273"/>
      <c r="M5750" s="394" t="str">
        <f t="shared" si="785"/>
        <v/>
      </c>
      <c r="N5750" s="273"/>
    </row>
    <row r="5751" spans="1:14" ht="12.75" customHeight="1" x14ac:dyDescent="0.2">
      <c r="A5751" s="400"/>
      <c r="B5751" s="271"/>
      <c r="C5751" s="271"/>
      <c r="D5751" s="271"/>
      <c r="E5751" s="271"/>
      <c r="F5751" s="271"/>
      <c r="G5751" s="273"/>
      <c r="H5751" s="29"/>
      <c r="I5751" s="394"/>
      <c r="J5751" s="273"/>
      <c r="K5751" s="395"/>
      <c r="L5751" s="273"/>
      <c r="M5751" s="394" t="str">
        <f t="shared" si="785"/>
        <v/>
      </c>
      <c r="N5751" s="273"/>
    </row>
    <row r="5752" spans="1:14" ht="12.75" customHeight="1" x14ac:dyDescent="0.2">
      <c r="A5752" s="400"/>
      <c r="B5752" s="271"/>
      <c r="C5752" s="271"/>
      <c r="D5752" s="271"/>
      <c r="E5752" s="271"/>
      <c r="F5752" s="271"/>
      <c r="G5752" s="273"/>
      <c r="H5752" s="29"/>
      <c r="I5752" s="394"/>
      <c r="J5752" s="273"/>
      <c r="K5752" s="395"/>
      <c r="L5752" s="273"/>
      <c r="M5752" s="394" t="str">
        <f t="shared" si="785"/>
        <v/>
      </c>
      <c r="N5752" s="273"/>
    </row>
    <row r="5753" spans="1:14" ht="12.75" customHeight="1" x14ac:dyDescent="0.25">
      <c r="A5753" s="4"/>
      <c r="B5753" s="4"/>
      <c r="C5753" s="4"/>
      <c r="D5753" s="4"/>
      <c r="E5753" s="4"/>
      <c r="F5753" s="4"/>
      <c r="G5753" s="4"/>
      <c r="H5753" s="4"/>
      <c r="I5753" s="4"/>
      <c r="J5753" s="4"/>
      <c r="K5753" s="396" t="s">
        <v>444</v>
      </c>
      <c r="L5753" s="273"/>
      <c r="M5753" s="394">
        <f>SUM(M5748:N5752)</f>
        <v>172429.11227000001</v>
      </c>
      <c r="N5753" s="273"/>
    </row>
    <row r="5754" spans="1:14" ht="12.75" customHeight="1" x14ac:dyDescent="0.25">
      <c r="A5754" s="4"/>
      <c r="B5754" s="4"/>
      <c r="C5754" s="4"/>
      <c r="D5754" s="4"/>
      <c r="E5754" s="4"/>
      <c r="F5754" s="4"/>
      <c r="G5754" s="4"/>
      <c r="H5754" s="4"/>
      <c r="I5754" s="4"/>
      <c r="J5754" s="4"/>
      <c r="K5754" s="4"/>
      <c r="L5754" s="4"/>
      <c r="M5754" s="4"/>
      <c r="N5754" s="4"/>
    </row>
    <row r="5755" spans="1:14" ht="12.75" customHeight="1" x14ac:dyDescent="0.2">
      <c r="A5755" s="398" t="s">
        <v>931</v>
      </c>
      <c r="B5755" s="271"/>
      <c r="C5755" s="271"/>
      <c r="D5755" s="271"/>
      <c r="E5755" s="271"/>
      <c r="F5755" s="271"/>
      <c r="G5755" s="271"/>
      <c r="H5755" s="271"/>
      <c r="I5755" s="271"/>
      <c r="J5755" s="271"/>
      <c r="K5755" s="271"/>
      <c r="L5755" s="271"/>
      <c r="M5755" s="271"/>
      <c r="N5755" s="273"/>
    </row>
    <row r="5756" spans="1:14" ht="12.75" customHeight="1" x14ac:dyDescent="0.2">
      <c r="A5756" s="396" t="s">
        <v>76</v>
      </c>
      <c r="B5756" s="271"/>
      <c r="C5756" s="271"/>
      <c r="D5756" s="271"/>
      <c r="E5756" s="271"/>
      <c r="F5756" s="271"/>
      <c r="G5756" s="273"/>
      <c r="H5756" s="88" t="s">
        <v>77</v>
      </c>
      <c r="I5756" s="399" t="s">
        <v>920</v>
      </c>
      <c r="J5756" s="273"/>
      <c r="K5756" s="90" t="s">
        <v>514</v>
      </c>
      <c r="L5756" s="91" t="s">
        <v>932</v>
      </c>
      <c r="M5756" s="399" t="s">
        <v>921</v>
      </c>
      <c r="N5756" s="273"/>
    </row>
    <row r="5757" spans="1:14" ht="12.75" customHeight="1" x14ac:dyDescent="0.25">
      <c r="A5757" s="393" t="s">
        <v>986</v>
      </c>
      <c r="B5757" s="271"/>
      <c r="C5757" s="271"/>
      <c r="D5757" s="271"/>
      <c r="E5757" s="271"/>
      <c r="F5757" s="271"/>
      <c r="G5757" s="273"/>
      <c r="H5757" s="29" t="str">
        <f>IF(A5757="","",VLOOKUP(A5757,AA_Cuadrillas,4,FALSE))</f>
        <v>Cuadrilla</v>
      </c>
      <c r="I5757" s="394">
        <f>IF(A5757="","",VLOOKUP(A5757,AA_Cuadrillas,5,FALSE))</f>
        <v>186763</v>
      </c>
      <c r="J5757" s="273"/>
      <c r="K5757" s="9">
        <f>IF(A5757="","",F.P!$I$2)</f>
        <v>1.88</v>
      </c>
      <c r="L5757" s="93">
        <v>1</v>
      </c>
      <c r="M5757" s="394">
        <f t="shared" ref="M5757:M5761" si="786">IF(A5757="","",I5757*K5757*L5757)</f>
        <v>351114.44</v>
      </c>
      <c r="N5757" s="273"/>
    </row>
    <row r="5758" spans="1:14" ht="12.75" customHeight="1" x14ac:dyDescent="0.25">
      <c r="A5758" s="393"/>
      <c r="B5758" s="271"/>
      <c r="C5758" s="271"/>
      <c r="D5758" s="271"/>
      <c r="E5758" s="271"/>
      <c r="F5758" s="271"/>
      <c r="G5758" s="273"/>
      <c r="H5758" s="29" t="str">
        <f>IF(A5758="","",VLOOKUP(A5758,AA_Cuadrillas,4,FALSE))</f>
        <v/>
      </c>
      <c r="I5758" s="394" t="str">
        <f>IF(A5758="","",VLOOKUP(A5758,AA_Cuadrillas,5,FALSE))</f>
        <v/>
      </c>
      <c r="J5758" s="273"/>
      <c r="K5758" s="9" t="str">
        <f>IF(A5758="","",F.P!$I$2)</f>
        <v/>
      </c>
      <c r="L5758" s="9"/>
      <c r="M5758" s="394" t="str">
        <f t="shared" si="786"/>
        <v/>
      </c>
      <c r="N5758" s="273"/>
    </row>
    <row r="5759" spans="1:14" ht="12.75" customHeight="1" x14ac:dyDescent="0.25">
      <c r="A5759" s="393"/>
      <c r="B5759" s="271"/>
      <c r="C5759" s="271"/>
      <c r="D5759" s="271"/>
      <c r="E5759" s="271"/>
      <c r="F5759" s="271"/>
      <c r="G5759" s="273"/>
      <c r="H5759" s="29" t="str">
        <f>IF(A5759="","",VLOOKUP(A5759,AA_Cuadrillas,4,FALSE))</f>
        <v/>
      </c>
      <c r="I5759" s="394" t="str">
        <f>IF(A5759="","",VLOOKUP(A5759,AA_Cuadrillas,5,FALSE))</f>
        <v/>
      </c>
      <c r="J5759" s="273"/>
      <c r="K5759" s="9" t="str">
        <f>IF(A5759="","",F.P!$I$2)</f>
        <v/>
      </c>
      <c r="L5759" s="37"/>
      <c r="M5759" s="394" t="str">
        <f t="shared" si="786"/>
        <v/>
      </c>
      <c r="N5759" s="273"/>
    </row>
    <row r="5760" spans="1:14" ht="12.75" customHeight="1" x14ac:dyDescent="0.25">
      <c r="A5760" s="393"/>
      <c r="B5760" s="271"/>
      <c r="C5760" s="271"/>
      <c r="D5760" s="271"/>
      <c r="E5760" s="271"/>
      <c r="F5760" s="271"/>
      <c r="G5760" s="273"/>
      <c r="H5760" s="29" t="str">
        <f>IF(A5760="","",VLOOKUP(A5760,AA_Cuadrillas,4,FALSE))</f>
        <v/>
      </c>
      <c r="I5760" s="394" t="str">
        <f>IF(A5760="","",VLOOKUP(A5760,AA_Cuadrillas,5,FALSE))</f>
        <v/>
      </c>
      <c r="J5760" s="273"/>
      <c r="K5760" s="9" t="str">
        <f>IF(A5760="","",F.P!$I$2)</f>
        <v/>
      </c>
      <c r="L5760" s="37"/>
      <c r="M5760" s="394" t="str">
        <f t="shared" si="786"/>
        <v/>
      </c>
      <c r="N5760" s="273"/>
    </row>
    <row r="5761" spans="1:14" ht="12.75" customHeight="1" x14ac:dyDescent="0.25">
      <c r="A5761" s="393"/>
      <c r="B5761" s="271"/>
      <c r="C5761" s="271"/>
      <c r="D5761" s="271"/>
      <c r="E5761" s="271"/>
      <c r="F5761" s="271"/>
      <c r="G5761" s="273"/>
      <c r="H5761" s="29" t="str">
        <f>IF(A5761="","",VLOOKUP(A5761,AA_Cuadrillas,4,FALSE))</f>
        <v/>
      </c>
      <c r="I5761" s="394" t="str">
        <f>IF(A5761="","",VLOOKUP(A5761,AA_Cuadrillas,5,FALSE))</f>
        <v/>
      </c>
      <c r="J5761" s="273"/>
      <c r="K5761" s="9" t="str">
        <f>IF(A5761="","",F.P!$I$2)</f>
        <v/>
      </c>
      <c r="L5761" s="37"/>
      <c r="M5761" s="394" t="str">
        <f t="shared" si="786"/>
        <v/>
      </c>
      <c r="N5761" s="273"/>
    </row>
    <row r="5762" spans="1:14" ht="12.75" customHeight="1" x14ac:dyDescent="0.25">
      <c r="A5762" s="4"/>
      <c r="B5762" s="4"/>
      <c r="C5762" s="4"/>
      <c r="D5762" s="4"/>
      <c r="E5762" s="4"/>
      <c r="F5762" s="4"/>
      <c r="G5762" s="4"/>
      <c r="H5762" s="4"/>
      <c r="I5762" s="4"/>
      <c r="J5762" s="4"/>
      <c r="K5762" s="396" t="s">
        <v>444</v>
      </c>
      <c r="L5762" s="273"/>
      <c r="M5762" s="394">
        <f>SUM(M5757:N5761)</f>
        <v>351114.44</v>
      </c>
      <c r="N5762" s="273"/>
    </row>
    <row r="5763" spans="1:14" ht="12.75" customHeight="1" x14ac:dyDescent="0.2"/>
    <row r="5764" spans="1:14" ht="12.75" customHeight="1" x14ac:dyDescent="0.2">
      <c r="A5764" s="407" t="s">
        <v>1244</v>
      </c>
      <c r="B5764" s="275"/>
      <c r="C5764" s="275"/>
      <c r="D5764" s="275"/>
      <c r="E5764" s="275"/>
      <c r="F5764" s="275"/>
      <c r="G5764" s="275"/>
      <c r="H5764" s="275"/>
      <c r="I5764" s="275"/>
      <c r="J5764" s="275"/>
      <c r="K5764" s="275"/>
      <c r="L5764" s="275"/>
      <c r="M5764" s="275"/>
      <c r="N5764" s="276"/>
    </row>
    <row r="5765" spans="1:14" ht="12.75" customHeight="1" x14ac:dyDescent="0.2">
      <c r="A5765" s="277"/>
      <c r="B5765" s="278"/>
      <c r="C5765" s="278"/>
      <c r="D5765" s="278"/>
      <c r="E5765" s="278"/>
      <c r="F5765" s="278"/>
      <c r="G5765" s="278"/>
      <c r="H5765" s="278"/>
      <c r="I5765" s="278"/>
      <c r="J5765" s="278"/>
      <c r="K5765" s="278"/>
      <c r="L5765" s="278"/>
      <c r="M5765" s="278"/>
      <c r="N5765" s="279"/>
    </row>
    <row r="5766" spans="1:14" s="217" customFormat="1" ht="12.75" customHeight="1" x14ac:dyDescent="0.2">
      <c r="A5766" s="216"/>
      <c r="B5766" s="216"/>
      <c r="C5766" s="216"/>
      <c r="D5766" s="216"/>
      <c r="E5766" s="216"/>
      <c r="F5766" s="216"/>
      <c r="G5766" s="216"/>
      <c r="H5766" s="216"/>
      <c r="I5766" s="216"/>
      <c r="J5766" s="216"/>
      <c r="K5766" s="216"/>
      <c r="L5766" s="216"/>
      <c r="M5766" s="216"/>
      <c r="N5766" s="216"/>
    </row>
    <row r="5767" spans="1:14" ht="12.75" customHeight="1" x14ac:dyDescent="0.3">
      <c r="A5767" s="79" t="s">
        <v>747</v>
      </c>
      <c r="B5767" s="80" t="str">
        <f>A5764</f>
        <v>SUMINISTRO E INSTALACION DE LECHO FILTRANTE PARA TRATAMIENTO DE AGUA POTABLE (INCLUYE CAPA DE ARENA, ANTRACITA Y GRAVA DE SOPORTE)</v>
      </c>
      <c r="C5767" s="81" t="s">
        <v>916</v>
      </c>
      <c r="D5767" s="82" t="s">
        <v>999</v>
      </c>
      <c r="E5767" s="83" t="s">
        <v>445</v>
      </c>
      <c r="F5767" s="86" t="e">
        <f>H5767+J5767+L5767+N5767</f>
        <v>#N/A</v>
      </c>
      <c r="G5767" s="83" t="s">
        <v>607</v>
      </c>
      <c r="H5767" s="86" t="e">
        <f>M5779</f>
        <v>#N/A</v>
      </c>
      <c r="I5767" s="83" t="s">
        <v>918</v>
      </c>
      <c r="J5767" s="86">
        <f>M5788</f>
        <v>17555.722000000002</v>
      </c>
      <c r="K5767" s="83" t="s">
        <v>609</v>
      </c>
      <c r="L5767" s="86" t="e">
        <f>M5797</f>
        <v>#N/A</v>
      </c>
      <c r="M5767" s="83" t="s">
        <v>610</v>
      </c>
      <c r="N5767" s="86">
        <f>M5806</f>
        <v>351114.44</v>
      </c>
    </row>
    <row r="5768" spans="1:14" ht="12.75" customHeight="1" x14ac:dyDescent="0.25">
      <c r="A5768" s="87"/>
      <c r="B5768" s="87"/>
      <c r="C5768" s="87"/>
      <c r="D5768" s="87"/>
      <c r="E5768" s="87"/>
      <c r="F5768" s="87"/>
      <c r="G5768" s="87"/>
      <c r="J5768" s="87"/>
      <c r="K5768" s="215" t="s">
        <v>3217</v>
      </c>
      <c r="L5768" s="215" t="e">
        <f>+F5767*presup!$O$5</f>
        <v>#N/A</v>
      </c>
      <c r="M5768" s="87"/>
      <c r="N5768" s="87"/>
    </row>
    <row r="5769" spans="1:14" ht="12.75" customHeight="1" x14ac:dyDescent="0.2">
      <c r="A5769" s="398" t="s">
        <v>919</v>
      </c>
      <c r="B5769" s="271"/>
      <c r="C5769" s="271"/>
      <c r="D5769" s="271"/>
      <c r="E5769" s="271"/>
      <c r="F5769" s="271"/>
      <c r="G5769" s="271"/>
      <c r="H5769" s="271"/>
      <c r="I5769" s="271"/>
      <c r="J5769" s="271"/>
      <c r="K5769" s="271"/>
      <c r="L5769" s="271"/>
      <c r="M5769" s="271"/>
      <c r="N5769" s="273"/>
    </row>
    <row r="5770" spans="1:14" ht="12.75" customHeight="1" x14ac:dyDescent="0.2">
      <c r="A5770" s="396" t="s">
        <v>76</v>
      </c>
      <c r="B5770" s="271"/>
      <c r="C5770" s="271"/>
      <c r="D5770" s="271"/>
      <c r="E5770" s="271"/>
      <c r="F5770" s="271"/>
      <c r="G5770" s="273"/>
      <c r="H5770" s="88" t="s">
        <v>77</v>
      </c>
      <c r="I5770" s="399" t="s">
        <v>920</v>
      </c>
      <c r="J5770" s="273"/>
      <c r="K5770" s="399" t="s">
        <v>453</v>
      </c>
      <c r="L5770" s="273"/>
      <c r="M5770" s="399" t="s">
        <v>921</v>
      </c>
      <c r="N5770" s="273"/>
    </row>
    <row r="5771" spans="1:14" ht="12.75" customHeight="1" x14ac:dyDescent="0.2">
      <c r="A5771" s="400" t="s">
        <v>1241</v>
      </c>
      <c r="B5771" s="271"/>
      <c r="C5771" s="271"/>
      <c r="D5771" s="271"/>
      <c r="E5771" s="271"/>
      <c r="F5771" s="271"/>
      <c r="G5771" s="273"/>
      <c r="H5771" s="29" t="e">
        <f t="shared" ref="H5771:H5776" si="787">IF(A5771="","",VLOOKUP(A5771,AA_Materiales,7,FALSE))</f>
        <v>#N/A</v>
      </c>
      <c r="I5771" s="394" t="e">
        <f t="shared" ref="I5771:I5778" si="788">IF(A5771="","",VLOOKUP(A5771,AA_Materiales,8,FALSE))</f>
        <v>#N/A</v>
      </c>
      <c r="J5771" s="273"/>
      <c r="K5771" s="395">
        <v>2</v>
      </c>
      <c r="L5771" s="273"/>
      <c r="M5771" s="394" t="e">
        <f t="shared" ref="M5771:M5778" si="789">IF(A5771="","",I5771*K5771)</f>
        <v>#N/A</v>
      </c>
      <c r="N5771" s="273"/>
    </row>
    <row r="5772" spans="1:14" ht="12.75" customHeight="1" x14ac:dyDescent="0.2">
      <c r="A5772" s="400" t="s">
        <v>1242</v>
      </c>
      <c r="B5772" s="271"/>
      <c r="C5772" s="271"/>
      <c r="D5772" s="271"/>
      <c r="E5772" s="271"/>
      <c r="F5772" s="271"/>
      <c r="G5772" s="273"/>
      <c r="H5772" s="29" t="str">
        <f t="shared" si="787"/>
        <v>m3</v>
      </c>
      <c r="I5772" s="394">
        <f t="shared" si="788"/>
        <v>833789.63</v>
      </c>
      <c r="J5772" s="273"/>
      <c r="K5772" s="395">
        <v>2.58</v>
      </c>
      <c r="L5772" s="273"/>
      <c r="M5772" s="394">
        <f t="shared" si="789"/>
        <v>2151177.2453999999</v>
      </c>
      <c r="N5772" s="273"/>
    </row>
    <row r="5773" spans="1:14" ht="12.75" customHeight="1" x14ac:dyDescent="0.2">
      <c r="A5773" s="400" t="s">
        <v>1243</v>
      </c>
      <c r="B5773" s="271"/>
      <c r="C5773" s="271"/>
      <c r="D5773" s="271"/>
      <c r="E5773" s="271"/>
      <c r="F5773" s="271"/>
      <c r="G5773" s="273"/>
      <c r="H5773" s="29" t="e">
        <f t="shared" si="787"/>
        <v>#N/A</v>
      </c>
      <c r="I5773" s="394" t="e">
        <f t="shared" si="788"/>
        <v>#N/A</v>
      </c>
      <c r="J5773" s="273"/>
      <c r="K5773" s="395">
        <v>2</v>
      </c>
      <c r="L5773" s="273"/>
      <c r="M5773" s="394" t="e">
        <f t="shared" si="789"/>
        <v>#N/A</v>
      </c>
      <c r="N5773" s="273"/>
    </row>
    <row r="5774" spans="1:14" ht="12.75" customHeight="1" x14ac:dyDescent="0.2">
      <c r="A5774" s="400" t="s">
        <v>1162</v>
      </c>
      <c r="B5774" s="271"/>
      <c r="C5774" s="271"/>
      <c r="D5774" s="271"/>
      <c r="E5774" s="271"/>
      <c r="F5774" s="271"/>
      <c r="G5774" s="273"/>
      <c r="H5774" s="29" t="str">
        <f t="shared" si="787"/>
        <v>ml</v>
      </c>
      <c r="I5774" s="394">
        <f t="shared" si="788"/>
        <v>47570.25</v>
      </c>
      <c r="J5774" s="273"/>
      <c r="K5774" s="395">
        <v>20</v>
      </c>
      <c r="L5774" s="273"/>
      <c r="M5774" s="394">
        <f t="shared" si="789"/>
        <v>951405</v>
      </c>
      <c r="N5774" s="273"/>
    </row>
    <row r="5775" spans="1:14" ht="12.75" customHeight="1" x14ac:dyDescent="0.2">
      <c r="A5775" s="400"/>
      <c r="B5775" s="271"/>
      <c r="C5775" s="271"/>
      <c r="D5775" s="271"/>
      <c r="E5775" s="271"/>
      <c r="F5775" s="271"/>
      <c r="G5775" s="273"/>
      <c r="H5775" s="29" t="str">
        <f t="shared" si="787"/>
        <v/>
      </c>
      <c r="I5775" s="394" t="str">
        <f t="shared" si="788"/>
        <v/>
      </c>
      <c r="J5775" s="273"/>
      <c r="K5775" s="395"/>
      <c r="L5775" s="273"/>
      <c r="M5775" s="394" t="str">
        <f t="shared" si="789"/>
        <v/>
      </c>
      <c r="N5775" s="273"/>
    </row>
    <row r="5776" spans="1:14" ht="12.75" customHeight="1" x14ac:dyDescent="0.2">
      <c r="A5776" s="400"/>
      <c r="B5776" s="271"/>
      <c r="C5776" s="271"/>
      <c r="D5776" s="271"/>
      <c r="E5776" s="271"/>
      <c r="F5776" s="271"/>
      <c r="G5776" s="273"/>
      <c r="H5776" s="29" t="str">
        <f t="shared" si="787"/>
        <v/>
      </c>
      <c r="I5776" s="394" t="str">
        <f t="shared" si="788"/>
        <v/>
      </c>
      <c r="J5776" s="273"/>
      <c r="K5776" s="395"/>
      <c r="L5776" s="273"/>
      <c r="M5776" s="394" t="str">
        <f t="shared" si="789"/>
        <v/>
      </c>
      <c r="N5776" s="273"/>
    </row>
    <row r="5777" spans="1:14" ht="12.75" customHeight="1" x14ac:dyDescent="0.2">
      <c r="A5777" s="400"/>
      <c r="B5777" s="271"/>
      <c r="C5777" s="271"/>
      <c r="D5777" s="271"/>
      <c r="E5777" s="271"/>
      <c r="F5777" s="271"/>
      <c r="G5777" s="273"/>
      <c r="H5777" s="29"/>
      <c r="I5777" s="394" t="str">
        <f t="shared" si="788"/>
        <v/>
      </c>
      <c r="J5777" s="273"/>
      <c r="K5777" s="395"/>
      <c r="L5777" s="273"/>
      <c r="M5777" s="394" t="str">
        <f t="shared" si="789"/>
        <v/>
      </c>
      <c r="N5777" s="273"/>
    </row>
    <row r="5778" spans="1:14" ht="12.75" customHeight="1" x14ac:dyDescent="0.2">
      <c r="A5778" s="400"/>
      <c r="B5778" s="271"/>
      <c r="C5778" s="271"/>
      <c r="D5778" s="271"/>
      <c r="E5778" s="271"/>
      <c r="F5778" s="271"/>
      <c r="G5778" s="273"/>
      <c r="H5778" s="29" t="str">
        <f>IF(A5778="","",VLOOKUP(A5778,AA_Materiales,7,FALSE))</f>
        <v/>
      </c>
      <c r="I5778" s="394" t="str">
        <f t="shared" si="788"/>
        <v/>
      </c>
      <c r="J5778" s="273"/>
      <c r="K5778" s="395"/>
      <c r="L5778" s="273"/>
      <c r="M5778" s="394" t="str">
        <f t="shared" si="789"/>
        <v/>
      </c>
      <c r="N5778" s="273"/>
    </row>
    <row r="5779" spans="1:14" ht="12.75" customHeight="1" x14ac:dyDescent="0.25">
      <c r="A5779" s="4"/>
      <c r="B5779" s="4"/>
      <c r="C5779" s="4"/>
      <c r="D5779" s="4"/>
      <c r="E5779" s="4"/>
      <c r="F5779" s="4"/>
      <c r="G5779" s="4"/>
      <c r="H5779" s="4"/>
      <c r="I5779" s="4"/>
      <c r="J5779" s="4"/>
      <c r="K5779" s="396" t="s">
        <v>444</v>
      </c>
      <c r="L5779" s="273"/>
      <c r="M5779" s="394" t="e">
        <f>SUM(M5771:N5778)</f>
        <v>#N/A</v>
      </c>
      <c r="N5779" s="273"/>
    </row>
    <row r="5780" spans="1:14" ht="12.75" customHeight="1" x14ac:dyDescent="0.25">
      <c r="A5780" s="4"/>
      <c r="B5780" s="4"/>
      <c r="C5780" s="4"/>
      <c r="D5780" s="4"/>
      <c r="E5780" s="4"/>
      <c r="F5780" s="4"/>
      <c r="G5780" s="4"/>
      <c r="H5780" s="4"/>
      <c r="I5780" s="4"/>
      <c r="J5780" s="4"/>
      <c r="K5780" s="4"/>
      <c r="L5780" s="4"/>
      <c r="M5780" s="4"/>
      <c r="N5780" s="4"/>
    </row>
    <row r="5781" spans="1:14" ht="12.75" customHeight="1" x14ac:dyDescent="0.2">
      <c r="A5781" s="398" t="s">
        <v>926</v>
      </c>
      <c r="B5781" s="271"/>
      <c r="C5781" s="271"/>
      <c r="D5781" s="271"/>
      <c r="E5781" s="271"/>
      <c r="F5781" s="271"/>
      <c r="G5781" s="271"/>
      <c r="H5781" s="271"/>
      <c r="I5781" s="271"/>
      <c r="J5781" s="271"/>
      <c r="K5781" s="271"/>
      <c r="L5781" s="271"/>
      <c r="M5781" s="271"/>
      <c r="N5781" s="273"/>
    </row>
    <row r="5782" spans="1:14" ht="12.75" customHeight="1" x14ac:dyDescent="0.2">
      <c r="A5782" s="396" t="s">
        <v>76</v>
      </c>
      <c r="B5782" s="271"/>
      <c r="C5782" s="271"/>
      <c r="D5782" s="271"/>
      <c r="E5782" s="271"/>
      <c r="F5782" s="271"/>
      <c r="G5782" s="273"/>
      <c r="H5782" s="88" t="s">
        <v>77</v>
      </c>
      <c r="I5782" s="399" t="s">
        <v>920</v>
      </c>
      <c r="J5782" s="273"/>
      <c r="K5782" s="399" t="s">
        <v>453</v>
      </c>
      <c r="L5782" s="273"/>
      <c r="M5782" s="399" t="s">
        <v>921</v>
      </c>
      <c r="N5782" s="273"/>
    </row>
    <row r="5783" spans="1:14" ht="12.75" customHeight="1" x14ac:dyDescent="0.2">
      <c r="A5783" s="400" t="s">
        <v>927</v>
      </c>
      <c r="B5783" s="271"/>
      <c r="C5783" s="271"/>
      <c r="D5783" s="271"/>
      <c r="E5783" s="271"/>
      <c r="F5783" s="271"/>
      <c r="G5783" s="273"/>
      <c r="H5783" s="29" t="str">
        <f>IF(A5783="","",VLOOKUP(A5783,AA_Equipos,7,FALSE))</f>
        <v>% M.O.</v>
      </c>
      <c r="I5783" s="394">
        <f>+M5806</f>
        <v>351114.44</v>
      </c>
      <c r="J5783" s="273"/>
      <c r="K5783" s="404">
        <v>0.05</v>
      </c>
      <c r="L5783" s="273"/>
      <c r="M5783" s="394">
        <f t="shared" ref="M5783:M5787" si="790">IF(A5783="","",I5783*K5783)</f>
        <v>17555.722000000002</v>
      </c>
      <c r="N5783" s="273"/>
    </row>
    <row r="5784" spans="1:14" ht="12.75" customHeight="1" x14ac:dyDescent="0.2">
      <c r="A5784" s="403"/>
      <c r="B5784" s="271"/>
      <c r="C5784" s="271"/>
      <c r="D5784" s="271"/>
      <c r="E5784" s="271"/>
      <c r="F5784" s="271"/>
      <c r="G5784" s="273"/>
      <c r="H5784" s="29" t="str">
        <f>IF(A5784="","",VLOOKUP(A5784,AA_Equipos,7,FALSE))</f>
        <v/>
      </c>
      <c r="I5784" s="394" t="str">
        <f>IF(A5784="","",VLOOKUP(A5784,AA_Equipos,8,FALSE))</f>
        <v/>
      </c>
      <c r="J5784" s="273"/>
      <c r="K5784" s="402"/>
      <c r="L5784" s="273"/>
      <c r="M5784" s="394" t="str">
        <f t="shared" si="790"/>
        <v/>
      </c>
      <c r="N5784" s="273"/>
    </row>
    <row r="5785" spans="1:14" ht="12.75" customHeight="1" x14ac:dyDescent="0.2">
      <c r="A5785" s="400"/>
      <c r="B5785" s="271"/>
      <c r="C5785" s="271"/>
      <c r="D5785" s="271"/>
      <c r="E5785" s="271"/>
      <c r="F5785" s="271"/>
      <c r="G5785" s="273"/>
      <c r="H5785" s="29" t="str">
        <f>IF(A5785="","",VLOOKUP(A5785,AA_Equipos,7,FALSE))</f>
        <v/>
      </c>
      <c r="I5785" s="394" t="str">
        <f>IF(A5785="","",VLOOKUP(A5785,AA_Equipos,8,FALSE))</f>
        <v/>
      </c>
      <c r="J5785" s="273"/>
      <c r="K5785" s="402"/>
      <c r="L5785" s="273"/>
      <c r="M5785" s="394" t="str">
        <f t="shared" si="790"/>
        <v/>
      </c>
      <c r="N5785" s="273"/>
    </row>
    <row r="5786" spans="1:14" ht="12.75" customHeight="1" x14ac:dyDescent="0.2">
      <c r="A5786" s="400"/>
      <c r="B5786" s="271"/>
      <c r="C5786" s="271"/>
      <c r="D5786" s="271"/>
      <c r="E5786" s="271"/>
      <c r="F5786" s="271"/>
      <c r="G5786" s="273"/>
      <c r="H5786" s="29" t="str">
        <f>IF(A5786="","",VLOOKUP(A5786,AA_Equipos,7,FALSE))</f>
        <v/>
      </c>
      <c r="I5786" s="394" t="str">
        <f>IF(A5786="","",VLOOKUP(A5786,AA_Equipos,8,FALSE))</f>
        <v/>
      </c>
      <c r="J5786" s="273"/>
      <c r="K5786" s="402"/>
      <c r="L5786" s="273"/>
      <c r="M5786" s="394" t="str">
        <f t="shared" si="790"/>
        <v/>
      </c>
      <c r="N5786" s="273"/>
    </row>
    <row r="5787" spans="1:14" ht="12.75" customHeight="1" x14ac:dyDescent="0.2">
      <c r="A5787" s="400"/>
      <c r="B5787" s="271"/>
      <c r="C5787" s="271"/>
      <c r="D5787" s="271"/>
      <c r="E5787" s="271"/>
      <c r="F5787" s="271"/>
      <c r="G5787" s="273"/>
      <c r="H5787" s="29" t="str">
        <f>IF(A5787="","",VLOOKUP(A5787,AA_Equipos,7,FALSE))</f>
        <v/>
      </c>
      <c r="I5787" s="394" t="str">
        <f>IF(A5787="","",VLOOKUP(A5787,AA_Equipos,8,FALSE))</f>
        <v/>
      </c>
      <c r="J5787" s="273"/>
      <c r="K5787" s="395"/>
      <c r="L5787" s="273"/>
      <c r="M5787" s="394" t="str">
        <f t="shared" si="790"/>
        <v/>
      </c>
      <c r="N5787" s="273"/>
    </row>
    <row r="5788" spans="1:14" ht="12.75" customHeight="1" x14ac:dyDescent="0.25">
      <c r="A5788" s="4"/>
      <c r="B5788" s="4"/>
      <c r="C5788" s="4"/>
      <c r="D5788" s="4"/>
      <c r="E5788" s="4"/>
      <c r="F5788" s="4"/>
      <c r="G5788" s="4"/>
      <c r="H5788" s="4"/>
      <c r="I5788" s="4"/>
      <c r="J5788" s="4"/>
      <c r="K5788" s="396" t="s">
        <v>444</v>
      </c>
      <c r="L5788" s="273"/>
      <c r="M5788" s="394">
        <f>SUM(M5783:N5787)</f>
        <v>17555.722000000002</v>
      </c>
      <c r="N5788" s="273"/>
    </row>
    <row r="5789" spans="1:14" ht="12.75" customHeight="1" x14ac:dyDescent="0.25">
      <c r="A5789" s="4"/>
      <c r="B5789" s="4"/>
      <c r="C5789" s="4"/>
      <c r="D5789" s="4"/>
      <c r="E5789" s="4"/>
      <c r="F5789" s="4"/>
      <c r="G5789" s="4"/>
      <c r="H5789" s="4"/>
      <c r="I5789" s="4"/>
      <c r="J5789" s="4"/>
      <c r="K5789" s="4"/>
      <c r="L5789" s="4"/>
      <c r="M5789" s="4"/>
      <c r="N5789" s="4"/>
    </row>
    <row r="5790" spans="1:14" ht="12.75" customHeight="1" x14ac:dyDescent="0.2">
      <c r="A5790" s="398" t="s">
        <v>929</v>
      </c>
      <c r="B5790" s="271"/>
      <c r="C5790" s="271"/>
      <c r="D5790" s="271"/>
      <c r="E5790" s="271"/>
      <c r="F5790" s="271"/>
      <c r="G5790" s="271"/>
      <c r="H5790" s="271"/>
      <c r="I5790" s="271"/>
      <c r="J5790" s="271"/>
      <c r="K5790" s="271"/>
      <c r="L5790" s="271"/>
      <c r="M5790" s="271"/>
      <c r="N5790" s="273"/>
    </row>
    <row r="5791" spans="1:14" ht="12.75" customHeight="1" x14ac:dyDescent="0.2">
      <c r="A5791" s="396" t="s">
        <v>76</v>
      </c>
      <c r="B5791" s="271"/>
      <c r="C5791" s="271"/>
      <c r="D5791" s="271"/>
      <c r="E5791" s="271"/>
      <c r="F5791" s="271"/>
      <c r="G5791" s="273"/>
      <c r="H5791" s="88" t="s">
        <v>77</v>
      </c>
      <c r="I5791" s="399" t="s">
        <v>920</v>
      </c>
      <c r="J5791" s="273"/>
      <c r="K5791" s="399" t="s">
        <v>453</v>
      </c>
      <c r="L5791" s="273"/>
      <c r="M5791" s="399" t="s">
        <v>921</v>
      </c>
      <c r="N5791" s="273"/>
    </row>
    <row r="5792" spans="1:14" ht="12.75" customHeight="1" x14ac:dyDescent="0.2">
      <c r="A5792" s="400" t="s">
        <v>960</v>
      </c>
      <c r="B5792" s="271"/>
      <c r="C5792" s="271"/>
      <c r="D5792" s="271"/>
      <c r="E5792" s="271"/>
      <c r="F5792" s="271"/>
      <c r="G5792" s="273"/>
      <c r="H5792" s="29" t="s">
        <v>950</v>
      </c>
      <c r="I5792" s="394" t="e">
        <f>+M5779</f>
        <v>#N/A</v>
      </c>
      <c r="J5792" s="273"/>
      <c r="K5792" s="404">
        <v>0.05</v>
      </c>
      <c r="L5792" s="273"/>
      <c r="M5792" s="394" t="e">
        <f t="shared" ref="M5792:M5796" si="791">IF(A5792="","",I5792*K5792)</f>
        <v>#N/A</v>
      </c>
      <c r="N5792" s="273"/>
    </row>
    <row r="5793" spans="1:15" ht="12.75" customHeight="1" x14ac:dyDescent="0.2">
      <c r="A5793" s="403"/>
      <c r="B5793" s="271"/>
      <c r="C5793" s="271"/>
      <c r="D5793" s="271"/>
      <c r="E5793" s="271"/>
      <c r="F5793" s="271"/>
      <c r="G5793" s="273"/>
      <c r="H5793" s="29"/>
      <c r="I5793" s="394"/>
      <c r="J5793" s="273"/>
      <c r="K5793" s="404"/>
      <c r="L5793" s="273"/>
      <c r="M5793" s="394" t="str">
        <f t="shared" si="791"/>
        <v/>
      </c>
      <c r="N5793" s="273"/>
    </row>
    <row r="5794" spans="1:15" ht="12.75" customHeight="1" x14ac:dyDescent="0.2">
      <c r="A5794" s="400"/>
      <c r="B5794" s="271"/>
      <c r="C5794" s="271"/>
      <c r="D5794" s="271"/>
      <c r="E5794" s="271"/>
      <c r="F5794" s="271"/>
      <c r="G5794" s="273"/>
      <c r="H5794" s="29"/>
      <c r="I5794" s="394"/>
      <c r="J5794" s="273"/>
      <c r="K5794" s="395"/>
      <c r="L5794" s="273"/>
      <c r="M5794" s="394" t="str">
        <f t="shared" si="791"/>
        <v/>
      </c>
      <c r="N5794" s="273"/>
    </row>
    <row r="5795" spans="1:15" ht="12.75" customHeight="1" x14ac:dyDescent="0.2">
      <c r="A5795" s="400"/>
      <c r="B5795" s="271"/>
      <c r="C5795" s="271"/>
      <c r="D5795" s="271"/>
      <c r="E5795" s="271"/>
      <c r="F5795" s="271"/>
      <c r="G5795" s="273"/>
      <c r="H5795" s="29"/>
      <c r="I5795" s="394"/>
      <c r="J5795" s="273"/>
      <c r="K5795" s="395"/>
      <c r="L5795" s="273"/>
      <c r="M5795" s="394" t="str">
        <f t="shared" si="791"/>
        <v/>
      </c>
      <c r="N5795" s="273"/>
    </row>
    <row r="5796" spans="1:15" ht="12.75" customHeight="1" x14ac:dyDescent="0.2">
      <c r="A5796" s="400"/>
      <c r="B5796" s="271"/>
      <c r="C5796" s="271"/>
      <c r="D5796" s="271"/>
      <c r="E5796" s="271"/>
      <c r="F5796" s="271"/>
      <c r="G5796" s="273"/>
      <c r="H5796" s="29"/>
      <c r="I5796" s="394"/>
      <c r="J5796" s="273"/>
      <c r="K5796" s="395"/>
      <c r="L5796" s="273"/>
      <c r="M5796" s="394" t="str">
        <f t="shared" si="791"/>
        <v/>
      </c>
      <c r="N5796" s="273"/>
    </row>
    <row r="5797" spans="1:15" ht="12.75" customHeight="1" x14ac:dyDescent="0.25">
      <c r="A5797" s="4"/>
      <c r="B5797" s="4"/>
      <c r="C5797" s="4"/>
      <c r="D5797" s="4"/>
      <c r="E5797" s="4"/>
      <c r="F5797" s="4"/>
      <c r="G5797" s="4"/>
      <c r="H5797" s="4"/>
      <c r="I5797" s="4"/>
      <c r="J5797" s="4"/>
      <c r="K5797" s="396" t="s">
        <v>444</v>
      </c>
      <c r="L5797" s="273"/>
      <c r="M5797" s="394" t="e">
        <f>SUM(M5792:N5796)</f>
        <v>#N/A</v>
      </c>
      <c r="N5797" s="273"/>
    </row>
    <row r="5798" spans="1:15" ht="12.75" customHeight="1" x14ac:dyDescent="0.25">
      <c r="A5798" s="4"/>
      <c r="B5798" s="4"/>
      <c r="C5798" s="4"/>
      <c r="D5798" s="4"/>
      <c r="E5798" s="4"/>
      <c r="F5798" s="4"/>
      <c r="G5798" s="4"/>
      <c r="H5798" s="4"/>
      <c r="I5798" s="4"/>
      <c r="J5798" s="4"/>
      <c r="K5798" s="4"/>
      <c r="L5798" s="4"/>
      <c r="M5798" s="4"/>
      <c r="N5798" s="4"/>
    </row>
    <row r="5799" spans="1:15" ht="12.75" customHeight="1" x14ac:dyDescent="0.2">
      <c r="A5799" s="398" t="s">
        <v>931</v>
      </c>
      <c r="B5799" s="271"/>
      <c r="C5799" s="271"/>
      <c r="D5799" s="271"/>
      <c r="E5799" s="271"/>
      <c r="F5799" s="271"/>
      <c r="G5799" s="271"/>
      <c r="H5799" s="271"/>
      <c r="I5799" s="271"/>
      <c r="J5799" s="271"/>
      <c r="K5799" s="271"/>
      <c r="L5799" s="271"/>
      <c r="M5799" s="271"/>
      <c r="N5799" s="273"/>
    </row>
    <row r="5800" spans="1:15" ht="12.75" customHeight="1" x14ac:dyDescent="0.2">
      <c r="A5800" s="396" t="s">
        <v>76</v>
      </c>
      <c r="B5800" s="271"/>
      <c r="C5800" s="271"/>
      <c r="D5800" s="271"/>
      <c r="E5800" s="271"/>
      <c r="F5800" s="271"/>
      <c r="G5800" s="273"/>
      <c r="H5800" s="88" t="s">
        <v>77</v>
      </c>
      <c r="I5800" s="399" t="s">
        <v>920</v>
      </c>
      <c r="J5800" s="273"/>
      <c r="K5800" s="90" t="s">
        <v>514</v>
      </c>
      <c r="L5800" s="91" t="s">
        <v>932</v>
      </c>
      <c r="M5800" s="399" t="s">
        <v>921</v>
      </c>
      <c r="N5800" s="273"/>
    </row>
    <row r="5801" spans="1:15" ht="12.75" customHeight="1" x14ac:dyDescent="0.25">
      <c r="A5801" s="393" t="s">
        <v>986</v>
      </c>
      <c r="B5801" s="271"/>
      <c r="C5801" s="271"/>
      <c r="D5801" s="271"/>
      <c r="E5801" s="271"/>
      <c r="F5801" s="271"/>
      <c r="G5801" s="273"/>
      <c r="H5801" s="29" t="str">
        <f>IF(A5801="","",VLOOKUP(A5801,AA_Cuadrillas,4,FALSE))</f>
        <v>Cuadrilla</v>
      </c>
      <c r="I5801" s="394">
        <f>IF(A5801="","",VLOOKUP(A5801,AA_Cuadrillas,5,FALSE))</f>
        <v>186763</v>
      </c>
      <c r="J5801" s="273"/>
      <c r="K5801" s="9">
        <f>IF(A5801="","",F.P!$I$2)</f>
        <v>1.88</v>
      </c>
      <c r="L5801" s="93">
        <v>1</v>
      </c>
      <c r="M5801" s="394">
        <f t="shared" ref="M5801:M5805" si="792">IF(A5801="","",I5801*K5801*L5801)</f>
        <v>351114.44</v>
      </c>
      <c r="N5801" s="273"/>
    </row>
    <row r="5802" spans="1:15" ht="12.75" customHeight="1" x14ac:dyDescent="0.25">
      <c r="A5802" s="393"/>
      <c r="B5802" s="271"/>
      <c r="C5802" s="271"/>
      <c r="D5802" s="271"/>
      <c r="E5802" s="271"/>
      <c r="F5802" s="271"/>
      <c r="G5802" s="273"/>
      <c r="H5802" s="29" t="str">
        <f>IF(A5802="","",VLOOKUP(A5802,AA_Cuadrillas,4,FALSE))</f>
        <v/>
      </c>
      <c r="I5802" s="394" t="str">
        <f>IF(A5802="","",VLOOKUP(A5802,AA_Cuadrillas,5,FALSE))</f>
        <v/>
      </c>
      <c r="J5802" s="273"/>
      <c r="K5802" s="9" t="str">
        <f>IF(A5802="","",F.P!$I$2)</f>
        <v/>
      </c>
      <c r="L5802" s="9"/>
      <c r="M5802" s="394" t="str">
        <f t="shared" si="792"/>
        <v/>
      </c>
      <c r="N5802" s="273"/>
    </row>
    <row r="5803" spans="1:15" ht="12.75" customHeight="1" x14ac:dyDescent="0.25">
      <c r="A5803" s="393"/>
      <c r="B5803" s="271"/>
      <c r="C5803" s="271"/>
      <c r="D5803" s="271"/>
      <c r="E5803" s="271"/>
      <c r="F5803" s="271"/>
      <c r="G5803" s="273"/>
      <c r="H5803" s="29" t="str">
        <f>IF(A5803="","",VLOOKUP(A5803,AA_Cuadrillas,4,FALSE))</f>
        <v/>
      </c>
      <c r="I5803" s="394" t="str">
        <f>IF(A5803="","",VLOOKUP(A5803,AA_Cuadrillas,5,FALSE))</f>
        <v/>
      </c>
      <c r="J5803" s="273"/>
      <c r="K5803" s="9" t="str">
        <f>IF(A5803="","",F.P!$I$2)</f>
        <v/>
      </c>
      <c r="L5803" s="37"/>
      <c r="M5803" s="394" t="str">
        <f t="shared" si="792"/>
        <v/>
      </c>
      <c r="N5803" s="273"/>
    </row>
    <row r="5804" spans="1:15" ht="12.75" customHeight="1" x14ac:dyDescent="0.25">
      <c r="A5804" s="393"/>
      <c r="B5804" s="271"/>
      <c r="C5804" s="271"/>
      <c r="D5804" s="271"/>
      <c r="E5804" s="271"/>
      <c r="F5804" s="271"/>
      <c r="G5804" s="273"/>
      <c r="H5804" s="29" t="str">
        <f>IF(A5804="","",VLOOKUP(A5804,AA_Cuadrillas,4,FALSE))</f>
        <v/>
      </c>
      <c r="I5804" s="394" t="str">
        <f>IF(A5804="","",VLOOKUP(A5804,AA_Cuadrillas,5,FALSE))</f>
        <v/>
      </c>
      <c r="J5804" s="273"/>
      <c r="K5804" s="9" t="str">
        <f>IF(A5804="","",F.P!$I$2)</f>
        <v/>
      </c>
      <c r="L5804" s="37"/>
      <c r="M5804" s="394" t="str">
        <f t="shared" si="792"/>
        <v/>
      </c>
      <c r="N5804" s="273"/>
    </row>
    <row r="5805" spans="1:15" ht="12.75" customHeight="1" x14ac:dyDescent="0.25">
      <c r="A5805" s="393"/>
      <c r="B5805" s="271"/>
      <c r="C5805" s="271"/>
      <c r="D5805" s="271"/>
      <c r="E5805" s="271"/>
      <c r="F5805" s="271"/>
      <c r="G5805" s="273"/>
      <c r="H5805" s="29" t="str">
        <f>IF(A5805="","",VLOOKUP(A5805,AA_Cuadrillas,4,FALSE))</f>
        <v/>
      </c>
      <c r="I5805" s="394" t="str">
        <f>IF(A5805="","",VLOOKUP(A5805,AA_Cuadrillas,5,FALSE))</f>
        <v/>
      </c>
      <c r="J5805" s="273"/>
      <c r="K5805" s="9" t="str">
        <f>IF(A5805="","",F.P!$I$2)</f>
        <v/>
      </c>
      <c r="L5805" s="37"/>
      <c r="M5805" s="394" t="str">
        <f t="shared" si="792"/>
        <v/>
      </c>
      <c r="N5805" s="273"/>
    </row>
    <row r="5806" spans="1:15" ht="12.75" customHeight="1" x14ac:dyDescent="0.25">
      <c r="A5806" s="4"/>
      <c r="B5806" s="4"/>
      <c r="C5806" s="4"/>
      <c r="D5806" s="4"/>
      <c r="E5806" s="4"/>
      <c r="F5806" s="4"/>
      <c r="G5806" s="4"/>
      <c r="H5806" s="4"/>
      <c r="I5806" s="4"/>
      <c r="J5806" s="4"/>
      <c r="K5806" s="396" t="s">
        <v>444</v>
      </c>
      <c r="L5806" s="273"/>
      <c r="M5806" s="394">
        <f>SUM(M5801:N5805)</f>
        <v>351114.44</v>
      </c>
      <c r="N5806" s="273"/>
    </row>
    <row r="5807" spans="1:15" ht="12.75" customHeight="1" x14ac:dyDescent="0.2"/>
    <row r="5808" spans="1:15" ht="12.75" customHeight="1" x14ac:dyDescent="0.2">
      <c r="A5808" s="407" t="s">
        <v>235</v>
      </c>
      <c r="B5808" s="275"/>
      <c r="C5808" s="275"/>
      <c r="D5808" s="275"/>
      <c r="E5808" s="275"/>
      <c r="F5808" s="275"/>
      <c r="G5808" s="275"/>
      <c r="H5808" s="275"/>
      <c r="I5808" s="275"/>
      <c r="J5808" s="275"/>
      <c r="K5808" s="275"/>
      <c r="L5808" s="275"/>
      <c r="M5808" s="275"/>
      <c r="N5808" s="276"/>
      <c r="O5808" s="166"/>
    </row>
    <row r="5809" spans="1:15" ht="12.75" customHeight="1" x14ac:dyDescent="0.2">
      <c r="A5809" s="277"/>
      <c r="B5809" s="278"/>
      <c r="C5809" s="278"/>
      <c r="D5809" s="278"/>
      <c r="E5809" s="278"/>
      <c r="F5809" s="278"/>
      <c r="G5809" s="278"/>
      <c r="H5809" s="278"/>
      <c r="I5809" s="278"/>
      <c r="J5809" s="278"/>
      <c r="K5809" s="278"/>
      <c r="L5809" s="278"/>
      <c r="M5809" s="278"/>
      <c r="N5809" s="279"/>
      <c r="O5809" s="166"/>
    </row>
    <row r="5810" spans="1:15" ht="12.75" customHeight="1" x14ac:dyDescent="0.2">
      <c r="A5810" s="75"/>
      <c r="B5810" s="75"/>
      <c r="C5810" s="75"/>
      <c r="D5810" s="75"/>
      <c r="E5810" s="75"/>
      <c r="F5810" s="75"/>
      <c r="G5810" s="75"/>
      <c r="H5810" s="75"/>
      <c r="I5810" s="75"/>
      <c r="J5810" s="75"/>
      <c r="K5810" s="75"/>
      <c r="L5810" s="75"/>
      <c r="M5810" s="75"/>
      <c r="N5810" s="75"/>
    </row>
    <row r="5811" spans="1:15" ht="12.75" customHeight="1" x14ac:dyDescent="0.3">
      <c r="A5811" s="79" t="s">
        <v>748</v>
      </c>
      <c r="B5811" s="80" t="str">
        <f>A5808</f>
        <v>SUMINISTRO DE DOSIFICADOR DE HIDRÓXIDO DE CLORO</v>
      </c>
      <c r="C5811" s="81" t="s">
        <v>916</v>
      </c>
      <c r="D5811" s="82" t="s">
        <v>999</v>
      </c>
      <c r="E5811" s="83" t="s">
        <v>445</v>
      </c>
      <c r="F5811" s="234">
        <f>(H5811+J5811+L5811+N5811)*1.3</f>
        <v>3460684.5</v>
      </c>
      <c r="G5811" s="83" t="s">
        <v>607</v>
      </c>
      <c r="H5811" s="86">
        <f>M5832</f>
        <v>2535300</v>
      </c>
      <c r="I5811" s="83" t="s">
        <v>918</v>
      </c>
      <c r="J5811" s="86">
        <f>M5823</f>
        <v>0</v>
      </c>
      <c r="K5811" s="83" t="s">
        <v>609</v>
      </c>
      <c r="L5811" s="86">
        <f>M5841</f>
        <v>126765</v>
      </c>
      <c r="M5811" s="83" t="s">
        <v>610</v>
      </c>
      <c r="N5811" s="86">
        <f>M5850</f>
        <v>0</v>
      </c>
    </row>
    <row r="5812" spans="1:15" ht="12.75" customHeight="1" x14ac:dyDescent="0.25">
      <c r="A5812" s="87"/>
      <c r="B5812" s="87"/>
      <c r="C5812" s="87"/>
      <c r="D5812" s="87"/>
      <c r="E5812" s="87"/>
      <c r="F5812" s="87"/>
      <c r="G5812" s="87"/>
      <c r="J5812" s="87"/>
      <c r="K5812" s="215" t="s">
        <v>3217</v>
      </c>
      <c r="L5812" s="215">
        <f>+F5811*presup!$O$5</f>
        <v>4498889.8500000006</v>
      </c>
      <c r="M5812" s="87"/>
      <c r="N5812" s="87"/>
    </row>
    <row r="5813" spans="1:15" ht="12.75" customHeight="1" x14ac:dyDescent="0.2">
      <c r="A5813" s="398" t="s">
        <v>919</v>
      </c>
      <c r="B5813" s="271"/>
      <c r="C5813" s="271"/>
      <c r="D5813" s="271"/>
      <c r="E5813" s="271"/>
      <c r="F5813" s="271"/>
      <c r="G5813" s="271"/>
      <c r="H5813" s="271"/>
      <c r="I5813" s="271"/>
      <c r="J5813" s="271"/>
      <c r="K5813" s="271"/>
      <c r="L5813" s="271"/>
      <c r="M5813" s="271"/>
      <c r="N5813" s="273"/>
    </row>
    <row r="5814" spans="1:15" ht="12.75" customHeight="1" x14ac:dyDescent="0.2">
      <c r="A5814" s="396" t="s">
        <v>76</v>
      </c>
      <c r="B5814" s="271"/>
      <c r="C5814" s="271"/>
      <c r="D5814" s="271"/>
      <c r="E5814" s="271"/>
      <c r="F5814" s="271"/>
      <c r="G5814" s="273"/>
      <c r="H5814" s="88" t="s">
        <v>77</v>
      </c>
      <c r="I5814" s="399" t="s">
        <v>920</v>
      </c>
      <c r="J5814" s="273"/>
      <c r="K5814" s="399" t="s">
        <v>453</v>
      </c>
      <c r="L5814" s="273"/>
      <c r="M5814" s="399" t="s">
        <v>921</v>
      </c>
      <c r="N5814" s="273"/>
    </row>
    <row r="5815" spans="1:15" ht="12.75" customHeight="1" x14ac:dyDescent="0.2">
      <c r="A5815" s="400"/>
      <c r="B5815" s="271"/>
      <c r="C5815" s="271"/>
      <c r="D5815" s="271"/>
      <c r="E5815" s="271"/>
      <c r="F5815" s="271"/>
      <c r="G5815" s="273"/>
      <c r="H5815" s="29" t="str">
        <f t="shared" ref="H5815:H5820" si="793">IF(A5815="","",VLOOKUP(A5815,AA_Materiales,7,FALSE))</f>
        <v/>
      </c>
      <c r="I5815" s="394" t="str">
        <f t="shared" ref="I5815:I5822" si="794">IF(A5815="","",VLOOKUP(A5815,AA_Materiales,8,FALSE))</f>
        <v/>
      </c>
      <c r="J5815" s="273"/>
      <c r="K5815" s="395">
        <v>1</v>
      </c>
      <c r="L5815" s="273"/>
      <c r="M5815" s="394" t="str">
        <f t="shared" ref="M5815:M5822" si="795">IF(A5815="","",I5815*K5815)</f>
        <v/>
      </c>
      <c r="N5815" s="273"/>
    </row>
    <row r="5816" spans="1:15" ht="12.75" customHeight="1" x14ac:dyDescent="0.2">
      <c r="A5816" s="400"/>
      <c r="B5816" s="271"/>
      <c r="C5816" s="271"/>
      <c r="D5816" s="271"/>
      <c r="E5816" s="271"/>
      <c r="F5816" s="271"/>
      <c r="G5816" s="273"/>
      <c r="H5816" s="29" t="str">
        <f t="shared" si="793"/>
        <v/>
      </c>
      <c r="I5816" s="394" t="str">
        <f t="shared" si="794"/>
        <v/>
      </c>
      <c r="J5816" s="273"/>
      <c r="K5816" s="395"/>
      <c r="L5816" s="273"/>
      <c r="M5816" s="394" t="str">
        <f t="shared" si="795"/>
        <v/>
      </c>
      <c r="N5816" s="273"/>
    </row>
    <row r="5817" spans="1:15" ht="12.75" customHeight="1" x14ac:dyDescent="0.2">
      <c r="A5817" s="400"/>
      <c r="B5817" s="271"/>
      <c r="C5817" s="271"/>
      <c r="D5817" s="271"/>
      <c r="E5817" s="271"/>
      <c r="F5817" s="271"/>
      <c r="G5817" s="273"/>
      <c r="H5817" s="29" t="str">
        <f t="shared" si="793"/>
        <v/>
      </c>
      <c r="I5817" s="394" t="str">
        <f t="shared" si="794"/>
        <v/>
      </c>
      <c r="J5817" s="273"/>
      <c r="K5817" s="395"/>
      <c r="L5817" s="273"/>
      <c r="M5817" s="394" t="str">
        <f t="shared" si="795"/>
        <v/>
      </c>
      <c r="N5817" s="273"/>
    </row>
    <row r="5818" spans="1:15" ht="12.75" customHeight="1" x14ac:dyDescent="0.2">
      <c r="A5818" s="400"/>
      <c r="B5818" s="271"/>
      <c r="C5818" s="271"/>
      <c r="D5818" s="271"/>
      <c r="E5818" s="271"/>
      <c r="F5818" s="271"/>
      <c r="G5818" s="273"/>
      <c r="H5818" s="29" t="str">
        <f t="shared" si="793"/>
        <v/>
      </c>
      <c r="I5818" s="394" t="str">
        <f t="shared" si="794"/>
        <v/>
      </c>
      <c r="J5818" s="273"/>
      <c r="K5818" s="395"/>
      <c r="L5818" s="273"/>
      <c r="M5818" s="394" t="str">
        <f t="shared" si="795"/>
        <v/>
      </c>
      <c r="N5818" s="273"/>
    </row>
    <row r="5819" spans="1:15" ht="12.75" customHeight="1" x14ac:dyDescent="0.2">
      <c r="A5819" s="400"/>
      <c r="B5819" s="271"/>
      <c r="C5819" s="271"/>
      <c r="D5819" s="271"/>
      <c r="E5819" s="271"/>
      <c r="F5819" s="271"/>
      <c r="G5819" s="273"/>
      <c r="H5819" s="29" t="str">
        <f t="shared" si="793"/>
        <v/>
      </c>
      <c r="I5819" s="394" t="str">
        <f t="shared" si="794"/>
        <v/>
      </c>
      <c r="J5819" s="273"/>
      <c r="K5819" s="395"/>
      <c r="L5819" s="273"/>
      <c r="M5819" s="394" t="str">
        <f t="shared" si="795"/>
        <v/>
      </c>
      <c r="N5819" s="273"/>
    </row>
    <row r="5820" spans="1:15" ht="12.75" customHeight="1" x14ac:dyDescent="0.2">
      <c r="A5820" s="400"/>
      <c r="B5820" s="271"/>
      <c r="C5820" s="271"/>
      <c r="D5820" s="271"/>
      <c r="E5820" s="271"/>
      <c r="F5820" s="271"/>
      <c r="G5820" s="273"/>
      <c r="H5820" s="29" t="str">
        <f t="shared" si="793"/>
        <v/>
      </c>
      <c r="I5820" s="394" t="str">
        <f t="shared" si="794"/>
        <v/>
      </c>
      <c r="J5820" s="273"/>
      <c r="K5820" s="395"/>
      <c r="L5820" s="273"/>
      <c r="M5820" s="394" t="str">
        <f t="shared" si="795"/>
        <v/>
      </c>
      <c r="N5820" s="273"/>
    </row>
    <row r="5821" spans="1:15" ht="12.75" customHeight="1" x14ac:dyDescent="0.2">
      <c r="A5821" s="400"/>
      <c r="B5821" s="271"/>
      <c r="C5821" s="271"/>
      <c r="D5821" s="271"/>
      <c r="E5821" s="271"/>
      <c r="F5821" s="271"/>
      <c r="G5821" s="273"/>
      <c r="H5821" s="29"/>
      <c r="I5821" s="394" t="str">
        <f t="shared" si="794"/>
        <v/>
      </c>
      <c r="J5821" s="273"/>
      <c r="K5821" s="395"/>
      <c r="L5821" s="273"/>
      <c r="M5821" s="394" t="str">
        <f t="shared" si="795"/>
        <v/>
      </c>
      <c r="N5821" s="273"/>
    </row>
    <row r="5822" spans="1:15" ht="12.75" customHeight="1" x14ac:dyDescent="0.2">
      <c r="A5822" s="400"/>
      <c r="B5822" s="271"/>
      <c r="C5822" s="271"/>
      <c r="D5822" s="271"/>
      <c r="E5822" s="271"/>
      <c r="F5822" s="271"/>
      <c r="G5822" s="273"/>
      <c r="H5822" s="29" t="str">
        <f>IF(A5822="","",VLOOKUP(A5822,AA_Materiales,7,FALSE))</f>
        <v/>
      </c>
      <c r="I5822" s="394" t="str">
        <f t="shared" si="794"/>
        <v/>
      </c>
      <c r="J5822" s="273"/>
      <c r="K5822" s="395"/>
      <c r="L5822" s="273"/>
      <c r="M5822" s="394" t="str">
        <f t="shared" si="795"/>
        <v/>
      </c>
      <c r="N5822" s="273"/>
    </row>
    <row r="5823" spans="1:15" ht="12.75" customHeight="1" x14ac:dyDescent="0.25">
      <c r="A5823" s="4"/>
      <c r="B5823" s="4"/>
      <c r="C5823" s="4"/>
      <c r="D5823" s="4"/>
      <c r="E5823" s="4"/>
      <c r="F5823" s="4"/>
      <c r="G5823" s="4"/>
      <c r="H5823" s="4"/>
      <c r="I5823" s="4"/>
      <c r="J5823" s="4"/>
      <c r="K5823" s="396" t="s">
        <v>444</v>
      </c>
      <c r="L5823" s="273"/>
      <c r="M5823" s="394">
        <f>SUM(M5815:N5822)</f>
        <v>0</v>
      </c>
      <c r="N5823" s="273"/>
    </row>
    <row r="5824" spans="1:15" ht="12.75" customHeight="1" x14ac:dyDescent="0.25">
      <c r="A5824" s="4"/>
      <c r="B5824" s="4"/>
      <c r="C5824" s="4"/>
      <c r="D5824" s="4"/>
      <c r="E5824" s="4"/>
      <c r="F5824" s="4"/>
      <c r="G5824" s="4"/>
      <c r="H5824" s="4"/>
      <c r="I5824" s="4"/>
      <c r="J5824" s="4"/>
      <c r="K5824" s="4"/>
      <c r="L5824" s="4"/>
      <c r="M5824" s="4"/>
      <c r="N5824" s="4"/>
    </row>
    <row r="5825" spans="1:14" ht="12.75" customHeight="1" x14ac:dyDescent="0.2">
      <c r="A5825" s="398" t="s">
        <v>926</v>
      </c>
      <c r="B5825" s="271"/>
      <c r="C5825" s="271"/>
      <c r="D5825" s="271"/>
      <c r="E5825" s="271"/>
      <c r="F5825" s="271"/>
      <c r="G5825" s="271"/>
      <c r="H5825" s="271"/>
      <c r="I5825" s="271"/>
      <c r="J5825" s="271"/>
      <c r="K5825" s="271"/>
      <c r="L5825" s="271"/>
      <c r="M5825" s="271"/>
      <c r="N5825" s="273"/>
    </row>
    <row r="5826" spans="1:14" ht="12.75" customHeight="1" x14ac:dyDescent="0.2">
      <c r="A5826" s="396" t="s">
        <v>76</v>
      </c>
      <c r="B5826" s="271"/>
      <c r="C5826" s="271"/>
      <c r="D5826" s="271"/>
      <c r="E5826" s="271"/>
      <c r="F5826" s="271"/>
      <c r="G5826" s="273"/>
      <c r="H5826" s="88" t="s">
        <v>77</v>
      </c>
      <c r="I5826" s="399" t="s">
        <v>920</v>
      </c>
      <c r="J5826" s="273"/>
      <c r="K5826" s="399" t="s">
        <v>453</v>
      </c>
      <c r="L5826" s="273"/>
      <c r="M5826" s="399" t="s">
        <v>921</v>
      </c>
      <c r="N5826" s="273"/>
    </row>
    <row r="5827" spans="1:14" ht="12.75" customHeight="1" x14ac:dyDescent="0.2">
      <c r="A5827" s="400" t="s">
        <v>1245</v>
      </c>
      <c r="B5827" s="271"/>
      <c r="C5827" s="271"/>
      <c r="D5827" s="271"/>
      <c r="E5827" s="271"/>
      <c r="F5827" s="271"/>
      <c r="G5827" s="273"/>
      <c r="H5827" s="29" t="str">
        <f>IF(A5827="","",VLOOKUP(A5827,AA_Equipos,7,FALSE))</f>
        <v>Día</v>
      </c>
      <c r="I5827" s="394">
        <f>IF(A5827="","",VLOOKUP(A5827,AA_Materiales,8,FALSE))</f>
        <v>2535300</v>
      </c>
      <c r="J5827" s="273"/>
      <c r="K5827" s="417">
        <v>1</v>
      </c>
      <c r="L5827" s="273"/>
      <c r="M5827" s="394">
        <f t="shared" ref="M5827:M5831" si="796">IF(A5827="","",I5827*K5827)</f>
        <v>2535300</v>
      </c>
      <c r="N5827" s="273"/>
    </row>
    <row r="5828" spans="1:14" ht="12.75" customHeight="1" x14ac:dyDescent="0.2">
      <c r="A5828" s="403"/>
      <c r="B5828" s="271"/>
      <c r="C5828" s="271"/>
      <c r="D5828" s="271"/>
      <c r="E5828" s="271"/>
      <c r="F5828" s="271"/>
      <c r="G5828" s="273"/>
      <c r="H5828" s="29" t="str">
        <f>IF(A5828="","",VLOOKUP(A5828,AA_Equipos,7,FALSE))</f>
        <v/>
      </c>
      <c r="I5828" s="394" t="str">
        <f>IF(A5828="","",VLOOKUP(A5828,AA_Equipos,8,FALSE))</f>
        <v/>
      </c>
      <c r="J5828" s="273"/>
      <c r="K5828" s="402"/>
      <c r="L5828" s="273"/>
      <c r="M5828" s="394" t="str">
        <f t="shared" si="796"/>
        <v/>
      </c>
      <c r="N5828" s="273"/>
    </row>
    <row r="5829" spans="1:14" ht="12.75" customHeight="1" x14ac:dyDescent="0.2">
      <c r="A5829" s="400"/>
      <c r="B5829" s="271"/>
      <c r="C5829" s="271"/>
      <c r="D5829" s="271"/>
      <c r="E5829" s="271"/>
      <c r="F5829" s="271"/>
      <c r="G5829" s="273"/>
      <c r="H5829" s="29" t="str">
        <f>IF(A5829="","",VLOOKUP(A5829,AA_Equipos,7,FALSE))</f>
        <v/>
      </c>
      <c r="I5829" s="394" t="str">
        <f>IF(A5829="","",VLOOKUP(A5829,AA_Equipos,8,FALSE))</f>
        <v/>
      </c>
      <c r="J5829" s="273"/>
      <c r="K5829" s="402"/>
      <c r="L5829" s="273"/>
      <c r="M5829" s="394" t="str">
        <f t="shared" si="796"/>
        <v/>
      </c>
      <c r="N5829" s="273"/>
    </row>
    <row r="5830" spans="1:14" ht="12.75" customHeight="1" x14ac:dyDescent="0.2">
      <c r="A5830" s="400"/>
      <c r="B5830" s="271"/>
      <c r="C5830" s="271"/>
      <c r="D5830" s="271"/>
      <c r="E5830" s="271"/>
      <c r="F5830" s="271"/>
      <c r="G5830" s="273"/>
      <c r="H5830" s="29" t="str">
        <f>IF(A5830="","",VLOOKUP(A5830,AA_Equipos,7,FALSE))</f>
        <v/>
      </c>
      <c r="I5830" s="394" t="str">
        <f>IF(A5830="","",VLOOKUP(A5830,AA_Equipos,8,FALSE))</f>
        <v/>
      </c>
      <c r="J5830" s="273"/>
      <c r="K5830" s="402"/>
      <c r="L5830" s="273"/>
      <c r="M5830" s="394" t="str">
        <f t="shared" si="796"/>
        <v/>
      </c>
      <c r="N5830" s="273"/>
    </row>
    <row r="5831" spans="1:14" ht="12.75" customHeight="1" x14ac:dyDescent="0.2">
      <c r="A5831" s="400"/>
      <c r="B5831" s="271"/>
      <c r="C5831" s="271"/>
      <c r="D5831" s="271"/>
      <c r="E5831" s="271"/>
      <c r="F5831" s="271"/>
      <c r="G5831" s="273"/>
      <c r="H5831" s="29" t="str">
        <f>IF(A5831="","",VLOOKUP(A5831,AA_Equipos,7,FALSE))</f>
        <v/>
      </c>
      <c r="I5831" s="394" t="str">
        <f>IF(A5831="","",VLOOKUP(A5831,AA_Equipos,8,FALSE))</f>
        <v/>
      </c>
      <c r="J5831" s="273"/>
      <c r="K5831" s="395"/>
      <c r="L5831" s="273"/>
      <c r="M5831" s="394" t="str">
        <f t="shared" si="796"/>
        <v/>
      </c>
      <c r="N5831" s="273"/>
    </row>
    <row r="5832" spans="1:14" ht="12.75" customHeight="1" x14ac:dyDescent="0.25">
      <c r="A5832" s="4"/>
      <c r="B5832" s="4"/>
      <c r="C5832" s="4"/>
      <c r="D5832" s="4"/>
      <c r="E5832" s="4"/>
      <c r="F5832" s="4"/>
      <c r="G5832" s="4"/>
      <c r="H5832" s="4"/>
      <c r="I5832" s="4"/>
      <c r="J5832" s="4"/>
      <c r="K5832" s="396" t="s">
        <v>444</v>
      </c>
      <c r="L5832" s="273"/>
      <c r="M5832" s="394">
        <f>SUM(M5827:N5831)</f>
        <v>2535300</v>
      </c>
      <c r="N5832" s="273"/>
    </row>
    <row r="5833" spans="1:14" ht="12.75" customHeight="1" x14ac:dyDescent="0.25">
      <c r="A5833" s="4"/>
      <c r="B5833" s="4"/>
      <c r="C5833" s="4"/>
      <c r="D5833" s="4"/>
      <c r="E5833" s="4"/>
      <c r="F5833" s="4"/>
      <c r="G5833" s="4"/>
      <c r="H5833" s="4"/>
      <c r="I5833" s="4"/>
      <c r="J5833" s="4"/>
      <c r="K5833" s="4"/>
      <c r="L5833" s="4"/>
      <c r="M5833" s="4"/>
      <c r="N5833" s="4"/>
    </row>
    <row r="5834" spans="1:14" ht="12.75" customHeight="1" x14ac:dyDescent="0.2">
      <c r="A5834" s="398" t="s">
        <v>929</v>
      </c>
      <c r="B5834" s="271"/>
      <c r="C5834" s="271"/>
      <c r="D5834" s="271"/>
      <c r="E5834" s="271"/>
      <c r="F5834" s="271"/>
      <c r="G5834" s="271"/>
      <c r="H5834" s="271"/>
      <c r="I5834" s="271"/>
      <c r="J5834" s="271"/>
      <c r="K5834" s="271"/>
      <c r="L5834" s="271"/>
      <c r="M5834" s="271"/>
      <c r="N5834" s="273"/>
    </row>
    <row r="5835" spans="1:14" ht="12.75" customHeight="1" x14ac:dyDescent="0.2">
      <c r="A5835" s="396" t="s">
        <v>76</v>
      </c>
      <c r="B5835" s="271"/>
      <c r="C5835" s="271"/>
      <c r="D5835" s="271"/>
      <c r="E5835" s="271"/>
      <c r="F5835" s="271"/>
      <c r="G5835" s="273"/>
      <c r="H5835" s="88" t="s">
        <v>77</v>
      </c>
      <c r="I5835" s="399" t="s">
        <v>920</v>
      </c>
      <c r="J5835" s="273"/>
      <c r="K5835" s="399" t="s">
        <v>453</v>
      </c>
      <c r="L5835" s="273"/>
      <c r="M5835" s="399" t="s">
        <v>921</v>
      </c>
      <c r="N5835" s="273"/>
    </row>
    <row r="5836" spans="1:14" ht="12.75" customHeight="1" x14ac:dyDescent="0.2">
      <c r="A5836" s="400" t="s">
        <v>930</v>
      </c>
      <c r="B5836" s="271"/>
      <c r="C5836" s="271"/>
      <c r="D5836" s="271"/>
      <c r="E5836" s="271"/>
      <c r="F5836" s="271"/>
      <c r="G5836" s="273"/>
      <c r="H5836" s="29" t="s">
        <v>24</v>
      </c>
      <c r="I5836" s="394">
        <f>+M5832</f>
        <v>2535300</v>
      </c>
      <c r="J5836" s="273"/>
      <c r="K5836" s="404">
        <v>0.05</v>
      </c>
      <c r="L5836" s="273"/>
      <c r="M5836" s="394">
        <f t="shared" ref="M5836:M5840" si="797">IF(A5836="","",I5836*K5836)</f>
        <v>126765</v>
      </c>
      <c r="N5836" s="273"/>
    </row>
    <row r="5837" spans="1:14" ht="12.75" customHeight="1" x14ac:dyDescent="0.2">
      <c r="A5837" s="403"/>
      <c r="B5837" s="271"/>
      <c r="C5837" s="271"/>
      <c r="D5837" s="271"/>
      <c r="E5837" s="271"/>
      <c r="F5837" s="271"/>
      <c r="G5837" s="273"/>
      <c r="H5837" s="29"/>
      <c r="I5837" s="394"/>
      <c r="J5837" s="273"/>
      <c r="K5837" s="404"/>
      <c r="L5837" s="273"/>
      <c r="M5837" s="394" t="str">
        <f t="shared" si="797"/>
        <v/>
      </c>
      <c r="N5837" s="273"/>
    </row>
    <row r="5838" spans="1:14" ht="12.75" customHeight="1" x14ac:dyDescent="0.2">
      <c r="A5838" s="400"/>
      <c r="B5838" s="271"/>
      <c r="C5838" s="271"/>
      <c r="D5838" s="271"/>
      <c r="E5838" s="271"/>
      <c r="F5838" s="271"/>
      <c r="G5838" s="273"/>
      <c r="H5838" s="29"/>
      <c r="I5838" s="394"/>
      <c r="J5838" s="273"/>
      <c r="K5838" s="395"/>
      <c r="L5838" s="273"/>
      <c r="M5838" s="394" t="str">
        <f t="shared" si="797"/>
        <v/>
      </c>
      <c r="N5838" s="273"/>
    </row>
    <row r="5839" spans="1:14" ht="12.75" customHeight="1" x14ac:dyDescent="0.2">
      <c r="A5839" s="400"/>
      <c r="B5839" s="271"/>
      <c r="C5839" s="271"/>
      <c r="D5839" s="271"/>
      <c r="E5839" s="271"/>
      <c r="F5839" s="271"/>
      <c r="G5839" s="273"/>
      <c r="H5839" s="29"/>
      <c r="I5839" s="394"/>
      <c r="J5839" s="273"/>
      <c r="K5839" s="395"/>
      <c r="L5839" s="273"/>
      <c r="M5839" s="394" t="str">
        <f t="shared" si="797"/>
        <v/>
      </c>
      <c r="N5839" s="273"/>
    </row>
    <row r="5840" spans="1:14" ht="12.75" customHeight="1" x14ac:dyDescent="0.2">
      <c r="A5840" s="400"/>
      <c r="B5840" s="271"/>
      <c r="C5840" s="271"/>
      <c r="D5840" s="271"/>
      <c r="E5840" s="271"/>
      <c r="F5840" s="271"/>
      <c r="G5840" s="273"/>
      <c r="H5840" s="29"/>
      <c r="I5840" s="394"/>
      <c r="J5840" s="273"/>
      <c r="K5840" s="395"/>
      <c r="L5840" s="273"/>
      <c r="M5840" s="394" t="str">
        <f t="shared" si="797"/>
        <v/>
      </c>
      <c r="N5840" s="273"/>
    </row>
    <row r="5841" spans="1:14" ht="12.75" customHeight="1" x14ac:dyDescent="0.25">
      <c r="A5841" s="4"/>
      <c r="B5841" s="4"/>
      <c r="C5841" s="4"/>
      <c r="D5841" s="4"/>
      <c r="E5841" s="4"/>
      <c r="F5841" s="4"/>
      <c r="G5841" s="4"/>
      <c r="H5841" s="4"/>
      <c r="I5841" s="4"/>
      <c r="J5841" s="4"/>
      <c r="K5841" s="396" t="s">
        <v>444</v>
      </c>
      <c r="L5841" s="273"/>
      <c r="M5841" s="394">
        <f>SUM(M5836:N5840)</f>
        <v>126765</v>
      </c>
      <c r="N5841" s="273"/>
    </row>
    <row r="5842" spans="1:14" ht="12.75" customHeight="1" x14ac:dyDescent="0.25">
      <c r="A5842" s="4"/>
      <c r="B5842" s="4"/>
      <c r="C5842" s="4"/>
      <c r="D5842" s="4"/>
      <c r="E5842" s="4"/>
      <c r="F5842" s="4"/>
      <c r="G5842" s="4"/>
      <c r="H5842" s="4"/>
      <c r="I5842" s="4"/>
      <c r="J5842" s="4"/>
      <c r="K5842" s="4"/>
      <c r="L5842" s="4"/>
      <c r="M5842" s="4"/>
      <c r="N5842" s="4"/>
    </row>
    <row r="5843" spans="1:14" ht="12.75" customHeight="1" x14ac:dyDescent="0.2">
      <c r="A5843" s="398" t="s">
        <v>931</v>
      </c>
      <c r="B5843" s="271"/>
      <c r="C5843" s="271"/>
      <c r="D5843" s="271"/>
      <c r="E5843" s="271"/>
      <c r="F5843" s="271"/>
      <c r="G5843" s="271"/>
      <c r="H5843" s="271"/>
      <c r="I5843" s="271"/>
      <c r="J5843" s="271"/>
      <c r="K5843" s="271"/>
      <c r="L5843" s="271"/>
      <c r="M5843" s="271"/>
      <c r="N5843" s="273"/>
    </row>
    <row r="5844" spans="1:14" ht="12.75" customHeight="1" x14ac:dyDescent="0.2">
      <c r="A5844" s="396" t="s">
        <v>76</v>
      </c>
      <c r="B5844" s="271"/>
      <c r="C5844" s="271"/>
      <c r="D5844" s="271"/>
      <c r="E5844" s="271"/>
      <c r="F5844" s="271"/>
      <c r="G5844" s="273"/>
      <c r="H5844" s="88" t="s">
        <v>77</v>
      </c>
      <c r="I5844" s="399" t="s">
        <v>920</v>
      </c>
      <c r="J5844" s="273"/>
      <c r="K5844" s="90" t="s">
        <v>514</v>
      </c>
      <c r="L5844" s="91" t="s">
        <v>932</v>
      </c>
      <c r="M5844" s="399" t="s">
        <v>921</v>
      </c>
      <c r="N5844" s="273"/>
    </row>
    <row r="5845" spans="1:14" ht="12.75" customHeight="1" x14ac:dyDescent="0.25">
      <c r="A5845" s="393"/>
      <c r="B5845" s="271"/>
      <c r="C5845" s="271"/>
      <c r="D5845" s="271"/>
      <c r="E5845" s="271"/>
      <c r="F5845" s="271"/>
      <c r="G5845" s="273"/>
      <c r="H5845" s="29" t="str">
        <f>IF(A5845="","",VLOOKUP(A5845,AA_Cuadrillas,4,FALSE))</f>
        <v/>
      </c>
      <c r="I5845" s="394" t="str">
        <f>IF(A5845="","",VLOOKUP(A5845,AA_Cuadrillas,5,FALSE))</f>
        <v/>
      </c>
      <c r="J5845" s="273"/>
      <c r="K5845" s="9" t="str">
        <f>IF(A5845="","",F.P!$I$2)</f>
        <v/>
      </c>
      <c r="L5845" s="93"/>
      <c r="M5845" s="394" t="str">
        <f t="shared" ref="M5845:M5849" si="798">IF(A5845="","",I5845*K5845*L5845)</f>
        <v/>
      </c>
      <c r="N5845" s="273"/>
    </row>
    <row r="5846" spans="1:14" ht="12.75" customHeight="1" x14ac:dyDescent="0.25">
      <c r="A5846" s="393"/>
      <c r="B5846" s="271"/>
      <c r="C5846" s="271"/>
      <c r="D5846" s="271"/>
      <c r="E5846" s="271"/>
      <c r="F5846" s="271"/>
      <c r="G5846" s="273"/>
      <c r="H5846" s="29" t="str">
        <f>IF(A5846="","",VLOOKUP(A5846,AA_Cuadrillas,4,FALSE))</f>
        <v/>
      </c>
      <c r="I5846" s="394" t="str">
        <f>IF(A5846="","",VLOOKUP(A5846,AA_Cuadrillas,5,FALSE))</f>
        <v/>
      </c>
      <c r="J5846" s="273"/>
      <c r="K5846" s="9" t="str">
        <f>IF(A5846="","",F.P!$I$2)</f>
        <v/>
      </c>
      <c r="L5846" s="9"/>
      <c r="M5846" s="394" t="str">
        <f t="shared" si="798"/>
        <v/>
      </c>
      <c r="N5846" s="273"/>
    </row>
    <row r="5847" spans="1:14" ht="12.75" customHeight="1" x14ac:dyDescent="0.25">
      <c r="A5847" s="393"/>
      <c r="B5847" s="271"/>
      <c r="C5847" s="271"/>
      <c r="D5847" s="271"/>
      <c r="E5847" s="271"/>
      <c r="F5847" s="271"/>
      <c r="G5847" s="273"/>
      <c r="H5847" s="29" t="str">
        <f>IF(A5847="","",VLOOKUP(A5847,AA_Cuadrillas,4,FALSE))</f>
        <v/>
      </c>
      <c r="I5847" s="394" t="str">
        <f>IF(A5847="","",VLOOKUP(A5847,AA_Cuadrillas,5,FALSE))</f>
        <v/>
      </c>
      <c r="J5847" s="273"/>
      <c r="K5847" s="9" t="str">
        <f>IF(A5847="","",F.P!$I$2)</f>
        <v/>
      </c>
      <c r="L5847" s="37"/>
      <c r="M5847" s="394" t="str">
        <f t="shared" si="798"/>
        <v/>
      </c>
      <c r="N5847" s="273"/>
    </row>
    <row r="5848" spans="1:14" ht="12.75" customHeight="1" x14ac:dyDescent="0.25">
      <c r="A5848" s="393"/>
      <c r="B5848" s="271"/>
      <c r="C5848" s="271"/>
      <c r="D5848" s="271"/>
      <c r="E5848" s="271"/>
      <c r="F5848" s="271"/>
      <c r="G5848" s="273"/>
      <c r="H5848" s="29" t="str">
        <f>IF(A5848="","",VLOOKUP(A5848,AA_Cuadrillas,4,FALSE))</f>
        <v/>
      </c>
      <c r="I5848" s="394" t="str">
        <f>IF(A5848="","",VLOOKUP(A5848,AA_Cuadrillas,5,FALSE))</f>
        <v/>
      </c>
      <c r="J5848" s="273"/>
      <c r="K5848" s="9" t="str">
        <f>IF(A5848="","",F.P!$I$2)</f>
        <v/>
      </c>
      <c r="L5848" s="37"/>
      <c r="M5848" s="394" t="str">
        <f t="shared" si="798"/>
        <v/>
      </c>
      <c r="N5848" s="273"/>
    </row>
    <row r="5849" spans="1:14" ht="12.75" customHeight="1" x14ac:dyDescent="0.25">
      <c r="A5849" s="393"/>
      <c r="B5849" s="271"/>
      <c r="C5849" s="271"/>
      <c r="D5849" s="271"/>
      <c r="E5849" s="271"/>
      <c r="F5849" s="271"/>
      <c r="G5849" s="273"/>
      <c r="H5849" s="29" t="str">
        <f>IF(A5849="","",VLOOKUP(A5849,AA_Cuadrillas,4,FALSE))</f>
        <v/>
      </c>
      <c r="I5849" s="394" t="str">
        <f>IF(A5849="","",VLOOKUP(A5849,AA_Cuadrillas,5,FALSE))</f>
        <v/>
      </c>
      <c r="J5849" s="273"/>
      <c r="K5849" s="9" t="str">
        <f>IF(A5849="","",F.P!$I$2)</f>
        <v/>
      </c>
      <c r="L5849" s="37"/>
      <c r="M5849" s="394" t="str">
        <f t="shared" si="798"/>
        <v/>
      </c>
      <c r="N5849" s="273"/>
    </row>
    <row r="5850" spans="1:14" ht="12.75" customHeight="1" x14ac:dyDescent="0.25">
      <c r="A5850" s="4"/>
      <c r="B5850" s="4"/>
      <c r="C5850" s="4"/>
      <c r="D5850" s="4"/>
      <c r="E5850" s="4"/>
      <c r="F5850" s="4"/>
      <c r="G5850" s="4"/>
      <c r="H5850" s="4"/>
      <c r="I5850" s="4"/>
      <c r="J5850" s="4"/>
      <c r="K5850" s="396" t="s">
        <v>444</v>
      </c>
      <c r="L5850" s="273"/>
      <c r="M5850" s="394">
        <f>SUM(M5845:N5849)</f>
        <v>0</v>
      </c>
      <c r="N5850" s="273"/>
    </row>
    <row r="5851" spans="1:14" ht="12.75" customHeight="1" x14ac:dyDescent="0.2"/>
    <row r="5852" spans="1:14" ht="12.75" customHeight="1" x14ac:dyDescent="0.2">
      <c r="A5852" s="407" t="s">
        <v>1246</v>
      </c>
      <c r="B5852" s="275"/>
      <c r="C5852" s="275"/>
      <c r="D5852" s="275"/>
      <c r="E5852" s="275"/>
      <c r="F5852" s="275"/>
      <c r="G5852" s="275"/>
      <c r="H5852" s="275"/>
      <c r="I5852" s="275"/>
      <c r="J5852" s="275"/>
      <c r="K5852" s="275"/>
      <c r="L5852" s="275"/>
      <c r="M5852" s="275"/>
      <c r="N5852" s="276"/>
    </row>
    <row r="5853" spans="1:14" ht="12.75" customHeight="1" x14ac:dyDescent="0.2">
      <c r="A5853" s="277"/>
      <c r="B5853" s="278"/>
      <c r="C5853" s="278"/>
      <c r="D5853" s="278"/>
      <c r="E5853" s="278"/>
      <c r="F5853" s="278"/>
      <c r="G5853" s="278"/>
      <c r="H5853" s="278"/>
      <c r="I5853" s="278"/>
      <c r="J5853" s="278"/>
      <c r="K5853" s="278"/>
      <c r="L5853" s="278"/>
      <c r="M5853" s="278"/>
      <c r="N5853" s="279"/>
    </row>
    <row r="5854" spans="1:14" ht="12.75" customHeight="1" x14ac:dyDescent="0.2">
      <c r="A5854" s="75"/>
      <c r="B5854" s="75"/>
      <c r="C5854" s="75"/>
      <c r="D5854" s="75"/>
      <c r="E5854" s="75"/>
      <c r="F5854" s="75"/>
      <c r="G5854" s="75"/>
      <c r="H5854" s="75"/>
      <c r="I5854" s="75"/>
      <c r="J5854" s="75"/>
      <c r="K5854" s="75"/>
      <c r="L5854" s="75"/>
      <c r="M5854" s="75"/>
      <c r="N5854" s="75"/>
    </row>
    <row r="5855" spans="1:14" ht="12.75" customHeight="1" x14ac:dyDescent="0.3">
      <c r="A5855" s="79" t="s">
        <v>749</v>
      </c>
      <c r="B5855" s="80" t="str">
        <f>A5852</f>
        <v>SUMINISTRO PUESTA A PUNTO, OPTIMIZACIÓN Y MANTENIMIENTO DE PTAP</v>
      </c>
      <c r="C5855" s="81" t="s">
        <v>916</v>
      </c>
      <c r="D5855" s="82" t="s">
        <v>1247</v>
      </c>
      <c r="E5855" s="83" t="s">
        <v>445</v>
      </c>
      <c r="F5855" s="86">
        <f>H5855+J5855+L5855+N5855</f>
        <v>94011600</v>
      </c>
      <c r="G5855" s="83" t="s">
        <v>607</v>
      </c>
      <c r="H5855" s="86">
        <f>M5867</f>
        <v>94011600</v>
      </c>
      <c r="I5855" s="83" t="s">
        <v>918</v>
      </c>
      <c r="J5855" s="86">
        <f>M5876</f>
        <v>0</v>
      </c>
      <c r="K5855" s="83" t="s">
        <v>609</v>
      </c>
      <c r="L5855" s="86">
        <f>M5885</f>
        <v>0</v>
      </c>
      <c r="M5855" s="83" t="s">
        <v>610</v>
      </c>
      <c r="N5855" s="86">
        <f>M5894</f>
        <v>0</v>
      </c>
    </row>
    <row r="5856" spans="1:14" ht="12.75" customHeight="1" x14ac:dyDescent="0.25">
      <c r="A5856" s="87"/>
      <c r="B5856" s="87"/>
      <c r="C5856" s="87"/>
      <c r="D5856" s="87"/>
      <c r="E5856" s="87"/>
      <c r="F5856" s="87"/>
      <c r="G5856" s="87"/>
      <c r="J5856" s="87"/>
      <c r="K5856" s="215" t="s">
        <v>3217</v>
      </c>
      <c r="L5856" s="215">
        <f>+F5855*presup!$O$5</f>
        <v>122215080</v>
      </c>
      <c r="M5856" s="87"/>
      <c r="N5856" s="87"/>
    </row>
    <row r="5857" spans="1:14" ht="12.75" customHeight="1" x14ac:dyDescent="0.2">
      <c r="A5857" s="398" t="s">
        <v>919</v>
      </c>
      <c r="B5857" s="271"/>
      <c r="C5857" s="271"/>
      <c r="D5857" s="271"/>
      <c r="E5857" s="271"/>
      <c r="F5857" s="271"/>
      <c r="G5857" s="271"/>
      <c r="H5857" s="271"/>
      <c r="I5857" s="271"/>
      <c r="J5857" s="271"/>
      <c r="K5857" s="271"/>
      <c r="L5857" s="271"/>
      <c r="M5857" s="271"/>
      <c r="N5857" s="273"/>
    </row>
    <row r="5858" spans="1:14" ht="12.75" customHeight="1" x14ac:dyDescent="0.2">
      <c r="A5858" s="396" t="s">
        <v>76</v>
      </c>
      <c r="B5858" s="271"/>
      <c r="C5858" s="271"/>
      <c r="D5858" s="271"/>
      <c r="E5858" s="271"/>
      <c r="F5858" s="271"/>
      <c r="G5858" s="273"/>
      <c r="H5858" s="88" t="s">
        <v>77</v>
      </c>
      <c r="I5858" s="399" t="s">
        <v>920</v>
      </c>
      <c r="J5858" s="273"/>
      <c r="K5858" s="399" t="s">
        <v>453</v>
      </c>
      <c r="L5858" s="273"/>
      <c r="M5858" s="399" t="s">
        <v>921</v>
      </c>
      <c r="N5858" s="273"/>
    </row>
    <row r="5859" spans="1:14" ht="12.75" customHeight="1" x14ac:dyDescent="0.2">
      <c r="A5859" s="400" t="s">
        <v>1248</v>
      </c>
      <c r="B5859" s="271"/>
      <c r="C5859" s="271"/>
      <c r="D5859" s="271"/>
      <c r="E5859" s="271"/>
      <c r="F5859" s="271"/>
      <c r="G5859" s="273"/>
      <c r="H5859" s="29" t="str">
        <f t="shared" ref="H5859:H5864" si="799">IF(A5859="","",VLOOKUP(A5859,AA_Materiales,7,FALSE))</f>
        <v>GLB</v>
      </c>
      <c r="I5859" s="394">
        <f t="shared" ref="I5859:I5866" si="800">IF(A5859="","",VLOOKUP(A5859,AA_Materiales,8,FALSE))</f>
        <v>94011600</v>
      </c>
      <c r="J5859" s="273"/>
      <c r="K5859" s="395">
        <v>1</v>
      </c>
      <c r="L5859" s="273"/>
      <c r="M5859" s="394">
        <f t="shared" ref="M5859:M5866" si="801">IF(A5859="","",I5859*K5859)</f>
        <v>94011600</v>
      </c>
      <c r="N5859" s="273"/>
    </row>
    <row r="5860" spans="1:14" ht="12.75" customHeight="1" x14ac:dyDescent="0.2">
      <c r="A5860" s="400"/>
      <c r="B5860" s="271"/>
      <c r="C5860" s="271"/>
      <c r="D5860" s="271"/>
      <c r="E5860" s="271"/>
      <c r="F5860" s="271"/>
      <c r="G5860" s="273"/>
      <c r="H5860" s="29" t="str">
        <f t="shared" si="799"/>
        <v/>
      </c>
      <c r="I5860" s="394" t="str">
        <f t="shared" si="800"/>
        <v/>
      </c>
      <c r="J5860" s="273"/>
      <c r="K5860" s="395"/>
      <c r="L5860" s="273"/>
      <c r="M5860" s="394" t="str">
        <f t="shared" si="801"/>
        <v/>
      </c>
      <c r="N5860" s="273"/>
    </row>
    <row r="5861" spans="1:14" ht="12.75" customHeight="1" x14ac:dyDescent="0.2">
      <c r="A5861" s="400"/>
      <c r="B5861" s="271"/>
      <c r="C5861" s="271"/>
      <c r="D5861" s="271"/>
      <c r="E5861" s="271"/>
      <c r="F5861" s="271"/>
      <c r="G5861" s="273"/>
      <c r="H5861" s="29" t="str">
        <f t="shared" si="799"/>
        <v/>
      </c>
      <c r="I5861" s="394" t="str">
        <f t="shared" si="800"/>
        <v/>
      </c>
      <c r="J5861" s="273"/>
      <c r="K5861" s="395"/>
      <c r="L5861" s="273"/>
      <c r="M5861" s="394" t="str">
        <f t="shared" si="801"/>
        <v/>
      </c>
      <c r="N5861" s="273"/>
    </row>
    <row r="5862" spans="1:14" ht="12.75" customHeight="1" x14ac:dyDescent="0.2">
      <c r="A5862" s="400"/>
      <c r="B5862" s="271"/>
      <c r="C5862" s="271"/>
      <c r="D5862" s="271"/>
      <c r="E5862" s="271"/>
      <c r="F5862" s="271"/>
      <c r="G5862" s="273"/>
      <c r="H5862" s="29" t="str">
        <f t="shared" si="799"/>
        <v/>
      </c>
      <c r="I5862" s="394" t="str">
        <f t="shared" si="800"/>
        <v/>
      </c>
      <c r="J5862" s="273"/>
      <c r="K5862" s="395"/>
      <c r="L5862" s="273"/>
      <c r="M5862" s="394" t="str">
        <f t="shared" si="801"/>
        <v/>
      </c>
      <c r="N5862" s="273"/>
    </row>
    <row r="5863" spans="1:14" ht="12.75" customHeight="1" x14ac:dyDescent="0.2">
      <c r="A5863" s="400"/>
      <c r="B5863" s="271"/>
      <c r="C5863" s="271"/>
      <c r="D5863" s="271"/>
      <c r="E5863" s="271"/>
      <c r="F5863" s="271"/>
      <c r="G5863" s="273"/>
      <c r="H5863" s="29" t="str">
        <f t="shared" si="799"/>
        <v/>
      </c>
      <c r="I5863" s="394" t="str">
        <f t="shared" si="800"/>
        <v/>
      </c>
      <c r="J5863" s="273"/>
      <c r="K5863" s="395"/>
      <c r="L5863" s="273"/>
      <c r="M5863" s="394" t="str">
        <f t="shared" si="801"/>
        <v/>
      </c>
      <c r="N5863" s="273"/>
    </row>
    <row r="5864" spans="1:14" ht="12.75" customHeight="1" x14ac:dyDescent="0.2">
      <c r="A5864" s="400"/>
      <c r="B5864" s="271"/>
      <c r="C5864" s="271"/>
      <c r="D5864" s="271"/>
      <c r="E5864" s="271"/>
      <c r="F5864" s="271"/>
      <c r="G5864" s="273"/>
      <c r="H5864" s="29" t="str">
        <f t="shared" si="799"/>
        <v/>
      </c>
      <c r="I5864" s="394" t="str">
        <f t="shared" si="800"/>
        <v/>
      </c>
      <c r="J5864" s="273"/>
      <c r="K5864" s="395"/>
      <c r="L5864" s="273"/>
      <c r="M5864" s="394" t="str">
        <f t="shared" si="801"/>
        <v/>
      </c>
      <c r="N5864" s="273"/>
    </row>
    <row r="5865" spans="1:14" ht="12.75" customHeight="1" x14ac:dyDescent="0.2">
      <c r="A5865" s="400"/>
      <c r="B5865" s="271"/>
      <c r="C5865" s="271"/>
      <c r="D5865" s="271"/>
      <c r="E5865" s="271"/>
      <c r="F5865" s="271"/>
      <c r="G5865" s="273"/>
      <c r="H5865" s="29"/>
      <c r="I5865" s="394" t="str">
        <f t="shared" si="800"/>
        <v/>
      </c>
      <c r="J5865" s="273"/>
      <c r="K5865" s="395"/>
      <c r="L5865" s="273"/>
      <c r="M5865" s="394" t="str">
        <f t="shared" si="801"/>
        <v/>
      </c>
      <c r="N5865" s="273"/>
    </row>
    <row r="5866" spans="1:14" ht="12.75" customHeight="1" x14ac:dyDescent="0.2">
      <c r="A5866" s="400"/>
      <c r="B5866" s="271"/>
      <c r="C5866" s="271"/>
      <c r="D5866" s="271"/>
      <c r="E5866" s="271"/>
      <c r="F5866" s="271"/>
      <c r="G5866" s="273"/>
      <c r="H5866" s="29" t="str">
        <f>IF(A5866="","",VLOOKUP(A5866,AA_Materiales,7,FALSE))</f>
        <v/>
      </c>
      <c r="I5866" s="394" t="str">
        <f t="shared" si="800"/>
        <v/>
      </c>
      <c r="J5866" s="273"/>
      <c r="K5866" s="395"/>
      <c r="L5866" s="273"/>
      <c r="M5866" s="394" t="str">
        <f t="shared" si="801"/>
        <v/>
      </c>
      <c r="N5866" s="273"/>
    </row>
    <row r="5867" spans="1:14" ht="12.75" customHeight="1" x14ac:dyDescent="0.25">
      <c r="A5867" s="4"/>
      <c r="B5867" s="4"/>
      <c r="C5867" s="4"/>
      <c r="D5867" s="4"/>
      <c r="E5867" s="4"/>
      <c r="F5867" s="4"/>
      <c r="G5867" s="4"/>
      <c r="H5867" s="4"/>
      <c r="I5867" s="4"/>
      <c r="J5867" s="4"/>
      <c r="K5867" s="396" t="s">
        <v>444</v>
      </c>
      <c r="L5867" s="273"/>
      <c r="M5867" s="394">
        <f>SUM(M5859:N5866)</f>
        <v>94011600</v>
      </c>
      <c r="N5867" s="273"/>
    </row>
    <row r="5868" spans="1:14" ht="12.75" customHeight="1" x14ac:dyDescent="0.25">
      <c r="A5868" s="4"/>
      <c r="B5868" s="4"/>
      <c r="C5868" s="4"/>
      <c r="D5868" s="4"/>
      <c r="E5868" s="4"/>
      <c r="F5868" s="4"/>
      <c r="G5868" s="4"/>
      <c r="H5868" s="4"/>
      <c r="I5868" s="4"/>
      <c r="J5868" s="4"/>
      <c r="K5868" s="4"/>
      <c r="L5868" s="4"/>
      <c r="M5868" s="4"/>
      <c r="N5868" s="4"/>
    </row>
    <row r="5869" spans="1:14" ht="12.75" customHeight="1" x14ac:dyDescent="0.2">
      <c r="A5869" s="398" t="s">
        <v>926</v>
      </c>
      <c r="B5869" s="271"/>
      <c r="C5869" s="271"/>
      <c r="D5869" s="271"/>
      <c r="E5869" s="271"/>
      <c r="F5869" s="271"/>
      <c r="G5869" s="271"/>
      <c r="H5869" s="271"/>
      <c r="I5869" s="271"/>
      <c r="J5869" s="271"/>
      <c r="K5869" s="271"/>
      <c r="L5869" s="271"/>
      <c r="M5869" s="271"/>
      <c r="N5869" s="273"/>
    </row>
    <row r="5870" spans="1:14" ht="12.75" customHeight="1" x14ac:dyDescent="0.2">
      <c r="A5870" s="396" t="s">
        <v>76</v>
      </c>
      <c r="B5870" s="271"/>
      <c r="C5870" s="271"/>
      <c r="D5870" s="271"/>
      <c r="E5870" s="271"/>
      <c r="F5870" s="271"/>
      <c r="G5870" s="273"/>
      <c r="H5870" s="88" t="s">
        <v>77</v>
      </c>
      <c r="I5870" s="399" t="s">
        <v>920</v>
      </c>
      <c r="J5870" s="273"/>
      <c r="K5870" s="399" t="s">
        <v>453</v>
      </c>
      <c r="L5870" s="273"/>
      <c r="M5870" s="399" t="s">
        <v>921</v>
      </c>
      <c r="N5870" s="273"/>
    </row>
    <row r="5871" spans="1:14" ht="12.75" customHeight="1" x14ac:dyDescent="0.2">
      <c r="A5871" s="400" t="s">
        <v>927</v>
      </c>
      <c r="B5871" s="271"/>
      <c r="C5871" s="271"/>
      <c r="D5871" s="271"/>
      <c r="E5871" s="271"/>
      <c r="F5871" s="271"/>
      <c r="G5871" s="273"/>
      <c r="H5871" s="29" t="str">
        <f>IF(A5871="","",VLOOKUP(A5871,AA_Equipos,7,FALSE))</f>
        <v>% M.O.</v>
      </c>
      <c r="I5871" s="394">
        <f>+M5894</f>
        <v>0</v>
      </c>
      <c r="J5871" s="273"/>
      <c r="K5871" s="404">
        <v>0.05</v>
      </c>
      <c r="L5871" s="273"/>
      <c r="M5871" s="394">
        <f t="shared" ref="M5871:M5875" si="802">IF(A5871="","",I5871*K5871)</f>
        <v>0</v>
      </c>
      <c r="N5871" s="273"/>
    </row>
    <row r="5872" spans="1:14" ht="12.75" customHeight="1" x14ac:dyDescent="0.2">
      <c r="A5872" s="403"/>
      <c r="B5872" s="271"/>
      <c r="C5872" s="271"/>
      <c r="D5872" s="271"/>
      <c r="E5872" s="271"/>
      <c r="F5872" s="271"/>
      <c r="G5872" s="273"/>
      <c r="H5872" s="29" t="str">
        <f>IF(A5872="","",VLOOKUP(A5872,AA_Equipos,7,FALSE))</f>
        <v/>
      </c>
      <c r="I5872" s="394" t="str">
        <f>IF(A5872="","",VLOOKUP(A5872,AA_Equipos,8,FALSE))</f>
        <v/>
      </c>
      <c r="J5872" s="273"/>
      <c r="K5872" s="402"/>
      <c r="L5872" s="273"/>
      <c r="M5872" s="394" t="str">
        <f t="shared" si="802"/>
        <v/>
      </c>
      <c r="N5872" s="273"/>
    </row>
    <row r="5873" spans="1:14" ht="12.75" customHeight="1" x14ac:dyDescent="0.2">
      <c r="A5873" s="400"/>
      <c r="B5873" s="271"/>
      <c r="C5873" s="271"/>
      <c r="D5873" s="271"/>
      <c r="E5873" s="271"/>
      <c r="F5873" s="271"/>
      <c r="G5873" s="273"/>
      <c r="H5873" s="29" t="str">
        <f>IF(A5873="","",VLOOKUP(A5873,AA_Equipos,7,FALSE))</f>
        <v/>
      </c>
      <c r="I5873" s="394" t="str">
        <f>IF(A5873="","",VLOOKUP(A5873,AA_Equipos,8,FALSE))</f>
        <v/>
      </c>
      <c r="J5873" s="273"/>
      <c r="K5873" s="402"/>
      <c r="L5873" s="273"/>
      <c r="M5873" s="394" t="str">
        <f t="shared" si="802"/>
        <v/>
      </c>
      <c r="N5873" s="273"/>
    </row>
    <row r="5874" spans="1:14" ht="12.75" customHeight="1" x14ac:dyDescent="0.2">
      <c r="A5874" s="400"/>
      <c r="B5874" s="271"/>
      <c r="C5874" s="271"/>
      <c r="D5874" s="271"/>
      <c r="E5874" s="271"/>
      <c r="F5874" s="271"/>
      <c r="G5874" s="273"/>
      <c r="H5874" s="29" t="str">
        <f>IF(A5874="","",VLOOKUP(A5874,AA_Equipos,7,FALSE))</f>
        <v/>
      </c>
      <c r="I5874" s="394" t="str">
        <f>IF(A5874="","",VLOOKUP(A5874,AA_Equipos,8,FALSE))</f>
        <v/>
      </c>
      <c r="J5874" s="273"/>
      <c r="K5874" s="402"/>
      <c r="L5874" s="273"/>
      <c r="M5874" s="394" t="str">
        <f t="shared" si="802"/>
        <v/>
      </c>
      <c r="N5874" s="273"/>
    </row>
    <row r="5875" spans="1:14" ht="12.75" customHeight="1" x14ac:dyDescent="0.2">
      <c r="A5875" s="400"/>
      <c r="B5875" s="271"/>
      <c r="C5875" s="271"/>
      <c r="D5875" s="271"/>
      <c r="E5875" s="271"/>
      <c r="F5875" s="271"/>
      <c r="G5875" s="273"/>
      <c r="H5875" s="29" t="str">
        <f>IF(A5875="","",VLOOKUP(A5875,AA_Equipos,7,FALSE))</f>
        <v/>
      </c>
      <c r="I5875" s="394" t="str">
        <f>IF(A5875="","",VLOOKUP(A5875,AA_Equipos,8,FALSE))</f>
        <v/>
      </c>
      <c r="J5875" s="273"/>
      <c r="K5875" s="395"/>
      <c r="L5875" s="273"/>
      <c r="M5875" s="394" t="str">
        <f t="shared" si="802"/>
        <v/>
      </c>
      <c r="N5875" s="273"/>
    </row>
    <row r="5876" spans="1:14" ht="12.75" customHeight="1" x14ac:dyDescent="0.25">
      <c r="A5876" s="4"/>
      <c r="B5876" s="4"/>
      <c r="C5876" s="4"/>
      <c r="D5876" s="4"/>
      <c r="E5876" s="4"/>
      <c r="F5876" s="4"/>
      <c r="G5876" s="4"/>
      <c r="H5876" s="4"/>
      <c r="I5876" s="4"/>
      <c r="J5876" s="4"/>
      <c r="K5876" s="396" t="s">
        <v>444</v>
      </c>
      <c r="L5876" s="273"/>
      <c r="M5876" s="394">
        <f>SUM(M5871:N5875)</f>
        <v>0</v>
      </c>
      <c r="N5876" s="273"/>
    </row>
    <row r="5877" spans="1:14" ht="12.75" customHeight="1" x14ac:dyDescent="0.25">
      <c r="A5877" s="4"/>
      <c r="B5877" s="4"/>
      <c r="C5877" s="4"/>
      <c r="D5877" s="4"/>
      <c r="E5877" s="4"/>
      <c r="F5877" s="4"/>
      <c r="G5877" s="4"/>
      <c r="H5877" s="4"/>
      <c r="I5877" s="4"/>
      <c r="J5877" s="4"/>
      <c r="K5877" s="4"/>
      <c r="L5877" s="4"/>
      <c r="M5877" s="4"/>
      <c r="N5877" s="4"/>
    </row>
    <row r="5878" spans="1:14" ht="12.75" customHeight="1" x14ac:dyDescent="0.2">
      <c r="A5878" s="398" t="s">
        <v>929</v>
      </c>
      <c r="B5878" s="271"/>
      <c r="C5878" s="271"/>
      <c r="D5878" s="271"/>
      <c r="E5878" s="271"/>
      <c r="F5878" s="271"/>
      <c r="G5878" s="271"/>
      <c r="H5878" s="271"/>
      <c r="I5878" s="271"/>
      <c r="J5878" s="271"/>
      <c r="K5878" s="271"/>
      <c r="L5878" s="271"/>
      <c r="M5878" s="271"/>
      <c r="N5878" s="273"/>
    </row>
    <row r="5879" spans="1:14" ht="12.75" customHeight="1" x14ac:dyDescent="0.2">
      <c r="A5879" s="396" t="s">
        <v>76</v>
      </c>
      <c r="B5879" s="271"/>
      <c r="C5879" s="271"/>
      <c r="D5879" s="271"/>
      <c r="E5879" s="271"/>
      <c r="F5879" s="271"/>
      <c r="G5879" s="273"/>
      <c r="H5879" s="88" t="s">
        <v>77</v>
      </c>
      <c r="I5879" s="399" t="s">
        <v>920</v>
      </c>
      <c r="J5879" s="273"/>
      <c r="K5879" s="399" t="s">
        <v>453</v>
      </c>
      <c r="L5879" s="273"/>
      <c r="M5879" s="399" t="s">
        <v>921</v>
      </c>
      <c r="N5879" s="273"/>
    </row>
    <row r="5880" spans="1:14" ht="12.75" customHeight="1" x14ac:dyDescent="0.2">
      <c r="A5880" s="400"/>
      <c r="B5880" s="271"/>
      <c r="C5880" s="271"/>
      <c r="D5880" s="271"/>
      <c r="E5880" s="271"/>
      <c r="F5880" s="271"/>
      <c r="G5880" s="273"/>
      <c r="H5880" s="29"/>
      <c r="I5880" s="394"/>
      <c r="J5880" s="273"/>
      <c r="K5880" s="404"/>
      <c r="L5880" s="273"/>
      <c r="M5880" s="394" t="str">
        <f t="shared" ref="M5880:M5884" si="803">IF(A5880="","",I5880*K5880)</f>
        <v/>
      </c>
      <c r="N5880" s="273"/>
    </row>
    <row r="5881" spans="1:14" ht="12.75" customHeight="1" x14ac:dyDescent="0.2">
      <c r="A5881" s="403"/>
      <c r="B5881" s="271"/>
      <c r="C5881" s="271"/>
      <c r="D5881" s="271"/>
      <c r="E5881" s="271"/>
      <c r="F5881" s="271"/>
      <c r="G5881" s="273"/>
      <c r="H5881" s="29"/>
      <c r="I5881" s="394"/>
      <c r="J5881" s="273"/>
      <c r="K5881" s="404"/>
      <c r="L5881" s="273"/>
      <c r="M5881" s="394" t="str">
        <f t="shared" si="803"/>
        <v/>
      </c>
      <c r="N5881" s="273"/>
    </row>
    <row r="5882" spans="1:14" ht="12.75" customHeight="1" x14ac:dyDescent="0.2">
      <c r="A5882" s="400"/>
      <c r="B5882" s="271"/>
      <c r="C5882" s="271"/>
      <c r="D5882" s="271"/>
      <c r="E5882" s="271"/>
      <c r="F5882" s="271"/>
      <c r="G5882" s="273"/>
      <c r="H5882" s="29"/>
      <c r="I5882" s="394"/>
      <c r="J5882" s="273"/>
      <c r="K5882" s="395"/>
      <c r="L5882" s="273"/>
      <c r="M5882" s="394" t="str">
        <f t="shared" si="803"/>
        <v/>
      </c>
      <c r="N5882" s="273"/>
    </row>
    <row r="5883" spans="1:14" ht="12.75" customHeight="1" x14ac:dyDescent="0.2">
      <c r="A5883" s="400"/>
      <c r="B5883" s="271"/>
      <c r="C5883" s="271"/>
      <c r="D5883" s="271"/>
      <c r="E5883" s="271"/>
      <c r="F5883" s="271"/>
      <c r="G5883" s="273"/>
      <c r="H5883" s="29"/>
      <c r="I5883" s="394"/>
      <c r="J5883" s="273"/>
      <c r="K5883" s="395"/>
      <c r="L5883" s="273"/>
      <c r="M5883" s="394" t="str">
        <f t="shared" si="803"/>
        <v/>
      </c>
      <c r="N5883" s="273"/>
    </row>
    <row r="5884" spans="1:14" ht="12.75" customHeight="1" x14ac:dyDescent="0.2">
      <c r="A5884" s="400"/>
      <c r="B5884" s="271"/>
      <c r="C5884" s="271"/>
      <c r="D5884" s="271"/>
      <c r="E5884" s="271"/>
      <c r="F5884" s="271"/>
      <c r="G5884" s="273"/>
      <c r="H5884" s="29"/>
      <c r="I5884" s="394"/>
      <c r="J5884" s="273"/>
      <c r="K5884" s="395"/>
      <c r="L5884" s="273"/>
      <c r="M5884" s="394" t="str">
        <f t="shared" si="803"/>
        <v/>
      </c>
      <c r="N5884" s="273"/>
    </row>
    <row r="5885" spans="1:14" ht="12.75" customHeight="1" x14ac:dyDescent="0.25">
      <c r="A5885" s="4"/>
      <c r="B5885" s="4"/>
      <c r="C5885" s="4"/>
      <c r="D5885" s="4"/>
      <c r="E5885" s="4"/>
      <c r="F5885" s="4"/>
      <c r="G5885" s="4"/>
      <c r="H5885" s="4"/>
      <c r="I5885" s="4"/>
      <c r="J5885" s="4"/>
      <c r="K5885" s="396" t="s">
        <v>444</v>
      </c>
      <c r="L5885" s="273"/>
      <c r="M5885" s="394">
        <f>SUM(M5880:N5884)</f>
        <v>0</v>
      </c>
      <c r="N5885" s="273"/>
    </row>
    <row r="5886" spans="1:14" ht="12.75" customHeight="1" x14ac:dyDescent="0.25">
      <c r="A5886" s="4"/>
      <c r="B5886" s="4"/>
      <c r="C5886" s="4"/>
      <c r="D5886" s="4"/>
      <c r="E5886" s="4"/>
      <c r="F5886" s="4"/>
      <c r="G5886" s="4"/>
      <c r="H5886" s="4"/>
      <c r="I5886" s="4"/>
      <c r="J5886" s="4"/>
      <c r="K5886" s="4"/>
      <c r="L5886" s="4"/>
      <c r="M5886" s="4"/>
      <c r="N5886" s="4"/>
    </row>
    <row r="5887" spans="1:14" ht="12.75" customHeight="1" x14ac:dyDescent="0.2">
      <c r="A5887" s="398" t="s">
        <v>931</v>
      </c>
      <c r="B5887" s="271"/>
      <c r="C5887" s="271"/>
      <c r="D5887" s="271"/>
      <c r="E5887" s="271"/>
      <c r="F5887" s="271"/>
      <c r="G5887" s="271"/>
      <c r="H5887" s="271"/>
      <c r="I5887" s="271"/>
      <c r="J5887" s="271"/>
      <c r="K5887" s="271"/>
      <c r="L5887" s="271"/>
      <c r="M5887" s="271"/>
      <c r="N5887" s="273"/>
    </row>
    <row r="5888" spans="1:14" ht="12.75" customHeight="1" x14ac:dyDescent="0.2">
      <c r="A5888" s="396" t="s">
        <v>76</v>
      </c>
      <c r="B5888" s="271"/>
      <c r="C5888" s="271"/>
      <c r="D5888" s="271"/>
      <c r="E5888" s="271"/>
      <c r="F5888" s="271"/>
      <c r="G5888" s="273"/>
      <c r="H5888" s="88" t="s">
        <v>77</v>
      </c>
      <c r="I5888" s="399" t="s">
        <v>920</v>
      </c>
      <c r="J5888" s="273"/>
      <c r="K5888" s="90" t="s">
        <v>514</v>
      </c>
      <c r="L5888" s="91" t="s">
        <v>932</v>
      </c>
      <c r="M5888" s="399" t="s">
        <v>921</v>
      </c>
      <c r="N5888" s="273"/>
    </row>
    <row r="5889" spans="1:14" ht="12.75" customHeight="1" x14ac:dyDescent="0.25">
      <c r="A5889" s="393"/>
      <c r="B5889" s="271"/>
      <c r="C5889" s="271"/>
      <c r="D5889" s="271"/>
      <c r="E5889" s="271"/>
      <c r="F5889" s="271"/>
      <c r="G5889" s="273"/>
      <c r="H5889" s="29" t="str">
        <f>IF(A5889="","",VLOOKUP(A5889,AA_Cuadrillas,4,FALSE))</f>
        <v/>
      </c>
      <c r="I5889" s="394" t="str">
        <f>IF(A5889="","",VLOOKUP(A5889,AA_Cuadrillas,5,FALSE))</f>
        <v/>
      </c>
      <c r="J5889" s="273"/>
      <c r="K5889" s="9" t="str">
        <f>IF(A5889="","",F.P!$I$2)</f>
        <v/>
      </c>
      <c r="L5889" s="93"/>
      <c r="M5889" s="394" t="str">
        <f t="shared" ref="M5889:M5893" si="804">IF(A5889="","",I5889*K5889*L5889)</f>
        <v/>
      </c>
      <c r="N5889" s="273"/>
    </row>
    <row r="5890" spans="1:14" ht="12.75" customHeight="1" x14ac:dyDescent="0.25">
      <c r="A5890" s="393"/>
      <c r="B5890" s="271"/>
      <c r="C5890" s="271"/>
      <c r="D5890" s="271"/>
      <c r="E5890" s="271"/>
      <c r="F5890" s="271"/>
      <c r="G5890" s="273"/>
      <c r="H5890" s="29" t="str">
        <f>IF(A5890="","",VLOOKUP(A5890,AA_Cuadrillas,4,FALSE))</f>
        <v/>
      </c>
      <c r="I5890" s="394" t="str">
        <f>IF(A5890="","",VLOOKUP(A5890,AA_Cuadrillas,5,FALSE))</f>
        <v/>
      </c>
      <c r="J5890" s="273"/>
      <c r="K5890" s="9" t="str">
        <f>IF(A5890="","",F.P!$I$2)</f>
        <v/>
      </c>
      <c r="L5890" s="9"/>
      <c r="M5890" s="394" t="str">
        <f t="shared" si="804"/>
        <v/>
      </c>
      <c r="N5890" s="273"/>
    </row>
    <row r="5891" spans="1:14" ht="12.75" customHeight="1" x14ac:dyDescent="0.25">
      <c r="A5891" s="393"/>
      <c r="B5891" s="271"/>
      <c r="C5891" s="271"/>
      <c r="D5891" s="271"/>
      <c r="E5891" s="271"/>
      <c r="F5891" s="271"/>
      <c r="G5891" s="273"/>
      <c r="H5891" s="29" t="str">
        <f>IF(A5891="","",VLOOKUP(A5891,AA_Cuadrillas,4,FALSE))</f>
        <v/>
      </c>
      <c r="I5891" s="394" t="str">
        <f>IF(A5891="","",VLOOKUP(A5891,AA_Cuadrillas,5,FALSE))</f>
        <v/>
      </c>
      <c r="J5891" s="273"/>
      <c r="K5891" s="9" t="str">
        <f>IF(A5891="","",F.P!$I$2)</f>
        <v/>
      </c>
      <c r="L5891" s="37"/>
      <c r="M5891" s="394" t="str">
        <f t="shared" si="804"/>
        <v/>
      </c>
      <c r="N5891" s="273"/>
    </row>
    <row r="5892" spans="1:14" ht="12.75" customHeight="1" x14ac:dyDescent="0.25">
      <c r="A5892" s="393"/>
      <c r="B5892" s="271"/>
      <c r="C5892" s="271"/>
      <c r="D5892" s="271"/>
      <c r="E5892" s="271"/>
      <c r="F5892" s="271"/>
      <c r="G5892" s="273"/>
      <c r="H5892" s="29" t="str">
        <f>IF(A5892="","",VLOOKUP(A5892,AA_Cuadrillas,4,FALSE))</f>
        <v/>
      </c>
      <c r="I5892" s="394" t="str">
        <f>IF(A5892="","",VLOOKUP(A5892,AA_Cuadrillas,5,FALSE))</f>
        <v/>
      </c>
      <c r="J5892" s="273"/>
      <c r="K5892" s="9" t="str">
        <f>IF(A5892="","",F.P!$I$2)</f>
        <v/>
      </c>
      <c r="L5892" s="37"/>
      <c r="M5892" s="394" t="str">
        <f t="shared" si="804"/>
        <v/>
      </c>
      <c r="N5892" s="273"/>
    </row>
    <row r="5893" spans="1:14" ht="12.75" customHeight="1" x14ac:dyDescent="0.25">
      <c r="A5893" s="393"/>
      <c r="B5893" s="271"/>
      <c r="C5893" s="271"/>
      <c r="D5893" s="271"/>
      <c r="E5893" s="271"/>
      <c r="F5893" s="271"/>
      <c r="G5893" s="273"/>
      <c r="H5893" s="29" t="str">
        <f>IF(A5893="","",VLOOKUP(A5893,AA_Cuadrillas,4,FALSE))</f>
        <v/>
      </c>
      <c r="I5893" s="394" t="str">
        <f>IF(A5893="","",VLOOKUP(A5893,AA_Cuadrillas,5,FALSE))</f>
        <v/>
      </c>
      <c r="J5893" s="273"/>
      <c r="K5893" s="9" t="str">
        <f>IF(A5893="","",F.P!$I$2)</f>
        <v/>
      </c>
      <c r="L5893" s="37"/>
      <c r="M5893" s="394" t="str">
        <f t="shared" si="804"/>
        <v/>
      </c>
      <c r="N5893" s="273"/>
    </row>
    <row r="5894" spans="1:14" ht="12.75" customHeight="1" x14ac:dyDescent="0.25">
      <c r="A5894" s="4"/>
      <c r="B5894" s="4"/>
      <c r="C5894" s="4"/>
      <c r="D5894" s="4"/>
      <c r="E5894" s="4"/>
      <c r="F5894" s="4"/>
      <c r="G5894" s="4"/>
      <c r="H5894" s="4"/>
      <c r="I5894" s="4"/>
      <c r="J5894" s="4"/>
      <c r="K5894" s="396" t="s">
        <v>444</v>
      </c>
      <c r="L5894" s="273"/>
      <c r="M5894" s="394">
        <f>SUM(M5889:N5893)</f>
        <v>0</v>
      </c>
      <c r="N5894" s="273"/>
    </row>
    <row r="5895" spans="1:14" ht="12.75" customHeight="1" x14ac:dyDescent="0.2"/>
    <row r="5896" spans="1:14" ht="12.75" customHeight="1" x14ac:dyDescent="0.2">
      <c r="A5896" s="407" t="s">
        <v>1249</v>
      </c>
      <c r="B5896" s="275"/>
      <c r="C5896" s="275"/>
      <c r="D5896" s="275"/>
      <c r="E5896" s="275"/>
      <c r="F5896" s="275"/>
      <c r="G5896" s="275"/>
      <c r="H5896" s="275"/>
      <c r="I5896" s="275"/>
      <c r="J5896" s="275"/>
      <c r="K5896" s="275"/>
      <c r="L5896" s="275"/>
      <c r="M5896" s="275"/>
      <c r="N5896" s="276"/>
    </row>
    <row r="5897" spans="1:14" ht="12.75" customHeight="1" x14ac:dyDescent="0.2">
      <c r="A5897" s="277"/>
      <c r="B5897" s="278"/>
      <c r="C5897" s="278"/>
      <c r="D5897" s="278"/>
      <c r="E5897" s="278"/>
      <c r="F5897" s="278"/>
      <c r="G5897" s="278"/>
      <c r="H5897" s="278"/>
      <c r="I5897" s="278"/>
      <c r="J5897" s="278"/>
      <c r="K5897" s="278"/>
      <c r="L5897" s="278"/>
      <c r="M5897" s="278"/>
      <c r="N5897" s="279"/>
    </row>
    <row r="5898" spans="1:14" s="217" customFormat="1" ht="12.75" customHeight="1" x14ac:dyDescent="0.2">
      <c r="A5898" s="216"/>
      <c r="B5898" s="216"/>
      <c r="C5898" s="216"/>
      <c r="D5898" s="216"/>
      <c r="E5898" s="216"/>
      <c r="F5898" s="216"/>
      <c r="G5898" s="216"/>
      <c r="H5898" s="216"/>
      <c r="I5898" s="216"/>
      <c r="J5898" s="216"/>
      <c r="K5898" s="216"/>
      <c r="L5898" s="216"/>
      <c r="M5898" s="216"/>
      <c r="N5898" s="216"/>
    </row>
    <row r="5899" spans="1:14" ht="12.75" customHeight="1" x14ac:dyDescent="0.3">
      <c r="A5899" s="79" t="s">
        <v>750</v>
      </c>
      <c r="B5899" s="80" t="str">
        <f>A5896</f>
        <v>SUMINISTRO E INSTALACIÓN DE MOTOBOMBA 15A - 31W</v>
      </c>
      <c r="C5899" s="81" t="s">
        <v>916</v>
      </c>
      <c r="D5899" s="82" t="s">
        <v>1247</v>
      </c>
      <c r="E5899" s="83" t="s">
        <v>445</v>
      </c>
      <c r="F5899" s="86" t="e">
        <f>H5899+J5899+L5899+N5899</f>
        <v>#N/A</v>
      </c>
      <c r="G5899" s="83" t="s">
        <v>607</v>
      </c>
      <c r="H5899" s="86" t="e">
        <f>M5911</f>
        <v>#N/A</v>
      </c>
      <c r="I5899" s="83" t="s">
        <v>918</v>
      </c>
      <c r="J5899" s="86">
        <f>M5920</f>
        <v>35111.444000000003</v>
      </c>
      <c r="K5899" s="83" t="s">
        <v>609</v>
      </c>
      <c r="L5899" s="86" t="e">
        <f>M5929</f>
        <v>#N/A</v>
      </c>
      <c r="M5899" s="83" t="s">
        <v>610</v>
      </c>
      <c r="N5899" s="86">
        <f>M5938</f>
        <v>702228.88</v>
      </c>
    </row>
    <row r="5900" spans="1:14" ht="12.75" customHeight="1" x14ac:dyDescent="0.25">
      <c r="A5900" s="87"/>
      <c r="B5900" s="87"/>
      <c r="C5900" s="87"/>
      <c r="D5900" s="87"/>
      <c r="E5900" s="87"/>
      <c r="F5900" s="87"/>
      <c r="G5900" s="87"/>
      <c r="J5900" s="87"/>
      <c r="K5900" s="215" t="s">
        <v>3217</v>
      </c>
      <c r="L5900" s="215" t="e">
        <f>+F5899*presup!$O$5</f>
        <v>#N/A</v>
      </c>
      <c r="M5900" s="87"/>
      <c r="N5900" s="87"/>
    </row>
    <row r="5901" spans="1:14" ht="12.75" customHeight="1" x14ac:dyDescent="0.2">
      <c r="A5901" s="398" t="s">
        <v>919</v>
      </c>
      <c r="B5901" s="271"/>
      <c r="C5901" s="271"/>
      <c r="D5901" s="271"/>
      <c r="E5901" s="271"/>
      <c r="F5901" s="271"/>
      <c r="G5901" s="271"/>
      <c r="H5901" s="271"/>
      <c r="I5901" s="271"/>
      <c r="J5901" s="271"/>
      <c r="K5901" s="271"/>
      <c r="L5901" s="271"/>
      <c r="M5901" s="271"/>
      <c r="N5901" s="273"/>
    </row>
    <row r="5902" spans="1:14" ht="12.75" customHeight="1" x14ac:dyDescent="0.2">
      <c r="A5902" s="396" t="s">
        <v>76</v>
      </c>
      <c r="B5902" s="271"/>
      <c r="C5902" s="271"/>
      <c r="D5902" s="271"/>
      <c r="E5902" s="271"/>
      <c r="F5902" s="271"/>
      <c r="G5902" s="273"/>
      <c r="H5902" s="88" t="s">
        <v>77</v>
      </c>
      <c r="I5902" s="399" t="s">
        <v>920</v>
      </c>
      <c r="J5902" s="273"/>
      <c r="K5902" s="399" t="s">
        <v>453</v>
      </c>
      <c r="L5902" s="273"/>
      <c r="M5902" s="399" t="s">
        <v>921</v>
      </c>
      <c r="N5902" s="273"/>
    </row>
    <row r="5903" spans="1:14" ht="12.75" customHeight="1" x14ac:dyDescent="0.2">
      <c r="A5903" s="400" t="s">
        <v>1250</v>
      </c>
      <c r="B5903" s="271"/>
      <c r="C5903" s="271"/>
      <c r="D5903" s="271"/>
      <c r="E5903" s="271"/>
      <c r="F5903" s="271"/>
      <c r="G5903" s="273"/>
      <c r="H5903" s="29" t="e">
        <f t="shared" ref="H5903:H5908" si="805">IF(A5903="","",VLOOKUP(A5903,AA_Materiales,7,FALSE))</f>
        <v>#N/A</v>
      </c>
      <c r="I5903" s="394" t="e">
        <f t="shared" ref="I5903:I5910" si="806">IF(A5903="","",VLOOKUP(A5903,AA_Materiales,8,FALSE))</f>
        <v>#N/A</v>
      </c>
      <c r="J5903" s="273"/>
      <c r="K5903" s="395">
        <v>1</v>
      </c>
      <c r="L5903" s="273"/>
      <c r="M5903" s="394" t="e">
        <f t="shared" ref="M5903:M5910" si="807">IF(A5903="","",I5903*K5903)</f>
        <v>#N/A</v>
      </c>
      <c r="N5903" s="273"/>
    </row>
    <row r="5904" spans="1:14" ht="12.75" customHeight="1" x14ac:dyDescent="0.2">
      <c r="A5904" s="400"/>
      <c r="B5904" s="271"/>
      <c r="C5904" s="271"/>
      <c r="D5904" s="271"/>
      <c r="E5904" s="271"/>
      <c r="F5904" s="271"/>
      <c r="G5904" s="273"/>
      <c r="H5904" s="29" t="str">
        <f t="shared" si="805"/>
        <v/>
      </c>
      <c r="I5904" s="394" t="str">
        <f t="shared" si="806"/>
        <v/>
      </c>
      <c r="J5904" s="273"/>
      <c r="K5904" s="395"/>
      <c r="L5904" s="273"/>
      <c r="M5904" s="394" t="str">
        <f t="shared" si="807"/>
        <v/>
      </c>
      <c r="N5904" s="273"/>
    </row>
    <row r="5905" spans="1:14" ht="12.75" customHeight="1" x14ac:dyDescent="0.2">
      <c r="A5905" s="400"/>
      <c r="B5905" s="271"/>
      <c r="C5905" s="271"/>
      <c r="D5905" s="271"/>
      <c r="E5905" s="271"/>
      <c r="F5905" s="271"/>
      <c r="G5905" s="273"/>
      <c r="H5905" s="29" t="str">
        <f t="shared" si="805"/>
        <v/>
      </c>
      <c r="I5905" s="394" t="str">
        <f t="shared" si="806"/>
        <v/>
      </c>
      <c r="J5905" s="273"/>
      <c r="K5905" s="395"/>
      <c r="L5905" s="273"/>
      <c r="M5905" s="394" t="str">
        <f t="shared" si="807"/>
        <v/>
      </c>
      <c r="N5905" s="273"/>
    </row>
    <row r="5906" spans="1:14" ht="12.75" customHeight="1" x14ac:dyDescent="0.2">
      <c r="A5906" s="400"/>
      <c r="B5906" s="271"/>
      <c r="C5906" s="271"/>
      <c r="D5906" s="271"/>
      <c r="E5906" s="271"/>
      <c r="F5906" s="271"/>
      <c r="G5906" s="273"/>
      <c r="H5906" s="29" t="str">
        <f t="shared" si="805"/>
        <v/>
      </c>
      <c r="I5906" s="394" t="str">
        <f t="shared" si="806"/>
        <v/>
      </c>
      <c r="J5906" s="273"/>
      <c r="K5906" s="395"/>
      <c r="L5906" s="273"/>
      <c r="M5906" s="394" t="str">
        <f t="shared" si="807"/>
        <v/>
      </c>
      <c r="N5906" s="273"/>
    </row>
    <row r="5907" spans="1:14" ht="12.75" customHeight="1" x14ac:dyDescent="0.2">
      <c r="A5907" s="400"/>
      <c r="B5907" s="271"/>
      <c r="C5907" s="271"/>
      <c r="D5907" s="271"/>
      <c r="E5907" s="271"/>
      <c r="F5907" s="271"/>
      <c r="G5907" s="273"/>
      <c r="H5907" s="29" t="str">
        <f t="shared" si="805"/>
        <v/>
      </c>
      <c r="I5907" s="394" t="str">
        <f t="shared" si="806"/>
        <v/>
      </c>
      <c r="J5907" s="273"/>
      <c r="K5907" s="395"/>
      <c r="L5907" s="273"/>
      <c r="M5907" s="394" t="str">
        <f t="shared" si="807"/>
        <v/>
      </c>
      <c r="N5907" s="273"/>
    </row>
    <row r="5908" spans="1:14" ht="12.75" customHeight="1" x14ac:dyDescent="0.2">
      <c r="A5908" s="400"/>
      <c r="B5908" s="271"/>
      <c r="C5908" s="271"/>
      <c r="D5908" s="271"/>
      <c r="E5908" s="271"/>
      <c r="F5908" s="271"/>
      <c r="G5908" s="273"/>
      <c r="H5908" s="29" t="str">
        <f t="shared" si="805"/>
        <v/>
      </c>
      <c r="I5908" s="394" t="str">
        <f t="shared" si="806"/>
        <v/>
      </c>
      <c r="J5908" s="273"/>
      <c r="K5908" s="395"/>
      <c r="L5908" s="273"/>
      <c r="M5908" s="394" t="str">
        <f t="shared" si="807"/>
        <v/>
      </c>
      <c r="N5908" s="273"/>
    </row>
    <row r="5909" spans="1:14" ht="12.75" customHeight="1" x14ac:dyDescent="0.2">
      <c r="A5909" s="400"/>
      <c r="B5909" s="271"/>
      <c r="C5909" s="271"/>
      <c r="D5909" s="271"/>
      <c r="E5909" s="271"/>
      <c r="F5909" s="271"/>
      <c r="G5909" s="273"/>
      <c r="H5909" s="29"/>
      <c r="I5909" s="394" t="str">
        <f t="shared" si="806"/>
        <v/>
      </c>
      <c r="J5909" s="273"/>
      <c r="K5909" s="395"/>
      <c r="L5909" s="273"/>
      <c r="M5909" s="394" t="str">
        <f t="shared" si="807"/>
        <v/>
      </c>
      <c r="N5909" s="273"/>
    </row>
    <row r="5910" spans="1:14" ht="12.75" customHeight="1" x14ac:dyDescent="0.2">
      <c r="A5910" s="400"/>
      <c r="B5910" s="271"/>
      <c r="C5910" s="271"/>
      <c r="D5910" s="271"/>
      <c r="E5910" s="271"/>
      <c r="F5910" s="271"/>
      <c r="G5910" s="273"/>
      <c r="H5910" s="29" t="str">
        <f>IF(A5910="","",VLOOKUP(A5910,AA_Materiales,7,FALSE))</f>
        <v/>
      </c>
      <c r="I5910" s="394" t="str">
        <f t="shared" si="806"/>
        <v/>
      </c>
      <c r="J5910" s="273"/>
      <c r="K5910" s="395"/>
      <c r="L5910" s="273"/>
      <c r="M5910" s="394" t="str">
        <f t="shared" si="807"/>
        <v/>
      </c>
      <c r="N5910" s="273"/>
    </row>
    <row r="5911" spans="1:14" ht="12.75" customHeight="1" x14ac:dyDescent="0.25">
      <c r="A5911" s="4"/>
      <c r="B5911" s="4"/>
      <c r="C5911" s="4"/>
      <c r="D5911" s="4"/>
      <c r="E5911" s="4"/>
      <c r="F5911" s="4"/>
      <c r="G5911" s="4"/>
      <c r="H5911" s="4"/>
      <c r="I5911" s="4"/>
      <c r="J5911" s="4"/>
      <c r="K5911" s="396" t="s">
        <v>444</v>
      </c>
      <c r="L5911" s="273"/>
      <c r="M5911" s="394" t="e">
        <f>SUM(M5903:N5910)</f>
        <v>#N/A</v>
      </c>
      <c r="N5911" s="273"/>
    </row>
    <row r="5912" spans="1:14" ht="12.75" customHeight="1" x14ac:dyDescent="0.25">
      <c r="A5912" s="4"/>
      <c r="B5912" s="4"/>
      <c r="C5912" s="4"/>
      <c r="D5912" s="4"/>
      <c r="E5912" s="4"/>
      <c r="F5912" s="4"/>
      <c r="G5912" s="4"/>
      <c r="H5912" s="4"/>
      <c r="I5912" s="4"/>
      <c r="J5912" s="4"/>
      <c r="K5912" s="4"/>
      <c r="L5912" s="4"/>
      <c r="M5912" s="4"/>
      <c r="N5912" s="4"/>
    </row>
    <row r="5913" spans="1:14" ht="12.75" customHeight="1" x14ac:dyDescent="0.2">
      <c r="A5913" s="398" t="s">
        <v>926</v>
      </c>
      <c r="B5913" s="271"/>
      <c r="C5913" s="271"/>
      <c r="D5913" s="271"/>
      <c r="E5913" s="271"/>
      <c r="F5913" s="271"/>
      <c r="G5913" s="271"/>
      <c r="H5913" s="271"/>
      <c r="I5913" s="271"/>
      <c r="J5913" s="271"/>
      <c r="K5913" s="271"/>
      <c r="L5913" s="271"/>
      <c r="M5913" s="271"/>
      <c r="N5913" s="273"/>
    </row>
    <row r="5914" spans="1:14" ht="12.75" customHeight="1" x14ac:dyDescent="0.2">
      <c r="A5914" s="396" t="s">
        <v>76</v>
      </c>
      <c r="B5914" s="271"/>
      <c r="C5914" s="271"/>
      <c r="D5914" s="271"/>
      <c r="E5914" s="271"/>
      <c r="F5914" s="271"/>
      <c r="G5914" s="273"/>
      <c r="H5914" s="88" t="s">
        <v>77</v>
      </c>
      <c r="I5914" s="399" t="s">
        <v>920</v>
      </c>
      <c r="J5914" s="273"/>
      <c r="K5914" s="399" t="s">
        <v>453</v>
      </c>
      <c r="L5914" s="273"/>
      <c r="M5914" s="399" t="s">
        <v>921</v>
      </c>
      <c r="N5914" s="273"/>
    </row>
    <row r="5915" spans="1:14" ht="12.75" customHeight="1" x14ac:dyDescent="0.2">
      <c r="A5915" s="400" t="s">
        <v>927</v>
      </c>
      <c r="B5915" s="271"/>
      <c r="C5915" s="271"/>
      <c r="D5915" s="271"/>
      <c r="E5915" s="271"/>
      <c r="F5915" s="271"/>
      <c r="G5915" s="273"/>
      <c r="H5915" s="29" t="str">
        <f>IF(A5915="","",VLOOKUP(A5915,AA_Equipos,7,FALSE))</f>
        <v>% M.O.</v>
      </c>
      <c r="I5915" s="394">
        <f>+M5938</f>
        <v>702228.88</v>
      </c>
      <c r="J5915" s="273"/>
      <c r="K5915" s="404">
        <v>0.05</v>
      </c>
      <c r="L5915" s="273"/>
      <c r="M5915" s="394">
        <f t="shared" ref="M5915:M5919" si="808">IF(A5915="","",I5915*K5915)</f>
        <v>35111.444000000003</v>
      </c>
      <c r="N5915" s="273"/>
    </row>
    <row r="5916" spans="1:14" ht="12.75" customHeight="1" x14ac:dyDescent="0.2">
      <c r="A5916" s="403"/>
      <c r="B5916" s="271"/>
      <c r="C5916" s="271"/>
      <c r="D5916" s="271"/>
      <c r="E5916" s="271"/>
      <c r="F5916" s="271"/>
      <c r="G5916" s="273"/>
      <c r="H5916" s="29" t="str">
        <f>IF(A5916="","",VLOOKUP(A5916,AA_Equipos,7,FALSE))</f>
        <v/>
      </c>
      <c r="I5916" s="394" t="str">
        <f>IF(A5916="","",VLOOKUP(A5916,AA_Equipos,8,FALSE))</f>
        <v/>
      </c>
      <c r="J5916" s="273"/>
      <c r="K5916" s="402"/>
      <c r="L5916" s="273"/>
      <c r="M5916" s="394" t="str">
        <f t="shared" si="808"/>
        <v/>
      </c>
      <c r="N5916" s="273"/>
    </row>
    <row r="5917" spans="1:14" ht="12.75" customHeight="1" x14ac:dyDescent="0.2">
      <c r="A5917" s="400"/>
      <c r="B5917" s="271"/>
      <c r="C5917" s="271"/>
      <c r="D5917" s="271"/>
      <c r="E5917" s="271"/>
      <c r="F5917" s="271"/>
      <c r="G5917" s="273"/>
      <c r="H5917" s="29" t="str">
        <f>IF(A5917="","",VLOOKUP(A5917,AA_Equipos,7,FALSE))</f>
        <v/>
      </c>
      <c r="I5917" s="394" t="str">
        <f>IF(A5917="","",VLOOKUP(A5917,AA_Equipos,8,FALSE))</f>
        <v/>
      </c>
      <c r="J5917" s="273"/>
      <c r="K5917" s="402"/>
      <c r="L5917" s="273"/>
      <c r="M5917" s="394" t="str">
        <f t="shared" si="808"/>
        <v/>
      </c>
      <c r="N5917" s="273"/>
    </row>
    <row r="5918" spans="1:14" ht="12.75" customHeight="1" x14ac:dyDescent="0.2">
      <c r="A5918" s="400"/>
      <c r="B5918" s="271"/>
      <c r="C5918" s="271"/>
      <c r="D5918" s="271"/>
      <c r="E5918" s="271"/>
      <c r="F5918" s="271"/>
      <c r="G5918" s="273"/>
      <c r="H5918" s="29" t="str">
        <f>IF(A5918="","",VLOOKUP(A5918,AA_Equipos,7,FALSE))</f>
        <v/>
      </c>
      <c r="I5918" s="394" t="str">
        <f>IF(A5918="","",VLOOKUP(A5918,AA_Equipos,8,FALSE))</f>
        <v/>
      </c>
      <c r="J5918" s="273"/>
      <c r="K5918" s="402"/>
      <c r="L5918" s="273"/>
      <c r="M5918" s="394" t="str">
        <f t="shared" si="808"/>
        <v/>
      </c>
      <c r="N5918" s="273"/>
    </row>
    <row r="5919" spans="1:14" ht="12.75" customHeight="1" x14ac:dyDescent="0.2">
      <c r="A5919" s="400"/>
      <c r="B5919" s="271"/>
      <c r="C5919" s="271"/>
      <c r="D5919" s="271"/>
      <c r="E5919" s="271"/>
      <c r="F5919" s="271"/>
      <c r="G5919" s="273"/>
      <c r="H5919" s="29" t="str">
        <f>IF(A5919="","",VLOOKUP(A5919,AA_Equipos,7,FALSE))</f>
        <v/>
      </c>
      <c r="I5919" s="394" t="str">
        <f>IF(A5919="","",VLOOKUP(A5919,AA_Equipos,8,FALSE))</f>
        <v/>
      </c>
      <c r="J5919" s="273"/>
      <c r="K5919" s="395"/>
      <c r="L5919" s="273"/>
      <c r="M5919" s="394" t="str">
        <f t="shared" si="808"/>
        <v/>
      </c>
      <c r="N5919" s="273"/>
    </row>
    <row r="5920" spans="1:14" ht="12.75" customHeight="1" x14ac:dyDescent="0.25">
      <c r="A5920" s="4"/>
      <c r="B5920" s="4"/>
      <c r="C5920" s="4"/>
      <c r="D5920" s="4"/>
      <c r="E5920" s="4"/>
      <c r="F5920" s="4"/>
      <c r="G5920" s="4"/>
      <c r="H5920" s="4"/>
      <c r="I5920" s="4"/>
      <c r="J5920" s="4"/>
      <c r="K5920" s="396" t="s">
        <v>444</v>
      </c>
      <c r="L5920" s="273"/>
      <c r="M5920" s="394">
        <f>SUM(M5915:N5919)</f>
        <v>35111.444000000003</v>
      </c>
      <c r="N5920" s="273"/>
    </row>
    <row r="5921" spans="1:14" ht="12.75" customHeight="1" x14ac:dyDescent="0.25">
      <c r="A5921" s="4"/>
      <c r="B5921" s="4"/>
      <c r="C5921" s="4"/>
      <c r="D5921" s="4"/>
      <c r="E5921" s="4"/>
      <c r="F5921" s="4"/>
      <c r="G5921" s="4"/>
      <c r="H5921" s="4"/>
      <c r="I5921" s="4"/>
      <c r="J5921" s="4"/>
      <c r="K5921" s="4"/>
      <c r="L5921" s="4"/>
      <c r="M5921" s="4"/>
      <c r="N5921" s="4"/>
    </row>
    <row r="5922" spans="1:14" ht="12.75" customHeight="1" x14ac:dyDescent="0.2">
      <c r="A5922" s="398" t="s">
        <v>929</v>
      </c>
      <c r="B5922" s="271"/>
      <c r="C5922" s="271"/>
      <c r="D5922" s="271"/>
      <c r="E5922" s="271"/>
      <c r="F5922" s="271"/>
      <c r="G5922" s="271"/>
      <c r="H5922" s="271"/>
      <c r="I5922" s="271"/>
      <c r="J5922" s="271"/>
      <c r="K5922" s="271"/>
      <c r="L5922" s="271"/>
      <c r="M5922" s="271"/>
      <c r="N5922" s="273"/>
    </row>
    <row r="5923" spans="1:14" ht="12.75" customHeight="1" x14ac:dyDescent="0.2">
      <c r="A5923" s="396" t="s">
        <v>76</v>
      </c>
      <c r="B5923" s="271"/>
      <c r="C5923" s="271"/>
      <c r="D5923" s="271"/>
      <c r="E5923" s="271"/>
      <c r="F5923" s="271"/>
      <c r="G5923" s="273"/>
      <c r="H5923" s="88" t="s">
        <v>77</v>
      </c>
      <c r="I5923" s="399" t="s">
        <v>920</v>
      </c>
      <c r="J5923" s="273"/>
      <c r="K5923" s="399" t="s">
        <v>453</v>
      </c>
      <c r="L5923" s="273"/>
      <c r="M5923" s="399" t="s">
        <v>921</v>
      </c>
      <c r="N5923" s="273"/>
    </row>
    <row r="5924" spans="1:14" ht="12.75" customHeight="1" x14ac:dyDescent="0.2">
      <c r="A5924" s="400" t="s">
        <v>966</v>
      </c>
      <c r="B5924" s="271"/>
      <c r="C5924" s="271"/>
      <c r="D5924" s="271"/>
      <c r="E5924" s="271"/>
      <c r="F5924" s="271"/>
      <c r="G5924" s="273"/>
      <c r="H5924" s="29" t="s">
        <v>950</v>
      </c>
      <c r="I5924" s="394" t="e">
        <f>+M5911</f>
        <v>#N/A</v>
      </c>
      <c r="J5924" s="273"/>
      <c r="K5924" s="404">
        <v>0.05</v>
      </c>
      <c r="L5924" s="273"/>
      <c r="M5924" s="394" t="e">
        <f t="shared" ref="M5924:M5928" si="809">IF(A5924="","",I5924*K5924)</f>
        <v>#N/A</v>
      </c>
      <c r="N5924" s="273"/>
    </row>
    <row r="5925" spans="1:14" ht="12.75" customHeight="1" x14ac:dyDescent="0.2">
      <c r="A5925" s="403"/>
      <c r="B5925" s="271"/>
      <c r="C5925" s="271"/>
      <c r="D5925" s="271"/>
      <c r="E5925" s="271"/>
      <c r="F5925" s="271"/>
      <c r="G5925" s="273"/>
      <c r="H5925" s="29"/>
      <c r="I5925" s="394"/>
      <c r="J5925" s="273"/>
      <c r="K5925" s="404"/>
      <c r="L5925" s="273"/>
      <c r="M5925" s="394" t="str">
        <f t="shared" si="809"/>
        <v/>
      </c>
      <c r="N5925" s="273"/>
    </row>
    <row r="5926" spans="1:14" ht="12.75" customHeight="1" x14ac:dyDescent="0.2">
      <c r="A5926" s="400"/>
      <c r="B5926" s="271"/>
      <c r="C5926" s="271"/>
      <c r="D5926" s="271"/>
      <c r="E5926" s="271"/>
      <c r="F5926" s="271"/>
      <c r="G5926" s="273"/>
      <c r="H5926" s="29"/>
      <c r="I5926" s="394"/>
      <c r="J5926" s="273"/>
      <c r="K5926" s="395"/>
      <c r="L5926" s="273"/>
      <c r="M5926" s="394" t="str">
        <f t="shared" si="809"/>
        <v/>
      </c>
      <c r="N5926" s="273"/>
    </row>
    <row r="5927" spans="1:14" ht="12.75" customHeight="1" x14ac:dyDescent="0.2">
      <c r="A5927" s="400"/>
      <c r="B5927" s="271"/>
      <c r="C5927" s="271"/>
      <c r="D5927" s="271"/>
      <c r="E5927" s="271"/>
      <c r="F5927" s="271"/>
      <c r="G5927" s="273"/>
      <c r="H5927" s="29"/>
      <c r="I5927" s="394"/>
      <c r="J5927" s="273"/>
      <c r="K5927" s="395"/>
      <c r="L5927" s="273"/>
      <c r="M5927" s="394" t="str">
        <f t="shared" si="809"/>
        <v/>
      </c>
      <c r="N5927" s="273"/>
    </row>
    <row r="5928" spans="1:14" ht="12.75" customHeight="1" x14ac:dyDescent="0.2">
      <c r="A5928" s="400"/>
      <c r="B5928" s="271"/>
      <c r="C5928" s="271"/>
      <c r="D5928" s="271"/>
      <c r="E5928" s="271"/>
      <c r="F5928" s="271"/>
      <c r="G5928" s="273"/>
      <c r="H5928" s="29"/>
      <c r="I5928" s="394"/>
      <c r="J5928" s="273"/>
      <c r="K5928" s="395"/>
      <c r="L5928" s="273"/>
      <c r="M5928" s="394" t="str">
        <f t="shared" si="809"/>
        <v/>
      </c>
      <c r="N5928" s="273"/>
    </row>
    <row r="5929" spans="1:14" ht="12.75" customHeight="1" x14ac:dyDescent="0.25">
      <c r="A5929" s="4"/>
      <c r="B5929" s="4"/>
      <c r="C5929" s="4"/>
      <c r="D5929" s="4"/>
      <c r="E5929" s="4"/>
      <c r="F5929" s="4"/>
      <c r="G5929" s="4"/>
      <c r="H5929" s="4"/>
      <c r="I5929" s="4"/>
      <c r="J5929" s="4"/>
      <c r="K5929" s="396" t="s">
        <v>444</v>
      </c>
      <c r="L5929" s="273"/>
      <c r="M5929" s="394" t="e">
        <f>SUM(M5924:N5928)</f>
        <v>#N/A</v>
      </c>
      <c r="N5929" s="273"/>
    </row>
    <row r="5930" spans="1:14" ht="12.75" customHeight="1" x14ac:dyDescent="0.25">
      <c r="A5930" s="4"/>
      <c r="B5930" s="4"/>
      <c r="C5930" s="4"/>
      <c r="D5930" s="4"/>
      <c r="E5930" s="4"/>
      <c r="F5930" s="4"/>
      <c r="G5930" s="4"/>
      <c r="H5930" s="4"/>
      <c r="I5930" s="4"/>
      <c r="J5930" s="4"/>
      <c r="K5930" s="4"/>
      <c r="L5930" s="4"/>
      <c r="M5930" s="4"/>
      <c r="N5930" s="4"/>
    </row>
    <row r="5931" spans="1:14" ht="12.75" customHeight="1" x14ac:dyDescent="0.2">
      <c r="A5931" s="398" t="s">
        <v>931</v>
      </c>
      <c r="B5931" s="271"/>
      <c r="C5931" s="271"/>
      <c r="D5931" s="271"/>
      <c r="E5931" s="271"/>
      <c r="F5931" s="271"/>
      <c r="G5931" s="271"/>
      <c r="H5931" s="271"/>
      <c r="I5931" s="271"/>
      <c r="J5931" s="271"/>
      <c r="K5931" s="271"/>
      <c r="L5931" s="271"/>
      <c r="M5931" s="271"/>
      <c r="N5931" s="273"/>
    </row>
    <row r="5932" spans="1:14" ht="12.75" customHeight="1" x14ac:dyDescent="0.2">
      <c r="A5932" s="396" t="s">
        <v>76</v>
      </c>
      <c r="B5932" s="271"/>
      <c r="C5932" s="271"/>
      <c r="D5932" s="271"/>
      <c r="E5932" s="271"/>
      <c r="F5932" s="271"/>
      <c r="G5932" s="273"/>
      <c r="H5932" s="88" t="s">
        <v>77</v>
      </c>
      <c r="I5932" s="399" t="s">
        <v>920</v>
      </c>
      <c r="J5932" s="273"/>
      <c r="K5932" s="90" t="s">
        <v>514</v>
      </c>
      <c r="L5932" s="91" t="s">
        <v>932</v>
      </c>
      <c r="M5932" s="399" t="s">
        <v>921</v>
      </c>
      <c r="N5932" s="273"/>
    </row>
    <row r="5933" spans="1:14" ht="12.75" customHeight="1" x14ac:dyDescent="0.25">
      <c r="A5933" s="393" t="s">
        <v>986</v>
      </c>
      <c r="B5933" s="271"/>
      <c r="C5933" s="271"/>
      <c r="D5933" s="271"/>
      <c r="E5933" s="271"/>
      <c r="F5933" s="271"/>
      <c r="G5933" s="273"/>
      <c r="H5933" s="29" t="str">
        <f>IF(A5933="","",VLOOKUP(A5933,AA_Cuadrillas,4,FALSE))</f>
        <v>Cuadrilla</v>
      </c>
      <c r="I5933" s="394">
        <f>IF(A5933="","",VLOOKUP(A5933,AA_Cuadrillas,5,FALSE))</f>
        <v>186763</v>
      </c>
      <c r="J5933" s="273"/>
      <c r="K5933" s="9">
        <f>IF(A5933="","",F.P!$I$2)</f>
        <v>1.88</v>
      </c>
      <c r="L5933" s="93">
        <f>1/0.5</f>
        <v>2</v>
      </c>
      <c r="M5933" s="394">
        <f t="shared" ref="M5933:M5937" si="810">IF(A5933="","",I5933*K5933*L5933)</f>
        <v>702228.88</v>
      </c>
      <c r="N5933" s="273"/>
    </row>
    <row r="5934" spans="1:14" ht="12.75" customHeight="1" x14ac:dyDescent="0.25">
      <c r="A5934" s="393"/>
      <c r="B5934" s="271"/>
      <c r="C5934" s="271"/>
      <c r="D5934" s="271"/>
      <c r="E5934" s="271"/>
      <c r="F5934" s="271"/>
      <c r="G5934" s="273"/>
      <c r="H5934" s="29" t="str">
        <f>IF(A5934="","",VLOOKUP(A5934,AA_Cuadrillas,4,FALSE))</f>
        <v/>
      </c>
      <c r="I5934" s="394" t="str">
        <f>IF(A5934="","",VLOOKUP(A5934,AA_Cuadrillas,5,FALSE))</f>
        <v/>
      </c>
      <c r="J5934" s="273"/>
      <c r="K5934" s="9" t="str">
        <f>IF(A5934="","",F.P!$I$2)</f>
        <v/>
      </c>
      <c r="L5934" s="9"/>
      <c r="M5934" s="394" t="str">
        <f t="shared" si="810"/>
        <v/>
      </c>
      <c r="N5934" s="273"/>
    </row>
    <row r="5935" spans="1:14" ht="12.75" customHeight="1" x14ac:dyDescent="0.25">
      <c r="A5935" s="393"/>
      <c r="B5935" s="271"/>
      <c r="C5935" s="271"/>
      <c r="D5935" s="271"/>
      <c r="E5935" s="271"/>
      <c r="F5935" s="271"/>
      <c r="G5935" s="273"/>
      <c r="H5935" s="29" t="str">
        <f>IF(A5935="","",VLOOKUP(A5935,AA_Cuadrillas,4,FALSE))</f>
        <v/>
      </c>
      <c r="I5935" s="394" t="str">
        <f>IF(A5935="","",VLOOKUP(A5935,AA_Cuadrillas,5,FALSE))</f>
        <v/>
      </c>
      <c r="J5935" s="273"/>
      <c r="K5935" s="9" t="str">
        <f>IF(A5935="","",F.P!$I$2)</f>
        <v/>
      </c>
      <c r="L5935" s="37"/>
      <c r="M5935" s="394" t="str">
        <f t="shared" si="810"/>
        <v/>
      </c>
      <c r="N5935" s="273"/>
    </row>
    <row r="5936" spans="1:14" ht="12.75" customHeight="1" x14ac:dyDescent="0.25">
      <c r="A5936" s="393"/>
      <c r="B5936" s="271"/>
      <c r="C5936" s="271"/>
      <c r="D5936" s="271"/>
      <c r="E5936" s="271"/>
      <c r="F5936" s="271"/>
      <c r="G5936" s="273"/>
      <c r="H5936" s="29" t="str">
        <f>IF(A5936="","",VLOOKUP(A5936,AA_Cuadrillas,4,FALSE))</f>
        <v/>
      </c>
      <c r="I5936" s="394" t="str">
        <f>IF(A5936="","",VLOOKUP(A5936,AA_Cuadrillas,5,FALSE))</f>
        <v/>
      </c>
      <c r="J5936" s="273"/>
      <c r="K5936" s="9" t="str">
        <f>IF(A5936="","",F.P!$I$2)</f>
        <v/>
      </c>
      <c r="L5936" s="37"/>
      <c r="M5936" s="394" t="str">
        <f t="shared" si="810"/>
        <v/>
      </c>
      <c r="N5936" s="273"/>
    </row>
    <row r="5937" spans="1:15" ht="12.75" customHeight="1" x14ac:dyDescent="0.25">
      <c r="A5937" s="393"/>
      <c r="B5937" s="271"/>
      <c r="C5937" s="271"/>
      <c r="D5937" s="271"/>
      <c r="E5937" s="271"/>
      <c r="F5937" s="271"/>
      <c r="G5937" s="273"/>
      <c r="H5937" s="29" t="str">
        <f>IF(A5937="","",VLOOKUP(A5937,AA_Cuadrillas,4,FALSE))</f>
        <v/>
      </c>
      <c r="I5937" s="394" t="str">
        <f>IF(A5937="","",VLOOKUP(A5937,AA_Cuadrillas,5,FALSE))</f>
        <v/>
      </c>
      <c r="J5937" s="273"/>
      <c r="K5937" s="9" t="str">
        <f>IF(A5937="","",F.P!$I$2)</f>
        <v/>
      </c>
      <c r="L5937" s="37"/>
      <c r="M5937" s="394" t="str">
        <f t="shared" si="810"/>
        <v/>
      </c>
      <c r="N5937" s="273"/>
    </row>
    <row r="5938" spans="1:15" ht="12.75" customHeight="1" x14ac:dyDescent="0.25">
      <c r="A5938" s="4"/>
      <c r="B5938" s="4"/>
      <c r="C5938" s="4"/>
      <c r="D5938" s="4"/>
      <c r="E5938" s="4"/>
      <c r="F5938" s="4"/>
      <c r="G5938" s="4"/>
      <c r="H5938" s="4"/>
      <c r="I5938" s="4"/>
      <c r="J5938" s="4"/>
      <c r="K5938" s="396" t="s">
        <v>444</v>
      </c>
      <c r="L5938" s="273"/>
      <c r="M5938" s="394">
        <f>SUM(M5933:N5937)</f>
        <v>702228.88</v>
      </c>
      <c r="N5938" s="273"/>
    </row>
    <row r="5939" spans="1:15" ht="12.75" customHeight="1" x14ac:dyDescent="0.2"/>
    <row r="5940" spans="1:15" ht="12.75" customHeight="1" x14ac:dyDescent="0.2">
      <c r="A5940" s="407" t="s">
        <v>234</v>
      </c>
      <c r="B5940" s="275"/>
      <c r="C5940" s="275"/>
      <c r="D5940" s="275"/>
      <c r="E5940" s="275"/>
      <c r="F5940" s="275"/>
      <c r="G5940" s="275"/>
      <c r="H5940" s="275"/>
      <c r="I5940" s="275"/>
      <c r="J5940" s="275"/>
      <c r="K5940" s="275"/>
      <c r="L5940" s="275"/>
      <c r="M5940" s="275"/>
      <c r="N5940" s="276"/>
      <c r="O5940" s="166"/>
    </row>
    <row r="5941" spans="1:15" ht="12.75" customHeight="1" x14ac:dyDescent="0.2">
      <c r="A5941" s="277"/>
      <c r="B5941" s="278"/>
      <c r="C5941" s="278"/>
      <c r="D5941" s="278"/>
      <c r="E5941" s="278"/>
      <c r="F5941" s="278"/>
      <c r="G5941" s="278"/>
      <c r="H5941" s="278"/>
      <c r="I5941" s="278"/>
      <c r="J5941" s="278"/>
      <c r="K5941" s="278"/>
      <c r="L5941" s="278"/>
      <c r="M5941" s="278"/>
      <c r="N5941" s="279"/>
      <c r="O5941" s="166"/>
    </row>
    <row r="5942" spans="1:15" ht="12.75" customHeight="1" x14ac:dyDescent="0.2">
      <c r="A5942" s="75"/>
      <c r="B5942" s="75"/>
      <c r="C5942" s="75"/>
      <c r="D5942" s="75"/>
      <c r="E5942" s="75"/>
      <c r="F5942" s="75"/>
      <c r="G5942" s="75"/>
      <c r="H5942" s="75"/>
      <c r="I5942" s="75"/>
      <c r="J5942" s="75"/>
      <c r="K5942" s="75"/>
      <c r="L5942" s="75"/>
      <c r="M5942" s="75"/>
      <c r="N5942" s="75"/>
    </row>
    <row r="5943" spans="1:15" ht="12.75" customHeight="1" x14ac:dyDescent="0.3">
      <c r="A5943" s="79" t="s">
        <v>751</v>
      </c>
      <c r="B5943" s="80" t="str">
        <f>A5940</f>
        <v>SUMINISTRO E INSTALACIÓN DE CILINDRO DE ALMACENAMIENTO DE CLORO 150 LB</v>
      </c>
      <c r="C5943" s="81" t="s">
        <v>916</v>
      </c>
      <c r="D5943" s="82" t="s">
        <v>999</v>
      </c>
      <c r="E5943" s="83" t="s">
        <v>445</v>
      </c>
      <c r="F5943" s="234">
        <f>(H5943+J5943+L5943+N5943)*1.3</f>
        <v>8545015.7115555555</v>
      </c>
      <c r="G5943" s="83" t="s">
        <v>607</v>
      </c>
      <c r="H5943" s="86">
        <f>M5964</f>
        <v>13004.238518518519</v>
      </c>
      <c r="I5943" s="83" t="s">
        <v>918</v>
      </c>
      <c r="J5943" s="86">
        <f>M5955</f>
        <v>6000000</v>
      </c>
      <c r="K5943" s="83" t="s">
        <v>609</v>
      </c>
      <c r="L5943" s="86">
        <f>M5973</f>
        <v>300000</v>
      </c>
      <c r="M5943" s="83" t="s">
        <v>610</v>
      </c>
      <c r="N5943" s="86">
        <f>M5982</f>
        <v>260084.77037037036</v>
      </c>
    </row>
    <row r="5944" spans="1:15" ht="12.75" customHeight="1" x14ac:dyDescent="0.25">
      <c r="A5944" s="87"/>
      <c r="B5944" s="87"/>
      <c r="C5944" s="87"/>
      <c r="D5944" s="87"/>
      <c r="E5944" s="87"/>
      <c r="F5944" s="87"/>
      <c r="G5944" s="87"/>
      <c r="J5944" s="87"/>
      <c r="K5944" s="215" t="s">
        <v>3217</v>
      </c>
      <c r="L5944" s="215">
        <f>+F5943*presup!$O$5</f>
        <v>11108520.425022222</v>
      </c>
      <c r="M5944" s="87"/>
      <c r="N5944" s="87"/>
    </row>
    <row r="5945" spans="1:15" ht="12.75" customHeight="1" x14ac:dyDescent="0.2">
      <c r="A5945" s="398" t="s">
        <v>919</v>
      </c>
      <c r="B5945" s="271"/>
      <c r="C5945" s="271"/>
      <c r="D5945" s="271"/>
      <c r="E5945" s="271"/>
      <c r="F5945" s="271"/>
      <c r="G5945" s="271"/>
      <c r="H5945" s="271"/>
      <c r="I5945" s="271"/>
      <c r="J5945" s="271"/>
      <c r="K5945" s="271"/>
      <c r="L5945" s="271"/>
      <c r="M5945" s="271"/>
      <c r="N5945" s="273"/>
    </row>
    <row r="5946" spans="1:15" ht="12.75" customHeight="1" x14ac:dyDescent="0.2">
      <c r="A5946" s="396" t="s">
        <v>76</v>
      </c>
      <c r="B5946" s="271"/>
      <c r="C5946" s="271"/>
      <c r="D5946" s="271"/>
      <c r="E5946" s="271"/>
      <c r="F5946" s="271"/>
      <c r="G5946" s="273"/>
      <c r="H5946" s="88" t="s">
        <v>77</v>
      </c>
      <c r="I5946" s="399" t="s">
        <v>920</v>
      </c>
      <c r="J5946" s="273"/>
      <c r="K5946" s="399" t="s">
        <v>453</v>
      </c>
      <c r="L5946" s="273"/>
      <c r="M5946" s="399" t="s">
        <v>921</v>
      </c>
      <c r="N5946" s="273"/>
    </row>
    <row r="5947" spans="1:15" ht="12.75" customHeight="1" x14ac:dyDescent="0.2">
      <c r="A5947" s="400" t="s">
        <v>1251</v>
      </c>
      <c r="B5947" s="271"/>
      <c r="C5947" s="271"/>
      <c r="D5947" s="271"/>
      <c r="E5947" s="271"/>
      <c r="F5947" s="271"/>
      <c r="G5947" s="273"/>
      <c r="H5947" s="29" t="str">
        <f t="shared" ref="H5947:H5952" si="811">IF(A5947="","",VLOOKUP(A5947,AA_Materiales,7,FALSE))</f>
        <v>Unidad</v>
      </c>
      <c r="I5947" s="394">
        <f t="shared" ref="I5947:I5954" si="812">IF(A5947="","",VLOOKUP(A5947,AA_Materiales,8,FALSE))</f>
        <v>6000000</v>
      </c>
      <c r="J5947" s="273"/>
      <c r="K5947" s="395">
        <v>1</v>
      </c>
      <c r="L5947" s="273"/>
      <c r="M5947" s="394">
        <f t="shared" ref="M5947:M5954" si="813">IF(A5947="","",I5947*K5947)</f>
        <v>6000000</v>
      </c>
      <c r="N5947" s="273"/>
    </row>
    <row r="5948" spans="1:15" ht="12.75" customHeight="1" x14ac:dyDescent="0.2">
      <c r="A5948" s="400"/>
      <c r="B5948" s="271"/>
      <c r="C5948" s="271"/>
      <c r="D5948" s="271"/>
      <c r="E5948" s="271"/>
      <c r="F5948" s="271"/>
      <c r="G5948" s="273"/>
      <c r="H5948" s="29" t="str">
        <f t="shared" si="811"/>
        <v/>
      </c>
      <c r="I5948" s="394" t="str">
        <f t="shared" si="812"/>
        <v/>
      </c>
      <c r="J5948" s="273"/>
      <c r="K5948" s="395"/>
      <c r="L5948" s="273"/>
      <c r="M5948" s="394" t="str">
        <f t="shared" si="813"/>
        <v/>
      </c>
      <c r="N5948" s="273"/>
    </row>
    <row r="5949" spans="1:15" ht="12.75" customHeight="1" x14ac:dyDescent="0.2">
      <c r="A5949" s="400"/>
      <c r="B5949" s="271"/>
      <c r="C5949" s="271"/>
      <c r="D5949" s="271"/>
      <c r="E5949" s="271"/>
      <c r="F5949" s="271"/>
      <c r="G5949" s="273"/>
      <c r="H5949" s="29" t="str">
        <f t="shared" si="811"/>
        <v/>
      </c>
      <c r="I5949" s="394" t="str">
        <f t="shared" si="812"/>
        <v/>
      </c>
      <c r="J5949" s="273"/>
      <c r="K5949" s="395"/>
      <c r="L5949" s="273"/>
      <c r="M5949" s="394" t="str">
        <f t="shared" si="813"/>
        <v/>
      </c>
      <c r="N5949" s="273"/>
    </row>
    <row r="5950" spans="1:15" ht="12.75" customHeight="1" x14ac:dyDescent="0.2">
      <c r="A5950" s="400"/>
      <c r="B5950" s="271"/>
      <c r="C5950" s="271"/>
      <c r="D5950" s="271"/>
      <c r="E5950" s="271"/>
      <c r="F5950" s="271"/>
      <c r="G5950" s="273"/>
      <c r="H5950" s="29" t="str">
        <f t="shared" si="811"/>
        <v/>
      </c>
      <c r="I5950" s="394" t="str">
        <f t="shared" si="812"/>
        <v/>
      </c>
      <c r="J5950" s="273"/>
      <c r="K5950" s="395"/>
      <c r="L5950" s="273"/>
      <c r="M5950" s="394" t="str">
        <f t="shared" si="813"/>
        <v/>
      </c>
      <c r="N5950" s="273"/>
    </row>
    <row r="5951" spans="1:15" ht="12.75" customHeight="1" x14ac:dyDescent="0.2">
      <c r="A5951" s="400"/>
      <c r="B5951" s="271"/>
      <c r="C5951" s="271"/>
      <c r="D5951" s="271"/>
      <c r="E5951" s="271"/>
      <c r="F5951" s="271"/>
      <c r="G5951" s="273"/>
      <c r="H5951" s="29" t="str">
        <f t="shared" si="811"/>
        <v/>
      </c>
      <c r="I5951" s="394" t="str">
        <f t="shared" si="812"/>
        <v/>
      </c>
      <c r="J5951" s="273"/>
      <c r="K5951" s="395"/>
      <c r="L5951" s="273"/>
      <c r="M5951" s="394" t="str">
        <f t="shared" si="813"/>
        <v/>
      </c>
      <c r="N5951" s="273"/>
    </row>
    <row r="5952" spans="1:15" ht="12.75" customHeight="1" x14ac:dyDescent="0.2">
      <c r="A5952" s="400"/>
      <c r="B5952" s="271"/>
      <c r="C5952" s="271"/>
      <c r="D5952" s="271"/>
      <c r="E5952" s="271"/>
      <c r="F5952" s="271"/>
      <c r="G5952" s="273"/>
      <c r="H5952" s="29" t="str">
        <f t="shared" si="811"/>
        <v/>
      </c>
      <c r="I5952" s="394" t="str">
        <f t="shared" si="812"/>
        <v/>
      </c>
      <c r="J5952" s="273"/>
      <c r="K5952" s="395"/>
      <c r="L5952" s="273"/>
      <c r="M5952" s="394" t="str">
        <f t="shared" si="813"/>
        <v/>
      </c>
      <c r="N5952" s="273"/>
    </row>
    <row r="5953" spans="1:14" ht="12.75" customHeight="1" x14ac:dyDescent="0.2">
      <c r="A5953" s="400"/>
      <c r="B5953" s="271"/>
      <c r="C5953" s="271"/>
      <c r="D5953" s="271"/>
      <c r="E5953" s="271"/>
      <c r="F5953" s="271"/>
      <c r="G5953" s="273"/>
      <c r="H5953" s="29"/>
      <c r="I5953" s="394" t="str">
        <f t="shared" si="812"/>
        <v/>
      </c>
      <c r="J5953" s="273"/>
      <c r="K5953" s="395"/>
      <c r="L5953" s="273"/>
      <c r="M5953" s="394" t="str">
        <f t="shared" si="813"/>
        <v/>
      </c>
      <c r="N5953" s="273"/>
    </row>
    <row r="5954" spans="1:14" ht="12.75" customHeight="1" x14ac:dyDescent="0.2">
      <c r="A5954" s="400"/>
      <c r="B5954" s="271"/>
      <c r="C5954" s="271"/>
      <c r="D5954" s="271"/>
      <c r="E5954" s="271"/>
      <c r="F5954" s="271"/>
      <c r="G5954" s="273"/>
      <c r="H5954" s="29" t="str">
        <f>IF(A5954="","",VLOOKUP(A5954,AA_Materiales,7,FALSE))</f>
        <v/>
      </c>
      <c r="I5954" s="394" t="str">
        <f t="shared" si="812"/>
        <v/>
      </c>
      <c r="J5954" s="273"/>
      <c r="K5954" s="395"/>
      <c r="L5954" s="273"/>
      <c r="M5954" s="394" t="str">
        <f t="shared" si="813"/>
        <v/>
      </c>
      <c r="N5954" s="273"/>
    </row>
    <row r="5955" spans="1:14" ht="12.75" customHeight="1" x14ac:dyDescent="0.25">
      <c r="A5955" s="4"/>
      <c r="B5955" s="4"/>
      <c r="C5955" s="4"/>
      <c r="D5955" s="4"/>
      <c r="E5955" s="4"/>
      <c r="F5955" s="4"/>
      <c r="G5955" s="4"/>
      <c r="H5955" s="4"/>
      <c r="I5955" s="4"/>
      <c r="J5955" s="4"/>
      <c r="K5955" s="396" t="s">
        <v>444</v>
      </c>
      <c r="L5955" s="273"/>
      <c r="M5955" s="394">
        <f>SUM(M5947:N5954)</f>
        <v>6000000</v>
      </c>
      <c r="N5955" s="273"/>
    </row>
    <row r="5956" spans="1:14" ht="12.75" customHeight="1" x14ac:dyDescent="0.25">
      <c r="A5956" s="4"/>
      <c r="B5956" s="4"/>
      <c r="C5956" s="4"/>
      <c r="D5956" s="4"/>
      <c r="E5956" s="4"/>
      <c r="F5956" s="4"/>
      <c r="G5956" s="4"/>
      <c r="H5956" s="4"/>
      <c r="I5956" s="4"/>
      <c r="J5956" s="4"/>
      <c r="K5956" s="4"/>
      <c r="L5956" s="4"/>
      <c r="M5956" s="4"/>
      <c r="N5956" s="4"/>
    </row>
    <row r="5957" spans="1:14" ht="12.75" customHeight="1" x14ac:dyDescent="0.2">
      <c r="A5957" s="398" t="s">
        <v>926</v>
      </c>
      <c r="B5957" s="271"/>
      <c r="C5957" s="271"/>
      <c r="D5957" s="271"/>
      <c r="E5957" s="271"/>
      <c r="F5957" s="271"/>
      <c r="G5957" s="271"/>
      <c r="H5957" s="271"/>
      <c r="I5957" s="271"/>
      <c r="J5957" s="271"/>
      <c r="K5957" s="271"/>
      <c r="L5957" s="271"/>
      <c r="M5957" s="271"/>
      <c r="N5957" s="273"/>
    </row>
    <row r="5958" spans="1:14" ht="12.75" customHeight="1" x14ac:dyDescent="0.2">
      <c r="A5958" s="396" t="s">
        <v>76</v>
      </c>
      <c r="B5958" s="271"/>
      <c r="C5958" s="271"/>
      <c r="D5958" s="271"/>
      <c r="E5958" s="271"/>
      <c r="F5958" s="271"/>
      <c r="G5958" s="273"/>
      <c r="H5958" s="88" t="s">
        <v>77</v>
      </c>
      <c r="I5958" s="399" t="s">
        <v>920</v>
      </c>
      <c r="J5958" s="273"/>
      <c r="K5958" s="399" t="s">
        <v>453</v>
      </c>
      <c r="L5958" s="273"/>
      <c r="M5958" s="399" t="s">
        <v>921</v>
      </c>
      <c r="N5958" s="273"/>
    </row>
    <row r="5959" spans="1:14" ht="12.75" customHeight="1" x14ac:dyDescent="0.2">
      <c r="A5959" s="400" t="s">
        <v>927</v>
      </c>
      <c r="B5959" s="271"/>
      <c r="C5959" s="271"/>
      <c r="D5959" s="271"/>
      <c r="E5959" s="271"/>
      <c r="F5959" s="271"/>
      <c r="G5959" s="273"/>
      <c r="H5959" s="29" t="str">
        <f>IF(A5959="","",VLOOKUP(A5959,AA_Equipos,7,FALSE))</f>
        <v>% M.O.</v>
      </c>
      <c r="I5959" s="394">
        <f>+M5982</f>
        <v>260084.77037037036</v>
      </c>
      <c r="J5959" s="273"/>
      <c r="K5959" s="404">
        <v>0.05</v>
      </c>
      <c r="L5959" s="273"/>
      <c r="M5959" s="394">
        <f t="shared" ref="M5959:M5963" si="814">IF(A5959="","",I5959*K5959)</f>
        <v>13004.238518518519</v>
      </c>
      <c r="N5959" s="273"/>
    </row>
    <row r="5960" spans="1:14" ht="12.75" customHeight="1" x14ac:dyDescent="0.2">
      <c r="A5960" s="403"/>
      <c r="B5960" s="271"/>
      <c r="C5960" s="271"/>
      <c r="D5960" s="271"/>
      <c r="E5960" s="271"/>
      <c r="F5960" s="271"/>
      <c r="G5960" s="273"/>
      <c r="H5960" s="29" t="str">
        <f>IF(A5960="","",VLOOKUP(A5960,AA_Equipos,7,FALSE))</f>
        <v/>
      </c>
      <c r="I5960" s="394" t="str">
        <f>IF(A5960="","",VLOOKUP(A5960,AA_Equipos,8,FALSE))</f>
        <v/>
      </c>
      <c r="J5960" s="273"/>
      <c r="K5960" s="402"/>
      <c r="L5960" s="273"/>
      <c r="M5960" s="394" t="str">
        <f t="shared" si="814"/>
        <v/>
      </c>
      <c r="N5960" s="273"/>
    </row>
    <row r="5961" spans="1:14" ht="12.75" customHeight="1" x14ac:dyDescent="0.2">
      <c r="A5961" s="400"/>
      <c r="B5961" s="271"/>
      <c r="C5961" s="271"/>
      <c r="D5961" s="271"/>
      <c r="E5961" s="271"/>
      <c r="F5961" s="271"/>
      <c r="G5961" s="273"/>
      <c r="H5961" s="29" t="str">
        <f>IF(A5961="","",VLOOKUP(A5961,AA_Equipos,7,FALSE))</f>
        <v/>
      </c>
      <c r="I5961" s="394" t="str">
        <f>IF(A5961="","",VLOOKUP(A5961,AA_Equipos,8,FALSE))</f>
        <v/>
      </c>
      <c r="J5961" s="273"/>
      <c r="K5961" s="402"/>
      <c r="L5961" s="273"/>
      <c r="M5961" s="394" t="str">
        <f t="shared" si="814"/>
        <v/>
      </c>
      <c r="N5961" s="273"/>
    </row>
    <row r="5962" spans="1:14" ht="12.75" customHeight="1" x14ac:dyDescent="0.2">
      <c r="A5962" s="400"/>
      <c r="B5962" s="271"/>
      <c r="C5962" s="271"/>
      <c r="D5962" s="271"/>
      <c r="E5962" s="271"/>
      <c r="F5962" s="271"/>
      <c r="G5962" s="273"/>
      <c r="H5962" s="29" t="str">
        <f>IF(A5962="","",VLOOKUP(A5962,AA_Equipos,7,FALSE))</f>
        <v/>
      </c>
      <c r="I5962" s="394" t="str">
        <f>IF(A5962="","",VLOOKUP(A5962,AA_Equipos,8,FALSE))</f>
        <v/>
      </c>
      <c r="J5962" s="273"/>
      <c r="K5962" s="402"/>
      <c r="L5962" s="273"/>
      <c r="M5962" s="394" t="str">
        <f t="shared" si="814"/>
        <v/>
      </c>
      <c r="N5962" s="273"/>
    </row>
    <row r="5963" spans="1:14" ht="12.75" customHeight="1" x14ac:dyDescent="0.2">
      <c r="A5963" s="400"/>
      <c r="B5963" s="271"/>
      <c r="C5963" s="271"/>
      <c r="D5963" s="271"/>
      <c r="E5963" s="271"/>
      <c r="F5963" s="271"/>
      <c r="G5963" s="273"/>
      <c r="H5963" s="29" t="str">
        <f>IF(A5963="","",VLOOKUP(A5963,AA_Equipos,7,FALSE))</f>
        <v/>
      </c>
      <c r="I5963" s="394" t="str">
        <f>IF(A5963="","",VLOOKUP(A5963,AA_Equipos,8,FALSE))</f>
        <v/>
      </c>
      <c r="J5963" s="273"/>
      <c r="K5963" s="395"/>
      <c r="L5963" s="273"/>
      <c r="M5963" s="394" t="str">
        <f t="shared" si="814"/>
        <v/>
      </c>
      <c r="N5963" s="273"/>
    </row>
    <row r="5964" spans="1:14" ht="12.75" customHeight="1" x14ac:dyDescent="0.25">
      <c r="A5964" s="4"/>
      <c r="B5964" s="4"/>
      <c r="C5964" s="4"/>
      <c r="D5964" s="4"/>
      <c r="E5964" s="4"/>
      <c r="F5964" s="4"/>
      <c r="G5964" s="4"/>
      <c r="H5964" s="4"/>
      <c r="I5964" s="4"/>
      <c r="J5964" s="4"/>
      <c r="K5964" s="396" t="s">
        <v>444</v>
      </c>
      <c r="L5964" s="273"/>
      <c r="M5964" s="394">
        <f>SUM(M5959:N5963)</f>
        <v>13004.238518518519</v>
      </c>
      <c r="N5964" s="273"/>
    </row>
    <row r="5965" spans="1:14" ht="12.75" customHeight="1" x14ac:dyDescent="0.25">
      <c r="A5965" s="4"/>
      <c r="B5965" s="4"/>
      <c r="C5965" s="4"/>
      <c r="D5965" s="4"/>
      <c r="E5965" s="4"/>
      <c r="F5965" s="4"/>
      <c r="G5965" s="4"/>
      <c r="H5965" s="4"/>
      <c r="I5965" s="4"/>
      <c r="J5965" s="4"/>
      <c r="K5965" s="4"/>
      <c r="L5965" s="4"/>
      <c r="M5965" s="4"/>
      <c r="N5965" s="4"/>
    </row>
    <row r="5966" spans="1:14" ht="12.75" customHeight="1" x14ac:dyDescent="0.2">
      <c r="A5966" s="398" t="s">
        <v>929</v>
      </c>
      <c r="B5966" s="271"/>
      <c r="C5966" s="271"/>
      <c r="D5966" s="271"/>
      <c r="E5966" s="271"/>
      <c r="F5966" s="271"/>
      <c r="G5966" s="271"/>
      <c r="H5966" s="271"/>
      <c r="I5966" s="271"/>
      <c r="J5966" s="271"/>
      <c r="K5966" s="271"/>
      <c r="L5966" s="271"/>
      <c r="M5966" s="271"/>
      <c r="N5966" s="273"/>
    </row>
    <row r="5967" spans="1:14" ht="12.75" customHeight="1" x14ac:dyDescent="0.2">
      <c r="A5967" s="396" t="s">
        <v>76</v>
      </c>
      <c r="B5967" s="271"/>
      <c r="C5967" s="271"/>
      <c r="D5967" s="271"/>
      <c r="E5967" s="271"/>
      <c r="F5967" s="271"/>
      <c r="G5967" s="273"/>
      <c r="H5967" s="88" t="s">
        <v>77</v>
      </c>
      <c r="I5967" s="399" t="s">
        <v>920</v>
      </c>
      <c r="J5967" s="273"/>
      <c r="K5967" s="399" t="s">
        <v>453</v>
      </c>
      <c r="L5967" s="273"/>
      <c r="M5967" s="399" t="s">
        <v>921</v>
      </c>
      <c r="N5967" s="273"/>
    </row>
    <row r="5968" spans="1:14" ht="12.75" customHeight="1" x14ac:dyDescent="0.2">
      <c r="A5968" s="400" t="s">
        <v>966</v>
      </c>
      <c r="B5968" s="271"/>
      <c r="C5968" s="271"/>
      <c r="D5968" s="271"/>
      <c r="E5968" s="271"/>
      <c r="F5968" s="271"/>
      <c r="G5968" s="273"/>
      <c r="H5968" s="29" t="s">
        <v>950</v>
      </c>
      <c r="I5968" s="394">
        <f>+M5955</f>
        <v>6000000</v>
      </c>
      <c r="J5968" s="273"/>
      <c r="K5968" s="404">
        <v>0.05</v>
      </c>
      <c r="L5968" s="273"/>
      <c r="M5968" s="394">
        <f t="shared" ref="M5968:M5972" si="815">IF(A5968="","",I5968*K5968)</f>
        <v>300000</v>
      </c>
      <c r="N5968" s="273"/>
    </row>
    <row r="5969" spans="1:14" ht="12.75" customHeight="1" x14ac:dyDescent="0.2">
      <c r="A5969" s="403" t="s">
        <v>3174</v>
      </c>
      <c r="B5969" s="271"/>
      <c r="C5969" s="271"/>
      <c r="D5969" s="271"/>
      <c r="E5969" s="271"/>
      <c r="F5969" s="271"/>
      <c r="G5969" s="273"/>
      <c r="H5969" s="29"/>
      <c r="I5969" s="394"/>
      <c r="J5969" s="273"/>
      <c r="K5969" s="404"/>
      <c r="L5969" s="273"/>
      <c r="M5969" s="394">
        <f t="shared" si="815"/>
        <v>0</v>
      </c>
      <c r="N5969" s="273"/>
    </row>
    <row r="5970" spans="1:14" ht="12.75" customHeight="1" x14ac:dyDescent="0.2">
      <c r="A5970" s="400"/>
      <c r="B5970" s="271"/>
      <c r="C5970" s="271"/>
      <c r="D5970" s="271"/>
      <c r="E5970" s="271"/>
      <c r="F5970" s="271"/>
      <c r="G5970" s="273"/>
      <c r="H5970" s="29"/>
      <c r="I5970" s="394"/>
      <c r="J5970" s="273"/>
      <c r="K5970" s="395"/>
      <c r="L5970" s="273"/>
      <c r="M5970" s="394" t="str">
        <f t="shared" si="815"/>
        <v/>
      </c>
      <c r="N5970" s="273"/>
    </row>
    <row r="5971" spans="1:14" ht="12.75" customHeight="1" x14ac:dyDescent="0.2">
      <c r="A5971" s="400"/>
      <c r="B5971" s="271"/>
      <c r="C5971" s="271"/>
      <c r="D5971" s="271"/>
      <c r="E5971" s="271"/>
      <c r="F5971" s="271"/>
      <c r="G5971" s="273"/>
      <c r="H5971" s="29"/>
      <c r="I5971" s="394"/>
      <c r="J5971" s="273"/>
      <c r="K5971" s="395"/>
      <c r="L5971" s="273"/>
      <c r="M5971" s="394" t="str">
        <f t="shared" si="815"/>
        <v/>
      </c>
      <c r="N5971" s="273"/>
    </row>
    <row r="5972" spans="1:14" ht="12.75" customHeight="1" x14ac:dyDescent="0.2">
      <c r="A5972" s="400"/>
      <c r="B5972" s="271"/>
      <c r="C5972" s="271"/>
      <c r="D5972" s="271"/>
      <c r="E5972" s="271"/>
      <c r="F5972" s="271"/>
      <c r="G5972" s="273"/>
      <c r="H5972" s="29"/>
      <c r="I5972" s="394"/>
      <c r="J5972" s="273"/>
      <c r="K5972" s="395"/>
      <c r="L5972" s="273"/>
      <c r="M5972" s="394" t="str">
        <f t="shared" si="815"/>
        <v/>
      </c>
      <c r="N5972" s="273"/>
    </row>
    <row r="5973" spans="1:14" ht="12.75" customHeight="1" x14ac:dyDescent="0.25">
      <c r="A5973" s="4"/>
      <c r="B5973" s="4"/>
      <c r="C5973" s="4"/>
      <c r="D5973" s="4"/>
      <c r="E5973" s="4"/>
      <c r="F5973" s="4"/>
      <c r="G5973" s="4"/>
      <c r="H5973" s="4"/>
      <c r="I5973" s="4"/>
      <c r="J5973" s="4"/>
      <c r="K5973" s="396" t="s">
        <v>444</v>
      </c>
      <c r="L5973" s="273"/>
      <c r="M5973" s="394">
        <f>SUM(M5968:N5972)</f>
        <v>300000</v>
      </c>
      <c r="N5973" s="273"/>
    </row>
    <row r="5974" spans="1:14" ht="12.75" customHeight="1" x14ac:dyDescent="0.25">
      <c r="A5974" s="4"/>
      <c r="B5974" s="4"/>
      <c r="C5974" s="4"/>
      <c r="D5974" s="4"/>
      <c r="E5974" s="4"/>
      <c r="F5974" s="4"/>
      <c r="G5974" s="4"/>
      <c r="H5974" s="4"/>
      <c r="I5974" s="4"/>
      <c r="J5974" s="4"/>
      <c r="K5974" s="4"/>
      <c r="L5974" s="4"/>
      <c r="M5974" s="4"/>
      <c r="N5974" s="4"/>
    </row>
    <row r="5975" spans="1:14" ht="12.75" customHeight="1" x14ac:dyDescent="0.2">
      <c r="A5975" s="398" t="s">
        <v>931</v>
      </c>
      <c r="B5975" s="271"/>
      <c r="C5975" s="271"/>
      <c r="D5975" s="271"/>
      <c r="E5975" s="271"/>
      <c r="F5975" s="271"/>
      <c r="G5975" s="271"/>
      <c r="H5975" s="271"/>
      <c r="I5975" s="271"/>
      <c r="J5975" s="271"/>
      <c r="K5975" s="271"/>
      <c r="L5975" s="271"/>
      <c r="M5975" s="271"/>
      <c r="N5975" s="273"/>
    </row>
    <row r="5976" spans="1:14" ht="12.75" customHeight="1" x14ac:dyDescent="0.2">
      <c r="A5976" s="396" t="s">
        <v>76</v>
      </c>
      <c r="B5976" s="271"/>
      <c r="C5976" s="271"/>
      <c r="D5976" s="271"/>
      <c r="E5976" s="271"/>
      <c r="F5976" s="271"/>
      <c r="G5976" s="273"/>
      <c r="H5976" s="88" t="s">
        <v>77</v>
      </c>
      <c r="I5976" s="399" t="s">
        <v>920</v>
      </c>
      <c r="J5976" s="273"/>
      <c r="K5976" s="90" t="s">
        <v>514</v>
      </c>
      <c r="L5976" s="91" t="s">
        <v>932</v>
      </c>
      <c r="M5976" s="399" t="s">
        <v>921</v>
      </c>
      <c r="N5976" s="273"/>
    </row>
    <row r="5977" spans="1:14" ht="12.75" customHeight="1" x14ac:dyDescent="0.25">
      <c r="A5977" s="393" t="s">
        <v>951</v>
      </c>
      <c r="B5977" s="271"/>
      <c r="C5977" s="271"/>
      <c r="D5977" s="271"/>
      <c r="E5977" s="271"/>
      <c r="F5977" s="271"/>
      <c r="G5977" s="273"/>
      <c r="H5977" s="29" t="str">
        <f>IF(A5977="","",VLOOKUP(A5977,AA_Cuadrillas,4,FALSE))</f>
        <v>Cuadrilla</v>
      </c>
      <c r="I5977" s="394">
        <f>IF(A5977="","",VLOOKUP(A5977,AA_Cuadrillas,5,FALSE))</f>
        <v>186763</v>
      </c>
      <c r="J5977" s="273"/>
      <c r="K5977" s="9">
        <f>IF(A5977="","",F.P!$I$2)</f>
        <v>1.88</v>
      </c>
      <c r="L5977" s="93">
        <f>1/1.35</f>
        <v>0.7407407407407407</v>
      </c>
      <c r="M5977" s="394">
        <f t="shared" ref="M5977:M5981" si="816">IF(A5977="","",I5977*K5977*L5977)</f>
        <v>260084.77037037036</v>
      </c>
      <c r="N5977" s="273"/>
    </row>
    <row r="5978" spans="1:14" ht="12.75" customHeight="1" x14ac:dyDescent="0.25">
      <c r="A5978" s="393"/>
      <c r="B5978" s="271"/>
      <c r="C5978" s="271"/>
      <c r="D5978" s="271"/>
      <c r="E5978" s="271"/>
      <c r="F5978" s="271"/>
      <c r="G5978" s="273"/>
      <c r="H5978" s="29" t="str">
        <f>IF(A5978="","",VLOOKUP(A5978,AA_Cuadrillas,4,FALSE))</f>
        <v/>
      </c>
      <c r="I5978" s="394" t="str">
        <f>IF(A5978="","",VLOOKUP(A5978,AA_Cuadrillas,5,FALSE))</f>
        <v/>
      </c>
      <c r="J5978" s="273"/>
      <c r="K5978" s="9" t="str">
        <f>IF(A5978="","",F.P!$I$2)</f>
        <v/>
      </c>
      <c r="L5978" s="9"/>
      <c r="M5978" s="394" t="str">
        <f t="shared" si="816"/>
        <v/>
      </c>
      <c r="N5978" s="273"/>
    </row>
    <row r="5979" spans="1:14" ht="12.75" customHeight="1" x14ac:dyDescent="0.25">
      <c r="A5979" s="393"/>
      <c r="B5979" s="271"/>
      <c r="C5979" s="271"/>
      <c r="D5979" s="271"/>
      <c r="E5979" s="271"/>
      <c r="F5979" s="271"/>
      <c r="G5979" s="273"/>
      <c r="H5979" s="29" t="str">
        <f>IF(A5979="","",VLOOKUP(A5979,AA_Cuadrillas,4,FALSE))</f>
        <v/>
      </c>
      <c r="I5979" s="394" t="str">
        <f>IF(A5979="","",VLOOKUP(A5979,AA_Cuadrillas,5,FALSE))</f>
        <v/>
      </c>
      <c r="J5979" s="273"/>
      <c r="K5979" s="9" t="str">
        <f>IF(A5979="","",F.P!$I$2)</f>
        <v/>
      </c>
      <c r="L5979" s="37"/>
      <c r="M5979" s="394" t="str">
        <f t="shared" si="816"/>
        <v/>
      </c>
      <c r="N5979" s="273"/>
    </row>
    <row r="5980" spans="1:14" ht="12.75" customHeight="1" x14ac:dyDescent="0.25">
      <c r="A5980" s="393"/>
      <c r="B5980" s="271"/>
      <c r="C5980" s="271"/>
      <c r="D5980" s="271"/>
      <c r="E5980" s="271"/>
      <c r="F5980" s="271"/>
      <c r="G5980" s="273"/>
      <c r="H5980" s="29" t="str">
        <f>IF(A5980="","",VLOOKUP(A5980,AA_Cuadrillas,4,FALSE))</f>
        <v/>
      </c>
      <c r="I5980" s="394" t="str">
        <f>IF(A5980="","",VLOOKUP(A5980,AA_Cuadrillas,5,FALSE))</f>
        <v/>
      </c>
      <c r="J5980" s="273"/>
      <c r="K5980" s="9" t="str">
        <f>IF(A5980="","",F.P!$I$2)</f>
        <v/>
      </c>
      <c r="L5980" s="37"/>
      <c r="M5980" s="394" t="str">
        <f t="shared" si="816"/>
        <v/>
      </c>
      <c r="N5980" s="273"/>
    </row>
    <row r="5981" spans="1:14" ht="12.75" customHeight="1" x14ac:dyDescent="0.25">
      <c r="A5981" s="393"/>
      <c r="B5981" s="271"/>
      <c r="C5981" s="271"/>
      <c r="D5981" s="271"/>
      <c r="E5981" s="271"/>
      <c r="F5981" s="271"/>
      <c r="G5981" s="273"/>
      <c r="H5981" s="29" t="str">
        <f>IF(A5981="","",VLOOKUP(A5981,AA_Cuadrillas,4,FALSE))</f>
        <v/>
      </c>
      <c r="I5981" s="394" t="str">
        <f>IF(A5981="","",VLOOKUP(A5981,AA_Cuadrillas,5,FALSE))</f>
        <v/>
      </c>
      <c r="J5981" s="273"/>
      <c r="K5981" s="9" t="str">
        <f>IF(A5981="","",F.P!$I$2)</f>
        <v/>
      </c>
      <c r="L5981" s="37"/>
      <c r="M5981" s="394" t="str">
        <f t="shared" si="816"/>
        <v/>
      </c>
      <c r="N5981" s="273"/>
    </row>
    <row r="5982" spans="1:14" ht="12.75" customHeight="1" x14ac:dyDescent="0.25">
      <c r="A5982" s="4"/>
      <c r="B5982" s="4"/>
      <c r="C5982" s="4"/>
      <c r="D5982" s="4"/>
      <c r="E5982" s="4"/>
      <c r="F5982" s="4"/>
      <c r="G5982" s="4"/>
      <c r="H5982" s="4"/>
      <c r="I5982" s="4"/>
      <c r="J5982" s="4"/>
      <c r="K5982" s="396" t="s">
        <v>444</v>
      </c>
      <c r="L5982" s="273"/>
      <c r="M5982" s="394">
        <f>SUM(M5977:N5981)</f>
        <v>260084.77037037036</v>
      </c>
      <c r="N5982" s="273"/>
    </row>
    <row r="5983" spans="1:14" ht="12.75" customHeight="1" x14ac:dyDescent="0.2"/>
    <row r="5984" spans="1:14" ht="12.75" customHeight="1" x14ac:dyDescent="0.2">
      <c r="A5984" s="407" t="s">
        <v>1252</v>
      </c>
      <c r="B5984" s="275"/>
      <c r="C5984" s="275"/>
      <c r="D5984" s="275"/>
      <c r="E5984" s="275"/>
      <c r="F5984" s="275"/>
      <c r="G5984" s="275"/>
      <c r="H5984" s="275"/>
      <c r="I5984" s="275"/>
      <c r="J5984" s="275"/>
      <c r="K5984" s="275"/>
      <c r="L5984" s="275"/>
      <c r="M5984" s="275"/>
      <c r="N5984" s="276"/>
    </row>
    <row r="5985" spans="1:14" ht="12.75" customHeight="1" x14ac:dyDescent="0.2">
      <c r="A5985" s="277"/>
      <c r="B5985" s="278"/>
      <c r="C5985" s="278"/>
      <c r="D5985" s="278"/>
      <c r="E5985" s="278"/>
      <c r="F5985" s="278"/>
      <c r="G5985" s="278"/>
      <c r="H5985" s="278"/>
      <c r="I5985" s="278"/>
      <c r="J5985" s="278"/>
      <c r="K5985" s="278"/>
      <c r="L5985" s="278"/>
      <c r="M5985" s="278"/>
      <c r="N5985" s="279"/>
    </row>
    <row r="5986" spans="1:14" ht="12.75" customHeight="1" x14ac:dyDescent="0.2">
      <c r="A5986" s="75"/>
      <c r="B5986" s="75"/>
      <c r="C5986" s="75"/>
      <c r="D5986" s="75"/>
      <c r="E5986" s="75"/>
      <c r="F5986" s="75"/>
      <c r="G5986" s="75"/>
      <c r="H5986" s="75"/>
      <c r="I5986" s="75"/>
      <c r="J5986" s="75"/>
      <c r="K5986" s="75"/>
      <c r="L5986" s="75"/>
      <c r="M5986" s="75"/>
      <c r="N5986" s="75"/>
    </row>
    <row r="5987" spans="1:14" ht="12.75" customHeight="1" x14ac:dyDescent="0.3">
      <c r="A5987" s="79" t="s">
        <v>752</v>
      </c>
      <c r="B5987" s="80" t="str">
        <f>A5984</f>
        <v>SUMINISTRO E INSTALACIÓN DE CODO CUADRADO PRFV L=50CM</v>
      </c>
      <c r="C5987" s="81" t="s">
        <v>916</v>
      </c>
      <c r="D5987" s="82" t="s">
        <v>999</v>
      </c>
      <c r="E5987" s="83" t="s">
        <v>445</v>
      </c>
      <c r="F5987" s="86">
        <f>H5987+J5987+L5987+N5987</f>
        <v>45443.708100000003</v>
      </c>
      <c r="G5987" s="83" t="s">
        <v>607</v>
      </c>
      <c r="H5987" s="86">
        <f>M5999</f>
        <v>25724</v>
      </c>
      <c r="I5987" s="83" t="s">
        <v>918</v>
      </c>
      <c r="J5987" s="86">
        <f>M6008</f>
        <v>877.78610000000015</v>
      </c>
      <c r="K5987" s="83" t="s">
        <v>609</v>
      </c>
      <c r="L5987" s="86">
        <f>M6017</f>
        <v>1286.2</v>
      </c>
      <c r="M5987" s="83" t="s">
        <v>610</v>
      </c>
      <c r="N5987" s="86">
        <f>M6026</f>
        <v>17555.722000000002</v>
      </c>
    </row>
    <row r="5988" spans="1:14" ht="12.75" customHeight="1" x14ac:dyDescent="0.25">
      <c r="A5988" s="87"/>
      <c r="B5988" s="87"/>
      <c r="C5988" s="87"/>
      <c r="D5988" s="87"/>
      <c r="E5988" s="87"/>
      <c r="F5988" s="87"/>
      <c r="G5988" s="87"/>
      <c r="J5988" s="87"/>
      <c r="K5988" s="215" t="s">
        <v>3217</v>
      </c>
      <c r="L5988" s="215">
        <f>+F5987*presup!$O$5</f>
        <v>59076.820530000005</v>
      </c>
      <c r="M5988" s="87"/>
      <c r="N5988" s="87"/>
    </row>
    <row r="5989" spans="1:14" ht="12.75" customHeight="1" x14ac:dyDescent="0.2">
      <c r="A5989" s="398" t="s">
        <v>919</v>
      </c>
      <c r="B5989" s="271"/>
      <c r="C5989" s="271"/>
      <c r="D5989" s="271"/>
      <c r="E5989" s="271"/>
      <c r="F5989" s="271"/>
      <c r="G5989" s="271"/>
      <c r="H5989" s="271"/>
      <c r="I5989" s="271"/>
      <c r="J5989" s="271"/>
      <c r="K5989" s="271"/>
      <c r="L5989" s="271"/>
      <c r="M5989" s="271"/>
      <c r="N5989" s="273"/>
    </row>
    <row r="5990" spans="1:14" ht="12.75" customHeight="1" x14ac:dyDescent="0.2">
      <c r="A5990" s="396" t="s">
        <v>76</v>
      </c>
      <c r="B5990" s="271"/>
      <c r="C5990" s="271"/>
      <c r="D5990" s="271"/>
      <c r="E5990" s="271"/>
      <c r="F5990" s="271"/>
      <c r="G5990" s="273"/>
      <c r="H5990" s="88" t="s">
        <v>77</v>
      </c>
      <c r="I5990" s="399" t="s">
        <v>920</v>
      </c>
      <c r="J5990" s="273"/>
      <c r="K5990" s="399" t="s">
        <v>453</v>
      </c>
      <c r="L5990" s="273"/>
      <c r="M5990" s="399" t="s">
        <v>921</v>
      </c>
      <c r="N5990" s="273"/>
    </row>
    <row r="5991" spans="1:14" ht="12.75" customHeight="1" x14ac:dyDescent="0.2">
      <c r="A5991" s="400" t="s">
        <v>1253</v>
      </c>
      <c r="B5991" s="271"/>
      <c r="C5991" s="271"/>
      <c r="D5991" s="271"/>
      <c r="E5991" s="271"/>
      <c r="F5991" s="271"/>
      <c r="G5991" s="273"/>
      <c r="H5991" s="29" t="str">
        <f t="shared" ref="H5991:H5996" si="817">IF(A5991="","",VLOOKUP(A5991,AA_Materiales,7,FALSE))</f>
        <v>Unidad</v>
      </c>
      <c r="I5991" s="394">
        <f t="shared" ref="I5991:I5998" si="818">IF(A5991="","",VLOOKUP(A5991,AA_Materiales,8,FALSE))</f>
        <v>25724</v>
      </c>
      <c r="J5991" s="273"/>
      <c r="K5991" s="395">
        <v>1</v>
      </c>
      <c r="L5991" s="273"/>
      <c r="M5991" s="394">
        <f t="shared" ref="M5991:M5998" si="819">IF(A5991="","",I5991*K5991)</f>
        <v>25724</v>
      </c>
      <c r="N5991" s="273"/>
    </row>
    <row r="5992" spans="1:14" ht="12.75" customHeight="1" x14ac:dyDescent="0.2">
      <c r="A5992" s="400"/>
      <c r="B5992" s="271"/>
      <c r="C5992" s="271"/>
      <c r="D5992" s="271"/>
      <c r="E5992" s="271"/>
      <c r="F5992" s="271"/>
      <c r="G5992" s="273"/>
      <c r="H5992" s="29" t="str">
        <f t="shared" si="817"/>
        <v/>
      </c>
      <c r="I5992" s="394" t="str">
        <f t="shared" si="818"/>
        <v/>
      </c>
      <c r="J5992" s="273"/>
      <c r="K5992" s="395"/>
      <c r="L5992" s="273"/>
      <c r="M5992" s="394" t="str">
        <f t="shared" si="819"/>
        <v/>
      </c>
      <c r="N5992" s="273"/>
    </row>
    <row r="5993" spans="1:14" ht="12.75" customHeight="1" x14ac:dyDescent="0.2">
      <c r="A5993" s="400"/>
      <c r="B5993" s="271"/>
      <c r="C5993" s="271"/>
      <c r="D5993" s="271"/>
      <c r="E5993" s="271"/>
      <c r="F5993" s="271"/>
      <c r="G5993" s="273"/>
      <c r="H5993" s="29" t="str">
        <f t="shared" si="817"/>
        <v/>
      </c>
      <c r="I5993" s="394" t="str">
        <f t="shared" si="818"/>
        <v/>
      </c>
      <c r="J5993" s="273"/>
      <c r="K5993" s="395"/>
      <c r="L5993" s="273"/>
      <c r="M5993" s="394" t="str">
        <f t="shared" si="819"/>
        <v/>
      </c>
      <c r="N5993" s="273"/>
    </row>
    <row r="5994" spans="1:14" ht="12.75" customHeight="1" x14ac:dyDescent="0.2">
      <c r="A5994" s="400"/>
      <c r="B5994" s="271"/>
      <c r="C5994" s="271"/>
      <c r="D5994" s="271"/>
      <c r="E5994" s="271"/>
      <c r="F5994" s="271"/>
      <c r="G5994" s="273"/>
      <c r="H5994" s="29" t="str">
        <f t="shared" si="817"/>
        <v/>
      </c>
      <c r="I5994" s="394" t="str">
        <f t="shared" si="818"/>
        <v/>
      </c>
      <c r="J5994" s="273"/>
      <c r="K5994" s="395"/>
      <c r="L5994" s="273"/>
      <c r="M5994" s="394" t="str">
        <f t="shared" si="819"/>
        <v/>
      </c>
      <c r="N5994" s="273"/>
    </row>
    <row r="5995" spans="1:14" ht="12.75" customHeight="1" x14ac:dyDescent="0.2">
      <c r="A5995" s="400"/>
      <c r="B5995" s="271"/>
      <c r="C5995" s="271"/>
      <c r="D5995" s="271"/>
      <c r="E5995" s="271"/>
      <c r="F5995" s="271"/>
      <c r="G5995" s="273"/>
      <c r="H5995" s="29" t="str">
        <f t="shared" si="817"/>
        <v/>
      </c>
      <c r="I5995" s="394" t="str">
        <f t="shared" si="818"/>
        <v/>
      </c>
      <c r="J5995" s="273"/>
      <c r="K5995" s="395"/>
      <c r="L5995" s="273"/>
      <c r="M5995" s="394" t="str">
        <f t="shared" si="819"/>
        <v/>
      </c>
      <c r="N5995" s="273"/>
    </row>
    <row r="5996" spans="1:14" ht="12.75" customHeight="1" x14ac:dyDescent="0.2">
      <c r="A5996" s="400"/>
      <c r="B5996" s="271"/>
      <c r="C5996" s="271"/>
      <c r="D5996" s="271"/>
      <c r="E5996" s="271"/>
      <c r="F5996" s="271"/>
      <c r="G5996" s="273"/>
      <c r="H5996" s="29" t="str">
        <f t="shared" si="817"/>
        <v/>
      </c>
      <c r="I5996" s="394" t="str">
        <f t="shared" si="818"/>
        <v/>
      </c>
      <c r="J5996" s="273"/>
      <c r="K5996" s="395"/>
      <c r="L5996" s="273"/>
      <c r="M5996" s="394" t="str">
        <f t="shared" si="819"/>
        <v/>
      </c>
      <c r="N5996" s="273"/>
    </row>
    <row r="5997" spans="1:14" ht="12.75" customHeight="1" x14ac:dyDescent="0.2">
      <c r="A5997" s="400"/>
      <c r="B5997" s="271"/>
      <c r="C5997" s="271"/>
      <c r="D5997" s="271"/>
      <c r="E5997" s="271"/>
      <c r="F5997" s="271"/>
      <c r="G5997" s="273"/>
      <c r="H5997" s="29"/>
      <c r="I5997" s="394" t="str">
        <f t="shared" si="818"/>
        <v/>
      </c>
      <c r="J5997" s="273"/>
      <c r="K5997" s="395"/>
      <c r="L5997" s="273"/>
      <c r="M5997" s="394" t="str">
        <f t="shared" si="819"/>
        <v/>
      </c>
      <c r="N5997" s="273"/>
    </row>
    <row r="5998" spans="1:14" ht="12.75" customHeight="1" x14ac:dyDescent="0.2">
      <c r="A5998" s="400"/>
      <c r="B5998" s="271"/>
      <c r="C5998" s="271"/>
      <c r="D5998" s="271"/>
      <c r="E5998" s="271"/>
      <c r="F5998" s="271"/>
      <c r="G5998" s="273"/>
      <c r="H5998" s="29" t="str">
        <f>IF(A5998="","",VLOOKUP(A5998,AA_Materiales,7,FALSE))</f>
        <v/>
      </c>
      <c r="I5998" s="394" t="str">
        <f t="shared" si="818"/>
        <v/>
      </c>
      <c r="J5998" s="273"/>
      <c r="K5998" s="395"/>
      <c r="L5998" s="273"/>
      <c r="M5998" s="394" t="str">
        <f t="shared" si="819"/>
        <v/>
      </c>
      <c r="N5998" s="273"/>
    </row>
    <row r="5999" spans="1:14" ht="12.75" customHeight="1" x14ac:dyDescent="0.25">
      <c r="A5999" s="4"/>
      <c r="B5999" s="4"/>
      <c r="C5999" s="4"/>
      <c r="D5999" s="4"/>
      <c r="E5999" s="4"/>
      <c r="F5999" s="4"/>
      <c r="G5999" s="4"/>
      <c r="H5999" s="4"/>
      <c r="I5999" s="4"/>
      <c r="J5999" s="4"/>
      <c r="K5999" s="396" t="s">
        <v>444</v>
      </c>
      <c r="L5999" s="273"/>
      <c r="M5999" s="394">
        <f>SUM(M5991:N5998)</f>
        <v>25724</v>
      </c>
      <c r="N5999" s="273"/>
    </row>
    <row r="6000" spans="1:14" ht="12.75" customHeight="1" x14ac:dyDescent="0.25">
      <c r="A6000" s="4"/>
      <c r="B6000" s="4"/>
      <c r="C6000" s="4"/>
      <c r="D6000" s="4"/>
      <c r="E6000" s="4"/>
      <c r="F6000" s="4"/>
      <c r="G6000" s="4"/>
      <c r="H6000" s="4"/>
      <c r="I6000" s="4"/>
      <c r="J6000" s="4"/>
      <c r="K6000" s="4"/>
      <c r="L6000" s="4"/>
      <c r="M6000" s="4"/>
      <c r="N6000" s="4"/>
    </row>
    <row r="6001" spans="1:14" ht="12.75" customHeight="1" x14ac:dyDescent="0.2">
      <c r="A6001" s="398" t="s">
        <v>926</v>
      </c>
      <c r="B6001" s="271"/>
      <c r="C6001" s="271"/>
      <c r="D6001" s="271"/>
      <c r="E6001" s="271"/>
      <c r="F6001" s="271"/>
      <c r="G6001" s="271"/>
      <c r="H6001" s="271"/>
      <c r="I6001" s="271"/>
      <c r="J6001" s="271"/>
      <c r="K6001" s="271"/>
      <c r="L6001" s="271"/>
      <c r="M6001" s="271"/>
      <c r="N6001" s="273"/>
    </row>
    <row r="6002" spans="1:14" ht="12.75" customHeight="1" x14ac:dyDescent="0.2">
      <c r="A6002" s="396" t="s">
        <v>76</v>
      </c>
      <c r="B6002" s="271"/>
      <c r="C6002" s="271"/>
      <c r="D6002" s="271"/>
      <c r="E6002" s="271"/>
      <c r="F6002" s="271"/>
      <c r="G6002" s="273"/>
      <c r="H6002" s="88" t="s">
        <v>77</v>
      </c>
      <c r="I6002" s="399" t="s">
        <v>920</v>
      </c>
      <c r="J6002" s="273"/>
      <c r="K6002" s="399" t="s">
        <v>453</v>
      </c>
      <c r="L6002" s="273"/>
      <c r="M6002" s="399" t="s">
        <v>921</v>
      </c>
      <c r="N6002" s="273"/>
    </row>
    <row r="6003" spans="1:14" ht="12.75" customHeight="1" x14ac:dyDescent="0.2">
      <c r="A6003" s="400" t="s">
        <v>927</v>
      </c>
      <c r="B6003" s="271"/>
      <c r="C6003" s="271"/>
      <c r="D6003" s="271"/>
      <c r="E6003" s="271"/>
      <c r="F6003" s="271"/>
      <c r="G6003" s="273"/>
      <c r="H6003" s="29" t="str">
        <f>IF(A6003="","",VLOOKUP(A6003,AA_Equipos,7,FALSE))</f>
        <v>% M.O.</v>
      </c>
      <c r="I6003" s="394">
        <f>+M6026</f>
        <v>17555.722000000002</v>
      </c>
      <c r="J6003" s="273"/>
      <c r="K6003" s="404">
        <v>0.05</v>
      </c>
      <c r="L6003" s="273"/>
      <c r="M6003" s="394">
        <f t="shared" ref="M6003:M6007" si="820">IF(A6003="","",I6003*K6003)</f>
        <v>877.78610000000015</v>
      </c>
      <c r="N6003" s="273"/>
    </row>
    <row r="6004" spans="1:14" ht="12.75" customHeight="1" x14ac:dyDescent="0.2">
      <c r="A6004" s="403"/>
      <c r="B6004" s="271"/>
      <c r="C6004" s="271"/>
      <c r="D6004" s="271"/>
      <c r="E6004" s="271"/>
      <c r="F6004" s="271"/>
      <c r="G6004" s="273"/>
      <c r="H6004" s="29" t="str">
        <f>IF(A6004="","",VLOOKUP(A6004,AA_Equipos,7,FALSE))</f>
        <v/>
      </c>
      <c r="I6004" s="394" t="str">
        <f>IF(A6004="","",VLOOKUP(A6004,AA_Equipos,8,FALSE))</f>
        <v/>
      </c>
      <c r="J6004" s="273"/>
      <c r="K6004" s="402"/>
      <c r="L6004" s="273"/>
      <c r="M6004" s="394" t="str">
        <f t="shared" si="820"/>
        <v/>
      </c>
      <c r="N6004" s="273"/>
    </row>
    <row r="6005" spans="1:14" ht="12.75" customHeight="1" x14ac:dyDescent="0.2">
      <c r="A6005" s="400"/>
      <c r="B6005" s="271"/>
      <c r="C6005" s="271"/>
      <c r="D6005" s="271"/>
      <c r="E6005" s="271"/>
      <c r="F6005" s="271"/>
      <c r="G6005" s="273"/>
      <c r="H6005" s="29" t="str">
        <f>IF(A6005="","",VLOOKUP(A6005,AA_Equipos,7,FALSE))</f>
        <v/>
      </c>
      <c r="I6005" s="394" t="str">
        <f>IF(A6005="","",VLOOKUP(A6005,AA_Equipos,8,FALSE))</f>
        <v/>
      </c>
      <c r="J6005" s="273"/>
      <c r="K6005" s="402"/>
      <c r="L6005" s="273"/>
      <c r="M6005" s="394" t="str">
        <f t="shared" si="820"/>
        <v/>
      </c>
      <c r="N6005" s="273"/>
    </row>
    <row r="6006" spans="1:14" ht="12.75" customHeight="1" x14ac:dyDescent="0.2">
      <c r="A6006" s="400"/>
      <c r="B6006" s="271"/>
      <c r="C6006" s="271"/>
      <c r="D6006" s="271"/>
      <c r="E6006" s="271"/>
      <c r="F6006" s="271"/>
      <c r="G6006" s="273"/>
      <c r="H6006" s="29" t="str">
        <f>IF(A6006="","",VLOOKUP(A6006,AA_Equipos,7,FALSE))</f>
        <v/>
      </c>
      <c r="I6006" s="394" t="str">
        <f>IF(A6006="","",VLOOKUP(A6006,AA_Equipos,8,FALSE))</f>
        <v/>
      </c>
      <c r="J6006" s="273"/>
      <c r="K6006" s="402"/>
      <c r="L6006" s="273"/>
      <c r="M6006" s="394" t="str">
        <f t="shared" si="820"/>
        <v/>
      </c>
      <c r="N6006" s="273"/>
    </row>
    <row r="6007" spans="1:14" ht="12.75" customHeight="1" x14ac:dyDescent="0.2">
      <c r="A6007" s="400"/>
      <c r="B6007" s="271"/>
      <c r="C6007" s="271"/>
      <c r="D6007" s="271"/>
      <c r="E6007" s="271"/>
      <c r="F6007" s="271"/>
      <c r="G6007" s="273"/>
      <c r="H6007" s="29" t="str">
        <f>IF(A6007="","",VLOOKUP(A6007,AA_Equipos,7,FALSE))</f>
        <v/>
      </c>
      <c r="I6007" s="394" t="str">
        <f>IF(A6007="","",VLOOKUP(A6007,AA_Equipos,8,FALSE))</f>
        <v/>
      </c>
      <c r="J6007" s="273"/>
      <c r="K6007" s="395"/>
      <c r="L6007" s="273"/>
      <c r="M6007" s="394" t="str">
        <f t="shared" si="820"/>
        <v/>
      </c>
      <c r="N6007" s="273"/>
    </row>
    <row r="6008" spans="1:14" ht="12.75" customHeight="1" x14ac:dyDescent="0.25">
      <c r="A6008" s="4"/>
      <c r="B6008" s="4"/>
      <c r="C6008" s="4"/>
      <c r="D6008" s="4"/>
      <c r="E6008" s="4"/>
      <c r="F6008" s="4"/>
      <c r="G6008" s="4"/>
      <c r="H6008" s="4"/>
      <c r="I6008" s="4"/>
      <c r="J6008" s="4"/>
      <c r="K6008" s="396" t="s">
        <v>444</v>
      </c>
      <c r="L6008" s="273"/>
      <c r="M6008" s="394">
        <f>SUM(M6003:N6007)</f>
        <v>877.78610000000015</v>
      </c>
      <c r="N6008" s="273"/>
    </row>
    <row r="6009" spans="1:14" ht="12.75" customHeight="1" x14ac:dyDescent="0.25">
      <c r="A6009" s="4"/>
      <c r="B6009" s="4"/>
      <c r="C6009" s="4"/>
      <c r="D6009" s="4"/>
      <c r="E6009" s="4"/>
      <c r="F6009" s="4"/>
      <c r="G6009" s="4"/>
      <c r="H6009" s="4"/>
      <c r="I6009" s="4"/>
      <c r="J6009" s="4"/>
      <c r="K6009" s="4"/>
      <c r="L6009" s="4"/>
      <c r="M6009" s="4"/>
      <c r="N6009" s="4"/>
    </row>
    <row r="6010" spans="1:14" ht="12.75" customHeight="1" x14ac:dyDescent="0.2">
      <c r="A6010" s="398" t="s">
        <v>929</v>
      </c>
      <c r="B6010" s="271"/>
      <c r="C6010" s="271"/>
      <c r="D6010" s="271"/>
      <c r="E6010" s="271"/>
      <c r="F6010" s="271"/>
      <c r="G6010" s="271"/>
      <c r="H6010" s="271"/>
      <c r="I6010" s="271"/>
      <c r="J6010" s="271"/>
      <c r="K6010" s="271"/>
      <c r="L6010" s="271"/>
      <c r="M6010" s="271"/>
      <c r="N6010" s="273"/>
    </row>
    <row r="6011" spans="1:14" ht="12.75" customHeight="1" x14ac:dyDescent="0.2">
      <c r="A6011" s="396" t="s">
        <v>76</v>
      </c>
      <c r="B6011" s="271"/>
      <c r="C6011" s="271"/>
      <c r="D6011" s="271"/>
      <c r="E6011" s="271"/>
      <c r="F6011" s="271"/>
      <c r="G6011" s="273"/>
      <c r="H6011" s="88" t="s">
        <v>77</v>
      </c>
      <c r="I6011" s="399" t="s">
        <v>920</v>
      </c>
      <c r="J6011" s="273"/>
      <c r="K6011" s="399" t="s">
        <v>453</v>
      </c>
      <c r="L6011" s="273"/>
      <c r="M6011" s="399" t="s">
        <v>921</v>
      </c>
      <c r="N6011" s="273"/>
    </row>
    <row r="6012" spans="1:14" ht="12.75" customHeight="1" x14ac:dyDescent="0.2">
      <c r="A6012" s="400" t="s">
        <v>966</v>
      </c>
      <c r="B6012" s="271"/>
      <c r="C6012" s="271"/>
      <c r="D6012" s="271"/>
      <c r="E6012" s="271"/>
      <c r="F6012" s="271"/>
      <c r="G6012" s="273"/>
      <c r="H6012" s="29" t="s">
        <v>950</v>
      </c>
      <c r="I6012" s="394">
        <f>+M5999</f>
        <v>25724</v>
      </c>
      <c r="J6012" s="273"/>
      <c r="K6012" s="404">
        <v>0.05</v>
      </c>
      <c r="L6012" s="273"/>
      <c r="M6012" s="394">
        <f t="shared" ref="M6012:M6016" si="821">IF(A6012="","",I6012*K6012)</f>
        <v>1286.2</v>
      </c>
      <c r="N6012" s="273"/>
    </row>
    <row r="6013" spans="1:14" ht="12.75" customHeight="1" x14ac:dyDescent="0.2">
      <c r="A6013" s="403"/>
      <c r="B6013" s="271"/>
      <c r="C6013" s="271"/>
      <c r="D6013" s="271"/>
      <c r="E6013" s="271"/>
      <c r="F6013" s="271"/>
      <c r="G6013" s="273"/>
      <c r="H6013" s="29"/>
      <c r="I6013" s="394"/>
      <c r="J6013" s="273"/>
      <c r="K6013" s="404"/>
      <c r="L6013" s="273"/>
      <c r="M6013" s="394" t="str">
        <f t="shared" si="821"/>
        <v/>
      </c>
      <c r="N6013" s="273"/>
    </row>
    <row r="6014" spans="1:14" ht="12.75" customHeight="1" x14ac:dyDescent="0.2">
      <c r="A6014" s="400"/>
      <c r="B6014" s="271"/>
      <c r="C6014" s="271"/>
      <c r="D6014" s="271"/>
      <c r="E6014" s="271"/>
      <c r="F6014" s="271"/>
      <c r="G6014" s="273"/>
      <c r="H6014" s="29"/>
      <c r="I6014" s="394"/>
      <c r="J6014" s="273"/>
      <c r="K6014" s="395"/>
      <c r="L6014" s="273"/>
      <c r="M6014" s="394" t="str">
        <f t="shared" si="821"/>
        <v/>
      </c>
      <c r="N6014" s="273"/>
    </row>
    <row r="6015" spans="1:14" ht="12.75" customHeight="1" x14ac:dyDescent="0.2">
      <c r="A6015" s="400"/>
      <c r="B6015" s="271"/>
      <c r="C6015" s="271"/>
      <c r="D6015" s="271"/>
      <c r="E6015" s="271"/>
      <c r="F6015" s="271"/>
      <c r="G6015" s="273"/>
      <c r="H6015" s="29"/>
      <c r="I6015" s="394"/>
      <c r="J6015" s="273"/>
      <c r="K6015" s="395"/>
      <c r="L6015" s="273"/>
      <c r="M6015" s="394" t="str">
        <f t="shared" si="821"/>
        <v/>
      </c>
      <c r="N6015" s="273"/>
    </row>
    <row r="6016" spans="1:14" ht="12.75" customHeight="1" x14ac:dyDescent="0.2">
      <c r="A6016" s="400"/>
      <c r="B6016" s="271"/>
      <c r="C6016" s="271"/>
      <c r="D6016" s="271"/>
      <c r="E6016" s="271"/>
      <c r="F6016" s="271"/>
      <c r="G6016" s="273"/>
      <c r="H6016" s="29"/>
      <c r="I6016" s="394"/>
      <c r="J6016" s="273"/>
      <c r="K6016" s="395"/>
      <c r="L6016" s="273"/>
      <c r="M6016" s="394" t="str">
        <f t="shared" si="821"/>
        <v/>
      </c>
      <c r="N6016" s="273"/>
    </row>
    <row r="6017" spans="1:14" ht="12.75" customHeight="1" x14ac:dyDescent="0.25">
      <c r="A6017" s="4"/>
      <c r="B6017" s="4"/>
      <c r="C6017" s="4"/>
      <c r="D6017" s="4"/>
      <c r="E6017" s="4"/>
      <c r="F6017" s="4"/>
      <c r="G6017" s="4"/>
      <c r="H6017" s="4"/>
      <c r="I6017" s="4"/>
      <c r="J6017" s="4"/>
      <c r="K6017" s="396" t="s">
        <v>444</v>
      </c>
      <c r="L6017" s="273"/>
      <c r="M6017" s="394">
        <f>SUM(M6012:N6016)</f>
        <v>1286.2</v>
      </c>
      <c r="N6017" s="273"/>
    </row>
    <row r="6018" spans="1:14" ht="12.75" customHeight="1" x14ac:dyDescent="0.25">
      <c r="A6018" s="4"/>
      <c r="B6018" s="4"/>
      <c r="C6018" s="4"/>
      <c r="D6018" s="4"/>
      <c r="E6018" s="4"/>
      <c r="F6018" s="4"/>
      <c r="G6018" s="4"/>
      <c r="H6018" s="4"/>
      <c r="I6018" s="4"/>
      <c r="J6018" s="4"/>
      <c r="K6018" s="4"/>
      <c r="L6018" s="4"/>
      <c r="M6018" s="4"/>
      <c r="N6018" s="4"/>
    </row>
    <row r="6019" spans="1:14" ht="12.75" customHeight="1" x14ac:dyDescent="0.2">
      <c r="A6019" s="398" t="s">
        <v>931</v>
      </c>
      <c r="B6019" s="271"/>
      <c r="C6019" s="271"/>
      <c r="D6019" s="271"/>
      <c r="E6019" s="271"/>
      <c r="F6019" s="271"/>
      <c r="G6019" s="271"/>
      <c r="H6019" s="271"/>
      <c r="I6019" s="271"/>
      <c r="J6019" s="271"/>
      <c r="K6019" s="271"/>
      <c r="L6019" s="271"/>
      <c r="M6019" s="271"/>
      <c r="N6019" s="273"/>
    </row>
    <row r="6020" spans="1:14" ht="12.75" customHeight="1" x14ac:dyDescent="0.2">
      <c r="A6020" s="396" t="s">
        <v>76</v>
      </c>
      <c r="B6020" s="271"/>
      <c r="C6020" s="271"/>
      <c r="D6020" s="271"/>
      <c r="E6020" s="271"/>
      <c r="F6020" s="271"/>
      <c r="G6020" s="273"/>
      <c r="H6020" s="88" t="s">
        <v>77</v>
      </c>
      <c r="I6020" s="399" t="s">
        <v>920</v>
      </c>
      <c r="J6020" s="273"/>
      <c r="K6020" s="90" t="s">
        <v>514</v>
      </c>
      <c r="L6020" s="91" t="s">
        <v>932</v>
      </c>
      <c r="M6020" s="399" t="s">
        <v>921</v>
      </c>
      <c r="N6020" s="273"/>
    </row>
    <row r="6021" spans="1:14" ht="12.75" customHeight="1" x14ac:dyDescent="0.25">
      <c r="A6021" s="393" t="s">
        <v>951</v>
      </c>
      <c r="B6021" s="271"/>
      <c r="C6021" s="271"/>
      <c r="D6021" s="271"/>
      <c r="E6021" s="271"/>
      <c r="F6021" s="271"/>
      <c r="G6021" s="273"/>
      <c r="H6021" s="29" t="str">
        <f>IF(A6021="","",VLOOKUP(A6021,AA_Cuadrillas,4,FALSE))</f>
        <v>Cuadrilla</v>
      </c>
      <c r="I6021" s="394">
        <f>IF(A6021="","",VLOOKUP(A6021,AA_Cuadrillas,5,FALSE))</f>
        <v>186763</v>
      </c>
      <c r="J6021" s="273"/>
      <c r="K6021" s="9">
        <f>IF(A6021="","",F.P!$I$2)</f>
        <v>1.88</v>
      </c>
      <c r="L6021" s="93">
        <v>0.05</v>
      </c>
      <c r="M6021" s="394">
        <f t="shared" ref="M6021:M6025" si="822">IF(A6021="","",I6021*K6021*L6021)</f>
        <v>17555.722000000002</v>
      </c>
      <c r="N6021" s="273"/>
    </row>
    <row r="6022" spans="1:14" ht="12.75" customHeight="1" x14ac:dyDescent="0.25">
      <c r="A6022" s="393"/>
      <c r="B6022" s="271"/>
      <c r="C6022" s="271"/>
      <c r="D6022" s="271"/>
      <c r="E6022" s="271"/>
      <c r="F6022" s="271"/>
      <c r="G6022" s="273"/>
      <c r="H6022" s="29" t="str">
        <f>IF(A6022="","",VLOOKUP(A6022,AA_Cuadrillas,4,FALSE))</f>
        <v/>
      </c>
      <c r="I6022" s="394" t="str">
        <f>IF(A6022="","",VLOOKUP(A6022,AA_Cuadrillas,5,FALSE))</f>
        <v/>
      </c>
      <c r="J6022" s="273"/>
      <c r="K6022" s="9" t="str">
        <f>IF(A6022="","",F.P!$I$2)</f>
        <v/>
      </c>
      <c r="L6022" s="9"/>
      <c r="M6022" s="394" t="str">
        <f t="shared" si="822"/>
        <v/>
      </c>
      <c r="N6022" s="273"/>
    </row>
    <row r="6023" spans="1:14" ht="12.75" customHeight="1" x14ac:dyDescent="0.25">
      <c r="A6023" s="393"/>
      <c r="B6023" s="271"/>
      <c r="C6023" s="271"/>
      <c r="D6023" s="271"/>
      <c r="E6023" s="271"/>
      <c r="F6023" s="271"/>
      <c r="G6023" s="273"/>
      <c r="H6023" s="29" t="str">
        <f>IF(A6023="","",VLOOKUP(A6023,AA_Cuadrillas,4,FALSE))</f>
        <v/>
      </c>
      <c r="I6023" s="394" t="str">
        <f>IF(A6023="","",VLOOKUP(A6023,AA_Cuadrillas,5,FALSE))</f>
        <v/>
      </c>
      <c r="J6023" s="273"/>
      <c r="K6023" s="9" t="str">
        <f>IF(A6023="","",F.P!$I$2)</f>
        <v/>
      </c>
      <c r="L6023" s="37"/>
      <c r="M6023" s="394" t="str">
        <f t="shared" si="822"/>
        <v/>
      </c>
      <c r="N6023" s="273"/>
    </row>
    <row r="6024" spans="1:14" ht="12.75" customHeight="1" x14ac:dyDescent="0.25">
      <c r="A6024" s="393"/>
      <c r="B6024" s="271"/>
      <c r="C6024" s="271"/>
      <c r="D6024" s="271"/>
      <c r="E6024" s="271"/>
      <c r="F6024" s="271"/>
      <c r="G6024" s="273"/>
      <c r="H6024" s="29" t="str">
        <f>IF(A6024="","",VLOOKUP(A6024,AA_Cuadrillas,4,FALSE))</f>
        <v/>
      </c>
      <c r="I6024" s="394" t="str">
        <f>IF(A6024="","",VLOOKUP(A6024,AA_Cuadrillas,5,FALSE))</f>
        <v/>
      </c>
      <c r="J6024" s="273"/>
      <c r="K6024" s="9" t="str">
        <f>IF(A6024="","",F.P!$I$2)</f>
        <v/>
      </c>
      <c r="L6024" s="37"/>
      <c r="M6024" s="394" t="str">
        <f t="shared" si="822"/>
        <v/>
      </c>
      <c r="N6024" s="273"/>
    </row>
    <row r="6025" spans="1:14" ht="12.75" customHeight="1" x14ac:dyDescent="0.25">
      <c r="A6025" s="393"/>
      <c r="B6025" s="271"/>
      <c r="C6025" s="271"/>
      <c r="D6025" s="271"/>
      <c r="E6025" s="271"/>
      <c r="F6025" s="271"/>
      <c r="G6025" s="273"/>
      <c r="H6025" s="29" t="str">
        <f>IF(A6025="","",VLOOKUP(A6025,AA_Cuadrillas,4,FALSE))</f>
        <v/>
      </c>
      <c r="I6025" s="394" t="str">
        <f>IF(A6025="","",VLOOKUP(A6025,AA_Cuadrillas,5,FALSE))</f>
        <v/>
      </c>
      <c r="J6025" s="273"/>
      <c r="K6025" s="9" t="str">
        <f>IF(A6025="","",F.P!$I$2)</f>
        <v/>
      </c>
      <c r="L6025" s="37"/>
      <c r="M6025" s="394" t="str">
        <f t="shared" si="822"/>
        <v/>
      </c>
      <c r="N6025" s="273"/>
    </row>
    <row r="6026" spans="1:14" ht="12.75" customHeight="1" x14ac:dyDescent="0.25">
      <c r="A6026" s="4"/>
      <c r="B6026" s="4"/>
      <c r="C6026" s="4"/>
      <c r="D6026" s="4"/>
      <c r="E6026" s="4"/>
      <c r="F6026" s="4"/>
      <c r="G6026" s="4"/>
      <c r="H6026" s="4"/>
      <c r="I6026" s="4"/>
      <c r="J6026" s="4"/>
      <c r="K6026" s="396" t="s">
        <v>444</v>
      </c>
      <c r="L6026" s="273"/>
      <c r="M6026" s="394">
        <f>SUM(M6021:N6025)</f>
        <v>17555.722000000002</v>
      </c>
      <c r="N6026" s="273"/>
    </row>
    <row r="6027" spans="1:14" ht="12.75" customHeight="1" x14ac:dyDescent="0.2"/>
    <row r="6028" spans="1:14" ht="12.75" customHeight="1" x14ac:dyDescent="0.2">
      <c r="A6028" s="407" t="s">
        <v>1254</v>
      </c>
      <c r="B6028" s="275"/>
      <c r="C6028" s="275"/>
      <c r="D6028" s="275"/>
      <c r="E6028" s="275"/>
      <c r="F6028" s="275"/>
      <c r="G6028" s="275"/>
      <c r="H6028" s="275"/>
      <c r="I6028" s="275"/>
      <c r="J6028" s="275"/>
      <c r="K6028" s="275"/>
      <c r="L6028" s="275"/>
      <c r="M6028" s="275"/>
      <c r="N6028" s="276"/>
    </row>
    <row r="6029" spans="1:14" ht="12.75" customHeight="1" x14ac:dyDescent="0.2">
      <c r="A6029" s="277"/>
      <c r="B6029" s="278"/>
      <c r="C6029" s="278"/>
      <c r="D6029" s="278"/>
      <c r="E6029" s="278"/>
      <c r="F6029" s="278"/>
      <c r="G6029" s="278"/>
      <c r="H6029" s="278"/>
      <c r="I6029" s="278"/>
      <c r="J6029" s="278"/>
      <c r="K6029" s="278"/>
      <c r="L6029" s="278"/>
      <c r="M6029" s="278"/>
      <c r="N6029" s="279"/>
    </row>
    <row r="6030" spans="1:14" ht="12.75" customHeight="1" x14ac:dyDescent="0.2">
      <c r="A6030" s="75"/>
      <c r="B6030" s="75"/>
      <c r="C6030" s="75"/>
      <c r="D6030" s="75"/>
      <c r="E6030" s="75"/>
      <c r="F6030" s="75"/>
      <c r="G6030" s="75"/>
      <c r="H6030" s="75"/>
      <c r="I6030" s="75"/>
      <c r="J6030" s="75"/>
      <c r="K6030" s="75"/>
      <c r="L6030" s="75"/>
      <c r="M6030" s="75"/>
      <c r="N6030" s="75"/>
    </row>
    <row r="6031" spans="1:14" ht="12.75" customHeight="1" x14ac:dyDescent="0.3">
      <c r="A6031" s="79" t="s">
        <v>753</v>
      </c>
      <c r="B6031" s="80" t="str">
        <f>A6028</f>
        <v>SUMINISTRO E INSTALACIÓN DE COMPUERTA DE CIERRE Ø=1,00M</v>
      </c>
      <c r="C6031" s="81" t="s">
        <v>916</v>
      </c>
      <c r="D6031" s="82" t="s">
        <v>999</v>
      </c>
      <c r="E6031" s="83" t="s">
        <v>445</v>
      </c>
      <c r="F6031" s="86">
        <f>H6031+J6031+L6031+N6031</f>
        <v>1699069.9739999999</v>
      </c>
      <c r="G6031" s="83" t="s">
        <v>607</v>
      </c>
      <c r="H6031" s="86">
        <f>M6043</f>
        <v>915933</v>
      </c>
      <c r="I6031" s="83" t="s">
        <v>918</v>
      </c>
      <c r="J6031" s="86">
        <f>M6052</f>
        <v>35111.444000000003</v>
      </c>
      <c r="K6031" s="83" t="s">
        <v>609</v>
      </c>
      <c r="L6031" s="86">
        <f>M6061</f>
        <v>45796.65</v>
      </c>
      <c r="M6031" s="83" t="s">
        <v>610</v>
      </c>
      <c r="N6031" s="86">
        <f>M6070</f>
        <v>702228.88</v>
      </c>
    </row>
    <row r="6032" spans="1:14" ht="12.75" customHeight="1" x14ac:dyDescent="0.25">
      <c r="A6032" s="87"/>
      <c r="B6032" s="87"/>
      <c r="C6032" s="87"/>
      <c r="D6032" s="87"/>
      <c r="E6032" s="87"/>
      <c r="F6032" s="87"/>
      <c r="G6032" s="87"/>
      <c r="J6032" s="87"/>
      <c r="K6032" s="215" t="s">
        <v>3217</v>
      </c>
      <c r="L6032" s="215">
        <f>+F6031*presup!$O$5</f>
        <v>2208790.9662000001</v>
      </c>
      <c r="M6032" s="87"/>
      <c r="N6032" s="87"/>
    </row>
    <row r="6033" spans="1:14" ht="12.75" customHeight="1" x14ac:dyDescent="0.2">
      <c r="A6033" s="398" t="s">
        <v>919</v>
      </c>
      <c r="B6033" s="271"/>
      <c r="C6033" s="271"/>
      <c r="D6033" s="271"/>
      <c r="E6033" s="271"/>
      <c r="F6033" s="271"/>
      <c r="G6033" s="271"/>
      <c r="H6033" s="271"/>
      <c r="I6033" s="271"/>
      <c r="J6033" s="271"/>
      <c r="K6033" s="271"/>
      <c r="L6033" s="271"/>
      <c r="M6033" s="271"/>
      <c r="N6033" s="273"/>
    </row>
    <row r="6034" spans="1:14" ht="12.75" customHeight="1" x14ac:dyDescent="0.2">
      <c r="A6034" s="396" t="s">
        <v>76</v>
      </c>
      <c r="B6034" s="271"/>
      <c r="C6034" s="271"/>
      <c r="D6034" s="271"/>
      <c r="E6034" s="271"/>
      <c r="F6034" s="271"/>
      <c r="G6034" s="273"/>
      <c r="H6034" s="88" t="s">
        <v>77</v>
      </c>
      <c r="I6034" s="399" t="s">
        <v>920</v>
      </c>
      <c r="J6034" s="273"/>
      <c r="K6034" s="399" t="s">
        <v>453</v>
      </c>
      <c r="L6034" s="273"/>
      <c r="M6034" s="399" t="s">
        <v>921</v>
      </c>
      <c r="N6034" s="273"/>
    </row>
    <row r="6035" spans="1:14" ht="12.75" customHeight="1" x14ac:dyDescent="0.2">
      <c r="A6035" s="400" t="s">
        <v>1255</v>
      </c>
      <c r="B6035" s="271"/>
      <c r="C6035" s="271"/>
      <c r="D6035" s="271"/>
      <c r="E6035" s="271"/>
      <c r="F6035" s="271"/>
      <c r="G6035" s="273"/>
      <c r="H6035" s="29" t="str">
        <f t="shared" ref="H6035:H6040" si="823">IF(A6035="","",VLOOKUP(A6035,AA_Materiales,7,FALSE))</f>
        <v>Unidad</v>
      </c>
      <c r="I6035" s="394">
        <f t="shared" ref="I6035:I6042" si="824">IF(A6035="","",VLOOKUP(A6035,AA_Materiales,8,FALSE))</f>
        <v>915933</v>
      </c>
      <c r="J6035" s="273"/>
      <c r="K6035" s="395">
        <v>1</v>
      </c>
      <c r="L6035" s="273"/>
      <c r="M6035" s="394">
        <f t="shared" ref="M6035:M6042" si="825">IF(A6035="","",I6035*K6035)</f>
        <v>915933</v>
      </c>
      <c r="N6035" s="273"/>
    </row>
    <row r="6036" spans="1:14" ht="12.75" customHeight="1" x14ac:dyDescent="0.2">
      <c r="A6036" s="400"/>
      <c r="B6036" s="271"/>
      <c r="C6036" s="271"/>
      <c r="D6036" s="271"/>
      <c r="E6036" s="271"/>
      <c r="F6036" s="271"/>
      <c r="G6036" s="273"/>
      <c r="H6036" s="29" t="str">
        <f t="shared" si="823"/>
        <v/>
      </c>
      <c r="I6036" s="394" t="str">
        <f t="shared" si="824"/>
        <v/>
      </c>
      <c r="J6036" s="273"/>
      <c r="K6036" s="395"/>
      <c r="L6036" s="273"/>
      <c r="M6036" s="394" t="str">
        <f t="shared" si="825"/>
        <v/>
      </c>
      <c r="N6036" s="273"/>
    </row>
    <row r="6037" spans="1:14" ht="12.75" customHeight="1" x14ac:dyDescent="0.2">
      <c r="A6037" s="400"/>
      <c r="B6037" s="271"/>
      <c r="C6037" s="271"/>
      <c r="D6037" s="271"/>
      <c r="E6037" s="271"/>
      <c r="F6037" s="271"/>
      <c r="G6037" s="273"/>
      <c r="H6037" s="29" t="str">
        <f t="shared" si="823"/>
        <v/>
      </c>
      <c r="I6037" s="394" t="str">
        <f t="shared" si="824"/>
        <v/>
      </c>
      <c r="J6037" s="273"/>
      <c r="K6037" s="395"/>
      <c r="L6037" s="273"/>
      <c r="M6037" s="394" t="str">
        <f t="shared" si="825"/>
        <v/>
      </c>
      <c r="N6037" s="273"/>
    </row>
    <row r="6038" spans="1:14" ht="12.75" customHeight="1" x14ac:dyDescent="0.2">
      <c r="A6038" s="400"/>
      <c r="B6038" s="271"/>
      <c r="C6038" s="271"/>
      <c r="D6038" s="271"/>
      <c r="E6038" s="271"/>
      <c r="F6038" s="271"/>
      <c r="G6038" s="273"/>
      <c r="H6038" s="29" t="str">
        <f t="shared" si="823"/>
        <v/>
      </c>
      <c r="I6038" s="394" t="str">
        <f t="shared" si="824"/>
        <v/>
      </c>
      <c r="J6038" s="273"/>
      <c r="K6038" s="395"/>
      <c r="L6038" s="273"/>
      <c r="M6038" s="394" t="str">
        <f t="shared" si="825"/>
        <v/>
      </c>
      <c r="N6038" s="273"/>
    </row>
    <row r="6039" spans="1:14" ht="12.75" customHeight="1" x14ac:dyDescent="0.2">
      <c r="A6039" s="400"/>
      <c r="B6039" s="271"/>
      <c r="C6039" s="271"/>
      <c r="D6039" s="271"/>
      <c r="E6039" s="271"/>
      <c r="F6039" s="271"/>
      <c r="G6039" s="273"/>
      <c r="H6039" s="29" t="str">
        <f t="shared" si="823"/>
        <v/>
      </c>
      <c r="I6039" s="394" t="str">
        <f t="shared" si="824"/>
        <v/>
      </c>
      <c r="J6039" s="273"/>
      <c r="K6039" s="395"/>
      <c r="L6039" s="273"/>
      <c r="M6039" s="394" t="str">
        <f t="shared" si="825"/>
        <v/>
      </c>
      <c r="N6039" s="273"/>
    </row>
    <row r="6040" spans="1:14" ht="12.75" customHeight="1" x14ac:dyDescent="0.2">
      <c r="A6040" s="400"/>
      <c r="B6040" s="271"/>
      <c r="C6040" s="271"/>
      <c r="D6040" s="271"/>
      <c r="E6040" s="271"/>
      <c r="F6040" s="271"/>
      <c r="G6040" s="273"/>
      <c r="H6040" s="29" t="str">
        <f t="shared" si="823"/>
        <v/>
      </c>
      <c r="I6040" s="394" t="str">
        <f t="shared" si="824"/>
        <v/>
      </c>
      <c r="J6040" s="273"/>
      <c r="K6040" s="395"/>
      <c r="L6040" s="273"/>
      <c r="M6040" s="394" t="str">
        <f t="shared" si="825"/>
        <v/>
      </c>
      <c r="N6040" s="273"/>
    </row>
    <row r="6041" spans="1:14" ht="12.75" customHeight="1" x14ac:dyDescent="0.2">
      <c r="A6041" s="400"/>
      <c r="B6041" s="271"/>
      <c r="C6041" s="271"/>
      <c r="D6041" s="271"/>
      <c r="E6041" s="271"/>
      <c r="F6041" s="271"/>
      <c r="G6041" s="273"/>
      <c r="H6041" s="29"/>
      <c r="I6041" s="394" t="str">
        <f t="shared" si="824"/>
        <v/>
      </c>
      <c r="J6041" s="273"/>
      <c r="K6041" s="395"/>
      <c r="L6041" s="273"/>
      <c r="M6041" s="394" t="str">
        <f t="shared" si="825"/>
        <v/>
      </c>
      <c r="N6041" s="273"/>
    </row>
    <row r="6042" spans="1:14" ht="12.75" customHeight="1" x14ac:dyDescent="0.2">
      <c r="A6042" s="400"/>
      <c r="B6042" s="271"/>
      <c r="C6042" s="271"/>
      <c r="D6042" s="271"/>
      <c r="E6042" s="271"/>
      <c r="F6042" s="271"/>
      <c r="G6042" s="273"/>
      <c r="H6042" s="29" t="str">
        <f>IF(A6042="","",VLOOKUP(A6042,AA_Materiales,7,FALSE))</f>
        <v/>
      </c>
      <c r="I6042" s="394" t="str">
        <f t="shared" si="824"/>
        <v/>
      </c>
      <c r="J6042" s="273"/>
      <c r="K6042" s="395"/>
      <c r="L6042" s="273"/>
      <c r="M6042" s="394" t="str">
        <f t="shared" si="825"/>
        <v/>
      </c>
      <c r="N6042" s="273"/>
    </row>
    <row r="6043" spans="1:14" ht="12.75" customHeight="1" x14ac:dyDescent="0.25">
      <c r="A6043" s="4"/>
      <c r="B6043" s="4"/>
      <c r="C6043" s="4"/>
      <c r="D6043" s="4"/>
      <c r="E6043" s="4"/>
      <c r="F6043" s="4"/>
      <c r="G6043" s="4"/>
      <c r="H6043" s="4"/>
      <c r="I6043" s="4"/>
      <c r="J6043" s="4"/>
      <c r="K6043" s="396" t="s">
        <v>444</v>
      </c>
      <c r="L6043" s="273"/>
      <c r="M6043" s="394">
        <f>SUM(M6035:N6042)</f>
        <v>915933</v>
      </c>
      <c r="N6043" s="273"/>
    </row>
    <row r="6044" spans="1:14" ht="12.75" customHeight="1" x14ac:dyDescent="0.25">
      <c r="A6044" s="4"/>
      <c r="B6044" s="4"/>
      <c r="C6044" s="4"/>
      <c r="D6044" s="4"/>
      <c r="E6044" s="4"/>
      <c r="F6044" s="4"/>
      <c r="G6044" s="4"/>
      <c r="H6044" s="4"/>
      <c r="I6044" s="4"/>
      <c r="J6044" s="4"/>
      <c r="K6044" s="4"/>
      <c r="L6044" s="4"/>
      <c r="M6044" s="4"/>
      <c r="N6044" s="4"/>
    </row>
    <row r="6045" spans="1:14" ht="12.75" customHeight="1" x14ac:dyDescent="0.2">
      <c r="A6045" s="398" t="s">
        <v>926</v>
      </c>
      <c r="B6045" s="271"/>
      <c r="C6045" s="271"/>
      <c r="D6045" s="271"/>
      <c r="E6045" s="271"/>
      <c r="F6045" s="271"/>
      <c r="G6045" s="271"/>
      <c r="H6045" s="271"/>
      <c r="I6045" s="271"/>
      <c r="J6045" s="271"/>
      <c r="K6045" s="271"/>
      <c r="L6045" s="271"/>
      <c r="M6045" s="271"/>
      <c r="N6045" s="273"/>
    </row>
    <row r="6046" spans="1:14" ht="12.75" customHeight="1" x14ac:dyDescent="0.2">
      <c r="A6046" s="396" t="s">
        <v>76</v>
      </c>
      <c r="B6046" s="271"/>
      <c r="C6046" s="271"/>
      <c r="D6046" s="271"/>
      <c r="E6046" s="271"/>
      <c r="F6046" s="271"/>
      <c r="G6046" s="273"/>
      <c r="H6046" s="88" t="s">
        <v>77</v>
      </c>
      <c r="I6046" s="399" t="s">
        <v>920</v>
      </c>
      <c r="J6046" s="273"/>
      <c r="K6046" s="399" t="s">
        <v>453</v>
      </c>
      <c r="L6046" s="273"/>
      <c r="M6046" s="399" t="s">
        <v>921</v>
      </c>
      <c r="N6046" s="273"/>
    </row>
    <row r="6047" spans="1:14" ht="12.75" customHeight="1" x14ac:dyDescent="0.2">
      <c r="A6047" s="400" t="s">
        <v>927</v>
      </c>
      <c r="B6047" s="271"/>
      <c r="C6047" s="271"/>
      <c r="D6047" s="271"/>
      <c r="E6047" s="271"/>
      <c r="F6047" s="271"/>
      <c r="G6047" s="273"/>
      <c r="H6047" s="29" t="str">
        <f>IF(A6047="","",VLOOKUP(A6047,AA_Equipos,7,FALSE))</f>
        <v>% M.O.</v>
      </c>
      <c r="I6047" s="394">
        <f>+M6070</f>
        <v>702228.88</v>
      </c>
      <c r="J6047" s="273"/>
      <c r="K6047" s="404">
        <v>0.05</v>
      </c>
      <c r="L6047" s="273"/>
      <c r="M6047" s="394">
        <f t="shared" ref="M6047:M6051" si="826">IF(A6047="","",I6047*K6047)</f>
        <v>35111.444000000003</v>
      </c>
      <c r="N6047" s="273"/>
    </row>
    <row r="6048" spans="1:14" ht="12.75" customHeight="1" x14ac:dyDescent="0.2">
      <c r="A6048" s="403"/>
      <c r="B6048" s="271"/>
      <c r="C6048" s="271"/>
      <c r="D6048" s="271"/>
      <c r="E6048" s="271"/>
      <c r="F6048" s="271"/>
      <c r="G6048" s="273"/>
      <c r="H6048" s="29" t="str">
        <f>IF(A6048="","",VLOOKUP(A6048,AA_Equipos,7,FALSE))</f>
        <v/>
      </c>
      <c r="I6048" s="394" t="str">
        <f>IF(A6048="","",VLOOKUP(A6048,AA_Equipos,8,FALSE))</f>
        <v/>
      </c>
      <c r="J6048" s="273"/>
      <c r="K6048" s="402"/>
      <c r="L6048" s="273"/>
      <c r="M6048" s="394" t="str">
        <f t="shared" si="826"/>
        <v/>
      </c>
      <c r="N6048" s="273"/>
    </row>
    <row r="6049" spans="1:14" ht="12.75" customHeight="1" x14ac:dyDescent="0.2">
      <c r="A6049" s="400"/>
      <c r="B6049" s="271"/>
      <c r="C6049" s="271"/>
      <c r="D6049" s="271"/>
      <c r="E6049" s="271"/>
      <c r="F6049" s="271"/>
      <c r="G6049" s="273"/>
      <c r="H6049" s="29" t="str">
        <f>IF(A6049="","",VLOOKUP(A6049,AA_Equipos,7,FALSE))</f>
        <v/>
      </c>
      <c r="I6049" s="394" t="str">
        <f>IF(A6049="","",VLOOKUP(A6049,AA_Equipos,8,FALSE))</f>
        <v/>
      </c>
      <c r="J6049" s="273"/>
      <c r="K6049" s="402"/>
      <c r="L6049" s="273"/>
      <c r="M6049" s="394" t="str">
        <f t="shared" si="826"/>
        <v/>
      </c>
      <c r="N6049" s="273"/>
    </row>
    <row r="6050" spans="1:14" ht="12.75" customHeight="1" x14ac:dyDescent="0.2">
      <c r="A6050" s="400"/>
      <c r="B6050" s="271"/>
      <c r="C6050" s="271"/>
      <c r="D6050" s="271"/>
      <c r="E6050" s="271"/>
      <c r="F6050" s="271"/>
      <c r="G6050" s="273"/>
      <c r="H6050" s="29" t="str">
        <f>IF(A6050="","",VLOOKUP(A6050,AA_Equipos,7,FALSE))</f>
        <v/>
      </c>
      <c r="I6050" s="394" t="str">
        <f>IF(A6050="","",VLOOKUP(A6050,AA_Equipos,8,FALSE))</f>
        <v/>
      </c>
      <c r="J6050" s="273"/>
      <c r="K6050" s="402"/>
      <c r="L6050" s="273"/>
      <c r="M6050" s="394" t="str">
        <f t="shared" si="826"/>
        <v/>
      </c>
      <c r="N6050" s="273"/>
    </row>
    <row r="6051" spans="1:14" ht="12.75" customHeight="1" x14ac:dyDescent="0.2">
      <c r="A6051" s="400"/>
      <c r="B6051" s="271"/>
      <c r="C6051" s="271"/>
      <c r="D6051" s="271"/>
      <c r="E6051" s="271"/>
      <c r="F6051" s="271"/>
      <c r="G6051" s="273"/>
      <c r="H6051" s="29" t="str">
        <f>IF(A6051="","",VLOOKUP(A6051,AA_Equipos,7,FALSE))</f>
        <v/>
      </c>
      <c r="I6051" s="394" t="str">
        <f>IF(A6051="","",VLOOKUP(A6051,AA_Equipos,8,FALSE))</f>
        <v/>
      </c>
      <c r="J6051" s="273"/>
      <c r="K6051" s="395"/>
      <c r="L6051" s="273"/>
      <c r="M6051" s="394" t="str">
        <f t="shared" si="826"/>
        <v/>
      </c>
      <c r="N6051" s="273"/>
    </row>
    <row r="6052" spans="1:14" ht="12.75" customHeight="1" x14ac:dyDescent="0.25">
      <c r="A6052" s="4"/>
      <c r="B6052" s="4"/>
      <c r="C6052" s="4"/>
      <c r="D6052" s="4"/>
      <c r="E6052" s="4"/>
      <c r="F6052" s="4"/>
      <c r="G6052" s="4"/>
      <c r="H6052" s="4"/>
      <c r="I6052" s="4"/>
      <c r="J6052" s="4"/>
      <c r="K6052" s="396" t="s">
        <v>444</v>
      </c>
      <c r="L6052" s="273"/>
      <c r="M6052" s="394">
        <f>SUM(M6047:N6051)</f>
        <v>35111.444000000003</v>
      </c>
      <c r="N6052" s="273"/>
    </row>
    <row r="6053" spans="1:14" ht="12.75" customHeight="1" x14ac:dyDescent="0.25">
      <c r="A6053" s="4"/>
      <c r="B6053" s="4"/>
      <c r="C6053" s="4"/>
      <c r="D6053" s="4"/>
      <c r="E6053" s="4"/>
      <c r="F6053" s="4"/>
      <c r="G6053" s="4"/>
      <c r="H6053" s="4"/>
      <c r="I6053" s="4"/>
      <c r="J6053" s="4"/>
      <c r="K6053" s="4"/>
      <c r="L6053" s="4"/>
      <c r="M6053" s="4"/>
      <c r="N6053" s="4"/>
    </row>
    <row r="6054" spans="1:14" ht="12.75" customHeight="1" x14ac:dyDescent="0.2">
      <c r="A6054" s="398" t="s">
        <v>929</v>
      </c>
      <c r="B6054" s="271"/>
      <c r="C6054" s="271"/>
      <c r="D6054" s="271"/>
      <c r="E6054" s="271"/>
      <c r="F6054" s="271"/>
      <c r="G6054" s="271"/>
      <c r="H6054" s="271"/>
      <c r="I6054" s="271"/>
      <c r="J6054" s="271"/>
      <c r="K6054" s="271"/>
      <c r="L6054" s="271"/>
      <c r="M6054" s="271"/>
      <c r="N6054" s="273"/>
    </row>
    <row r="6055" spans="1:14" ht="12.75" customHeight="1" x14ac:dyDescent="0.2">
      <c r="A6055" s="396" t="s">
        <v>76</v>
      </c>
      <c r="B6055" s="271"/>
      <c r="C6055" s="271"/>
      <c r="D6055" s="271"/>
      <c r="E6055" s="271"/>
      <c r="F6055" s="271"/>
      <c r="G6055" s="273"/>
      <c r="H6055" s="88" t="s">
        <v>77</v>
      </c>
      <c r="I6055" s="399" t="s">
        <v>920</v>
      </c>
      <c r="J6055" s="273"/>
      <c r="K6055" s="399" t="s">
        <v>453</v>
      </c>
      <c r="L6055" s="273"/>
      <c r="M6055" s="399" t="s">
        <v>921</v>
      </c>
      <c r="N6055" s="273"/>
    </row>
    <row r="6056" spans="1:14" ht="12.75" customHeight="1" x14ac:dyDescent="0.2">
      <c r="A6056" s="400" t="s">
        <v>966</v>
      </c>
      <c r="B6056" s="271"/>
      <c r="C6056" s="271"/>
      <c r="D6056" s="271"/>
      <c r="E6056" s="271"/>
      <c r="F6056" s="271"/>
      <c r="G6056" s="273"/>
      <c r="H6056" s="29" t="s">
        <v>950</v>
      </c>
      <c r="I6056" s="394">
        <f>+M6043</f>
        <v>915933</v>
      </c>
      <c r="J6056" s="273"/>
      <c r="K6056" s="404">
        <v>0.05</v>
      </c>
      <c r="L6056" s="273"/>
      <c r="M6056" s="394">
        <f t="shared" ref="M6056:M6060" si="827">IF(A6056="","",I6056*K6056)</f>
        <v>45796.65</v>
      </c>
      <c r="N6056" s="273"/>
    </row>
    <row r="6057" spans="1:14" ht="12.75" customHeight="1" x14ac:dyDescent="0.2">
      <c r="A6057" s="403"/>
      <c r="B6057" s="271"/>
      <c r="C6057" s="271"/>
      <c r="D6057" s="271"/>
      <c r="E6057" s="271"/>
      <c r="F6057" s="271"/>
      <c r="G6057" s="273"/>
      <c r="H6057" s="29"/>
      <c r="I6057" s="394"/>
      <c r="J6057" s="273"/>
      <c r="K6057" s="404"/>
      <c r="L6057" s="273"/>
      <c r="M6057" s="394" t="str">
        <f t="shared" si="827"/>
        <v/>
      </c>
      <c r="N6057" s="273"/>
    </row>
    <row r="6058" spans="1:14" ht="12.75" customHeight="1" x14ac:dyDescent="0.2">
      <c r="A6058" s="400"/>
      <c r="B6058" s="271"/>
      <c r="C6058" s="271"/>
      <c r="D6058" s="271"/>
      <c r="E6058" s="271"/>
      <c r="F6058" s="271"/>
      <c r="G6058" s="273"/>
      <c r="H6058" s="29"/>
      <c r="I6058" s="394"/>
      <c r="J6058" s="273"/>
      <c r="K6058" s="395"/>
      <c r="L6058" s="273"/>
      <c r="M6058" s="394" t="str">
        <f t="shared" si="827"/>
        <v/>
      </c>
      <c r="N6058" s="273"/>
    </row>
    <row r="6059" spans="1:14" ht="12.75" customHeight="1" x14ac:dyDescent="0.2">
      <c r="A6059" s="400"/>
      <c r="B6059" s="271"/>
      <c r="C6059" s="271"/>
      <c r="D6059" s="271"/>
      <c r="E6059" s="271"/>
      <c r="F6059" s="271"/>
      <c r="G6059" s="273"/>
      <c r="H6059" s="29"/>
      <c r="I6059" s="394"/>
      <c r="J6059" s="273"/>
      <c r="K6059" s="395"/>
      <c r="L6059" s="273"/>
      <c r="M6059" s="394" t="str">
        <f t="shared" si="827"/>
        <v/>
      </c>
      <c r="N6059" s="273"/>
    </row>
    <row r="6060" spans="1:14" ht="12.75" customHeight="1" x14ac:dyDescent="0.2">
      <c r="A6060" s="400"/>
      <c r="B6060" s="271"/>
      <c r="C6060" s="271"/>
      <c r="D6060" s="271"/>
      <c r="E6060" s="271"/>
      <c r="F6060" s="271"/>
      <c r="G6060" s="273"/>
      <c r="H6060" s="29"/>
      <c r="I6060" s="394"/>
      <c r="J6060" s="273"/>
      <c r="K6060" s="395"/>
      <c r="L6060" s="273"/>
      <c r="M6060" s="394" t="str">
        <f t="shared" si="827"/>
        <v/>
      </c>
      <c r="N6060" s="273"/>
    </row>
    <row r="6061" spans="1:14" ht="12.75" customHeight="1" x14ac:dyDescent="0.25">
      <c r="A6061" s="4"/>
      <c r="B6061" s="4"/>
      <c r="C6061" s="4"/>
      <c r="D6061" s="4"/>
      <c r="E6061" s="4"/>
      <c r="F6061" s="4"/>
      <c r="G6061" s="4"/>
      <c r="H6061" s="4"/>
      <c r="I6061" s="4"/>
      <c r="J6061" s="4"/>
      <c r="K6061" s="396" t="s">
        <v>444</v>
      </c>
      <c r="L6061" s="273"/>
      <c r="M6061" s="394">
        <f>SUM(M6056:N6060)</f>
        <v>45796.65</v>
      </c>
      <c r="N6061" s="273"/>
    </row>
    <row r="6062" spans="1:14" ht="12.75" customHeight="1" x14ac:dyDescent="0.25">
      <c r="A6062" s="4"/>
      <c r="B6062" s="4"/>
      <c r="C6062" s="4"/>
      <c r="D6062" s="4"/>
      <c r="E6062" s="4"/>
      <c r="F6062" s="4"/>
      <c r="G6062" s="4"/>
      <c r="H6062" s="4"/>
      <c r="I6062" s="4"/>
      <c r="J6062" s="4"/>
      <c r="K6062" s="4"/>
      <c r="L6062" s="4"/>
      <c r="M6062" s="4"/>
      <c r="N6062" s="4"/>
    </row>
    <row r="6063" spans="1:14" ht="12.75" customHeight="1" x14ac:dyDescent="0.2">
      <c r="A6063" s="398" t="s">
        <v>931</v>
      </c>
      <c r="B6063" s="271"/>
      <c r="C6063" s="271"/>
      <c r="D6063" s="271"/>
      <c r="E6063" s="271"/>
      <c r="F6063" s="271"/>
      <c r="G6063" s="271"/>
      <c r="H6063" s="271"/>
      <c r="I6063" s="271"/>
      <c r="J6063" s="271"/>
      <c r="K6063" s="271"/>
      <c r="L6063" s="271"/>
      <c r="M6063" s="271"/>
      <c r="N6063" s="273"/>
    </row>
    <row r="6064" spans="1:14" ht="12.75" customHeight="1" x14ac:dyDescent="0.2">
      <c r="A6064" s="396" t="s">
        <v>76</v>
      </c>
      <c r="B6064" s="271"/>
      <c r="C6064" s="271"/>
      <c r="D6064" s="271"/>
      <c r="E6064" s="271"/>
      <c r="F6064" s="271"/>
      <c r="G6064" s="273"/>
      <c r="H6064" s="88" t="s">
        <v>77</v>
      </c>
      <c r="I6064" s="399" t="s">
        <v>920</v>
      </c>
      <c r="J6064" s="273"/>
      <c r="K6064" s="90" t="s">
        <v>514</v>
      </c>
      <c r="L6064" s="91" t="s">
        <v>932</v>
      </c>
      <c r="M6064" s="399" t="s">
        <v>921</v>
      </c>
      <c r="N6064" s="273"/>
    </row>
    <row r="6065" spans="1:14" ht="12.75" customHeight="1" x14ac:dyDescent="0.25">
      <c r="A6065" s="393" t="s">
        <v>951</v>
      </c>
      <c r="B6065" s="271"/>
      <c r="C6065" s="271"/>
      <c r="D6065" s="271"/>
      <c r="E6065" s="271"/>
      <c r="F6065" s="271"/>
      <c r="G6065" s="273"/>
      <c r="H6065" s="29" t="str">
        <f>IF(A6065="","",VLOOKUP(A6065,AA_Cuadrillas,4,FALSE))</f>
        <v>Cuadrilla</v>
      </c>
      <c r="I6065" s="394">
        <f>IF(A6065="","",VLOOKUP(A6065,AA_Cuadrillas,5,FALSE))</f>
        <v>186763</v>
      </c>
      <c r="J6065" s="273"/>
      <c r="K6065" s="9">
        <f>IF(A6065="","",F.P!$I$2)</f>
        <v>1.88</v>
      </c>
      <c r="L6065" s="93">
        <f>1/0.5</f>
        <v>2</v>
      </c>
      <c r="M6065" s="394">
        <f t="shared" ref="M6065:M6069" si="828">IF(A6065="","",I6065*K6065*L6065)</f>
        <v>702228.88</v>
      </c>
      <c r="N6065" s="273"/>
    </row>
    <row r="6066" spans="1:14" ht="12.75" customHeight="1" x14ac:dyDescent="0.25">
      <c r="A6066" s="393"/>
      <c r="B6066" s="271"/>
      <c r="C6066" s="271"/>
      <c r="D6066" s="271"/>
      <c r="E6066" s="271"/>
      <c r="F6066" s="271"/>
      <c r="G6066" s="273"/>
      <c r="H6066" s="29" t="str">
        <f>IF(A6066="","",VLOOKUP(A6066,AA_Cuadrillas,4,FALSE))</f>
        <v/>
      </c>
      <c r="I6066" s="394" t="str">
        <f>IF(A6066="","",VLOOKUP(A6066,AA_Cuadrillas,5,FALSE))</f>
        <v/>
      </c>
      <c r="J6066" s="273"/>
      <c r="K6066" s="9" t="str">
        <f>IF(A6066="","",F.P!$I$2)</f>
        <v/>
      </c>
      <c r="L6066" s="9"/>
      <c r="M6066" s="394" t="str">
        <f t="shared" si="828"/>
        <v/>
      </c>
      <c r="N6066" s="273"/>
    </row>
    <row r="6067" spans="1:14" ht="12.75" customHeight="1" x14ac:dyDescent="0.25">
      <c r="A6067" s="393"/>
      <c r="B6067" s="271"/>
      <c r="C6067" s="271"/>
      <c r="D6067" s="271"/>
      <c r="E6067" s="271"/>
      <c r="F6067" s="271"/>
      <c r="G6067" s="273"/>
      <c r="H6067" s="29" t="str">
        <f>IF(A6067="","",VLOOKUP(A6067,AA_Cuadrillas,4,FALSE))</f>
        <v/>
      </c>
      <c r="I6067" s="394" t="str">
        <f>IF(A6067="","",VLOOKUP(A6067,AA_Cuadrillas,5,FALSE))</f>
        <v/>
      </c>
      <c r="J6067" s="273"/>
      <c r="K6067" s="9" t="str">
        <f>IF(A6067="","",F.P!$I$2)</f>
        <v/>
      </c>
      <c r="L6067" s="37"/>
      <c r="M6067" s="394" t="str">
        <f t="shared" si="828"/>
        <v/>
      </c>
      <c r="N6067" s="273"/>
    </row>
    <row r="6068" spans="1:14" ht="12.75" customHeight="1" x14ac:dyDescent="0.25">
      <c r="A6068" s="393"/>
      <c r="B6068" s="271"/>
      <c r="C6068" s="271"/>
      <c r="D6068" s="271"/>
      <c r="E6068" s="271"/>
      <c r="F6068" s="271"/>
      <c r="G6068" s="273"/>
      <c r="H6068" s="29" t="str">
        <f>IF(A6068="","",VLOOKUP(A6068,AA_Cuadrillas,4,FALSE))</f>
        <v/>
      </c>
      <c r="I6068" s="394" t="str">
        <f>IF(A6068="","",VLOOKUP(A6068,AA_Cuadrillas,5,FALSE))</f>
        <v/>
      </c>
      <c r="J6068" s="273"/>
      <c r="K6068" s="9" t="str">
        <f>IF(A6068="","",F.P!$I$2)</f>
        <v/>
      </c>
      <c r="L6068" s="37"/>
      <c r="M6068" s="394" t="str">
        <f t="shared" si="828"/>
        <v/>
      </c>
      <c r="N6068" s="273"/>
    </row>
    <row r="6069" spans="1:14" ht="12.75" customHeight="1" x14ac:dyDescent="0.25">
      <c r="A6069" s="393"/>
      <c r="B6069" s="271"/>
      <c r="C6069" s="271"/>
      <c r="D6069" s="271"/>
      <c r="E6069" s="271"/>
      <c r="F6069" s="271"/>
      <c r="G6069" s="273"/>
      <c r="H6069" s="29" t="str">
        <f>IF(A6069="","",VLOOKUP(A6069,AA_Cuadrillas,4,FALSE))</f>
        <v/>
      </c>
      <c r="I6069" s="394" t="str">
        <f>IF(A6069="","",VLOOKUP(A6069,AA_Cuadrillas,5,FALSE))</f>
        <v/>
      </c>
      <c r="J6069" s="273"/>
      <c r="K6069" s="9" t="str">
        <f>IF(A6069="","",F.P!$I$2)</f>
        <v/>
      </c>
      <c r="L6069" s="37"/>
      <c r="M6069" s="394" t="str">
        <f t="shared" si="828"/>
        <v/>
      </c>
      <c r="N6069" s="273"/>
    </row>
    <row r="6070" spans="1:14" ht="12.75" customHeight="1" x14ac:dyDescent="0.25">
      <c r="A6070" s="4"/>
      <c r="B6070" s="4"/>
      <c r="C6070" s="4"/>
      <c r="D6070" s="4"/>
      <c r="E6070" s="4"/>
      <c r="F6070" s="4"/>
      <c r="G6070" s="4"/>
      <c r="H6070" s="4"/>
      <c r="I6070" s="4"/>
      <c r="J6070" s="4"/>
      <c r="K6070" s="396" t="s">
        <v>444</v>
      </c>
      <c r="L6070" s="273"/>
      <c r="M6070" s="394">
        <f>SUM(M6065:N6069)</f>
        <v>702228.88</v>
      </c>
      <c r="N6070" s="273"/>
    </row>
    <row r="6071" spans="1:14" ht="12.75" customHeight="1" x14ac:dyDescent="0.2"/>
    <row r="6072" spans="1:14" ht="12.75" customHeight="1" x14ac:dyDescent="0.2">
      <c r="A6072" s="407" t="s">
        <v>1256</v>
      </c>
      <c r="B6072" s="275"/>
      <c r="C6072" s="275"/>
      <c r="D6072" s="275"/>
      <c r="E6072" s="275"/>
      <c r="F6072" s="275"/>
      <c r="G6072" s="275"/>
      <c r="H6072" s="275"/>
      <c r="I6072" s="275"/>
      <c r="J6072" s="275"/>
      <c r="K6072" s="275"/>
      <c r="L6072" s="275"/>
      <c r="M6072" s="275"/>
      <c r="N6072" s="276"/>
    </row>
    <row r="6073" spans="1:14" ht="12.75" customHeight="1" x14ac:dyDescent="0.2">
      <c r="A6073" s="277"/>
      <c r="B6073" s="278"/>
      <c r="C6073" s="278"/>
      <c r="D6073" s="278"/>
      <c r="E6073" s="278"/>
      <c r="F6073" s="278"/>
      <c r="G6073" s="278"/>
      <c r="H6073" s="278"/>
      <c r="I6073" s="278"/>
      <c r="J6073" s="278"/>
      <c r="K6073" s="278"/>
      <c r="L6073" s="278"/>
      <c r="M6073" s="278"/>
      <c r="N6073" s="279"/>
    </row>
    <row r="6074" spans="1:14" s="217" customFormat="1" ht="12.75" customHeight="1" x14ac:dyDescent="0.2">
      <c r="A6074" s="216"/>
      <c r="B6074" s="216"/>
      <c r="C6074" s="216"/>
      <c r="D6074" s="216"/>
      <c r="E6074" s="216"/>
      <c r="F6074" s="216"/>
      <c r="G6074" s="216"/>
      <c r="H6074" s="216"/>
      <c r="I6074" s="216"/>
      <c r="J6074" s="216"/>
      <c r="K6074" s="216"/>
      <c r="L6074" s="216"/>
      <c r="M6074" s="216"/>
      <c r="N6074" s="216"/>
    </row>
    <row r="6075" spans="1:14" ht="12.75" customHeight="1" x14ac:dyDescent="0.3">
      <c r="A6075" s="79" t="s">
        <v>754</v>
      </c>
      <c r="B6075" s="80" t="str">
        <f>A6072</f>
        <v>SUMINISTRO DE ESTRUCTURA DE SOPORTE FALSO FONDO</v>
      </c>
      <c r="C6075" s="81" t="s">
        <v>916</v>
      </c>
      <c r="D6075" s="82" t="s">
        <v>999</v>
      </c>
      <c r="E6075" s="83" t="s">
        <v>445</v>
      </c>
      <c r="F6075" s="86" t="e">
        <f>H6075+J6075+L6075+N6075</f>
        <v>#N/A</v>
      </c>
      <c r="G6075" s="83" t="s">
        <v>607</v>
      </c>
      <c r="H6075" s="86" t="e">
        <f>M6087</f>
        <v>#N/A</v>
      </c>
      <c r="I6075" s="83" t="s">
        <v>918</v>
      </c>
      <c r="J6075" s="86">
        <f>M6096</f>
        <v>0</v>
      </c>
      <c r="K6075" s="83" t="s">
        <v>609</v>
      </c>
      <c r="L6075" s="86">
        <f>M6105</f>
        <v>0</v>
      </c>
      <c r="M6075" s="83" t="s">
        <v>610</v>
      </c>
      <c r="N6075" s="86">
        <f>M6114</f>
        <v>0</v>
      </c>
    </row>
    <row r="6076" spans="1:14" ht="12.75" customHeight="1" x14ac:dyDescent="0.25">
      <c r="A6076" s="87"/>
      <c r="B6076" s="87"/>
      <c r="C6076" s="87"/>
      <c r="D6076" s="87"/>
      <c r="E6076" s="87"/>
      <c r="F6076" s="87"/>
      <c r="G6076" s="87"/>
      <c r="J6076" s="87"/>
      <c r="K6076" s="215" t="s">
        <v>3217</v>
      </c>
      <c r="L6076" s="215" t="e">
        <f>+F6075*presup!$O$5</f>
        <v>#N/A</v>
      </c>
      <c r="M6076" s="87"/>
      <c r="N6076" s="87"/>
    </row>
    <row r="6077" spans="1:14" ht="12.75" customHeight="1" x14ac:dyDescent="0.2">
      <c r="A6077" s="398" t="s">
        <v>919</v>
      </c>
      <c r="B6077" s="271"/>
      <c r="C6077" s="271"/>
      <c r="D6077" s="271"/>
      <c r="E6077" s="271"/>
      <c r="F6077" s="271"/>
      <c r="G6077" s="271"/>
      <c r="H6077" s="271"/>
      <c r="I6077" s="271"/>
      <c r="J6077" s="271"/>
      <c r="K6077" s="271"/>
      <c r="L6077" s="271"/>
      <c r="M6077" s="271"/>
      <c r="N6077" s="273"/>
    </row>
    <row r="6078" spans="1:14" ht="12.75" customHeight="1" x14ac:dyDescent="0.2">
      <c r="A6078" s="396" t="s">
        <v>76</v>
      </c>
      <c r="B6078" s="271"/>
      <c r="C6078" s="271"/>
      <c r="D6078" s="271"/>
      <c r="E6078" s="271"/>
      <c r="F6078" s="271"/>
      <c r="G6078" s="273"/>
      <c r="H6078" s="88" t="s">
        <v>77</v>
      </c>
      <c r="I6078" s="399" t="s">
        <v>920</v>
      </c>
      <c r="J6078" s="273"/>
      <c r="K6078" s="399" t="s">
        <v>453</v>
      </c>
      <c r="L6078" s="273"/>
      <c r="M6078" s="399" t="s">
        <v>921</v>
      </c>
      <c r="N6078" s="273"/>
    </row>
    <row r="6079" spans="1:14" ht="12.75" customHeight="1" x14ac:dyDescent="0.2">
      <c r="A6079" s="400" t="s">
        <v>1257</v>
      </c>
      <c r="B6079" s="271"/>
      <c r="C6079" s="271"/>
      <c r="D6079" s="271"/>
      <c r="E6079" s="271"/>
      <c r="F6079" s="271"/>
      <c r="G6079" s="273"/>
      <c r="H6079" s="29" t="e">
        <f t="shared" ref="H6079:H6084" si="829">IF(A6079="","",VLOOKUP(A6079,AA_Materiales,7,FALSE))</f>
        <v>#N/A</v>
      </c>
      <c r="I6079" s="394" t="e">
        <f t="shared" ref="I6079:I6086" si="830">IF(A6079="","",VLOOKUP(A6079,AA_Materiales,8,FALSE))</f>
        <v>#N/A</v>
      </c>
      <c r="J6079" s="273"/>
      <c r="K6079" s="395">
        <v>1</v>
      </c>
      <c r="L6079" s="273"/>
      <c r="M6079" s="394" t="e">
        <f t="shared" ref="M6079:M6086" si="831">IF(A6079="","",I6079*K6079)</f>
        <v>#N/A</v>
      </c>
      <c r="N6079" s="273"/>
    </row>
    <row r="6080" spans="1:14" ht="12.75" customHeight="1" x14ac:dyDescent="0.2">
      <c r="A6080" s="400"/>
      <c r="B6080" s="271"/>
      <c r="C6080" s="271"/>
      <c r="D6080" s="271"/>
      <c r="E6080" s="271"/>
      <c r="F6080" s="271"/>
      <c r="G6080" s="273"/>
      <c r="H6080" s="29" t="str">
        <f t="shared" si="829"/>
        <v/>
      </c>
      <c r="I6080" s="394" t="str">
        <f t="shared" si="830"/>
        <v/>
      </c>
      <c r="J6080" s="273"/>
      <c r="K6080" s="395"/>
      <c r="L6080" s="273"/>
      <c r="M6080" s="394" t="str">
        <f t="shared" si="831"/>
        <v/>
      </c>
      <c r="N6080" s="273"/>
    </row>
    <row r="6081" spans="1:14" ht="12.75" customHeight="1" x14ac:dyDescent="0.2">
      <c r="A6081" s="400"/>
      <c r="B6081" s="271"/>
      <c r="C6081" s="271"/>
      <c r="D6081" s="271"/>
      <c r="E6081" s="271"/>
      <c r="F6081" s="271"/>
      <c r="G6081" s="273"/>
      <c r="H6081" s="29" t="str">
        <f t="shared" si="829"/>
        <v/>
      </c>
      <c r="I6081" s="394" t="str">
        <f t="shared" si="830"/>
        <v/>
      </c>
      <c r="J6081" s="273"/>
      <c r="K6081" s="395"/>
      <c r="L6081" s="273"/>
      <c r="M6081" s="394" t="str">
        <f t="shared" si="831"/>
        <v/>
      </c>
      <c r="N6081" s="273"/>
    </row>
    <row r="6082" spans="1:14" ht="12.75" customHeight="1" x14ac:dyDescent="0.2">
      <c r="A6082" s="400"/>
      <c r="B6082" s="271"/>
      <c r="C6082" s="271"/>
      <c r="D6082" s="271"/>
      <c r="E6082" s="271"/>
      <c r="F6082" s="271"/>
      <c r="G6082" s="273"/>
      <c r="H6082" s="29" t="str">
        <f t="shared" si="829"/>
        <v/>
      </c>
      <c r="I6082" s="394" t="str">
        <f t="shared" si="830"/>
        <v/>
      </c>
      <c r="J6082" s="273"/>
      <c r="K6082" s="395"/>
      <c r="L6082" s="273"/>
      <c r="M6082" s="394" t="str">
        <f t="shared" si="831"/>
        <v/>
      </c>
      <c r="N6082" s="273"/>
    </row>
    <row r="6083" spans="1:14" ht="12.75" customHeight="1" x14ac:dyDescent="0.2">
      <c r="A6083" s="400"/>
      <c r="B6083" s="271"/>
      <c r="C6083" s="271"/>
      <c r="D6083" s="271"/>
      <c r="E6083" s="271"/>
      <c r="F6083" s="271"/>
      <c r="G6083" s="273"/>
      <c r="H6083" s="29" t="str">
        <f t="shared" si="829"/>
        <v/>
      </c>
      <c r="I6083" s="394" t="str">
        <f t="shared" si="830"/>
        <v/>
      </c>
      <c r="J6083" s="273"/>
      <c r="K6083" s="395"/>
      <c r="L6083" s="273"/>
      <c r="M6083" s="394" t="str">
        <f t="shared" si="831"/>
        <v/>
      </c>
      <c r="N6083" s="273"/>
    </row>
    <row r="6084" spans="1:14" ht="12.75" customHeight="1" x14ac:dyDescent="0.2">
      <c r="A6084" s="400"/>
      <c r="B6084" s="271"/>
      <c r="C6084" s="271"/>
      <c r="D6084" s="271"/>
      <c r="E6084" s="271"/>
      <c r="F6084" s="271"/>
      <c r="G6084" s="273"/>
      <c r="H6084" s="29" t="str">
        <f t="shared" si="829"/>
        <v/>
      </c>
      <c r="I6084" s="394" t="str">
        <f t="shared" si="830"/>
        <v/>
      </c>
      <c r="J6084" s="273"/>
      <c r="K6084" s="395"/>
      <c r="L6084" s="273"/>
      <c r="M6084" s="394" t="str">
        <f t="shared" si="831"/>
        <v/>
      </c>
      <c r="N6084" s="273"/>
    </row>
    <row r="6085" spans="1:14" ht="12.75" customHeight="1" x14ac:dyDescent="0.2">
      <c r="A6085" s="400"/>
      <c r="B6085" s="271"/>
      <c r="C6085" s="271"/>
      <c r="D6085" s="271"/>
      <c r="E6085" s="271"/>
      <c r="F6085" s="271"/>
      <c r="G6085" s="273"/>
      <c r="H6085" s="29"/>
      <c r="I6085" s="394" t="str">
        <f t="shared" si="830"/>
        <v/>
      </c>
      <c r="J6085" s="273"/>
      <c r="K6085" s="395"/>
      <c r="L6085" s="273"/>
      <c r="M6085" s="394" t="str">
        <f t="shared" si="831"/>
        <v/>
      </c>
      <c r="N6085" s="273"/>
    </row>
    <row r="6086" spans="1:14" ht="12.75" customHeight="1" x14ac:dyDescent="0.2">
      <c r="A6086" s="400"/>
      <c r="B6086" s="271"/>
      <c r="C6086" s="271"/>
      <c r="D6086" s="271"/>
      <c r="E6086" s="271"/>
      <c r="F6086" s="271"/>
      <c r="G6086" s="273"/>
      <c r="H6086" s="29" t="str">
        <f>IF(A6086="","",VLOOKUP(A6086,AA_Materiales,7,FALSE))</f>
        <v/>
      </c>
      <c r="I6086" s="394" t="str">
        <f t="shared" si="830"/>
        <v/>
      </c>
      <c r="J6086" s="273"/>
      <c r="K6086" s="395"/>
      <c r="L6086" s="273"/>
      <c r="M6086" s="394" t="str">
        <f t="shared" si="831"/>
        <v/>
      </c>
      <c r="N6086" s="273"/>
    </row>
    <row r="6087" spans="1:14" ht="12.75" customHeight="1" x14ac:dyDescent="0.25">
      <c r="A6087" s="4"/>
      <c r="B6087" s="4"/>
      <c r="C6087" s="4"/>
      <c r="D6087" s="4"/>
      <c r="E6087" s="4"/>
      <c r="F6087" s="4"/>
      <c r="G6087" s="4"/>
      <c r="H6087" s="4"/>
      <c r="I6087" s="4"/>
      <c r="J6087" s="4"/>
      <c r="K6087" s="396" t="s">
        <v>444</v>
      </c>
      <c r="L6087" s="273"/>
      <c r="M6087" s="394" t="e">
        <f>SUM(M6079:N6086)</f>
        <v>#N/A</v>
      </c>
      <c r="N6087" s="273"/>
    </row>
    <row r="6088" spans="1:14" ht="12.75" customHeight="1" x14ac:dyDescent="0.25">
      <c r="A6088" s="4"/>
      <c r="B6088" s="4"/>
      <c r="C6088" s="4"/>
      <c r="D6088" s="4"/>
      <c r="E6088" s="4"/>
      <c r="F6088" s="4"/>
      <c r="G6088" s="4"/>
      <c r="H6088" s="4"/>
      <c r="I6088" s="4"/>
      <c r="J6088" s="4"/>
      <c r="K6088" s="4"/>
      <c r="L6088" s="4"/>
      <c r="M6088" s="4"/>
      <c r="N6088" s="4"/>
    </row>
    <row r="6089" spans="1:14" ht="12.75" customHeight="1" x14ac:dyDescent="0.2">
      <c r="A6089" s="398" t="s">
        <v>926</v>
      </c>
      <c r="B6089" s="271"/>
      <c r="C6089" s="271"/>
      <c r="D6089" s="271"/>
      <c r="E6089" s="271"/>
      <c r="F6089" s="271"/>
      <c r="G6089" s="271"/>
      <c r="H6089" s="271"/>
      <c r="I6089" s="271"/>
      <c r="J6089" s="271"/>
      <c r="K6089" s="271"/>
      <c r="L6089" s="271"/>
      <c r="M6089" s="271"/>
      <c r="N6089" s="273"/>
    </row>
    <row r="6090" spans="1:14" ht="12.75" customHeight="1" x14ac:dyDescent="0.2">
      <c r="A6090" s="396" t="s">
        <v>76</v>
      </c>
      <c r="B6090" s="271"/>
      <c r="C6090" s="271"/>
      <c r="D6090" s="271"/>
      <c r="E6090" s="271"/>
      <c r="F6090" s="271"/>
      <c r="G6090" s="273"/>
      <c r="H6090" s="88" t="s">
        <v>77</v>
      </c>
      <c r="I6090" s="399" t="s">
        <v>920</v>
      </c>
      <c r="J6090" s="273"/>
      <c r="K6090" s="399" t="s">
        <v>453</v>
      </c>
      <c r="L6090" s="273"/>
      <c r="M6090" s="399" t="s">
        <v>921</v>
      </c>
      <c r="N6090" s="273"/>
    </row>
    <row r="6091" spans="1:14" ht="12.75" customHeight="1" x14ac:dyDescent="0.2">
      <c r="A6091" s="400"/>
      <c r="B6091" s="271"/>
      <c r="C6091" s="271"/>
      <c r="D6091" s="271"/>
      <c r="E6091" s="271"/>
      <c r="F6091" s="271"/>
      <c r="G6091" s="273"/>
      <c r="H6091" s="29" t="str">
        <f>IF(A6091="","",VLOOKUP(A6091,AA_Equipos,7,FALSE))</f>
        <v/>
      </c>
      <c r="I6091" s="394"/>
      <c r="J6091" s="273"/>
      <c r="K6091" s="404">
        <v>0.05</v>
      </c>
      <c r="L6091" s="273"/>
      <c r="M6091" s="394" t="str">
        <f t="shared" ref="M6091:M6095" si="832">IF(A6091="","",I6091*K6091)</f>
        <v/>
      </c>
      <c r="N6091" s="273"/>
    </row>
    <row r="6092" spans="1:14" ht="12.75" customHeight="1" x14ac:dyDescent="0.2">
      <c r="A6092" s="403"/>
      <c r="B6092" s="271"/>
      <c r="C6092" s="271"/>
      <c r="D6092" s="271"/>
      <c r="E6092" s="271"/>
      <c r="F6092" s="271"/>
      <c r="G6092" s="273"/>
      <c r="H6092" s="29" t="str">
        <f>IF(A6092="","",VLOOKUP(A6092,AA_Equipos,7,FALSE))</f>
        <v/>
      </c>
      <c r="I6092" s="394" t="str">
        <f>IF(A6092="","",VLOOKUP(A6092,AA_Equipos,8,FALSE))</f>
        <v/>
      </c>
      <c r="J6092" s="273"/>
      <c r="K6092" s="402"/>
      <c r="L6092" s="273"/>
      <c r="M6092" s="394" t="str">
        <f t="shared" si="832"/>
        <v/>
      </c>
      <c r="N6092" s="273"/>
    </row>
    <row r="6093" spans="1:14" ht="12.75" customHeight="1" x14ac:dyDescent="0.2">
      <c r="A6093" s="400"/>
      <c r="B6093" s="271"/>
      <c r="C6093" s="271"/>
      <c r="D6093" s="271"/>
      <c r="E6093" s="271"/>
      <c r="F6093" s="271"/>
      <c r="G6093" s="273"/>
      <c r="H6093" s="29" t="str">
        <f>IF(A6093="","",VLOOKUP(A6093,AA_Equipos,7,FALSE))</f>
        <v/>
      </c>
      <c r="I6093" s="394" t="str">
        <f>IF(A6093="","",VLOOKUP(A6093,AA_Equipos,8,FALSE))</f>
        <v/>
      </c>
      <c r="J6093" s="273"/>
      <c r="K6093" s="402"/>
      <c r="L6093" s="273"/>
      <c r="M6093" s="394" t="str">
        <f t="shared" si="832"/>
        <v/>
      </c>
      <c r="N6093" s="273"/>
    </row>
    <row r="6094" spans="1:14" ht="12.75" customHeight="1" x14ac:dyDescent="0.2">
      <c r="A6094" s="400"/>
      <c r="B6094" s="271"/>
      <c r="C6094" s="271"/>
      <c r="D6094" s="271"/>
      <c r="E6094" s="271"/>
      <c r="F6094" s="271"/>
      <c r="G6094" s="273"/>
      <c r="H6094" s="29" t="str">
        <f>IF(A6094="","",VLOOKUP(A6094,AA_Equipos,7,FALSE))</f>
        <v/>
      </c>
      <c r="I6094" s="394" t="str">
        <f>IF(A6094="","",VLOOKUP(A6094,AA_Equipos,8,FALSE))</f>
        <v/>
      </c>
      <c r="J6094" s="273"/>
      <c r="K6094" s="402"/>
      <c r="L6094" s="273"/>
      <c r="M6094" s="394" t="str">
        <f t="shared" si="832"/>
        <v/>
      </c>
      <c r="N6094" s="273"/>
    </row>
    <row r="6095" spans="1:14" ht="12.75" customHeight="1" x14ac:dyDescent="0.2">
      <c r="A6095" s="400"/>
      <c r="B6095" s="271"/>
      <c r="C6095" s="271"/>
      <c r="D6095" s="271"/>
      <c r="E6095" s="271"/>
      <c r="F6095" s="271"/>
      <c r="G6095" s="273"/>
      <c r="H6095" s="29" t="str">
        <f>IF(A6095="","",VLOOKUP(A6095,AA_Equipos,7,FALSE))</f>
        <v/>
      </c>
      <c r="I6095" s="394" t="str">
        <f>IF(A6095="","",VLOOKUP(A6095,AA_Equipos,8,FALSE))</f>
        <v/>
      </c>
      <c r="J6095" s="273"/>
      <c r="K6095" s="395"/>
      <c r="L6095" s="273"/>
      <c r="M6095" s="394" t="str">
        <f t="shared" si="832"/>
        <v/>
      </c>
      <c r="N6095" s="273"/>
    </row>
    <row r="6096" spans="1:14" ht="12.75" customHeight="1" x14ac:dyDescent="0.25">
      <c r="A6096" s="4"/>
      <c r="B6096" s="4"/>
      <c r="C6096" s="4"/>
      <c r="D6096" s="4"/>
      <c r="E6096" s="4"/>
      <c r="F6096" s="4"/>
      <c r="G6096" s="4"/>
      <c r="H6096" s="4"/>
      <c r="I6096" s="4"/>
      <c r="J6096" s="4"/>
      <c r="K6096" s="396" t="s">
        <v>444</v>
      </c>
      <c r="L6096" s="273"/>
      <c r="M6096" s="394">
        <f>SUM(M6091:N6095)</f>
        <v>0</v>
      </c>
      <c r="N6096" s="273"/>
    </row>
    <row r="6097" spans="1:14" ht="12.75" customHeight="1" x14ac:dyDescent="0.25">
      <c r="A6097" s="4"/>
      <c r="B6097" s="4"/>
      <c r="C6097" s="4"/>
      <c r="D6097" s="4"/>
      <c r="E6097" s="4"/>
      <c r="F6097" s="4"/>
      <c r="G6097" s="4"/>
      <c r="H6097" s="4"/>
      <c r="I6097" s="4"/>
      <c r="J6097" s="4"/>
      <c r="K6097" s="4"/>
      <c r="L6097" s="4"/>
      <c r="M6097" s="4"/>
      <c r="N6097" s="4"/>
    </row>
    <row r="6098" spans="1:14" ht="12.75" customHeight="1" x14ac:dyDescent="0.2">
      <c r="A6098" s="398" t="s">
        <v>929</v>
      </c>
      <c r="B6098" s="271"/>
      <c r="C6098" s="271"/>
      <c r="D6098" s="271"/>
      <c r="E6098" s="271"/>
      <c r="F6098" s="271"/>
      <c r="G6098" s="271"/>
      <c r="H6098" s="271"/>
      <c r="I6098" s="271"/>
      <c r="J6098" s="271"/>
      <c r="K6098" s="271"/>
      <c r="L6098" s="271"/>
      <c r="M6098" s="271"/>
      <c r="N6098" s="273"/>
    </row>
    <row r="6099" spans="1:14" ht="12.75" customHeight="1" x14ac:dyDescent="0.2">
      <c r="A6099" s="396" t="s">
        <v>76</v>
      </c>
      <c r="B6099" s="271"/>
      <c r="C6099" s="271"/>
      <c r="D6099" s="271"/>
      <c r="E6099" s="271"/>
      <c r="F6099" s="271"/>
      <c r="G6099" s="273"/>
      <c r="H6099" s="88" t="s">
        <v>77</v>
      </c>
      <c r="I6099" s="399" t="s">
        <v>920</v>
      </c>
      <c r="J6099" s="273"/>
      <c r="K6099" s="399" t="s">
        <v>453</v>
      </c>
      <c r="L6099" s="273"/>
      <c r="M6099" s="399" t="s">
        <v>921</v>
      </c>
      <c r="N6099" s="273"/>
    </row>
    <row r="6100" spans="1:14" ht="12.75" customHeight="1" x14ac:dyDescent="0.2">
      <c r="A6100" s="400" t="s">
        <v>966</v>
      </c>
      <c r="B6100" s="271"/>
      <c r="C6100" s="271"/>
      <c r="D6100" s="271"/>
      <c r="E6100" s="271"/>
      <c r="F6100" s="271"/>
      <c r="G6100" s="273"/>
      <c r="H6100" s="29" t="s">
        <v>950</v>
      </c>
      <c r="I6100" s="394"/>
      <c r="J6100" s="273"/>
      <c r="K6100" s="404">
        <v>0.05</v>
      </c>
      <c r="L6100" s="273"/>
      <c r="M6100" s="394">
        <f t="shared" ref="M6100:M6104" si="833">IF(A6100="","",I6100*K6100)</f>
        <v>0</v>
      </c>
      <c r="N6100" s="273"/>
    </row>
    <row r="6101" spans="1:14" ht="12.75" customHeight="1" x14ac:dyDescent="0.2">
      <c r="A6101" s="403"/>
      <c r="B6101" s="271"/>
      <c r="C6101" s="271"/>
      <c r="D6101" s="271"/>
      <c r="E6101" s="271"/>
      <c r="F6101" s="271"/>
      <c r="G6101" s="273"/>
      <c r="H6101" s="29"/>
      <c r="I6101" s="394"/>
      <c r="J6101" s="273"/>
      <c r="K6101" s="404"/>
      <c r="L6101" s="273"/>
      <c r="M6101" s="394" t="str">
        <f t="shared" si="833"/>
        <v/>
      </c>
      <c r="N6101" s="273"/>
    </row>
    <row r="6102" spans="1:14" ht="12.75" customHeight="1" x14ac:dyDescent="0.2">
      <c r="A6102" s="400"/>
      <c r="B6102" s="271"/>
      <c r="C6102" s="271"/>
      <c r="D6102" s="271"/>
      <c r="E6102" s="271"/>
      <c r="F6102" s="271"/>
      <c r="G6102" s="273"/>
      <c r="H6102" s="29"/>
      <c r="I6102" s="394"/>
      <c r="J6102" s="273"/>
      <c r="K6102" s="395"/>
      <c r="L6102" s="273"/>
      <c r="M6102" s="394" t="str">
        <f t="shared" si="833"/>
        <v/>
      </c>
      <c r="N6102" s="273"/>
    </row>
    <row r="6103" spans="1:14" ht="12.75" customHeight="1" x14ac:dyDescent="0.2">
      <c r="A6103" s="400"/>
      <c r="B6103" s="271"/>
      <c r="C6103" s="271"/>
      <c r="D6103" s="271"/>
      <c r="E6103" s="271"/>
      <c r="F6103" s="271"/>
      <c r="G6103" s="273"/>
      <c r="H6103" s="29"/>
      <c r="I6103" s="394"/>
      <c r="J6103" s="273"/>
      <c r="K6103" s="395"/>
      <c r="L6103" s="273"/>
      <c r="M6103" s="394" t="str">
        <f t="shared" si="833"/>
        <v/>
      </c>
      <c r="N6103" s="273"/>
    </row>
    <row r="6104" spans="1:14" ht="12.75" customHeight="1" x14ac:dyDescent="0.2">
      <c r="A6104" s="400"/>
      <c r="B6104" s="271"/>
      <c r="C6104" s="271"/>
      <c r="D6104" s="271"/>
      <c r="E6104" s="271"/>
      <c r="F6104" s="271"/>
      <c r="G6104" s="273"/>
      <c r="H6104" s="29"/>
      <c r="I6104" s="394"/>
      <c r="J6104" s="273"/>
      <c r="K6104" s="395"/>
      <c r="L6104" s="273"/>
      <c r="M6104" s="394" t="str">
        <f t="shared" si="833"/>
        <v/>
      </c>
      <c r="N6104" s="273"/>
    </row>
    <row r="6105" spans="1:14" ht="12.75" customHeight="1" x14ac:dyDescent="0.25">
      <c r="A6105" s="4"/>
      <c r="B6105" s="4"/>
      <c r="C6105" s="4"/>
      <c r="D6105" s="4"/>
      <c r="E6105" s="4"/>
      <c r="F6105" s="4"/>
      <c r="G6105" s="4"/>
      <c r="H6105" s="4"/>
      <c r="I6105" s="4"/>
      <c r="J6105" s="4"/>
      <c r="K6105" s="396" t="s">
        <v>444</v>
      </c>
      <c r="L6105" s="273"/>
      <c r="M6105" s="394">
        <f>SUM(M6100:N6104)</f>
        <v>0</v>
      </c>
      <c r="N6105" s="273"/>
    </row>
    <row r="6106" spans="1:14" ht="12.75" customHeight="1" x14ac:dyDescent="0.25">
      <c r="A6106" s="4"/>
      <c r="B6106" s="4"/>
      <c r="C6106" s="4"/>
      <c r="D6106" s="4"/>
      <c r="E6106" s="4"/>
      <c r="F6106" s="4"/>
      <c r="G6106" s="4"/>
      <c r="H6106" s="4"/>
      <c r="I6106" s="4"/>
      <c r="J6106" s="4"/>
      <c r="K6106" s="4"/>
      <c r="L6106" s="4"/>
      <c r="M6106" s="4"/>
      <c r="N6106" s="4"/>
    </row>
    <row r="6107" spans="1:14" ht="12.75" customHeight="1" x14ac:dyDescent="0.2">
      <c r="A6107" s="398" t="s">
        <v>931</v>
      </c>
      <c r="B6107" s="271"/>
      <c r="C6107" s="271"/>
      <c r="D6107" s="271"/>
      <c r="E6107" s="271"/>
      <c r="F6107" s="271"/>
      <c r="G6107" s="271"/>
      <c r="H6107" s="271"/>
      <c r="I6107" s="271"/>
      <c r="J6107" s="271"/>
      <c r="K6107" s="271"/>
      <c r="L6107" s="271"/>
      <c r="M6107" s="271"/>
      <c r="N6107" s="273"/>
    </row>
    <row r="6108" spans="1:14" ht="12.75" customHeight="1" x14ac:dyDescent="0.2">
      <c r="A6108" s="396" t="s">
        <v>76</v>
      </c>
      <c r="B6108" s="271"/>
      <c r="C6108" s="271"/>
      <c r="D6108" s="271"/>
      <c r="E6108" s="271"/>
      <c r="F6108" s="271"/>
      <c r="G6108" s="273"/>
      <c r="H6108" s="88" t="s">
        <v>77</v>
      </c>
      <c r="I6108" s="399" t="s">
        <v>920</v>
      </c>
      <c r="J6108" s="273"/>
      <c r="K6108" s="90" t="s">
        <v>514</v>
      </c>
      <c r="L6108" s="91" t="s">
        <v>932</v>
      </c>
      <c r="M6108" s="399" t="s">
        <v>921</v>
      </c>
      <c r="N6108" s="273"/>
    </row>
    <row r="6109" spans="1:14" ht="12.75" customHeight="1" x14ac:dyDescent="0.25">
      <c r="A6109" s="393"/>
      <c r="B6109" s="271"/>
      <c r="C6109" s="271"/>
      <c r="D6109" s="271"/>
      <c r="E6109" s="271"/>
      <c r="F6109" s="271"/>
      <c r="G6109" s="273"/>
      <c r="H6109" s="29" t="str">
        <f>IF(A6109="","",VLOOKUP(A6109,AA_Cuadrillas,4,FALSE))</f>
        <v/>
      </c>
      <c r="I6109" s="394"/>
      <c r="J6109" s="273"/>
      <c r="K6109" s="9"/>
      <c r="L6109" s="93"/>
      <c r="M6109" s="394" t="str">
        <f t="shared" ref="M6109:M6113" si="834">IF(A6109="","",I6109*K6109*L6109)</f>
        <v/>
      </c>
      <c r="N6109" s="273"/>
    </row>
    <row r="6110" spans="1:14" ht="12.75" customHeight="1" x14ac:dyDescent="0.25">
      <c r="A6110" s="393"/>
      <c r="B6110" s="271"/>
      <c r="C6110" s="271"/>
      <c r="D6110" s="271"/>
      <c r="E6110" s="271"/>
      <c r="F6110" s="271"/>
      <c r="G6110" s="273"/>
      <c r="H6110" s="29" t="str">
        <f>IF(A6110="","",VLOOKUP(A6110,AA_Cuadrillas,4,FALSE))</f>
        <v/>
      </c>
      <c r="I6110" s="394" t="str">
        <f>IF(A6110="","",VLOOKUP(A6110,AA_Cuadrillas,5,FALSE))</f>
        <v/>
      </c>
      <c r="J6110" s="273"/>
      <c r="K6110" s="9" t="str">
        <f>IF(A6110="","",F.P!$I$2)</f>
        <v/>
      </c>
      <c r="L6110" s="9"/>
      <c r="M6110" s="394" t="str">
        <f t="shared" si="834"/>
        <v/>
      </c>
      <c r="N6110" s="273"/>
    </row>
    <row r="6111" spans="1:14" ht="12.75" customHeight="1" x14ac:dyDescent="0.25">
      <c r="A6111" s="393"/>
      <c r="B6111" s="271"/>
      <c r="C6111" s="271"/>
      <c r="D6111" s="271"/>
      <c r="E6111" s="271"/>
      <c r="F6111" s="271"/>
      <c r="G6111" s="273"/>
      <c r="H6111" s="29" t="str">
        <f>IF(A6111="","",VLOOKUP(A6111,AA_Cuadrillas,4,FALSE))</f>
        <v/>
      </c>
      <c r="I6111" s="394" t="str">
        <f>IF(A6111="","",VLOOKUP(A6111,AA_Cuadrillas,5,FALSE))</f>
        <v/>
      </c>
      <c r="J6111" s="273"/>
      <c r="K6111" s="9" t="str">
        <f>IF(A6111="","",F.P!$I$2)</f>
        <v/>
      </c>
      <c r="L6111" s="37"/>
      <c r="M6111" s="394" t="str">
        <f t="shared" si="834"/>
        <v/>
      </c>
      <c r="N6111" s="273"/>
    </row>
    <row r="6112" spans="1:14" ht="12.75" customHeight="1" x14ac:dyDescent="0.25">
      <c r="A6112" s="393"/>
      <c r="B6112" s="271"/>
      <c r="C6112" s="271"/>
      <c r="D6112" s="271"/>
      <c r="E6112" s="271"/>
      <c r="F6112" s="271"/>
      <c r="G6112" s="273"/>
      <c r="H6112" s="29" t="str">
        <f>IF(A6112="","",VLOOKUP(A6112,AA_Cuadrillas,4,FALSE))</f>
        <v/>
      </c>
      <c r="I6112" s="394" t="str">
        <f>IF(A6112="","",VLOOKUP(A6112,AA_Cuadrillas,5,FALSE))</f>
        <v/>
      </c>
      <c r="J6112" s="273"/>
      <c r="K6112" s="9" t="str">
        <f>IF(A6112="","",F.P!$I$2)</f>
        <v/>
      </c>
      <c r="L6112" s="37"/>
      <c r="M6112" s="394" t="str">
        <f t="shared" si="834"/>
        <v/>
      </c>
      <c r="N6112" s="273"/>
    </row>
    <row r="6113" spans="1:15" ht="12.75" customHeight="1" x14ac:dyDescent="0.25">
      <c r="A6113" s="393"/>
      <c r="B6113" s="271"/>
      <c r="C6113" s="271"/>
      <c r="D6113" s="271"/>
      <c r="E6113" s="271"/>
      <c r="F6113" s="271"/>
      <c r="G6113" s="273"/>
      <c r="H6113" s="29" t="str">
        <f>IF(A6113="","",VLOOKUP(A6113,AA_Cuadrillas,4,FALSE))</f>
        <v/>
      </c>
      <c r="I6113" s="394" t="str">
        <f>IF(A6113="","",VLOOKUP(A6113,AA_Cuadrillas,5,FALSE))</f>
        <v/>
      </c>
      <c r="J6113" s="273"/>
      <c r="K6113" s="9" t="str">
        <f>IF(A6113="","",F.P!$I$2)</f>
        <v/>
      </c>
      <c r="L6113" s="37"/>
      <c r="M6113" s="394" t="str">
        <f t="shared" si="834"/>
        <v/>
      </c>
      <c r="N6113" s="273"/>
    </row>
    <row r="6114" spans="1:15" ht="12.75" customHeight="1" x14ac:dyDescent="0.25">
      <c r="A6114" s="4"/>
      <c r="B6114" s="4"/>
      <c r="C6114" s="4"/>
      <c r="D6114" s="4"/>
      <c r="E6114" s="4"/>
      <c r="F6114" s="4"/>
      <c r="G6114" s="4"/>
      <c r="H6114" s="4"/>
      <c r="I6114" s="4"/>
      <c r="J6114" s="4"/>
      <c r="K6114" s="396" t="s">
        <v>444</v>
      </c>
      <c r="L6114" s="273"/>
      <c r="M6114" s="394">
        <f>SUM(M6109:N6113)</f>
        <v>0</v>
      </c>
      <c r="N6114" s="273"/>
    </row>
    <row r="6115" spans="1:15" ht="12.75" customHeight="1" x14ac:dyDescent="0.2"/>
    <row r="6116" spans="1:15" ht="12.75" customHeight="1" x14ac:dyDescent="0.2">
      <c r="A6116" s="407" t="s">
        <v>223</v>
      </c>
      <c r="B6116" s="275"/>
      <c r="C6116" s="275"/>
      <c r="D6116" s="275"/>
      <c r="E6116" s="275"/>
      <c r="F6116" s="275"/>
      <c r="G6116" s="275"/>
      <c r="H6116" s="275"/>
      <c r="I6116" s="275"/>
      <c r="J6116" s="275"/>
      <c r="K6116" s="275"/>
      <c r="L6116" s="275"/>
      <c r="M6116" s="275"/>
      <c r="N6116" s="276"/>
      <c r="O6116" s="166"/>
    </row>
    <row r="6117" spans="1:15" ht="12.75" customHeight="1" x14ac:dyDescent="0.2">
      <c r="A6117" s="277"/>
      <c r="B6117" s="278"/>
      <c r="C6117" s="278"/>
      <c r="D6117" s="278"/>
      <c r="E6117" s="278"/>
      <c r="F6117" s="278"/>
      <c r="G6117" s="278"/>
      <c r="H6117" s="278"/>
      <c r="I6117" s="278"/>
      <c r="J6117" s="278"/>
      <c r="K6117" s="278"/>
      <c r="L6117" s="278"/>
      <c r="M6117" s="278"/>
      <c r="N6117" s="279"/>
      <c r="O6117" s="166"/>
    </row>
    <row r="6118" spans="1:15" ht="12.75" customHeight="1" x14ac:dyDescent="0.2">
      <c r="A6118" s="75"/>
      <c r="B6118" s="75"/>
      <c r="C6118" s="75"/>
      <c r="D6118" s="75"/>
      <c r="E6118" s="75"/>
      <c r="F6118" s="75"/>
      <c r="G6118" s="75"/>
      <c r="H6118" s="75"/>
      <c r="I6118" s="75"/>
      <c r="J6118" s="75"/>
      <c r="K6118" s="75"/>
      <c r="L6118" s="75"/>
      <c r="M6118" s="75"/>
      <c r="N6118" s="75"/>
    </row>
    <row r="6119" spans="1:15" ht="12.75" customHeight="1" x14ac:dyDescent="0.3">
      <c r="A6119" s="79" t="s">
        <v>755</v>
      </c>
      <c r="B6119" s="80" t="str">
        <f>A6116</f>
        <v>SUMINISTRO DE ESTRUCTURA DE CANALETA PRFV</v>
      </c>
      <c r="C6119" s="81" t="s">
        <v>916</v>
      </c>
      <c r="D6119" s="82" t="s">
        <v>981</v>
      </c>
      <c r="E6119" s="83" t="s">
        <v>445</v>
      </c>
      <c r="F6119" s="234">
        <f>(H6119+J6119+L6119+N6119)*1.3</f>
        <v>648365.20391499996</v>
      </c>
      <c r="G6119" s="83" t="s">
        <v>607</v>
      </c>
      <c r="H6119" s="86">
        <f>M6131</f>
        <v>299017.61</v>
      </c>
      <c r="I6119" s="83" t="s">
        <v>918</v>
      </c>
      <c r="J6119" s="86">
        <f>M6140</f>
        <v>8777.8610000000008</v>
      </c>
      <c r="K6119" s="83" t="s">
        <v>609</v>
      </c>
      <c r="L6119" s="86">
        <f>M6149</f>
        <v>15389.77355</v>
      </c>
      <c r="M6119" s="83" t="s">
        <v>610</v>
      </c>
      <c r="N6119" s="86">
        <f>M6158</f>
        <v>175557.22</v>
      </c>
    </row>
    <row r="6120" spans="1:15" ht="12.75" customHeight="1" x14ac:dyDescent="0.25">
      <c r="A6120" s="87"/>
      <c r="B6120" s="87"/>
      <c r="C6120" s="87"/>
      <c r="D6120" s="87"/>
      <c r="E6120" s="87"/>
      <c r="F6120" s="87"/>
      <c r="G6120" s="87"/>
      <c r="J6120" s="87"/>
      <c r="K6120" s="215" t="s">
        <v>3217</v>
      </c>
      <c r="L6120" s="215">
        <f>+F6119*presup!$O$5</f>
        <v>842874.7650895</v>
      </c>
      <c r="M6120" s="87"/>
      <c r="N6120" s="87"/>
    </row>
    <row r="6121" spans="1:15" ht="12.75" customHeight="1" x14ac:dyDescent="0.2">
      <c r="A6121" s="398" t="s">
        <v>919</v>
      </c>
      <c r="B6121" s="271"/>
      <c r="C6121" s="271"/>
      <c r="D6121" s="271"/>
      <c r="E6121" s="271"/>
      <c r="F6121" s="271"/>
      <c r="G6121" s="271"/>
      <c r="H6121" s="271"/>
      <c r="I6121" s="271"/>
      <c r="J6121" s="271"/>
      <c r="K6121" s="271"/>
      <c r="L6121" s="271"/>
      <c r="M6121" s="271"/>
      <c r="N6121" s="273"/>
    </row>
    <row r="6122" spans="1:15" ht="12.75" customHeight="1" x14ac:dyDescent="0.2">
      <c r="A6122" s="396" t="s">
        <v>76</v>
      </c>
      <c r="B6122" s="271"/>
      <c r="C6122" s="271"/>
      <c r="D6122" s="271"/>
      <c r="E6122" s="271"/>
      <c r="F6122" s="271"/>
      <c r="G6122" s="273"/>
      <c r="H6122" s="88" t="s">
        <v>77</v>
      </c>
      <c r="I6122" s="399" t="s">
        <v>920</v>
      </c>
      <c r="J6122" s="273"/>
      <c r="K6122" s="399" t="s">
        <v>453</v>
      </c>
      <c r="L6122" s="273"/>
      <c r="M6122" s="399" t="s">
        <v>921</v>
      </c>
      <c r="N6122" s="273"/>
    </row>
    <row r="6123" spans="1:15" ht="12.75" customHeight="1" x14ac:dyDescent="0.2">
      <c r="A6123" s="400" t="s">
        <v>1258</v>
      </c>
      <c r="B6123" s="271"/>
      <c r="C6123" s="271"/>
      <c r="D6123" s="271"/>
      <c r="E6123" s="271"/>
      <c r="F6123" s="271"/>
      <c r="G6123" s="273"/>
      <c r="H6123" s="29" t="str">
        <f t="shared" ref="H6123:H6128" si="835">IF(A6123="","",VLOOKUP(A6123,AA_Materiales,7,FALSE))</f>
        <v>Unidad</v>
      </c>
      <c r="I6123" s="394">
        <f t="shared" ref="I6123:I6130" si="836">IF(A6123="","",VLOOKUP(A6123,AA_Materiales,8,FALSE))</f>
        <v>299017.61</v>
      </c>
      <c r="J6123" s="273"/>
      <c r="K6123" s="395">
        <v>1</v>
      </c>
      <c r="L6123" s="273"/>
      <c r="M6123" s="394">
        <f t="shared" ref="M6123:M6130" si="837">IF(A6123="","",I6123*K6123)</f>
        <v>299017.61</v>
      </c>
      <c r="N6123" s="273"/>
    </row>
    <row r="6124" spans="1:15" ht="12.75" customHeight="1" x14ac:dyDescent="0.2">
      <c r="A6124" s="400"/>
      <c r="B6124" s="271"/>
      <c r="C6124" s="271"/>
      <c r="D6124" s="271"/>
      <c r="E6124" s="271"/>
      <c r="F6124" s="271"/>
      <c r="G6124" s="273"/>
      <c r="H6124" s="29" t="str">
        <f t="shared" si="835"/>
        <v/>
      </c>
      <c r="I6124" s="394" t="str">
        <f t="shared" si="836"/>
        <v/>
      </c>
      <c r="J6124" s="273"/>
      <c r="K6124" s="395"/>
      <c r="L6124" s="273"/>
      <c r="M6124" s="394" t="str">
        <f t="shared" si="837"/>
        <v/>
      </c>
      <c r="N6124" s="273"/>
    </row>
    <row r="6125" spans="1:15" ht="12.75" customHeight="1" x14ac:dyDescent="0.2">
      <c r="A6125" s="400"/>
      <c r="B6125" s="271"/>
      <c r="C6125" s="271"/>
      <c r="D6125" s="271"/>
      <c r="E6125" s="271"/>
      <c r="F6125" s="271"/>
      <c r="G6125" s="273"/>
      <c r="H6125" s="29" t="str">
        <f t="shared" si="835"/>
        <v/>
      </c>
      <c r="I6125" s="394" t="str">
        <f t="shared" si="836"/>
        <v/>
      </c>
      <c r="J6125" s="273"/>
      <c r="K6125" s="395"/>
      <c r="L6125" s="273"/>
      <c r="M6125" s="394" t="str">
        <f t="shared" si="837"/>
        <v/>
      </c>
      <c r="N6125" s="273"/>
    </row>
    <row r="6126" spans="1:15" ht="12.75" customHeight="1" x14ac:dyDescent="0.2">
      <c r="A6126" s="400"/>
      <c r="B6126" s="271"/>
      <c r="C6126" s="271"/>
      <c r="D6126" s="271"/>
      <c r="E6126" s="271"/>
      <c r="F6126" s="271"/>
      <c r="G6126" s="273"/>
      <c r="H6126" s="29" t="str">
        <f t="shared" si="835"/>
        <v/>
      </c>
      <c r="I6126" s="394" t="str">
        <f t="shared" si="836"/>
        <v/>
      </c>
      <c r="J6126" s="273"/>
      <c r="K6126" s="395"/>
      <c r="L6126" s="273"/>
      <c r="M6126" s="394" t="str">
        <f t="shared" si="837"/>
        <v/>
      </c>
      <c r="N6126" s="273"/>
    </row>
    <row r="6127" spans="1:15" ht="12.75" customHeight="1" x14ac:dyDescent="0.2">
      <c r="A6127" s="400"/>
      <c r="B6127" s="271"/>
      <c r="C6127" s="271"/>
      <c r="D6127" s="271"/>
      <c r="E6127" s="271"/>
      <c r="F6127" s="271"/>
      <c r="G6127" s="273"/>
      <c r="H6127" s="29" t="str">
        <f t="shared" si="835"/>
        <v/>
      </c>
      <c r="I6127" s="394" t="str">
        <f t="shared" si="836"/>
        <v/>
      </c>
      <c r="J6127" s="273"/>
      <c r="K6127" s="395"/>
      <c r="L6127" s="273"/>
      <c r="M6127" s="394" t="str">
        <f t="shared" si="837"/>
        <v/>
      </c>
      <c r="N6127" s="273"/>
    </row>
    <row r="6128" spans="1:15" ht="12.75" customHeight="1" x14ac:dyDescent="0.2">
      <c r="A6128" s="400"/>
      <c r="B6128" s="271"/>
      <c r="C6128" s="271"/>
      <c r="D6128" s="271"/>
      <c r="E6128" s="271"/>
      <c r="F6128" s="271"/>
      <c r="G6128" s="273"/>
      <c r="H6128" s="29" t="str">
        <f t="shared" si="835"/>
        <v/>
      </c>
      <c r="I6128" s="394" t="str">
        <f t="shared" si="836"/>
        <v/>
      </c>
      <c r="J6128" s="273"/>
      <c r="K6128" s="395"/>
      <c r="L6128" s="273"/>
      <c r="M6128" s="394" t="str">
        <f t="shared" si="837"/>
        <v/>
      </c>
      <c r="N6128" s="273"/>
    </row>
    <row r="6129" spans="1:14" ht="12.75" customHeight="1" x14ac:dyDescent="0.2">
      <c r="A6129" s="400"/>
      <c r="B6129" s="271"/>
      <c r="C6129" s="271"/>
      <c r="D6129" s="271"/>
      <c r="E6129" s="271"/>
      <c r="F6129" s="271"/>
      <c r="G6129" s="273"/>
      <c r="H6129" s="29"/>
      <c r="I6129" s="394" t="str">
        <f t="shared" si="836"/>
        <v/>
      </c>
      <c r="J6129" s="273"/>
      <c r="K6129" s="395"/>
      <c r="L6129" s="273"/>
      <c r="M6129" s="394" t="str">
        <f t="shared" si="837"/>
        <v/>
      </c>
      <c r="N6129" s="273"/>
    </row>
    <row r="6130" spans="1:14" ht="12.75" customHeight="1" x14ac:dyDescent="0.2">
      <c r="A6130" s="400"/>
      <c r="B6130" s="271"/>
      <c r="C6130" s="271"/>
      <c r="D6130" s="271"/>
      <c r="E6130" s="271"/>
      <c r="F6130" s="271"/>
      <c r="G6130" s="273"/>
      <c r="H6130" s="29" t="str">
        <f>IF(A6130="","",VLOOKUP(A6130,AA_Materiales,7,FALSE))</f>
        <v/>
      </c>
      <c r="I6130" s="394" t="str">
        <f t="shared" si="836"/>
        <v/>
      </c>
      <c r="J6130" s="273"/>
      <c r="K6130" s="395"/>
      <c r="L6130" s="273"/>
      <c r="M6130" s="394" t="str">
        <f t="shared" si="837"/>
        <v/>
      </c>
      <c r="N6130" s="273"/>
    </row>
    <row r="6131" spans="1:14" ht="12.75" customHeight="1" x14ac:dyDescent="0.25">
      <c r="A6131" s="4"/>
      <c r="B6131" s="4"/>
      <c r="C6131" s="4"/>
      <c r="D6131" s="4"/>
      <c r="E6131" s="4"/>
      <c r="F6131" s="4"/>
      <c r="G6131" s="4"/>
      <c r="H6131" s="4"/>
      <c r="I6131" s="4"/>
      <c r="J6131" s="4"/>
      <c r="K6131" s="396" t="s">
        <v>444</v>
      </c>
      <c r="L6131" s="273"/>
      <c r="M6131" s="394">
        <f>SUM(M6123:N6130)</f>
        <v>299017.61</v>
      </c>
      <c r="N6131" s="273"/>
    </row>
    <row r="6132" spans="1:14" ht="12.75" customHeight="1" x14ac:dyDescent="0.25">
      <c r="A6132" s="4"/>
      <c r="B6132" s="4"/>
      <c r="C6132" s="4"/>
      <c r="D6132" s="4"/>
      <c r="E6132" s="4"/>
      <c r="F6132" s="4"/>
      <c r="G6132" s="4"/>
      <c r="H6132" s="4"/>
      <c r="I6132" s="4"/>
      <c r="J6132" s="4"/>
      <c r="K6132" s="4"/>
      <c r="L6132" s="4"/>
      <c r="M6132" s="4"/>
      <c r="N6132" s="4"/>
    </row>
    <row r="6133" spans="1:14" ht="12.75" customHeight="1" x14ac:dyDescent="0.2">
      <c r="A6133" s="398" t="s">
        <v>926</v>
      </c>
      <c r="B6133" s="271"/>
      <c r="C6133" s="271"/>
      <c r="D6133" s="271"/>
      <c r="E6133" s="271"/>
      <c r="F6133" s="271"/>
      <c r="G6133" s="271"/>
      <c r="H6133" s="271"/>
      <c r="I6133" s="271"/>
      <c r="J6133" s="271"/>
      <c r="K6133" s="271"/>
      <c r="L6133" s="271"/>
      <c r="M6133" s="271"/>
      <c r="N6133" s="273"/>
    </row>
    <row r="6134" spans="1:14" ht="12.75" customHeight="1" x14ac:dyDescent="0.2">
      <c r="A6134" s="396" t="s">
        <v>76</v>
      </c>
      <c r="B6134" s="271"/>
      <c r="C6134" s="271"/>
      <c r="D6134" s="271"/>
      <c r="E6134" s="271"/>
      <c r="F6134" s="271"/>
      <c r="G6134" s="273"/>
      <c r="H6134" s="88" t="s">
        <v>77</v>
      </c>
      <c r="I6134" s="399" t="s">
        <v>920</v>
      </c>
      <c r="J6134" s="273"/>
      <c r="K6134" s="399" t="s">
        <v>453</v>
      </c>
      <c r="L6134" s="273"/>
      <c r="M6134" s="399" t="s">
        <v>921</v>
      </c>
      <c r="N6134" s="273"/>
    </row>
    <row r="6135" spans="1:14" ht="12.75" customHeight="1" x14ac:dyDescent="0.2">
      <c r="A6135" s="400" t="s">
        <v>927</v>
      </c>
      <c r="B6135" s="271"/>
      <c r="C6135" s="271"/>
      <c r="D6135" s="271"/>
      <c r="E6135" s="271"/>
      <c r="F6135" s="271"/>
      <c r="G6135" s="273"/>
      <c r="H6135" s="29" t="str">
        <f>IF(A6135="","",VLOOKUP(A6135,AA_Equipos,7,FALSE))</f>
        <v>% M.O.</v>
      </c>
      <c r="I6135" s="394">
        <f>+M6158</f>
        <v>175557.22</v>
      </c>
      <c r="J6135" s="273"/>
      <c r="K6135" s="404">
        <v>0.05</v>
      </c>
      <c r="L6135" s="273"/>
      <c r="M6135" s="394">
        <f t="shared" ref="M6135:M6139" si="838">IF(A6135="","",I6135*K6135)</f>
        <v>8777.8610000000008</v>
      </c>
      <c r="N6135" s="273"/>
    </row>
    <row r="6136" spans="1:14" ht="12.75" customHeight="1" x14ac:dyDescent="0.2">
      <c r="A6136" s="403"/>
      <c r="B6136" s="271"/>
      <c r="C6136" s="271"/>
      <c r="D6136" s="271"/>
      <c r="E6136" s="271"/>
      <c r="F6136" s="271"/>
      <c r="G6136" s="273"/>
      <c r="H6136" s="29" t="str">
        <f>IF(A6136="","",VLOOKUP(A6136,AA_Equipos,7,FALSE))</f>
        <v/>
      </c>
      <c r="I6136" s="394" t="str">
        <f>IF(A6136="","",VLOOKUP(A6136,AA_Equipos,8,FALSE))</f>
        <v/>
      </c>
      <c r="J6136" s="273"/>
      <c r="K6136" s="402"/>
      <c r="L6136" s="273"/>
      <c r="M6136" s="394" t="str">
        <f t="shared" si="838"/>
        <v/>
      </c>
      <c r="N6136" s="273"/>
    </row>
    <row r="6137" spans="1:14" ht="12.75" customHeight="1" x14ac:dyDescent="0.2">
      <c r="A6137" s="400"/>
      <c r="B6137" s="271"/>
      <c r="C6137" s="271"/>
      <c r="D6137" s="271"/>
      <c r="E6137" s="271"/>
      <c r="F6137" s="271"/>
      <c r="G6137" s="273"/>
      <c r="H6137" s="29" t="str">
        <f>IF(A6137="","",VLOOKUP(A6137,AA_Equipos,7,FALSE))</f>
        <v/>
      </c>
      <c r="I6137" s="394" t="str">
        <f>IF(A6137="","",VLOOKUP(A6137,AA_Equipos,8,FALSE))</f>
        <v/>
      </c>
      <c r="J6137" s="273"/>
      <c r="K6137" s="402"/>
      <c r="L6137" s="273"/>
      <c r="M6137" s="394" t="str">
        <f t="shared" si="838"/>
        <v/>
      </c>
      <c r="N6137" s="273"/>
    </row>
    <row r="6138" spans="1:14" ht="12.75" customHeight="1" x14ac:dyDescent="0.2">
      <c r="A6138" s="400"/>
      <c r="B6138" s="271"/>
      <c r="C6138" s="271"/>
      <c r="D6138" s="271"/>
      <c r="E6138" s="271"/>
      <c r="F6138" s="271"/>
      <c r="G6138" s="273"/>
      <c r="H6138" s="29" t="str">
        <f>IF(A6138="","",VLOOKUP(A6138,AA_Equipos,7,FALSE))</f>
        <v/>
      </c>
      <c r="I6138" s="394" t="str">
        <f>IF(A6138="","",VLOOKUP(A6138,AA_Equipos,8,FALSE))</f>
        <v/>
      </c>
      <c r="J6138" s="273"/>
      <c r="K6138" s="402"/>
      <c r="L6138" s="273"/>
      <c r="M6138" s="394" t="str">
        <f t="shared" si="838"/>
        <v/>
      </c>
      <c r="N6138" s="273"/>
    </row>
    <row r="6139" spans="1:14" ht="12.75" customHeight="1" x14ac:dyDescent="0.2">
      <c r="A6139" s="400"/>
      <c r="B6139" s="271"/>
      <c r="C6139" s="271"/>
      <c r="D6139" s="271"/>
      <c r="E6139" s="271"/>
      <c r="F6139" s="271"/>
      <c r="G6139" s="273"/>
      <c r="H6139" s="29" t="str">
        <f>IF(A6139="","",VLOOKUP(A6139,AA_Equipos,7,FALSE))</f>
        <v/>
      </c>
      <c r="I6139" s="394" t="str">
        <f>IF(A6139="","",VLOOKUP(A6139,AA_Equipos,8,FALSE))</f>
        <v/>
      </c>
      <c r="J6139" s="273"/>
      <c r="K6139" s="395"/>
      <c r="L6139" s="273"/>
      <c r="M6139" s="394" t="str">
        <f t="shared" si="838"/>
        <v/>
      </c>
      <c r="N6139" s="273"/>
    </row>
    <row r="6140" spans="1:14" ht="12.75" customHeight="1" x14ac:dyDescent="0.25">
      <c r="A6140" s="4"/>
      <c r="B6140" s="4"/>
      <c r="C6140" s="4"/>
      <c r="D6140" s="4"/>
      <c r="E6140" s="4"/>
      <c r="F6140" s="4"/>
      <c r="G6140" s="4"/>
      <c r="H6140" s="4"/>
      <c r="I6140" s="4"/>
      <c r="J6140" s="4"/>
      <c r="K6140" s="396" t="s">
        <v>444</v>
      </c>
      <c r="L6140" s="273"/>
      <c r="M6140" s="394">
        <f>SUM(M6135:N6139)</f>
        <v>8777.8610000000008</v>
      </c>
      <c r="N6140" s="273"/>
    </row>
    <row r="6141" spans="1:14" ht="12.75" customHeight="1" x14ac:dyDescent="0.25">
      <c r="A6141" s="4"/>
      <c r="B6141" s="4"/>
      <c r="C6141" s="4"/>
      <c r="D6141" s="4"/>
      <c r="E6141" s="4"/>
      <c r="F6141" s="4"/>
      <c r="G6141" s="4"/>
      <c r="H6141" s="4"/>
      <c r="I6141" s="4"/>
      <c r="J6141" s="4"/>
      <c r="K6141" s="4"/>
      <c r="L6141" s="4"/>
      <c r="M6141" s="4"/>
      <c r="N6141" s="4"/>
    </row>
    <row r="6142" spans="1:14" ht="12.75" customHeight="1" x14ac:dyDescent="0.2">
      <c r="A6142" s="398" t="s">
        <v>929</v>
      </c>
      <c r="B6142" s="271"/>
      <c r="C6142" s="271"/>
      <c r="D6142" s="271"/>
      <c r="E6142" s="271"/>
      <c r="F6142" s="271"/>
      <c r="G6142" s="271"/>
      <c r="H6142" s="271"/>
      <c r="I6142" s="271"/>
      <c r="J6142" s="271"/>
      <c r="K6142" s="271"/>
      <c r="L6142" s="271"/>
      <c r="M6142" s="271"/>
      <c r="N6142" s="273"/>
    </row>
    <row r="6143" spans="1:14" ht="12.75" customHeight="1" x14ac:dyDescent="0.2">
      <c r="A6143" s="396" t="s">
        <v>76</v>
      </c>
      <c r="B6143" s="271"/>
      <c r="C6143" s="271"/>
      <c r="D6143" s="271"/>
      <c r="E6143" s="271"/>
      <c r="F6143" s="271"/>
      <c r="G6143" s="273"/>
      <c r="H6143" s="88" t="s">
        <v>77</v>
      </c>
      <c r="I6143" s="399" t="s">
        <v>920</v>
      </c>
      <c r="J6143" s="273"/>
      <c r="K6143" s="399" t="s">
        <v>453</v>
      </c>
      <c r="L6143" s="273"/>
      <c r="M6143" s="399" t="s">
        <v>921</v>
      </c>
      <c r="N6143" s="273"/>
    </row>
    <row r="6144" spans="1:14" ht="12.75" customHeight="1" x14ac:dyDescent="0.2">
      <c r="A6144" s="400" t="s">
        <v>966</v>
      </c>
      <c r="B6144" s="271"/>
      <c r="C6144" s="271"/>
      <c r="D6144" s="271"/>
      <c r="E6144" s="271"/>
      <c r="F6144" s="271"/>
      <c r="G6144" s="273"/>
      <c r="H6144" s="29" t="s">
        <v>950</v>
      </c>
      <c r="I6144" s="394">
        <f>+M6131</f>
        <v>299017.61</v>
      </c>
      <c r="J6144" s="273"/>
      <c r="K6144" s="404">
        <v>0.05</v>
      </c>
      <c r="L6144" s="273"/>
      <c r="M6144" s="394">
        <f t="shared" ref="M6144:M6148" si="839">IF(A6144="","",I6144*K6144)</f>
        <v>14950.880499999999</v>
      </c>
      <c r="N6144" s="273"/>
    </row>
    <row r="6145" spans="1:14" ht="12.75" customHeight="1" x14ac:dyDescent="0.2">
      <c r="A6145" s="403" t="s">
        <v>3174</v>
      </c>
      <c r="B6145" s="271"/>
      <c r="C6145" s="271"/>
      <c r="D6145" s="271"/>
      <c r="E6145" s="271"/>
      <c r="F6145" s="271"/>
      <c r="G6145" s="273"/>
      <c r="H6145" s="29" t="s">
        <v>24</v>
      </c>
      <c r="I6145" s="394">
        <f>+M6140</f>
        <v>8777.8610000000008</v>
      </c>
      <c r="J6145" s="273"/>
      <c r="K6145" s="404">
        <v>0.05</v>
      </c>
      <c r="L6145" s="273"/>
      <c r="M6145" s="394">
        <f t="shared" si="839"/>
        <v>438.89305000000007</v>
      </c>
      <c r="N6145" s="273"/>
    </row>
    <row r="6146" spans="1:14" ht="12.75" customHeight="1" x14ac:dyDescent="0.2">
      <c r="A6146" s="400"/>
      <c r="B6146" s="271"/>
      <c r="C6146" s="271"/>
      <c r="D6146" s="271"/>
      <c r="E6146" s="271"/>
      <c r="F6146" s="271"/>
      <c r="G6146" s="273"/>
      <c r="H6146" s="29"/>
      <c r="I6146" s="394"/>
      <c r="J6146" s="273"/>
      <c r="K6146" s="395"/>
      <c r="L6146" s="273"/>
      <c r="M6146" s="394" t="str">
        <f t="shared" si="839"/>
        <v/>
      </c>
      <c r="N6146" s="273"/>
    </row>
    <row r="6147" spans="1:14" ht="12.75" customHeight="1" x14ac:dyDescent="0.2">
      <c r="A6147" s="400"/>
      <c r="B6147" s="271"/>
      <c r="C6147" s="271"/>
      <c r="D6147" s="271"/>
      <c r="E6147" s="271"/>
      <c r="F6147" s="271"/>
      <c r="G6147" s="273"/>
      <c r="H6147" s="29"/>
      <c r="I6147" s="394"/>
      <c r="J6147" s="273"/>
      <c r="K6147" s="395"/>
      <c r="L6147" s="273"/>
      <c r="M6147" s="394" t="str">
        <f t="shared" si="839"/>
        <v/>
      </c>
      <c r="N6147" s="273"/>
    </row>
    <row r="6148" spans="1:14" ht="12.75" customHeight="1" x14ac:dyDescent="0.2">
      <c r="A6148" s="400"/>
      <c r="B6148" s="271"/>
      <c r="C6148" s="271"/>
      <c r="D6148" s="271"/>
      <c r="E6148" s="271"/>
      <c r="F6148" s="271"/>
      <c r="G6148" s="273"/>
      <c r="H6148" s="29"/>
      <c r="I6148" s="394"/>
      <c r="J6148" s="273"/>
      <c r="K6148" s="395"/>
      <c r="L6148" s="273"/>
      <c r="M6148" s="394" t="str">
        <f t="shared" si="839"/>
        <v/>
      </c>
      <c r="N6148" s="273"/>
    </row>
    <row r="6149" spans="1:14" ht="12.75" customHeight="1" x14ac:dyDescent="0.25">
      <c r="A6149" s="4"/>
      <c r="B6149" s="4"/>
      <c r="C6149" s="4"/>
      <c r="D6149" s="4"/>
      <c r="E6149" s="4"/>
      <c r="F6149" s="4"/>
      <c r="G6149" s="4"/>
      <c r="H6149" s="4"/>
      <c r="I6149" s="4"/>
      <c r="J6149" s="4"/>
      <c r="K6149" s="396" t="s">
        <v>444</v>
      </c>
      <c r="L6149" s="273"/>
      <c r="M6149" s="394">
        <f>SUM(M6144:N6148)</f>
        <v>15389.77355</v>
      </c>
      <c r="N6149" s="273"/>
    </row>
    <row r="6150" spans="1:14" ht="12.75" customHeight="1" x14ac:dyDescent="0.25">
      <c r="A6150" s="4"/>
      <c r="B6150" s="4"/>
      <c r="C6150" s="4"/>
      <c r="D6150" s="4"/>
      <c r="E6150" s="4"/>
      <c r="F6150" s="4"/>
      <c r="G6150" s="4"/>
      <c r="H6150" s="4"/>
      <c r="I6150" s="4"/>
      <c r="J6150" s="4"/>
      <c r="K6150" s="4"/>
      <c r="L6150" s="4"/>
      <c r="M6150" s="4"/>
      <c r="N6150" s="4"/>
    </row>
    <row r="6151" spans="1:14" ht="12.75" customHeight="1" x14ac:dyDescent="0.2">
      <c r="A6151" s="398" t="s">
        <v>931</v>
      </c>
      <c r="B6151" s="271"/>
      <c r="C6151" s="271"/>
      <c r="D6151" s="271"/>
      <c r="E6151" s="271"/>
      <c r="F6151" s="271"/>
      <c r="G6151" s="271"/>
      <c r="H6151" s="271"/>
      <c r="I6151" s="271"/>
      <c r="J6151" s="271"/>
      <c r="K6151" s="271"/>
      <c r="L6151" s="271"/>
      <c r="M6151" s="271"/>
      <c r="N6151" s="273"/>
    </row>
    <row r="6152" spans="1:14" ht="12.75" customHeight="1" x14ac:dyDescent="0.2">
      <c r="A6152" s="396" t="s">
        <v>76</v>
      </c>
      <c r="B6152" s="271"/>
      <c r="C6152" s="271"/>
      <c r="D6152" s="271"/>
      <c r="E6152" s="271"/>
      <c r="F6152" s="271"/>
      <c r="G6152" s="273"/>
      <c r="H6152" s="88" t="s">
        <v>77</v>
      </c>
      <c r="I6152" s="399" t="s">
        <v>920</v>
      </c>
      <c r="J6152" s="273"/>
      <c r="K6152" s="90" t="s">
        <v>514</v>
      </c>
      <c r="L6152" s="91" t="s">
        <v>932</v>
      </c>
      <c r="M6152" s="399" t="s">
        <v>921</v>
      </c>
      <c r="N6152" s="273"/>
    </row>
    <row r="6153" spans="1:14" ht="12.75" customHeight="1" x14ac:dyDescent="0.25">
      <c r="A6153" s="393" t="s">
        <v>951</v>
      </c>
      <c r="B6153" s="271"/>
      <c r="C6153" s="271"/>
      <c r="D6153" s="271"/>
      <c r="E6153" s="271"/>
      <c r="F6153" s="271"/>
      <c r="G6153" s="273"/>
      <c r="H6153" s="29" t="str">
        <f>IF(A6153="","",VLOOKUP(A6153,AA_Cuadrillas,4,FALSE))</f>
        <v>Cuadrilla</v>
      </c>
      <c r="I6153" s="394">
        <f>IF(A6153="","",VLOOKUP(A6153,AA_Cuadrillas,5,FALSE))</f>
        <v>186763</v>
      </c>
      <c r="J6153" s="273"/>
      <c r="K6153" s="9">
        <f>IF(A6153="","",F.P!$I$2)</f>
        <v>1.88</v>
      </c>
      <c r="L6153" s="93">
        <v>0.5</v>
      </c>
      <c r="M6153" s="394">
        <f t="shared" ref="M6153:M6157" si="840">IF(A6153="","",I6153*K6153*L6153)</f>
        <v>175557.22</v>
      </c>
      <c r="N6153" s="273"/>
    </row>
    <row r="6154" spans="1:14" ht="12.75" customHeight="1" x14ac:dyDescent="0.25">
      <c r="A6154" s="393"/>
      <c r="B6154" s="271"/>
      <c r="C6154" s="271"/>
      <c r="D6154" s="271"/>
      <c r="E6154" s="271"/>
      <c r="F6154" s="271"/>
      <c r="G6154" s="273"/>
      <c r="H6154" s="29" t="str">
        <f>IF(A6154="","",VLOOKUP(A6154,AA_Cuadrillas,4,FALSE))</f>
        <v/>
      </c>
      <c r="I6154" s="394" t="str">
        <f>IF(A6154="","",VLOOKUP(A6154,AA_Cuadrillas,5,FALSE))</f>
        <v/>
      </c>
      <c r="J6154" s="273"/>
      <c r="K6154" s="9" t="str">
        <f>IF(A6154="","",F.P!$I$2)</f>
        <v/>
      </c>
      <c r="L6154" s="9"/>
      <c r="M6154" s="394" t="str">
        <f t="shared" si="840"/>
        <v/>
      </c>
      <c r="N6154" s="273"/>
    </row>
    <row r="6155" spans="1:14" ht="12.75" customHeight="1" x14ac:dyDescent="0.25">
      <c r="A6155" s="393"/>
      <c r="B6155" s="271"/>
      <c r="C6155" s="271"/>
      <c r="D6155" s="271"/>
      <c r="E6155" s="271"/>
      <c r="F6155" s="271"/>
      <c r="G6155" s="273"/>
      <c r="H6155" s="29" t="str">
        <f>IF(A6155="","",VLOOKUP(A6155,AA_Cuadrillas,4,FALSE))</f>
        <v/>
      </c>
      <c r="I6155" s="394" t="str">
        <f>IF(A6155="","",VLOOKUP(A6155,AA_Cuadrillas,5,FALSE))</f>
        <v/>
      </c>
      <c r="J6155" s="273"/>
      <c r="K6155" s="9" t="str">
        <f>IF(A6155="","",F.P!$I$2)</f>
        <v/>
      </c>
      <c r="L6155" s="37"/>
      <c r="M6155" s="394" t="str">
        <f t="shared" si="840"/>
        <v/>
      </c>
      <c r="N6155" s="273"/>
    </row>
    <row r="6156" spans="1:14" ht="12.75" customHeight="1" x14ac:dyDescent="0.25">
      <c r="A6156" s="393"/>
      <c r="B6156" s="271"/>
      <c r="C6156" s="271"/>
      <c r="D6156" s="271"/>
      <c r="E6156" s="271"/>
      <c r="F6156" s="271"/>
      <c r="G6156" s="273"/>
      <c r="H6156" s="29" t="str">
        <f>IF(A6156="","",VLOOKUP(A6156,AA_Cuadrillas,4,FALSE))</f>
        <v/>
      </c>
      <c r="I6156" s="394" t="str">
        <f>IF(A6156="","",VLOOKUP(A6156,AA_Cuadrillas,5,FALSE))</f>
        <v/>
      </c>
      <c r="J6156" s="273"/>
      <c r="K6156" s="9" t="str">
        <f>IF(A6156="","",F.P!$I$2)</f>
        <v/>
      </c>
      <c r="L6156" s="37"/>
      <c r="M6156" s="394" t="str">
        <f t="shared" si="840"/>
        <v/>
      </c>
      <c r="N6156" s="273"/>
    </row>
    <row r="6157" spans="1:14" ht="12.75" customHeight="1" x14ac:dyDescent="0.25">
      <c r="A6157" s="393"/>
      <c r="B6157" s="271"/>
      <c r="C6157" s="271"/>
      <c r="D6157" s="271"/>
      <c r="E6157" s="271"/>
      <c r="F6157" s="271"/>
      <c r="G6157" s="273"/>
      <c r="H6157" s="29" t="str">
        <f>IF(A6157="","",VLOOKUP(A6157,AA_Cuadrillas,4,FALSE))</f>
        <v/>
      </c>
      <c r="I6157" s="394" t="str">
        <f>IF(A6157="","",VLOOKUP(A6157,AA_Cuadrillas,5,FALSE))</f>
        <v/>
      </c>
      <c r="J6157" s="273"/>
      <c r="K6157" s="9" t="str">
        <f>IF(A6157="","",F.P!$I$2)</f>
        <v/>
      </c>
      <c r="L6157" s="37"/>
      <c r="M6157" s="394" t="str">
        <f t="shared" si="840"/>
        <v/>
      </c>
      <c r="N6157" s="273"/>
    </row>
    <row r="6158" spans="1:14" ht="12.75" customHeight="1" x14ac:dyDescent="0.25">
      <c r="A6158" s="4"/>
      <c r="B6158" s="4"/>
      <c r="C6158" s="4"/>
      <c r="D6158" s="4"/>
      <c r="E6158" s="4"/>
      <c r="F6158" s="4"/>
      <c r="G6158" s="4"/>
      <c r="H6158" s="4"/>
      <c r="I6158" s="4"/>
      <c r="J6158" s="4"/>
      <c r="K6158" s="396" t="s">
        <v>444</v>
      </c>
      <c r="L6158" s="273"/>
      <c r="M6158" s="394">
        <f>SUM(M6153:N6157)</f>
        <v>175557.22</v>
      </c>
      <c r="N6158" s="273"/>
    </row>
    <row r="6159" spans="1:14" ht="12.75" customHeight="1" x14ac:dyDescent="0.2"/>
    <row r="6160" spans="1:14" ht="12.75" customHeight="1" x14ac:dyDescent="0.2">
      <c r="A6160" s="407" t="s">
        <v>1259</v>
      </c>
      <c r="B6160" s="275"/>
      <c r="C6160" s="275"/>
      <c r="D6160" s="275"/>
      <c r="E6160" s="275"/>
      <c r="F6160" s="275"/>
      <c r="G6160" s="275"/>
      <c r="H6160" s="275"/>
      <c r="I6160" s="275"/>
      <c r="J6160" s="275"/>
      <c r="K6160" s="275"/>
      <c r="L6160" s="275"/>
      <c r="M6160" s="275"/>
      <c r="N6160" s="276"/>
    </row>
    <row r="6161" spans="1:14" ht="12.75" customHeight="1" x14ac:dyDescent="0.2">
      <c r="A6161" s="277"/>
      <c r="B6161" s="278"/>
      <c r="C6161" s="278"/>
      <c r="D6161" s="278"/>
      <c r="E6161" s="278"/>
      <c r="F6161" s="278"/>
      <c r="G6161" s="278"/>
      <c r="H6161" s="278"/>
      <c r="I6161" s="278"/>
      <c r="J6161" s="278"/>
      <c r="K6161" s="278"/>
      <c r="L6161" s="278"/>
      <c r="M6161" s="278"/>
      <c r="N6161" s="279"/>
    </row>
    <row r="6162" spans="1:14" ht="12.75" customHeight="1" x14ac:dyDescent="0.2">
      <c r="A6162" s="75"/>
      <c r="B6162" s="75"/>
      <c r="C6162" s="75"/>
      <c r="D6162" s="75"/>
      <c r="E6162" s="75"/>
      <c r="F6162" s="75"/>
      <c r="G6162" s="75"/>
      <c r="H6162" s="75"/>
      <c r="I6162" s="75"/>
      <c r="J6162" s="75"/>
      <c r="K6162" s="75"/>
      <c r="L6162" s="75"/>
      <c r="M6162" s="75"/>
      <c r="N6162" s="75"/>
    </row>
    <row r="6163" spans="1:14" ht="12.75" customHeight="1" x14ac:dyDescent="0.3">
      <c r="A6163" s="79" t="s">
        <v>756</v>
      </c>
      <c r="B6163" s="80" t="str">
        <f>A6160</f>
        <v>INSTALACIÓN DE TUBERÍA PVC-P D=1/2"</v>
      </c>
      <c r="C6163" s="81" t="s">
        <v>916</v>
      </c>
      <c r="D6163" s="82" t="s">
        <v>981</v>
      </c>
      <c r="E6163" s="83" t="s">
        <v>445</v>
      </c>
      <c r="F6163" s="86">
        <f>H6163+J6163+L6163+N6163</f>
        <v>2861.3160800000001</v>
      </c>
      <c r="G6163" s="83" t="s">
        <v>607</v>
      </c>
      <c r="H6163" s="86">
        <f>M6175</f>
        <v>384.3</v>
      </c>
      <c r="I6163" s="83" t="s">
        <v>918</v>
      </c>
      <c r="J6163" s="86">
        <f>M6184</f>
        <v>117.03814666666668</v>
      </c>
      <c r="K6163" s="83" t="s">
        <v>609</v>
      </c>
      <c r="L6163" s="86">
        <f>M6193</f>
        <v>19.215000000000003</v>
      </c>
      <c r="M6163" s="83" t="s">
        <v>610</v>
      </c>
      <c r="N6163" s="86">
        <f>M6202</f>
        <v>2340.7629333333334</v>
      </c>
    </row>
    <row r="6164" spans="1:14" ht="12.75" customHeight="1" x14ac:dyDescent="0.25">
      <c r="A6164" s="87"/>
      <c r="B6164" s="87"/>
      <c r="C6164" s="87"/>
      <c r="D6164" s="87"/>
      <c r="E6164" s="87"/>
      <c r="F6164" s="87"/>
      <c r="G6164" s="87"/>
      <c r="J6164" s="87"/>
      <c r="K6164" s="215" t="s">
        <v>3217</v>
      </c>
      <c r="L6164" s="215">
        <f>+F6163*presup!$O$5</f>
        <v>3719.710904</v>
      </c>
      <c r="M6164" s="87"/>
      <c r="N6164" s="87"/>
    </row>
    <row r="6165" spans="1:14" ht="12.75" customHeight="1" x14ac:dyDescent="0.2">
      <c r="A6165" s="398" t="s">
        <v>919</v>
      </c>
      <c r="B6165" s="271"/>
      <c r="C6165" s="271"/>
      <c r="D6165" s="271"/>
      <c r="E6165" s="271"/>
      <c r="F6165" s="271"/>
      <c r="G6165" s="271"/>
      <c r="H6165" s="271"/>
      <c r="I6165" s="271"/>
      <c r="J6165" s="271"/>
      <c r="K6165" s="271"/>
      <c r="L6165" s="271"/>
      <c r="M6165" s="271"/>
      <c r="N6165" s="273"/>
    </row>
    <row r="6166" spans="1:14" ht="12.75" customHeight="1" x14ac:dyDescent="0.2">
      <c r="A6166" s="396" t="s">
        <v>76</v>
      </c>
      <c r="B6166" s="271"/>
      <c r="C6166" s="271"/>
      <c r="D6166" s="271"/>
      <c r="E6166" s="271"/>
      <c r="F6166" s="271"/>
      <c r="G6166" s="273"/>
      <c r="H6166" s="88" t="s">
        <v>77</v>
      </c>
      <c r="I6166" s="399" t="s">
        <v>920</v>
      </c>
      <c r="J6166" s="273"/>
      <c r="K6166" s="399" t="s">
        <v>453</v>
      </c>
      <c r="L6166" s="273"/>
      <c r="M6166" s="399" t="s">
        <v>921</v>
      </c>
      <c r="N6166" s="273"/>
    </row>
    <row r="6167" spans="1:14" ht="12.75" customHeight="1" x14ac:dyDescent="0.2">
      <c r="A6167" s="400" t="s">
        <v>984</v>
      </c>
      <c r="B6167" s="271"/>
      <c r="C6167" s="271"/>
      <c r="D6167" s="271"/>
      <c r="E6167" s="271"/>
      <c r="F6167" s="271"/>
      <c r="G6167" s="273"/>
      <c r="H6167" s="29" t="str">
        <f t="shared" ref="H6167:H6172" si="841">IF(A6167="","",VLOOKUP(A6167,AA_Materiales,7,FALSE))</f>
        <v>Galón</v>
      </c>
      <c r="I6167" s="394">
        <f t="shared" ref="I6167:I6174" si="842">IF(A6167="","",VLOOKUP(A6167,AA_Materiales,8,FALSE))</f>
        <v>80900</v>
      </c>
      <c r="J6167" s="273"/>
      <c r="K6167" s="401">
        <v>3.0000000000000001E-3</v>
      </c>
      <c r="L6167" s="273"/>
      <c r="M6167" s="394">
        <f t="shared" ref="M6167:M6174" si="843">IF(A6167="","",I6167*K6167)</f>
        <v>242.70000000000002</v>
      </c>
      <c r="N6167" s="273"/>
    </row>
    <row r="6168" spans="1:14" ht="12.75" customHeight="1" x14ac:dyDescent="0.2">
      <c r="A6168" s="400" t="s">
        <v>985</v>
      </c>
      <c r="B6168" s="271"/>
      <c r="C6168" s="271"/>
      <c r="D6168" s="271"/>
      <c r="E6168" s="271"/>
      <c r="F6168" s="271"/>
      <c r="G6168" s="273"/>
      <c r="H6168" s="29" t="str">
        <f t="shared" si="841"/>
        <v>Galón</v>
      </c>
      <c r="I6168" s="394">
        <f t="shared" si="842"/>
        <v>47200</v>
      </c>
      <c r="J6168" s="273"/>
      <c r="K6168" s="401">
        <v>3.0000000000000001E-3</v>
      </c>
      <c r="L6168" s="273"/>
      <c r="M6168" s="394">
        <f t="shared" si="843"/>
        <v>141.6</v>
      </c>
      <c r="N6168" s="273"/>
    </row>
    <row r="6169" spans="1:14" ht="12.75" customHeight="1" x14ac:dyDescent="0.2">
      <c r="A6169" s="400"/>
      <c r="B6169" s="271"/>
      <c r="C6169" s="271"/>
      <c r="D6169" s="271"/>
      <c r="E6169" s="271"/>
      <c r="F6169" s="271"/>
      <c r="G6169" s="273"/>
      <c r="H6169" s="29" t="str">
        <f t="shared" si="841"/>
        <v/>
      </c>
      <c r="I6169" s="394" t="str">
        <f t="shared" si="842"/>
        <v/>
      </c>
      <c r="J6169" s="273"/>
      <c r="K6169" s="395"/>
      <c r="L6169" s="273"/>
      <c r="M6169" s="394" t="str">
        <f t="shared" si="843"/>
        <v/>
      </c>
      <c r="N6169" s="273"/>
    </row>
    <row r="6170" spans="1:14" ht="12.75" customHeight="1" x14ac:dyDescent="0.2">
      <c r="A6170" s="400"/>
      <c r="B6170" s="271"/>
      <c r="C6170" s="271"/>
      <c r="D6170" s="271"/>
      <c r="E6170" s="271"/>
      <c r="F6170" s="271"/>
      <c r="G6170" s="273"/>
      <c r="H6170" s="29" t="str">
        <f t="shared" si="841"/>
        <v/>
      </c>
      <c r="I6170" s="394" t="str">
        <f t="shared" si="842"/>
        <v/>
      </c>
      <c r="J6170" s="273"/>
      <c r="K6170" s="395"/>
      <c r="L6170" s="273"/>
      <c r="M6170" s="394" t="str">
        <f t="shared" si="843"/>
        <v/>
      </c>
      <c r="N6170" s="273"/>
    </row>
    <row r="6171" spans="1:14" ht="12.75" customHeight="1" x14ac:dyDescent="0.2">
      <c r="A6171" s="400"/>
      <c r="B6171" s="271"/>
      <c r="C6171" s="271"/>
      <c r="D6171" s="271"/>
      <c r="E6171" s="271"/>
      <c r="F6171" s="271"/>
      <c r="G6171" s="273"/>
      <c r="H6171" s="29" t="str">
        <f t="shared" si="841"/>
        <v/>
      </c>
      <c r="I6171" s="394" t="str">
        <f t="shared" si="842"/>
        <v/>
      </c>
      <c r="J6171" s="273"/>
      <c r="K6171" s="395"/>
      <c r="L6171" s="273"/>
      <c r="M6171" s="394" t="str">
        <f t="shared" si="843"/>
        <v/>
      </c>
      <c r="N6171" s="273"/>
    </row>
    <row r="6172" spans="1:14" ht="12.75" customHeight="1" x14ac:dyDescent="0.2">
      <c r="A6172" s="400"/>
      <c r="B6172" s="271"/>
      <c r="C6172" s="271"/>
      <c r="D6172" s="271"/>
      <c r="E6172" s="271"/>
      <c r="F6172" s="271"/>
      <c r="G6172" s="273"/>
      <c r="H6172" s="29" t="str">
        <f t="shared" si="841"/>
        <v/>
      </c>
      <c r="I6172" s="394" t="str">
        <f t="shared" si="842"/>
        <v/>
      </c>
      <c r="J6172" s="273"/>
      <c r="K6172" s="395"/>
      <c r="L6172" s="273"/>
      <c r="M6172" s="394" t="str">
        <f t="shared" si="843"/>
        <v/>
      </c>
      <c r="N6172" s="273"/>
    </row>
    <row r="6173" spans="1:14" ht="12.75" customHeight="1" x14ac:dyDescent="0.2">
      <c r="A6173" s="400"/>
      <c r="B6173" s="271"/>
      <c r="C6173" s="271"/>
      <c r="D6173" s="271"/>
      <c r="E6173" s="271"/>
      <c r="F6173" s="271"/>
      <c r="G6173" s="273"/>
      <c r="H6173" s="29"/>
      <c r="I6173" s="394" t="str">
        <f t="shared" si="842"/>
        <v/>
      </c>
      <c r="J6173" s="273"/>
      <c r="K6173" s="395"/>
      <c r="L6173" s="273"/>
      <c r="M6173" s="394" t="str">
        <f t="shared" si="843"/>
        <v/>
      </c>
      <c r="N6173" s="273"/>
    </row>
    <row r="6174" spans="1:14" ht="12.75" customHeight="1" x14ac:dyDescent="0.2">
      <c r="A6174" s="400"/>
      <c r="B6174" s="271"/>
      <c r="C6174" s="271"/>
      <c r="D6174" s="271"/>
      <c r="E6174" s="271"/>
      <c r="F6174" s="271"/>
      <c r="G6174" s="273"/>
      <c r="H6174" s="29" t="str">
        <f>IF(A6174="","",VLOOKUP(A6174,AA_Materiales,7,FALSE))</f>
        <v/>
      </c>
      <c r="I6174" s="394" t="str">
        <f t="shared" si="842"/>
        <v/>
      </c>
      <c r="J6174" s="273"/>
      <c r="K6174" s="395"/>
      <c r="L6174" s="273"/>
      <c r="M6174" s="394" t="str">
        <f t="shared" si="843"/>
        <v/>
      </c>
      <c r="N6174" s="273"/>
    </row>
    <row r="6175" spans="1:14" ht="12.75" customHeight="1" x14ac:dyDescent="0.25">
      <c r="A6175" s="4"/>
      <c r="B6175" s="4"/>
      <c r="C6175" s="4"/>
      <c r="D6175" s="4"/>
      <c r="E6175" s="4"/>
      <c r="F6175" s="4"/>
      <c r="G6175" s="4"/>
      <c r="H6175" s="4"/>
      <c r="I6175" s="4"/>
      <c r="J6175" s="4"/>
      <c r="K6175" s="396" t="s">
        <v>444</v>
      </c>
      <c r="L6175" s="273"/>
      <c r="M6175" s="394">
        <f>SUM(M6167:N6174)</f>
        <v>384.3</v>
      </c>
      <c r="N6175" s="273"/>
    </row>
    <row r="6176" spans="1:14" ht="12.75" customHeight="1" x14ac:dyDescent="0.25">
      <c r="A6176" s="4"/>
      <c r="B6176" s="4"/>
      <c r="C6176" s="4"/>
      <c r="D6176" s="4"/>
      <c r="E6176" s="4"/>
      <c r="F6176" s="4"/>
      <c r="G6176" s="4"/>
      <c r="H6176" s="4"/>
      <c r="I6176" s="4"/>
      <c r="J6176" s="4"/>
      <c r="K6176" s="4"/>
      <c r="L6176" s="4"/>
      <c r="M6176" s="4"/>
      <c r="N6176" s="4"/>
    </row>
    <row r="6177" spans="1:14" ht="12.75" customHeight="1" x14ac:dyDescent="0.2">
      <c r="A6177" s="398" t="s">
        <v>926</v>
      </c>
      <c r="B6177" s="271"/>
      <c r="C6177" s="271"/>
      <c r="D6177" s="271"/>
      <c r="E6177" s="271"/>
      <c r="F6177" s="271"/>
      <c r="G6177" s="271"/>
      <c r="H6177" s="271"/>
      <c r="I6177" s="271"/>
      <c r="J6177" s="271"/>
      <c r="K6177" s="271"/>
      <c r="L6177" s="271"/>
      <c r="M6177" s="271"/>
      <c r="N6177" s="273"/>
    </row>
    <row r="6178" spans="1:14" ht="12.75" customHeight="1" x14ac:dyDescent="0.2">
      <c r="A6178" s="396" t="s">
        <v>76</v>
      </c>
      <c r="B6178" s="271"/>
      <c r="C6178" s="271"/>
      <c r="D6178" s="271"/>
      <c r="E6178" s="271"/>
      <c r="F6178" s="271"/>
      <c r="G6178" s="273"/>
      <c r="H6178" s="88" t="s">
        <v>77</v>
      </c>
      <c r="I6178" s="399" t="s">
        <v>920</v>
      </c>
      <c r="J6178" s="273"/>
      <c r="K6178" s="399" t="s">
        <v>453</v>
      </c>
      <c r="L6178" s="273"/>
      <c r="M6178" s="399" t="s">
        <v>921</v>
      </c>
      <c r="N6178" s="273"/>
    </row>
    <row r="6179" spans="1:14" ht="12.75" customHeight="1" x14ac:dyDescent="0.2">
      <c r="A6179" s="400" t="s">
        <v>927</v>
      </c>
      <c r="B6179" s="271"/>
      <c r="C6179" s="271"/>
      <c r="D6179" s="271"/>
      <c r="E6179" s="271"/>
      <c r="F6179" s="271"/>
      <c r="G6179" s="273"/>
      <c r="H6179" s="29" t="str">
        <f>IF(A6179="","",VLOOKUP(A6179,AA_Equipos,7,FALSE))</f>
        <v>% M.O.</v>
      </c>
      <c r="I6179" s="394">
        <f>+M6202</f>
        <v>2340.7629333333334</v>
      </c>
      <c r="J6179" s="273"/>
      <c r="K6179" s="404">
        <v>0.05</v>
      </c>
      <c r="L6179" s="273"/>
      <c r="M6179" s="394">
        <f t="shared" ref="M6179:M6183" si="844">IF(A6179="","",I6179*K6179)</f>
        <v>117.03814666666668</v>
      </c>
      <c r="N6179" s="273"/>
    </row>
    <row r="6180" spans="1:14" ht="12.75" customHeight="1" x14ac:dyDescent="0.2">
      <c r="A6180" s="403"/>
      <c r="B6180" s="271"/>
      <c r="C6180" s="271"/>
      <c r="D6180" s="271"/>
      <c r="E6180" s="271"/>
      <c r="F6180" s="271"/>
      <c r="G6180" s="273"/>
      <c r="H6180" s="29" t="str">
        <f>IF(A6180="","",VLOOKUP(A6180,AA_Equipos,7,FALSE))</f>
        <v/>
      </c>
      <c r="I6180" s="394" t="str">
        <f>IF(A6180="","",VLOOKUP(A6180,AA_Equipos,8,FALSE))</f>
        <v/>
      </c>
      <c r="J6180" s="273"/>
      <c r="K6180" s="402"/>
      <c r="L6180" s="273"/>
      <c r="M6180" s="394" t="str">
        <f t="shared" si="844"/>
        <v/>
      </c>
      <c r="N6180" s="273"/>
    </row>
    <row r="6181" spans="1:14" ht="12.75" customHeight="1" x14ac:dyDescent="0.2">
      <c r="A6181" s="400"/>
      <c r="B6181" s="271"/>
      <c r="C6181" s="271"/>
      <c r="D6181" s="271"/>
      <c r="E6181" s="271"/>
      <c r="F6181" s="271"/>
      <c r="G6181" s="273"/>
      <c r="H6181" s="29" t="str">
        <f>IF(A6181="","",VLOOKUP(A6181,AA_Equipos,7,FALSE))</f>
        <v/>
      </c>
      <c r="I6181" s="394" t="str">
        <f>IF(A6181="","",VLOOKUP(A6181,AA_Equipos,8,FALSE))</f>
        <v/>
      </c>
      <c r="J6181" s="273"/>
      <c r="K6181" s="402"/>
      <c r="L6181" s="273"/>
      <c r="M6181" s="394" t="str">
        <f t="shared" si="844"/>
        <v/>
      </c>
      <c r="N6181" s="273"/>
    </row>
    <row r="6182" spans="1:14" ht="12.75" customHeight="1" x14ac:dyDescent="0.2">
      <c r="A6182" s="400"/>
      <c r="B6182" s="271"/>
      <c r="C6182" s="271"/>
      <c r="D6182" s="271"/>
      <c r="E6182" s="271"/>
      <c r="F6182" s="271"/>
      <c r="G6182" s="273"/>
      <c r="H6182" s="29" t="str">
        <f>IF(A6182="","",VLOOKUP(A6182,AA_Equipos,7,FALSE))</f>
        <v/>
      </c>
      <c r="I6182" s="394" t="str">
        <f>IF(A6182="","",VLOOKUP(A6182,AA_Equipos,8,FALSE))</f>
        <v/>
      </c>
      <c r="J6182" s="273"/>
      <c r="K6182" s="402"/>
      <c r="L6182" s="273"/>
      <c r="M6182" s="394" t="str">
        <f t="shared" si="844"/>
        <v/>
      </c>
      <c r="N6182" s="273"/>
    </row>
    <row r="6183" spans="1:14" ht="12.75" customHeight="1" x14ac:dyDescent="0.2">
      <c r="A6183" s="400"/>
      <c r="B6183" s="271"/>
      <c r="C6183" s="271"/>
      <c r="D6183" s="271"/>
      <c r="E6183" s="271"/>
      <c r="F6183" s="271"/>
      <c r="G6183" s="273"/>
      <c r="H6183" s="29" t="str">
        <f>IF(A6183="","",VLOOKUP(A6183,AA_Equipos,7,FALSE))</f>
        <v/>
      </c>
      <c r="I6183" s="394" t="str">
        <f>IF(A6183="","",VLOOKUP(A6183,AA_Equipos,8,FALSE))</f>
        <v/>
      </c>
      <c r="J6183" s="273"/>
      <c r="K6183" s="395"/>
      <c r="L6183" s="273"/>
      <c r="M6183" s="394" t="str">
        <f t="shared" si="844"/>
        <v/>
      </c>
      <c r="N6183" s="273"/>
    </row>
    <row r="6184" spans="1:14" ht="12.75" customHeight="1" x14ac:dyDescent="0.25">
      <c r="A6184" s="4"/>
      <c r="B6184" s="4"/>
      <c r="C6184" s="4"/>
      <c r="D6184" s="4"/>
      <c r="E6184" s="4"/>
      <c r="F6184" s="4"/>
      <c r="G6184" s="4"/>
      <c r="H6184" s="4"/>
      <c r="I6184" s="4"/>
      <c r="J6184" s="4"/>
      <c r="K6184" s="396" t="s">
        <v>444</v>
      </c>
      <c r="L6184" s="273"/>
      <c r="M6184" s="394">
        <f>SUM(M6179:N6183)</f>
        <v>117.03814666666668</v>
      </c>
      <c r="N6184" s="273"/>
    </row>
    <row r="6185" spans="1:14" ht="12.75" customHeight="1" x14ac:dyDescent="0.25">
      <c r="A6185" s="4"/>
      <c r="B6185" s="4"/>
      <c r="C6185" s="4"/>
      <c r="D6185" s="4"/>
      <c r="E6185" s="4"/>
      <c r="F6185" s="4"/>
      <c r="G6185" s="4"/>
      <c r="H6185" s="4"/>
      <c r="I6185" s="4"/>
      <c r="J6185" s="4"/>
      <c r="K6185" s="4"/>
      <c r="L6185" s="4"/>
      <c r="M6185" s="4"/>
      <c r="N6185" s="4"/>
    </row>
    <row r="6186" spans="1:14" ht="12.75" customHeight="1" x14ac:dyDescent="0.2">
      <c r="A6186" s="398" t="s">
        <v>929</v>
      </c>
      <c r="B6186" s="271"/>
      <c r="C6186" s="271"/>
      <c r="D6186" s="271"/>
      <c r="E6186" s="271"/>
      <c r="F6186" s="271"/>
      <c r="G6186" s="271"/>
      <c r="H6186" s="271"/>
      <c r="I6186" s="271"/>
      <c r="J6186" s="271"/>
      <c r="K6186" s="271"/>
      <c r="L6186" s="271"/>
      <c r="M6186" s="271"/>
      <c r="N6186" s="273"/>
    </row>
    <row r="6187" spans="1:14" ht="12.75" customHeight="1" x14ac:dyDescent="0.2">
      <c r="A6187" s="396" t="s">
        <v>76</v>
      </c>
      <c r="B6187" s="271"/>
      <c r="C6187" s="271"/>
      <c r="D6187" s="271"/>
      <c r="E6187" s="271"/>
      <c r="F6187" s="271"/>
      <c r="G6187" s="273"/>
      <c r="H6187" s="88" t="s">
        <v>77</v>
      </c>
      <c r="I6187" s="399" t="s">
        <v>920</v>
      </c>
      <c r="J6187" s="273"/>
      <c r="K6187" s="399" t="s">
        <v>453</v>
      </c>
      <c r="L6187" s="273"/>
      <c r="M6187" s="399" t="s">
        <v>921</v>
      </c>
      <c r="N6187" s="273"/>
    </row>
    <row r="6188" spans="1:14" ht="12.75" customHeight="1" x14ac:dyDescent="0.2">
      <c r="A6188" s="400" t="s">
        <v>966</v>
      </c>
      <c r="B6188" s="271"/>
      <c r="C6188" s="271"/>
      <c r="D6188" s="271"/>
      <c r="E6188" s="271"/>
      <c r="F6188" s="271"/>
      <c r="G6188" s="273"/>
      <c r="H6188" s="29" t="s">
        <v>950</v>
      </c>
      <c r="I6188" s="394">
        <f>+M6175</f>
        <v>384.3</v>
      </c>
      <c r="J6188" s="273"/>
      <c r="K6188" s="404">
        <v>0.05</v>
      </c>
      <c r="L6188" s="273"/>
      <c r="M6188" s="394">
        <f t="shared" ref="M6188:M6192" si="845">IF(A6188="","",I6188*K6188)</f>
        <v>19.215000000000003</v>
      </c>
      <c r="N6188" s="273"/>
    </row>
    <row r="6189" spans="1:14" ht="12.75" customHeight="1" x14ac:dyDescent="0.2">
      <c r="A6189" s="403"/>
      <c r="B6189" s="271"/>
      <c r="C6189" s="271"/>
      <c r="D6189" s="271"/>
      <c r="E6189" s="271"/>
      <c r="F6189" s="271"/>
      <c r="G6189" s="273"/>
      <c r="H6189" s="29"/>
      <c r="I6189" s="394"/>
      <c r="J6189" s="273"/>
      <c r="K6189" s="404"/>
      <c r="L6189" s="273"/>
      <c r="M6189" s="394" t="str">
        <f t="shared" si="845"/>
        <v/>
      </c>
      <c r="N6189" s="273"/>
    </row>
    <row r="6190" spans="1:14" ht="12.75" customHeight="1" x14ac:dyDescent="0.2">
      <c r="A6190" s="400"/>
      <c r="B6190" s="271"/>
      <c r="C6190" s="271"/>
      <c r="D6190" s="271"/>
      <c r="E6190" s="271"/>
      <c r="F6190" s="271"/>
      <c r="G6190" s="273"/>
      <c r="H6190" s="29"/>
      <c r="I6190" s="394"/>
      <c r="J6190" s="273"/>
      <c r="K6190" s="395"/>
      <c r="L6190" s="273"/>
      <c r="M6190" s="394" t="str">
        <f t="shared" si="845"/>
        <v/>
      </c>
      <c r="N6190" s="273"/>
    </row>
    <row r="6191" spans="1:14" ht="12.75" customHeight="1" x14ac:dyDescent="0.2">
      <c r="A6191" s="400"/>
      <c r="B6191" s="271"/>
      <c r="C6191" s="271"/>
      <c r="D6191" s="271"/>
      <c r="E6191" s="271"/>
      <c r="F6191" s="271"/>
      <c r="G6191" s="273"/>
      <c r="H6191" s="29"/>
      <c r="I6191" s="394"/>
      <c r="J6191" s="273"/>
      <c r="K6191" s="395"/>
      <c r="L6191" s="273"/>
      <c r="M6191" s="394" t="str">
        <f t="shared" si="845"/>
        <v/>
      </c>
      <c r="N6191" s="273"/>
    </row>
    <row r="6192" spans="1:14" ht="12.75" customHeight="1" x14ac:dyDescent="0.2">
      <c r="A6192" s="400"/>
      <c r="B6192" s="271"/>
      <c r="C6192" s="271"/>
      <c r="D6192" s="271"/>
      <c r="E6192" s="271"/>
      <c r="F6192" s="271"/>
      <c r="G6192" s="273"/>
      <c r="H6192" s="29"/>
      <c r="I6192" s="394"/>
      <c r="J6192" s="273"/>
      <c r="K6192" s="395"/>
      <c r="L6192" s="273"/>
      <c r="M6192" s="394" t="str">
        <f t="shared" si="845"/>
        <v/>
      </c>
      <c r="N6192" s="273"/>
    </row>
    <row r="6193" spans="1:14" ht="12.75" customHeight="1" x14ac:dyDescent="0.25">
      <c r="A6193" s="4"/>
      <c r="B6193" s="4"/>
      <c r="C6193" s="4"/>
      <c r="D6193" s="4"/>
      <c r="E6193" s="4"/>
      <c r="F6193" s="4"/>
      <c r="G6193" s="4"/>
      <c r="H6193" s="4"/>
      <c r="I6193" s="4"/>
      <c r="J6193" s="4"/>
      <c r="K6193" s="396" t="s">
        <v>444</v>
      </c>
      <c r="L6193" s="273"/>
      <c r="M6193" s="394">
        <f>SUM(M6188:N6192)</f>
        <v>19.215000000000003</v>
      </c>
      <c r="N6193" s="273"/>
    </row>
    <row r="6194" spans="1:14" ht="12.75" customHeight="1" x14ac:dyDescent="0.25">
      <c r="A6194" s="4"/>
      <c r="B6194" s="4"/>
      <c r="C6194" s="4"/>
      <c r="D6194" s="4"/>
      <c r="E6194" s="4"/>
      <c r="F6194" s="4"/>
      <c r="G6194" s="4"/>
      <c r="H6194" s="4"/>
      <c r="I6194" s="4"/>
      <c r="J6194" s="4"/>
      <c r="K6194" s="4"/>
      <c r="L6194" s="4"/>
      <c r="M6194" s="4"/>
      <c r="N6194" s="4"/>
    </row>
    <row r="6195" spans="1:14" ht="12.75" customHeight="1" x14ac:dyDescent="0.2">
      <c r="A6195" s="398" t="s">
        <v>931</v>
      </c>
      <c r="B6195" s="271"/>
      <c r="C6195" s="271"/>
      <c r="D6195" s="271"/>
      <c r="E6195" s="271"/>
      <c r="F6195" s="271"/>
      <c r="G6195" s="271"/>
      <c r="H6195" s="271"/>
      <c r="I6195" s="271"/>
      <c r="J6195" s="271"/>
      <c r="K6195" s="271"/>
      <c r="L6195" s="271"/>
      <c r="M6195" s="271"/>
      <c r="N6195" s="273"/>
    </row>
    <row r="6196" spans="1:14" ht="12.75" customHeight="1" x14ac:dyDescent="0.2">
      <c r="A6196" s="396" t="s">
        <v>76</v>
      </c>
      <c r="B6196" s="271"/>
      <c r="C6196" s="271"/>
      <c r="D6196" s="271"/>
      <c r="E6196" s="271"/>
      <c r="F6196" s="271"/>
      <c r="G6196" s="273"/>
      <c r="H6196" s="88" t="s">
        <v>77</v>
      </c>
      <c r="I6196" s="399" t="s">
        <v>920</v>
      </c>
      <c r="J6196" s="273"/>
      <c r="K6196" s="90" t="s">
        <v>514</v>
      </c>
      <c r="L6196" s="91" t="s">
        <v>932</v>
      </c>
      <c r="M6196" s="399" t="s">
        <v>921</v>
      </c>
      <c r="N6196" s="273"/>
    </row>
    <row r="6197" spans="1:14" ht="12.75" customHeight="1" x14ac:dyDescent="0.25">
      <c r="A6197" s="393" t="s">
        <v>951</v>
      </c>
      <c r="B6197" s="271"/>
      <c r="C6197" s="271"/>
      <c r="D6197" s="271"/>
      <c r="E6197" s="271"/>
      <c r="F6197" s="271"/>
      <c r="G6197" s="273"/>
      <c r="H6197" s="29" t="str">
        <f>IF(A6197="","",VLOOKUP(A6197,AA_Cuadrillas,4,FALSE))</f>
        <v>Cuadrilla</v>
      </c>
      <c r="I6197" s="394">
        <f>IF(A6197="","",VLOOKUP(A6197,AA_Cuadrillas,5,FALSE))</f>
        <v>186763</v>
      </c>
      <c r="J6197" s="273"/>
      <c r="K6197" s="9">
        <f>IF(A6197="","",F.P!$I$2)</f>
        <v>1.88</v>
      </c>
      <c r="L6197" s="93">
        <v>6.6666666666666671E-3</v>
      </c>
      <c r="M6197" s="394">
        <f t="shared" ref="M6197:M6201" si="846">IF(A6197="","",I6197*K6197*L6197)</f>
        <v>2340.7629333333334</v>
      </c>
      <c r="N6197" s="273"/>
    </row>
    <row r="6198" spans="1:14" ht="12.75" customHeight="1" x14ac:dyDescent="0.25">
      <c r="A6198" s="393"/>
      <c r="B6198" s="271"/>
      <c r="C6198" s="271"/>
      <c r="D6198" s="271"/>
      <c r="E6198" s="271"/>
      <c r="F6198" s="271"/>
      <c r="G6198" s="273"/>
      <c r="H6198" s="29" t="str">
        <f>IF(A6198="","",VLOOKUP(A6198,AA_Cuadrillas,4,FALSE))</f>
        <v/>
      </c>
      <c r="I6198" s="394" t="str">
        <f>IF(A6198="","",VLOOKUP(A6198,AA_Cuadrillas,5,FALSE))</f>
        <v/>
      </c>
      <c r="J6198" s="273"/>
      <c r="K6198" s="9" t="str">
        <f>IF(A6198="","",F.P!$I$2)</f>
        <v/>
      </c>
      <c r="L6198" s="9"/>
      <c r="M6198" s="394" t="str">
        <f t="shared" si="846"/>
        <v/>
      </c>
      <c r="N6198" s="273"/>
    </row>
    <row r="6199" spans="1:14" ht="12.75" customHeight="1" x14ac:dyDescent="0.25">
      <c r="A6199" s="393"/>
      <c r="B6199" s="271"/>
      <c r="C6199" s="271"/>
      <c r="D6199" s="271"/>
      <c r="E6199" s="271"/>
      <c r="F6199" s="271"/>
      <c r="G6199" s="273"/>
      <c r="H6199" s="29" t="str">
        <f>IF(A6199="","",VLOOKUP(A6199,AA_Cuadrillas,4,FALSE))</f>
        <v/>
      </c>
      <c r="I6199" s="394" t="str">
        <f>IF(A6199="","",VLOOKUP(A6199,AA_Cuadrillas,5,FALSE))</f>
        <v/>
      </c>
      <c r="J6199" s="273"/>
      <c r="K6199" s="9" t="str">
        <f>IF(A6199="","",F.P!$I$2)</f>
        <v/>
      </c>
      <c r="L6199" s="37"/>
      <c r="M6199" s="394" t="str">
        <f t="shared" si="846"/>
        <v/>
      </c>
      <c r="N6199" s="273"/>
    </row>
    <row r="6200" spans="1:14" ht="12.75" customHeight="1" x14ac:dyDescent="0.25">
      <c r="A6200" s="393"/>
      <c r="B6200" s="271"/>
      <c r="C6200" s="271"/>
      <c r="D6200" s="271"/>
      <c r="E6200" s="271"/>
      <c r="F6200" s="271"/>
      <c r="G6200" s="273"/>
      <c r="H6200" s="29" t="str">
        <f>IF(A6200="","",VLOOKUP(A6200,AA_Cuadrillas,4,FALSE))</f>
        <v/>
      </c>
      <c r="I6200" s="394" t="str">
        <f>IF(A6200="","",VLOOKUP(A6200,AA_Cuadrillas,5,FALSE))</f>
        <v/>
      </c>
      <c r="J6200" s="273"/>
      <c r="K6200" s="9" t="str">
        <f>IF(A6200="","",F.P!$I$2)</f>
        <v/>
      </c>
      <c r="L6200" s="37"/>
      <c r="M6200" s="394" t="str">
        <f t="shared" si="846"/>
        <v/>
      </c>
      <c r="N6200" s="273"/>
    </row>
    <row r="6201" spans="1:14" ht="12.75" customHeight="1" x14ac:dyDescent="0.25">
      <c r="A6201" s="393"/>
      <c r="B6201" s="271"/>
      <c r="C6201" s="271"/>
      <c r="D6201" s="271"/>
      <c r="E6201" s="271"/>
      <c r="F6201" s="271"/>
      <c r="G6201" s="273"/>
      <c r="H6201" s="29" t="str">
        <f>IF(A6201="","",VLOOKUP(A6201,AA_Cuadrillas,4,FALSE))</f>
        <v/>
      </c>
      <c r="I6201" s="394" t="str">
        <f>IF(A6201="","",VLOOKUP(A6201,AA_Cuadrillas,5,FALSE))</f>
        <v/>
      </c>
      <c r="J6201" s="273"/>
      <c r="K6201" s="9" t="str">
        <f>IF(A6201="","",F.P!$I$2)</f>
        <v/>
      </c>
      <c r="L6201" s="37"/>
      <c r="M6201" s="394" t="str">
        <f t="shared" si="846"/>
        <v/>
      </c>
      <c r="N6201" s="273"/>
    </row>
    <row r="6202" spans="1:14" ht="12.75" customHeight="1" x14ac:dyDescent="0.25">
      <c r="A6202" s="4"/>
      <c r="B6202" s="4"/>
      <c r="C6202" s="4"/>
      <c r="D6202" s="4"/>
      <c r="E6202" s="4"/>
      <c r="F6202" s="4"/>
      <c r="G6202" s="4"/>
      <c r="H6202" s="4"/>
      <c r="I6202" s="4"/>
      <c r="J6202" s="4"/>
      <c r="K6202" s="396" t="s">
        <v>444</v>
      </c>
      <c r="L6202" s="273"/>
      <c r="M6202" s="394">
        <f>SUM(M6197:N6201)</f>
        <v>2340.7629333333334</v>
      </c>
      <c r="N6202" s="273"/>
    </row>
    <row r="6203" spans="1:14" ht="12.75" customHeight="1" x14ac:dyDescent="0.2"/>
    <row r="6204" spans="1:14" ht="12.75" customHeight="1" x14ac:dyDescent="0.2">
      <c r="A6204" s="407" t="s">
        <v>1260</v>
      </c>
      <c r="B6204" s="275"/>
      <c r="C6204" s="275"/>
      <c r="D6204" s="275"/>
      <c r="E6204" s="275"/>
      <c r="F6204" s="275"/>
      <c r="G6204" s="275"/>
      <c r="H6204" s="275"/>
      <c r="I6204" s="275"/>
      <c r="J6204" s="275"/>
      <c r="K6204" s="275"/>
      <c r="L6204" s="275"/>
      <c r="M6204" s="275"/>
      <c r="N6204" s="276"/>
    </row>
    <row r="6205" spans="1:14" ht="12.75" customHeight="1" x14ac:dyDescent="0.2">
      <c r="A6205" s="277"/>
      <c r="B6205" s="278"/>
      <c r="C6205" s="278"/>
      <c r="D6205" s="278"/>
      <c r="E6205" s="278"/>
      <c r="F6205" s="278"/>
      <c r="G6205" s="278"/>
      <c r="H6205" s="278"/>
      <c r="I6205" s="278"/>
      <c r="J6205" s="278"/>
      <c r="K6205" s="278"/>
      <c r="L6205" s="278"/>
      <c r="M6205" s="278"/>
      <c r="N6205" s="279"/>
    </row>
    <row r="6206" spans="1:14" ht="12.75" customHeight="1" x14ac:dyDescent="0.2">
      <c r="A6206" s="75"/>
      <c r="B6206" s="75"/>
      <c r="C6206" s="75"/>
      <c r="D6206" s="75"/>
      <c r="E6206" s="75"/>
      <c r="F6206" s="75"/>
      <c r="G6206" s="75"/>
      <c r="H6206" s="75"/>
      <c r="I6206" s="75"/>
      <c r="J6206" s="75"/>
      <c r="K6206" s="75"/>
      <c r="L6206" s="75"/>
      <c r="M6206" s="75"/>
      <c r="N6206" s="75"/>
    </row>
    <row r="6207" spans="1:14" ht="12.75" customHeight="1" x14ac:dyDescent="0.3">
      <c r="A6207" s="79" t="s">
        <v>757</v>
      </c>
      <c r="B6207" s="80" t="str">
        <f>A6204</f>
        <v>SUMINISTRO E INSTALACIÓN TUBERIA PVC Ø1/2" ACUEDUCTO RDE 9</v>
      </c>
      <c r="C6207" s="81" t="s">
        <v>916</v>
      </c>
      <c r="D6207" s="82" t="s">
        <v>981</v>
      </c>
      <c r="E6207" s="83" t="s">
        <v>445</v>
      </c>
      <c r="F6207" s="86">
        <f>H6207+J6207+L6207+N6207</f>
        <v>23075.389399999996</v>
      </c>
      <c r="G6207" s="83" t="s">
        <v>607</v>
      </c>
      <c r="H6207" s="86">
        <f>M6219</f>
        <v>19782.099999999999</v>
      </c>
      <c r="I6207" s="83" t="s">
        <v>918</v>
      </c>
      <c r="J6207" s="86">
        <f>M6228</f>
        <v>109.72306666666667</v>
      </c>
      <c r="K6207" s="83" t="s">
        <v>609</v>
      </c>
      <c r="L6207" s="86">
        <f>M6237</f>
        <v>989.10500000000002</v>
      </c>
      <c r="M6207" s="83" t="s">
        <v>610</v>
      </c>
      <c r="N6207" s="86">
        <f>M6246</f>
        <v>2194.4613333333332</v>
      </c>
    </row>
    <row r="6208" spans="1:14" ht="12.75" customHeight="1" x14ac:dyDescent="0.25">
      <c r="A6208" s="87"/>
      <c r="B6208" s="87"/>
      <c r="C6208" s="87"/>
      <c r="D6208" s="87"/>
      <c r="E6208" s="87"/>
      <c r="F6208" s="87"/>
      <c r="G6208" s="87"/>
      <c r="J6208" s="87"/>
      <c r="K6208" s="215" t="s">
        <v>3217</v>
      </c>
      <c r="L6208" s="215">
        <f>+F6207*presup!$O$5</f>
        <v>29998.006219999996</v>
      </c>
      <c r="M6208" s="87"/>
      <c r="N6208" s="87"/>
    </row>
    <row r="6209" spans="1:14" ht="12.75" customHeight="1" x14ac:dyDescent="0.2">
      <c r="A6209" s="398" t="s">
        <v>919</v>
      </c>
      <c r="B6209" s="271"/>
      <c r="C6209" s="271"/>
      <c r="D6209" s="271"/>
      <c r="E6209" s="271"/>
      <c r="F6209" s="271"/>
      <c r="G6209" s="271"/>
      <c r="H6209" s="271"/>
      <c r="I6209" s="271"/>
      <c r="J6209" s="271"/>
      <c r="K6209" s="271"/>
      <c r="L6209" s="271"/>
      <c r="M6209" s="271"/>
      <c r="N6209" s="273"/>
    </row>
    <row r="6210" spans="1:14" ht="12.75" customHeight="1" x14ac:dyDescent="0.2">
      <c r="A6210" s="396" t="s">
        <v>76</v>
      </c>
      <c r="B6210" s="271"/>
      <c r="C6210" s="271"/>
      <c r="D6210" s="271"/>
      <c r="E6210" s="271"/>
      <c r="F6210" s="271"/>
      <c r="G6210" s="273"/>
      <c r="H6210" s="88" t="s">
        <v>77</v>
      </c>
      <c r="I6210" s="399" t="s">
        <v>920</v>
      </c>
      <c r="J6210" s="273"/>
      <c r="K6210" s="399" t="s">
        <v>453</v>
      </c>
      <c r="L6210" s="273"/>
      <c r="M6210" s="399" t="s">
        <v>921</v>
      </c>
      <c r="N6210" s="273"/>
    </row>
    <row r="6211" spans="1:14" ht="12.75" customHeight="1" x14ac:dyDescent="0.2">
      <c r="A6211" s="400" t="s">
        <v>984</v>
      </c>
      <c r="B6211" s="271"/>
      <c r="C6211" s="271"/>
      <c r="D6211" s="271"/>
      <c r="E6211" s="271"/>
      <c r="F6211" s="271"/>
      <c r="G6211" s="273"/>
      <c r="H6211" s="29" t="str">
        <f t="shared" ref="H6211:H6216" si="847">IF(A6211="","",VLOOKUP(A6211,AA_Materiales,7,FALSE))</f>
        <v>Galón</v>
      </c>
      <c r="I6211" s="394">
        <f t="shared" ref="I6211:I6218" si="848">IF(A6211="","",VLOOKUP(A6211,AA_Materiales,8,FALSE))</f>
        <v>80900</v>
      </c>
      <c r="J6211" s="273"/>
      <c r="K6211" s="395">
        <v>0.01</v>
      </c>
      <c r="L6211" s="273"/>
      <c r="M6211" s="394">
        <f t="shared" ref="M6211:M6218" si="849">IF(A6211="","",I6211*K6211)</f>
        <v>809</v>
      </c>
      <c r="N6211" s="273"/>
    </row>
    <row r="6212" spans="1:14" ht="12.75" customHeight="1" x14ac:dyDescent="0.2">
      <c r="A6212" s="400" t="s">
        <v>985</v>
      </c>
      <c r="B6212" s="271"/>
      <c r="C6212" s="271"/>
      <c r="D6212" s="271"/>
      <c r="E6212" s="271"/>
      <c r="F6212" s="271"/>
      <c r="G6212" s="273"/>
      <c r="H6212" s="29" t="str">
        <f t="shared" si="847"/>
        <v>Galón</v>
      </c>
      <c r="I6212" s="394">
        <f t="shared" si="848"/>
        <v>47200</v>
      </c>
      <c r="J6212" s="273"/>
      <c r="K6212" s="395">
        <v>0.01</v>
      </c>
      <c r="L6212" s="273"/>
      <c r="M6212" s="394">
        <f t="shared" si="849"/>
        <v>472</v>
      </c>
      <c r="N6212" s="273"/>
    </row>
    <row r="6213" spans="1:14" ht="12.75" customHeight="1" x14ac:dyDescent="0.2">
      <c r="A6213" s="400" t="s">
        <v>1261</v>
      </c>
      <c r="B6213" s="271"/>
      <c r="C6213" s="271"/>
      <c r="D6213" s="271"/>
      <c r="E6213" s="271"/>
      <c r="F6213" s="271"/>
      <c r="G6213" s="273"/>
      <c r="H6213" s="29" t="str">
        <f t="shared" si="847"/>
        <v>ml</v>
      </c>
      <c r="I6213" s="394">
        <f t="shared" si="848"/>
        <v>18501.099999999999</v>
      </c>
      <c r="J6213" s="273"/>
      <c r="K6213" s="395">
        <v>1</v>
      </c>
      <c r="L6213" s="273"/>
      <c r="M6213" s="394">
        <f t="shared" si="849"/>
        <v>18501.099999999999</v>
      </c>
      <c r="N6213" s="273"/>
    </row>
    <row r="6214" spans="1:14" ht="12.75" customHeight="1" x14ac:dyDescent="0.2">
      <c r="A6214" s="400"/>
      <c r="B6214" s="271"/>
      <c r="C6214" s="271"/>
      <c r="D6214" s="271"/>
      <c r="E6214" s="271"/>
      <c r="F6214" s="271"/>
      <c r="G6214" s="273"/>
      <c r="H6214" s="29" t="str">
        <f t="shared" si="847"/>
        <v/>
      </c>
      <c r="I6214" s="394" t="str">
        <f t="shared" si="848"/>
        <v/>
      </c>
      <c r="J6214" s="273"/>
      <c r="K6214" s="395"/>
      <c r="L6214" s="273"/>
      <c r="M6214" s="394" t="str">
        <f t="shared" si="849"/>
        <v/>
      </c>
      <c r="N6214" s="273"/>
    </row>
    <row r="6215" spans="1:14" ht="12.75" customHeight="1" x14ac:dyDescent="0.2">
      <c r="A6215" s="400"/>
      <c r="B6215" s="271"/>
      <c r="C6215" s="271"/>
      <c r="D6215" s="271"/>
      <c r="E6215" s="271"/>
      <c r="F6215" s="271"/>
      <c r="G6215" s="273"/>
      <c r="H6215" s="29" t="str">
        <f t="shared" si="847"/>
        <v/>
      </c>
      <c r="I6215" s="394" t="str">
        <f t="shared" si="848"/>
        <v/>
      </c>
      <c r="J6215" s="273"/>
      <c r="K6215" s="395"/>
      <c r="L6215" s="273"/>
      <c r="M6215" s="394" t="str">
        <f t="shared" si="849"/>
        <v/>
      </c>
      <c r="N6215" s="273"/>
    </row>
    <row r="6216" spans="1:14" ht="12.75" customHeight="1" x14ac:dyDescent="0.2">
      <c r="A6216" s="400"/>
      <c r="B6216" s="271"/>
      <c r="C6216" s="271"/>
      <c r="D6216" s="271"/>
      <c r="E6216" s="271"/>
      <c r="F6216" s="271"/>
      <c r="G6216" s="273"/>
      <c r="H6216" s="29" t="str">
        <f t="shared" si="847"/>
        <v/>
      </c>
      <c r="I6216" s="394" t="str">
        <f t="shared" si="848"/>
        <v/>
      </c>
      <c r="J6216" s="273"/>
      <c r="K6216" s="395"/>
      <c r="L6216" s="273"/>
      <c r="M6216" s="394" t="str">
        <f t="shared" si="849"/>
        <v/>
      </c>
      <c r="N6216" s="273"/>
    </row>
    <row r="6217" spans="1:14" ht="12.75" customHeight="1" x14ac:dyDescent="0.2">
      <c r="A6217" s="400"/>
      <c r="B6217" s="271"/>
      <c r="C6217" s="271"/>
      <c r="D6217" s="271"/>
      <c r="E6217" s="271"/>
      <c r="F6217" s="271"/>
      <c r="G6217" s="273"/>
      <c r="H6217" s="29"/>
      <c r="I6217" s="394" t="str">
        <f t="shared" si="848"/>
        <v/>
      </c>
      <c r="J6217" s="273"/>
      <c r="K6217" s="395"/>
      <c r="L6217" s="273"/>
      <c r="M6217" s="394" t="str">
        <f t="shared" si="849"/>
        <v/>
      </c>
      <c r="N6217" s="273"/>
    </row>
    <row r="6218" spans="1:14" ht="12.75" customHeight="1" x14ac:dyDescent="0.2">
      <c r="A6218" s="400"/>
      <c r="B6218" s="271"/>
      <c r="C6218" s="271"/>
      <c r="D6218" s="271"/>
      <c r="E6218" s="271"/>
      <c r="F6218" s="271"/>
      <c r="G6218" s="273"/>
      <c r="H6218" s="29" t="str">
        <f>IF(A6218="","",VLOOKUP(A6218,AA_Materiales,7,FALSE))</f>
        <v/>
      </c>
      <c r="I6218" s="394" t="str">
        <f t="shared" si="848"/>
        <v/>
      </c>
      <c r="J6218" s="273"/>
      <c r="K6218" s="395"/>
      <c r="L6218" s="273"/>
      <c r="M6218" s="394" t="str">
        <f t="shared" si="849"/>
        <v/>
      </c>
      <c r="N6218" s="273"/>
    </row>
    <row r="6219" spans="1:14" ht="12.75" customHeight="1" x14ac:dyDescent="0.25">
      <c r="A6219" s="4"/>
      <c r="B6219" s="4"/>
      <c r="C6219" s="4"/>
      <c r="D6219" s="4"/>
      <c r="E6219" s="4"/>
      <c r="F6219" s="4"/>
      <c r="G6219" s="4"/>
      <c r="H6219" s="4"/>
      <c r="I6219" s="4"/>
      <c r="J6219" s="4"/>
      <c r="K6219" s="396" t="s">
        <v>444</v>
      </c>
      <c r="L6219" s="273"/>
      <c r="M6219" s="394">
        <f>SUM(M6211:N6218)</f>
        <v>19782.099999999999</v>
      </c>
      <c r="N6219" s="273"/>
    </row>
    <row r="6220" spans="1:14" ht="12.75" customHeight="1" x14ac:dyDescent="0.25">
      <c r="A6220" s="4"/>
      <c r="B6220" s="4"/>
      <c r="C6220" s="4"/>
      <c r="D6220" s="4"/>
      <c r="E6220" s="4"/>
      <c r="F6220" s="4"/>
      <c r="G6220" s="4"/>
      <c r="H6220" s="4"/>
      <c r="I6220" s="4"/>
      <c r="J6220" s="4"/>
      <c r="K6220" s="4"/>
      <c r="L6220" s="4"/>
      <c r="M6220" s="4"/>
      <c r="N6220" s="4"/>
    </row>
    <row r="6221" spans="1:14" ht="12.75" customHeight="1" x14ac:dyDescent="0.2">
      <c r="A6221" s="398" t="s">
        <v>926</v>
      </c>
      <c r="B6221" s="271"/>
      <c r="C6221" s="271"/>
      <c r="D6221" s="271"/>
      <c r="E6221" s="271"/>
      <c r="F6221" s="271"/>
      <c r="G6221" s="271"/>
      <c r="H6221" s="271"/>
      <c r="I6221" s="271"/>
      <c r="J6221" s="271"/>
      <c r="K6221" s="271"/>
      <c r="L6221" s="271"/>
      <c r="M6221" s="271"/>
      <c r="N6221" s="273"/>
    </row>
    <row r="6222" spans="1:14" ht="12.75" customHeight="1" x14ac:dyDescent="0.2">
      <c r="A6222" s="396" t="s">
        <v>76</v>
      </c>
      <c r="B6222" s="271"/>
      <c r="C6222" s="271"/>
      <c r="D6222" s="271"/>
      <c r="E6222" s="271"/>
      <c r="F6222" s="271"/>
      <c r="G6222" s="273"/>
      <c r="H6222" s="88" t="s">
        <v>77</v>
      </c>
      <c r="I6222" s="399" t="s">
        <v>920</v>
      </c>
      <c r="J6222" s="273"/>
      <c r="K6222" s="399" t="s">
        <v>453</v>
      </c>
      <c r="L6222" s="273"/>
      <c r="M6222" s="399" t="s">
        <v>921</v>
      </c>
      <c r="N6222" s="273"/>
    </row>
    <row r="6223" spans="1:14" ht="12.75" customHeight="1" x14ac:dyDescent="0.2">
      <c r="A6223" s="400" t="s">
        <v>927</v>
      </c>
      <c r="B6223" s="271"/>
      <c r="C6223" s="271"/>
      <c r="D6223" s="271"/>
      <c r="E6223" s="271"/>
      <c r="F6223" s="271"/>
      <c r="G6223" s="273"/>
      <c r="H6223" s="29" t="str">
        <f>IF(A6223="","",VLOOKUP(A6223,AA_Equipos,7,FALSE))</f>
        <v>% M.O.</v>
      </c>
      <c r="I6223" s="394">
        <f>+M6246</f>
        <v>2194.4613333333332</v>
      </c>
      <c r="J6223" s="273"/>
      <c r="K6223" s="404">
        <v>0.05</v>
      </c>
      <c r="L6223" s="273"/>
      <c r="M6223" s="394">
        <f t="shared" ref="M6223:M6227" si="850">IF(A6223="","",I6223*K6223)</f>
        <v>109.72306666666667</v>
      </c>
      <c r="N6223" s="273"/>
    </row>
    <row r="6224" spans="1:14" ht="12.75" customHeight="1" x14ac:dyDescent="0.2">
      <c r="A6224" s="403"/>
      <c r="B6224" s="271"/>
      <c r="C6224" s="271"/>
      <c r="D6224" s="271"/>
      <c r="E6224" s="271"/>
      <c r="F6224" s="271"/>
      <c r="G6224" s="273"/>
      <c r="H6224" s="29" t="str">
        <f>IF(A6224="","",VLOOKUP(A6224,AA_Equipos,7,FALSE))</f>
        <v/>
      </c>
      <c r="I6224" s="394" t="str">
        <f>IF(A6224="","",VLOOKUP(A6224,AA_Equipos,8,FALSE))</f>
        <v/>
      </c>
      <c r="J6224" s="273"/>
      <c r="K6224" s="402"/>
      <c r="L6224" s="273"/>
      <c r="M6224" s="394" t="str">
        <f t="shared" si="850"/>
        <v/>
      </c>
      <c r="N6224" s="273"/>
    </row>
    <row r="6225" spans="1:14" ht="12.75" customHeight="1" x14ac:dyDescent="0.2">
      <c r="A6225" s="400"/>
      <c r="B6225" s="271"/>
      <c r="C6225" s="271"/>
      <c r="D6225" s="271"/>
      <c r="E6225" s="271"/>
      <c r="F6225" s="271"/>
      <c r="G6225" s="273"/>
      <c r="H6225" s="29" t="str">
        <f>IF(A6225="","",VLOOKUP(A6225,AA_Equipos,7,FALSE))</f>
        <v/>
      </c>
      <c r="I6225" s="394" t="str">
        <f>IF(A6225="","",VLOOKUP(A6225,AA_Equipos,8,FALSE))</f>
        <v/>
      </c>
      <c r="J6225" s="273"/>
      <c r="K6225" s="402"/>
      <c r="L6225" s="273"/>
      <c r="M6225" s="394" t="str">
        <f t="shared" si="850"/>
        <v/>
      </c>
      <c r="N6225" s="273"/>
    </row>
    <row r="6226" spans="1:14" ht="12.75" customHeight="1" x14ac:dyDescent="0.2">
      <c r="A6226" s="400"/>
      <c r="B6226" s="271"/>
      <c r="C6226" s="271"/>
      <c r="D6226" s="271"/>
      <c r="E6226" s="271"/>
      <c r="F6226" s="271"/>
      <c r="G6226" s="273"/>
      <c r="H6226" s="29" t="str">
        <f>IF(A6226="","",VLOOKUP(A6226,AA_Equipos,7,FALSE))</f>
        <v/>
      </c>
      <c r="I6226" s="394" t="str">
        <f>IF(A6226="","",VLOOKUP(A6226,AA_Equipos,8,FALSE))</f>
        <v/>
      </c>
      <c r="J6226" s="273"/>
      <c r="K6226" s="402"/>
      <c r="L6226" s="273"/>
      <c r="M6226" s="394" t="str">
        <f t="shared" si="850"/>
        <v/>
      </c>
      <c r="N6226" s="273"/>
    </row>
    <row r="6227" spans="1:14" ht="12.75" customHeight="1" x14ac:dyDescent="0.2">
      <c r="A6227" s="400"/>
      <c r="B6227" s="271"/>
      <c r="C6227" s="271"/>
      <c r="D6227" s="271"/>
      <c r="E6227" s="271"/>
      <c r="F6227" s="271"/>
      <c r="G6227" s="273"/>
      <c r="H6227" s="29" t="str">
        <f>IF(A6227="","",VLOOKUP(A6227,AA_Equipos,7,FALSE))</f>
        <v/>
      </c>
      <c r="I6227" s="394" t="str">
        <f>IF(A6227="","",VLOOKUP(A6227,AA_Equipos,8,FALSE))</f>
        <v/>
      </c>
      <c r="J6227" s="273"/>
      <c r="K6227" s="395"/>
      <c r="L6227" s="273"/>
      <c r="M6227" s="394" t="str">
        <f t="shared" si="850"/>
        <v/>
      </c>
      <c r="N6227" s="273"/>
    </row>
    <row r="6228" spans="1:14" ht="12.75" customHeight="1" x14ac:dyDescent="0.25">
      <c r="A6228" s="4"/>
      <c r="B6228" s="4"/>
      <c r="C6228" s="4"/>
      <c r="D6228" s="4"/>
      <c r="E6228" s="4"/>
      <c r="F6228" s="4"/>
      <c r="G6228" s="4"/>
      <c r="H6228" s="4"/>
      <c r="I6228" s="4"/>
      <c r="J6228" s="4"/>
      <c r="K6228" s="396" t="s">
        <v>444</v>
      </c>
      <c r="L6228" s="273"/>
      <c r="M6228" s="394">
        <f>SUM(M6223:N6227)</f>
        <v>109.72306666666667</v>
      </c>
      <c r="N6228" s="273"/>
    </row>
    <row r="6229" spans="1:14" ht="12.75" customHeight="1" x14ac:dyDescent="0.25">
      <c r="A6229" s="4"/>
      <c r="B6229" s="4"/>
      <c r="C6229" s="4"/>
      <c r="D6229" s="4"/>
      <c r="E6229" s="4"/>
      <c r="F6229" s="4"/>
      <c r="G6229" s="4"/>
      <c r="H6229" s="4"/>
      <c r="I6229" s="4"/>
      <c r="J6229" s="4"/>
      <c r="K6229" s="4"/>
      <c r="L6229" s="4"/>
      <c r="M6229" s="4"/>
      <c r="N6229" s="4"/>
    </row>
    <row r="6230" spans="1:14" ht="12.75" customHeight="1" x14ac:dyDescent="0.2">
      <c r="A6230" s="398" t="s">
        <v>929</v>
      </c>
      <c r="B6230" s="271"/>
      <c r="C6230" s="271"/>
      <c r="D6230" s="271"/>
      <c r="E6230" s="271"/>
      <c r="F6230" s="271"/>
      <c r="G6230" s="271"/>
      <c r="H6230" s="271"/>
      <c r="I6230" s="271"/>
      <c r="J6230" s="271"/>
      <c r="K6230" s="271"/>
      <c r="L6230" s="271"/>
      <c r="M6230" s="271"/>
      <c r="N6230" s="273"/>
    </row>
    <row r="6231" spans="1:14" ht="12.75" customHeight="1" x14ac:dyDescent="0.2">
      <c r="A6231" s="396" t="s">
        <v>76</v>
      </c>
      <c r="B6231" s="271"/>
      <c r="C6231" s="271"/>
      <c r="D6231" s="271"/>
      <c r="E6231" s="271"/>
      <c r="F6231" s="271"/>
      <c r="G6231" s="273"/>
      <c r="H6231" s="88" t="s">
        <v>77</v>
      </c>
      <c r="I6231" s="399" t="s">
        <v>920</v>
      </c>
      <c r="J6231" s="273"/>
      <c r="K6231" s="399" t="s">
        <v>453</v>
      </c>
      <c r="L6231" s="273"/>
      <c r="M6231" s="399" t="s">
        <v>921</v>
      </c>
      <c r="N6231" s="273"/>
    </row>
    <row r="6232" spans="1:14" ht="12.75" customHeight="1" x14ac:dyDescent="0.2">
      <c r="A6232" s="400" t="s">
        <v>966</v>
      </c>
      <c r="B6232" s="271"/>
      <c r="C6232" s="271"/>
      <c r="D6232" s="271"/>
      <c r="E6232" s="271"/>
      <c r="F6232" s="271"/>
      <c r="G6232" s="273"/>
      <c r="H6232" s="29" t="s">
        <v>950</v>
      </c>
      <c r="I6232" s="394">
        <f>+M6219</f>
        <v>19782.099999999999</v>
      </c>
      <c r="J6232" s="273"/>
      <c r="K6232" s="404">
        <v>0.05</v>
      </c>
      <c r="L6232" s="273"/>
      <c r="M6232" s="394">
        <f t="shared" ref="M6232:M6236" si="851">IF(A6232="","",I6232*K6232)</f>
        <v>989.10500000000002</v>
      </c>
      <c r="N6232" s="273"/>
    </row>
    <row r="6233" spans="1:14" ht="12.75" customHeight="1" x14ac:dyDescent="0.2">
      <c r="A6233" s="403"/>
      <c r="B6233" s="271"/>
      <c r="C6233" s="271"/>
      <c r="D6233" s="271"/>
      <c r="E6233" s="271"/>
      <c r="F6233" s="271"/>
      <c r="G6233" s="273"/>
      <c r="H6233" s="29"/>
      <c r="I6233" s="394"/>
      <c r="J6233" s="273"/>
      <c r="K6233" s="404"/>
      <c r="L6233" s="273"/>
      <c r="M6233" s="394" t="str">
        <f t="shared" si="851"/>
        <v/>
      </c>
      <c r="N6233" s="273"/>
    </row>
    <row r="6234" spans="1:14" ht="12.75" customHeight="1" x14ac:dyDescent="0.2">
      <c r="A6234" s="400"/>
      <c r="B6234" s="271"/>
      <c r="C6234" s="271"/>
      <c r="D6234" s="271"/>
      <c r="E6234" s="271"/>
      <c r="F6234" s="271"/>
      <c r="G6234" s="273"/>
      <c r="H6234" s="29"/>
      <c r="I6234" s="394"/>
      <c r="J6234" s="273"/>
      <c r="K6234" s="395"/>
      <c r="L6234" s="273"/>
      <c r="M6234" s="394" t="str">
        <f t="shared" si="851"/>
        <v/>
      </c>
      <c r="N6234" s="273"/>
    </row>
    <row r="6235" spans="1:14" ht="12.75" customHeight="1" x14ac:dyDescent="0.2">
      <c r="A6235" s="400"/>
      <c r="B6235" s="271"/>
      <c r="C6235" s="271"/>
      <c r="D6235" s="271"/>
      <c r="E6235" s="271"/>
      <c r="F6235" s="271"/>
      <c r="G6235" s="273"/>
      <c r="H6235" s="29"/>
      <c r="I6235" s="394"/>
      <c r="J6235" s="273"/>
      <c r="K6235" s="395"/>
      <c r="L6235" s="273"/>
      <c r="M6235" s="394" t="str">
        <f t="shared" si="851"/>
        <v/>
      </c>
      <c r="N6235" s="273"/>
    </row>
    <row r="6236" spans="1:14" ht="12.75" customHeight="1" x14ac:dyDescent="0.2">
      <c r="A6236" s="400"/>
      <c r="B6236" s="271"/>
      <c r="C6236" s="271"/>
      <c r="D6236" s="271"/>
      <c r="E6236" s="271"/>
      <c r="F6236" s="271"/>
      <c r="G6236" s="273"/>
      <c r="H6236" s="29"/>
      <c r="I6236" s="394"/>
      <c r="J6236" s="273"/>
      <c r="K6236" s="395"/>
      <c r="L6236" s="273"/>
      <c r="M6236" s="394" t="str">
        <f t="shared" si="851"/>
        <v/>
      </c>
      <c r="N6236" s="273"/>
    </row>
    <row r="6237" spans="1:14" ht="12.75" customHeight="1" x14ac:dyDescent="0.25">
      <c r="A6237" s="4"/>
      <c r="B6237" s="4"/>
      <c r="C6237" s="4"/>
      <c r="D6237" s="4"/>
      <c r="E6237" s="4"/>
      <c r="F6237" s="4"/>
      <c r="G6237" s="4"/>
      <c r="H6237" s="4"/>
      <c r="I6237" s="4"/>
      <c r="J6237" s="4"/>
      <c r="K6237" s="396" t="s">
        <v>444</v>
      </c>
      <c r="L6237" s="273"/>
      <c r="M6237" s="394">
        <f>SUM(M6232:N6236)</f>
        <v>989.10500000000002</v>
      </c>
      <c r="N6237" s="273"/>
    </row>
    <row r="6238" spans="1:14" ht="12.75" customHeight="1" x14ac:dyDescent="0.25">
      <c r="A6238" s="4"/>
      <c r="B6238" s="4"/>
      <c r="C6238" s="4"/>
      <c r="D6238" s="4"/>
      <c r="E6238" s="4"/>
      <c r="F6238" s="4"/>
      <c r="G6238" s="4"/>
      <c r="H6238" s="4"/>
      <c r="I6238" s="4"/>
      <c r="J6238" s="4"/>
      <c r="K6238" s="4"/>
      <c r="L6238" s="4"/>
      <c r="M6238" s="4"/>
      <c r="N6238" s="4"/>
    </row>
    <row r="6239" spans="1:14" ht="12.75" customHeight="1" x14ac:dyDescent="0.2">
      <c r="A6239" s="398" t="s">
        <v>931</v>
      </c>
      <c r="B6239" s="271"/>
      <c r="C6239" s="271"/>
      <c r="D6239" s="271"/>
      <c r="E6239" s="271"/>
      <c r="F6239" s="271"/>
      <c r="G6239" s="271"/>
      <c r="H6239" s="271"/>
      <c r="I6239" s="271"/>
      <c r="J6239" s="271"/>
      <c r="K6239" s="271"/>
      <c r="L6239" s="271"/>
      <c r="M6239" s="271"/>
      <c r="N6239" s="273"/>
    </row>
    <row r="6240" spans="1:14" ht="12.75" customHeight="1" x14ac:dyDescent="0.2">
      <c r="A6240" s="396" t="s">
        <v>76</v>
      </c>
      <c r="B6240" s="271"/>
      <c r="C6240" s="271"/>
      <c r="D6240" s="271"/>
      <c r="E6240" s="271"/>
      <c r="F6240" s="271"/>
      <c r="G6240" s="273"/>
      <c r="H6240" s="88" t="s">
        <v>77</v>
      </c>
      <c r="I6240" s="399" t="s">
        <v>920</v>
      </c>
      <c r="J6240" s="273"/>
      <c r="K6240" s="90" t="s">
        <v>514</v>
      </c>
      <c r="L6240" s="91" t="s">
        <v>932</v>
      </c>
      <c r="M6240" s="399" t="s">
        <v>921</v>
      </c>
      <c r="N6240" s="273"/>
    </row>
    <row r="6241" spans="1:14" ht="12.75" customHeight="1" x14ac:dyDescent="0.25">
      <c r="A6241" s="393" t="s">
        <v>936</v>
      </c>
      <c r="B6241" s="271"/>
      <c r="C6241" s="271"/>
      <c r="D6241" s="271"/>
      <c r="E6241" s="271"/>
      <c r="F6241" s="271"/>
      <c r="G6241" s="273"/>
      <c r="H6241" s="29" t="str">
        <f>IF(A6241="","",VLOOKUP(A6241,AA_Cuadrillas,4,FALSE))</f>
        <v>Cuadrilla</v>
      </c>
      <c r="I6241" s="394">
        <f>IF(A6241="","",VLOOKUP(A6241,AA_Cuadrillas,5,FALSE))</f>
        <v>70036</v>
      </c>
      <c r="J6241" s="273"/>
      <c r="K6241" s="9">
        <f>IF(A6241="","",F.P!$I$2)</f>
        <v>1.88</v>
      </c>
      <c r="L6241" s="93">
        <v>1.6666666666666666E-2</v>
      </c>
      <c r="M6241" s="394">
        <f t="shared" ref="M6241:M6245" si="852">IF(A6241="","",I6241*K6241*L6241)</f>
        <v>2194.4613333333332</v>
      </c>
      <c r="N6241" s="273"/>
    </row>
    <row r="6242" spans="1:14" ht="12.75" customHeight="1" x14ac:dyDescent="0.25">
      <c r="A6242" s="393"/>
      <c r="B6242" s="271"/>
      <c r="C6242" s="271"/>
      <c r="D6242" s="271"/>
      <c r="E6242" s="271"/>
      <c r="F6242" s="271"/>
      <c r="G6242" s="273"/>
      <c r="H6242" s="29" t="str">
        <f>IF(A6242="","",VLOOKUP(A6242,AA_Cuadrillas,4,FALSE))</f>
        <v/>
      </c>
      <c r="I6242" s="394" t="str">
        <f>IF(A6242="","",VLOOKUP(A6242,AA_Cuadrillas,5,FALSE))</f>
        <v/>
      </c>
      <c r="J6242" s="273"/>
      <c r="K6242" s="9" t="str">
        <f>IF(A6242="","",F.P!$I$2)</f>
        <v/>
      </c>
      <c r="L6242" s="9"/>
      <c r="M6242" s="394" t="str">
        <f t="shared" si="852"/>
        <v/>
      </c>
      <c r="N6242" s="273"/>
    </row>
    <row r="6243" spans="1:14" ht="12.75" customHeight="1" x14ac:dyDescent="0.25">
      <c r="A6243" s="393"/>
      <c r="B6243" s="271"/>
      <c r="C6243" s="271"/>
      <c r="D6243" s="271"/>
      <c r="E6243" s="271"/>
      <c r="F6243" s="271"/>
      <c r="G6243" s="273"/>
      <c r="H6243" s="29" t="str">
        <f>IF(A6243="","",VLOOKUP(A6243,AA_Cuadrillas,4,FALSE))</f>
        <v/>
      </c>
      <c r="I6243" s="394" t="str">
        <f>IF(A6243="","",VLOOKUP(A6243,AA_Cuadrillas,5,FALSE))</f>
        <v/>
      </c>
      <c r="J6243" s="273"/>
      <c r="K6243" s="9" t="str">
        <f>IF(A6243="","",F.P!$I$2)</f>
        <v/>
      </c>
      <c r="L6243" s="37"/>
      <c r="M6243" s="394" t="str">
        <f t="shared" si="852"/>
        <v/>
      </c>
      <c r="N6243" s="273"/>
    </row>
    <row r="6244" spans="1:14" ht="12.75" customHeight="1" x14ac:dyDescent="0.25">
      <c r="A6244" s="393"/>
      <c r="B6244" s="271"/>
      <c r="C6244" s="271"/>
      <c r="D6244" s="271"/>
      <c r="E6244" s="271"/>
      <c r="F6244" s="271"/>
      <c r="G6244" s="273"/>
      <c r="H6244" s="29" t="str">
        <f>IF(A6244="","",VLOOKUP(A6244,AA_Cuadrillas,4,FALSE))</f>
        <v/>
      </c>
      <c r="I6244" s="394" t="str">
        <f>IF(A6244="","",VLOOKUP(A6244,AA_Cuadrillas,5,FALSE))</f>
        <v/>
      </c>
      <c r="J6244" s="273"/>
      <c r="K6244" s="9" t="str">
        <f>IF(A6244="","",F.P!$I$2)</f>
        <v/>
      </c>
      <c r="L6244" s="37"/>
      <c r="M6244" s="394" t="str">
        <f t="shared" si="852"/>
        <v/>
      </c>
      <c r="N6244" s="273"/>
    </row>
    <row r="6245" spans="1:14" ht="12.75" customHeight="1" x14ac:dyDescent="0.25">
      <c r="A6245" s="393"/>
      <c r="B6245" s="271"/>
      <c r="C6245" s="271"/>
      <c r="D6245" s="271"/>
      <c r="E6245" s="271"/>
      <c r="F6245" s="271"/>
      <c r="G6245" s="273"/>
      <c r="H6245" s="29" t="str">
        <f>IF(A6245="","",VLOOKUP(A6245,AA_Cuadrillas,4,FALSE))</f>
        <v/>
      </c>
      <c r="I6245" s="394" t="str">
        <f>IF(A6245="","",VLOOKUP(A6245,AA_Cuadrillas,5,FALSE))</f>
        <v/>
      </c>
      <c r="J6245" s="273"/>
      <c r="K6245" s="9" t="str">
        <f>IF(A6245="","",F.P!$I$2)</f>
        <v/>
      </c>
      <c r="L6245" s="37"/>
      <c r="M6245" s="394" t="str">
        <f t="shared" si="852"/>
        <v/>
      </c>
      <c r="N6245" s="273"/>
    </row>
    <row r="6246" spans="1:14" ht="12.75" customHeight="1" x14ac:dyDescent="0.25">
      <c r="A6246" s="4"/>
      <c r="B6246" s="4"/>
      <c r="C6246" s="4"/>
      <c r="D6246" s="4"/>
      <c r="E6246" s="4"/>
      <c r="F6246" s="4"/>
      <c r="G6246" s="4"/>
      <c r="H6246" s="4"/>
      <c r="I6246" s="4"/>
      <c r="J6246" s="4"/>
      <c r="K6246" s="396" t="s">
        <v>444</v>
      </c>
      <c r="L6246" s="273"/>
      <c r="M6246" s="394">
        <f>SUM(M6241:N6245)</f>
        <v>2194.4613333333332</v>
      </c>
      <c r="N6246" s="273"/>
    </row>
    <row r="6247" spans="1:14" ht="12.75" customHeight="1" x14ac:dyDescent="0.2"/>
    <row r="6248" spans="1:14" ht="12.75" customHeight="1" x14ac:dyDescent="0.2">
      <c r="A6248" s="407" t="s">
        <v>1262</v>
      </c>
      <c r="B6248" s="275"/>
      <c r="C6248" s="275"/>
      <c r="D6248" s="275"/>
      <c r="E6248" s="275"/>
      <c r="F6248" s="275"/>
      <c r="G6248" s="275"/>
      <c r="H6248" s="275"/>
      <c r="I6248" s="275"/>
      <c r="J6248" s="275"/>
      <c r="K6248" s="275"/>
      <c r="L6248" s="275"/>
      <c r="M6248" s="275"/>
      <c r="N6248" s="276"/>
    </row>
    <row r="6249" spans="1:14" ht="12.75" customHeight="1" x14ac:dyDescent="0.2">
      <c r="A6249" s="277"/>
      <c r="B6249" s="278"/>
      <c r="C6249" s="278"/>
      <c r="D6249" s="278"/>
      <c r="E6249" s="278"/>
      <c r="F6249" s="278"/>
      <c r="G6249" s="278"/>
      <c r="H6249" s="278"/>
      <c r="I6249" s="278"/>
      <c r="J6249" s="278"/>
      <c r="K6249" s="278"/>
      <c r="L6249" s="278"/>
      <c r="M6249" s="278"/>
      <c r="N6249" s="279"/>
    </row>
    <row r="6250" spans="1:14" ht="12.75" customHeight="1" x14ac:dyDescent="0.2">
      <c r="A6250" s="75"/>
      <c r="B6250" s="75"/>
      <c r="C6250" s="75"/>
      <c r="D6250" s="75"/>
      <c r="E6250" s="75"/>
      <c r="F6250" s="75"/>
      <c r="G6250" s="75"/>
      <c r="H6250" s="75"/>
      <c r="I6250" s="75"/>
      <c r="J6250" s="75"/>
      <c r="K6250" s="75"/>
      <c r="L6250" s="75"/>
      <c r="M6250" s="75"/>
      <c r="N6250" s="75"/>
    </row>
    <row r="6251" spans="1:14" ht="12.75" customHeight="1" x14ac:dyDescent="0.3">
      <c r="A6251" s="79" t="s">
        <v>758</v>
      </c>
      <c r="B6251" s="80" t="str">
        <f>A6248</f>
        <v>SUMINISTRO E INSTALACIÓN PASAMURO DE Ø6" L=0,25M EN HIERRO DUCTIL</v>
      </c>
      <c r="C6251" s="81" t="s">
        <v>916</v>
      </c>
      <c r="D6251" s="82" t="s">
        <v>999</v>
      </c>
      <c r="E6251" s="83" t="s">
        <v>445</v>
      </c>
      <c r="F6251" s="86">
        <f>H6251+J6251+L6251+N6251</f>
        <v>641708.40049999999</v>
      </c>
      <c r="G6251" s="83" t="s">
        <v>607</v>
      </c>
      <c r="H6251" s="86">
        <f>M6263</f>
        <v>549540.86</v>
      </c>
      <c r="I6251" s="83" t="s">
        <v>918</v>
      </c>
      <c r="J6251" s="86">
        <f>M6272</f>
        <v>4388.9305000000004</v>
      </c>
      <c r="K6251" s="83" t="s">
        <v>609</v>
      </c>
      <c r="L6251" s="86">
        <f>M6281</f>
        <v>0</v>
      </c>
      <c r="M6251" s="83" t="s">
        <v>610</v>
      </c>
      <c r="N6251" s="86">
        <f>M6290</f>
        <v>87778.61</v>
      </c>
    </row>
    <row r="6252" spans="1:14" ht="12.75" customHeight="1" x14ac:dyDescent="0.25">
      <c r="A6252" s="87"/>
      <c r="B6252" s="87"/>
      <c r="C6252" s="87"/>
      <c r="D6252" s="87"/>
      <c r="E6252" s="87"/>
      <c r="F6252" s="87"/>
      <c r="G6252" s="87"/>
      <c r="J6252" s="87"/>
      <c r="K6252" s="215" t="s">
        <v>3217</v>
      </c>
      <c r="L6252" s="215">
        <f>+F6251*presup!$O$5</f>
        <v>834220.92064999999</v>
      </c>
      <c r="M6252" s="87"/>
      <c r="N6252" s="87"/>
    </row>
    <row r="6253" spans="1:14" ht="12.75" customHeight="1" x14ac:dyDescent="0.2">
      <c r="A6253" s="398" t="s">
        <v>919</v>
      </c>
      <c r="B6253" s="271"/>
      <c r="C6253" s="271"/>
      <c r="D6253" s="271"/>
      <c r="E6253" s="271"/>
      <c r="F6253" s="271"/>
      <c r="G6253" s="271"/>
      <c r="H6253" s="271"/>
      <c r="I6253" s="271"/>
      <c r="J6253" s="271"/>
      <c r="K6253" s="271"/>
      <c r="L6253" s="271"/>
      <c r="M6253" s="271"/>
      <c r="N6253" s="273"/>
    </row>
    <row r="6254" spans="1:14" ht="12.75" customHeight="1" x14ac:dyDescent="0.2">
      <c r="A6254" s="396" t="s">
        <v>76</v>
      </c>
      <c r="B6254" s="271"/>
      <c r="C6254" s="271"/>
      <c r="D6254" s="271"/>
      <c r="E6254" s="271"/>
      <c r="F6254" s="271"/>
      <c r="G6254" s="273"/>
      <c r="H6254" s="88" t="s">
        <v>77</v>
      </c>
      <c r="I6254" s="399" t="s">
        <v>920</v>
      </c>
      <c r="J6254" s="273"/>
      <c r="K6254" s="399" t="s">
        <v>453</v>
      </c>
      <c r="L6254" s="273"/>
      <c r="M6254" s="399" t="s">
        <v>921</v>
      </c>
      <c r="N6254" s="273"/>
    </row>
    <row r="6255" spans="1:14" ht="12.75" customHeight="1" x14ac:dyDescent="0.2">
      <c r="A6255" s="400" t="s">
        <v>1263</v>
      </c>
      <c r="B6255" s="271"/>
      <c r="C6255" s="271"/>
      <c r="D6255" s="271"/>
      <c r="E6255" s="271"/>
      <c r="F6255" s="271"/>
      <c r="G6255" s="273"/>
      <c r="H6255" s="29" t="str">
        <f t="shared" ref="H6255:H6260" si="853">IF(A6255="","",VLOOKUP(A6255,AA_Materiales,7,FALSE))</f>
        <v>Unidad</v>
      </c>
      <c r="I6255" s="394">
        <f t="shared" ref="I6255:I6262" si="854">IF(A6255="","",VLOOKUP(A6255,AA_Materiales,8,FALSE))</f>
        <v>549540.86</v>
      </c>
      <c r="J6255" s="273"/>
      <c r="K6255" s="395">
        <v>1</v>
      </c>
      <c r="L6255" s="273"/>
      <c r="M6255" s="394">
        <f t="shared" ref="M6255:M6262" si="855">IF(A6255="","",I6255*K6255)</f>
        <v>549540.86</v>
      </c>
      <c r="N6255" s="273"/>
    </row>
    <row r="6256" spans="1:14" ht="12.75" customHeight="1" x14ac:dyDescent="0.2">
      <c r="A6256" s="400"/>
      <c r="B6256" s="271"/>
      <c r="C6256" s="271"/>
      <c r="D6256" s="271"/>
      <c r="E6256" s="271"/>
      <c r="F6256" s="271"/>
      <c r="G6256" s="273"/>
      <c r="H6256" s="29" t="str">
        <f t="shared" si="853"/>
        <v/>
      </c>
      <c r="I6256" s="394" t="str">
        <f t="shared" si="854"/>
        <v/>
      </c>
      <c r="J6256" s="273"/>
      <c r="K6256" s="395"/>
      <c r="L6256" s="273"/>
      <c r="M6256" s="394" t="str">
        <f t="shared" si="855"/>
        <v/>
      </c>
      <c r="N6256" s="273"/>
    </row>
    <row r="6257" spans="1:14" ht="12.75" customHeight="1" x14ac:dyDescent="0.2">
      <c r="A6257" s="400"/>
      <c r="B6257" s="271"/>
      <c r="C6257" s="271"/>
      <c r="D6257" s="271"/>
      <c r="E6257" s="271"/>
      <c r="F6257" s="271"/>
      <c r="G6257" s="273"/>
      <c r="H6257" s="29" t="str">
        <f t="shared" si="853"/>
        <v/>
      </c>
      <c r="I6257" s="394" t="str">
        <f t="shared" si="854"/>
        <v/>
      </c>
      <c r="J6257" s="273"/>
      <c r="K6257" s="395"/>
      <c r="L6257" s="273"/>
      <c r="M6257" s="394" t="str">
        <f t="shared" si="855"/>
        <v/>
      </c>
      <c r="N6257" s="273"/>
    </row>
    <row r="6258" spans="1:14" ht="12.75" customHeight="1" x14ac:dyDescent="0.2">
      <c r="A6258" s="400"/>
      <c r="B6258" s="271"/>
      <c r="C6258" s="271"/>
      <c r="D6258" s="271"/>
      <c r="E6258" s="271"/>
      <c r="F6258" s="271"/>
      <c r="G6258" s="273"/>
      <c r="H6258" s="29" t="str">
        <f t="shared" si="853"/>
        <v/>
      </c>
      <c r="I6258" s="394" t="str">
        <f t="shared" si="854"/>
        <v/>
      </c>
      <c r="J6258" s="273"/>
      <c r="K6258" s="395"/>
      <c r="L6258" s="273"/>
      <c r="M6258" s="394" t="str">
        <f t="shared" si="855"/>
        <v/>
      </c>
      <c r="N6258" s="273"/>
    </row>
    <row r="6259" spans="1:14" ht="12.75" customHeight="1" x14ac:dyDescent="0.2">
      <c r="A6259" s="400"/>
      <c r="B6259" s="271"/>
      <c r="C6259" s="271"/>
      <c r="D6259" s="271"/>
      <c r="E6259" s="271"/>
      <c r="F6259" s="271"/>
      <c r="G6259" s="273"/>
      <c r="H6259" s="29" t="str">
        <f t="shared" si="853"/>
        <v/>
      </c>
      <c r="I6259" s="394" t="str">
        <f t="shared" si="854"/>
        <v/>
      </c>
      <c r="J6259" s="273"/>
      <c r="K6259" s="395"/>
      <c r="L6259" s="273"/>
      <c r="M6259" s="394" t="str">
        <f t="shared" si="855"/>
        <v/>
      </c>
      <c r="N6259" s="273"/>
    </row>
    <row r="6260" spans="1:14" ht="12.75" customHeight="1" x14ac:dyDescent="0.2">
      <c r="A6260" s="400"/>
      <c r="B6260" s="271"/>
      <c r="C6260" s="271"/>
      <c r="D6260" s="271"/>
      <c r="E6260" s="271"/>
      <c r="F6260" s="271"/>
      <c r="G6260" s="273"/>
      <c r="H6260" s="29" t="str">
        <f t="shared" si="853"/>
        <v/>
      </c>
      <c r="I6260" s="394" t="str">
        <f t="shared" si="854"/>
        <v/>
      </c>
      <c r="J6260" s="273"/>
      <c r="K6260" s="395"/>
      <c r="L6260" s="273"/>
      <c r="M6260" s="394" t="str">
        <f t="shared" si="855"/>
        <v/>
      </c>
      <c r="N6260" s="273"/>
    </row>
    <row r="6261" spans="1:14" ht="12.75" customHeight="1" x14ac:dyDescent="0.2">
      <c r="A6261" s="400"/>
      <c r="B6261" s="271"/>
      <c r="C6261" s="271"/>
      <c r="D6261" s="271"/>
      <c r="E6261" s="271"/>
      <c r="F6261" s="271"/>
      <c r="G6261" s="273"/>
      <c r="H6261" s="29"/>
      <c r="I6261" s="394" t="str">
        <f t="shared" si="854"/>
        <v/>
      </c>
      <c r="J6261" s="273"/>
      <c r="K6261" s="395"/>
      <c r="L6261" s="273"/>
      <c r="M6261" s="394" t="str">
        <f t="shared" si="855"/>
        <v/>
      </c>
      <c r="N6261" s="273"/>
    </row>
    <row r="6262" spans="1:14" ht="12.75" customHeight="1" x14ac:dyDescent="0.2">
      <c r="A6262" s="400"/>
      <c r="B6262" s="271"/>
      <c r="C6262" s="271"/>
      <c r="D6262" s="271"/>
      <c r="E6262" s="271"/>
      <c r="F6262" s="271"/>
      <c r="G6262" s="273"/>
      <c r="H6262" s="29" t="str">
        <f>IF(A6262="","",VLOOKUP(A6262,AA_Materiales,7,FALSE))</f>
        <v/>
      </c>
      <c r="I6262" s="394" t="str">
        <f t="shared" si="854"/>
        <v/>
      </c>
      <c r="J6262" s="273"/>
      <c r="K6262" s="395"/>
      <c r="L6262" s="273"/>
      <c r="M6262" s="394" t="str">
        <f t="shared" si="855"/>
        <v/>
      </c>
      <c r="N6262" s="273"/>
    </row>
    <row r="6263" spans="1:14" ht="12.75" customHeight="1" x14ac:dyDescent="0.25">
      <c r="A6263" s="4"/>
      <c r="B6263" s="4"/>
      <c r="C6263" s="4"/>
      <c r="D6263" s="4"/>
      <c r="E6263" s="4"/>
      <c r="F6263" s="4"/>
      <c r="G6263" s="4"/>
      <c r="H6263" s="4"/>
      <c r="I6263" s="4"/>
      <c r="J6263" s="4"/>
      <c r="K6263" s="396" t="s">
        <v>444</v>
      </c>
      <c r="L6263" s="273"/>
      <c r="M6263" s="394">
        <f>SUM(M6255:N6262)</f>
        <v>549540.86</v>
      </c>
      <c r="N6263" s="273"/>
    </row>
    <row r="6264" spans="1:14" ht="12.75" customHeight="1" x14ac:dyDescent="0.25">
      <c r="A6264" s="4"/>
      <c r="B6264" s="4"/>
      <c r="C6264" s="4"/>
      <c r="D6264" s="4"/>
      <c r="E6264" s="4"/>
      <c r="F6264" s="4"/>
      <c r="G6264" s="4"/>
      <c r="H6264" s="4"/>
      <c r="I6264" s="4"/>
      <c r="J6264" s="4"/>
      <c r="K6264" s="4"/>
      <c r="L6264" s="4"/>
      <c r="M6264" s="4"/>
      <c r="N6264" s="4"/>
    </row>
    <row r="6265" spans="1:14" ht="12.75" customHeight="1" x14ac:dyDescent="0.2">
      <c r="A6265" s="398" t="s">
        <v>926</v>
      </c>
      <c r="B6265" s="271"/>
      <c r="C6265" s="271"/>
      <c r="D6265" s="271"/>
      <c r="E6265" s="271"/>
      <c r="F6265" s="271"/>
      <c r="G6265" s="271"/>
      <c r="H6265" s="271"/>
      <c r="I6265" s="271"/>
      <c r="J6265" s="271"/>
      <c r="K6265" s="271"/>
      <c r="L6265" s="271"/>
      <c r="M6265" s="271"/>
      <c r="N6265" s="273"/>
    </row>
    <row r="6266" spans="1:14" ht="12.75" customHeight="1" x14ac:dyDescent="0.2">
      <c r="A6266" s="396" t="s">
        <v>76</v>
      </c>
      <c r="B6266" s="271"/>
      <c r="C6266" s="271"/>
      <c r="D6266" s="271"/>
      <c r="E6266" s="271"/>
      <c r="F6266" s="271"/>
      <c r="G6266" s="273"/>
      <c r="H6266" s="88" t="s">
        <v>77</v>
      </c>
      <c r="I6266" s="399" t="s">
        <v>920</v>
      </c>
      <c r="J6266" s="273"/>
      <c r="K6266" s="399" t="s">
        <v>453</v>
      </c>
      <c r="L6266" s="273"/>
      <c r="M6266" s="399" t="s">
        <v>921</v>
      </c>
      <c r="N6266" s="273"/>
    </row>
    <row r="6267" spans="1:14" ht="12.75" customHeight="1" x14ac:dyDescent="0.2">
      <c r="A6267" s="400" t="s">
        <v>927</v>
      </c>
      <c r="B6267" s="271"/>
      <c r="C6267" s="271"/>
      <c r="D6267" s="271"/>
      <c r="E6267" s="271"/>
      <c r="F6267" s="271"/>
      <c r="G6267" s="273"/>
      <c r="H6267" s="29" t="str">
        <f>IF(A6267="","",VLOOKUP(A6267,AA_Equipos,7,FALSE))</f>
        <v>% M.O.</v>
      </c>
      <c r="I6267" s="394">
        <f>+M6290</f>
        <v>87778.61</v>
      </c>
      <c r="J6267" s="273"/>
      <c r="K6267" s="404">
        <v>0.05</v>
      </c>
      <c r="L6267" s="273"/>
      <c r="M6267" s="394">
        <f t="shared" ref="M6267:M6271" si="856">IF(A6267="","",I6267*K6267)</f>
        <v>4388.9305000000004</v>
      </c>
      <c r="N6267" s="273"/>
    </row>
    <row r="6268" spans="1:14" ht="12.75" customHeight="1" x14ac:dyDescent="0.2">
      <c r="A6268" s="403"/>
      <c r="B6268" s="271"/>
      <c r="C6268" s="271"/>
      <c r="D6268" s="271"/>
      <c r="E6268" s="271"/>
      <c r="F6268" s="271"/>
      <c r="G6268" s="273"/>
      <c r="H6268" s="29" t="str">
        <f>IF(A6268="","",VLOOKUP(A6268,AA_Equipos,7,FALSE))</f>
        <v/>
      </c>
      <c r="I6268" s="394" t="str">
        <f>IF(A6268="","",VLOOKUP(A6268,AA_Equipos,8,FALSE))</f>
        <v/>
      </c>
      <c r="J6268" s="273"/>
      <c r="K6268" s="402"/>
      <c r="L6268" s="273"/>
      <c r="M6268" s="394" t="str">
        <f t="shared" si="856"/>
        <v/>
      </c>
      <c r="N6268" s="273"/>
    </row>
    <row r="6269" spans="1:14" ht="12.75" customHeight="1" x14ac:dyDescent="0.2">
      <c r="A6269" s="400"/>
      <c r="B6269" s="271"/>
      <c r="C6269" s="271"/>
      <c r="D6269" s="271"/>
      <c r="E6269" s="271"/>
      <c r="F6269" s="271"/>
      <c r="G6269" s="273"/>
      <c r="H6269" s="29" t="str">
        <f>IF(A6269="","",VLOOKUP(A6269,AA_Equipos,7,FALSE))</f>
        <v/>
      </c>
      <c r="I6269" s="394" t="str">
        <f>IF(A6269="","",VLOOKUP(A6269,AA_Equipos,8,FALSE))</f>
        <v/>
      </c>
      <c r="J6269" s="273"/>
      <c r="K6269" s="402"/>
      <c r="L6269" s="273"/>
      <c r="M6269" s="394" t="str">
        <f t="shared" si="856"/>
        <v/>
      </c>
      <c r="N6269" s="273"/>
    </row>
    <row r="6270" spans="1:14" ht="12.75" customHeight="1" x14ac:dyDescent="0.2">
      <c r="A6270" s="400"/>
      <c r="B6270" s="271"/>
      <c r="C6270" s="271"/>
      <c r="D6270" s="271"/>
      <c r="E6270" s="271"/>
      <c r="F6270" s="271"/>
      <c r="G6270" s="273"/>
      <c r="H6270" s="29" t="str">
        <f>IF(A6270="","",VLOOKUP(A6270,AA_Equipos,7,FALSE))</f>
        <v/>
      </c>
      <c r="I6270" s="394" t="str">
        <f>IF(A6270="","",VLOOKUP(A6270,AA_Equipos,8,FALSE))</f>
        <v/>
      </c>
      <c r="J6270" s="273"/>
      <c r="K6270" s="402"/>
      <c r="L6270" s="273"/>
      <c r="M6270" s="394" t="str">
        <f t="shared" si="856"/>
        <v/>
      </c>
      <c r="N6270" s="273"/>
    </row>
    <row r="6271" spans="1:14" ht="12.75" customHeight="1" x14ac:dyDescent="0.2">
      <c r="A6271" s="400"/>
      <c r="B6271" s="271"/>
      <c r="C6271" s="271"/>
      <c r="D6271" s="271"/>
      <c r="E6271" s="271"/>
      <c r="F6271" s="271"/>
      <c r="G6271" s="273"/>
      <c r="H6271" s="29" t="str">
        <f>IF(A6271="","",VLOOKUP(A6271,AA_Equipos,7,FALSE))</f>
        <v/>
      </c>
      <c r="I6271" s="394" t="str">
        <f>IF(A6271="","",VLOOKUP(A6271,AA_Equipos,8,FALSE))</f>
        <v/>
      </c>
      <c r="J6271" s="273"/>
      <c r="K6271" s="395"/>
      <c r="L6271" s="273"/>
      <c r="M6271" s="394" t="str">
        <f t="shared" si="856"/>
        <v/>
      </c>
      <c r="N6271" s="273"/>
    </row>
    <row r="6272" spans="1:14" ht="12.75" customHeight="1" x14ac:dyDescent="0.25">
      <c r="A6272" s="4"/>
      <c r="B6272" s="4"/>
      <c r="C6272" s="4"/>
      <c r="D6272" s="4"/>
      <c r="E6272" s="4"/>
      <c r="F6272" s="4"/>
      <c r="G6272" s="4"/>
      <c r="H6272" s="4"/>
      <c r="I6272" s="4"/>
      <c r="J6272" s="4"/>
      <c r="K6272" s="396" t="s">
        <v>444</v>
      </c>
      <c r="L6272" s="273"/>
      <c r="M6272" s="394">
        <f>SUM(M6267:N6271)</f>
        <v>4388.9305000000004</v>
      </c>
      <c r="N6272" s="273"/>
    </row>
    <row r="6273" spans="1:14" ht="12.75" customHeight="1" x14ac:dyDescent="0.25">
      <c r="A6273" s="4"/>
      <c r="B6273" s="4"/>
      <c r="C6273" s="4"/>
      <c r="D6273" s="4"/>
      <c r="E6273" s="4"/>
      <c r="F6273" s="4"/>
      <c r="G6273" s="4"/>
      <c r="H6273" s="4"/>
      <c r="I6273" s="4"/>
      <c r="J6273" s="4"/>
      <c r="K6273" s="4"/>
      <c r="L6273" s="4"/>
      <c r="M6273" s="4"/>
      <c r="N6273" s="4"/>
    </row>
    <row r="6274" spans="1:14" ht="12.75" customHeight="1" x14ac:dyDescent="0.2">
      <c r="A6274" s="398" t="s">
        <v>929</v>
      </c>
      <c r="B6274" s="271"/>
      <c r="C6274" s="271"/>
      <c r="D6274" s="271"/>
      <c r="E6274" s="271"/>
      <c r="F6274" s="271"/>
      <c r="G6274" s="271"/>
      <c r="H6274" s="271"/>
      <c r="I6274" s="271"/>
      <c r="J6274" s="271"/>
      <c r="K6274" s="271"/>
      <c r="L6274" s="271"/>
      <c r="M6274" s="271"/>
      <c r="N6274" s="273"/>
    </row>
    <row r="6275" spans="1:14" ht="12.75" customHeight="1" x14ac:dyDescent="0.2">
      <c r="A6275" s="396" t="s">
        <v>76</v>
      </c>
      <c r="B6275" s="271"/>
      <c r="C6275" s="271"/>
      <c r="D6275" s="271"/>
      <c r="E6275" s="271"/>
      <c r="F6275" s="271"/>
      <c r="G6275" s="273"/>
      <c r="H6275" s="88" t="s">
        <v>77</v>
      </c>
      <c r="I6275" s="399" t="s">
        <v>920</v>
      </c>
      <c r="J6275" s="273"/>
      <c r="K6275" s="399" t="s">
        <v>453</v>
      </c>
      <c r="L6275" s="273"/>
      <c r="M6275" s="399" t="s">
        <v>921</v>
      </c>
      <c r="N6275" s="273"/>
    </row>
    <row r="6276" spans="1:14" ht="12.75" customHeight="1" x14ac:dyDescent="0.2">
      <c r="A6276" s="400"/>
      <c r="B6276" s="271"/>
      <c r="C6276" s="271"/>
      <c r="D6276" s="271"/>
      <c r="E6276" s="271"/>
      <c r="F6276" s="271"/>
      <c r="G6276" s="273"/>
      <c r="H6276" s="29"/>
      <c r="I6276" s="394"/>
      <c r="J6276" s="273"/>
      <c r="K6276" s="404"/>
      <c r="L6276" s="273"/>
      <c r="M6276" s="394" t="str">
        <f t="shared" ref="M6276:M6280" si="857">IF(A6276="","",I6276*K6276)</f>
        <v/>
      </c>
      <c r="N6276" s="273"/>
    </row>
    <row r="6277" spans="1:14" ht="12.75" customHeight="1" x14ac:dyDescent="0.2">
      <c r="A6277" s="403"/>
      <c r="B6277" s="271"/>
      <c r="C6277" s="271"/>
      <c r="D6277" s="271"/>
      <c r="E6277" s="271"/>
      <c r="F6277" s="271"/>
      <c r="G6277" s="273"/>
      <c r="H6277" s="29"/>
      <c r="I6277" s="394"/>
      <c r="J6277" s="273"/>
      <c r="K6277" s="404"/>
      <c r="L6277" s="273"/>
      <c r="M6277" s="394" t="str">
        <f t="shared" si="857"/>
        <v/>
      </c>
      <c r="N6277" s="273"/>
    </row>
    <row r="6278" spans="1:14" ht="12.75" customHeight="1" x14ac:dyDescent="0.2">
      <c r="A6278" s="400"/>
      <c r="B6278" s="271"/>
      <c r="C6278" s="271"/>
      <c r="D6278" s="271"/>
      <c r="E6278" s="271"/>
      <c r="F6278" s="271"/>
      <c r="G6278" s="273"/>
      <c r="H6278" s="29"/>
      <c r="I6278" s="394"/>
      <c r="J6278" s="273"/>
      <c r="K6278" s="395"/>
      <c r="L6278" s="273"/>
      <c r="M6278" s="394" t="str">
        <f t="shared" si="857"/>
        <v/>
      </c>
      <c r="N6278" s="273"/>
    </row>
    <row r="6279" spans="1:14" ht="12.75" customHeight="1" x14ac:dyDescent="0.2">
      <c r="A6279" s="400"/>
      <c r="B6279" s="271"/>
      <c r="C6279" s="271"/>
      <c r="D6279" s="271"/>
      <c r="E6279" s="271"/>
      <c r="F6279" s="271"/>
      <c r="G6279" s="273"/>
      <c r="H6279" s="29"/>
      <c r="I6279" s="394"/>
      <c r="J6279" s="273"/>
      <c r="K6279" s="395"/>
      <c r="L6279" s="273"/>
      <c r="M6279" s="394" t="str">
        <f t="shared" si="857"/>
        <v/>
      </c>
      <c r="N6279" s="273"/>
    </row>
    <row r="6280" spans="1:14" ht="12.75" customHeight="1" x14ac:dyDescent="0.2">
      <c r="A6280" s="400"/>
      <c r="B6280" s="271"/>
      <c r="C6280" s="271"/>
      <c r="D6280" s="271"/>
      <c r="E6280" s="271"/>
      <c r="F6280" s="271"/>
      <c r="G6280" s="273"/>
      <c r="H6280" s="29"/>
      <c r="I6280" s="394"/>
      <c r="J6280" s="273"/>
      <c r="K6280" s="395"/>
      <c r="L6280" s="273"/>
      <c r="M6280" s="394" t="str">
        <f t="shared" si="857"/>
        <v/>
      </c>
      <c r="N6280" s="273"/>
    </row>
    <row r="6281" spans="1:14" ht="12.75" customHeight="1" x14ac:dyDescent="0.25">
      <c r="A6281" s="4"/>
      <c r="B6281" s="4"/>
      <c r="C6281" s="4"/>
      <c r="D6281" s="4"/>
      <c r="E6281" s="4"/>
      <c r="F6281" s="4"/>
      <c r="G6281" s="4"/>
      <c r="H6281" s="4"/>
      <c r="I6281" s="4"/>
      <c r="J6281" s="4"/>
      <c r="K6281" s="396" t="s">
        <v>444</v>
      </c>
      <c r="L6281" s="273"/>
      <c r="M6281" s="394">
        <f>SUM(M6276:N6280)</f>
        <v>0</v>
      </c>
      <c r="N6281" s="273"/>
    </row>
    <row r="6282" spans="1:14" ht="12.75" customHeight="1" x14ac:dyDescent="0.25">
      <c r="A6282" s="4"/>
      <c r="B6282" s="4"/>
      <c r="C6282" s="4"/>
      <c r="D6282" s="4"/>
      <c r="E6282" s="4"/>
      <c r="F6282" s="4"/>
      <c r="G6282" s="4"/>
      <c r="H6282" s="4"/>
      <c r="I6282" s="4"/>
      <c r="J6282" s="4"/>
      <c r="K6282" s="4"/>
      <c r="L6282" s="4"/>
      <c r="M6282" s="4"/>
      <c r="N6282" s="4"/>
    </row>
    <row r="6283" spans="1:14" ht="12.75" customHeight="1" x14ac:dyDescent="0.2">
      <c r="A6283" s="398" t="s">
        <v>931</v>
      </c>
      <c r="B6283" s="271"/>
      <c r="C6283" s="271"/>
      <c r="D6283" s="271"/>
      <c r="E6283" s="271"/>
      <c r="F6283" s="271"/>
      <c r="G6283" s="271"/>
      <c r="H6283" s="271"/>
      <c r="I6283" s="271"/>
      <c r="J6283" s="271"/>
      <c r="K6283" s="271"/>
      <c r="L6283" s="271"/>
      <c r="M6283" s="271"/>
      <c r="N6283" s="273"/>
    </row>
    <row r="6284" spans="1:14" ht="12.75" customHeight="1" x14ac:dyDescent="0.2">
      <c r="A6284" s="396" t="s">
        <v>76</v>
      </c>
      <c r="B6284" s="271"/>
      <c r="C6284" s="271"/>
      <c r="D6284" s="271"/>
      <c r="E6284" s="271"/>
      <c r="F6284" s="271"/>
      <c r="G6284" s="273"/>
      <c r="H6284" s="88" t="s">
        <v>77</v>
      </c>
      <c r="I6284" s="399" t="s">
        <v>920</v>
      </c>
      <c r="J6284" s="273"/>
      <c r="K6284" s="90" t="s">
        <v>514</v>
      </c>
      <c r="L6284" s="91" t="s">
        <v>932</v>
      </c>
      <c r="M6284" s="399" t="s">
        <v>921</v>
      </c>
      <c r="N6284" s="273"/>
    </row>
    <row r="6285" spans="1:14" ht="12.75" customHeight="1" x14ac:dyDescent="0.25">
      <c r="A6285" s="393" t="s">
        <v>986</v>
      </c>
      <c r="B6285" s="271"/>
      <c r="C6285" s="271"/>
      <c r="D6285" s="271"/>
      <c r="E6285" s="271"/>
      <c r="F6285" s="271"/>
      <c r="G6285" s="273"/>
      <c r="H6285" s="29" t="str">
        <f>IF(A6285="","",VLOOKUP(A6285,AA_Cuadrillas,4,FALSE))</f>
        <v>Cuadrilla</v>
      </c>
      <c r="I6285" s="394">
        <f>IF(A6285="","",VLOOKUP(A6285,AA_Cuadrillas,5,FALSE))</f>
        <v>186763</v>
      </c>
      <c r="J6285" s="273"/>
      <c r="K6285" s="9">
        <f>IF(A6285="","",F.P!$I$2)</f>
        <v>1.88</v>
      </c>
      <c r="L6285" s="93">
        <v>0.25</v>
      </c>
      <c r="M6285" s="394">
        <f t="shared" ref="M6285:M6289" si="858">IF(A6285="","",I6285*K6285*L6285)</f>
        <v>87778.61</v>
      </c>
      <c r="N6285" s="273"/>
    </row>
    <row r="6286" spans="1:14" ht="12.75" customHeight="1" x14ac:dyDescent="0.25">
      <c r="A6286" s="393"/>
      <c r="B6286" s="271"/>
      <c r="C6286" s="271"/>
      <c r="D6286" s="271"/>
      <c r="E6286" s="271"/>
      <c r="F6286" s="271"/>
      <c r="G6286" s="273"/>
      <c r="H6286" s="29" t="str">
        <f>IF(A6286="","",VLOOKUP(A6286,AA_Cuadrillas,4,FALSE))</f>
        <v/>
      </c>
      <c r="I6286" s="394" t="str">
        <f>IF(A6286="","",VLOOKUP(A6286,AA_Cuadrillas,5,FALSE))</f>
        <v/>
      </c>
      <c r="J6286" s="273"/>
      <c r="K6286" s="9" t="str">
        <f>IF(A6286="","",F.P!$I$2)</f>
        <v/>
      </c>
      <c r="L6286" s="9"/>
      <c r="M6286" s="394" t="str">
        <f t="shared" si="858"/>
        <v/>
      </c>
      <c r="N6286" s="273"/>
    </row>
    <row r="6287" spans="1:14" ht="12.75" customHeight="1" x14ac:dyDescent="0.25">
      <c r="A6287" s="393"/>
      <c r="B6287" s="271"/>
      <c r="C6287" s="271"/>
      <c r="D6287" s="271"/>
      <c r="E6287" s="271"/>
      <c r="F6287" s="271"/>
      <c r="G6287" s="273"/>
      <c r="H6287" s="29" t="str">
        <f>IF(A6287="","",VLOOKUP(A6287,AA_Cuadrillas,4,FALSE))</f>
        <v/>
      </c>
      <c r="I6287" s="394" t="str">
        <f>IF(A6287="","",VLOOKUP(A6287,AA_Cuadrillas,5,FALSE))</f>
        <v/>
      </c>
      <c r="J6287" s="273"/>
      <c r="K6287" s="9" t="str">
        <f>IF(A6287="","",F.P!$I$2)</f>
        <v/>
      </c>
      <c r="L6287" s="37"/>
      <c r="M6287" s="394" t="str">
        <f t="shared" si="858"/>
        <v/>
      </c>
      <c r="N6287" s="273"/>
    </row>
    <row r="6288" spans="1:14" ht="12.75" customHeight="1" x14ac:dyDescent="0.25">
      <c r="A6288" s="393"/>
      <c r="B6288" s="271"/>
      <c r="C6288" s="271"/>
      <c r="D6288" s="271"/>
      <c r="E6288" s="271"/>
      <c r="F6288" s="271"/>
      <c r="G6288" s="273"/>
      <c r="H6288" s="29" t="str">
        <f>IF(A6288="","",VLOOKUP(A6288,AA_Cuadrillas,4,FALSE))</f>
        <v/>
      </c>
      <c r="I6288" s="394" t="str">
        <f>IF(A6288="","",VLOOKUP(A6288,AA_Cuadrillas,5,FALSE))</f>
        <v/>
      </c>
      <c r="J6288" s="273"/>
      <c r="K6288" s="9" t="str">
        <f>IF(A6288="","",F.P!$I$2)</f>
        <v/>
      </c>
      <c r="L6288" s="37"/>
      <c r="M6288" s="394" t="str">
        <f t="shared" si="858"/>
        <v/>
      </c>
      <c r="N6288" s="273"/>
    </row>
    <row r="6289" spans="1:14" ht="12.75" customHeight="1" x14ac:dyDescent="0.25">
      <c r="A6289" s="393"/>
      <c r="B6289" s="271"/>
      <c r="C6289" s="271"/>
      <c r="D6289" s="271"/>
      <c r="E6289" s="271"/>
      <c r="F6289" s="271"/>
      <c r="G6289" s="273"/>
      <c r="H6289" s="29" t="str">
        <f>IF(A6289="","",VLOOKUP(A6289,AA_Cuadrillas,4,FALSE))</f>
        <v/>
      </c>
      <c r="I6289" s="394" t="str">
        <f>IF(A6289="","",VLOOKUP(A6289,AA_Cuadrillas,5,FALSE))</f>
        <v/>
      </c>
      <c r="J6289" s="273"/>
      <c r="K6289" s="9" t="str">
        <f>IF(A6289="","",F.P!$I$2)</f>
        <v/>
      </c>
      <c r="L6289" s="37"/>
      <c r="M6289" s="394" t="str">
        <f t="shared" si="858"/>
        <v/>
      </c>
      <c r="N6289" s="273"/>
    </row>
    <row r="6290" spans="1:14" ht="12.75" customHeight="1" x14ac:dyDescent="0.25">
      <c r="A6290" s="4"/>
      <c r="B6290" s="4"/>
      <c r="C6290" s="4"/>
      <c r="D6290" s="4"/>
      <c r="E6290" s="4"/>
      <c r="F6290" s="4"/>
      <c r="G6290" s="4"/>
      <c r="H6290" s="4"/>
      <c r="I6290" s="4"/>
      <c r="J6290" s="4"/>
      <c r="K6290" s="396" t="s">
        <v>444</v>
      </c>
      <c r="L6290" s="273"/>
      <c r="M6290" s="394">
        <f>SUM(M6285:N6289)</f>
        <v>87778.61</v>
      </c>
      <c r="N6290" s="273"/>
    </row>
    <row r="6291" spans="1:14" ht="12.75" customHeight="1" x14ac:dyDescent="0.2"/>
    <row r="6292" spans="1:14" ht="12.75" customHeight="1" x14ac:dyDescent="0.2">
      <c r="A6292" s="407" t="s">
        <v>1264</v>
      </c>
      <c r="B6292" s="275"/>
      <c r="C6292" s="275"/>
      <c r="D6292" s="275"/>
      <c r="E6292" s="275"/>
      <c r="F6292" s="275"/>
      <c r="G6292" s="275"/>
      <c r="H6292" s="275"/>
      <c r="I6292" s="275"/>
      <c r="J6292" s="275"/>
      <c r="K6292" s="275"/>
      <c r="L6292" s="275"/>
      <c r="M6292" s="275"/>
      <c r="N6292" s="276"/>
    </row>
    <row r="6293" spans="1:14" ht="12.75" customHeight="1" x14ac:dyDescent="0.2">
      <c r="A6293" s="277"/>
      <c r="B6293" s="278"/>
      <c r="C6293" s="278"/>
      <c r="D6293" s="278"/>
      <c r="E6293" s="278"/>
      <c r="F6293" s="278"/>
      <c r="G6293" s="278"/>
      <c r="H6293" s="278"/>
      <c r="I6293" s="278"/>
      <c r="J6293" s="278"/>
      <c r="K6293" s="278"/>
      <c r="L6293" s="278"/>
      <c r="M6293" s="278"/>
      <c r="N6293" s="279"/>
    </row>
    <row r="6294" spans="1:14" ht="12.75" customHeight="1" x14ac:dyDescent="0.2">
      <c r="A6294" s="75"/>
      <c r="B6294" s="75"/>
      <c r="C6294" s="75"/>
      <c r="D6294" s="75"/>
      <c r="E6294" s="75"/>
      <c r="F6294" s="75"/>
      <c r="G6294" s="75"/>
      <c r="H6294" s="75"/>
      <c r="I6294" s="75"/>
      <c r="J6294" s="75"/>
      <c r="K6294" s="75"/>
      <c r="L6294" s="75"/>
      <c r="M6294" s="75"/>
      <c r="N6294" s="75"/>
    </row>
    <row r="6295" spans="1:14" ht="12.75" customHeight="1" x14ac:dyDescent="0.3">
      <c r="A6295" s="79" t="s">
        <v>759</v>
      </c>
      <c r="B6295" s="80" t="str">
        <f>A6292</f>
        <v>SUMINISTRO E INSTALACIÓN PASAMURO DE Ø6" L=0,50M EN HIERRO DUCTIL</v>
      </c>
      <c r="C6295" s="81" t="s">
        <v>916</v>
      </c>
      <c r="D6295" s="82" t="s">
        <v>999</v>
      </c>
      <c r="E6295" s="83" t="s">
        <v>445</v>
      </c>
      <c r="F6295" s="86">
        <f>H6295+J6295+L6295+N6295</f>
        <v>641709.40049999999</v>
      </c>
      <c r="G6295" s="83" t="s">
        <v>607</v>
      </c>
      <c r="H6295" s="86">
        <f>M6307</f>
        <v>549541.86</v>
      </c>
      <c r="I6295" s="83" t="s">
        <v>918</v>
      </c>
      <c r="J6295" s="86">
        <f>M6316</f>
        <v>4388.9305000000004</v>
      </c>
      <c r="K6295" s="83" t="s">
        <v>609</v>
      </c>
      <c r="L6295" s="86">
        <f>M6325</f>
        <v>0</v>
      </c>
      <c r="M6295" s="83" t="s">
        <v>610</v>
      </c>
      <c r="N6295" s="86">
        <f>M6334</f>
        <v>87778.61</v>
      </c>
    </row>
    <row r="6296" spans="1:14" ht="12.75" customHeight="1" x14ac:dyDescent="0.25">
      <c r="A6296" s="87"/>
      <c r="B6296" s="87"/>
      <c r="C6296" s="87"/>
      <c r="D6296" s="87"/>
      <c r="E6296" s="87"/>
      <c r="F6296" s="87"/>
      <c r="G6296" s="87"/>
      <c r="J6296" s="87"/>
      <c r="K6296" s="215" t="s">
        <v>3217</v>
      </c>
      <c r="L6296" s="215">
        <f>+F6295*presup!$O$5</f>
        <v>834222.22065000003</v>
      </c>
      <c r="M6296" s="87"/>
      <c r="N6296" s="87"/>
    </row>
    <row r="6297" spans="1:14" ht="12.75" customHeight="1" x14ac:dyDescent="0.2">
      <c r="A6297" s="398" t="s">
        <v>919</v>
      </c>
      <c r="B6297" s="271"/>
      <c r="C6297" s="271"/>
      <c r="D6297" s="271"/>
      <c r="E6297" s="271"/>
      <c r="F6297" s="271"/>
      <c r="G6297" s="271"/>
      <c r="H6297" s="271"/>
      <c r="I6297" s="271"/>
      <c r="J6297" s="271"/>
      <c r="K6297" s="271"/>
      <c r="L6297" s="271"/>
      <c r="M6297" s="271"/>
      <c r="N6297" s="273"/>
    </row>
    <row r="6298" spans="1:14" ht="12.75" customHeight="1" x14ac:dyDescent="0.2">
      <c r="A6298" s="396" t="s">
        <v>76</v>
      </c>
      <c r="B6298" s="271"/>
      <c r="C6298" s="271"/>
      <c r="D6298" s="271"/>
      <c r="E6298" s="271"/>
      <c r="F6298" s="271"/>
      <c r="G6298" s="273"/>
      <c r="H6298" s="88" t="s">
        <v>77</v>
      </c>
      <c r="I6298" s="399" t="s">
        <v>920</v>
      </c>
      <c r="J6298" s="273"/>
      <c r="K6298" s="399" t="s">
        <v>453</v>
      </c>
      <c r="L6298" s="273"/>
      <c r="M6298" s="399" t="s">
        <v>921</v>
      </c>
      <c r="N6298" s="273"/>
    </row>
    <row r="6299" spans="1:14" ht="12.75" customHeight="1" x14ac:dyDescent="0.2">
      <c r="A6299" s="400" t="s">
        <v>1265</v>
      </c>
      <c r="B6299" s="271"/>
      <c r="C6299" s="271"/>
      <c r="D6299" s="271"/>
      <c r="E6299" s="271"/>
      <c r="F6299" s="271"/>
      <c r="G6299" s="273"/>
      <c r="H6299" s="29" t="str">
        <f t="shared" ref="H6299:H6304" si="859">IF(A6299="","",VLOOKUP(A6299,AA_Materiales,7,FALSE))</f>
        <v>Unidad</v>
      </c>
      <c r="I6299" s="394">
        <f t="shared" ref="I6299:I6306" si="860">IF(A6299="","",VLOOKUP(A6299,AA_Materiales,8,FALSE))</f>
        <v>549541.86</v>
      </c>
      <c r="J6299" s="273"/>
      <c r="K6299" s="395">
        <v>1</v>
      </c>
      <c r="L6299" s="273"/>
      <c r="M6299" s="394">
        <f t="shared" ref="M6299:M6306" si="861">IF(A6299="","",I6299*K6299)</f>
        <v>549541.86</v>
      </c>
      <c r="N6299" s="273"/>
    </row>
    <row r="6300" spans="1:14" ht="12.75" customHeight="1" x14ac:dyDescent="0.2">
      <c r="A6300" s="400"/>
      <c r="B6300" s="271"/>
      <c r="C6300" s="271"/>
      <c r="D6300" s="271"/>
      <c r="E6300" s="271"/>
      <c r="F6300" s="271"/>
      <c r="G6300" s="273"/>
      <c r="H6300" s="29" t="str">
        <f t="shared" si="859"/>
        <v/>
      </c>
      <c r="I6300" s="394" t="str">
        <f t="shared" si="860"/>
        <v/>
      </c>
      <c r="J6300" s="273"/>
      <c r="K6300" s="395"/>
      <c r="L6300" s="273"/>
      <c r="M6300" s="394" t="str">
        <f t="shared" si="861"/>
        <v/>
      </c>
      <c r="N6300" s="273"/>
    </row>
    <row r="6301" spans="1:14" ht="12.75" customHeight="1" x14ac:dyDescent="0.2">
      <c r="A6301" s="400"/>
      <c r="B6301" s="271"/>
      <c r="C6301" s="271"/>
      <c r="D6301" s="271"/>
      <c r="E6301" s="271"/>
      <c r="F6301" s="271"/>
      <c r="G6301" s="273"/>
      <c r="H6301" s="29" t="str">
        <f t="shared" si="859"/>
        <v/>
      </c>
      <c r="I6301" s="394" t="str">
        <f t="shared" si="860"/>
        <v/>
      </c>
      <c r="J6301" s="273"/>
      <c r="K6301" s="395"/>
      <c r="L6301" s="273"/>
      <c r="M6301" s="394" t="str">
        <f t="shared" si="861"/>
        <v/>
      </c>
      <c r="N6301" s="273"/>
    </row>
    <row r="6302" spans="1:14" ht="12.75" customHeight="1" x14ac:dyDescent="0.2">
      <c r="A6302" s="400"/>
      <c r="B6302" s="271"/>
      <c r="C6302" s="271"/>
      <c r="D6302" s="271"/>
      <c r="E6302" s="271"/>
      <c r="F6302" s="271"/>
      <c r="G6302" s="273"/>
      <c r="H6302" s="29" t="str">
        <f t="shared" si="859"/>
        <v/>
      </c>
      <c r="I6302" s="394" t="str">
        <f t="shared" si="860"/>
        <v/>
      </c>
      <c r="J6302" s="273"/>
      <c r="K6302" s="395"/>
      <c r="L6302" s="273"/>
      <c r="M6302" s="394" t="str">
        <f t="shared" si="861"/>
        <v/>
      </c>
      <c r="N6302" s="273"/>
    </row>
    <row r="6303" spans="1:14" ht="12.75" customHeight="1" x14ac:dyDescent="0.2">
      <c r="A6303" s="400"/>
      <c r="B6303" s="271"/>
      <c r="C6303" s="271"/>
      <c r="D6303" s="271"/>
      <c r="E6303" s="271"/>
      <c r="F6303" s="271"/>
      <c r="G6303" s="273"/>
      <c r="H6303" s="29" t="str">
        <f t="shared" si="859"/>
        <v/>
      </c>
      <c r="I6303" s="394" t="str">
        <f t="shared" si="860"/>
        <v/>
      </c>
      <c r="J6303" s="273"/>
      <c r="K6303" s="395"/>
      <c r="L6303" s="273"/>
      <c r="M6303" s="394" t="str">
        <f t="shared" si="861"/>
        <v/>
      </c>
      <c r="N6303" s="273"/>
    </row>
    <row r="6304" spans="1:14" ht="12.75" customHeight="1" x14ac:dyDescent="0.2">
      <c r="A6304" s="400"/>
      <c r="B6304" s="271"/>
      <c r="C6304" s="271"/>
      <c r="D6304" s="271"/>
      <c r="E6304" s="271"/>
      <c r="F6304" s="271"/>
      <c r="G6304" s="273"/>
      <c r="H6304" s="29" t="str">
        <f t="shared" si="859"/>
        <v/>
      </c>
      <c r="I6304" s="394" t="str">
        <f t="shared" si="860"/>
        <v/>
      </c>
      <c r="J6304" s="273"/>
      <c r="K6304" s="395"/>
      <c r="L6304" s="273"/>
      <c r="M6304" s="394" t="str">
        <f t="shared" si="861"/>
        <v/>
      </c>
      <c r="N6304" s="273"/>
    </row>
    <row r="6305" spans="1:14" ht="12.75" customHeight="1" x14ac:dyDescent="0.2">
      <c r="A6305" s="400"/>
      <c r="B6305" s="271"/>
      <c r="C6305" s="271"/>
      <c r="D6305" s="271"/>
      <c r="E6305" s="271"/>
      <c r="F6305" s="271"/>
      <c r="G6305" s="273"/>
      <c r="H6305" s="29"/>
      <c r="I6305" s="394" t="str">
        <f t="shared" si="860"/>
        <v/>
      </c>
      <c r="J6305" s="273"/>
      <c r="K6305" s="395"/>
      <c r="L6305" s="273"/>
      <c r="M6305" s="394" t="str">
        <f t="shared" si="861"/>
        <v/>
      </c>
      <c r="N6305" s="273"/>
    </row>
    <row r="6306" spans="1:14" ht="12.75" customHeight="1" x14ac:dyDescent="0.2">
      <c r="A6306" s="400"/>
      <c r="B6306" s="271"/>
      <c r="C6306" s="271"/>
      <c r="D6306" s="271"/>
      <c r="E6306" s="271"/>
      <c r="F6306" s="271"/>
      <c r="G6306" s="273"/>
      <c r="H6306" s="29" t="str">
        <f>IF(A6306="","",VLOOKUP(A6306,AA_Materiales,7,FALSE))</f>
        <v/>
      </c>
      <c r="I6306" s="394" t="str">
        <f t="shared" si="860"/>
        <v/>
      </c>
      <c r="J6306" s="273"/>
      <c r="K6306" s="395"/>
      <c r="L6306" s="273"/>
      <c r="M6306" s="394" t="str">
        <f t="shared" si="861"/>
        <v/>
      </c>
      <c r="N6306" s="273"/>
    </row>
    <row r="6307" spans="1:14" ht="12.75" customHeight="1" x14ac:dyDescent="0.25">
      <c r="A6307" s="4"/>
      <c r="B6307" s="4"/>
      <c r="C6307" s="4"/>
      <c r="D6307" s="4"/>
      <c r="E6307" s="4"/>
      <c r="F6307" s="4"/>
      <c r="G6307" s="4"/>
      <c r="H6307" s="4"/>
      <c r="I6307" s="4"/>
      <c r="J6307" s="4"/>
      <c r="K6307" s="396" t="s">
        <v>444</v>
      </c>
      <c r="L6307" s="273"/>
      <c r="M6307" s="394">
        <f>SUM(M6299:N6306)</f>
        <v>549541.86</v>
      </c>
      <c r="N6307" s="273"/>
    </row>
    <row r="6308" spans="1:14" ht="12.75" customHeight="1" x14ac:dyDescent="0.25">
      <c r="A6308" s="4"/>
      <c r="B6308" s="4"/>
      <c r="C6308" s="4"/>
      <c r="D6308" s="4"/>
      <c r="E6308" s="4"/>
      <c r="F6308" s="4"/>
      <c r="G6308" s="4"/>
      <c r="H6308" s="4"/>
      <c r="I6308" s="4"/>
      <c r="J6308" s="4"/>
      <c r="K6308" s="4"/>
      <c r="L6308" s="4"/>
      <c r="M6308" s="4"/>
      <c r="N6308" s="4"/>
    </row>
    <row r="6309" spans="1:14" ht="12.75" customHeight="1" x14ac:dyDescent="0.2">
      <c r="A6309" s="398" t="s">
        <v>926</v>
      </c>
      <c r="B6309" s="271"/>
      <c r="C6309" s="271"/>
      <c r="D6309" s="271"/>
      <c r="E6309" s="271"/>
      <c r="F6309" s="271"/>
      <c r="G6309" s="271"/>
      <c r="H6309" s="271"/>
      <c r="I6309" s="271"/>
      <c r="J6309" s="271"/>
      <c r="K6309" s="271"/>
      <c r="L6309" s="271"/>
      <c r="M6309" s="271"/>
      <c r="N6309" s="273"/>
    </row>
    <row r="6310" spans="1:14" ht="12.75" customHeight="1" x14ac:dyDescent="0.2">
      <c r="A6310" s="396" t="s">
        <v>76</v>
      </c>
      <c r="B6310" s="271"/>
      <c r="C6310" s="271"/>
      <c r="D6310" s="271"/>
      <c r="E6310" s="271"/>
      <c r="F6310" s="271"/>
      <c r="G6310" s="273"/>
      <c r="H6310" s="88" t="s">
        <v>77</v>
      </c>
      <c r="I6310" s="399" t="s">
        <v>920</v>
      </c>
      <c r="J6310" s="273"/>
      <c r="K6310" s="399" t="s">
        <v>453</v>
      </c>
      <c r="L6310" s="273"/>
      <c r="M6310" s="399" t="s">
        <v>921</v>
      </c>
      <c r="N6310" s="273"/>
    </row>
    <row r="6311" spans="1:14" ht="12.75" customHeight="1" x14ac:dyDescent="0.2">
      <c r="A6311" s="400" t="s">
        <v>927</v>
      </c>
      <c r="B6311" s="271"/>
      <c r="C6311" s="271"/>
      <c r="D6311" s="271"/>
      <c r="E6311" s="271"/>
      <c r="F6311" s="271"/>
      <c r="G6311" s="273"/>
      <c r="H6311" s="29" t="str">
        <f>IF(A6311="","",VLOOKUP(A6311,AA_Equipos,7,FALSE))</f>
        <v>% M.O.</v>
      </c>
      <c r="I6311" s="394">
        <f>+M6334</f>
        <v>87778.61</v>
      </c>
      <c r="J6311" s="273"/>
      <c r="K6311" s="404">
        <v>0.05</v>
      </c>
      <c r="L6311" s="273"/>
      <c r="M6311" s="394">
        <f t="shared" ref="M6311:M6315" si="862">IF(A6311="","",I6311*K6311)</f>
        <v>4388.9305000000004</v>
      </c>
      <c r="N6311" s="273"/>
    </row>
    <row r="6312" spans="1:14" ht="12.75" customHeight="1" x14ac:dyDescent="0.2">
      <c r="A6312" s="403"/>
      <c r="B6312" s="271"/>
      <c r="C6312" s="271"/>
      <c r="D6312" s="271"/>
      <c r="E6312" s="271"/>
      <c r="F6312" s="271"/>
      <c r="G6312" s="273"/>
      <c r="H6312" s="29" t="str">
        <f>IF(A6312="","",VLOOKUP(A6312,AA_Equipos,7,FALSE))</f>
        <v/>
      </c>
      <c r="I6312" s="394" t="str">
        <f>IF(A6312="","",VLOOKUP(A6312,AA_Equipos,8,FALSE))</f>
        <v/>
      </c>
      <c r="J6312" s="273"/>
      <c r="K6312" s="402"/>
      <c r="L6312" s="273"/>
      <c r="M6312" s="394" t="str">
        <f t="shared" si="862"/>
        <v/>
      </c>
      <c r="N6312" s="273"/>
    </row>
    <row r="6313" spans="1:14" ht="12.75" customHeight="1" x14ac:dyDescent="0.2">
      <c r="A6313" s="400"/>
      <c r="B6313" s="271"/>
      <c r="C6313" s="271"/>
      <c r="D6313" s="271"/>
      <c r="E6313" s="271"/>
      <c r="F6313" s="271"/>
      <c r="G6313" s="273"/>
      <c r="H6313" s="29" t="str">
        <f>IF(A6313="","",VLOOKUP(A6313,AA_Equipos,7,FALSE))</f>
        <v/>
      </c>
      <c r="I6313" s="394" t="str">
        <f>IF(A6313="","",VLOOKUP(A6313,AA_Equipos,8,FALSE))</f>
        <v/>
      </c>
      <c r="J6313" s="273"/>
      <c r="K6313" s="402"/>
      <c r="L6313" s="273"/>
      <c r="M6313" s="394" t="str">
        <f t="shared" si="862"/>
        <v/>
      </c>
      <c r="N6313" s="273"/>
    </row>
    <row r="6314" spans="1:14" ht="12.75" customHeight="1" x14ac:dyDescent="0.2">
      <c r="A6314" s="400"/>
      <c r="B6314" s="271"/>
      <c r="C6314" s="271"/>
      <c r="D6314" s="271"/>
      <c r="E6314" s="271"/>
      <c r="F6314" s="271"/>
      <c r="G6314" s="273"/>
      <c r="H6314" s="29" t="str">
        <f>IF(A6314="","",VLOOKUP(A6314,AA_Equipos,7,FALSE))</f>
        <v/>
      </c>
      <c r="I6314" s="394" t="str">
        <f>IF(A6314="","",VLOOKUP(A6314,AA_Equipos,8,FALSE))</f>
        <v/>
      </c>
      <c r="J6314" s="273"/>
      <c r="K6314" s="402"/>
      <c r="L6314" s="273"/>
      <c r="M6314" s="394" t="str">
        <f t="shared" si="862"/>
        <v/>
      </c>
      <c r="N6314" s="273"/>
    </row>
    <row r="6315" spans="1:14" ht="12.75" customHeight="1" x14ac:dyDescent="0.2">
      <c r="A6315" s="400"/>
      <c r="B6315" s="271"/>
      <c r="C6315" s="271"/>
      <c r="D6315" s="271"/>
      <c r="E6315" s="271"/>
      <c r="F6315" s="271"/>
      <c r="G6315" s="273"/>
      <c r="H6315" s="29" t="str">
        <f>IF(A6315="","",VLOOKUP(A6315,AA_Equipos,7,FALSE))</f>
        <v/>
      </c>
      <c r="I6315" s="394" t="str">
        <f>IF(A6315="","",VLOOKUP(A6315,AA_Equipos,8,FALSE))</f>
        <v/>
      </c>
      <c r="J6315" s="273"/>
      <c r="K6315" s="395"/>
      <c r="L6315" s="273"/>
      <c r="M6315" s="394" t="str">
        <f t="shared" si="862"/>
        <v/>
      </c>
      <c r="N6315" s="273"/>
    </row>
    <row r="6316" spans="1:14" ht="12.75" customHeight="1" x14ac:dyDescent="0.25">
      <c r="A6316" s="4"/>
      <c r="B6316" s="4"/>
      <c r="C6316" s="4"/>
      <c r="D6316" s="4"/>
      <c r="E6316" s="4"/>
      <c r="F6316" s="4"/>
      <c r="G6316" s="4"/>
      <c r="H6316" s="4"/>
      <c r="I6316" s="4"/>
      <c r="J6316" s="4"/>
      <c r="K6316" s="396" t="s">
        <v>444</v>
      </c>
      <c r="L6316" s="273"/>
      <c r="M6316" s="394">
        <f>SUM(M6311:N6315)</f>
        <v>4388.9305000000004</v>
      </c>
      <c r="N6316" s="273"/>
    </row>
    <row r="6317" spans="1:14" ht="12.75" customHeight="1" x14ac:dyDescent="0.25">
      <c r="A6317" s="4"/>
      <c r="B6317" s="4"/>
      <c r="C6317" s="4"/>
      <c r="D6317" s="4"/>
      <c r="E6317" s="4"/>
      <c r="F6317" s="4"/>
      <c r="G6317" s="4"/>
      <c r="H6317" s="4"/>
      <c r="I6317" s="4"/>
      <c r="J6317" s="4"/>
      <c r="K6317" s="4"/>
      <c r="L6317" s="4"/>
      <c r="M6317" s="4"/>
      <c r="N6317" s="4"/>
    </row>
    <row r="6318" spans="1:14" ht="12.75" customHeight="1" x14ac:dyDescent="0.2">
      <c r="A6318" s="398" t="s">
        <v>929</v>
      </c>
      <c r="B6318" s="271"/>
      <c r="C6318" s="271"/>
      <c r="D6318" s="271"/>
      <c r="E6318" s="271"/>
      <c r="F6318" s="271"/>
      <c r="G6318" s="271"/>
      <c r="H6318" s="271"/>
      <c r="I6318" s="271"/>
      <c r="J6318" s="271"/>
      <c r="K6318" s="271"/>
      <c r="L6318" s="271"/>
      <c r="M6318" s="271"/>
      <c r="N6318" s="273"/>
    </row>
    <row r="6319" spans="1:14" ht="12.75" customHeight="1" x14ac:dyDescent="0.2">
      <c r="A6319" s="396" t="s">
        <v>76</v>
      </c>
      <c r="B6319" s="271"/>
      <c r="C6319" s="271"/>
      <c r="D6319" s="271"/>
      <c r="E6319" s="271"/>
      <c r="F6319" s="271"/>
      <c r="G6319" s="273"/>
      <c r="H6319" s="88" t="s">
        <v>77</v>
      </c>
      <c r="I6319" s="399" t="s">
        <v>920</v>
      </c>
      <c r="J6319" s="273"/>
      <c r="K6319" s="399" t="s">
        <v>453</v>
      </c>
      <c r="L6319" s="273"/>
      <c r="M6319" s="399" t="s">
        <v>921</v>
      </c>
      <c r="N6319" s="273"/>
    </row>
    <row r="6320" spans="1:14" ht="12.75" customHeight="1" x14ac:dyDescent="0.2">
      <c r="A6320" s="400"/>
      <c r="B6320" s="271"/>
      <c r="C6320" s="271"/>
      <c r="D6320" s="271"/>
      <c r="E6320" s="271"/>
      <c r="F6320" s="271"/>
      <c r="G6320" s="273"/>
      <c r="H6320" s="29"/>
      <c r="I6320" s="394"/>
      <c r="J6320" s="273"/>
      <c r="K6320" s="404"/>
      <c r="L6320" s="273"/>
      <c r="M6320" s="394" t="str">
        <f t="shared" ref="M6320:M6324" si="863">IF(A6320="","",I6320*K6320)</f>
        <v/>
      </c>
      <c r="N6320" s="273"/>
    </row>
    <row r="6321" spans="1:14" ht="12.75" customHeight="1" x14ac:dyDescent="0.2">
      <c r="A6321" s="403"/>
      <c r="B6321" s="271"/>
      <c r="C6321" s="271"/>
      <c r="D6321" s="271"/>
      <c r="E6321" s="271"/>
      <c r="F6321" s="271"/>
      <c r="G6321" s="273"/>
      <c r="H6321" s="29"/>
      <c r="I6321" s="394"/>
      <c r="J6321" s="273"/>
      <c r="K6321" s="404"/>
      <c r="L6321" s="273"/>
      <c r="M6321" s="394" t="str">
        <f t="shared" si="863"/>
        <v/>
      </c>
      <c r="N6321" s="273"/>
    </row>
    <row r="6322" spans="1:14" ht="12.75" customHeight="1" x14ac:dyDescent="0.2">
      <c r="A6322" s="400"/>
      <c r="B6322" s="271"/>
      <c r="C6322" s="271"/>
      <c r="D6322" s="271"/>
      <c r="E6322" s="271"/>
      <c r="F6322" s="271"/>
      <c r="G6322" s="273"/>
      <c r="H6322" s="29"/>
      <c r="I6322" s="394"/>
      <c r="J6322" s="273"/>
      <c r="K6322" s="395"/>
      <c r="L6322" s="273"/>
      <c r="M6322" s="394" t="str">
        <f t="shared" si="863"/>
        <v/>
      </c>
      <c r="N6322" s="273"/>
    </row>
    <row r="6323" spans="1:14" ht="12.75" customHeight="1" x14ac:dyDescent="0.2">
      <c r="A6323" s="400"/>
      <c r="B6323" s="271"/>
      <c r="C6323" s="271"/>
      <c r="D6323" s="271"/>
      <c r="E6323" s="271"/>
      <c r="F6323" s="271"/>
      <c r="G6323" s="273"/>
      <c r="H6323" s="29"/>
      <c r="I6323" s="394"/>
      <c r="J6323" s="273"/>
      <c r="K6323" s="395"/>
      <c r="L6323" s="273"/>
      <c r="M6323" s="394" t="str">
        <f t="shared" si="863"/>
        <v/>
      </c>
      <c r="N6323" s="273"/>
    </row>
    <row r="6324" spans="1:14" ht="12.75" customHeight="1" x14ac:dyDescent="0.2">
      <c r="A6324" s="400"/>
      <c r="B6324" s="271"/>
      <c r="C6324" s="271"/>
      <c r="D6324" s="271"/>
      <c r="E6324" s="271"/>
      <c r="F6324" s="271"/>
      <c r="G6324" s="273"/>
      <c r="H6324" s="29"/>
      <c r="I6324" s="394"/>
      <c r="J6324" s="273"/>
      <c r="K6324" s="395"/>
      <c r="L6324" s="273"/>
      <c r="M6324" s="394" t="str">
        <f t="shared" si="863"/>
        <v/>
      </c>
      <c r="N6324" s="273"/>
    </row>
    <row r="6325" spans="1:14" ht="12.75" customHeight="1" x14ac:dyDescent="0.25">
      <c r="A6325" s="4"/>
      <c r="B6325" s="4"/>
      <c r="C6325" s="4"/>
      <c r="D6325" s="4"/>
      <c r="E6325" s="4"/>
      <c r="F6325" s="4"/>
      <c r="G6325" s="4"/>
      <c r="H6325" s="4"/>
      <c r="I6325" s="4"/>
      <c r="J6325" s="4"/>
      <c r="K6325" s="396" t="s">
        <v>444</v>
      </c>
      <c r="L6325" s="273"/>
      <c r="M6325" s="394">
        <f>SUM(M6320:N6324)</f>
        <v>0</v>
      </c>
      <c r="N6325" s="273"/>
    </row>
    <row r="6326" spans="1:14" ht="12.75" customHeight="1" x14ac:dyDescent="0.25">
      <c r="A6326" s="4"/>
      <c r="B6326" s="4"/>
      <c r="C6326" s="4"/>
      <c r="D6326" s="4"/>
      <c r="E6326" s="4"/>
      <c r="F6326" s="4"/>
      <c r="G6326" s="4"/>
      <c r="H6326" s="4"/>
      <c r="I6326" s="4"/>
      <c r="J6326" s="4"/>
      <c r="K6326" s="4"/>
      <c r="L6326" s="4"/>
      <c r="M6326" s="4"/>
      <c r="N6326" s="4"/>
    </row>
    <row r="6327" spans="1:14" ht="12.75" customHeight="1" x14ac:dyDescent="0.2">
      <c r="A6327" s="398" t="s">
        <v>931</v>
      </c>
      <c r="B6327" s="271"/>
      <c r="C6327" s="271"/>
      <c r="D6327" s="271"/>
      <c r="E6327" s="271"/>
      <c r="F6327" s="271"/>
      <c r="G6327" s="271"/>
      <c r="H6327" s="271"/>
      <c r="I6327" s="271"/>
      <c r="J6327" s="271"/>
      <c r="K6327" s="271"/>
      <c r="L6327" s="271"/>
      <c r="M6327" s="271"/>
      <c r="N6327" s="273"/>
    </row>
    <row r="6328" spans="1:14" ht="12.75" customHeight="1" x14ac:dyDescent="0.2">
      <c r="A6328" s="396" t="s">
        <v>76</v>
      </c>
      <c r="B6328" s="271"/>
      <c r="C6328" s="271"/>
      <c r="D6328" s="271"/>
      <c r="E6328" s="271"/>
      <c r="F6328" s="271"/>
      <c r="G6328" s="273"/>
      <c r="H6328" s="88" t="s">
        <v>77</v>
      </c>
      <c r="I6328" s="399" t="s">
        <v>920</v>
      </c>
      <c r="J6328" s="273"/>
      <c r="K6328" s="90" t="s">
        <v>514</v>
      </c>
      <c r="L6328" s="91" t="s">
        <v>932</v>
      </c>
      <c r="M6328" s="399" t="s">
        <v>921</v>
      </c>
      <c r="N6328" s="273"/>
    </row>
    <row r="6329" spans="1:14" ht="12.75" customHeight="1" x14ac:dyDescent="0.25">
      <c r="A6329" s="393" t="s">
        <v>986</v>
      </c>
      <c r="B6329" s="271"/>
      <c r="C6329" s="271"/>
      <c r="D6329" s="271"/>
      <c r="E6329" s="271"/>
      <c r="F6329" s="271"/>
      <c r="G6329" s="273"/>
      <c r="H6329" s="29" t="str">
        <f>IF(A6329="","",VLOOKUP(A6329,AA_Cuadrillas,4,FALSE))</f>
        <v>Cuadrilla</v>
      </c>
      <c r="I6329" s="394">
        <f>IF(A6329="","",VLOOKUP(A6329,AA_Cuadrillas,5,FALSE))</f>
        <v>186763</v>
      </c>
      <c r="J6329" s="273"/>
      <c r="K6329" s="9">
        <f>IF(A6329="","",F.P!$I$2)</f>
        <v>1.88</v>
      </c>
      <c r="L6329" s="93">
        <v>0.25</v>
      </c>
      <c r="M6329" s="394">
        <f t="shared" ref="M6329:M6333" si="864">IF(A6329="","",I6329*K6329*L6329)</f>
        <v>87778.61</v>
      </c>
      <c r="N6329" s="273"/>
    </row>
    <row r="6330" spans="1:14" ht="12.75" customHeight="1" x14ac:dyDescent="0.25">
      <c r="A6330" s="393"/>
      <c r="B6330" s="271"/>
      <c r="C6330" s="271"/>
      <c r="D6330" s="271"/>
      <c r="E6330" s="271"/>
      <c r="F6330" s="271"/>
      <c r="G6330" s="273"/>
      <c r="H6330" s="29" t="str">
        <f>IF(A6330="","",VLOOKUP(A6330,AA_Cuadrillas,4,FALSE))</f>
        <v/>
      </c>
      <c r="I6330" s="394" t="str">
        <f>IF(A6330="","",VLOOKUP(A6330,AA_Cuadrillas,5,FALSE))</f>
        <v/>
      </c>
      <c r="J6330" s="273"/>
      <c r="K6330" s="9" t="str">
        <f>IF(A6330="","",F.P!$I$2)</f>
        <v/>
      </c>
      <c r="L6330" s="9"/>
      <c r="M6330" s="394" t="str">
        <f t="shared" si="864"/>
        <v/>
      </c>
      <c r="N6330" s="273"/>
    </row>
    <row r="6331" spans="1:14" ht="12.75" customHeight="1" x14ac:dyDescent="0.25">
      <c r="A6331" s="393"/>
      <c r="B6331" s="271"/>
      <c r="C6331" s="271"/>
      <c r="D6331" s="271"/>
      <c r="E6331" s="271"/>
      <c r="F6331" s="271"/>
      <c r="G6331" s="273"/>
      <c r="H6331" s="29" t="str">
        <f>IF(A6331="","",VLOOKUP(A6331,AA_Cuadrillas,4,FALSE))</f>
        <v/>
      </c>
      <c r="I6331" s="394" t="str">
        <f>IF(A6331="","",VLOOKUP(A6331,AA_Cuadrillas,5,FALSE))</f>
        <v/>
      </c>
      <c r="J6331" s="273"/>
      <c r="K6331" s="9" t="str">
        <f>IF(A6331="","",F.P!$I$2)</f>
        <v/>
      </c>
      <c r="L6331" s="37"/>
      <c r="M6331" s="394" t="str">
        <f t="shared" si="864"/>
        <v/>
      </c>
      <c r="N6331" s="273"/>
    </row>
    <row r="6332" spans="1:14" ht="12.75" customHeight="1" x14ac:dyDescent="0.25">
      <c r="A6332" s="393"/>
      <c r="B6332" s="271"/>
      <c r="C6332" s="271"/>
      <c r="D6332" s="271"/>
      <c r="E6332" s="271"/>
      <c r="F6332" s="271"/>
      <c r="G6332" s="273"/>
      <c r="H6332" s="29" t="str">
        <f>IF(A6332="","",VLOOKUP(A6332,AA_Cuadrillas,4,FALSE))</f>
        <v/>
      </c>
      <c r="I6332" s="394" t="str">
        <f>IF(A6332="","",VLOOKUP(A6332,AA_Cuadrillas,5,FALSE))</f>
        <v/>
      </c>
      <c r="J6332" s="273"/>
      <c r="K6332" s="9" t="str">
        <f>IF(A6332="","",F.P!$I$2)</f>
        <v/>
      </c>
      <c r="L6332" s="37"/>
      <c r="M6332" s="394" t="str">
        <f t="shared" si="864"/>
        <v/>
      </c>
      <c r="N6332" s="273"/>
    </row>
    <row r="6333" spans="1:14" ht="12.75" customHeight="1" x14ac:dyDescent="0.25">
      <c r="A6333" s="393"/>
      <c r="B6333" s="271"/>
      <c r="C6333" s="271"/>
      <c r="D6333" s="271"/>
      <c r="E6333" s="271"/>
      <c r="F6333" s="271"/>
      <c r="G6333" s="273"/>
      <c r="H6333" s="29" t="str">
        <f>IF(A6333="","",VLOOKUP(A6333,AA_Cuadrillas,4,FALSE))</f>
        <v/>
      </c>
      <c r="I6333" s="394" t="str">
        <f>IF(A6333="","",VLOOKUP(A6333,AA_Cuadrillas,5,FALSE))</f>
        <v/>
      </c>
      <c r="J6333" s="273"/>
      <c r="K6333" s="9" t="str">
        <f>IF(A6333="","",F.P!$I$2)</f>
        <v/>
      </c>
      <c r="L6333" s="37"/>
      <c r="M6333" s="394" t="str">
        <f t="shared" si="864"/>
        <v/>
      </c>
      <c r="N6333" s="273"/>
    </row>
    <row r="6334" spans="1:14" ht="12.75" customHeight="1" x14ac:dyDescent="0.25">
      <c r="A6334" s="4"/>
      <c r="B6334" s="4"/>
      <c r="C6334" s="4"/>
      <c r="D6334" s="4"/>
      <c r="E6334" s="4"/>
      <c r="F6334" s="4"/>
      <c r="G6334" s="4"/>
      <c r="H6334" s="4"/>
      <c r="I6334" s="4"/>
      <c r="J6334" s="4"/>
      <c r="K6334" s="396" t="s">
        <v>444</v>
      </c>
      <c r="L6334" s="273"/>
      <c r="M6334" s="394">
        <f>SUM(M6329:N6333)</f>
        <v>87778.61</v>
      </c>
      <c r="N6334" s="273"/>
    </row>
    <row r="6335" spans="1:14" ht="12.75" customHeight="1" x14ac:dyDescent="0.2"/>
    <row r="6336" spans="1:14" ht="12.75" customHeight="1" x14ac:dyDescent="0.2">
      <c r="A6336" s="407" t="s">
        <v>1266</v>
      </c>
      <c r="B6336" s="275"/>
      <c r="C6336" s="275"/>
      <c r="D6336" s="275"/>
      <c r="E6336" s="275"/>
      <c r="F6336" s="275"/>
      <c r="G6336" s="275"/>
      <c r="H6336" s="275"/>
      <c r="I6336" s="275"/>
      <c r="J6336" s="275"/>
      <c r="K6336" s="275"/>
      <c r="L6336" s="275"/>
      <c r="M6336" s="275"/>
      <c r="N6336" s="276"/>
    </row>
    <row r="6337" spans="1:14" ht="12.75" customHeight="1" x14ac:dyDescent="0.2">
      <c r="A6337" s="277"/>
      <c r="B6337" s="278"/>
      <c r="C6337" s="278"/>
      <c r="D6337" s="278"/>
      <c r="E6337" s="278"/>
      <c r="F6337" s="278"/>
      <c r="G6337" s="278"/>
      <c r="H6337" s="278"/>
      <c r="I6337" s="278"/>
      <c r="J6337" s="278"/>
      <c r="K6337" s="278"/>
      <c r="L6337" s="278"/>
      <c r="M6337" s="278"/>
      <c r="N6337" s="279"/>
    </row>
    <row r="6338" spans="1:14" ht="12.75" customHeight="1" x14ac:dyDescent="0.2">
      <c r="A6338" s="75"/>
      <c r="B6338" s="75"/>
      <c r="C6338" s="75"/>
      <c r="D6338" s="75"/>
      <c r="E6338" s="75"/>
      <c r="F6338" s="75"/>
      <c r="G6338" s="75"/>
      <c r="H6338" s="75"/>
      <c r="I6338" s="75"/>
      <c r="J6338" s="75"/>
      <c r="K6338" s="75"/>
      <c r="L6338" s="75"/>
      <c r="M6338" s="75"/>
      <c r="N6338" s="75"/>
    </row>
    <row r="6339" spans="1:14" ht="12.75" customHeight="1" x14ac:dyDescent="0.3">
      <c r="A6339" s="79" t="s">
        <v>760</v>
      </c>
      <c r="B6339" s="80" t="str">
        <f>A6336</f>
        <v>SUMINISTRO E INSTALACIÓN PASAMURO DE Ø6" L=1M EN HIERRO DUCTIL</v>
      </c>
      <c r="C6339" s="81" t="s">
        <v>916</v>
      </c>
      <c r="D6339" s="82" t="s">
        <v>999</v>
      </c>
      <c r="E6339" s="83" t="s">
        <v>445</v>
      </c>
      <c r="F6339" s="86">
        <f>H6339+J6339+L6339+N6339</f>
        <v>641710.40049999999</v>
      </c>
      <c r="G6339" s="83" t="s">
        <v>607</v>
      </c>
      <c r="H6339" s="86">
        <f>M6351</f>
        <v>549542.86</v>
      </c>
      <c r="I6339" s="83" t="s">
        <v>918</v>
      </c>
      <c r="J6339" s="86">
        <f>M6360</f>
        <v>4388.9305000000004</v>
      </c>
      <c r="K6339" s="83" t="s">
        <v>609</v>
      </c>
      <c r="L6339" s="86">
        <f>M6369</f>
        <v>0</v>
      </c>
      <c r="M6339" s="83" t="s">
        <v>610</v>
      </c>
      <c r="N6339" s="86">
        <f>M6378</f>
        <v>87778.61</v>
      </c>
    </row>
    <row r="6340" spans="1:14" ht="12.75" customHeight="1" x14ac:dyDescent="0.25">
      <c r="A6340" s="87"/>
      <c r="B6340" s="87"/>
      <c r="C6340" s="87"/>
      <c r="D6340" s="87"/>
      <c r="E6340" s="87"/>
      <c r="F6340" s="87"/>
      <c r="G6340" s="87"/>
      <c r="J6340" s="87"/>
      <c r="K6340" s="215" t="s">
        <v>3217</v>
      </c>
      <c r="L6340" s="215">
        <f>+F6339*presup!$O$5</f>
        <v>834223.52064999996</v>
      </c>
      <c r="M6340" s="87"/>
      <c r="N6340" s="87"/>
    </row>
    <row r="6341" spans="1:14" ht="12.75" customHeight="1" x14ac:dyDescent="0.2">
      <c r="A6341" s="398" t="s">
        <v>919</v>
      </c>
      <c r="B6341" s="271"/>
      <c r="C6341" s="271"/>
      <c r="D6341" s="271"/>
      <c r="E6341" s="271"/>
      <c r="F6341" s="271"/>
      <c r="G6341" s="271"/>
      <c r="H6341" s="271"/>
      <c r="I6341" s="271"/>
      <c r="J6341" s="271"/>
      <c r="K6341" s="271"/>
      <c r="L6341" s="271"/>
      <c r="M6341" s="271"/>
      <c r="N6341" s="273"/>
    </row>
    <row r="6342" spans="1:14" ht="12.75" customHeight="1" x14ac:dyDescent="0.2">
      <c r="A6342" s="396" t="s">
        <v>76</v>
      </c>
      <c r="B6342" s="271"/>
      <c r="C6342" s="271"/>
      <c r="D6342" s="271"/>
      <c r="E6342" s="271"/>
      <c r="F6342" s="271"/>
      <c r="G6342" s="273"/>
      <c r="H6342" s="88" t="s">
        <v>77</v>
      </c>
      <c r="I6342" s="399" t="s">
        <v>920</v>
      </c>
      <c r="J6342" s="273"/>
      <c r="K6342" s="399" t="s">
        <v>453</v>
      </c>
      <c r="L6342" s="273"/>
      <c r="M6342" s="399" t="s">
        <v>921</v>
      </c>
      <c r="N6342" s="273"/>
    </row>
    <row r="6343" spans="1:14" ht="12.75" customHeight="1" x14ac:dyDescent="0.2">
      <c r="A6343" s="400" t="s">
        <v>1267</v>
      </c>
      <c r="B6343" s="271"/>
      <c r="C6343" s="271"/>
      <c r="D6343" s="271"/>
      <c r="E6343" s="271"/>
      <c r="F6343" s="271"/>
      <c r="G6343" s="273"/>
      <c r="H6343" s="29" t="str">
        <f t="shared" ref="H6343:H6348" si="865">IF(A6343="","",VLOOKUP(A6343,AA_Materiales,7,FALSE))</f>
        <v>Unidad</v>
      </c>
      <c r="I6343" s="394">
        <f t="shared" ref="I6343:I6350" si="866">IF(A6343="","",VLOOKUP(A6343,AA_Materiales,8,FALSE))</f>
        <v>549542.86</v>
      </c>
      <c r="J6343" s="273"/>
      <c r="K6343" s="395">
        <v>1</v>
      </c>
      <c r="L6343" s="273"/>
      <c r="M6343" s="394">
        <f t="shared" ref="M6343:M6350" si="867">IF(A6343="","",I6343*K6343)</f>
        <v>549542.86</v>
      </c>
      <c r="N6343" s="273"/>
    </row>
    <row r="6344" spans="1:14" ht="12.75" customHeight="1" x14ac:dyDescent="0.2">
      <c r="A6344" s="400"/>
      <c r="B6344" s="271"/>
      <c r="C6344" s="271"/>
      <c r="D6344" s="271"/>
      <c r="E6344" s="271"/>
      <c r="F6344" s="271"/>
      <c r="G6344" s="273"/>
      <c r="H6344" s="29" t="str">
        <f t="shared" si="865"/>
        <v/>
      </c>
      <c r="I6344" s="394" t="str">
        <f t="shared" si="866"/>
        <v/>
      </c>
      <c r="J6344" s="273"/>
      <c r="K6344" s="395"/>
      <c r="L6344" s="273"/>
      <c r="M6344" s="394" t="str">
        <f t="shared" si="867"/>
        <v/>
      </c>
      <c r="N6344" s="273"/>
    </row>
    <row r="6345" spans="1:14" ht="12.75" customHeight="1" x14ac:dyDescent="0.2">
      <c r="A6345" s="400"/>
      <c r="B6345" s="271"/>
      <c r="C6345" s="271"/>
      <c r="D6345" s="271"/>
      <c r="E6345" s="271"/>
      <c r="F6345" s="271"/>
      <c r="G6345" s="273"/>
      <c r="H6345" s="29" t="str">
        <f t="shared" si="865"/>
        <v/>
      </c>
      <c r="I6345" s="394" t="str">
        <f t="shared" si="866"/>
        <v/>
      </c>
      <c r="J6345" s="273"/>
      <c r="K6345" s="395"/>
      <c r="L6345" s="273"/>
      <c r="M6345" s="394" t="str">
        <f t="shared" si="867"/>
        <v/>
      </c>
      <c r="N6345" s="273"/>
    </row>
    <row r="6346" spans="1:14" ht="12.75" customHeight="1" x14ac:dyDescent="0.2">
      <c r="A6346" s="400"/>
      <c r="B6346" s="271"/>
      <c r="C6346" s="271"/>
      <c r="D6346" s="271"/>
      <c r="E6346" s="271"/>
      <c r="F6346" s="271"/>
      <c r="G6346" s="273"/>
      <c r="H6346" s="29" t="str">
        <f t="shared" si="865"/>
        <v/>
      </c>
      <c r="I6346" s="394" t="str">
        <f t="shared" si="866"/>
        <v/>
      </c>
      <c r="J6346" s="273"/>
      <c r="K6346" s="395"/>
      <c r="L6346" s="273"/>
      <c r="M6346" s="394" t="str">
        <f t="shared" si="867"/>
        <v/>
      </c>
      <c r="N6346" s="273"/>
    </row>
    <row r="6347" spans="1:14" ht="12.75" customHeight="1" x14ac:dyDescent="0.2">
      <c r="A6347" s="400"/>
      <c r="B6347" s="271"/>
      <c r="C6347" s="271"/>
      <c r="D6347" s="271"/>
      <c r="E6347" s="271"/>
      <c r="F6347" s="271"/>
      <c r="G6347" s="273"/>
      <c r="H6347" s="29" t="str">
        <f t="shared" si="865"/>
        <v/>
      </c>
      <c r="I6347" s="394" t="str">
        <f t="shared" si="866"/>
        <v/>
      </c>
      <c r="J6347" s="273"/>
      <c r="K6347" s="395"/>
      <c r="L6347" s="273"/>
      <c r="M6347" s="394" t="str">
        <f t="shared" si="867"/>
        <v/>
      </c>
      <c r="N6347" s="273"/>
    </row>
    <row r="6348" spans="1:14" ht="12.75" customHeight="1" x14ac:dyDescent="0.2">
      <c r="A6348" s="400"/>
      <c r="B6348" s="271"/>
      <c r="C6348" s="271"/>
      <c r="D6348" s="271"/>
      <c r="E6348" s="271"/>
      <c r="F6348" s="271"/>
      <c r="G6348" s="273"/>
      <c r="H6348" s="29" t="str">
        <f t="shared" si="865"/>
        <v/>
      </c>
      <c r="I6348" s="394" t="str">
        <f t="shared" si="866"/>
        <v/>
      </c>
      <c r="J6348" s="273"/>
      <c r="K6348" s="395"/>
      <c r="L6348" s="273"/>
      <c r="M6348" s="394" t="str">
        <f t="shared" si="867"/>
        <v/>
      </c>
      <c r="N6348" s="273"/>
    </row>
    <row r="6349" spans="1:14" ht="12.75" customHeight="1" x14ac:dyDescent="0.2">
      <c r="A6349" s="400"/>
      <c r="B6349" s="271"/>
      <c r="C6349" s="271"/>
      <c r="D6349" s="271"/>
      <c r="E6349" s="271"/>
      <c r="F6349" s="271"/>
      <c r="G6349" s="273"/>
      <c r="H6349" s="29"/>
      <c r="I6349" s="394" t="str">
        <f t="shared" si="866"/>
        <v/>
      </c>
      <c r="J6349" s="273"/>
      <c r="K6349" s="395"/>
      <c r="L6349" s="273"/>
      <c r="M6349" s="394" t="str">
        <f t="shared" si="867"/>
        <v/>
      </c>
      <c r="N6349" s="273"/>
    </row>
    <row r="6350" spans="1:14" ht="12.75" customHeight="1" x14ac:dyDescent="0.2">
      <c r="A6350" s="400"/>
      <c r="B6350" s="271"/>
      <c r="C6350" s="271"/>
      <c r="D6350" s="271"/>
      <c r="E6350" s="271"/>
      <c r="F6350" s="271"/>
      <c r="G6350" s="273"/>
      <c r="H6350" s="29" t="str">
        <f>IF(A6350="","",VLOOKUP(A6350,AA_Materiales,7,FALSE))</f>
        <v/>
      </c>
      <c r="I6350" s="394" t="str">
        <f t="shared" si="866"/>
        <v/>
      </c>
      <c r="J6350" s="273"/>
      <c r="K6350" s="395"/>
      <c r="L6350" s="273"/>
      <c r="M6350" s="394" t="str">
        <f t="shared" si="867"/>
        <v/>
      </c>
      <c r="N6350" s="273"/>
    </row>
    <row r="6351" spans="1:14" ht="12.75" customHeight="1" x14ac:dyDescent="0.25">
      <c r="A6351" s="4"/>
      <c r="B6351" s="4"/>
      <c r="C6351" s="4"/>
      <c r="D6351" s="4"/>
      <c r="E6351" s="4"/>
      <c r="F6351" s="4"/>
      <c r="G6351" s="4"/>
      <c r="H6351" s="4"/>
      <c r="I6351" s="4"/>
      <c r="J6351" s="4"/>
      <c r="K6351" s="396" t="s">
        <v>444</v>
      </c>
      <c r="L6351" s="273"/>
      <c r="M6351" s="394">
        <f>SUM(M6343:N6350)</f>
        <v>549542.86</v>
      </c>
      <c r="N6351" s="273"/>
    </row>
    <row r="6352" spans="1:14" ht="12.75" customHeight="1" x14ac:dyDescent="0.25">
      <c r="A6352" s="4"/>
      <c r="B6352" s="4"/>
      <c r="C6352" s="4"/>
      <c r="D6352" s="4"/>
      <c r="E6352" s="4"/>
      <c r="F6352" s="4"/>
      <c r="G6352" s="4"/>
      <c r="H6352" s="4"/>
      <c r="I6352" s="4"/>
      <c r="J6352" s="4"/>
      <c r="K6352" s="4"/>
      <c r="L6352" s="4"/>
      <c r="M6352" s="4"/>
      <c r="N6352" s="4"/>
    </row>
    <row r="6353" spans="1:14" ht="12.75" customHeight="1" x14ac:dyDescent="0.2">
      <c r="A6353" s="398" t="s">
        <v>926</v>
      </c>
      <c r="B6353" s="271"/>
      <c r="C6353" s="271"/>
      <c r="D6353" s="271"/>
      <c r="E6353" s="271"/>
      <c r="F6353" s="271"/>
      <c r="G6353" s="271"/>
      <c r="H6353" s="271"/>
      <c r="I6353" s="271"/>
      <c r="J6353" s="271"/>
      <c r="K6353" s="271"/>
      <c r="L6353" s="271"/>
      <c r="M6353" s="271"/>
      <c r="N6353" s="273"/>
    </row>
    <row r="6354" spans="1:14" ht="12.75" customHeight="1" x14ac:dyDescent="0.2">
      <c r="A6354" s="396" t="s">
        <v>76</v>
      </c>
      <c r="B6354" s="271"/>
      <c r="C6354" s="271"/>
      <c r="D6354" s="271"/>
      <c r="E6354" s="271"/>
      <c r="F6354" s="271"/>
      <c r="G6354" s="273"/>
      <c r="H6354" s="88" t="s">
        <v>77</v>
      </c>
      <c r="I6354" s="399" t="s">
        <v>920</v>
      </c>
      <c r="J6354" s="273"/>
      <c r="K6354" s="399" t="s">
        <v>453</v>
      </c>
      <c r="L6354" s="273"/>
      <c r="M6354" s="399" t="s">
        <v>921</v>
      </c>
      <c r="N6354" s="273"/>
    </row>
    <row r="6355" spans="1:14" ht="12.75" customHeight="1" x14ac:dyDescent="0.2">
      <c r="A6355" s="400" t="s">
        <v>927</v>
      </c>
      <c r="B6355" s="271"/>
      <c r="C6355" s="271"/>
      <c r="D6355" s="271"/>
      <c r="E6355" s="271"/>
      <c r="F6355" s="271"/>
      <c r="G6355" s="273"/>
      <c r="H6355" s="29" t="str">
        <f>IF(A6355="","",VLOOKUP(A6355,AA_Equipos,7,FALSE))</f>
        <v>% M.O.</v>
      </c>
      <c r="I6355" s="394">
        <f>+M6378</f>
        <v>87778.61</v>
      </c>
      <c r="J6355" s="273"/>
      <c r="K6355" s="404">
        <v>0.05</v>
      </c>
      <c r="L6355" s="273"/>
      <c r="M6355" s="394">
        <f t="shared" ref="M6355:M6359" si="868">IF(A6355="","",I6355*K6355)</f>
        <v>4388.9305000000004</v>
      </c>
      <c r="N6355" s="273"/>
    </row>
    <row r="6356" spans="1:14" ht="12.75" customHeight="1" x14ac:dyDescent="0.2">
      <c r="A6356" s="403"/>
      <c r="B6356" s="271"/>
      <c r="C6356" s="271"/>
      <c r="D6356" s="271"/>
      <c r="E6356" s="271"/>
      <c r="F6356" s="271"/>
      <c r="G6356" s="273"/>
      <c r="H6356" s="29" t="str">
        <f>IF(A6356="","",VLOOKUP(A6356,AA_Equipos,7,FALSE))</f>
        <v/>
      </c>
      <c r="I6356" s="394" t="str">
        <f>IF(A6356="","",VLOOKUP(A6356,AA_Equipos,8,FALSE))</f>
        <v/>
      </c>
      <c r="J6356" s="273"/>
      <c r="K6356" s="402"/>
      <c r="L6356" s="273"/>
      <c r="M6356" s="394" t="str">
        <f t="shared" si="868"/>
        <v/>
      </c>
      <c r="N6356" s="273"/>
    </row>
    <row r="6357" spans="1:14" ht="12.75" customHeight="1" x14ac:dyDescent="0.2">
      <c r="A6357" s="400"/>
      <c r="B6357" s="271"/>
      <c r="C6357" s="271"/>
      <c r="D6357" s="271"/>
      <c r="E6357" s="271"/>
      <c r="F6357" s="271"/>
      <c r="G6357" s="273"/>
      <c r="H6357" s="29" t="str">
        <f>IF(A6357="","",VLOOKUP(A6357,AA_Equipos,7,FALSE))</f>
        <v/>
      </c>
      <c r="I6357" s="394" t="str">
        <f>IF(A6357="","",VLOOKUP(A6357,AA_Equipos,8,FALSE))</f>
        <v/>
      </c>
      <c r="J6357" s="273"/>
      <c r="K6357" s="402"/>
      <c r="L6357" s="273"/>
      <c r="M6357" s="394" t="str">
        <f t="shared" si="868"/>
        <v/>
      </c>
      <c r="N6357" s="273"/>
    </row>
    <row r="6358" spans="1:14" ht="12.75" customHeight="1" x14ac:dyDescent="0.2">
      <c r="A6358" s="400"/>
      <c r="B6358" s="271"/>
      <c r="C6358" s="271"/>
      <c r="D6358" s="271"/>
      <c r="E6358" s="271"/>
      <c r="F6358" s="271"/>
      <c r="G6358" s="273"/>
      <c r="H6358" s="29" t="str">
        <f>IF(A6358="","",VLOOKUP(A6358,AA_Equipos,7,FALSE))</f>
        <v/>
      </c>
      <c r="I6358" s="394" t="str">
        <f>IF(A6358="","",VLOOKUP(A6358,AA_Equipos,8,FALSE))</f>
        <v/>
      </c>
      <c r="J6358" s="273"/>
      <c r="K6358" s="402"/>
      <c r="L6358" s="273"/>
      <c r="M6358" s="394" t="str">
        <f t="shared" si="868"/>
        <v/>
      </c>
      <c r="N6358" s="273"/>
    </row>
    <row r="6359" spans="1:14" ht="12.75" customHeight="1" x14ac:dyDescent="0.2">
      <c r="A6359" s="400"/>
      <c r="B6359" s="271"/>
      <c r="C6359" s="271"/>
      <c r="D6359" s="271"/>
      <c r="E6359" s="271"/>
      <c r="F6359" s="271"/>
      <c r="G6359" s="273"/>
      <c r="H6359" s="29" t="str">
        <f>IF(A6359="","",VLOOKUP(A6359,AA_Equipos,7,FALSE))</f>
        <v/>
      </c>
      <c r="I6359" s="394" t="str">
        <f>IF(A6359="","",VLOOKUP(A6359,AA_Equipos,8,FALSE))</f>
        <v/>
      </c>
      <c r="J6359" s="273"/>
      <c r="K6359" s="395"/>
      <c r="L6359" s="273"/>
      <c r="M6359" s="394" t="str">
        <f t="shared" si="868"/>
        <v/>
      </c>
      <c r="N6359" s="273"/>
    </row>
    <row r="6360" spans="1:14" ht="12.75" customHeight="1" x14ac:dyDescent="0.25">
      <c r="A6360" s="4"/>
      <c r="B6360" s="4"/>
      <c r="C6360" s="4"/>
      <c r="D6360" s="4"/>
      <c r="E6360" s="4"/>
      <c r="F6360" s="4"/>
      <c r="G6360" s="4"/>
      <c r="H6360" s="4"/>
      <c r="I6360" s="4"/>
      <c r="J6360" s="4"/>
      <c r="K6360" s="396" t="s">
        <v>444</v>
      </c>
      <c r="L6360" s="273"/>
      <c r="M6360" s="394">
        <f>SUM(M6355:N6359)</f>
        <v>4388.9305000000004</v>
      </c>
      <c r="N6360" s="273"/>
    </row>
    <row r="6361" spans="1:14" ht="12.75" customHeight="1" x14ac:dyDescent="0.25">
      <c r="A6361" s="4"/>
      <c r="B6361" s="4"/>
      <c r="C6361" s="4"/>
      <c r="D6361" s="4"/>
      <c r="E6361" s="4"/>
      <c r="F6361" s="4"/>
      <c r="G6361" s="4"/>
      <c r="H6361" s="4"/>
      <c r="I6361" s="4"/>
      <c r="J6361" s="4"/>
      <c r="K6361" s="4"/>
      <c r="L6361" s="4"/>
      <c r="M6361" s="4"/>
      <c r="N6361" s="4"/>
    </row>
    <row r="6362" spans="1:14" ht="12.75" customHeight="1" x14ac:dyDescent="0.2">
      <c r="A6362" s="398" t="s">
        <v>929</v>
      </c>
      <c r="B6362" s="271"/>
      <c r="C6362" s="271"/>
      <c r="D6362" s="271"/>
      <c r="E6362" s="271"/>
      <c r="F6362" s="271"/>
      <c r="G6362" s="271"/>
      <c r="H6362" s="271"/>
      <c r="I6362" s="271"/>
      <c r="J6362" s="271"/>
      <c r="K6362" s="271"/>
      <c r="L6362" s="271"/>
      <c r="M6362" s="271"/>
      <c r="N6362" s="273"/>
    </row>
    <row r="6363" spans="1:14" ht="12.75" customHeight="1" x14ac:dyDescent="0.2">
      <c r="A6363" s="396" t="s">
        <v>76</v>
      </c>
      <c r="B6363" s="271"/>
      <c r="C6363" s="271"/>
      <c r="D6363" s="271"/>
      <c r="E6363" s="271"/>
      <c r="F6363" s="271"/>
      <c r="G6363" s="273"/>
      <c r="H6363" s="88" t="s">
        <v>77</v>
      </c>
      <c r="I6363" s="399" t="s">
        <v>920</v>
      </c>
      <c r="J6363" s="273"/>
      <c r="K6363" s="399" t="s">
        <v>453</v>
      </c>
      <c r="L6363" s="273"/>
      <c r="M6363" s="399" t="s">
        <v>921</v>
      </c>
      <c r="N6363" s="273"/>
    </row>
    <row r="6364" spans="1:14" ht="12.75" customHeight="1" x14ac:dyDescent="0.2">
      <c r="A6364" s="400"/>
      <c r="B6364" s="271"/>
      <c r="C6364" s="271"/>
      <c r="D6364" s="271"/>
      <c r="E6364" s="271"/>
      <c r="F6364" s="271"/>
      <c r="G6364" s="273"/>
      <c r="H6364" s="29"/>
      <c r="I6364" s="394"/>
      <c r="J6364" s="273"/>
      <c r="K6364" s="404"/>
      <c r="L6364" s="273"/>
      <c r="M6364" s="394" t="str">
        <f t="shared" ref="M6364:M6368" si="869">IF(A6364="","",I6364*K6364)</f>
        <v/>
      </c>
      <c r="N6364" s="273"/>
    </row>
    <row r="6365" spans="1:14" ht="12.75" customHeight="1" x14ac:dyDescent="0.2">
      <c r="A6365" s="403"/>
      <c r="B6365" s="271"/>
      <c r="C6365" s="271"/>
      <c r="D6365" s="271"/>
      <c r="E6365" s="271"/>
      <c r="F6365" s="271"/>
      <c r="G6365" s="273"/>
      <c r="H6365" s="29"/>
      <c r="I6365" s="394"/>
      <c r="J6365" s="273"/>
      <c r="K6365" s="404"/>
      <c r="L6365" s="273"/>
      <c r="M6365" s="394" t="str">
        <f t="shared" si="869"/>
        <v/>
      </c>
      <c r="N6365" s="273"/>
    </row>
    <row r="6366" spans="1:14" ht="12.75" customHeight="1" x14ac:dyDescent="0.2">
      <c r="A6366" s="400"/>
      <c r="B6366" s="271"/>
      <c r="C6366" s="271"/>
      <c r="D6366" s="271"/>
      <c r="E6366" s="271"/>
      <c r="F6366" s="271"/>
      <c r="G6366" s="273"/>
      <c r="H6366" s="29"/>
      <c r="I6366" s="394"/>
      <c r="J6366" s="273"/>
      <c r="K6366" s="395"/>
      <c r="L6366" s="273"/>
      <c r="M6366" s="394" t="str">
        <f t="shared" si="869"/>
        <v/>
      </c>
      <c r="N6366" s="273"/>
    </row>
    <row r="6367" spans="1:14" ht="12.75" customHeight="1" x14ac:dyDescent="0.2">
      <c r="A6367" s="400"/>
      <c r="B6367" s="271"/>
      <c r="C6367" s="271"/>
      <c r="D6367" s="271"/>
      <c r="E6367" s="271"/>
      <c r="F6367" s="271"/>
      <c r="G6367" s="273"/>
      <c r="H6367" s="29"/>
      <c r="I6367" s="394"/>
      <c r="J6367" s="273"/>
      <c r="K6367" s="395"/>
      <c r="L6367" s="273"/>
      <c r="M6367" s="394" t="str">
        <f t="shared" si="869"/>
        <v/>
      </c>
      <c r="N6367" s="273"/>
    </row>
    <row r="6368" spans="1:14" ht="12.75" customHeight="1" x14ac:dyDescent="0.2">
      <c r="A6368" s="400"/>
      <c r="B6368" s="271"/>
      <c r="C6368" s="271"/>
      <c r="D6368" s="271"/>
      <c r="E6368" s="271"/>
      <c r="F6368" s="271"/>
      <c r="G6368" s="273"/>
      <c r="H6368" s="29"/>
      <c r="I6368" s="394"/>
      <c r="J6368" s="273"/>
      <c r="K6368" s="395"/>
      <c r="L6368" s="273"/>
      <c r="M6368" s="394" t="str">
        <f t="shared" si="869"/>
        <v/>
      </c>
      <c r="N6368" s="273"/>
    </row>
    <row r="6369" spans="1:14" ht="12.75" customHeight="1" x14ac:dyDescent="0.25">
      <c r="A6369" s="4"/>
      <c r="B6369" s="4"/>
      <c r="C6369" s="4"/>
      <c r="D6369" s="4"/>
      <c r="E6369" s="4"/>
      <c r="F6369" s="4"/>
      <c r="G6369" s="4"/>
      <c r="H6369" s="4"/>
      <c r="I6369" s="4"/>
      <c r="J6369" s="4"/>
      <c r="K6369" s="396" t="s">
        <v>444</v>
      </c>
      <c r="L6369" s="273"/>
      <c r="M6369" s="394">
        <f>SUM(M6364:N6368)</f>
        <v>0</v>
      </c>
      <c r="N6369" s="273"/>
    </row>
    <row r="6370" spans="1:14" ht="12.75" customHeight="1" x14ac:dyDescent="0.25">
      <c r="A6370" s="4"/>
      <c r="B6370" s="4"/>
      <c r="C6370" s="4"/>
      <c r="D6370" s="4"/>
      <c r="E6370" s="4"/>
      <c r="F6370" s="4"/>
      <c r="G6370" s="4"/>
      <c r="H6370" s="4"/>
      <c r="I6370" s="4"/>
      <c r="J6370" s="4"/>
      <c r="K6370" s="4"/>
      <c r="L6370" s="4"/>
      <c r="M6370" s="4"/>
      <c r="N6370" s="4"/>
    </row>
    <row r="6371" spans="1:14" ht="12.75" customHeight="1" x14ac:dyDescent="0.2">
      <c r="A6371" s="398" t="s">
        <v>931</v>
      </c>
      <c r="B6371" s="271"/>
      <c r="C6371" s="271"/>
      <c r="D6371" s="271"/>
      <c r="E6371" s="271"/>
      <c r="F6371" s="271"/>
      <c r="G6371" s="271"/>
      <c r="H6371" s="271"/>
      <c r="I6371" s="271"/>
      <c r="J6371" s="271"/>
      <c r="K6371" s="271"/>
      <c r="L6371" s="271"/>
      <c r="M6371" s="271"/>
      <c r="N6371" s="273"/>
    </row>
    <row r="6372" spans="1:14" ht="12.75" customHeight="1" x14ac:dyDescent="0.2">
      <c r="A6372" s="396" t="s">
        <v>76</v>
      </c>
      <c r="B6372" s="271"/>
      <c r="C6372" s="271"/>
      <c r="D6372" s="271"/>
      <c r="E6372" s="271"/>
      <c r="F6372" s="271"/>
      <c r="G6372" s="273"/>
      <c r="H6372" s="88" t="s">
        <v>77</v>
      </c>
      <c r="I6372" s="399" t="s">
        <v>920</v>
      </c>
      <c r="J6372" s="273"/>
      <c r="K6372" s="90" t="s">
        <v>514</v>
      </c>
      <c r="L6372" s="91" t="s">
        <v>932</v>
      </c>
      <c r="M6372" s="399" t="s">
        <v>921</v>
      </c>
      <c r="N6372" s="273"/>
    </row>
    <row r="6373" spans="1:14" ht="12.75" customHeight="1" x14ac:dyDescent="0.25">
      <c r="A6373" s="393" t="s">
        <v>986</v>
      </c>
      <c r="B6373" s="271"/>
      <c r="C6373" s="271"/>
      <c r="D6373" s="271"/>
      <c r="E6373" s="271"/>
      <c r="F6373" s="271"/>
      <c r="G6373" s="273"/>
      <c r="H6373" s="29" t="str">
        <f>IF(A6373="","",VLOOKUP(A6373,AA_Cuadrillas,4,FALSE))</f>
        <v>Cuadrilla</v>
      </c>
      <c r="I6373" s="394">
        <f>IF(A6373="","",VLOOKUP(A6373,AA_Cuadrillas,5,FALSE))</f>
        <v>186763</v>
      </c>
      <c r="J6373" s="273"/>
      <c r="K6373" s="9">
        <f>IF(A6373="","",F.P!$I$2)</f>
        <v>1.88</v>
      </c>
      <c r="L6373" s="93">
        <v>0.25</v>
      </c>
      <c r="M6373" s="394">
        <f t="shared" ref="M6373:M6377" si="870">IF(A6373="","",I6373*K6373*L6373)</f>
        <v>87778.61</v>
      </c>
      <c r="N6373" s="273"/>
    </row>
    <row r="6374" spans="1:14" ht="12.75" customHeight="1" x14ac:dyDescent="0.25">
      <c r="A6374" s="393"/>
      <c r="B6374" s="271"/>
      <c r="C6374" s="271"/>
      <c r="D6374" s="271"/>
      <c r="E6374" s="271"/>
      <c r="F6374" s="271"/>
      <c r="G6374" s="273"/>
      <c r="H6374" s="29" t="str">
        <f>IF(A6374="","",VLOOKUP(A6374,AA_Cuadrillas,4,FALSE))</f>
        <v/>
      </c>
      <c r="I6374" s="394" t="str">
        <f>IF(A6374="","",VLOOKUP(A6374,AA_Cuadrillas,5,FALSE))</f>
        <v/>
      </c>
      <c r="J6374" s="273"/>
      <c r="K6374" s="9" t="str">
        <f>IF(A6374="","",F.P!$I$2)</f>
        <v/>
      </c>
      <c r="L6374" s="9"/>
      <c r="M6374" s="394" t="str">
        <f t="shared" si="870"/>
        <v/>
      </c>
      <c r="N6374" s="273"/>
    </row>
    <row r="6375" spans="1:14" ht="12.75" customHeight="1" x14ac:dyDescent="0.25">
      <c r="A6375" s="393"/>
      <c r="B6375" s="271"/>
      <c r="C6375" s="271"/>
      <c r="D6375" s="271"/>
      <c r="E6375" s="271"/>
      <c r="F6375" s="271"/>
      <c r="G6375" s="273"/>
      <c r="H6375" s="29" t="str">
        <f>IF(A6375="","",VLOOKUP(A6375,AA_Cuadrillas,4,FALSE))</f>
        <v/>
      </c>
      <c r="I6375" s="394" t="str">
        <f>IF(A6375="","",VLOOKUP(A6375,AA_Cuadrillas,5,FALSE))</f>
        <v/>
      </c>
      <c r="J6375" s="273"/>
      <c r="K6375" s="9" t="str">
        <f>IF(A6375="","",F.P!$I$2)</f>
        <v/>
      </c>
      <c r="L6375" s="37"/>
      <c r="M6375" s="394" t="str">
        <f t="shared" si="870"/>
        <v/>
      </c>
      <c r="N6375" s="273"/>
    </row>
    <row r="6376" spans="1:14" ht="12.75" customHeight="1" x14ac:dyDescent="0.25">
      <c r="A6376" s="393"/>
      <c r="B6376" s="271"/>
      <c r="C6376" s="271"/>
      <c r="D6376" s="271"/>
      <c r="E6376" s="271"/>
      <c r="F6376" s="271"/>
      <c r="G6376" s="273"/>
      <c r="H6376" s="29" t="str">
        <f>IF(A6376="","",VLOOKUP(A6376,AA_Cuadrillas,4,FALSE))</f>
        <v/>
      </c>
      <c r="I6376" s="394" t="str">
        <f>IF(A6376="","",VLOOKUP(A6376,AA_Cuadrillas,5,FALSE))</f>
        <v/>
      </c>
      <c r="J6376" s="273"/>
      <c r="K6376" s="9" t="str">
        <f>IF(A6376="","",F.P!$I$2)</f>
        <v/>
      </c>
      <c r="L6376" s="37"/>
      <c r="M6376" s="394" t="str">
        <f t="shared" si="870"/>
        <v/>
      </c>
      <c r="N6376" s="273"/>
    </row>
    <row r="6377" spans="1:14" ht="12.75" customHeight="1" x14ac:dyDescent="0.25">
      <c r="A6377" s="393"/>
      <c r="B6377" s="271"/>
      <c r="C6377" s="271"/>
      <c r="D6377" s="271"/>
      <c r="E6377" s="271"/>
      <c r="F6377" s="271"/>
      <c r="G6377" s="273"/>
      <c r="H6377" s="29" t="str">
        <f>IF(A6377="","",VLOOKUP(A6377,AA_Cuadrillas,4,FALSE))</f>
        <v/>
      </c>
      <c r="I6377" s="394" t="str">
        <f>IF(A6377="","",VLOOKUP(A6377,AA_Cuadrillas,5,FALSE))</f>
        <v/>
      </c>
      <c r="J6377" s="273"/>
      <c r="K6377" s="9" t="str">
        <f>IF(A6377="","",F.P!$I$2)</f>
        <v/>
      </c>
      <c r="L6377" s="37"/>
      <c r="M6377" s="394" t="str">
        <f t="shared" si="870"/>
        <v/>
      </c>
      <c r="N6377" s="273"/>
    </row>
    <row r="6378" spans="1:14" ht="12.75" customHeight="1" x14ac:dyDescent="0.25">
      <c r="A6378" s="4"/>
      <c r="B6378" s="4"/>
      <c r="C6378" s="4"/>
      <c r="D6378" s="4"/>
      <c r="E6378" s="4"/>
      <c r="F6378" s="4"/>
      <c r="G6378" s="4"/>
      <c r="H6378" s="4"/>
      <c r="I6378" s="4"/>
      <c r="J6378" s="4"/>
      <c r="K6378" s="396" t="s">
        <v>444</v>
      </c>
      <c r="L6378" s="273"/>
      <c r="M6378" s="394">
        <f>SUM(M6373:N6377)</f>
        <v>87778.61</v>
      </c>
      <c r="N6378" s="273"/>
    </row>
    <row r="6379" spans="1:14" ht="12.75" customHeight="1" x14ac:dyDescent="0.2"/>
    <row r="6380" spans="1:14" ht="12.75" customHeight="1" x14ac:dyDescent="0.2">
      <c r="A6380" s="407" t="s">
        <v>1268</v>
      </c>
      <c r="B6380" s="275"/>
      <c r="C6380" s="275"/>
      <c r="D6380" s="275"/>
      <c r="E6380" s="275"/>
      <c r="F6380" s="275"/>
      <c r="G6380" s="275"/>
      <c r="H6380" s="275"/>
      <c r="I6380" s="275"/>
      <c r="J6380" s="275"/>
      <c r="K6380" s="275"/>
      <c r="L6380" s="275"/>
      <c r="M6380" s="275"/>
      <c r="N6380" s="276"/>
    </row>
    <row r="6381" spans="1:14" ht="12.75" customHeight="1" x14ac:dyDescent="0.2">
      <c r="A6381" s="277"/>
      <c r="B6381" s="278"/>
      <c r="C6381" s="278"/>
      <c r="D6381" s="278"/>
      <c r="E6381" s="278"/>
      <c r="F6381" s="278"/>
      <c r="G6381" s="278"/>
      <c r="H6381" s="278"/>
      <c r="I6381" s="278"/>
      <c r="J6381" s="278"/>
      <c r="K6381" s="278"/>
      <c r="L6381" s="278"/>
      <c r="M6381" s="278"/>
      <c r="N6381" s="279"/>
    </row>
    <row r="6382" spans="1:14" ht="12.75" customHeight="1" x14ac:dyDescent="0.2">
      <c r="A6382" s="75"/>
      <c r="B6382" s="75"/>
      <c r="C6382" s="75"/>
      <c r="D6382" s="75"/>
      <c r="E6382" s="75"/>
      <c r="F6382" s="75"/>
      <c r="G6382" s="75"/>
      <c r="H6382" s="75"/>
      <c r="I6382" s="75"/>
      <c r="J6382" s="75"/>
      <c r="K6382" s="75"/>
      <c r="L6382" s="75"/>
      <c r="M6382" s="75"/>
      <c r="N6382" s="75"/>
    </row>
    <row r="6383" spans="1:14" ht="12.75" customHeight="1" x14ac:dyDescent="0.3">
      <c r="A6383" s="79" t="s">
        <v>761</v>
      </c>
      <c r="B6383" s="80" t="str">
        <f>A6380</f>
        <v>LOCALIZACIÓN Y REPLANTEO CERRAMIENTO - VARIOS</v>
      </c>
      <c r="C6383" s="81" t="s">
        <v>916</v>
      </c>
      <c r="D6383" s="82" t="s">
        <v>981</v>
      </c>
      <c r="E6383" s="83" t="s">
        <v>445</v>
      </c>
      <c r="F6383" s="86">
        <f>H6383+J6383+L6383+N6383</f>
        <v>1738.9370266666667</v>
      </c>
      <c r="G6383" s="83" t="s">
        <v>607</v>
      </c>
      <c r="H6383" s="86">
        <f>M6395</f>
        <v>919.67000000000007</v>
      </c>
      <c r="I6383" s="83" t="s">
        <v>918</v>
      </c>
      <c r="J6383" s="86">
        <f>M6404</f>
        <v>39.012715555555559</v>
      </c>
      <c r="K6383" s="83" t="s">
        <v>609</v>
      </c>
      <c r="L6383" s="86">
        <f>M6413</f>
        <v>0</v>
      </c>
      <c r="M6383" s="83" t="s">
        <v>610</v>
      </c>
      <c r="N6383" s="86">
        <f>M6422</f>
        <v>780.25431111111106</v>
      </c>
    </row>
    <row r="6384" spans="1:14" ht="12.75" customHeight="1" x14ac:dyDescent="0.25">
      <c r="A6384" s="87"/>
      <c r="B6384" s="87"/>
      <c r="C6384" s="87"/>
      <c r="D6384" s="87"/>
      <c r="E6384" s="87"/>
      <c r="F6384" s="87"/>
      <c r="G6384" s="87"/>
      <c r="J6384" s="87"/>
      <c r="K6384" s="215" t="s">
        <v>3217</v>
      </c>
      <c r="L6384" s="215">
        <f>+F6383*presup!$O$5</f>
        <v>2260.6181346666667</v>
      </c>
      <c r="M6384" s="87"/>
      <c r="N6384" s="87"/>
    </row>
    <row r="6385" spans="1:14" ht="12.75" customHeight="1" x14ac:dyDescent="0.2">
      <c r="A6385" s="398" t="s">
        <v>919</v>
      </c>
      <c r="B6385" s="271"/>
      <c r="C6385" s="271"/>
      <c r="D6385" s="271"/>
      <c r="E6385" s="271"/>
      <c r="F6385" s="271"/>
      <c r="G6385" s="271"/>
      <c r="H6385" s="271"/>
      <c r="I6385" s="271"/>
      <c r="J6385" s="271"/>
      <c r="K6385" s="271"/>
      <c r="L6385" s="271"/>
      <c r="M6385" s="271"/>
      <c r="N6385" s="273"/>
    </row>
    <row r="6386" spans="1:14" ht="12.75" customHeight="1" x14ac:dyDescent="0.2">
      <c r="A6386" s="396" t="s">
        <v>76</v>
      </c>
      <c r="B6386" s="271"/>
      <c r="C6386" s="271"/>
      <c r="D6386" s="271"/>
      <c r="E6386" s="271"/>
      <c r="F6386" s="271"/>
      <c r="G6386" s="273"/>
      <c r="H6386" s="88" t="s">
        <v>77</v>
      </c>
      <c r="I6386" s="399" t="s">
        <v>920</v>
      </c>
      <c r="J6386" s="273"/>
      <c r="K6386" s="399" t="s">
        <v>453</v>
      </c>
      <c r="L6386" s="273"/>
      <c r="M6386" s="399" t="s">
        <v>921</v>
      </c>
      <c r="N6386" s="273"/>
    </row>
    <row r="6387" spans="1:14" ht="12.75" customHeight="1" x14ac:dyDescent="0.2">
      <c r="A6387" s="400" t="s">
        <v>947</v>
      </c>
      <c r="B6387" s="271"/>
      <c r="C6387" s="271"/>
      <c r="D6387" s="271"/>
      <c r="E6387" s="271"/>
      <c r="F6387" s="271"/>
      <c r="G6387" s="273"/>
      <c r="H6387" s="29" t="str">
        <f t="shared" ref="H6387:H6392" si="871">IF(A6387="","",VLOOKUP(A6387,AA_Materiales,7,FALSE))</f>
        <v>LB</v>
      </c>
      <c r="I6387" s="394">
        <f t="shared" ref="I6387:I6394" si="872">IF(A6387="","",VLOOKUP(A6387,AA_Materiales,8,FALSE))</f>
        <v>5500</v>
      </c>
      <c r="J6387" s="273"/>
      <c r="K6387" s="395">
        <v>0.1</v>
      </c>
      <c r="L6387" s="273"/>
      <c r="M6387" s="394">
        <f t="shared" ref="M6387:M6394" si="873">IF(A6387="","",I6387*K6387)</f>
        <v>550</v>
      </c>
      <c r="N6387" s="273"/>
    </row>
    <row r="6388" spans="1:14" ht="12.75" customHeight="1" x14ac:dyDescent="0.2">
      <c r="A6388" s="400" t="s">
        <v>1269</v>
      </c>
      <c r="B6388" s="271"/>
      <c r="C6388" s="271"/>
      <c r="D6388" s="271"/>
      <c r="E6388" s="271"/>
      <c r="F6388" s="271"/>
      <c r="G6388" s="273"/>
      <c r="H6388" s="29" t="str">
        <f t="shared" si="871"/>
        <v>ml</v>
      </c>
      <c r="I6388" s="394">
        <f t="shared" si="872"/>
        <v>1848.35</v>
      </c>
      <c r="J6388" s="273"/>
      <c r="K6388" s="395">
        <v>0.2</v>
      </c>
      <c r="L6388" s="273"/>
      <c r="M6388" s="394">
        <f t="shared" si="873"/>
        <v>369.67</v>
      </c>
      <c r="N6388" s="273"/>
    </row>
    <row r="6389" spans="1:14" ht="12.75" customHeight="1" x14ac:dyDescent="0.2">
      <c r="A6389" s="400"/>
      <c r="B6389" s="271"/>
      <c r="C6389" s="271"/>
      <c r="D6389" s="271"/>
      <c r="E6389" s="271"/>
      <c r="F6389" s="271"/>
      <c r="G6389" s="273"/>
      <c r="H6389" s="29" t="str">
        <f t="shared" si="871"/>
        <v/>
      </c>
      <c r="I6389" s="394" t="str">
        <f t="shared" si="872"/>
        <v/>
      </c>
      <c r="J6389" s="273"/>
      <c r="K6389" s="395"/>
      <c r="L6389" s="273"/>
      <c r="M6389" s="394" t="str">
        <f t="shared" si="873"/>
        <v/>
      </c>
      <c r="N6389" s="273"/>
    </row>
    <row r="6390" spans="1:14" ht="12.75" customHeight="1" x14ac:dyDescent="0.2">
      <c r="A6390" s="400"/>
      <c r="B6390" s="271"/>
      <c r="C6390" s="271"/>
      <c r="D6390" s="271"/>
      <c r="E6390" s="271"/>
      <c r="F6390" s="271"/>
      <c r="G6390" s="273"/>
      <c r="H6390" s="29" t="str">
        <f t="shared" si="871"/>
        <v/>
      </c>
      <c r="I6390" s="394" t="str">
        <f t="shared" si="872"/>
        <v/>
      </c>
      <c r="J6390" s="273"/>
      <c r="K6390" s="395"/>
      <c r="L6390" s="273"/>
      <c r="M6390" s="394" t="str">
        <f t="shared" si="873"/>
        <v/>
      </c>
      <c r="N6390" s="273"/>
    </row>
    <row r="6391" spans="1:14" ht="12.75" customHeight="1" x14ac:dyDescent="0.2">
      <c r="A6391" s="400"/>
      <c r="B6391" s="271"/>
      <c r="C6391" s="271"/>
      <c r="D6391" s="271"/>
      <c r="E6391" s="271"/>
      <c r="F6391" s="271"/>
      <c r="G6391" s="273"/>
      <c r="H6391" s="29" t="str">
        <f t="shared" si="871"/>
        <v/>
      </c>
      <c r="I6391" s="394" t="str">
        <f t="shared" si="872"/>
        <v/>
      </c>
      <c r="J6391" s="273"/>
      <c r="K6391" s="395"/>
      <c r="L6391" s="273"/>
      <c r="M6391" s="394" t="str">
        <f t="shared" si="873"/>
        <v/>
      </c>
      <c r="N6391" s="273"/>
    </row>
    <row r="6392" spans="1:14" ht="12.75" customHeight="1" x14ac:dyDescent="0.2">
      <c r="A6392" s="400"/>
      <c r="B6392" s="271"/>
      <c r="C6392" s="271"/>
      <c r="D6392" s="271"/>
      <c r="E6392" s="271"/>
      <c r="F6392" s="271"/>
      <c r="G6392" s="273"/>
      <c r="H6392" s="29" t="str">
        <f t="shared" si="871"/>
        <v/>
      </c>
      <c r="I6392" s="394" t="str">
        <f t="shared" si="872"/>
        <v/>
      </c>
      <c r="J6392" s="273"/>
      <c r="K6392" s="395"/>
      <c r="L6392" s="273"/>
      <c r="M6392" s="394" t="str">
        <f t="shared" si="873"/>
        <v/>
      </c>
      <c r="N6392" s="273"/>
    </row>
    <row r="6393" spans="1:14" ht="12.75" customHeight="1" x14ac:dyDescent="0.2">
      <c r="A6393" s="400"/>
      <c r="B6393" s="271"/>
      <c r="C6393" s="271"/>
      <c r="D6393" s="271"/>
      <c r="E6393" s="271"/>
      <c r="F6393" s="271"/>
      <c r="G6393" s="273"/>
      <c r="H6393" s="29"/>
      <c r="I6393" s="394" t="str">
        <f t="shared" si="872"/>
        <v/>
      </c>
      <c r="J6393" s="273"/>
      <c r="K6393" s="395"/>
      <c r="L6393" s="273"/>
      <c r="M6393" s="394" t="str">
        <f t="shared" si="873"/>
        <v/>
      </c>
      <c r="N6393" s="273"/>
    </row>
    <row r="6394" spans="1:14" ht="12.75" customHeight="1" x14ac:dyDescent="0.2">
      <c r="A6394" s="400"/>
      <c r="B6394" s="271"/>
      <c r="C6394" s="271"/>
      <c r="D6394" s="271"/>
      <c r="E6394" s="271"/>
      <c r="F6394" s="271"/>
      <c r="G6394" s="273"/>
      <c r="H6394" s="29" t="str">
        <f>IF(A6394="","",VLOOKUP(A6394,AA_Materiales,7,FALSE))</f>
        <v/>
      </c>
      <c r="I6394" s="394" t="str">
        <f t="shared" si="872"/>
        <v/>
      </c>
      <c r="J6394" s="273"/>
      <c r="K6394" s="395"/>
      <c r="L6394" s="273"/>
      <c r="M6394" s="394" t="str">
        <f t="shared" si="873"/>
        <v/>
      </c>
      <c r="N6394" s="273"/>
    </row>
    <row r="6395" spans="1:14" ht="12.75" customHeight="1" x14ac:dyDescent="0.25">
      <c r="A6395" s="4"/>
      <c r="B6395" s="4"/>
      <c r="C6395" s="4"/>
      <c r="D6395" s="4"/>
      <c r="E6395" s="4"/>
      <c r="F6395" s="4"/>
      <c r="G6395" s="4"/>
      <c r="H6395" s="4"/>
      <c r="I6395" s="4"/>
      <c r="J6395" s="4"/>
      <c r="K6395" s="396" t="s">
        <v>444</v>
      </c>
      <c r="L6395" s="273"/>
      <c r="M6395" s="394">
        <f>SUM(M6387:N6394)</f>
        <v>919.67000000000007</v>
      </c>
      <c r="N6395" s="273"/>
    </row>
    <row r="6396" spans="1:14" ht="12.75" customHeight="1" x14ac:dyDescent="0.25">
      <c r="A6396" s="4"/>
      <c r="B6396" s="4"/>
      <c r="C6396" s="4"/>
      <c r="D6396" s="4"/>
      <c r="E6396" s="4"/>
      <c r="F6396" s="4"/>
      <c r="G6396" s="4"/>
      <c r="H6396" s="4"/>
      <c r="I6396" s="4"/>
      <c r="J6396" s="4"/>
      <c r="K6396" s="4"/>
      <c r="L6396" s="4"/>
      <c r="M6396" s="4"/>
      <c r="N6396" s="4"/>
    </row>
    <row r="6397" spans="1:14" ht="12.75" customHeight="1" x14ac:dyDescent="0.2">
      <c r="A6397" s="398" t="s">
        <v>926</v>
      </c>
      <c r="B6397" s="271"/>
      <c r="C6397" s="271"/>
      <c r="D6397" s="271"/>
      <c r="E6397" s="271"/>
      <c r="F6397" s="271"/>
      <c r="G6397" s="271"/>
      <c r="H6397" s="271"/>
      <c r="I6397" s="271"/>
      <c r="J6397" s="271"/>
      <c r="K6397" s="271"/>
      <c r="L6397" s="271"/>
      <c r="M6397" s="271"/>
      <c r="N6397" s="273"/>
    </row>
    <row r="6398" spans="1:14" ht="12.75" customHeight="1" x14ac:dyDescent="0.2">
      <c r="A6398" s="396" t="s">
        <v>76</v>
      </c>
      <c r="B6398" s="271"/>
      <c r="C6398" s="271"/>
      <c r="D6398" s="271"/>
      <c r="E6398" s="271"/>
      <c r="F6398" s="271"/>
      <c r="G6398" s="273"/>
      <c r="H6398" s="88" t="s">
        <v>77</v>
      </c>
      <c r="I6398" s="399" t="s">
        <v>920</v>
      </c>
      <c r="J6398" s="273"/>
      <c r="K6398" s="399" t="s">
        <v>453</v>
      </c>
      <c r="L6398" s="273"/>
      <c r="M6398" s="399" t="s">
        <v>921</v>
      </c>
      <c r="N6398" s="273"/>
    </row>
    <row r="6399" spans="1:14" ht="12.75" customHeight="1" x14ac:dyDescent="0.2">
      <c r="A6399" s="400" t="s">
        <v>927</v>
      </c>
      <c r="B6399" s="271"/>
      <c r="C6399" s="271"/>
      <c r="D6399" s="271"/>
      <c r="E6399" s="271"/>
      <c r="F6399" s="271"/>
      <c r="G6399" s="273"/>
      <c r="H6399" s="29" t="str">
        <f>IF(A6399="","",VLOOKUP(A6399,AA_Equipos,7,FALSE))</f>
        <v>% M.O.</v>
      </c>
      <c r="I6399" s="394">
        <f>+M6422</f>
        <v>780.25431111111106</v>
      </c>
      <c r="J6399" s="273"/>
      <c r="K6399" s="404">
        <v>0.05</v>
      </c>
      <c r="L6399" s="273"/>
      <c r="M6399" s="394">
        <f t="shared" ref="M6399:M6403" si="874">IF(A6399="","",I6399*K6399)</f>
        <v>39.012715555555559</v>
      </c>
      <c r="N6399" s="273"/>
    </row>
    <row r="6400" spans="1:14" ht="12.75" customHeight="1" x14ac:dyDescent="0.2">
      <c r="A6400" s="403"/>
      <c r="B6400" s="271"/>
      <c r="C6400" s="271"/>
      <c r="D6400" s="271"/>
      <c r="E6400" s="271"/>
      <c r="F6400" s="271"/>
      <c r="G6400" s="273"/>
      <c r="H6400" s="29" t="str">
        <f>IF(A6400="","",VLOOKUP(A6400,AA_Equipos,7,FALSE))</f>
        <v/>
      </c>
      <c r="I6400" s="394" t="str">
        <f>IF(A6400="","",VLOOKUP(A6400,AA_Equipos,8,FALSE))</f>
        <v/>
      </c>
      <c r="J6400" s="273"/>
      <c r="K6400" s="402"/>
      <c r="L6400" s="273"/>
      <c r="M6400" s="394" t="str">
        <f t="shared" si="874"/>
        <v/>
      </c>
      <c r="N6400" s="273"/>
    </row>
    <row r="6401" spans="1:14" ht="12.75" customHeight="1" x14ac:dyDescent="0.2">
      <c r="A6401" s="400"/>
      <c r="B6401" s="271"/>
      <c r="C6401" s="271"/>
      <c r="D6401" s="271"/>
      <c r="E6401" s="271"/>
      <c r="F6401" s="271"/>
      <c r="G6401" s="273"/>
      <c r="H6401" s="29" t="str">
        <f>IF(A6401="","",VLOOKUP(A6401,AA_Equipos,7,FALSE))</f>
        <v/>
      </c>
      <c r="I6401" s="394" t="str">
        <f>IF(A6401="","",VLOOKUP(A6401,AA_Equipos,8,FALSE))</f>
        <v/>
      </c>
      <c r="J6401" s="273"/>
      <c r="K6401" s="402"/>
      <c r="L6401" s="273"/>
      <c r="M6401" s="394" t="str">
        <f t="shared" si="874"/>
        <v/>
      </c>
      <c r="N6401" s="273"/>
    </row>
    <row r="6402" spans="1:14" ht="12.75" customHeight="1" x14ac:dyDescent="0.2">
      <c r="A6402" s="400"/>
      <c r="B6402" s="271"/>
      <c r="C6402" s="271"/>
      <c r="D6402" s="271"/>
      <c r="E6402" s="271"/>
      <c r="F6402" s="271"/>
      <c r="G6402" s="273"/>
      <c r="H6402" s="29" t="str">
        <f>IF(A6402="","",VLOOKUP(A6402,AA_Equipos,7,FALSE))</f>
        <v/>
      </c>
      <c r="I6402" s="394" t="str">
        <f>IF(A6402="","",VLOOKUP(A6402,AA_Equipos,8,FALSE))</f>
        <v/>
      </c>
      <c r="J6402" s="273"/>
      <c r="K6402" s="402"/>
      <c r="L6402" s="273"/>
      <c r="M6402" s="394" t="str">
        <f t="shared" si="874"/>
        <v/>
      </c>
      <c r="N6402" s="273"/>
    </row>
    <row r="6403" spans="1:14" ht="12.75" customHeight="1" x14ac:dyDescent="0.2">
      <c r="A6403" s="400"/>
      <c r="B6403" s="271"/>
      <c r="C6403" s="271"/>
      <c r="D6403" s="271"/>
      <c r="E6403" s="271"/>
      <c r="F6403" s="271"/>
      <c r="G6403" s="273"/>
      <c r="H6403" s="29" t="str">
        <f>IF(A6403="","",VLOOKUP(A6403,AA_Equipos,7,FALSE))</f>
        <v/>
      </c>
      <c r="I6403" s="394" t="str">
        <f>IF(A6403="","",VLOOKUP(A6403,AA_Equipos,8,FALSE))</f>
        <v/>
      </c>
      <c r="J6403" s="273"/>
      <c r="K6403" s="395"/>
      <c r="L6403" s="273"/>
      <c r="M6403" s="394" t="str">
        <f t="shared" si="874"/>
        <v/>
      </c>
      <c r="N6403" s="273"/>
    </row>
    <row r="6404" spans="1:14" ht="12.75" customHeight="1" x14ac:dyDescent="0.25">
      <c r="A6404" s="4"/>
      <c r="B6404" s="4"/>
      <c r="C6404" s="4"/>
      <c r="D6404" s="4"/>
      <c r="E6404" s="4"/>
      <c r="F6404" s="4"/>
      <c r="G6404" s="4"/>
      <c r="H6404" s="4"/>
      <c r="I6404" s="4"/>
      <c r="J6404" s="4"/>
      <c r="K6404" s="396" t="s">
        <v>444</v>
      </c>
      <c r="L6404" s="273"/>
      <c r="M6404" s="394">
        <f>SUM(M6399:N6403)</f>
        <v>39.012715555555559</v>
      </c>
      <c r="N6404" s="273"/>
    </row>
    <row r="6405" spans="1:14" ht="12.75" customHeight="1" x14ac:dyDescent="0.25">
      <c r="A6405" s="4"/>
      <c r="B6405" s="4"/>
      <c r="C6405" s="4"/>
      <c r="D6405" s="4"/>
      <c r="E6405" s="4"/>
      <c r="F6405" s="4"/>
      <c r="G6405" s="4"/>
      <c r="H6405" s="4"/>
      <c r="I6405" s="4"/>
      <c r="J6405" s="4"/>
      <c r="K6405" s="4"/>
      <c r="L6405" s="4"/>
      <c r="M6405" s="4"/>
      <c r="N6405" s="4"/>
    </row>
    <row r="6406" spans="1:14" ht="12.75" customHeight="1" x14ac:dyDescent="0.2">
      <c r="A6406" s="398" t="s">
        <v>929</v>
      </c>
      <c r="B6406" s="271"/>
      <c r="C6406" s="271"/>
      <c r="D6406" s="271"/>
      <c r="E6406" s="271"/>
      <c r="F6406" s="271"/>
      <c r="G6406" s="271"/>
      <c r="H6406" s="271"/>
      <c r="I6406" s="271"/>
      <c r="J6406" s="271"/>
      <c r="K6406" s="271"/>
      <c r="L6406" s="271"/>
      <c r="M6406" s="271"/>
      <c r="N6406" s="273"/>
    </row>
    <row r="6407" spans="1:14" ht="12.75" customHeight="1" x14ac:dyDescent="0.2">
      <c r="A6407" s="396" t="s">
        <v>76</v>
      </c>
      <c r="B6407" s="271"/>
      <c r="C6407" s="271"/>
      <c r="D6407" s="271"/>
      <c r="E6407" s="271"/>
      <c r="F6407" s="271"/>
      <c r="G6407" s="273"/>
      <c r="H6407" s="88" t="s">
        <v>77</v>
      </c>
      <c r="I6407" s="399" t="s">
        <v>920</v>
      </c>
      <c r="J6407" s="273"/>
      <c r="K6407" s="399" t="s">
        <v>453</v>
      </c>
      <c r="L6407" s="273"/>
      <c r="M6407" s="399" t="s">
        <v>921</v>
      </c>
      <c r="N6407" s="273"/>
    </row>
    <row r="6408" spans="1:14" ht="12.75" customHeight="1" x14ac:dyDescent="0.2">
      <c r="A6408" s="400"/>
      <c r="B6408" s="271"/>
      <c r="C6408" s="271"/>
      <c r="D6408" s="271"/>
      <c r="E6408" s="271"/>
      <c r="F6408" s="271"/>
      <c r="G6408" s="273"/>
      <c r="H6408" s="29"/>
      <c r="I6408" s="394"/>
      <c r="J6408" s="273"/>
      <c r="K6408" s="404"/>
      <c r="L6408" s="273"/>
      <c r="M6408" s="394" t="str">
        <f t="shared" ref="M6408:M6412" si="875">IF(A6408="","",I6408*K6408)</f>
        <v/>
      </c>
      <c r="N6408" s="273"/>
    </row>
    <row r="6409" spans="1:14" ht="12.75" customHeight="1" x14ac:dyDescent="0.2">
      <c r="A6409" s="403"/>
      <c r="B6409" s="271"/>
      <c r="C6409" s="271"/>
      <c r="D6409" s="271"/>
      <c r="E6409" s="271"/>
      <c r="F6409" s="271"/>
      <c r="G6409" s="273"/>
      <c r="H6409" s="29"/>
      <c r="I6409" s="394"/>
      <c r="J6409" s="273"/>
      <c r="K6409" s="404"/>
      <c r="L6409" s="273"/>
      <c r="M6409" s="394" t="str">
        <f t="shared" si="875"/>
        <v/>
      </c>
      <c r="N6409" s="273"/>
    </row>
    <row r="6410" spans="1:14" ht="12.75" customHeight="1" x14ac:dyDescent="0.2">
      <c r="A6410" s="400"/>
      <c r="B6410" s="271"/>
      <c r="C6410" s="271"/>
      <c r="D6410" s="271"/>
      <c r="E6410" s="271"/>
      <c r="F6410" s="271"/>
      <c r="G6410" s="273"/>
      <c r="H6410" s="29"/>
      <c r="I6410" s="394"/>
      <c r="J6410" s="273"/>
      <c r="K6410" s="395"/>
      <c r="L6410" s="273"/>
      <c r="M6410" s="394" t="str">
        <f t="shared" si="875"/>
        <v/>
      </c>
      <c r="N6410" s="273"/>
    </row>
    <row r="6411" spans="1:14" ht="12.75" customHeight="1" x14ac:dyDescent="0.2">
      <c r="A6411" s="400"/>
      <c r="B6411" s="271"/>
      <c r="C6411" s="271"/>
      <c r="D6411" s="271"/>
      <c r="E6411" s="271"/>
      <c r="F6411" s="271"/>
      <c r="G6411" s="273"/>
      <c r="H6411" s="29"/>
      <c r="I6411" s="394"/>
      <c r="J6411" s="273"/>
      <c r="K6411" s="395"/>
      <c r="L6411" s="273"/>
      <c r="M6411" s="394" t="str">
        <f t="shared" si="875"/>
        <v/>
      </c>
      <c r="N6411" s="273"/>
    </row>
    <row r="6412" spans="1:14" ht="12.75" customHeight="1" x14ac:dyDescent="0.2">
      <c r="A6412" s="400"/>
      <c r="B6412" s="271"/>
      <c r="C6412" s="271"/>
      <c r="D6412" s="271"/>
      <c r="E6412" s="271"/>
      <c r="F6412" s="271"/>
      <c r="G6412" s="273"/>
      <c r="H6412" s="29"/>
      <c r="I6412" s="394"/>
      <c r="J6412" s="273"/>
      <c r="K6412" s="395"/>
      <c r="L6412" s="273"/>
      <c r="M6412" s="394" t="str">
        <f t="shared" si="875"/>
        <v/>
      </c>
      <c r="N6412" s="273"/>
    </row>
    <row r="6413" spans="1:14" ht="12.75" customHeight="1" x14ac:dyDescent="0.25">
      <c r="A6413" s="4"/>
      <c r="B6413" s="4"/>
      <c r="C6413" s="4"/>
      <c r="D6413" s="4"/>
      <c r="E6413" s="4"/>
      <c r="F6413" s="4"/>
      <c r="G6413" s="4"/>
      <c r="H6413" s="4"/>
      <c r="I6413" s="4"/>
      <c r="J6413" s="4"/>
      <c r="K6413" s="396" t="s">
        <v>444</v>
      </c>
      <c r="L6413" s="273"/>
      <c r="M6413" s="394">
        <f>SUM(M6408:N6412)</f>
        <v>0</v>
      </c>
      <c r="N6413" s="273"/>
    </row>
    <row r="6414" spans="1:14" ht="12.75" customHeight="1" x14ac:dyDescent="0.25">
      <c r="A6414" s="4"/>
      <c r="B6414" s="4"/>
      <c r="C6414" s="4"/>
      <c r="D6414" s="4"/>
      <c r="E6414" s="4"/>
      <c r="F6414" s="4"/>
      <c r="G6414" s="4"/>
      <c r="H6414" s="4"/>
      <c r="I6414" s="4"/>
      <c r="J6414" s="4"/>
      <c r="K6414" s="4"/>
      <c r="L6414" s="4"/>
      <c r="M6414" s="4"/>
      <c r="N6414" s="4"/>
    </row>
    <row r="6415" spans="1:14" ht="12.75" customHeight="1" x14ac:dyDescent="0.2">
      <c r="A6415" s="398" t="s">
        <v>931</v>
      </c>
      <c r="B6415" s="271"/>
      <c r="C6415" s="271"/>
      <c r="D6415" s="271"/>
      <c r="E6415" s="271"/>
      <c r="F6415" s="271"/>
      <c r="G6415" s="271"/>
      <c r="H6415" s="271"/>
      <c r="I6415" s="271"/>
      <c r="J6415" s="271"/>
      <c r="K6415" s="271"/>
      <c r="L6415" s="271"/>
      <c r="M6415" s="271"/>
      <c r="N6415" s="273"/>
    </row>
    <row r="6416" spans="1:14" ht="12.75" customHeight="1" x14ac:dyDescent="0.2">
      <c r="A6416" s="396" t="s">
        <v>76</v>
      </c>
      <c r="B6416" s="271"/>
      <c r="C6416" s="271"/>
      <c r="D6416" s="271"/>
      <c r="E6416" s="271"/>
      <c r="F6416" s="271"/>
      <c r="G6416" s="273"/>
      <c r="H6416" s="88" t="s">
        <v>77</v>
      </c>
      <c r="I6416" s="399" t="s">
        <v>920</v>
      </c>
      <c r="J6416" s="273"/>
      <c r="K6416" s="90" t="s">
        <v>514</v>
      </c>
      <c r="L6416" s="91" t="s">
        <v>932</v>
      </c>
      <c r="M6416" s="399" t="s">
        <v>921</v>
      </c>
      <c r="N6416" s="273"/>
    </row>
    <row r="6417" spans="1:14" ht="12.75" customHeight="1" x14ac:dyDescent="0.25">
      <c r="A6417" s="393" t="s">
        <v>986</v>
      </c>
      <c r="B6417" s="271"/>
      <c r="C6417" s="271"/>
      <c r="D6417" s="271"/>
      <c r="E6417" s="271"/>
      <c r="F6417" s="271"/>
      <c r="G6417" s="273"/>
      <c r="H6417" s="29" t="str">
        <f>IF(A6417="","",VLOOKUP(A6417,AA_Cuadrillas,4,FALSE))</f>
        <v>Cuadrilla</v>
      </c>
      <c r="I6417" s="394">
        <f>IF(A6417="","",VLOOKUP(A6417,AA_Cuadrillas,5,FALSE))</f>
        <v>186763</v>
      </c>
      <c r="J6417" s="273"/>
      <c r="K6417" s="9">
        <f>IF(A6417="","",F.P!$I$2)</f>
        <v>1.88</v>
      </c>
      <c r="L6417" s="93">
        <v>2.2222222222222222E-3</v>
      </c>
      <c r="M6417" s="394">
        <f t="shared" ref="M6417:M6421" si="876">IF(A6417="","",I6417*K6417*L6417)</f>
        <v>780.25431111111106</v>
      </c>
      <c r="N6417" s="273"/>
    </row>
    <row r="6418" spans="1:14" ht="12.75" customHeight="1" x14ac:dyDescent="0.25">
      <c r="A6418" s="393"/>
      <c r="B6418" s="271"/>
      <c r="C6418" s="271"/>
      <c r="D6418" s="271"/>
      <c r="E6418" s="271"/>
      <c r="F6418" s="271"/>
      <c r="G6418" s="273"/>
      <c r="H6418" s="29" t="str">
        <f>IF(A6418="","",VLOOKUP(A6418,AA_Cuadrillas,4,FALSE))</f>
        <v/>
      </c>
      <c r="I6418" s="394" t="str">
        <f>IF(A6418="","",VLOOKUP(A6418,AA_Cuadrillas,5,FALSE))</f>
        <v/>
      </c>
      <c r="J6418" s="273"/>
      <c r="K6418" s="9" t="str">
        <f>IF(A6418="","",F.P!$I$2)</f>
        <v/>
      </c>
      <c r="L6418" s="9"/>
      <c r="M6418" s="394" t="str">
        <f t="shared" si="876"/>
        <v/>
      </c>
      <c r="N6418" s="273"/>
    </row>
    <row r="6419" spans="1:14" ht="12.75" customHeight="1" x14ac:dyDescent="0.25">
      <c r="A6419" s="393"/>
      <c r="B6419" s="271"/>
      <c r="C6419" s="271"/>
      <c r="D6419" s="271"/>
      <c r="E6419" s="271"/>
      <c r="F6419" s="271"/>
      <c r="G6419" s="273"/>
      <c r="H6419" s="29" t="str">
        <f>IF(A6419="","",VLOOKUP(A6419,AA_Cuadrillas,4,FALSE))</f>
        <v/>
      </c>
      <c r="I6419" s="394" t="str">
        <f>IF(A6419="","",VLOOKUP(A6419,AA_Cuadrillas,5,FALSE))</f>
        <v/>
      </c>
      <c r="J6419" s="273"/>
      <c r="K6419" s="9" t="str">
        <f>IF(A6419="","",F.P!$I$2)</f>
        <v/>
      </c>
      <c r="L6419" s="37"/>
      <c r="M6419" s="394" t="str">
        <f t="shared" si="876"/>
        <v/>
      </c>
      <c r="N6419" s="273"/>
    </row>
    <row r="6420" spans="1:14" ht="12.75" customHeight="1" x14ac:dyDescent="0.25">
      <c r="A6420" s="393"/>
      <c r="B6420" s="271"/>
      <c r="C6420" s="271"/>
      <c r="D6420" s="271"/>
      <c r="E6420" s="271"/>
      <c r="F6420" s="271"/>
      <c r="G6420" s="273"/>
      <c r="H6420" s="29" t="str">
        <f>IF(A6420="","",VLOOKUP(A6420,AA_Cuadrillas,4,FALSE))</f>
        <v/>
      </c>
      <c r="I6420" s="394" t="str">
        <f>IF(A6420="","",VLOOKUP(A6420,AA_Cuadrillas,5,FALSE))</f>
        <v/>
      </c>
      <c r="J6420" s="273"/>
      <c r="K6420" s="9" t="str">
        <f>IF(A6420="","",F.P!$I$2)</f>
        <v/>
      </c>
      <c r="L6420" s="37"/>
      <c r="M6420" s="394" t="str">
        <f t="shared" si="876"/>
        <v/>
      </c>
      <c r="N6420" s="273"/>
    </row>
    <row r="6421" spans="1:14" ht="12.75" customHeight="1" x14ac:dyDescent="0.25">
      <c r="A6421" s="393"/>
      <c r="B6421" s="271"/>
      <c r="C6421" s="271"/>
      <c r="D6421" s="271"/>
      <c r="E6421" s="271"/>
      <c r="F6421" s="271"/>
      <c r="G6421" s="273"/>
      <c r="H6421" s="29" t="str">
        <f>IF(A6421="","",VLOOKUP(A6421,AA_Cuadrillas,4,FALSE))</f>
        <v/>
      </c>
      <c r="I6421" s="394" t="str">
        <f>IF(A6421="","",VLOOKUP(A6421,AA_Cuadrillas,5,FALSE))</f>
        <v/>
      </c>
      <c r="J6421" s="273"/>
      <c r="K6421" s="9" t="str">
        <f>IF(A6421="","",F.P!$I$2)</f>
        <v/>
      </c>
      <c r="L6421" s="37"/>
      <c r="M6421" s="394" t="str">
        <f t="shared" si="876"/>
        <v/>
      </c>
      <c r="N6421" s="273"/>
    </row>
    <row r="6422" spans="1:14" ht="12.75" customHeight="1" x14ac:dyDescent="0.25">
      <c r="A6422" s="4"/>
      <c r="B6422" s="4"/>
      <c r="C6422" s="4"/>
      <c r="D6422" s="4"/>
      <c r="E6422" s="4"/>
      <c r="F6422" s="4"/>
      <c r="G6422" s="4"/>
      <c r="H6422" s="4"/>
      <c r="I6422" s="4"/>
      <c r="J6422" s="4"/>
      <c r="K6422" s="396" t="s">
        <v>444</v>
      </c>
      <c r="L6422" s="273"/>
      <c r="M6422" s="394">
        <f>SUM(M6417:N6421)</f>
        <v>780.25431111111106</v>
      </c>
      <c r="N6422" s="273"/>
    </row>
    <row r="6423" spans="1:14" ht="12.75" customHeight="1" x14ac:dyDescent="0.2"/>
    <row r="6424" spans="1:14" ht="12.75" customHeight="1" x14ac:dyDescent="0.2">
      <c r="A6424" s="407" t="s">
        <v>1270</v>
      </c>
      <c r="B6424" s="275"/>
      <c r="C6424" s="275"/>
      <c r="D6424" s="275"/>
      <c r="E6424" s="275"/>
      <c r="F6424" s="275"/>
      <c r="G6424" s="275"/>
      <c r="H6424" s="275"/>
      <c r="I6424" s="275"/>
      <c r="J6424" s="275"/>
      <c r="K6424" s="275"/>
      <c r="L6424" s="275"/>
      <c r="M6424" s="275"/>
      <c r="N6424" s="276"/>
    </row>
    <row r="6425" spans="1:14" ht="12.75" customHeight="1" x14ac:dyDescent="0.2">
      <c r="A6425" s="277"/>
      <c r="B6425" s="278"/>
      <c r="C6425" s="278"/>
      <c r="D6425" s="278"/>
      <c r="E6425" s="278"/>
      <c r="F6425" s="278"/>
      <c r="G6425" s="278"/>
      <c r="H6425" s="278"/>
      <c r="I6425" s="278"/>
      <c r="J6425" s="278"/>
      <c r="K6425" s="278"/>
      <c r="L6425" s="278"/>
      <c r="M6425" s="278"/>
      <c r="N6425" s="279"/>
    </row>
    <row r="6426" spans="1:14" ht="12.75" customHeight="1" x14ac:dyDescent="0.2">
      <c r="A6426" s="75"/>
      <c r="B6426" s="75"/>
      <c r="C6426" s="75"/>
      <c r="D6426" s="75"/>
      <c r="E6426" s="75"/>
      <c r="F6426" s="75"/>
      <c r="G6426" s="75"/>
      <c r="H6426" s="75"/>
      <c r="I6426" s="75"/>
      <c r="J6426" s="75"/>
      <c r="K6426" s="75"/>
      <c r="L6426" s="75"/>
      <c r="M6426" s="75"/>
      <c r="N6426" s="75"/>
    </row>
    <row r="6427" spans="1:14" ht="12.75" customHeight="1" x14ac:dyDescent="0.3">
      <c r="A6427" s="79" t="s">
        <v>762</v>
      </c>
      <c r="B6427" s="80" t="str">
        <f>A6424</f>
        <v>CERRAMIENTO ALAMBRE DE PÚAS CON POSTES EN CONCRETO CADA 2,5M</v>
      </c>
      <c r="C6427" s="81" t="s">
        <v>916</v>
      </c>
      <c r="D6427" s="82" t="s">
        <v>981</v>
      </c>
      <c r="E6427" s="83" t="s">
        <v>445</v>
      </c>
      <c r="F6427" s="86">
        <f>H6427+J6427+L6427+N6427</f>
        <v>42440.793026186919</v>
      </c>
      <c r="G6427" s="83" t="s">
        <v>607</v>
      </c>
      <c r="H6427" s="86">
        <f>M6439</f>
        <v>39015.345122082785</v>
      </c>
      <c r="I6427" s="83" t="s">
        <v>918</v>
      </c>
      <c r="J6427" s="86">
        <f>M6448</f>
        <v>70.222887999999998</v>
      </c>
      <c r="K6427" s="83" t="s">
        <v>609</v>
      </c>
      <c r="L6427" s="86">
        <f>M6457</f>
        <v>1950.7672561041393</v>
      </c>
      <c r="M6427" s="83" t="s">
        <v>610</v>
      </c>
      <c r="N6427" s="86">
        <f>M6466</f>
        <v>1404.45776</v>
      </c>
    </row>
    <row r="6428" spans="1:14" ht="12.75" customHeight="1" x14ac:dyDescent="0.25">
      <c r="A6428" s="87"/>
      <c r="B6428" s="87"/>
      <c r="C6428" s="87"/>
      <c r="D6428" s="87"/>
      <c r="E6428" s="87"/>
      <c r="F6428" s="87"/>
      <c r="G6428" s="87"/>
      <c r="J6428" s="87"/>
      <c r="K6428" s="215" t="s">
        <v>3217</v>
      </c>
      <c r="L6428" s="215">
        <f>+F6427*presup!$O$5</f>
        <v>55173.030934042996</v>
      </c>
      <c r="M6428" s="87"/>
      <c r="N6428" s="87"/>
    </row>
    <row r="6429" spans="1:14" ht="12.75" customHeight="1" x14ac:dyDescent="0.2">
      <c r="A6429" s="398" t="s">
        <v>919</v>
      </c>
      <c r="B6429" s="271"/>
      <c r="C6429" s="271"/>
      <c r="D6429" s="271"/>
      <c r="E6429" s="271"/>
      <c r="F6429" s="271"/>
      <c r="G6429" s="271"/>
      <c r="H6429" s="271"/>
      <c r="I6429" s="271"/>
      <c r="J6429" s="271"/>
      <c r="K6429" s="271"/>
      <c r="L6429" s="271"/>
      <c r="M6429" s="271"/>
      <c r="N6429" s="273"/>
    </row>
    <row r="6430" spans="1:14" ht="12.75" customHeight="1" x14ac:dyDescent="0.2">
      <c r="A6430" s="396" t="s">
        <v>76</v>
      </c>
      <c r="B6430" s="271"/>
      <c r="C6430" s="271"/>
      <c r="D6430" s="271"/>
      <c r="E6430" s="271"/>
      <c r="F6430" s="271"/>
      <c r="G6430" s="273"/>
      <c r="H6430" s="88" t="s">
        <v>77</v>
      </c>
      <c r="I6430" s="399" t="s">
        <v>920</v>
      </c>
      <c r="J6430" s="273"/>
      <c r="K6430" s="399" t="s">
        <v>453</v>
      </c>
      <c r="L6430" s="273"/>
      <c r="M6430" s="399" t="s">
        <v>921</v>
      </c>
      <c r="N6430" s="273"/>
    </row>
    <row r="6431" spans="1:14" ht="12.75" customHeight="1" x14ac:dyDescent="0.2">
      <c r="A6431" s="400" t="s">
        <v>1271</v>
      </c>
      <c r="B6431" s="271"/>
      <c r="C6431" s="271"/>
      <c r="D6431" s="271"/>
      <c r="E6431" s="271"/>
      <c r="F6431" s="271"/>
      <c r="G6431" s="273"/>
      <c r="H6431" s="29" t="str">
        <f t="shared" ref="H6431:H6436" si="877">IF(A6431="","",VLOOKUP(A6431,AA_Materiales,7,FALSE))</f>
        <v>Kg</v>
      </c>
      <c r="I6431" s="394">
        <f t="shared" ref="I6431:I6438" si="878">IF(A6431="","",VLOOKUP(A6431,AA_Materiales,8,FALSE))</f>
        <v>6068.93</v>
      </c>
      <c r="J6431" s="273"/>
      <c r="K6431" s="395">
        <v>0.15</v>
      </c>
      <c r="L6431" s="273"/>
      <c r="M6431" s="394">
        <f t="shared" ref="M6431:M6438" si="879">IF(A6431="","",I6431*K6431)</f>
        <v>910.33950000000004</v>
      </c>
      <c r="N6431" s="273"/>
    </row>
    <row r="6432" spans="1:14" ht="12.75" customHeight="1" x14ac:dyDescent="0.2">
      <c r="A6432" s="400" t="s">
        <v>1272</v>
      </c>
      <c r="B6432" s="271"/>
      <c r="C6432" s="271"/>
      <c r="D6432" s="271"/>
      <c r="E6432" s="271"/>
      <c r="F6432" s="271"/>
      <c r="G6432" s="273"/>
      <c r="H6432" s="29" t="str">
        <f t="shared" si="877"/>
        <v>LB</v>
      </c>
      <c r="I6432" s="394">
        <f t="shared" si="878"/>
        <v>8129.57</v>
      </c>
      <c r="J6432" s="273"/>
      <c r="K6432" s="395">
        <v>0.15</v>
      </c>
      <c r="L6432" s="273"/>
      <c r="M6432" s="394">
        <f t="shared" si="879"/>
        <v>1219.4354999999998</v>
      </c>
      <c r="N6432" s="273"/>
    </row>
    <row r="6433" spans="1:14" ht="12.75" customHeight="1" x14ac:dyDescent="0.2">
      <c r="A6433" s="400" t="s">
        <v>1273</v>
      </c>
      <c r="B6433" s="271"/>
      <c r="C6433" s="271"/>
      <c r="D6433" s="271"/>
      <c r="E6433" s="271"/>
      <c r="F6433" s="271"/>
      <c r="G6433" s="273"/>
      <c r="H6433" s="29" t="str">
        <f t="shared" si="877"/>
        <v>Unidad</v>
      </c>
      <c r="I6433" s="394">
        <f t="shared" si="878"/>
        <v>89801.29</v>
      </c>
      <c r="J6433" s="273"/>
      <c r="K6433" s="395">
        <v>0.4</v>
      </c>
      <c r="L6433" s="273"/>
      <c r="M6433" s="394">
        <f t="shared" si="879"/>
        <v>35920.515999999996</v>
      </c>
      <c r="N6433" s="273"/>
    </row>
    <row r="6434" spans="1:14" ht="12.75" customHeight="1" x14ac:dyDescent="0.2">
      <c r="A6434" s="400" t="s">
        <v>987</v>
      </c>
      <c r="B6434" s="271"/>
      <c r="C6434" s="271"/>
      <c r="D6434" s="271"/>
      <c r="E6434" s="271"/>
      <c r="F6434" s="271"/>
      <c r="G6434" s="273"/>
      <c r="H6434" s="29" t="str">
        <f t="shared" si="877"/>
        <v>m3</v>
      </c>
      <c r="I6434" s="394">
        <f t="shared" si="878"/>
        <v>965054.12208278815</v>
      </c>
      <c r="J6434" s="273"/>
      <c r="K6434" s="395">
        <v>1E-3</v>
      </c>
      <c r="L6434" s="273"/>
      <c r="M6434" s="394">
        <f t="shared" si="879"/>
        <v>965.05412208278813</v>
      </c>
      <c r="N6434" s="273"/>
    </row>
    <row r="6435" spans="1:14" ht="12.75" customHeight="1" x14ac:dyDescent="0.2">
      <c r="A6435" s="400"/>
      <c r="B6435" s="271"/>
      <c r="C6435" s="271"/>
      <c r="D6435" s="271"/>
      <c r="E6435" s="271"/>
      <c r="F6435" s="271"/>
      <c r="G6435" s="273"/>
      <c r="H6435" s="29" t="str">
        <f t="shared" si="877"/>
        <v/>
      </c>
      <c r="I6435" s="394" t="str">
        <f t="shared" si="878"/>
        <v/>
      </c>
      <c r="J6435" s="273"/>
      <c r="K6435" s="395"/>
      <c r="L6435" s="273"/>
      <c r="M6435" s="394" t="str">
        <f t="shared" si="879"/>
        <v/>
      </c>
      <c r="N6435" s="273"/>
    </row>
    <row r="6436" spans="1:14" ht="12.75" customHeight="1" x14ac:dyDescent="0.2">
      <c r="A6436" s="400"/>
      <c r="B6436" s="271"/>
      <c r="C6436" s="271"/>
      <c r="D6436" s="271"/>
      <c r="E6436" s="271"/>
      <c r="F6436" s="271"/>
      <c r="G6436" s="273"/>
      <c r="H6436" s="29" t="str">
        <f t="shared" si="877"/>
        <v/>
      </c>
      <c r="I6436" s="394" t="str">
        <f t="shared" si="878"/>
        <v/>
      </c>
      <c r="J6436" s="273"/>
      <c r="K6436" s="395"/>
      <c r="L6436" s="273"/>
      <c r="M6436" s="394" t="str">
        <f t="shared" si="879"/>
        <v/>
      </c>
      <c r="N6436" s="273"/>
    </row>
    <row r="6437" spans="1:14" ht="12.75" customHeight="1" x14ac:dyDescent="0.2">
      <c r="A6437" s="400"/>
      <c r="B6437" s="271"/>
      <c r="C6437" s="271"/>
      <c r="D6437" s="271"/>
      <c r="E6437" s="271"/>
      <c r="F6437" s="271"/>
      <c r="G6437" s="273"/>
      <c r="H6437" s="29"/>
      <c r="I6437" s="394" t="str">
        <f t="shared" si="878"/>
        <v/>
      </c>
      <c r="J6437" s="273"/>
      <c r="K6437" s="395"/>
      <c r="L6437" s="273"/>
      <c r="M6437" s="394" t="str">
        <f t="shared" si="879"/>
        <v/>
      </c>
      <c r="N6437" s="273"/>
    </row>
    <row r="6438" spans="1:14" ht="12.75" customHeight="1" x14ac:dyDescent="0.2">
      <c r="A6438" s="400"/>
      <c r="B6438" s="271"/>
      <c r="C6438" s="271"/>
      <c r="D6438" s="271"/>
      <c r="E6438" s="271"/>
      <c r="F6438" s="271"/>
      <c r="G6438" s="273"/>
      <c r="H6438" s="29" t="str">
        <f>IF(A6438="","",VLOOKUP(A6438,AA_Materiales,7,FALSE))</f>
        <v/>
      </c>
      <c r="I6438" s="394" t="str">
        <f t="shared" si="878"/>
        <v/>
      </c>
      <c r="J6438" s="273"/>
      <c r="K6438" s="395"/>
      <c r="L6438" s="273"/>
      <c r="M6438" s="394" t="str">
        <f t="shared" si="879"/>
        <v/>
      </c>
      <c r="N6438" s="273"/>
    </row>
    <row r="6439" spans="1:14" ht="12.75" customHeight="1" x14ac:dyDescent="0.25">
      <c r="A6439" s="4"/>
      <c r="B6439" s="4"/>
      <c r="C6439" s="4"/>
      <c r="D6439" s="4"/>
      <c r="E6439" s="4"/>
      <c r="F6439" s="4"/>
      <c r="G6439" s="4"/>
      <c r="H6439" s="4"/>
      <c r="I6439" s="4"/>
      <c r="J6439" s="4"/>
      <c r="K6439" s="396" t="s">
        <v>444</v>
      </c>
      <c r="L6439" s="273"/>
      <c r="M6439" s="394">
        <f>SUM(M6431:N6438)</f>
        <v>39015.345122082785</v>
      </c>
      <c r="N6439" s="273"/>
    </row>
    <row r="6440" spans="1:14" ht="12.75" customHeight="1" x14ac:dyDescent="0.25">
      <c r="A6440" s="4"/>
      <c r="B6440" s="4"/>
      <c r="C6440" s="4"/>
      <c r="D6440" s="4"/>
      <c r="E6440" s="4"/>
      <c r="F6440" s="4"/>
      <c r="G6440" s="4"/>
      <c r="H6440" s="4"/>
      <c r="I6440" s="4"/>
      <c r="J6440" s="4"/>
      <c r="K6440" s="4"/>
      <c r="L6440" s="4"/>
      <c r="M6440" s="4"/>
      <c r="N6440" s="4"/>
    </row>
    <row r="6441" spans="1:14" ht="12.75" customHeight="1" x14ac:dyDescent="0.2">
      <c r="A6441" s="398" t="s">
        <v>926</v>
      </c>
      <c r="B6441" s="271"/>
      <c r="C6441" s="271"/>
      <c r="D6441" s="271"/>
      <c r="E6441" s="271"/>
      <c r="F6441" s="271"/>
      <c r="G6441" s="271"/>
      <c r="H6441" s="271"/>
      <c r="I6441" s="271"/>
      <c r="J6441" s="271"/>
      <c r="K6441" s="271"/>
      <c r="L6441" s="271"/>
      <c r="M6441" s="271"/>
      <c r="N6441" s="273"/>
    </row>
    <row r="6442" spans="1:14" ht="12.75" customHeight="1" x14ac:dyDescent="0.2">
      <c r="A6442" s="396" t="s">
        <v>76</v>
      </c>
      <c r="B6442" s="271"/>
      <c r="C6442" s="271"/>
      <c r="D6442" s="271"/>
      <c r="E6442" s="271"/>
      <c r="F6442" s="271"/>
      <c r="G6442" s="273"/>
      <c r="H6442" s="88" t="s">
        <v>77</v>
      </c>
      <c r="I6442" s="399" t="s">
        <v>920</v>
      </c>
      <c r="J6442" s="273"/>
      <c r="K6442" s="399" t="s">
        <v>453</v>
      </c>
      <c r="L6442" s="273"/>
      <c r="M6442" s="399" t="s">
        <v>921</v>
      </c>
      <c r="N6442" s="273"/>
    </row>
    <row r="6443" spans="1:14" ht="12.75" customHeight="1" x14ac:dyDescent="0.2">
      <c r="A6443" s="400" t="s">
        <v>927</v>
      </c>
      <c r="B6443" s="271"/>
      <c r="C6443" s="271"/>
      <c r="D6443" s="271"/>
      <c r="E6443" s="271"/>
      <c r="F6443" s="271"/>
      <c r="G6443" s="273"/>
      <c r="H6443" s="29" t="str">
        <f>IF(A6443="","",VLOOKUP(A6443,AA_Equipos,7,FALSE))</f>
        <v>% M.O.</v>
      </c>
      <c r="I6443" s="394">
        <f>+M6466</f>
        <v>1404.45776</v>
      </c>
      <c r="J6443" s="273"/>
      <c r="K6443" s="404">
        <v>0.05</v>
      </c>
      <c r="L6443" s="273"/>
      <c r="M6443" s="394">
        <f t="shared" ref="M6443:M6447" si="880">IF(A6443="","",I6443*K6443)</f>
        <v>70.222887999999998</v>
      </c>
      <c r="N6443" s="273"/>
    </row>
    <row r="6444" spans="1:14" ht="12.75" customHeight="1" x14ac:dyDescent="0.2">
      <c r="A6444" s="403"/>
      <c r="B6444" s="271"/>
      <c r="C6444" s="271"/>
      <c r="D6444" s="271"/>
      <c r="E6444" s="271"/>
      <c r="F6444" s="271"/>
      <c r="G6444" s="273"/>
      <c r="H6444" s="29" t="str">
        <f>IF(A6444="","",VLOOKUP(A6444,AA_Equipos,7,FALSE))</f>
        <v/>
      </c>
      <c r="I6444" s="394" t="str">
        <f>IF(A6444="","",VLOOKUP(A6444,AA_Equipos,8,FALSE))</f>
        <v/>
      </c>
      <c r="J6444" s="273"/>
      <c r="K6444" s="402"/>
      <c r="L6444" s="273"/>
      <c r="M6444" s="394" t="str">
        <f t="shared" si="880"/>
        <v/>
      </c>
      <c r="N6444" s="273"/>
    </row>
    <row r="6445" spans="1:14" ht="12.75" customHeight="1" x14ac:dyDescent="0.2">
      <c r="A6445" s="400"/>
      <c r="B6445" s="271"/>
      <c r="C6445" s="271"/>
      <c r="D6445" s="271"/>
      <c r="E6445" s="271"/>
      <c r="F6445" s="271"/>
      <c r="G6445" s="273"/>
      <c r="H6445" s="29" t="str">
        <f>IF(A6445="","",VLOOKUP(A6445,AA_Equipos,7,FALSE))</f>
        <v/>
      </c>
      <c r="I6445" s="394" t="str">
        <f>IF(A6445="","",VLOOKUP(A6445,AA_Equipos,8,FALSE))</f>
        <v/>
      </c>
      <c r="J6445" s="273"/>
      <c r="K6445" s="402"/>
      <c r="L6445" s="273"/>
      <c r="M6445" s="394" t="str">
        <f t="shared" si="880"/>
        <v/>
      </c>
      <c r="N6445" s="273"/>
    </row>
    <row r="6446" spans="1:14" ht="12.75" customHeight="1" x14ac:dyDescent="0.2">
      <c r="A6446" s="400"/>
      <c r="B6446" s="271"/>
      <c r="C6446" s="271"/>
      <c r="D6446" s="271"/>
      <c r="E6446" s="271"/>
      <c r="F6446" s="271"/>
      <c r="G6446" s="273"/>
      <c r="H6446" s="29" t="str">
        <f>IF(A6446="","",VLOOKUP(A6446,AA_Equipos,7,FALSE))</f>
        <v/>
      </c>
      <c r="I6446" s="394" t="str">
        <f>IF(A6446="","",VLOOKUP(A6446,AA_Equipos,8,FALSE))</f>
        <v/>
      </c>
      <c r="J6446" s="273"/>
      <c r="K6446" s="402"/>
      <c r="L6446" s="273"/>
      <c r="M6446" s="394" t="str">
        <f t="shared" si="880"/>
        <v/>
      </c>
      <c r="N6446" s="273"/>
    </row>
    <row r="6447" spans="1:14" ht="12.75" customHeight="1" x14ac:dyDescent="0.2">
      <c r="A6447" s="400"/>
      <c r="B6447" s="271"/>
      <c r="C6447" s="271"/>
      <c r="D6447" s="271"/>
      <c r="E6447" s="271"/>
      <c r="F6447" s="271"/>
      <c r="G6447" s="273"/>
      <c r="H6447" s="29" t="str">
        <f>IF(A6447="","",VLOOKUP(A6447,AA_Equipos,7,FALSE))</f>
        <v/>
      </c>
      <c r="I6447" s="394" t="str">
        <f>IF(A6447="","",VLOOKUP(A6447,AA_Equipos,8,FALSE))</f>
        <v/>
      </c>
      <c r="J6447" s="273"/>
      <c r="K6447" s="395"/>
      <c r="L6447" s="273"/>
      <c r="M6447" s="394" t="str">
        <f t="shared" si="880"/>
        <v/>
      </c>
      <c r="N6447" s="273"/>
    </row>
    <row r="6448" spans="1:14" ht="12.75" customHeight="1" x14ac:dyDescent="0.25">
      <c r="A6448" s="4"/>
      <c r="B6448" s="4"/>
      <c r="C6448" s="4"/>
      <c r="D6448" s="4"/>
      <c r="E6448" s="4"/>
      <c r="F6448" s="4"/>
      <c r="G6448" s="4"/>
      <c r="H6448" s="4"/>
      <c r="I6448" s="4"/>
      <c r="J6448" s="4"/>
      <c r="K6448" s="396" t="s">
        <v>444</v>
      </c>
      <c r="L6448" s="273"/>
      <c r="M6448" s="394">
        <f>SUM(M6443:N6447)</f>
        <v>70.222887999999998</v>
      </c>
      <c r="N6448" s="273"/>
    </row>
    <row r="6449" spans="1:14" ht="12.75" customHeight="1" x14ac:dyDescent="0.25">
      <c r="A6449" s="4"/>
      <c r="B6449" s="4"/>
      <c r="C6449" s="4"/>
      <c r="D6449" s="4"/>
      <c r="E6449" s="4"/>
      <c r="F6449" s="4"/>
      <c r="G6449" s="4"/>
      <c r="H6449" s="4"/>
      <c r="I6449" s="4"/>
      <c r="J6449" s="4"/>
      <c r="K6449" s="4"/>
      <c r="L6449" s="4"/>
      <c r="M6449" s="4"/>
      <c r="N6449" s="4"/>
    </row>
    <row r="6450" spans="1:14" ht="12.75" customHeight="1" x14ac:dyDescent="0.2">
      <c r="A6450" s="398" t="s">
        <v>929</v>
      </c>
      <c r="B6450" s="271"/>
      <c r="C6450" s="271"/>
      <c r="D6450" s="271"/>
      <c r="E6450" s="271"/>
      <c r="F6450" s="271"/>
      <c r="G6450" s="271"/>
      <c r="H6450" s="271"/>
      <c r="I6450" s="271"/>
      <c r="J6450" s="271"/>
      <c r="K6450" s="271"/>
      <c r="L6450" s="271"/>
      <c r="M6450" s="271"/>
      <c r="N6450" s="273"/>
    </row>
    <row r="6451" spans="1:14" ht="12.75" customHeight="1" x14ac:dyDescent="0.2">
      <c r="A6451" s="396" t="s">
        <v>76</v>
      </c>
      <c r="B6451" s="271"/>
      <c r="C6451" s="271"/>
      <c r="D6451" s="271"/>
      <c r="E6451" s="271"/>
      <c r="F6451" s="271"/>
      <c r="G6451" s="273"/>
      <c r="H6451" s="88" t="s">
        <v>77</v>
      </c>
      <c r="I6451" s="399" t="s">
        <v>920</v>
      </c>
      <c r="J6451" s="273"/>
      <c r="K6451" s="399" t="s">
        <v>453</v>
      </c>
      <c r="L6451" s="273"/>
      <c r="M6451" s="399" t="s">
        <v>921</v>
      </c>
      <c r="N6451" s="273"/>
    </row>
    <row r="6452" spans="1:14" ht="12.75" customHeight="1" x14ac:dyDescent="0.2">
      <c r="A6452" s="400" t="s">
        <v>966</v>
      </c>
      <c r="B6452" s="271"/>
      <c r="C6452" s="271"/>
      <c r="D6452" s="271"/>
      <c r="E6452" s="271"/>
      <c r="F6452" s="271"/>
      <c r="G6452" s="273"/>
      <c r="H6452" s="29" t="s">
        <v>950</v>
      </c>
      <c r="I6452" s="394">
        <f>+M6439</f>
        <v>39015.345122082785</v>
      </c>
      <c r="J6452" s="273"/>
      <c r="K6452" s="404">
        <v>0.05</v>
      </c>
      <c r="L6452" s="273"/>
      <c r="M6452" s="394">
        <f t="shared" ref="M6452:M6456" si="881">IF(A6452="","",I6452*K6452)</f>
        <v>1950.7672561041393</v>
      </c>
      <c r="N6452" s="273"/>
    </row>
    <row r="6453" spans="1:14" ht="12.75" customHeight="1" x14ac:dyDescent="0.2">
      <c r="A6453" s="403"/>
      <c r="B6453" s="271"/>
      <c r="C6453" s="271"/>
      <c r="D6453" s="271"/>
      <c r="E6453" s="271"/>
      <c r="F6453" s="271"/>
      <c r="G6453" s="273"/>
      <c r="H6453" s="29"/>
      <c r="I6453" s="394"/>
      <c r="J6453" s="273"/>
      <c r="K6453" s="404"/>
      <c r="L6453" s="273"/>
      <c r="M6453" s="394" t="str">
        <f t="shared" si="881"/>
        <v/>
      </c>
      <c r="N6453" s="273"/>
    </row>
    <row r="6454" spans="1:14" ht="12.75" customHeight="1" x14ac:dyDescent="0.2">
      <c r="A6454" s="400"/>
      <c r="B6454" s="271"/>
      <c r="C6454" s="271"/>
      <c r="D6454" s="271"/>
      <c r="E6454" s="271"/>
      <c r="F6454" s="271"/>
      <c r="G6454" s="273"/>
      <c r="H6454" s="29"/>
      <c r="I6454" s="394"/>
      <c r="J6454" s="273"/>
      <c r="K6454" s="395"/>
      <c r="L6454" s="273"/>
      <c r="M6454" s="394" t="str">
        <f t="shared" si="881"/>
        <v/>
      </c>
      <c r="N6454" s="273"/>
    </row>
    <row r="6455" spans="1:14" ht="12.75" customHeight="1" x14ac:dyDescent="0.2">
      <c r="A6455" s="400"/>
      <c r="B6455" s="271"/>
      <c r="C6455" s="271"/>
      <c r="D6455" s="271"/>
      <c r="E6455" s="271"/>
      <c r="F6455" s="271"/>
      <c r="G6455" s="273"/>
      <c r="H6455" s="29"/>
      <c r="I6455" s="394"/>
      <c r="J6455" s="273"/>
      <c r="K6455" s="395"/>
      <c r="L6455" s="273"/>
      <c r="M6455" s="394" t="str">
        <f t="shared" si="881"/>
        <v/>
      </c>
      <c r="N6455" s="273"/>
    </row>
    <row r="6456" spans="1:14" ht="12.75" customHeight="1" x14ac:dyDescent="0.2">
      <c r="A6456" s="400"/>
      <c r="B6456" s="271"/>
      <c r="C6456" s="271"/>
      <c r="D6456" s="271"/>
      <c r="E6456" s="271"/>
      <c r="F6456" s="271"/>
      <c r="G6456" s="273"/>
      <c r="H6456" s="29"/>
      <c r="I6456" s="394"/>
      <c r="J6456" s="273"/>
      <c r="K6456" s="395"/>
      <c r="L6456" s="273"/>
      <c r="M6456" s="394" t="str">
        <f t="shared" si="881"/>
        <v/>
      </c>
      <c r="N6456" s="273"/>
    </row>
    <row r="6457" spans="1:14" ht="12.75" customHeight="1" x14ac:dyDescent="0.25">
      <c r="A6457" s="4"/>
      <c r="B6457" s="4"/>
      <c r="C6457" s="4"/>
      <c r="D6457" s="4"/>
      <c r="E6457" s="4"/>
      <c r="F6457" s="4"/>
      <c r="G6457" s="4"/>
      <c r="H6457" s="4"/>
      <c r="I6457" s="4"/>
      <c r="J6457" s="4"/>
      <c r="K6457" s="396" t="s">
        <v>444</v>
      </c>
      <c r="L6457" s="273"/>
      <c r="M6457" s="394">
        <f>SUM(M6452:N6456)</f>
        <v>1950.7672561041393</v>
      </c>
      <c r="N6457" s="273"/>
    </row>
    <row r="6458" spans="1:14" ht="12.75" customHeight="1" x14ac:dyDescent="0.25">
      <c r="A6458" s="4"/>
      <c r="B6458" s="4"/>
      <c r="C6458" s="4"/>
      <c r="D6458" s="4"/>
      <c r="E6458" s="4"/>
      <c r="F6458" s="4"/>
      <c r="G6458" s="4"/>
      <c r="H6458" s="4"/>
      <c r="I6458" s="4"/>
      <c r="J6458" s="4"/>
      <c r="K6458" s="4"/>
      <c r="L6458" s="4"/>
      <c r="M6458" s="4"/>
      <c r="N6458" s="4"/>
    </row>
    <row r="6459" spans="1:14" ht="12.75" customHeight="1" x14ac:dyDescent="0.2">
      <c r="A6459" s="398" t="s">
        <v>931</v>
      </c>
      <c r="B6459" s="271"/>
      <c r="C6459" s="271"/>
      <c r="D6459" s="271"/>
      <c r="E6459" s="271"/>
      <c r="F6459" s="271"/>
      <c r="G6459" s="271"/>
      <c r="H6459" s="271"/>
      <c r="I6459" s="271"/>
      <c r="J6459" s="271"/>
      <c r="K6459" s="271"/>
      <c r="L6459" s="271"/>
      <c r="M6459" s="271"/>
      <c r="N6459" s="273"/>
    </row>
    <row r="6460" spans="1:14" ht="12.75" customHeight="1" x14ac:dyDescent="0.2">
      <c r="A6460" s="396" t="s">
        <v>76</v>
      </c>
      <c r="B6460" s="271"/>
      <c r="C6460" s="271"/>
      <c r="D6460" s="271"/>
      <c r="E6460" s="271"/>
      <c r="F6460" s="271"/>
      <c r="G6460" s="273"/>
      <c r="H6460" s="88" t="s">
        <v>77</v>
      </c>
      <c r="I6460" s="399" t="s">
        <v>920</v>
      </c>
      <c r="J6460" s="273"/>
      <c r="K6460" s="90" t="s">
        <v>514</v>
      </c>
      <c r="L6460" s="91" t="s">
        <v>932</v>
      </c>
      <c r="M6460" s="399" t="s">
        <v>921</v>
      </c>
      <c r="N6460" s="273"/>
    </row>
    <row r="6461" spans="1:14" ht="12.75" customHeight="1" x14ac:dyDescent="0.25">
      <c r="A6461" s="393" t="s">
        <v>986</v>
      </c>
      <c r="B6461" s="271"/>
      <c r="C6461" s="271"/>
      <c r="D6461" s="271"/>
      <c r="E6461" s="271"/>
      <c r="F6461" s="271"/>
      <c r="G6461" s="273"/>
      <c r="H6461" s="29" t="str">
        <f>IF(A6461="","",VLOOKUP(A6461,AA_Cuadrillas,4,FALSE))</f>
        <v>Cuadrilla</v>
      </c>
      <c r="I6461" s="394">
        <f>IF(A6461="","",VLOOKUP(A6461,AA_Cuadrillas,5,FALSE))</f>
        <v>186763</v>
      </c>
      <c r="J6461" s="273"/>
      <c r="K6461" s="9">
        <f>IF(A6461="","",F.P!$I$2)</f>
        <v>1.88</v>
      </c>
      <c r="L6461" s="93">
        <v>4.0000000000000001E-3</v>
      </c>
      <c r="M6461" s="394">
        <f t="shared" ref="M6461:M6465" si="882">IF(A6461="","",I6461*K6461*L6461)</f>
        <v>1404.45776</v>
      </c>
      <c r="N6461" s="273"/>
    </row>
    <row r="6462" spans="1:14" ht="12.75" customHeight="1" x14ac:dyDescent="0.25">
      <c r="A6462" s="393"/>
      <c r="B6462" s="271"/>
      <c r="C6462" s="271"/>
      <c r="D6462" s="271"/>
      <c r="E6462" s="271"/>
      <c r="F6462" s="271"/>
      <c r="G6462" s="273"/>
      <c r="H6462" s="29" t="str">
        <f>IF(A6462="","",VLOOKUP(A6462,AA_Cuadrillas,4,FALSE))</f>
        <v/>
      </c>
      <c r="I6462" s="394" t="str">
        <f>IF(A6462="","",VLOOKUP(A6462,AA_Cuadrillas,5,FALSE))</f>
        <v/>
      </c>
      <c r="J6462" s="273"/>
      <c r="K6462" s="9" t="str">
        <f>IF(A6462="","",F.P!$I$2)</f>
        <v/>
      </c>
      <c r="L6462" s="9"/>
      <c r="M6462" s="394" t="str">
        <f t="shared" si="882"/>
        <v/>
      </c>
      <c r="N6462" s="273"/>
    </row>
    <row r="6463" spans="1:14" ht="12.75" customHeight="1" x14ac:dyDescent="0.25">
      <c r="A6463" s="393"/>
      <c r="B6463" s="271"/>
      <c r="C6463" s="271"/>
      <c r="D6463" s="271"/>
      <c r="E6463" s="271"/>
      <c r="F6463" s="271"/>
      <c r="G6463" s="273"/>
      <c r="H6463" s="29" t="str">
        <f>IF(A6463="","",VLOOKUP(A6463,AA_Cuadrillas,4,FALSE))</f>
        <v/>
      </c>
      <c r="I6463" s="394" t="str">
        <f>IF(A6463="","",VLOOKUP(A6463,AA_Cuadrillas,5,FALSE))</f>
        <v/>
      </c>
      <c r="J6463" s="273"/>
      <c r="K6463" s="9" t="str">
        <f>IF(A6463="","",F.P!$I$2)</f>
        <v/>
      </c>
      <c r="L6463" s="37"/>
      <c r="M6463" s="394" t="str">
        <f t="shared" si="882"/>
        <v/>
      </c>
      <c r="N6463" s="273"/>
    </row>
    <row r="6464" spans="1:14" ht="12.75" customHeight="1" x14ac:dyDescent="0.25">
      <c r="A6464" s="393"/>
      <c r="B6464" s="271"/>
      <c r="C6464" s="271"/>
      <c r="D6464" s="271"/>
      <c r="E6464" s="271"/>
      <c r="F6464" s="271"/>
      <c r="G6464" s="273"/>
      <c r="H6464" s="29" t="str">
        <f>IF(A6464="","",VLOOKUP(A6464,AA_Cuadrillas,4,FALSE))</f>
        <v/>
      </c>
      <c r="I6464" s="394" t="str">
        <f>IF(A6464="","",VLOOKUP(A6464,AA_Cuadrillas,5,FALSE))</f>
        <v/>
      </c>
      <c r="J6464" s="273"/>
      <c r="K6464" s="9" t="str">
        <f>IF(A6464="","",F.P!$I$2)</f>
        <v/>
      </c>
      <c r="L6464" s="37"/>
      <c r="M6464" s="394" t="str">
        <f t="shared" si="882"/>
        <v/>
      </c>
      <c r="N6464" s="273"/>
    </row>
    <row r="6465" spans="1:14" ht="12.75" customHeight="1" x14ac:dyDescent="0.25">
      <c r="A6465" s="393"/>
      <c r="B6465" s="271"/>
      <c r="C6465" s="271"/>
      <c r="D6465" s="271"/>
      <c r="E6465" s="271"/>
      <c r="F6465" s="271"/>
      <c r="G6465" s="273"/>
      <c r="H6465" s="29" t="str">
        <f>IF(A6465="","",VLOOKUP(A6465,AA_Cuadrillas,4,FALSE))</f>
        <v/>
      </c>
      <c r="I6465" s="394" t="str">
        <f>IF(A6465="","",VLOOKUP(A6465,AA_Cuadrillas,5,FALSE))</f>
        <v/>
      </c>
      <c r="J6465" s="273"/>
      <c r="K6465" s="9" t="str">
        <f>IF(A6465="","",F.P!$I$2)</f>
        <v/>
      </c>
      <c r="L6465" s="37"/>
      <c r="M6465" s="394" t="str">
        <f t="shared" si="882"/>
        <v/>
      </c>
      <c r="N6465" s="273"/>
    </row>
    <row r="6466" spans="1:14" ht="12.75" customHeight="1" x14ac:dyDescent="0.25">
      <c r="A6466" s="4"/>
      <c r="B6466" s="4"/>
      <c r="C6466" s="4"/>
      <c r="D6466" s="4"/>
      <c r="E6466" s="4"/>
      <c r="F6466" s="4"/>
      <c r="G6466" s="4"/>
      <c r="H6466" s="4"/>
      <c r="I6466" s="4"/>
      <c r="J6466" s="4"/>
      <c r="K6466" s="396" t="s">
        <v>444</v>
      </c>
      <c r="L6466" s="273"/>
      <c r="M6466" s="394">
        <f>SUM(M6461:N6465)</f>
        <v>1404.45776</v>
      </c>
      <c r="N6466" s="273"/>
    </row>
    <row r="6467" spans="1:14" ht="12.75" customHeight="1" x14ac:dyDescent="0.2"/>
    <row r="6468" spans="1:14" ht="12.75" customHeight="1" x14ac:dyDescent="0.2">
      <c r="A6468" s="407" t="s">
        <v>1274</v>
      </c>
      <c r="B6468" s="275"/>
      <c r="C6468" s="275"/>
      <c r="D6468" s="275"/>
      <c r="E6468" s="275"/>
      <c r="F6468" s="275"/>
      <c r="G6468" s="275"/>
      <c r="H6468" s="275"/>
      <c r="I6468" s="275"/>
      <c r="J6468" s="275"/>
      <c r="K6468" s="275"/>
      <c r="L6468" s="275"/>
      <c r="M6468" s="275"/>
      <c r="N6468" s="276"/>
    </row>
    <row r="6469" spans="1:14" ht="12.75" customHeight="1" x14ac:dyDescent="0.2">
      <c r="A6469" s="277"/>
      <c r="B6469" s="278"/>
      <c r="C6469" s="278"/>
      <c r="D6469" s="278"/>
      <c r="E6469" s="278"/>
      <c r="F6469" s="278"/>
      <c r="G6469" s="278"/>
      <c r="H6469" s="278"/>
      <c r="I6469" s="278"/>
      <c r="J6469" s="278"/>
      <c r="K6469" s="278"/>
      <c r="L6469" s="278"/>
      <c r="M6469" s="278"/>
      <c r="N6469" s="279"/>
    </row>
    <row r="6470" spans="1:14" s="217" customFormat="1" ht="12.75" customHeight="1" x14ac:dyDescent="0.2">
      <c r="A6470" s="216"/>
      <c r="B6470" s="216"/>
      <c r="C6470" s="216"/>
      <c r="D6470" s="216"/>
      <c r="E6470" s="216"/>
      <c r="F6470" s="216"/>
      <c r="G6470" s="216"/>
      <c r="H6470" s="216"/>
      <c r="I6470" s="216"/>
      <c r="J6470" s="216"/>
      <c r="K6470" s="216"/>
      <c r="L6470" s="216"/>
      <c r="M6470" s="216"/>
      <c r="N6470" s="216"/>
    </row>
    <row r="6471" spans="1:14" ht="12.75" customHeight="1" x14ac:dyDescent="0.3">
      <c r="A6471" s="79" t="s">
        <v>763</v>
      </c>
      <c r="B6471" s="80" t="str">
        <f>A6468</f>
        <v>CINTA DE CONFINAMIENTO MURO</v>
      </c>
      <c r="C6471" s="81" t="s">
        <v>916</v>
      </c>
      <c r="D6471" s="82" t="s">
        <v>981</v>
      </c>
      <c r="E6471" s="83" t="s">
        <v>445</v>
      </c>
      <c r="F6471" s="86" t="e">
        <f>H6471+J6471+L6471+N6471</f>
        <v>#N/A</v>
      </c>
      <c r="G6471" s="83" t="s">
        <v>607</v>
      </c>
      <c r="H6471" s="86" t="e">
        <f>M6483</f>
        <v>#N/A</v>
      </c>
      <c r="I6471" s="83" t="s">
        <v>918</v>
      </c>
      <c r="J6471" s="86">
        <f>M6492</f>
        <v>702.22888000000012</v>
      </c>
      <c r="K6471" s="83" t="s">
        <v>609</v>
      </c>
      <c r="L6471" s="86" t="e">
        <f>M6501</f>
        <v>#N/A</v>
      </c>
      <c r="M6471" s="83" t="s">
        <v>610</v>
      </c>
      <c r="N6471" s="86">
        <f>M6510</f>
        <v>14044.577600000001</v>
      </c>
    </row>
    <row r="6472" spans="1:14" ht="12.75" customHeight="1" x14ac:dyDescent="0.25">
      <c r="A6472" s="87"/>
      <c r="B6472" s="87"/>
      <c r="C6472" s="87"/>
      <c r="D6472" s="87"/>
      <c r="E6472" s="87"/>
      <c r="F6472" s="87"/>
      <c r="G6472" s="87"/>
      <c r="J6472" s="87"/>
      <c r="K6472" s="215" t="s">
        <v>3217</v>
      </c>
      <c r="L6472" s="215" t="e">
        <f>+F6471*presup!$O$5</f>
        <v>#N/A</v>
      </c>
      <c r="M6472" s="87"/>
      <c r="N6472" s="87"/>
    </row>
    <row r="6473" spans="1:14" ht="12.75" customHeight="1" x14ac:dyDescent="0.2">
      <c r="A6473" s="398" t="s">
        <v>919</v>
      </c>
      <c r="B6473" s="271"/>
      <c r="C6473" s="271"/>
      <c r="D6473" s="271"/>
      <c r="E6473" s="271"/>
      <c r="F6473" s="271"/>
      <c r="G6473" s="271"/>
      <c r="H6473" s="271"/>
      <c r="I6473" s="271"/>
      <c r="J6473" s="271"/>
      <c r="K6473" s="271"/>
      <c r="L6473" s="271"/>
      <c r="M6473" s="271"/>
      <c r="N6473" s="273"/>
    </row>
    <row r="6474" spans="1:14" ht="12.75" customHeight="1" x14ac:dyDescent="0.2">
      <c r="A6474" s="396" t="s">
        <v>76</v>
      </c>
      <c r="B6474" s="271"/>
      <c r="C6474" s="271"/>
      <c r="D6474" s="271"/>
      <c r="E6474" s="271"/>
      <c r="F6474" s="271"/>
      <c r="G6474" s="273"/>
      <c r="H6474" s="88" t="s">
        <v>77</v>
      </c>
      <c r="I6474" s="399" t="s">
        <v>920</v>
      </c>
      <c r="J6474" s="273"/>
      <c r="K6474" s="399" t="s">
        <v>453</v>
      </c>
      <c r="L6474" s="273"/>
      <c r="M6474" s="399" t="s">
        <v>921</v>
      </c>
      <c r="N6474" s="273"/>
    </row>
    <row r="6475" spans="1:14" ht="12.75" customHeight="1" x14ac:dyDescent="0.2">
      <c r="A6475" s="400" t="s">
        <v>1203</v>
      </c>
      <c r="B6475" s="271"/>
      <c r="C6475" s="271"/>
      <c r="D6475" s="271"/>
      <c r="E6475" s="271"/>
      <c r="F6475" s="271"/>
      <c r="G6475" s="273"/>
      <c r="H6475" s="29" t="e">
        <f t="shared" ref="H6475:H6480" si="883">IF(A6475="","",VLOOKUP(A6475,AA_Materiales,7,FALSE))</f>
        <v>#N/A</v>
      </c>
      <c r="I6475" s="394" t="e">
        <f t="shared" ref="I6475:I6482" si="884">IF(A6475="","",VLOOKUP(A6475,AA_Materiales,8,FALSE))</f>
        <v>#N/A</v>
      </c>
      <c r="J6475" s="273"/>
      <c r="K6475" s="395">
        <v>0.03</v>
      </c>
      <c r="L6475" s="273"/>
      <c r="M6475" s="394" t="e">
        <f t="shared" ref="M6475:M6482" si="885">IF(A6475="","",I6475*K6475)</f>
        <v>#N/A</v>
      </c>
      <c r="N6475" s="273"/>
    </row>
    <row r="6476" spans="1:14" ht="12.75" customHeight="1" x14ac:dyDescent="0.2">
      <c r="A6476" s="400" t="s">
        <v>1275</v>
      </c>
      <c r="B6476" s="271"/>
      <c r="C6476" s="271"/>
      <c r="D6476" s="271"/>
      <c r="E6476" s="271"/>
      <c r="F6476" s="271"/>
      <c r="G6476" s="273"/>
      <c r="H6476" s="29" t="str">
        <f t="shared" si="883"/>
        <v>m3</v>
      </c>
      <c r="I6476" s="394">
        <f t="shared" si="884"/>
        <v>474126.5</v>
      </c>
      <c r="J6476" s="273"/>
      <c r="K6476" s="395">
        <v>0.02</v>
      </c>
      <c r="L6476" s="273"/>
      <c r="M6476" s="394">
        <f t="shared" si="885"/>
        <v>9482.5300000000007</v>
      </c>
      <c r="N6476" s="273"/>
    </row>
    <row r="6477" spans="1:14" ht="12.75" customHeight="1" x14ac:dyDescent="0.2">
      <c r="A6477" s="400" t="s">
        <v>947</v>
      </c>
      <c r="B6477" s="271"/>
      <c r="C6477" s="271"/>
      <c r="D6477" s="271"/>
      <c r="E6477" s="271"/>
      <c r="F6477" s="271"/>
      <c r="G6477" s="273"/>
      <c r="H6477" s="29" t="str">
        <f t="shared" si="883"/>
        <v>LB</v>
      </c>
      <c r="I6477" s="394">
        <f t="shared" si="884"/>
        <v>5500</v>
      </c>
      <c r="J6477" s="273"/>
      <c r="K6477" s="395">
        <v>0.06</v>
      </c>
      <c r="L6477" s="273"/>
      <c r="M6477" s="394">
        <f t="shared" si="885"/>
        <v>330</v>
      </c>
      <c r="N6477" s="273"/>
    </row>
    <row r="6478" spans="1:14" ht="12.75" customHeight="1" x14ac:dyDescent="0.2">
      <c r="A6478" s="400" t="s">
        <v>1276</v>
      </c>
      <c r="B6478" s="271"/>
      <c r="C6478" s="271"/>
      <c r="D6478" s="271"/>
      <c r="E6478" s="271"/>
      <c r="F6478" s="271"/>
      <c r="G6478" s="273"/>
      <c r="H6478" s="29" t="str">
        <f t="shared" si="883"/>
        <v>ml</v>
      </c>
      <c r="I6478" s="394">
        <f t="shared" si="884"/>
        <v>3084.1</v>
      </c>
      <c r="J6478" s="273"/>
      <c r="K6478" s="395">
        <v>7.0000000000000007E-2</v>
      </c>
      <c r="L6478" s="273"/>
      <c r="M6478" s="394">
        <f t="shared" si="885"/>
        <v>215.887</v>
      </c>
      <c r="N6478" s="273"/>
    </row>
    <row r="6479" spans="1:14" ht="12.75" customHeight="1" x14ac:dyDescent="0.2">
      <c r="A6479" s="400" t="s">
        <v>1277</v>
      </c>
      <c r="B6479" s="271"/>
      <c r="C6479" s="271"/>
      <c r="D6479" s="271"/>
      <c r="E6479" s="271"/>
      <c r="F6479" s="271"/>
      <c r="G6479" s="273"/>
      <c r="H6479" s="29" t="str">
        <f t="shared" si="883"/>
        <v>ml</v>
      </c>
      <c r="I6479" s="394">
        <f t="shared" si="884"/>
        <v>4552.22</v>
      </c>
      <c r="J6479" s="273"/>
      <c r="K6479" s="395">
        <v>0.11</v>
      </c>
      <c r="L6479" s="273"/>
      <c r="M6479" s="394">
        <f t="shared" si="885"/>
        <v>500.74420000000003</v>
      </c>
      <c r="N6479" s="273"/>
    </row>
    <row r="6480" spans="1:14" ht="12.75" customHeight="1" x14ac:dyDescent="0.2">
      <c r="A6480" s="400"/>
      <c r="B6480" s="271"/>
      <c r="C6480" s="271"/>
      <c r="D6480" s="271"/>
      <c r="E6480" s="271"/>
      <c r="F6480" s="271"/>
      <c r="G6480" s="273"/>
      <c r="H6480" s="29" t="str">
        <f t="shared" si="883"/>
        <v/>
      </c>
      <c r="I6480" s="394" t="str">
        <f t="shared" si="884"/>
        <v/>
      </c>
      <c r="J6480" s="273"/>
      <c r="K6480" s="395"/>
      <c r="L6480" s="273"/>
      <c r="M6480" s="394" t="str">
        <f t="shared" si="885"/>
        <v/>
      </c>
      <c r="N6480" s="273"/>
    </row>
    <row r="6481" spans="1:14" ht="12.75" customHeight="1" x14ac:dyDescent="0.2">
      <c r="A6481" s="400"/>
      <c r="B6481" s="271"/>
      <c r="C6481" s="271"/>
      <c r="D6481" s="271"/>
      <c r="E6481" s="271"/>
      <c r="F6481" s="271"/>
      <c r="G6481" s="273"/>
      <c r="H6481" s="29"/>
      <c r="I6481" s="394" t="str">
        <f t="shared" si="884"/>
        <v/>
      </c>
      <c r="J6481" s="273"/>
      <c r="K6481" s="395"/>
      <c r="L6481" s="273"/>
      <c r="M6481" s="394" t="str">
        <f t="shared" si="885"/>
        <v/>
      </c>
      <c r="N6481" s="273"/>
    </row>
    <row r="6482" spans="1:14" ht="12.75" customHeight="1" x14ac:dyDescent="0.2">
      <c r="A6482" s="400"/>
      <c r="B6482" s="271"/>
      <c r="C6482" s="271"/>
      <c r="D6482" s="271"/>
      <c r="E6482" s="271"/>
      <c r="F6482" s="271"/>
      <c r="G6482" s="273"/>
      <c r="H6482" s="29" t="str">
        <f>IF(A6482="","",VLOOKUP(A6482,AA_Materiales,7,FALSE))</f>
        <v/>
      </c>
      <c r="I6482" s="394" t="str">
        <f t="shared" si="884"/>
        <v/>
      </c>
      <c r="J6482" s="273"/>
      <c r="K6482" s="395"/>
      <c r="L6482" s="273"/>
      <c r="M6482" s="394" t="str">
        <f t="shared" si="885"/>
        <v/>
      </c>
      <c r="N6482" s="273"/>
    </row>
    <row r="6483" spans="1:14" ht="12.75" customHeight="1" x14ac:dyDescent="0.25">
      <c r="A6483" s="4"/>
      <c r="B6483" s="4"/>
      <c r="C6483" s="4"/>
      <c r="D6483" s="4"/>
      <c r="E6483" s="4"/>
      <c r="F6483" s="4"/>
      <c r="G6483" s="4"/>
      <c r="H6483" s="4"/>
      <c r="I6483" s="4"/>
      <c r="J6483" s="4"/>
      <c r="K6483" s="396" t="s">
        <v>444</v>
      </c>
      <c r="L6483" s="273"/>
      <c r="M6483" s="394" t="e">
        <f>SUM(M6475:N6482)</f>
        <v>#N/A</v>
      </c>
      <c r="N6483" s="273"/>
    </row>
    <row r="6484" spans="1:14" ht="12.75" customHeight="1" x14ac:dyDescent="0.25">
      <c r="A6484" s="4"/>
      <c r="B6484" s="4"/>
      <c r="C6484" s="4"/>
      <c r="D6484" s="4"/>
      <c r="E6484" s="4"/>
      <c r="F6484" s="4"/>
      <c r="G6484" s="4"/>
      <c r="H6484" s="4"/>
      <c r="I6484" s="4"/>
      <c r="J6484" s="4"/>
      <c r="K6484" s="4"/>
      <c r="L6484" s="4"/>
      <c r="M6484" s="4"/>
      <c r="N6484" s="4"/>
    </row>
    <row r="6485" spans="1:14" ht="12.75" customHeight="1" x14ac:dyDescent="0.2">
      <c r="A6485" s="398" t="s">
        <v>926</v>
      </c>
      <c r="B6485" s="271"/>
      <c r="C6485" s="271"/>
      <c r="D6485" s="271"/>
      <c r="E6485" s="271"/>
      <c r="F6485" s="271"/>
      <c r="G6485" s="271"/>
      <c r="H6485" s="271"/>
      <c r="I6485" s="271"/>
      <c r="J6485" s="271"/>
      <c r="K6485" s="271"/>
      <c r="L6485" s="271"/>
      <c r="M6485" s="271"/>
      <c r="N6485" s="273"/>
    </row>
    <row r="6486" spans="1:14" ht="12.75" customHeight="1" x14ac:dyDescent="0.2">
      <c r="A6486" s="396" t="s">
        <v>76</v>
      </c>
      <c r="B6486" s="271"/>
      <c r="C6486" s="271"/>
      <c r="D6486" s="271"/>
      <c r="E6486" s="271"/>
      <c r="F6486" s="271"/>
      <c r="G6486" s="273"/>
      <c r="H6486" s="88" t="s">
        <v>77</v>
      </c>
      <c r="I6486" s="399" t="s">
        <v>920</v>
      </c>
      <c r="J6486" s="273"/>
      <c r="K6486" s="399" t="s">
        <v>453</v>
      </c>
      <c r="L6486" s="273"/>
      <c r="M6486" s="399" t="s">
        <v>921</v>
      </c>
      <c r="N6486" s="273"/>
    </row>
    <row r="6487" spans="1:14" ht="12.75" customHeight="1" x14ac:dyDescent="0.2">
      <c r="A6487" s="400" t="s">
        <v>927</v>
      </c>
      <c r="B6487" s="271"/>
      <c r="C6487" s="271"/>
      <c r="D6487" s="271"/>
      <c r="E6487" s="271"/>
      <c r="F6487" s="271"/>
      <c r="G6487" s="273"/>
      <c r="H6487" s="29" t="str">
        <f>IF(A6487="","",VLOOKUP(A6487,AA_Equipos,7,FALSE))</f>
        <v>% M.O.</v>
      </c>
      <c r="I6487" s="394">
        <f>+M6510</f>
        <v>14044.577600000001</v>
      </c>
      <c r="J6487" s="273"/>
      <c r="K6487" s="404">
        <v>0.05</v>
      </c>
      <c r="L6487" s="273"/>
      <c r="M6487" s="394">
        <f t="shared" ref="M6487:M6491" si="886">IF(A6487="","",I6487*K6487)</f>
        <v>702.22888000000012</v>
      </c>
      <c r="N6487" s="273"/>
    </row>
    <row r="6488" spans="1:14" ht="12.75" customHeight="1" x14ac:dyDescent="0.2">
      <c r="A6488" s="403"/>
      <c r="B6488" s="271"/>
      <c r="C6488" s="271"/>
      <c r="D6488" s="271"/>
      <c r="E6488" s="271"/>
      <c r="F6488" s="271"/>
      <c r="G6488" s="273"/>
      <c r="H6488" s="29" t="str">
        <f>IF(A6488="","",VLOOKUP(A6488,AA_Equipos,7,FALSE))</f>
        <v/>
      </c>
      <c r="I6488" s="394" t="str">
        <f>IF(A6488="","",VLOOKUP(A6488,AA_Equipos,8,FALSE))</f>
        <v/>
      </c>
      <c r="J6488" s="273"/>
      <c r="K6488" s="402"/>
      <c r="L6488" s="273"/>
      <c r="M6488" s="394" t="str">
        <f t="shared" si="886"/>
        <v/>
      </c>
      <c r="N6488" s="273"/>
    </row>
    <row r="6489" spans="1:14" ht="12.75" customHeight="1" x14ac:dyDescent="0.2">
      <c r="A6489" s="400"/>
      <c r="B6489" s="271"/>
      <c r="C6489" s="271"/>
      <c r="D6489" s="271"/>
      <c r="E6489" s="271"/>
      <c r="F6489" s="271"/>
      <c r="G6489" s="273"/>
      <c r="H6489" s="29" t="str">
        <f>IF(A6489="","",VLOOKUP(A6489,AA_Equipos,7,FALSE))</f>
        <v/>
      </c>
      <c r="I6489" s="394" t="str">
        <f>IF(A6489="","",VLOOKUP(A6489,AA_Equipos,8,FALSE))</f>
        <v/>
      </c>
      <c r="J6489" s="273"/>
      <c r="K6489" s="402"/>
      <c r="L6489" s="273"/>
      <c r="M6489" s="394" t="str">
        <f t="shared" si="886"/>
        <v/>
      </c>
      <c r="N6489" s="273"/>
    </row>
    <row r="6490" spans="1:14" ht="12.75" customHeight="1" x14ac:dyDescent="0.2">
      <c r="A6490" s="400"/>
      <c r="B6490" s="271"/>
      <c r="C6490" s="271"/>
      <c r="D6490" s="271"/>
      <c r="E6490" s="271"/>
      <c r="F6490" s="271"/>
      <c r="G6490" s="273"/>
      <c r="H6490" s="29" t="str">
        <f>IF(A6490="","",VLOOKUP(A6490,AA_Equipos,7,FALSE))</f>
        <v/>
      </c>
      <c r="I6490" s="394" t="str">
        <f>IF(A6490="","",VLOOKUP(A6490,AA_Equipos,8,FALSE))</f>
        <v/>
      </c>
      <c r="J6490" s="273"/>
      <c r="K6490" s="402"/>
      <c r="L6490" s="273"/>
      <c r="M6490" s="394" t="str">
        <f t="shared" si="886"/>
        <v/>
      </c>
      <c r="N6490" s="273"/>
    </row>
    <row r="6491" spans="1:14" ht="12.75" customHeight="1" x14ac:dyDescent="0.2">
      <c r="A6491" s="400"/>
      <c r="B6491" s="271"/>
      <c r="C6491" s="271"/>
      <c r="D6491" s="271"/>
      <c r="E6491" s="271"/>
      <c r="F6491" s="271"/>
      <c r="G6491" s="273"/>
      <c r="H6491" s="29" t="str">
        <f>IF(A6491="","",VLOOKUP(A6491,AA_Equipos,7,FALSE))</f>
        <v/>
      </c>
      <c r="I6491" s="394" t="str">
        <f>IF(A6491="","",VLOOKUP(A6491,AA_Equipos,8,FALSE))</f>
        <v/>
      </c>
      <c r="J6491" s="273"/>
      <c r="K6491" s="395"/>
      <c r="L6491" s="273"/>
      <c r="M6491" s="394" t="str">
        <f t="shared" si="886"/>
        <v/>
      </c>
      <c r="N6491" s="273"/>
    </row>
    <row r="6492" spans="1:14" ht="12.75" customHeight="1" x14ac:dyDescent="0.25">
      <c r="A6492" s="4"/>
      <c r="B6492" s="4"/>
      <c r="C6492" s="4"/>
      <c r="D6492" s="4"/>
      <c r="E6492" s="4"/>
      <c r="F6492" s="4"/>
      <c r="G6492" s="4"/>
      <c r="H6492" s="4"/>
      <c r="I6492" s="4"/>
      <c r="J6492" s="4"/>
      <c r="K6492" s="396" t="s">
        <v>444</v>
      </c>
      <c r="L6492" s="273"/>
      <c r="M6492" s="394">
        <f>SUM(M6487:N6491)</f>
        <v>702.22888000000012</v>
      </c>
      <c r="N6492" s="273"/>
    </row>
    <row r="6493" spans="1:14" ht="12.75" customHeight="1" x14ac:dyDescent="0.25">
      <c r="A6493" s="4"/>
      <c r="B6493" s="4"/>
      <c r="C6493" s="4"/>
      <c r="D6493" s="4"/>
      <c r="E6493" s="4"/>
      <c r="F6493" s="4"/>
      <c r="G6493" s="4"/>
      <c r="H6493" s="4"/>
      <c r="I6493" s="4"/>
      <c r="J6493" s="4"/>
      <c r="K6493" s="4"/>
      <c r="L6493" s="4"/>
      <c r="M6493" s="4"/>
      <c r="N6493" s="4"/>
    </row>
    <row r="6494" spans="1:14" ht="12.75" customHeight="1" x14ac:dyDescent="0.2">
      <c r="A6494" s="398" t="s">
        <v>929</v>
      </c>
      <c r="B6494" s="271"/>
      <c r="C6494" s="271"/>
      <c r="D6494" s="271"/>
      <c r="E6494" s="271"/>
      <c r="F6494" s="271"/>
      <c r="G6494" s="271"/>
      <c r="H6494" s="271"/>
      <c r="I6494" s="271"/>
      <c r="J6494" s="271"/>
      <c r="K6494" s="271"/>
      <c r="L6494" s="271"/>
      <c r="M6494" s="271"/>
      <c r="N6494" s="273"/>
    </row>
    <row r="6495" spans="1:14" ht="12.75" customHeight="1" x14ac:dyDescent="0.2">
      <c r="A6495" s="396" t="s">
        <v>76</v>
      </c>
      <c r="B6495" s="271"/>
      <c r="C6495" s="271"/>
      <c r="D6495" s="271"/>
      <c r="E6495" s="271"/>
      <c r="F6495" s="271"/>
      <c r="G6495" s="273"/>
      <c r="H6495" s="88" t="s">
        <v>77</v>
      </c>
      <c r="I6495" s="399" t="s">
        <v>920</v>
      </c>
      <c r="J6495" s="273"/>
      <c r="K6495" s="399" t="s">
        <v>453</v>
      </c>
      <c r="L6495" s="273"/>
      <c r="M6495" s="399" t="s">
        <v>921</v>
      </c>
      <c r="N6495" s="273"/>
    </row>
    <row r="6496" spans="1:14" ht="12.75" customHeight="1" x14ac:dyDescent="0.2">
      <c r="A6496" s="400" t="s">
        <v>966</v>
      </c>
      <c r="B6496" s="271"/>
      <c r="C6496" s="271"/>
      <c r="D6496" s="271"/>
      <c r="E6496" s="271"/>
      <c r="F6496" s="271"/>
      <c r="G6496" s="273"/>
      <c r="H6496" s="29" t="s">
        <v>950</v>
      </c>
      <c r="I6496" s="394" t="e">
        <f>+M6483</f>
        <v>#N/A</v>
      </c>
      <c r="J6496" s="273"/>
      <c r="K6496" s="404">
        <v>0.05</v>
      </c>
      <c r="L6496" s="273"/>
      <c r="M6496" s="394" t="e">
        <f t="shared" ref="M6496:M6500" si="887">IF(A6496="","",I6496*K6496)</f>
        <v>#N/A</v>
      </c>
      <c r="N6496" s="273"/>
    </row>
    <row r="6497" spans="1:14" ht="12.75" customHeight="1" x14ac:dyDescent="0.2">
      <c r="A6497" s="403"/>
      <c r="B6497" s="271"/>
      <c r="C6497" s="271"/>
      <c r="D6497" s="271"/>
      <c r="E6497" s="271"/>
      <c r="F6497" s="271"/>
      <c r="G6497" s="273"/>
      <c r="H6497" s="29"/>
      <c r="I6497" s="394"/>
      <c r="J6497" s="273"/>
      <c r="K6497" s="404"/>
      <c r="L6497" s="273"/>
      <c r="M6497" s="394" t="str">
        <f t="shared" si="887"/>
        <v/>
      </c>
      <c r="N6497" s="273"/>
    </row>
    <row r="6498" spans="1:14" ht="12.75" customHeight="1" x14ac:dyDescent="0.2">
      <c r="A6498" s="400"/>
      <c r="B6498" s="271"/>
      <c r="C6498" s="271"/>
      <c r="D6498" s="271"/>
      <c r="E6498" s="271"/>
      <c r="F6498" s="271"/>
      <c r="G6498" s="273"/>
      <c r="H6498" s="29"/>
      <c r="I6498" s="394"/>
      <c r="J6498" s="273"/>
      <c r="K6498" s="395"/>
      <c r="L6498" s="273"/>
      <c r="M6498" s="394" t="str">
        <f t="shared" si="887"/>
        <v/>
      </c>
      <c r="N6498" s="273"/>
    </row>
    <row r="6499" spans="1:14" ht="12.75" customHeight="1" x14ac:dyDescent="0.2">
      <c r="A6499" s="400"/>
      <c r="B6499" s="271"/>
      <c r="C6499" s="271"/>
      <c r="D6499" s="271"/>
      <c r="E6499" s="271"/>
      <c r="F6499" s="271"/>
      <c r="G6499" s="273"/>
      <c r="H6499" s="29"/>
      <c r="I6499" s="394"/>
      <c r="J6499" s="273"/>
      <c r="K6499" s="395"/>
      <c r="L6499" s="273"/>
      <c r="M6499" s="394" t="str">
        <f t="shared" si="887"/>
        <v/>
      </c>
      <c r="N6499" s="273"/>
    </row>
    <row r="6500" spans="1:14" ht="12.75" customHeight="1" x14ac:dyDescent="0.2">
      <c r="A6500" s="400"/>
      <c r="B6500" s="271"/>
      <c r="C6500" s="271"/>
      <c r="D6500" s="271"/>
      <c r="E6500" s="271"/>
      <c r="F6500" s="271"/>
      <c r="G6500" s="273"/>
      <c r="H6500" s="29"/>
      <c r="I6500" s="394"/>
      <c r="J6500" s="273"/>
      <c r="K6500" s="395"/>
      <c r="L6500" s="273"/>
      <c r="M6500" s="394" t="str">
        <f t="shared" si="887"/>
        <v/>
      </c>
      <c r="N6500" s="273"/>
    </row>
    <row r="6501" spans="1:14" ht="12.75" customHeight="1" x14ac:dyDescent="0.25">
      <c r="A6501" s="4"/>
      <c r="B6501" s="4"/>
      <c r="C6501" s="4"/>
      <c r="D6501" s="4"/>
      <c r="E6501" s="4"/>
      <c r="F6501" s="4"/>
      <c r="G6501" s="4"/>
      <c r="H6501" s="4"/>
      <c r="I6501" s="4"/>
      <c r="J6501" s="4"/>
      <c r="K6501" s="396" t="s">
        <v>444</v>
      </c>
      <c r="L6501" s="273"/>
      <c r="M6501" s="394" t="e">
        <f>SUM(M6496:N6500)</f>
        <v>#N/A</v>
      </c>
      <c r="N6501" s="273"/>
    </row>
    <row r="6502" spans="1:14" ht="12.75" customHeight="1" x14ac:dyDescent="0.25">
      <c r="A6502" s="4"/>
      <c r="B6502" s="4"/>
      <c r="C6502" s="4"/>
      <c r="D6502" s="4"/>
      <c r="E6502" s="4"/>
      <c r="F6502" s="4"/>
      <c r="G6502" s="4"/>
      <c r="H6502" s="4"/>
      <c r="I6502" s="4"/>
      <c r="J6502" s="4"/>
      <c r="K6502" s="4"/>
      <c r="L6502" s="4"/>
      <c r="M6502" s="4"/>
      <c r="N6502" s="4"/>
    </row>
    <row r="6503" spans="1:14" ht="12.75" customHeight="1" x14ac:dyDescent="0.2">
      <c r="A6503" s="398" t="s">
        <v>931</v>
      </c>
      <c r="B6503" s="271"/>
      <c r="C6503" s="271"/>
      <c r="D6503" s="271"/>
      <c r="E6503" s="271"/>
      <c r="F6503" s="271"/>
      <c r="G6503" s="271"/>
      <c r="H6503" s="271"/>
      <c r="I6503" s="271"/>
      <c r="J6503" s="271"/>
      <c r="K6503" s="271"/>
      <c r="L6503" s="271"/>
      <c r="M6503" s="271"/>
      <c r="N6503" s="273"/>
    </row>
    <row r="6504" spans="1:14" ht="12.75" customHeight="1" x14ac:dyDescent="0.2">
      <c r="A6504" s="396" t="s">
        <v>76</v>
      </c>
      <c r="B6504" s="271"/>
      <c r="C6504" s="271"/>
      <c r="D6504" s="271"/>
      <c r="E6504" s="271"/>
      <c r="F6504" s="271"/>
      <c r="G6504" s="273"/>
      <c r="H6504" s="88" t="s">
        <v>77</v>
      </c>
      <c r="I6504" s="399" t="s">
        <v>920</v>
      </c>
      <c r="J6504" s="273"/>
      <c r="K6504" s="90" t="s">
        <v>514</v>
      </c>
      <c r="L6504" s="91" t="s">
        <v>932</v>
      </c>
      <c r="M6504" s="399" t="s">
        <v>921</v>
      </c>
      <c r="N6504" s="273"/>
    </row>
    <row r="6505" spans="1:14" ht="12.75" customHeight="1" x14ac:dyDescent="0.25">
      <c r="A6505" s="393" t="s">
        <v>986</v>
      </c>
      <c r="B6505" s="271"/>
      <c r="C6505" s="271"/>
      <c r="D6505" s="271"/>
      <c r="E6505" s="271"/>
      <c r="F6505" s="271"/>
      <c r="G6505" s="273"/>
      <c r="H6505" s="29" t="str">
        <f>IF(A6505="","",VLOOKUP(A6505,AA_Cuadrillas,4,FALSE))</f>
        <v>Cuadrilla</v>
      </c>
      <c r="I6505" s="394">
        <f>IF(A6505="","",VLOOKUP(A6505,AA_Cuadrillas,5,FALSE))</f>
        <v>186763</v>
      </c>
      <c r="J6505" s="273"/>
      <c r="K6505" s="9">
        <f>IF(A6505="","",F.P!$I$2)</f>
        <v>1.88</v>
      </c>
      <c r="L6505" s="93">
        <v>0.04</v>
      </c>
      <c r="M6505" s="394">
        <f t="shared" ref="M6505:M6509" si="888">IF(A6505="","",I6505*K6505*L6505)</f>
        <v>14044.577600000001</v>
      </c>
      <c r="N6505" s="273"/>
    </row>
    <row r="6506" spans="1:14" ht="12.75" customHeight="1" x14ac:dyDescent="0.25">
      <c r="A6506" s="393"/>
      <c r="B6506" s="271"/>
      <c r="C6506" s="271"/>
      <c r="D6506" s="271"/>
      <c r="E6506" s="271"/>
      <c r="F6506" s="271"/>
      <c r="G6506" s="273"/>
      <c r="H6506" s="29" t="str">
        <f>IF(A6506="","",VLOOKUP(A6506,AA_Cuadrillas,4,FALSE))</f>
        <v/>
      </c>
      <c r="I6506" s="394" t="str">
        <f>IF(A6506="","",VLOOKUP(A6506,AA_Cuadrillas,5,FALSE))</f>
        <v/>
      </c>
      <c r="J6506" s="273"/>
      <c r="K6506" s="9" t="str">
        <f>IF(A6506="","",F.P!$I$2)</f>
        <v/>
      </c>
      <c r="L6506" s="9"/>
      <c r="M6506" s="394" t="str">
        <f t="shared" si="888"/>
        <v/>
      </c>
      <c r="N6506" s="273"/>
    </row>
    <row r="6507" spans="1:14" ht="12.75" customHeight="1" x14ac:dyDescent="0.25">
      <c r="A6507" s="393"/>
      <c r="B6507" s="271"/>
      <c r="C6507" s="271"/>
      <c r="D6507" s="271"/>
      <c r="E6507" s="271"/>
      <c r="F6507" s="271"/>
      <c r="G6507" s="273"/>
      <c r="H6507" s="29" t="str">
        <f>IF(A6507="","",VLOOKUP(A6507,AA_Cuadrillas,4,FALSE))</f>
        <v/>
      </c>
      <c r="I6507" s="394" t="str">
        <f>IF(A6507="","",VLOOKUP(A6507,AA_Cuadrillas,5,FALSE))</f>
        <v/>
      </c>
      <c r="J6507" s="273"/>
      <c r="K6507" s="9" t="str">
        <f>IF(A6507="","",F.P!$I$2)</f>
        <v/>
      </c>
      <c r="L6507" s="37"/>
      <c r="M6507" s="394" t="str">
        <f t="shared" si="888"/>
        <v/>
      </c>
      <c r="N6507" s="273"/>
    </row>
    <row r="6508" spans="1:14" ht="12.75" customHeight="1" x14ac:dyDescent="0.25">
      <c r="A6508" s="393"/>
      <c r="B6508" s="271"/>
      <c r="C6508" s="271"/>
      <c r="D6508" s="271"/>
      <c r="E6508" s="271"/>
      <c r="F6508" s="271"/>
      <c r="G6508" s="273"/>
      <c r="H6508" s="29" t="str">
        <f>IF(A6508="","",VLOOKUP(A6508,AA_Cuadrillas,4,FALSE))</f>
        <v/>
      </c>
      <c r="I6508" s="394" t="str">
        <f>IF(A6508="","",VLOOKUP(A6508,AA_Cuadrillas,5,FALSE))</f>
        <v/>
      </c>
      <c r="J6508" s="273"/>
      <c r="K6508" s="9" t="str">
        <f>IF(A6508="","",F.P!$I$2)</f>
        <v/>
      </c>
      <c r="L6508" s="37"/>
      <c r="M6508" s="394" t="str">
        <f t="shared" si="888"/>
        <v/>
      </c>
      <c r="N6508" s="273"/>
    </row>
    <row r="6509" spans="1:14" ht="12.75" customHeight="1" x14ac:dyDescent="0.25">
      <c r="A6509" s="393"/>
      <c r="B6509" s="271"/>
      <c r="C6509" s="271"/>
      <c r="D6509" s="271"/>
      <c r="E6509" s="271"/>
      <c r="F6509" s="271"/>
      <c r="G6509" s="273"/>
      <c r="H6509" s="29" t="str">
        <f>IF(A6509="","",VLOOKUP(A6509,AA_Cuadrillas,4,FALSE))</f>
        <v/>
      </c>
      <c r="I6509" s="394" t="str">
        <f>IF(A6509="","",VLOOKUP(A6509,AA_Cuadrillas,5,FALSE))</f>
        <v/>
      </c>
      <c r="J6509" s="273"/>
      <c r="K6509" s="9" t="str">
        <f>IF(A6509="","",F.P!$I$2)</f>
        <v/>
      </c>
      <c r="L6509" s="37"/>
      <c r="M6509" s="394" t="str">
        <f t="shared" si="888"/>
        <v/>
      </c>
      <c r="N6509" s="273"/>
    </row>
    <row r="6510" spans="1:14" ht="12.75" customHeight="1" x14ac:dyDescent="0.25">
      <c r="A6510" s="4"/>
      <c r="B6510" s="4"/>
      <c r="C6510" s="4"/>
      <c r="D6510" s="4"/>
      <c r="E6510" s="4"/>
      <c r="F6510" s="4"/>
      <c r="G6510" s="4"/>
      <c r="H6510" s="4"/>
      <c r="I6510" s="4"/>
      <c r="J6510" s="4"/>
      <c r="K6510" s="396" t="s">
        <v>444</v>
      </c>
      <c r="L6510" s="273"/>
      <c r="M6510" s="394">
        <f>SUM(M6505:N6509)</f>
        <v>14044.577600000001</v>
      </c>
      <c r="N6510" s="273"/>
    </row>
    <row r="6511" spans="1:14" ht="12.75" customHeight="1" x14ac:dyDescent="0.2"/>
    <row r="6512" spans="1:14" ht="12.75" customHeight="1" x14ac:dyDescent="0.2">
      <c r="A6512" s="407" t="s">
        <v>1278</v>
      </c>
      <c r="B6512" s="275"/>
      <c r="C6512" s="275"/>
      <c r="D6512" s="275"/>
      <c r="E6512" s="275"/>
      <c r="F6512" s="275"/>
      <c r="G6512" s="275"/>
      <c r="H6512" s="275"/>
      <c r="I6512" s="275"/>
      <c r="J6512" s="275"/>
      <c r="K6512" s="275"/>
      <c r="L6512" s="275"/>
      <c r="M6512" s="275"/>
      <c r="N6512" s="276"/>
    </row>
    <row r="6513" spans="1:14" ht="12.75" customHeight="1" x14ac:dyDescent="0.2">
      <c r="A6513" s="277"/>
      <c r="B6513" s="278"/>
      <c r="C6513" s="278"/>
      <c r="D6513" s="278"/>
      <c r="E6513" s="278"/>
      <c r="F6513" s="278"/>
      <c r="G6513" s="278"/>
      <c r="H6513" s="278"/>
      <c r="I6513" s="278"/>
      <c r="J6513" s="278"/>
      <c r="K6513" s="278"/>
      <c r="L6513" s="278"/>
      <c r="M6513" s="278"/>
      <c r="N6513" s="279"/>
    </row>
    <row r="6514" spans="1:14" ht="12.75" customHeight="1" x14ac:dyDescent="0.2">
      <c r="A6514" s="75"/>
      <c r="B6514" s="75"/>
      <c r="C6514" s="75"/>
      <c r="D6514" s="75"/>
      <c r="E6514" s="75"/>
      <c r="F6514" s="75"/>
      <c r="G6514" s="75"/>
      <c r="H6514" s="75"/>
      <c r="I6514" s="75"/>
      <c r="J6514" s="75"/>
      <c r="K6514" s="75"/>
      <c r="L6514" s="75"/>
      <c r="M6514" s="75"/>
      <c r="N6514" s="75"/>
    </row>
    <row r="6515" spans="1:14" ht="12.75" customHeight="1" x14ac:dyDescent="0.3">
      <c r="A6515" s="79" t="s">
        <v>764</v>
      </c>
      <c r="B6515" s="80" t="str">
        <f>A6512</f>
        <v>MURO LADRILLO E SOGA LIMPIO 1C</v>
      </c>
      <c r="C6515" s="81" t="s">
        <v>916</v>
      </c>
      <c r="D6515" s="82" t="s">
        <v>981</v>
      </c>
      <c r="E6515" s="83" t="s">
        <v>445</v>
      </c>
      <c r="F6515" s="86">
        <f>H6515+J6515+L6515+N6515</f>
        <v>92846.099920900306</v>
      </c>
      <c r="G6515" s="83" t="s">
        <v>607</v>
      </c>
      <c r="H6515" s="86">
        <f>M6527</f>
        <v>88199.06</v>
      </c>
      <c r="I6515" s="83" t="s">
        <v>918</v>
      </c>
      <c r="J6515" s="86">
        <f>M6536</f>
        <v>11.289853376205789</v>
      </c>
      <c r="K6515" s="83" t="s">
        <v>609</v>
      </c>
      <c r="L6515" s="86">
        <f>M6545</f>
        <v>4409.9530000000004</v>
      </c>
      <c r="M6515" s="83" t="s">
        <v>610</v>
      </c>
      <c r="N6515" s="86">
        <f>M6554</f>
        <v>225.79706752411576</v>
      </c>
    </row>
    <row r="6516" spans="1:14" ht="12.75" customHeight="1" x14ac:dyDescent="0.25">
      <c r="A6516" s="87"/>
      <c r="B6516" s="87"/>
      <c r="C6516" s="87"/>
      <c r="D6516" s="87"/>
      <c r="E6516" s="87"/>
      <c r="F6516" s="87"/>
      <c r="G6516" s="87"/>
      <c r="J6516" s="87"/>
      <c r="K6516" s="215" t="s">
        <v>3217</v>
      </c>
      <c r="L6516" s="215">
        <f>+F6515*presup!$O$5</f>
        <v>120699.9298971704</v>
      </c>
      <c r="M6516" s="87"/>
      <c r="N6516" s="87"/>
    </row>
    <row r="6517" spans="1:14" ht="12.75" customHeight="1" x14ac:dyDescent="0.2">
      <c r="A6517" s="398" t="s">
        <v>919</v>
      </c>
      <c r="B6517" s="271"/>
      <c r="C6517" s="271"/>
      <c r="D6517" s="271"/>
      <c r="E6517" s="271"/>
      <c r="F6517" s="271"/>
      <c r="G6517" s="271"/>
      <c r="H6517" s="271"/>
      <c r="I6517" s="271"/>
      <c r="J6517" s="271"/>
      <c r="K6517" s="271"/>
      <c r="L6517" s="271"/>
      <c r="M6517" s="271"/>
      <c r="N6517" s="273"/>
    </row>
    <row r="6518" spans="1:14" ht="12.75" customHeight="1" x14ac:dyDescent="0.2">
      <c r="A6518" s="396" t="s">
        <v>76</v>
      </c>
      <c r="B6518" s="271"/>
      <c r="C6518" s="271"/>
      <c r="D6518" s="271"/>
      <c r="E6518" s="271"/>
      <c r="F6518" s="271"/>
      <c r="G6518" s="273"/>
      <c r="H6518" s="88" t="s">
        <v>77</v>
      </c>
      <c r="I6518" s="399" t="s">
        <v>920</v>
      </c>
      <c r="J6518" s="273"/>
      <c r="K6518" s="399" t="s">
        <v>453</v>
      </c>
      <c r="L6518" s="273"/>
      <c r="M6518" s="399" t="s">
        <v>921</v>
      </c>
      <c r="N6518" s="273"/>
    </row>
    <row r="6519" spans="1:14" ht="12.75" customHeight="1" x14ac:dyDescent="0.2">
      <c r="A6519" s="400" t="s">
        <v>1279</v>
      </c>
      <c r="B6519" s="271"/>
      <c r="C6519" s="271"/>
      <c r="D6519" s="271"/>
      <c r="E6519" s="271"/>
      <c r="F6519" s="271"/>
      <c r="G6519" s="273"/>
      <c r="H6519" s="29" t="str">
        <f t="shared" ref="H6519:H6524" si="889">IF(A6519="","",VLOOKUP(A6519,AA_Materiales,7,FALSE))</f>
        <v>Unidad</v>
      </c>
      <c r="I6519" s="394">
        <f t="shared" ref="I6519:I6526" si="890">IF(A6519="","",VLOOKUP(A6519,AA_Materiales,8,FALSE))</f>
        <v>1200</v>
      </c>
      <c r="J6519" s="273"/>
      <c r="K6519" s="395">
        <v>59</v>
      </c>
      <c r="L6519" s="273"/>
      <c r="M6519" s="394">
        <f t="shared" ref="M6519:M6526" si="891">IF(A6519="","",I6519*K6519)</f>
        <v>70800</v>
      </c>
      <c r="N6519" s="273"/>
    </row>
    <row r="6520" spans="1:14" ht="12.75" customHeight="1" x14ac:dyDescent="0.2">
      <c r="A6520" s="400" t="s">
        <v>997</v>
      </c>
      <c r="B6520" s="271"/>
      <c r="C6520" s="271"/>
      <c r="D6520" s="271"/>
      <c r="E6520" s="271"/>
      <c r="F6520" s="271"/>
      <c r="G6520" s="273"/>
      <c r="H6520" s="29" t="str">
        <f t="shared" si="889"/>
        <v>m3</v>
      </c>
      <c r="I6520" s="394">
        <f t="shared" si="890"/>
        <v>497116</v>
      </c>
      <c r="J6520" s="273"/>
      <c r="K6520" s="395">
        <v>3.5000000000000003E-2</v>
      </c>
      <c r="L6520" s="273"/>
      <c r="M6520" s="394">
        <f t="shared" si="891"/>
        <v>17399.060000000001</v>
      </c>
      <c r="N6520" s="273"/>
    </row>
    <row r="6521" spans="1:14" ht="12.75" customHeight="1" x14ac:dyDescent="0.2">
      <c r="A6521" s="400"/>
      <c r="B6521" s="271"/>
      <c r="C6521" s="271"/>
      <c r="D6521" s="271"/>
      <c r="E6521" s="271"/>
      <c r="F6521" s="271"/>
      <c r="G6521" s="273"/>
      <c r="H6521" s="29" t="str">
        <f t="shared" si="889"/>
        <v/>
      </c>
      <c r="I6521" s="394" t="str">
        <f t="shared" si="890"/>
        <v/>
      </c>
      <c r="J6521" s="273"/>
      <c r="K6521" s="395"/>
      <c r="L6521" s="273"/>
      <c r="M6521" s="394" t="str">
        <f t="shared" si="891"/>
        <v/>
      </c>
      <c r="N6521" s="273"/>
    </row>
    <row r="6522" spans="1:14" ht="12.75" customHeight="1" x14ac:dyDescent="0.2">
      <c r="A6522" s="400"/>
      <c r="B6522" s="271"/>
      <c r="C6522" s="271"/>
      <c r="D6522" s="271"/>
      <c r="E6522" s="271"/>
      <c r="F6522" s="271"/>
      <c r="G6522" s="273"/>
      <c r="H6522" s="29" t="str">
        <f t="shared" si="889"/>
        <v/>
      </c>
      <c r="I6522" s="394" t="str">
        <f t="shared" si="890"/>
        <v/>
      </c>
      <c r="J6522" s="273"/>
      <c r="K6522" s="395"/>
      <c r="L6522" s="273"/>
      <c r="M6522" s="394" t="str">
        <f t="shared" si="891"/>
        <v/>
      </c>
      <c r="N6522" s="273"/>
    </row>
    <row r="6523" spans="1:14" ht="12.75" customHeight="1" x14ac:dyDescent="0.2">
      <c r="A6523" s="400"/>
      <c r="B6523" s="271"/>
      <c r="C6523" s="271"/>
      <c r="D6523" s="271"/>
      <c r="E6523" s="271"/>
      <c r="F6523" s="271"/>
      <c r="G6523" s="273"/>
      <c r="H6523" s="29" t="str">
        <f t="shared" si="889"/>
        <v/>
      </c>
      <c r="I6523" s="394" t="str">
        <f t="shared" si="890"/>
        <v/>
      </c>
      <c r="J6523" s="273"/>
      <c r="K6523" s="395"/>
      <c r="L6523" s="273"/>
      <c r="M6523" s="394" t="str">
        <f t="shared" si="891"/>
        <v/>
      </c>
      <c r="N6523" s="273"/>
    </row>
    <row r="6524" spans="1:14" ht="12.75" customHeight="1" x14ac:dyDescent="0.2">
      <c r="A6524" s="400"/>
      <c r="B6524" s="271"/>
      <c r="C6524" s="271"/>
      <c r="D6524" s="271"/>
      <c r="E6524" s="271"/>
      <c r="F6524" s="271"/>
      <c r="G6524" s="273"/>
      <c r="H6524" s="29" t="str">
        <f t="shared" si="889"/>
        <v/>
      </c>
      <c r="I6524" s="394" t="str">
        <f t="shared" si="890"/>
        <v/>
      </c>
      <c r="J6524" s="273"/>
      <c r="K6524" s="395"/>
      <c r="L6524" s="273"/>
      <c r="M6524" s="394" t="str">
        <f t="shared" si="891"/>
        <v/>
      </c>
      <c r="N6524" s="273"/>
    </row>
    <row r="6525" spans="1:14" ht="12.75" customHeight="1" x14ac:dyDescent="0.2">
      <c r="A6525" s="400"/>
      <c r="B6525" s="271"/>
      <c r="C6525" s="271"/>
      <c r="D6525" s="271"/>
      <c r="E6525" s="271"/>
      <c r="F6525" s="271"/>
      <c r="G6525" s="273"/>
      <c r="H6525" s="29"/>
      <c r="I6525" s="394" t="str">
        <f t="shared" si="890"/>
        <v/>
      </c>
      <c r="J6525" s="273"/>
      <c r="K6525" s="395"/>
      <c r="L6525" s="273"/>
      <c r="M6525" s="394" t="str">
        <f t="shared" si="891"/>
        <v/>
      </c>
      <c r="N6525" s="273"/>
    </row>
    <row r="6526" spans="1:14" ht="12.75" customHeight="1" x14ac:dyDescent="0.2">
      <c r="A6526" s="400"/>
      <c r="B6526" s="271"/>
      <c r="C6526" s="271"/>
      <c r="D6526" s="271"/>
      <c r="E6526" s="271"/>
      <c r="F6526" s="271"/>
      <c r="G6526" s="273"/>
      <c r="H6526" s="29" t="str">
        <f>IF(A6526="","",VLOOKUP(A6526,AA_Materiales,7,FALSE))</f>
        <v/>
      </c>
      <c r="I6526" s="394" t="str">
        <f t="shared" si="890"/>
        <v/>
      </c>
      <c r="J6526" s="273"/>
      <c r="K6526" s="395"/>
      <c r="L6526" s="273"/>
      <c r="M6526" s="394" t="str">
        <f t="shared" si="891"/>
        <v/>
      </c>
      <c r="N6526" s="273"/>
    </row>
    <row r="6527" spans="1:14" ht="12.75" customHeight="1" x14ac:dyDescent="0.25">
      <c r="A6527" s="4"/>
      <c r="B6527" s="4"/>
      <c r="C6527" s="4"/>
      <c r="D6527" s="4"/>
      <c r="E6527" s="4"/>
      <c r="F6527" s="4"/>
      <c r="G6527" s="4"/>
      <c r="H6527" s="4"/>
      <c r="I6527" s="4"/>
      <c r="J6527" s="4"/>
      <c r="K6527" s="396" t="s">
        <v>444</v>
      </c>
      <c r="L6527" s="273"/>
      <c r="M6527" s="394">
        <f>SUM(M6519:N6526)</f>
        <v>88199.06</v>
      </c>
      <c r="N6527" s="273"/>
    </row>
    <row r="6528" spans="1:14" ht="12.75" customHeight="1" x14ac:dyDescent="0.25">
      <c r="A6528" s="4"/>
      <c r="B6528" s="4"/>
      <c r="C6528" s="4"/>
      <c r="D6528" s="4"/>
      <c r="E6528" s="4"/>
      <c r="F6528" s="4"/>
      <c r="G6528" s="4"/>
      <c r="H6528" s="4"/>
      <c r="I6528" s="4"/>
      <c r="J6528" s="4"/>
      <c r="K6528" s="4"/>
      <c r="L6528" s="4"/>
      <c r="M6528" s="4"/>
      <c r="N6528" s="4"/>
    </row>
    <row r="6529" spans="1:14" ht="12.75" customHeight="1" x14ac:dyDescent="0.2">
      <c r="A6529" s="398" t="s">
        <v>926</v>
      </c>
      <c r="B6529" s="271"/>
      <c r="C6529" s="271"/>
      <c r="D6529" s="271"/>
      <c r="E6529" s="271"/>
      <c r="F6529" s="271"/>
      <c r="G6529" s="271"/>
      <c r="H6529" s="271"/>
      <c r="I6529" s="271"/>
      <c r="J6529" s="271"/>
      <c r="K6529" s="271"/>
      <c r="L6529" s="271"/>
      <c r="M6529" s="271"/>
      <c r="N6529" s="273"/>
    </row>
    <row r="6530" spans="1:14" ht="12.75" customHeight="1" x14ac:dyDescent="0.2">
      <c r="A6530" s="396" t="s">
        <v>76</v>
      </c>
      <c r="B6530" s="271"/>
      <c r="C6530" s="271"/>
      <c r="D6530" s="271"/>
      <c r="E6530" s="271"/>
      <c r="F6530" s="271"/>
      <c r="G6530" s="273"/>
      <c r="H6530" s="88" t="s">
        <v>77</v>
      </c>
      <c r="I6530" s="399" t="s">
        <v>920</v>
      </c>
      <c r="J6530" s="273"/>
      <c r="K6530" s="399" t="s">
        <v>453</v>
      </c>
      <c r="L6530" s="273"/>
      <c r="M6530" s="399" t="s">
        <v>921</v>
      </c>
      <c r="N6530" s="273"/>
    </row>
    <row r="6531" spans="1:14" ht="12.75" customHeight="1" x14ac:dyDescent="0.2">
      <c r="A6531" s="400" t="s">
        <v>927</v>
      </c>
      <c r="B6531" s="271"/>
      <c r="C6531" s="271"/>
      <c r="D6531" s="271"/>
      <c r="E6531" s="271"/>
      <c r="F6531" s="271"/>
      <c r="G6531" s="273"/>
      <c r="H6531" s="29" t="str">
        <f>IF(A6531="","",VLOOKUP(A6531,AA_Equipos,7,FALSE))</f>
        <v>% M.O.</v>
      </c>
      <c r="I6531" s="394">
        <f>+M6554</f>
        <v>225.79706752411576</v>
      </c>
      <c r="J6531" s="273"/>
      <c r="K6531" s="404">
        <v>0.05</v>
      </c>
      <c r="L6531" s="273"/>
      <c r="M6531" s="394">
        <f t="shared" ref="M6531:M6535" si="892">IF(A6531="","",I6531*K6531)</f>
        <v>11.289853376205789</v>
      </c>
      <c r="N6531" s="273"/>
    </row>
    <row r="6532" spans="1:14" ht="12.75" customHeight="1" x14ac:dyDescent="0.2">
      <c r="A6532" s="403"/>
      <c r="B6532" s="271"/>
      <c r="C6532" s="271"/>
      <c r="D6532" s="271"/>
      <c r="E6532" s="271"/>
      <c r="F6532" s="271"/>
      <c r="G6532" s="273"/>
      <c r="H6532" s="29" t="str">
        <f>IF(A6532="","",VLOOKUP(A6532,AA_Equipos,7,FALSE))</f>
        <v/>
      </c>
      <c r="I6532" s="394" t="str">
        <f>IF(A6532="","",VLOOKUP(A6532,AA_Equipos,8,FALSE))</f>
        <v/>
      </c>
      <c r="J6532" s="273"/>
      <c r="K6532" s="402"/>
      <c r="L6532" s="273"/>
      <c r="M6532" s="394" t="str">
        <f t="shared" si="892"/>
        <v/>
      </c>
      <c r="N6532" s="273"/>
    </row>
    <row r="6533" spans="1:14" ht="12.75" customHeight="1" x14ac:dyDescent="0.2">
      <c r="A6533" s="400"/>
      <c r="B6533" s="271"/>
      <c r="C6533" s="271"/>
      <c r="D6533" s="271"/>
      <c r="E6533" s="271"/>
      <c r="F6533" s="271"/>
      <c r="G6533" s="273"/>
      <c r="H6533" s="29" t="str">
        <f>IF(A6533="","",VLOOKUP(A6533,AA_Equipos,7,FALSE))</f>
        <v/>
      </c>
      <c r="I6533" s="394" t="str">
        <f>IF(A6533="","",VLOOKUP(A6533,AA_Equipos,8,FALSE))</f>
        <v/>
      </c>
      <c r="J6533" s="273"/>
      <c r="K6533" s="402"/>
      <c r="L6533" s="273"/>
      <c r="M6533" s="394" t="str">
        <f t="shared" si="892"/>
        <v/>
      </c>
      <c r="N6533" s="273"/>
    </row>
    <row r="6534" spans="1:14" ht="12.75" customHeight="1" x14ac:dyDescent="0.2">
      <c r="A6534" s="400"/>
      <c r="B6534" s="271"/>
      <c r="C6534" s="271"/>
      <c r="D6534" s="271"/>
      <c r="E6534" s="271"/>
      <c r="F6534" s="271"/>
      <c r="G6534" s="273"/>
      <c r="H6534" s="29" t="str">
        <f>IF(A6534="","",VLOOKUP(A6534,AA_Equipos,7,FALSE))</f>
        <v/>
      </c>
      <c r="I6534" s="394" t="str">
        <f>IF(A6534="","",VLOOKUP(A6534,AA_Equipos,8,FALSE))</f>
        <v/>
      </c>
      <c r="J6534" s="273"/>
      <c r="K6534" s="402"/>
      <c r="L6534" s="273"/>
      <c r="M6534" s="394" t="str">
        <f t="shared" si="892"/>
        <v/>
      </c>
      <c r="N6534" s="273"/>
    </row>
    <row r="6535" spans="1:14" ht="12.75" customHeight="1" x14ac:dyDescent="0.2">
      <c r="A6535" s="400"/>
      <c r="B6535" s="271"/>
      <c r="C6535" s="271"/>
      <c r="D6535" s="271"/>
      <c r="E6535" s="271"/>
      <c r="F6535" s="271"/>
      <c r="G6535" s="273"/>
      <c r="H6535" s="29" t="str">
        <f>IF(A6535="","",VLOOKUP(A6535,AA_Equipos,7,FALSE))</f>
        <v/>
      </c>
      <c r="I6535" s="394" t="str">
        <f>IF(A6535="","",VLOOKUP(A6535,AA_Equipos,8,FALSE))</f>
        <v/>
      </c>
      <c r="J6535" s="273"/>
      <c r="K6535" s="395"/>
      <c r="L6535" s="273"/>
      <c r="M6535" s="394" t="str">
        <f t="shared" si="892"/>
        <v/>
      </c>
      <c r="N6535" s="273"/>
    </row>
    <row r="6536" spans="1:14" ht="12.75" customHeight="1" x14ac:dyDescent="0.25">
      <c r="A6536" s="4"/>
      <c r="B6536" s="4"/>
      <c r="C6536" s="4"/>
      <c r="D6536" s="4"/>
      <c r="E6536" s="4"/>
      <c r="F6536" s="4"/>
      <c r="G6536" s="4"/>
      <c r="H6536" s="4"/>
      <c r="I6536" s="4"/>
      <c r="J6536" s="4"/>
      <c r="K6536" s="396" t="s">
        <v>444</v>
      </c>
      <c r="L6536" s="273"/>
      <c r="M6536" s="394">
        <f>SUM(M6531:N6535)</f>
        <v>11.289853376205789</v>
      </c>
      <c r="N6536" s="273"/>
    </row>
    <row r="6537" spans="1:14" ht="12.75" customHeight="1" x14ac:dyDescent="0.25">
      <c r="A6537" s="4"/>
      <c r="B6537" s="4"/>
      <c r="C6537" s="4"/>
      <c r="D6537" s="4"/>
      <c r="E6537" s="4"/>
      <c r="F6537" s="4"/>
      <c r="G6537" s="4"/>
      <c r="H6537" s="4"/>
      <c r="I6537" s="4"/>
      <c r="J6537" s="4"/>
      <c r="K6537" s="4"/>
      <c r="L6537" s="4"/>
      <c r="M6537" s="4"/>
      <c r="N6537" s="4"/>
    </row>
    <row r="6538" spans="1:14" ht="12.75" customHeight="1" x14ac:dyDescent="0.2">
      <c r="A6538" s="398" t="s">
        <v>929</v>
      </c>
      <c r="B6538" s="271"/>
      <c r="C6538" s="271"/>
      <c r="D6538" s="271"/>
      <c r="E6538" s="271"/>
      <c r="F6538" s="271"/>
      <c r="G6538" s="271"/>
      <c r="H6538" s="271"/>
      <c r="I6538" s="271"/>
      <c r="J6538" s="271"/>
      <c r="K6538" s="271"/>
      <c r="L6538" s="271"/>
      <c r="M6538" s="271"/>
      <c r="N6538" s="273"/>
    </row>
    <row r="6539" spans="1:14" ht="12.75" customHeight="1" x14ac:dyDescent="0.2">
      <c r="A6539" s="396" t="s">
        <v>76</v>
      </c>
      <c r="B6539" s="271"/>
      <c r="C6539" s="271"/>
      <c r="D6539" s="271"/>
      <c r="E6539" s="271"/>
      <c r="F6539" s="271"/>
      <c r="G6539" s="273"/>
      <c r="H6539" s="88" t="s">
        <v>77</v>
      </c>
      <c r="I6539" s="399" t="s">
        <v>920</v>
      </c>
      <c r="J6539" s="273"/>
      <c r="K6539" s="399" t="s">
        <v>453</v>
      </c>
      <c r="L6539" s="273"/>
      <c r="M6539" s="399" t="s">
        <v>921</v>
      </c>
      <c r="N6539" s="273"/>
    </row>
    <row r="6540" spans="1:14" ht="12.75" customHeight="1" x14ac:dyDescent="0.2">
      <c r="A6540" s="400" t="s">
        <v>966</v>
      </c>
      <c r="B6540" s="271"/>
      <c r="C6540" s="271"/>
      <c r="D6540" s="271"/>
      <c r="E6540" s="271"/>
      <c r="F6540" s="271"/>
      <c r="G6540" s="273"/>
      <c r="H6540" s="29" t="s">
        <v>950</v>
      </c>
      <c r="I6540" s="394">
        <f>+M6527</f>
        <v>88199.06</v>
      </c>
      <c r="J6540" s="273"/>
      <c r="K6540" s="404">
        <v>0.05</v>
      </c>
      <c r="L6540" s="273"/>
      <c r="M6540" s="394">
        <f t="shared" ref="M6540:M6544" si="893">IF(A6540="","",I6540*K6540)</f>
        <v>4409.9530000000004</v>
      </c>
      <c r="N6540" s="273"/>
    </row>
    <row r="6541" spans="1:14" ht="12.75" customHeight="1" x14ac:dyDescent="0.2">
      <c r="A6541" s="403"/>
      <c r="B6541" s="271"/>
      <c r="C6541" s="271"/>
      <c r="D6541" s="271"/>
      <c r="E6541" s="271"/>
      <c r="F6541" s="271"/>
      <c r="G6541" s="273"/>
      <c r="H6541" s="29"/>
      <c r="I6541" s="394"/>
      <c r="J6541" s="273"/>
      <c r="K6541" s="404"/>
      <c r="L6541" s="273"/>
      <c r="M6541" s="394" t="str">
        <f t="shared" si="893"/>
        <v/>
      </c>
      <c r="N6541" s="273"/>
    </row>
    <row r="6542" spans="1:14" ht="12.75" customHeight="1" x14ac:dyDescent="0.2">
      <c r="A6542" s="400"/>
      <c r="B6542" s="271"/>
      <c r="C6542" s="271"/>
      <c r="D6542" s="271"/>
      <c r="E6542" s="271"/>
      <c r="F6542" s="271"/>
      <c r="G6542" s="273"/>
      <c r="H6542" s="29"/>
      <c r="I6542" s="394"/>
      <c r="J6542" s="273"/>
      <c r="K6542" s="395"/>
      <c r="L6542" s="273"/>
      <c r="M6542" s="394" t="str">
        <f t="shared" si="893"/>
        <v/>
      </c>
      <c r="N6542" s="273"/>
    </row>
    <row r="6543" spans="1:14" ht="12.75" customHeight="1" x14ac:dyDescent="0.2">
      <c r="A6543" s="400"/>
      <c r="B6543" s="271"/>
      <c r="C6543" s="271"/>
      <c r="D6543" s="271"/>
      <c r="E6543" s="271"/>
      <c r="F6543" s="271"/>
      <c r="G6543" s="273"/>
      <c r="H6543" s="29"/>
      <c r="I6543" s="394"/>
      <c r="J6543" s="273"/>
      <c r="K6543" s="395"/>
      <c r="L6543" s="273"/>
      <c r="M6543" s="394" t="str">
        <f t="shared" si="893"/>
        <v/>
      </c>
      <c r="N6543" s="273"/>
    </row>
    <row r="6544" spans="1:14" ht="12.75" customHeight="1" x14ac:dyDescent="0.2">
      <c r="A6544" s="400"/>
      <c r="B6544" s="271"/>
      <c r="C6544" s="271"/>
      <c r="D6544" s="271"/>
      <c r="E6544" s="271"/>
      <c r="F6544" s="271"/>
      <c r="G6544" s="273"/>
      <c r="H6544" s="29"/>
      <c r="I6544" s="394"/>
      <c r="J6544" s="273"/>
      <c r="K6544" s="395"/>
      <c r="L6544" s="273"/>
      <c r="M6544" s="394" t="str">
        <f t="shared" si="893"/>
        <v/>
      </c>
      <c r="N6544" s="273"/>
    </row>
    <row r="6545" spans="1:14" ht="12.75" customHeight="1" x14ac:dyDescent="0.25">
      <c r="A6545" s="4"/>
      <c r="B6545" s="4"/>
      <c r="C6545" s="4"/>
      <c r="D6545" s="4"/>
      <c r="E6545" s="4"/>
      <c r="F6545" s="4"/>
      <c r="G6545" s="4"/>
      <c r="H6545" s="4"/>
      <c r="I6545" s="4"/>
      <c r="J6545" s="4"/>
      <c r="K6545" s="396" t="s">
        <v>444</v>
      </c>
      <c r="L6545" s="273"/>
      <c r="M6545" s="394">
        <f>SUM(M6540:N6544)</f>
        <v>4409.9530000000004</v>
      </c>
      <c r="N6545" s="273"/>
    </row>
    <row r="6546" spans="1:14" ht="12.75" customHeight="1" x14ac:dyDescent="0.25">
      <c r="A6546" s="4"/>
      <c r="B6546" s="4"/>
      <c r="C6546" s="4"/>
      <c r="D6546" s="4"/>
      <c r="E6546" s="4"/>
      <c r="F6546" s="4"/>
      <c r="G6546" s="4"/>
      <c r="H6546" s="4"/>
      <c r="I6546" s="4"/>
      <c r="J6546" s="4"/>
      <c r="K6546" s="4"/>
      <c r="L6546" s="4"/>
      <c r="M6546" s="4"/>
      <c r="N6546" s="4"/>
    </row>
    <row r="6547" spans="1:14" ht="12.75" customHeight="1" x14ac:dyDescent="0.2">
      <c r="A6547" s="398" t="s">
        <v>931</v>
      </c>
      <c r="B6547" s="271"/>
      <c r="C6547" s="271"/>
      <c r="D6547" s="271"/>
      <c r="E6547" s="271"/>
      <c r="F6547" s="271"/>
      <c r="G6547" s="271"/>
      <c r="H6547" s="271"/>
      <c r="I6547" s="271"/>
      <c r="J6547" s="271"/>
      <c r="K6547" s="271"/>
      <c r="L6547" s="271"/>
      <c r="M6547" s="271"/>
      <c r="N6547" s="273"/>
    </row>
    <row r="6548" spans="1:14" ht="12.75" customHeight="1" x14ac:dyDescent="0.2">
      <c r="A6548" s="396" t="s">
        <v>76</v>
      </c>
      <c r="B6548" s="271"/>
      <c r="C6548" s="271"/>
      <c r="D6548" s="271"/>
      <c r="E6548" s="271"/>
      <c r="F6548" s="271"/>
      <c r="G6548" s="273"/>
      <c r="H6548" s="88" t="s">
        <v>77</v>
      </c>
      <c r="I6548" s="399" t="s">
        <v>920</v>
      </c>
      <c r="J6548" s="273"/>
      <c r="K6548" s="90" t="s">
        <v>514</v>
      </c>
      <c r="L6548" s="91" t="s">
        <v>932</v>
      </c>
      <c r="M6548" s="399" t="s">
        <v>921</v>
      </c>
      <c r="N6548" s="273"/>
    </row>
    <row r="6549" spans="1:14" ht="12.75" customHeight="1" x14ac:dyDescent="0.25">
      <c r="A6549" s="393" t="s">
        <v>986</v>
      </c>
      <c r="B6549" s="271"/>
      <c r="C6549" s="271"/>
      <c r="D6549" s="271"/>
      <c r="E6549" s="271"/>
      <c r="F6549" s="271"/>
      <c r="G6549" s="273"/>
      <c r="H6549" s="29" t="str">
        <f>IF(A6549="","",VLOOKUP(A6549,AA_Cuadrillas,4,FALSE))</f>
        <v>Cuadrilla</v>
      </c>
      <c r="I6549" s="394">
        <f>IF(A6549="","",VLOOKUP(A6549,AA_Cuadrillas,5,FALSE))</f>
        <v>186763</v>
      </c>
      <c r="J6549" s="273"/>
      <c r="K6549" s="9">
        <f>IF(A6549="","",F.P!$I$2)</f>
        <v>1.88</v>
      </c>
      <c r="L6549" s="93">
        <v>6.4308681672025725E-4</v>
      </c>
      <c r="M6549" s="394">
        <f t="shared" ref="M6549:M6553" si="894">IF(A6549="","",I6549*K6549*L6549)</f>
        <v>225.79706752411576</v>
      </c>
      <c r="N6549" s="273"/>
    </row>
    <row r="6550" spans="1:14" ht="12.75" customHeight="1" x14ac:dyDescent="0.25">
      <c r="A6550" s="393"/>
      <c r="B6550" s="271"/>
      <c r="C6550" s="271"/>
      <c r="D6550" s="271"/>
      <c r="E6550" s="271"/>
      <c r="F6550" s="271"/>
      <c r="G6550" s="273"/>
      <c r="H6550" s="29" t="str">
        <f>IF(A6550="","",VLOOKUP(A6550,AA_Cuadrillas,4,FALSE))</f>
        <v/>
      </c>
      <c r="I6550" s="394" t="str">
        <f>IF(A6550="","",VLOOKUP(A6550,AA_Cuadrillas,5,FALSE))</f>
        <v/>
      </c>
      <c r="J6550" s="273"/>
      <c r="K6550" s="9" t="str">
        <f>IF(A6550="","",F.P!$I$2)</f>
        <v/>
      </c>
      <c r="L6550" s="9"/>
      <c r="M6550" s="394" t="str">
        <f t="shared" si="894"/>
        <v/>
      </c>
      <c r="N6550" s="273"/>
    </row>
    <row r="6551" spans="1:14" ht="12.75" customHeight="1" x14ac:dyDescent="0.25">
      <c r="A6551" s="393"/>
      <c r="B6551" s="271"/>
      <c r="C6551" s="271"/>
      <c r="D6551" s="271"/>
      <c r="E6551" s="271"/>
      <c r="F6551" s="271"/>
      <c r="G6551" s="273"/>
      <c r="H6551" s="29" t="str">
        <f>IF(A6551="","",VLOOKUP(A6551,AA_Cuadrillas,4,FALSE))</f>
        <v/>
      </c>
      <c r="I6551" s="394" t="str">
        <f>IF(A6551="","",VLOOKUP(A6551,AA_Cuadrillas,5,FALSE))</f>
        <v/>
      </c>
      <c r="J6551" s="273"/>
      <c r="K6551" s="9" t="str">
        <f>IF(A6551="","",F.P!$I$2)</f>
        <v/>
      </c>
      <c r="L6551" s="37"/>
      <c r="M6551" s="394" t="str">
        <f t="shared" si="894"/>
        <v/>
      </c>
      <c r="N6551" s="273"/>
    </row>
    <row r="6552" spans="1:14" ht="12.75" customHeight="1" x14ac:dyDescent="0.25">
      <c r="A6552" s="393"/>
      <c r="B6552" s="271"/>
      <c r="C6552" s="271"/>
      <c r="D6552" s="271"/>
      <c r="E6552" s="271"/>
      <c r="F6552" s="271"/>
      <c r="G6552" s="273"/>
      <c r="H6552" s="29" t="str">
        <f>IF(A6552="","",VLOOKUP(A6552,AA_Cuadrillas,4,FALSE))</f>
        <v/>
      </c>
      <c r="I6552" s="394" t="str">
        <f>IF(A6552="","",VLOOKUP(A6552,AA_Cuadrillas,5,FALSE))</f>
        <v/>
      </c>
      <c r="J6552" s="273"/>
      <c r="K6552" s="9" t="str">
        <f>IF(A6552="","",F.P!$I$2)</f>
        <v/>
      </c>
      <c r="L6552" s="37"/>
      <c r="M6552" s="394" t="str">
        <f t="shared" si="894"/>
        <v/>
      </c>
      <c r="N6552" s="273"/>
    </row>
    <row r="6553" spans="1:14" ht="12.75" customHeight="1" x14ac:dyDescent="0.25">
      <c r="A6553" s="393"/>
      <c r="B6553" s="271"/>
      <c r="C6553" s="271"/>
      <c r="D6553" s="271"/>
      <c r="E6553" s="271"/>
      <c r="F6553" s="271"/>
      <c r="G6553" s="273"/>
      <c r="H6553" s="29" t="str">
        <f>IF(A6553="","",VLOOKUP(A6553,AA_Cuadrillas,4,FALSE))</f>
        <v/>
      </c>
      <c r="I6553" s="394" t="str">
        <f>IF(A6553="","",VLOOKUP(A6553,AA_Cuadrillas,5,FALSE))</f>
        <v/>
      </c>
      <c r="J6553" s="273"/>
      <c r="K6553" s="9" t="str">
        <f>IF(A6553="","",F.P!$I$2)</f>
        <v/>
      </c>
      <c r="L6553" s="37"/>
      <c r="M6553" s="394" t="str">
        <f t="shared" si="894"/>
        <v/>
      </c>
      <c r="N6553" s="273"/>
    </row>
    <row r="6554" spans="1:14" ht="12.75" customHeight="1" x14ac:dyDescent="0.25">
      <c r="A6554" s="4"/>
      <c r="B6554" s="4"/>
      <c r="C6554" s="4"/>
      <c r="D6554" s="4"/>
      <c r="E6554" s="4"/>
      <c r="F6554" s="4"/>
      <c r="G6554" s="4"/>
      <c r="H6554" s="4"/>
      <c r="I6554" s="4"/>
      <c r="J6554" s="4"/>
      <c r="K6554" s="396" t="s">
        <v>444</v>
      </c>
      <c r="L6554" s="273"/>
      <c r="M6554" s="394">
        <f>SUM(M6549:N6553)</f>
        <v>225.79706752411576</v>
      </c>
      <c r="N6554" s="273"/>
    </row>
    <row r="6555" spans="1:14" ht="12.75" customHeight="1" x14ac:dyDescent="0.2"/>
    <row r="6556" spans="1:14" ht="12.75" customHeight="1" x14ac:dyDescent="0.2">
      <c r="A6556" s="407" t="s">
        <v>1280</v>
      </c>
      <c r="B6556" s="275"/>
      <c r="C6556" s="275"/>
      <c r="D6556" s="275"/>
      <c r="E6556" s="275"/>
      <c r="F6556" s="275"/>
      <c r="G6556" s="275"/>
      <c r="H6556" s="275"/>
      <c r="I6556" s="275"/>
      <c r="J6556" s="275"/>
      <c r="K6556" s="275"/>
      <c r="L6556" s="275"/>
      <c r="M6556" s="275"/>
      <c r="N6556" s="276"/>
    </row>
    <row r="6557" spans="1:14" ht="12.75" customHeight="1" x14ac:dyDescent="0.2">
      <c r="A6557" s="277"/>
      <c r="B6557" s="278"/>
      <c r="C6557" s="278"/>
      <c r="D6557" s="278"/>
      <c r="E6557" s="278"/>
      <c r="F6557" s="278"/>
      <c r="G6557" s="278"/>
      <c r="H6557" s="278"/>
      <c r="I6557" s="278"/>
      <c r="J6557" s="278"/>
      <c r="K6557" s="278"/>
      <c r="L6557" s="278"/>
      <c r="M6557" s="278"/>
      <c r="N6557" s="279"/>
    </row>
    <row r="6558" spans="1:14" ht="12.75" customHeight="1" x14ac:dyDescent="0.2">
      <c r="A6558" s="75"/>
      <c r="B6558" s="75"/>
      <c r="C6558" s="75"/>
      <c r="D6558" s="75"/>
      <c r="E6558" s="75"/>
      <c r="F6558" s="75"/>
      <c r="G6558" s="75"/>
      <c r="H6558" s="75"/>
      <c r="I6558" s="75"/>
      <c r="J6558" s="75"/>
      <c r="K6558" s="75"/>
      <c r="L6558" s="75"/>
      <c r="M6558" s="75"/>
      <c r="N6558" s="75"/>
    </row>
    <row r="6559" spans="1:14" ht="12.75" customHeight="1" x14ac:dyDescent="0.3">
      <c r="A6559" s="79" t="s">
        <v>765</v>
      </c>
      <c r="B6559" s="80" t="str">
        <f>A6556</f>
        <v>MALLA ESLABONADA No.10 ROMBO 1,1/2" INCLUYE MARCO EN ANGULO DE HIERRO Y SOLDADURA</v>
      </c>
      <c r="C6559" s="81" t="s">
        <v>916</v>
      </c>
      <c r="D6559" s="82" t="s">
        <v>934</v>
      </c>
      <c r="E6559" s="83" t="s">
        <v>445</v>
      </c>
      <c r="F6559" s="86">
        <f>H6559+J6559+L6559+N6559</f>
        <v>39963.723159090907</v>
      </c>
      <c r="G6559" s="83" t="s">
        <v>607</v>
      </c>
      <c r="H6559" s="86">
        <f>M6571</f>
        <v>32165.989999999998</v>
      </c>
      <c r="I6559" s="83" t="s">
        <v>918</v>
      </c>
      <c r="J6559" s="86">
        <f>M6580</f>
        <v>2199.4968409090907</v>
      </c>
      <c r="K6559" s="83" t="s">
        <v>609</v>
      </c>
      <c r="L6559" s="86">
        <f>M6589</f>
        <v>1608.2995000000001</v>
      </c>
      <c r="M6559" s="83" t="s">
        <v>610</v>
      </c>
      <c r="N6559" s="86">
        <f>M6598</f>
        <v>3989.9368181818181</v>
      </c>
    </row>
    <row r="6560" spans="1:14" ht="12.75" customHeight="1" x14ac:dyDescent="0.25">
      <c r="A6560" s="87"/>
      <c r="B6560" s="87"/>
      <c r="C6560" s="87"/>
      <c r="D6560" s="87"/>
      <c r="E6560" s="87"/>
      <c r="F6560" s="87"/>
      <c r="G6560" s="87"/>
      <c r="J6560" s="87"/>
      <c r="K6560" s="215" t="s">
        <v>3217</v>
      </c>
      <c r="L6560" s="215">
        <f>+F6559*presup!$O$5</f>
        <v>51952.840106818177</v>
      </c>
      <c r="M6560" s="87"/>
      <c r="N6560" s="87"/>
    </row>
    <row r="6561" spans="1:14" ht="12.75" customHeight="1" x14ac:dyDescent="0.2">
      <c r="A6561" s="398" t="s">
        <v>919</v>
      </c>
      <c r="B6561" s="271"/>
      <c r="C6561" s="271"/>
      <c r="D6561" s="271"/>
      <c r="E6561" s="271"/>
      <c r="F6561" s="271"/>
      <c r="G6561" s="271"/>
      <c r="H6561" s="271"/>
      <c r="I6561" s="271"/>
      <c r="J6561" s="271"/>
      <c r="K6561" s="271"/>
      <c r="L6561" s="271"/>
      <c r="M6561" s="271"/>
      <c r="N6561" s="273"/>
    </row>
    <row r="6562" spans="1:14" ht="12.75" customHeight="1" x14ac:dyDescent="0.2">
      <c r="A6562" s="396" t="s">
        <v>76</v>
      </c>
      <c r="B6562" s="271"/>
      <c r="C6562" s="271"/>
      <c r="D6562" s="271"/>
      <c r="E6562" s="271"/>
      <c r="F6562" s="271"/>
      <c r="G6562" s="273"/>
      <c r="H6562" s="88" t="s">
        <v>77</v>
      </c>
      <c r="I6562" s="399" t="s">
        <v>920</v>
      </c>
      <c r="J6562" s="273"/>
      <c r="K6562" s="399" t="s">
        <v>453</v>
      </c>
      <c r="L6562" s="273"/>
      <c r="M6562" s="399" t="s">
        <v>921</v>
      </c>
      <c r="N6562" s="273"/>
    </row>
    <row r="6563" spans="1:14" ht="12.75" customHeight="1" x14ac:dyDescent="0.2">
      <c r="A6563" s="400" t="s">
        <v>1281</v>
      </c>
      <c r="B6563" s="271"/>
      <c r="C6563" s="271"/>
      <c r="D6563" s="271"/>
      <c r="E6563" s="271"/>
      <c r="F6563" s="271"/>
      <c r="G6563" s="273"/>
      <c r="H6563" s="29" t="str">
        <f t="shared" ref="H6563:H6568" si="895">IF(A6563="","",VLOOKUP(A6563,AA_Materiales,7,FALSE))</f>
        <v>m2</v>
      </c>
      <c r="I6563" s="394">
        <f t="shared" ref="I6563:I6570" si="896">IF(A6563="","",VLOOKUP(A6563,AA_Materiales,8,FALSE))</f>
        <v>13455.99</v>
      </c>
      <c r="J6563" s="273"/>
      <c r="K6563" s="395">
        <v>1</v>
      </c>
      <c r="L6563" s="273"/>
      <c r="M6563" s="394">
        <f t="shared" ref="M6563:M6570" si="897">IF(A6563="","",I6563*K6563)</f>
        <v>13455.99</v>
      </c>
      <c r="N6563" s="273"/>
    </row>
    <row r="6564" spans="1:14" ht="12.75" customHeight="1" x14ac:dyDescent="0.2">
      <c r="A6564" s="400" t="s">
        <v>993</v>
      </c>
      <c r="B6564" s="271"/>
      <c r="C6564" s="271"/>
      <c r="D6564" s="271"/>
      <c r="E6564" s="271"/>
      <c r="F6564" s="271"/>
      <c r="G6564" s="273"/>
      <c r="H6564" s="29" t="str">
        <f t="shared" si="895"/>
        <v>Kg</v>
      </c>
      <c r="I6564" s="394">
        <f t="shared" si="896"/>
        <v>23400</v>
      </c>
      <c r="J6564" s="273"/>
      <c r="K6564" s="395">
        <v>0.3</v>
      </c>
      <c r="L6564" s="273"/>
      <c r="M6564" s="394">
        <f t="shared" si="897"/>
        <v>7020</v>
      </c>
      <c r="N6564" s="273"/>
    </row>
    <row r="6565" spans="1:14" ht="12.75" customHeight="1" x14ac:dyDescent="0.2">
      <c r="A6565" s="400" t="s">
        <v>990</v>
      </c>
      <c r="B6565" s="271"/>
      <c r="C6565" s="271"/>
      <c r="D6565" s="271"/>
      <c r="E6565" s="271"/>
      <c r="F6565" s="271"/>
      <c r="G6565" s="273"/>
      <c r="H6565" s="29" t="str">
        <f t="shared" si="895"/>
        <v>ml</v>
      </c>
      <c r="I6565" s="394">
        <f t="shared" si="896"/>
        <v>7000</v>
      </c>
      <c r="J6565" s="273"/>
      <c r="K6565" s="395">
        <v>1.67</v>
      </c>
      <c r="L6565" s="273"/>
      <c r="M6565" s="394">
        <f t="shared" si="897"/>
        <v>11690</v>
      </c>
      <c r="N6565" s="273"/>
    </row>
    <row r="6566" spans="1:14" ht="12.75" customHeight="1" x14ac:dyDescent="0.2">
      <c r="A6566" s="400"/>
      <c r="B6566" s="271"/>
      <c r="C6566" s="271"/>
      <c r="D6566" s="271"/>
      <c r="E6566" s="271"/>
      <c r="F6566" s="271"/>
      <c r="G6566" s="273"/>
      <c r="H6566" s="29" t="str">
        <f t="shared" si="895"/>
        <v/>
      </c>
      <c r="I6566" s="394" t="str">
        <f t="shared" si="896"/>
        <v/>
      </c>
      <c r="J6566" s="273"/>
      <c r="K6566" s="395"/>
      <c r="L6566" s="273"/>
      <c r="M6566" s="394" t="str">
        <f t="shared" si="897"/>
        <v/>
      </c>
      <c r="N6566" s="273"/>
    </row>
    <row r="6567" spans="1:14" ht="12.75" customHeight="1" x14ac:dyDescent="0.2">
      <c r="A6567" s="400"/>
      <c r="B6567" s="271"/>
      <c r="C6567" s="271"/>
      <c r="D6567" s="271"/>
      <c r="E6567" s="271"/>
      <c r="F6567" s="271"/>
      <c r="G6567" s="273"/>
      <c r="H6567" s="29" t="str">
        <f t="shared" si="895"/>
        <v/>
      </c>
      <c r="I6567" s="394" t="str">
        <f t="shared" si="896"/>
        <v/>
      </c>
      <c r="J6567" s="273"/>
      <c r="K6567" s="395"/>
      <c r="L6567" s="273"/>
      <c r="M6567" s="394" t="str">
        <f t="shared" si="897"/>
        <v/>
      </c>
      <c r="N6567" s="273"/>
    </row>
    <row r="6568" spans="1:14" ht="12.75" customHeight="1" x14ac:dyDescent="0.2">
      <c r="A6568" s="400"/>
      <c r="B6568" s="271"/>
      <c r="C6568" s="271"/>
      <c r="D6568" s="271"/>
      <c r="E6568" s="271"/>
      <c r="F6568" s="271"/>
      <c r="G6568" s="273"/>
      <c r="H6568" s="29" t="str">
        <f t="shared" si="895"/>
        <v/>
      </c>
      <c r="I6568" s="394" t="str">
        <f t="shared" si="896"/>
        <v/>
      </c>
      <c r="J6568" s="273"/>
      <c r="K6568" s="395"/>
      <c r="L6568" s="273"/>
      <c r="M6568" s="394" t="str">
        <f t="shared" si="897"/>
        <v/>
      </c>
      <c r="N6568" s="273"/>
    </row>
    <row r="6569" spans="1:14" ht="12.75" customHeight="1" x14ac:dyDescent="0.2">
      <c r="A6569" s="400"/>
      <c r="B6569" s="271"/>
      <c r="C6569" s="271"/>
      <c r="D6569" s="271"/>
      <c r="E6569" s="271"/>
      <c r="F6569" s="271"/>
      <c r="G6569" s="273"/>
      <c r="H6569" s="29"/>
      <c r="I6569" s="394" t="str">
        <f t="shared" si="896"/>
        <v/>
      </c>
      <c r="J6569" s="273"/>
      <c r="K6569" s="395"/>
      <c r="L6569" s="273"/>
      <c r="M6569" s="394" t="str">
        <f t="shared" si="897"/>
        <v/>
      </c>
      <c r="N6569" s="273"/>
    </row>
    <row r="6570" spans="1:14" ht="12.75" customHeight="1" x14ac:dyDescent="0.2">
      <c r="A6570" s="400"/>
      <c r="B6570" s="271"/>
      <c r="C6570" s="271"/>
      <c r="D6570" s="271"/>
      <c r="E6570" s="271"/>
      <c r="F6570" s="271"/>
      <c r="G6570" s="273"/>
      <c r="H6570" s="29" t="str">
        <f>IF(A6570="","",VLOOKUP(A6570,AA_Materiales,7,FALSE))</f>
        <v/>
      </c>
      <c r="I6570" s="394" t="str">
        <f t="shared" si="896"/>
        <v/>
      </c>
      <c r="J6570" s="273"/>
      <c r="K6570" s="395"/>
      <c r="L6570" s="273"/>
      <c r="M6570" s="394" t="str">
        <f t="shared" si="897"/>
        <v/>
      </c>
      <c r="N6570" s="273"/>
    </row>
    <row r="6571" spans="1:14" ht="12.75" customHeight="1" x14ac:dyDescent="0.25">
      <c r="A6571" s="4"/>
      <c r="B6571" s="4"/>
      <c r="C6571" s="4"/>
      <c r="D6571" s="4"/>
      <c r="E6571" s="4"/>
      <c r="F6571" s="4"/>
      <c r="G6571" s="4"/>
      <c r="H6571" s="4"/>
      <c r="I6571" s="4"/>
      <c r="J6571" s="4"/>
      <c r="K6571" s="396" t="s">
        <v>444</v>
      </c>
      <c r="L6571" s="273"/>
      <c r="M6571" s="394">
        <f>SUM(M6563:N6570)</f>
        <v>32165.989999999998</v>
      </c>
      <c r="N6571" s="273"/>
    </row>
    <row r="6572" spans="1:14" ht="12.75" customHeight="1" x14ac:dyDescent="0.25">
      <c r="A6572" s="4"/>
      <c r="B6572" s="4"/>
      <c r="C6572" s="4"/>
      <c r="D6572" s="4"/>
      <c r="E6572" s="4"/>
      <c r="F6572" s="4"/>
      <c r="G6572" s="4"/>
      <c r="H6572" s="4"/>
      <c r="I6572" s="4"/>
      <c r="J6572" s="4"/>
      <c r="K6572" s="4"/>
      <c r="L6572" s="4"/>
      <c r="M6572" s="4"/>
      <c r="N6572" s="4"/>
    </row>
    <row r="6573" spans="1:14" ht="12.75" customHeight="1" x14ac:dyDescent="0.2">
      <c r="A6573" s="398" t="s">
        <v>926</v>
      </c>
      <c r="B6573" s="271"/>
      <c r="C6573" s="271"/>
      <c r="D6573" s="271"/>
      <c r="E6573" s="271"/>
      <c r="F6573" s="271"/>
      <c r="G6573" s="271"/>
      <c r="H6573" s="271"/>
      <c r="I6573" s="271"/>
      <c r="J6573" s="271"/>
      <c r="K6573" s="271"/>
      <c r="L6573" s="271"/>
      <c r="M6573" s="271"/>
      <c r="N6573" s="273"/>
    </row>
    <row r="6574" spans="1:14" ht="12.75" customHeight="1" x14ac:dyDescent="0.2">
      <c r="A6574" s="396" t="s">
        <v>76</v>
      </c>
      <c r="B6574" s="271"/>
      <c r="C6574" s="271"/>
      <c r="D6574" s="271"/>
      <c r="E6574" s="271"/>
      <c r="F6574" s="271"/>
      <c r="G6574" s="273"/>
      <c r="H6574" s="88" t="s">
        <v>77</v>
      </c>
      <c r="I6574" s="399" t="s">
        <v>920</v>
      </c>
      <c r="J6574" s="273"/>
      <c r="K6574" s="399" t="s">
        <v>453</v>
      </c>
      <c r="L6574" s="273"/>
      <c r="M6574" s="399" t="s">
        <v>921</v>
      </c>
      <c r="N6574" s="273"/>
    </row>
    <row r="6575" spans="1:14" ht="12.75" customHeight="1" x14ac:dyDescent="0.2">
      <c r="A6575" s="400" t="s">
        <v>927</v>
      </c>
      <c r="B6575" s="271"/>
      <c r="C6575" s="271"/>
      <c r="D6575" s="271"/>
      <c r="E6575" s="271"/>
      <c r="F6575" s="271"/>
      <c r="G6575" s="273"/>
      <c r="H6575" s="29" t="str">
        <f>IF(A6575="","",VLOOKUP(A6575,AA_Equipos,7,FALSE))</f>
        <v>% M.O.</v>
      </c>
      <c r="I6575" s="394">
        <f>+M6598</f>
        <v>3989.9368181818181</v>
      </c>
      <c r="J6575" s="273"/>
      <c r="K6575" s="404">
        <v>0.05</v>
      </c>
      <c r="L6575" s="273"/>
      <c r="M6575" s="394">
        <f t="shared" ref="M6575:M6579" si="898">IF(A6575="","",I6575*K6575)</f>
        <v>199.49684090909091</v>
      </c>
      <c r="N6575" s="273"/>
    </row>
    <row r="6576" spans="1:14" ht="12.75" customHeight="1" x14ac:dyDescent="0.2">
      <c r="A6576" s="403" t="s">
        <v>1032</v>
      </c>
      <c r="B6576" s="271"/>
      <c r="C6576" s="271"/>
      <c r="D6576" s="271"/>
      <c r="E6576" s="271"/>
      <c r="F6576" s="271"/>
      <c r="G6576" s="273"/>
      <c r="H6576" s="29" t="str">
        <f>IF(A6576="","",VLOOKUP(A6576,AA_Equipos,7,FALSE))</f>
        <v>Dia</v>
      </c>
      <c r="I6576" s="394">
        <f>IF(A6576="","",VLOOKUP(A6576,AA_Equipos,8,FALSE))</f>
        <v>50000</v>
      </c>
      <c r="J6576" s="273"/>
      <c r="K6576" s="402">
        <v>0.04</v>
      </c>
      <c r="L6576" s="273"/>
      <c r="M6576" s="394">
        <f t="shared" si="898"/>
        <v>2000</v>
      </c>
      <c r="N6576" s="273"/>
    </row>
    <row r="6577" spans="1:14" ht="12.75" customHeight="1" x14ac:dyDescent="0.2">
      <c r="A6577" s="400"/>
      <c r="B6577" s="271"/>
      <c r="C6577" s="271"/>
      <c r="D6577" s="271"/>
      <c r="E6577" s="271"/>
      <c r="F6577" s="271"/>
      <c r="G6577" s="273"/>
      <c r="H6577" s="29" t="str">
        <f>IF(A6577="","",VLOOKUP(A6577,AA_Equipos,7,FALSE))</f>
        <v/>
      </c>
      <c r="I6577" s="394" t="str">
        <f>IF(A6577="","",VLOOKUP(A6577,AA_Equipos,8,FALSE))</f>
        <v/>
      </c>
      <c r="J6577" s="273"/>
      <c r="K6577" s="402"/>
      <c r="L6577" s="273"/>
      <c r="M6577" s="394" t="str">
        <f t="shared" si="898"/>
        <v/>
      </c>
      <c r="N6577" s="273"/>
    </row>
    <row r="6578" spans="1:14" ht="12.75" customHeight="1" x14ac:dyDescent="0.2">
      <c r="A6578" s="400"/>
      <c r="B6578" s="271"/>
      <c r="C6578" s="271"/>
      <c r="D6578" s="271"/>
      <c r="E6578" s="271"/>
      <c r="F6578" s="271"/>
      <c r="G6578" s="273"/>
      <c r="H6578" s="29" t="str">
        <f>IF(A6578="","",VLOOKUP(A6578,AA_Equipos,7,FALSE))</f>
        <v/>
      </c>
      <c r="I6578" s="394" t="str">
        <f>IF(A6578="","",VLOOKUP(A6578,AA_Equipos,8,FALSE))</f>
        <v/>
      </c>
      <c r="J6578" s="273"/>
      <c r="K6578" s="402"/>
      <c r="L6578" s="273"/>
      <c r="M6578" s="394" t="str">
        <f t="shared" si="898"/>
        <v/>
      </c>
      <c r="N6578" s="273"/>
    </row>
    <row r="6579" spans="1:14" ht="12.75" customHeight="1" x14ac:dyDescent="0.2">
      <c r="A6579" s="400"/>
      <c r="B6579" s="271"/>
      <c r="C6579" s="271"/>
      <c r="D6579" s="271"/>
      <c r="E6579" s="271"/>
      <c r="F6579" s="271"/>
      <c r="G6579" s="273"/>
      <c r="H6579" s="29" t="str">
        <f>IF(A6579="","",VLOOKUP(A6579,AA_Equipos,7,FALSE))</f>
        <v/>
      </c>
      <c r="I6579" s="394" t="str">
        <f>IF(A6579="","",VLOOKUP(A6579,AA_Equipos,8,FALSE))</f>
        <v/>
      </c>
      <c r="J6579" s="273"/>
      <c r="K6579" s="395"/>
      <c r="L6579" s="273"/>
      <c r="M6579" s="394" t="str">
        <f t="shared" si="898"/>
        <v/>
      </c>
      <c r="N6579" s="273"/>
    </row>
    <row r="6580" spans="1:14" ht="12.75" customHeight="1" x14ac:dyDescent="0.25">
      <c r="A6580" s="4"/>
      <c r="B6580" s="4"/>
      <c r="C6580" s="4"/>
      <c r="D6580" s="4"/>
      <c r="E6580" s="4"/>
      <c r="F6580" s="4"/>
      <c r="G6580" s="4"/>
      <c r="H6580" s="4"/>
      <c r="I6580" s="4"/>
      <c r="J6580" s="4"/>
      <c r="K6580" s="396" t="s">
        <v>444</v>
      </c>
      <c r="L6580" s="273"/>
      <c r="M6580" s="394">
        <f>SUM(M6575:N6579)</f>
        <v>2199.4968409090907</v>
      </c>
      <c r="N6580" s="273"/>
    </row>
    <row r="6581" spans="1:14" ht="12.75" customHeight="1" x14ac:dyDescent="0.25">
      <c r="A6581" s="4"/>
      <c r="B6581" s="4"/>
      <c r="C6581" s="4"/>
      <c r="D6581" s="4"/>
      <c r="E6581" s="4"/>
      <c r="F6581" s="4"/>
      <c r="G6581" s="4"/>
      <c r="H6581" s="4"/>
      <c r="I6581" s="4"/>
      <c r="J6581" s="4"/>
      <c r="K6581" s="4"/>
      <c r="L6581" s="4"/>
      <c r="M6581" s="4"/>
      <c r="N6581" s="4"/>
    </row>
    <row r="6582" spans="1:14" ht="12.75" customHeight="1" x14ac:dyDescent="0.2">
      <c r="A6582" s="398" t="s">
        <v>929</v>
      </c>
      <c r="B6582" s="271"/>
      <c r="C6582" s="271"/>
      <c r="D6582" s="271"/>
      <c r="E6582" s="271"/>
      <c r="F6582" s="271"/>
      <c r="G6582" s="271"/>
      <c r="H6582" s="271"/>
      <c r="I6582" s="271"/>
      <c r="J6582" s="271"/>
      <c r="K6582" s="271"/>
      <c r="L6582" s="271"/>
      <c r="M6582" s="271"/>
      <c r="N6582" s="273"/>
    </row>
    <row r="6583" spans="1:14" ht="12.75" customHeight="1" x14ac:dyDescent="0.2">
      <c r="A6583" s="396" t="s">
        <v>76</v>
      </c>
      <c r="B6583" s="271"/>
      <c r="C6583" s="271"/>
      <c r="D6583" s="271"/>
      <c r="E6583" s="271"/>
      <c r="F6583" s="271"/>
      <c r="G6583" s="273"/>
      <c r="H6583" s="88" t="s">
        <v>77</v>
      </c>
      <c r="I6583" s="399" t="s">
        <v>920</v>
      </c>
      <c r="J6583" s="273"/>
      <c r="K6583" s="399" t="s">
        <v>453</v>
      </c>
      <c r="L6583" s="273"/>
      <c r="M6583" s="399" t="s">
        <v>921</v>
      </c>
      <c r="N6583" s="273"/>
    </row>
    <row r="6584" spans="1:14" ht="12.75" customHeight="1" x14ac:dyDescent="0.2">
      <c r="A6584" s="400" t="s">
        <v>966</v>
      </c>
      <c r="B6584" s="271"/>
      <c r="C6584" s="271"/>
      <c r="D6584" s="271"/>
      <c r="E6584" s="271"/>
      <c r="F6584" s="271"/>
      <c r="G6584" s="273"/>
      <c r="H6584" s="29" t="s">
        <v>950</v>
      </c>
      <c r="I6584" s="394">
        <f>+M6571</f>
        <v>32165.989999999998</v>
      </c>
      <c r="J6584" s="273"/>
      <c r="K6584" s="404">
        <v>0.05</v>
      </c>
      <c r="L6584" s="273"/>
      <c r="M6584" s="394">
        <f t="shared" ref="M6584:M6588" si="899">IF(A6584="","",I6584*K6584)</f>
        <v>1608.2995000000001</v>
      </c>
      <c r="N6584" s="273"/>
    </row>
    <row r="6585" spans="1:14" ht="12.75" customHeight="1" x14ac:dyDescent="0.2">
      <c r="A6585" s="403"/>
      <c r="B6585" s="271"/>
      <c r="C6585" s="271"/>
      <c r="D6585" s="271"/>
      <c r="E6585" s="271"/>
      <c r="F6585" s="271"/>
      <c r="G6585" s="273"/>
      <c r="H6585" s="29"/>
      <c r="I6585" s="394"/>
      <c r="J6585" s="273"/>
      <c r="K6585" s="404"/>
      <c r="L6585" s="273"/>
      <c r="M6585" s="394" t="str">
        <f t="shared" si="899"/>
        <v/>
      </c>
      <c r="N6585" s="273"/>
    </row>
    <row r="6586" spans="1:14" ht="12.75" customHeight="1" x14ac:dyDescent="0.2">
      <c r="A6586" s="400"/>
      <c r="B6586" s="271"/>
      <c r="C6586" s="271"/>
      <c r="D6586" s="271"/>
      <c r="E6586" s="271"/>
      <c r="F6586" s="271"/>
      <c r="G6586" s="273"/>
      <c r="H6586" s="29"/>
      <c r="I6586" s="394"/>
      <c r="J6586" s="273"/>
      <c r="K6586" s="395"/>
      <c r="L6586" s="273"/>
      <c r="M6586" s="394" t="str">
        <f t="shared" si="899"/>
        <v/>
      </c>
      <c r="N6586" s="273"/>
    </row>
    <row r="6587" spans="1:14" ht="12.75" customHeight="1" x14ac:dyDescent="0.2">
      <c r="A6587" s="400"/>
      <c r="B6587" s="271"/>
      <c r="C6587" s="271"/>
      <c r="D6587" s="271"/>
      <c r="E6587" s="271"/>
      <c r="F6587" s="271"/>
      <c r="G6587" s="273"/>
      <c r="H6587" s="29"/>
      <c r="I6587" s="394"/>
      <c r="J6587" s="273"/>
      <c r="K6587" s="395"/>
      <c r="L6587" s="273"/>
      <c r="M6587" s="394" t="str">
        <f t="shared" si="899"/>
        <v/>
      </c>
      <c r="N6587" s="273"/>
    </row>
    <row r="6588" spans="1:14" ht="12.75" customHeight="1" x14ac:dyDescent="0.2">
      <c r="A6588" s="400"/>
      <c r="B6588" s="271"/>
      <c r="C6588" s="271"/>
      <c r="D6588" s="271"/>
      <c r="E6588" s="271"/>
      <c r="F6588" s="271"/>
      <c r="G6588" s="273"/>
      <c r="H6588" s="29"/>
      <c r="I6588" s="394"/>
      <c r="J6588" s="273"/>
      <c r="K6588" s="395"/>
      <c r="L6588" s="273"/>
      <c r="M6588" s="394" t="str">
        <f t="shared" si="899"/>
        <v/>
      </c>
      <c r="N6588" s="273"/>
    </row>
    <row r="6589" spans="1:14" ht="12.75" customHeight="1" x14ac:dyDescent="0.25">
      <c r="A6589" s="4"/>
      <c r="B6589" s="4"/>
      <c r="C6589" s="4"/>
      <c r="D6589" s="4"/>
      <c r="E6589" s="4"/>
      <c r="F6589" s="4"/>
      <c r="G6589" s="4"/>
      <c r="H6589" s="4"/>
      <c r="I6589" s="4"/>
      <c r="J6589" s="4"/>
      <c r="K6589" s="396" t="s">
        <v>444</v>
      </c>
      <c r="L6589" s="273"/>
      <c r="M6589" s="394">
        <f>SUM(M6584:N6588)</f>
        <v>1608.2995000000001</v>
      </c>
      <c r="N6589" s="273"/>
    </row>
    <row r="6590" spans="1:14" ht="12.75" customHeight="1" x14ac:dyDescent="0.25">
      <c r="A6590" s="4"/>
      <c r="B6590" s="4"/>
      <c r="C6590" s="4"/>
      <c r="D6590" s="4"/>
      <c r="E6590" s="4"/>
      <c r="F6590" s="4"/>
      <c r="G6590" s="4"/>
      <c r="H6590" s="4"/>
      <c r="I6590" s="4"/>
      <c r="J6590" s="4"/>
      <c r="K6590" s="4"/>
      <c r="L6590" s="4"/>
      <c r="M6590" s="4"/>
      <c r="N6590" s="4"/>
    </row>
    <row r="6591" spans="1:14" ht="12.75" customHeight="1" x14ac:dyDescent="0.2">
      <c r="A6591" s="398" t="s">
        <v>931</v>
      </c>
      <c r="B6591" s="271"/>
      <c r="C6591" s="271"/>
      <c r="D6591" s="271"/>
      <c r="E6591" s="271"/>
      <c r="F6591" s="271"/>
      <c r="G6591" s="271"/>
      <c r="H6591" s="271"/>
      <c r="I6591" s="271"/>
      <c r="J6591" s="271"/>
      <c r="K6591" s="271"/>
      <c r="L6591" s="271"/>
      <c r="M6591" s="271"/>
      <c r="N6591" s="273"/>
    </row>
    <row r="6592" spans="1:14" ht="12.75" customHeight="1" x14ac:dyDescent="0.2">
      <c r="A6592" s="396" t="s">
        <v>76</v>
      </c>
      <c r="B6592" s="271"/>
      <c r="C6592" s="271"/>
      <c r="D6592" s="271"/>
      <c r="E6592" s="271"/>
      <c r="F6592" s="271"/>
      <c r="G6592" s="273"/>
      <c r="H6592" s="88" t="s">
        <v>77</v>
      </c>
      <c r="I6592" s="399" t="s">
        <v>920</v>
      </c>
      <c r="J6592" s="273"/>
      <c r="K6592" s="90" t="s">
        <v>514</v>
      </c>
      <c r="L6592" s="91" t="s">
        <v>932</v>
      </c>
      <c r="M6592" s="399" t="s">
        <v>921</v>
      </c>
      <c r="N6592" s="273"/>
    </row>
    <row r="6593" spans="1:14" ht="12.75" customHeight="1" x14ac:dyDescent="0.25">
      <c r="A6593" s="393" t="s">
        <v>951</v>
      </c>
      <c r="B6593" s="271"/>
      <c r="C6593" s="271"/>
      <c r="D6593" s="271"/>
      <c r="E6593" s="271"/>
      <c r="F6593" s="271"/>
      <c r="G6593" s="273"/>
      <c r="H6593" s="29" t="str">
        <f>IF(A6593="","",VLOOKUP(A6593,AA_Cuadrillas,4,FALSE))</f>
        <v>Cuadrilla</v>
      </c>
      <c r="I6593" s="394">
        <f>IF(A6593="","",VLOOKUP(A6593,AA_Cuadrillas,5,FALSE))</f>
        <v>186763</v>
      </c>
      <c r="J6593" s="273"/>
      <c r="K6593" s="9">
        <f>IF(A6593="","",F.P!$I$2)</f>
        <v>1.88</v>
      </c>
      <c r="L6593" s="93">
        <v>1.1363636363636364E-2</v>
      </c>
      <c r="M6593" s="394">
        <f t="shared" ref="M6593:M6597" si="900">IF(A6593="","",I6593*K6593*L6593)</f>
        <v>3989.9368181818181</v>
      </c>
      <c r="N6593" s="273"/>
    </row>
    <row r="6594" spans="1:14" ht="12.75" customHeight="1" x14ac:dyDescent="0.25">
      <c r="A6594" s="393"/>
      <c r="B6594" s="271"/>
      <c r="C6594" s="271"/>
      <c r="D6594" s="271"/>
      <c r="E6594" s="271"/>
      <c r="F6594" s="271"/>
      <c r="G6594" s="273"/>
      <c r="H6594" s="29" t="str">
        <f>IF(A6594="","",VLOOKUP(A6594,AA_Cuadrillas,4,FALSE))</f>
        <v/>
      </c>
      <c r="I6594" s="394" t="str">
        <f>IF(A6594="","",VLOOKUP(A6594,AA_Cuadrillas,5,FALSE))</f>
        <v/>
      </c>
      <c r="J6594" s="273"/>
      <c r="K6594" s="9" t="str">
        <f>IF(A6594="","",F.P!$I$2)</f>
        <v/>
      </c>
      <c r="L6594" s="9"/>
      <c r="M6594" s="394" t="str">
        <f t="shared" si="900"/>
        <v/>
      </c>
      <c r="N6594" s="273"/>
    </row>
    <row r="6595" spans="1:14" ht="12.75" customHeight="1" x14ac:dyDescent="0.25">
      <c r="A6595" s="393"/>
      <c r="B6595" s="271"/>
      <c r="C6595" s="271"/>
      <c r="D6595" s="271"/>
      <c r="E6595" s="271"/>
      <c r="F6595" s="271"/>
      <c r="G6595" s="273"/>
      <c r="H6595" s="29" t="str">
        <f>IF(A6595="","",VLOOKUP(A6595,AA_Cuadrillas,4,FALSE))</f>
        <v/>
      </c>
      <c r="I6595" s="394" t="str">
        <f>IF(A6595="","",VLOOKUP(A6595,AA_Cuadrillas,5,FALSE))</f>
        <v/>
      </c>
      <c r="J6595" s="273"/>
      <c r="K6595" s="9" t="str">
        <f>IF(A6595="","",F.P!$I$2)</f>
        <v/>
      </c>
      <c r="L6595" s="37"/>
      <c r="M6595" s="394" t="str">
        <f t="shared" si="900"/>
        <v/>
      </c>
      <c r="N6595" s="273"/>
    </row>
    <row r="6596" spans="1:14" ht="12.75" customHeight="1" x14ac:dyDescent="0.25">
      <c r="A6596" s="393"/>
      <c r="B6596" s="271"/>
      <c r="C6596" s="271"/>
      <c r="D6596" s="271"/>
      <c r="E6596" s="271"/>
      <c r="F6596" s="271"/>
      <c r="G6596" s="273"/>
      <c r="H6596" s="29" t="str">
        <f>IF(A6596="","",VLOOKUP(A6596,AA_Cuadrillas,4,FALSE))</f>
        <v/>
      </c>
      <c r="I6596" s="394" t="str">
        <f>IF(A6596="","",VLOOKUP(A6596,AA_Cuadrillas,5,FALSE))</f>
        <v/>
      </c>
      <c r="J6596" s="273"/>
      <c r="K6596" s="9" t="str">
        <f>IF(A6596="","",F.P!$I$2)</f>
        <v/>
      </c>
      <c r="L6596" s="37"/>
      <c r="M6596" s="394" t="str">
        <f t="shared" si="900"/>
        <v/>
      </c>
      <c r="N6596" s="273"/>
    </row>
    <row r="6597" spans="1:14" ht="12.75" customHeight="1" x14ac:dyDescent="0.25">
      <c r="A6597" s="393"/>
      <c r="B6597" s="271"/>
      <c r="C6597" s="271"/>
      <c r="D6597" s="271"/>
      <c r="E6597" s="271"/>
      <c r="F6597" s="271"/>
      <c r="G6597" s="273"/>
      <c r="H6597" s="29" t="str">
        <f>IF(A6597="","",VLOOKUP(A6597,AA_Cuadrillas,4,FALSE))</f>
        <v/>
      </c>
      <c r="I6597" s="394" t="str">
        <f>IF(A6597="","",VLOOKUP(A6597,AA_Cuadrillas,5,FALSE))</f>
        <v/>
      </c>
      <c r="J6597" s="273"/>
      <c r="K6597" s="9" t="str">
        <f>IF(A6597="","",F.P!$I$2)</f>
        <v/>
      </c>
      <c r="L6597" s="37"/>
      <c r="M6597" s="394" t="str">
        <f t="shared" si="900"/>
        <v/>
      </c>
      <c r="N6597" s="273"/>
    </row>
    <row r="6598" spans="1:14" ht="12.75" customHeight="1" x14ac:dyDescent="0.25">
      <c r="A6598" s="4"/>
      <c r="B6598" s="4"/>
      <c r="C6598" s="4"/>
      <c r="D6598" s="4"/>
      <c r="E6598" s="4"/>
      <c r="F6598" s="4"/>
      <c r="G6598" s="4"/>
      <c r="H6598" s="4"/>
      <c r="I6598" s="4"/>
      <c r="J6598" s="4"/>
      <c r="K6598" s="396" t="s">
        <v>444</v>
      </c>
      <c r="L6598" s="273"/>
      <c r="M6598" s="394">
        <f>SUM(M6593:N6597)</f>
        <v>3989.9368181818181</v>
      </c>
      <c r="N6598" s="273"/>
    </row>
    <row r="6599" spans="1:14" ht="12.75" customHeight="1" x14ac:dyDescent="0.2"/>
    <row r="6600" spans="1:14" ht="12.75" customHeight="1" x14ac:dyDescent="0.2">
      <c r="A6600" s="407" t="s">
        <v>1282</v>
      </c>
      <c r="B6600" s="275"/>
      <c r="C6600" s="275"/>
      <c r="D6600" s="275"/>
      <c r="E6600" s="275"/>
      <c r="F6600" s="275"/>
      <c r="G6600" s="275"/>
      <c r="H6600" s="275"/>
      <c r="I6600" s="275"/>
      <c r="J6600" s="275"/>
      <c r="K6600" s="275"/>
      <c r="L6600" s="275"/>
      <c r="M6600" s="275"/>
      <c r="N6600" s="276"/>
    </row>
    <row r="6601" spans="1:14" ht="12.75" customHeight="1" x14ac:dyDescent="0.2">
      <c r="A6601" s="277"/>
      <c r="B6601" s="278"/>
      <c r="C6601" s="278"/>
      <c r="D6601" s="278"/>
      <c r="E6601" s="278"/>
      <c r="F6601" s="278"/>
      <c r="G6601" s="278"/>
      <c r="H6601" s="278"/>
      <c r="I6601" s="278"/>
      <c r="J6601" s="278"/>
      <c r="K6601" s="278"/>
      <c r="L6601" s="278"/>
      <c r="M6601" s="278"/>
      <c r="N6601" s="279"/>
    </row>
    <row r="6602" spans="1:14" ht="12.75" customHeight="1" x14ac:dyDescent="0.2">
      <c r="A6602" s="75"/>
      <c r="B6602" s="75"/>
      <c r="C6602" s="75"/>
      <c r="D6602" s="75"/>
      <c r="E6602" s="75"/>
      <c r="F6602" s="75"/>
      <c r="G6602" s="75"/>
      <c r="H6602" s="75"/>
      <c r="I6602" s="75"/>
      <c r="J6602" s="75"/>
      <c r="K6602" s="75"/>
      <c r="L6602" s="75"/>
      <c r="M6602" s="75"/>
      <c r="N6602" s="75"/>
    </row>
    <row r="6603" spans="1:14" ht="12.75" customHeight="1" x14ac:dyDescent="0.3">
      <c r="A6603" s="79" t="s">
        <v>766</v>
      </c>
      <c r="B6603" s="80" t="str">
        <f>A6600</f>
        <v>POSTE TUBO 2" x 2,3MM</v>
      </c>
      <c r="C6603" s="81" t="s">
        <v>916</v>
      </c>
      <c r="D6603" s="82" t="s">
        <v>981</v>
      </c>
      <c r="E6603" s="83" t="s">
        <v>445</v>
      </c>
      <c r="F6603" s="86">
        <f>H6603+J6603+L6603+N6603</f>
        <v>36548.218826666664</v>
      </c>
      <c r="G6603" s="83" t="s">
        <v>607</v>
      </c>
      <c r="H6603" s="86">
        <f>M6615</f>
        <v>28539</v>
      </c>
      <c r="I6603" s="83" t="s">
        <v>918</v>
      </c>
      <c r="J6603" s="86">
        <f>M6624</f>
        <v>1900.74296</v>
      </c>
      <c r="K6603" s="83" t="s">
        <v>609</v>
      </c>
      <c r="L6603" s="86">
        <f>M6633</f>
        <v>1426.95</v>
      </c>
      <c r="M6603" s="83" t="s">
        <v>610</v>
      </c>
      <c r="N6603" s="86">
        <f>M6642</f>
        <v>4681.5258666666668</v>
      </c>
    </row>
    <row r="6604" spans="1:14" ht="12.75" customHeight="1" x14ac:dyDescent="0.25">
      <c r="A6604" s="87"/>
      <c r="B6604" s="87"/>
      <c r="C6604" s="87"/>
      <c r="D6604" s="87"/>
      <c r="E6604" s="87"/>
      <c r="F6604" s="87"/>
      <c r="G6604" s="87"/>
      <c r="J6604" s="87"/>
      <c r="K6604" s="215" t="s">
        <v>3217</v>
      </c>
      <c r="L6604" s="215">
        <f>+F6603*presup!$O$5</f>
        <v>47512.684474666661</v>
      </c>
      <c r="M6604" s="87"/>
      <c r="N6604" s="87"/>
    </row>
    <row r="6605" spans="1:14" ht="12.75" customHeight="1" x14ac:dyDescent="0.2">
      <c r="A6605" s="398" t="s">
        <v>919</v>
      </c>
      <c r="B6605" s="271"/>
      <c r="C6605" s="271"/>
      <c r="D6605" s="271"/>
      <c r="E6605" s="271"/>
      <c r="F6605" s="271"/>
      <c r="G6605" s="271"/>
      <c r="H6605" s="271"/>
      <c r="I6605" s="271"/>
      <c r="J6605" s="271"/>
      <c r="K6605" s="271"/>
      <c r="L6605" s="271"/>
      <c r="M6605" s="271"/>
      <c r="N6605" s="273"/>
    </row>
    <row r="6606" spans="1:14" ht="12.75" customHeight="1" x14ac:dyDescent="0.2">
      <c r="A6606" s="396" t="s">
        <v>76</v>
      </c>
      <c r="B6606" s="271"/>
      <c r="C6606" s="271"/>
      <c r="D6606" s="271"/>
      <c r="E6606" s="271"/>
      <c r="F6606" s="271"/>
      <c r="G6606" s="273"/>
      <c r="H6606" s="88" t="s">
        <v>77</v>
      </c>
      <c r="I6606" s="399" t="s">
        <v>920</v>
      </c>
      <c r="J6606" s="273"/>
      <c r="K6606" s="399" t="s">
        <v>453</v>
      </c>
      <c r="L6606" s="273"/>
      <c r="M6606" s="399" t="s">
        <v>921</v>
      </c>
      <c r="N6606" s="273"/>
    </row>
    <row r="6607" spans="1:14" ht="12.75" customHeight="1" x14ac:dyDescent="0.2">
      <c r="A6607" s="400" t="s">
        <v>994</v>
      </c>
      <c r="B6607" s="271"/>
      <c r="C6607" s="271"/>
      <c r="D6607" s="271"/>
      <c r="E6607" s="271"/>
      <c r="F6607" s="271"/>
      <c r="G6607" s="273"/>
      <c r="H6607" s="29" t="str">
        <f t="shared" ref="H6607:H6612" si="901">IF(A6607="","",VLOOKUP(A6607,AA_Materiales,7,FALSE))</f>
        <v>ml</v>
      </c>
      <c r="I6607" s="394">
        <f t="shared" ref="I6607:I6614" si="902">IF(A6607="","",VLOOKUP(A6607,AA_Materiales,8,FALSE))</f>
        <v>22125</v>
      </c>
      <c r="J6607" s="273"/>
      <c r="K6607" s="395">
        <v>1</v>
      </c>
      <c r="L6607" s="273"/>
      <c r="M6607" s="394">
        <f t="shared" ref="M6607:M6614" si="903">IF(A6607="","",I6607*K6607)</f>
        <v>22125</v>
      </c>
      <c r="N6607" s="273"/>
    </row>
    <row r="6608" spans="1:14" ht="12.75" customHeight="1" x14ac:dyDescent="0.2">
      <c r="A6608" s="400" t="s">
        <v>1031</v>
      </c>
      <c r="B6608" s="271"/>
      <c r="C6608" s="271"/>
      <c r="D6608" s="271"/>
      <c r="E6608" s="271"/>
      <c r="F6608" s="271"/>
      <c r="G6608" s="273"/>
      <c r="H6608" s="29" t="str">
        <f t="shared" si="901"/>
        <v>Kg</v>
      </c>
      <c r="I6608" s="394">
        <f t="shared" si="902"/>
        <v>21380</v>
      </c>
      <c r="J6608" s="273"/>
      <c r="K6608" s="395">
        <v>0.3</v>
      </c>
      <c r="L6608" s="273"/>
      <c r="M6608" s="394">
        <f t="shared" si="903"/>
        <v>6414</v>
      </c>
      <c r="N6608" s="273"/>
    </row>
    <row r="6609" spans="1:14" ht="12.75" customHeight="1" x14ac:dyDescent="0.2">
      <c r="A6609" s="400"/>
      <c r="B6609" s="271"/>
      <c r="C6609" s="271"/>
      <c r="D6609" s="271"/>
      <c r="E6609" s="271"/>
      <c r="F6609" s="271"/>
      <c r="G6609" s="273"/>
      <c r="H6609" s="29" t="str">
        <f t="shared" si="901"/>
        <v/>
      </c>
      <c r="I6609" s="394" t="str">
        <f t="shared" si="902"/>
        <v/>
      </c>
      <c r="J6609" s="273"/>
      <c r="K6609" s="395"/>
      <c r="L6609" s="273"/>
      <c r="M6609" s="394" t="str">
        <f t="shared" si="903"/>
        <v/>
      </c>
      <c r="N6609" s="273"/>
    </row>
    <row r="6610" spans="1:14" ht="12.75" customHeight="1" x14ac:dyDescent="0.2">
      <c r="A6610" s="400"/>
      <c r="B6610" s="271"/>
      <c r="C6610" s="271"/>
      <c r="D6610" s="271"/>
      <c r="E6610" s="271"/>
      <c r="F6610" s="271"/>
      <c r="G6610" s="273"/>
      <c r="H6610" s="29" t="str">
        <f t="shared" si="901"/>
        <v/>
      </c>
      <c r="I6610" s="394" t="str">
        <f t="shared" si="902"/>
        <v/>
      </c>
      <c r="J6610" s="273"/>
      <c r="K6610" s="395"/>
      <c r="L6610" s="273"/>
      <c r="M6610" s="394" t="str">
        <f t="shared" si="903"/>
        <v/>
      </c>
      <c r="N6610" s="273"/>
    </row>
    <row r="6611" spans="1:14" ht="12.75" customHeight="1" x14ac:dyDescent="0.2">
      <c r="A6611" s="400"/>
      <c r="B6611" s="271"/>
      <c r="C6611" s="271"/>
      <c r="D6611" s="271"/>
      <c r="E6611" s="271"/>
      <c r="F6611" s="271"/>
      <c r="G6611" s="273"/>
      <c r="H6611" s="29" t="str">
        <f t="shared" si="901"/>
        <v/>
      </c>
      <c r="I6611" s="394" t="str">
        <f t="shared" si="902"/>
        <v/>
      </c>
      <c r="J6611" s="273"/>
      <c r="K6611" s="395"/>
      <c r="L6611" s="273"/>
      <c r="M6611" s="394" t="str">
        <f t="shared" si="903"/>
        <v/>
      </c>
      <c r="N6611" s="273"/>
    </row>
    <row r="6612" spans="1:14" ht="12.75" customHeight="1" x14ac:dyDescent="0.2">
      <c r="A6612" s="400"/>
      <c r="B6612" s="271"/>
      <c r="C6612" s="271"/>
      <c r="D6612" s="271"/>
      <c r="E6612" s="271"/>
      <c r="F6612" s="271"/>
      <c r="G6612" s="273"/>
      <c r="H6612" s="29" t="str">
        <f t="shared" si="901"/>
        <v/>
      </c>
      <c r="I6612" s="394" t="str">
        <f t="shared" si="902"/>
        <v/>
      </c>
      <c r="J6612" s="273"/>
      <c r="K6612" s="395"/>
      <c r="L6612" s="273"/>
      <c r="M6612" s="394" t="str">
        <f t="shared" si="903"/>
        <v/>
      </c>
      <c r="N6612" s="273"/>
    </row>
    <row r="6613" spans="1:14" ht="12.75" customHeight="1" x14ac:dyDescent="0.2">
      <c r="A6613" s="400"/>
      <c r="B6613" s="271"/>
      <c r="C6613" s="271"/>
      <c r="D6613" s="271"/>
      <c r="E6613" s="271"/>
      <c r="F6613" s="271"/>
      <c r="G6613" s="273"/>
      <c r="H6613" s="29"/>
      <c r="I6613" s="394" t="str">
        <f t="shared" si="902"/>
        <v/>
      </c>
      <c r="J6613" s="273"/>
      <c r="K6613" s="395"/>
      <c r="L6613" s="273"/>
      <c r="M6613" s="394" t="str">
        <f t="shared" si="903"/>
        <v/>
      </c>
      <c r="N6613" s="273"/>
    </row>
    <row r="6614" spans="1:14" ht="12.75" customHeight="1" x14ac:dyDescent="0.2">
      <c r="A6614" s="400"/>
      <c r="B6614" s="271"/>
      <c r="C6614" s="271"/>
      <c r="D6614" s="271"/>
      <c r="E6614" s="271"/>
      <c r="F6614" s="271"/>
      <c r="G6614" s="273"/>
      <c r="H6614" s="29" t="str">
        <f>IF(A6614="","",VLOOKUP(A6614,AA_Materiales,7,FALSE))</f>
        <v/>
      </c>
      <c r="I6614" s="394" t="str">
        <f t="shared" si="902"/>
        <v/>
      </c>
      <c r="J6614" s="273"/>
      <c r="K6614" s="395"/>
      <c r="L6614" s="273"/>
      <c r="M6614" s="394" t="str">
        <f t="shared" si="903"/>
        <v/>
      </c>
      <c r="N6614" s="273"/>
    </row>
    <row r="6615" spans="1:14" ht="12.75" customHeight="1" x14ac:dyDescent="0.25">
      <c r="A6615" s="4"/>
      <c r="B6615" s="4"/>
      <c r="C6615" s="4"/>
      <c r="D6615" s="4"/>
      <c r="E6615" s="4"/>
      <c r="F6615" s="4"/>
      <c r="G6615" s="4"/>
      <c r="H6615" s="4"/>
      <c r="I6615" s="4"/>
      <c r="J6615" s="4"/>
      <c r="K6615" s="396" t="s">
        <v>444</v>
      </c>
      <c r="L6615" s="273"/>
      <c r="M6615" s="394">
        <f>SUM(M6607:N6614)</f>
        <v>28539</v>
      </c>
      <c r="N6615" s="273"/>
    </row>
    <row r="6616" spans="1:14" ht="12.75" customHeight="1" x14ac:dyDescent="0.25">
      <c r="A6616" s="4"/>
      <c r="B6616" s="4"/>
      <c r="C6616" s="4"/>
      <c r="D6616" s="4"/>
      <c r="E6616" s="4"/>
      <c r="F6616" s="4"/>
      <c r="G6616" s="4"/>
      <c r="H6616" s="4"/>
      <c r="I6616" s="4"/>
      <c r="J6616" s="4"/>
      <c r="K6616" s="4"/>
      <c r="L6616" s="4"/>
      <c r="M6616" s="4"/>
      <c r="N6616" s="4"/>
    </row>
    <row r="6617" spans="1:14" ht="12.75" customHeight="1" x14ac:dyDescent="0.2">
      <c r="A6617" s="398" t="s">
        <v>926</v>
      </c>
      <c r="B6617" s="271"/>
      <c r="C6617" s="271"/>
      <c r="D6617" s="271"/>
      <c r="E6617" s="271"/>
      <c r="F6617" s="271"/>
      <c r="G6617" s="271"/>
      <c r="H6617" s="271"/>
      <c r="I6617" s="271"/>
      <c r="J6617" s="271"/>
      <c r="K6617" s="271"/>
      <c r="L6617" s="271"/>
      <c r="M6617" s="271"/>
      <c r="N6617" s="273"/>
    </row>
    <row r="6618" spans="1:14" ht="12.75" customHeight="1" x14ac:dyDescent="0.2">
      <c r="A6618" s="396" t="s">
        <v>76</v>
      </c>
      <c r="B6618" s="271"/>
      <c r="C6618" s="271"/>
      <c r="D6618" s="271"/>
      <c r="E6618" s="271"/>
      <c r="F6618" s="271"/>
      <c r="G6618" s="273"/>
      <c r="H6618" s="88" t="s">
        <v>77</v>
      </c>
      <c r="I6618" s="399" t="s">
        <v>920</v>
      </c>
      <c r="J6618" s="273"/>
      <c r="K6618" s="399" t="s">
        <v>453</v>
      </c>
      <c r="L6618" s="273"/>
      <c r="M6618" s="399" t="s">
        <v>921</v>
      </c>
      <c r="N6618" s="273"/>
    </row>
    <row r="6619" spans="1:14" ht="12.75" customHeight="1" x14ac:dyDescent="0.2">
      <c r="A6619" s="400" t="s">
        <v>927</v>
      </c>
      <c r="B6619" s="271"/>
      <c r="C6619" s="271"/>
      <c r="D6619" s="271"/>
      <c r="E6619" s="271"/>
      <c r="F6619" s="271"/>
      <c r="G6619" s="273"/>
      <c r="H6619" s="29" t="str">
        <f>IF(A6619="","",VLOOKUP(A6619,AA_Equipos,7,FALSE))</f>
        <v>% M.O.</v>
      </c>
      <c r="I6619" s="394">
        <f>+M6642</f>
        <v>4681.5258666666668</v>
      </c>
      <c r="J6619" s="273"/>
      <c r="K6619" s="404">
        <v>0.05</v>
      </c>
      <c r="L6619" s="273"/>
      <c r="M6619" s="394">
        <f t="shared" ref="M6619:M6623" si="904">IF(A6619="","",I6619*K6619)</f>
        <v>234.07629333333335</v>
      </c>
      <c r="N6619" s="273"/>
    </row>
    <row r="6620" spans="1:14" ht="12.75" customHeight="1" x14ac:dyDescent="0.2">
      <c r="A6620" s="403" t="s">
        <v>1032</v>
      </c>
      <c r="B6620" s="271"/>
      <c r="C6620" s="271"/>
      <c r="D6620" s="271"/>
      <c r="E6620" s="271"/>
      <c r="F6620" s="271"/>
      <c r="G6620" s="273"/>
      <c r="H6620" s="29" t="str">
        <f>IF(A6620="","",VLOOKUP(A6620,AA_Equipos,7,FALSE))</f>
        <v>Dia</v>
      </c>
      <c r="I6620" s="394">
        <f>IF(A6620="","",VLOOKUP(A6620,AA_Equipos,8,FALSE))</f>
        <v>50000</v>
      </c>
      <c r="J6620" s="273"/>
      <c r="K6620" s="402">
        <v>3.3333333333333333E-2</v>
      </c>
      <c r="L6620" s="273"/>
      <c r="M6620" s="394">
        <f t="shared" si="904"/>
        <v>1666.6666666666667</v>
      </c>
      <c r="N6620" s="273"/>
    </row>
    <row r="6621" spans="1:14" ht="12.75" customHeight="1" x14ac:dyDescent="0.2">
      <c r="A6621" s="400"/>
      <c r="B6621" s="271"/>
      <c r="C6621" s="271"/>
      <c r="D6621" s="271"/>
      <c r="E6621" s="271"/>
      <c r="F6621" s="271"/>
      <c r="G6621" s="273"/>
      <c r="H6621" s="29" t="str">
        <f>IF(A6621="","",VLOOKUP(A6621,AA_Equipos,7,FALSE))</f>
        <v/>
      </c>
      <c r="I6621" s="394" t="str">
        <f>IF(A6621="","",VLOOKUP(A6621,AA_Equipos,8,FALSE))</f>
        <v/>
      </c>
      <c r="J6621" s="273"/>
      <c r="K6621" s="402"/>
      <c r="L6621" s="273"/>
      <c r="M6621" s="394" t="str">
        <f t="shared" si="904"/>
        <v/>
      </c>
      <c r="N6621" s="273"/>
    </row>
    <row r="6622" spans="1:14" ht="12.75" customHeight="1" x14ac:dyDescent="0.2">
      <c r="A6622" s="400"/>
      <c r="B6622" s="271"/>
      <c r="C6622" s="271"/>
      <c r="D6622" s="271"/>
      <c r="E6622" s="271"/>
      <c r="F6622" s="271"/>
      <c r="G6622" s="273"/>
      <c r="H6622" s="29" t="str">
        <f>IF(A6622="","",VLOOKUP(A6622,AA_Equipos,7,FALSE))</f>
        <v/>
      </c>
      <c r="I6622" s="394" t="str">
        <f>IF(A6622="","",VLOOKUP(A6622,AA_Equipos,8,FALSE))</f>
        <v/>
      </c>
      <c r="J6622" s="273"/>
      <c r="K6622" s="402"/>
      <c r="L6622" s="273"/>
      <c r="M6622" s="394" t="str">
        <f t="shared" si="904"/>
        <v/>
      </c>
      <c r="N6622" s="273"/>
    </row>
    <row r="6623" spans="1:14" ht="12.75" customHeight="1" x14ac:dyDescent="0.2">
      <c r="A6623" s="400"/>
      <c r="B6623" s="271"/>
      <c r="C6623" s="271"/>
      <c r="D6623" s="271"/>
      <c r="E6623" s="271"/>
      <c r="F6623" s="271"/>
      <c r="G6623" s="273"/>
      <c r="H6623" s="29" t="str">
        <f>IF(A6623="","",VLOOKUP(A6623,AA_Equipos,7,FALSE))</f>
        <v/>
      </c>
      <c r="I6623" s="394" t="str">
        <f>IF(A6623="","",VLOOKUP(A6623,AA_Equipos,8,FALSE))</f>
        <v/>
      </c>
      <c r="J6623" s="273"/>
      <c r="K6623" s="395"/>
      <c r="L6623" s="273"/>
      <c r="M6623" s="394" t="str">
        <f t="shared" si="904"/>
        <v/>
      </c>
      <c r="N6623" s="273"/>
    </row>
    <row r="6624" spans="1:14" ht="12.75" customHeight="1" x14ac:dyDescent="0.25">
      <c r="A6624" s="4"/>
      <c r="B6624" s="4"/>
      <c r="C6624" s="4"/>
      <c r="D6624" s="4"/>
      <c r="E6624" s="4"/>
      <c r="F6624" s="4"/>
      <c r="G6624" s="4"/>
      <c r="H6624" s="4"/>
      <c r="I6624" s="4"/>
      <c r="J6624" s="4"/>
      <c r="K6624" s="396" t="s">
        <v>444</v>
      </c>
      <c r="L6624" s="273"/>
      <c r="M6624" s="394">
        <f>SUM(M6619:N6623)</f>
        <v>1900.74296</v>
      </c>
      <c r="N6624" s="273"/>
    </row>
    <row r="6625" spans="1:14" ht="12.75" customHeight="1" x14ac:dyDescent="0.25">
      <c r="A6625" s="4"/>
      <c r="B6625" s="4"/>
      <c r="C6625" s="4"/>
      <c r="D6625" s="4"/>
      <c r="E6625" s="4"/>
      <c r="F6625" s="4"/>
      <c r="G6625" s="4"/>
      <c r="H6625" s="4"/>
      <c r="I6625" s="4"/>
      <c r="J6625" s="4"/>
      <c r="K6625" s="4"/>
      <c r="L6625" s="4"/>
      <c r="M6625" s="4"/>
      <c r="N6625" s="4"/>
    </row>
    <row r="6626" spans="1:14" ht="12.75" customHeight="1" x14ac:dyDescent="0.2">
      <c r="A6626" s="398" t="s">
        <v>929</v>
      </c>
      <c r="B6626" s="271"/>
      <c r="C6626" s="271"/>
      <c r="D6626" s="271"/>
      <c r="E6626" s="271"/>
      <c r="F6626" s="271"/>
      <c r="G6626" s="271"/>
      <c r="H6626" s="271"/>
      <c r="I6626" s="271"/>
      <c r="J6626" s="271"/>
      <c r="K6626" s="271"/>
      <c r="L6626" s="271"/>
      <c r="M6626" s="271"/>
      <c r="N6626" s="273"/>
    </row>
    <row r="6627" spans="1:14" ht="12.75" customHeight="1" x14ac:dyDescent="0.2">
      <c r="A6627" s="396" t="s">
        <v>76</v>
      </c>
      <c r="B6627" s="271"/>
      <c r="C6627" s="271"/>
      <c r="D6627" s="271"/>
      <c r="E6627" s="271"/>
      <c r="F6627" s="271"/>
      <c r="G6627" s="273"/>
      <c r="H6627" s="88" t="s">
        <v>77</v>
      </c>
      <c r="I6627" s="399" t="s">
        <v>920</v>
      </c>
      <c r="J6627" s="273"/>
      <c r="K6627" s="399" t="s">
        <v>453</v>
      </c>
      <c r="L6627" s="273"/>
      <c r="M6627" s="399" t="s">
        <v>921</v>
      </c>
      <c r="N6627" s="273"/>
    </row>
    <row r="6628" spans="1:14" ht="12.75" customHeight="1" x14ac:dyDescent="0.2">
      <c r="A6628" s="400" t="s">
        <v>966</v>
      </c>
      <c r="B6628" s="271"/>
      <c r="C6628" s="271"/>
      <c r="D6628" s="271"/>
      <c r="E6628" s="271"/>
      <c r="F6628" s="271"/>
      <c r="G6628" s="273"/>
      <c r="H6628" s="29" t="s">
        <v>950</v>
      </c>
      <c r="I6628" s="394">
        <f>+M6615</f>
        <v>28539</v>
      </c>
      <c r="J6628" s="273"/>
      <c r="K6628" s="404">
        <v>0.05</v>
      </c>
      <c r="L6628" s="273"/>
      <c r="M6628" s="394">
        <f t="shared" ref="M6628:M6632" si="905">IF(A6628="","",I6628*K6628)</f>
        <v>1426.95</v>
      </c>
      <c r="N6628" s="273"/>
    </row>
    <row r="6629" spans="1:14" ht="12.75" customHeight="1" x14ac:dyDescent="0.2">
      <c r="A6629" s="403"/>
      <c r="B6629" s="271"/>
      <c r="C6629" s="271"/>
      <c r="D6629" s="271"/>
      <c r="E6629" s="271"/>
      <c r="F6629" s="271"/>
      <c r="G6629" s="273"/>
      <c r="H6629" s="29"/>
      <c r="I6629" s="394"/>
      <c r="J6629" s="273"/>
      <c r="K6629" s="404"/>
      <c r="L6629" s="273"/>
      <c r="M6629" s="394" t="str">
        <f t="shared" si="905"/>
        <v/>
      </c>
      <c r="N6629" s="273"/>
    </row>
    <row r="6630" spans="1:14" ht="12.75" customHeight="1" x14ac:dyDescent="0.2">
      <c r="A6630" s="400"/>
      <c r="B6630" s="271"/>
      <c r="C6630" s="271"/>
      <c r="D6630" s="271"/>
      <c r="E6630" s="271"/>
      <c r="F6630" s="271"/>
      <c r="G6630" s="273"/>
      <c r="H6630" s="29"/>
      <c r="I6630" s="394"/>
      <c r="J6630" s="273"/>
      <c r="K6630" s="395"/>
      <c r="L6630" s="273"/>
      <c r="M6630" s="394" t="str">
        <f t="shared" si="905"/>
        <v/>
      </c>
      <c r="N6630" s="273"/>
    </row>
    <row r="6631" spans="1:14" ht="12.75" customHeight="1" x14ac:dyDescent="0.2">
      <c r="A6631" s="400"/>
      <c r="B6631" s="271"/>
      <c r="C6631" s="271"/>
      <c r="D6631" s="271"/>
      <c r="E6631" s="271"/>
      <c r="F6631" s="271"/>
      <c r="G6631" s="273"/>
      <c r="H6631" s="29"/>
      <c r="I6631" s="394"/>
      <c r="J6631" s="273"/>
      <c r="K6631" s="395"/>
      <c r="L6631" s="273"/>
      <c r="M6631" s="394" t="str">
        <f t="shared" si="905"/>
        <v/>
      </c>
      <c r="N6631" s="273"/>
    </row>
    <row r="6632" spans="1:14" ht="12.75" customHeight="1" x14ac:dyDescent="0.2">
      <c r="A6632" s="400"/>
      <c r="B6632" s="271"/>
      <c r="C6632" s="271"/>
      <c r="D6632" s="271"/>
      <c r="E6632" s="271"/>
      <c r="F6632" s="271"/>
      <c r="G6632" s="273"/>
      <c r="H6632" s="29"/>
      <c r="I6632" s="394"/>
      <c r="J6632" s="273"/>
      <c r="K6632" s="395"/>
      <c r="L6632" s="273"/>
      <c r="M6632" s="394" t="str">
        <f t="shared" si="905"/>
        <v/>
      </c>
      <c r="N6632" s="273"/>
    </row>
    <row r="6633" spans="1:14" ht="12.75" customHeight="1" x14ac:dyDescent="0.25">
      <c r="A6633" s="4"/>
      <c r="B6633" s="4"/>
      <c r="C6633" s="4"/>
      <c r="D6633" s="4"/>
      <c r="E6633" s="4"/>
      <c r="F6633" s="4"/>
      <c r="G6633" s="4"/>
      <c r="H6633" s="4"/>
      <c r="I6633" s="4"/>
      <c r="J6633" s="4"/>
      <c r="K6633" s="396" t="s">
        <v>444</v>
      </c>
      <c r="L6633" s="273"/>
      <c r="M6633" s="394">
        <f>SUM(M6628:N6632)</f>
        <v>1426.95</v>
      </c>
      <c r="N6633" s="273"/>
    </row>
    <row r="6634" spans="1:14" ht="12.75" customHeight="1" x14ac:dyDescent="0.25">
      <c r="A6634" s="4"/>
      <c r="B6634" s="4"/>
      <c r="C6634" s="4"/>
      <c r="D6634" s="4"/>
      <c r="E6634" s="4"/>
      <c r="F6634" s="4"/>
      <c r="G6634" s="4"/>
      <c r="H6634" s="4"/>
      <c r="I6634" s="4"/>
      <c r="J6634" s="4"/>
      <c r="K6634" s="4"/>
      <c r="L6634" s="4"/>
      <c r="M6634" s="4"/>
      <c r="N6634" s="4"/>
    </row>
    <row r="6635" spans="1:14" ht="12.75" customHeight="1" x14ac:dyDescent="0.2">
      <c r="A6635" s="398" t="s">
        <v>931</v>
      </c>
      <c r="B6635" s="271"/>
      <c r="C6635" s="271"/>
      <c r="D6635" s="271"/>
      <c r="E6635" s="271"/>
      <c r="F6635" s="271"/>
      <c r="G6635" s="271"/>
      <c r="H6635" s="271"/>
      <c r="I6635" s="271"/>
      <c r="J6635" s="271"/>
      <c r="K6635" s="271"/>
      <c r="L6635" s="271"/>
      <c r="M6635" s="271"/>
      <c r="N6635" s="273"/>
    </row>
    <row r="6636" spans="1:14" ht="12.75" customHeight="1" x14ac:dyDescent="0.2">
      <c r="A6636" s="396" t="s">
        <v>76</v>
      </c>
      <c r="B6636" s="271"/>
      <c r="C6636" s="271"/>
      <c r="D6636" s="271"/>
      <c r="E6636" s="271"/>
      <c r="F6636" s="271"/>
      <c r="G6636" s="273"/>
      <c r="H6636" s="88" t="s">
        <v>77</v>
      </c>
      <c r="I6636" s="399" t="s">
        <v>920</v>
      </c>
      <c r="J6636" s="273"/>
      <c r="K6636" s="90" t="s">
        <v>514</v>
      </c>
      <c r="L6636" s="91" t="s">
        <v>932</v>
      </c>
      <c r="M6636" s="399" t="s">
        <v>921</v>
      </c>
      <c r="N6636" s="273"/>
    </row>
    <row r="6637" spans="1:14" ht="12.75" customHeight="1" x14ac:dyDescent="0.25">
      <c r="A6637" s="393" t="s">
        <v>951</v>
      </c>
      <c r="B6637" s="271"/>
      <c r="C6637" s="271"/>
      <c r="D6637" s="271"/>
      <c r="E6637" s="271"/>
      <c r="F6637" s="271"/>
      <c r="G6637" s="273"/>
      <c r="H6637" s="29" t="str">
        <f>IF(A6637="","",VLOOKUP(A6637,AA_Cuadrillas,4,FALSE))</f>
        <v>Cuadrilla</v>
      </c>
      <c r="I6637" s="394">
        <f>IF(A6637="","",VLOOKUP(A6637,AA_Cuadrillas,5,FALSE))</f>
        <v>186763</v>
      </c>
      <c r="J6637" s="273"/>
      <c r="K6637" s="9">
        <f>IF(A6637="","",F.P!$I$2)</f>
        <v>1.88</v>
      </c>
      <c r="L6637" s="93">
        <v>1.3333333333333334E-2</v>
      </c>
      <c r="M6637" s="394">
        <f t="shared" ref="M6637:M6641" si="906">IF(A6637="","",I6637*K6637*L6637)</f>
        <v>4681.5258666666668</v>
      </c>
      <c r="N6637" s="273"/>
    </row>
    <row r="6638" spans="1:14" ht="12.75" customHeight="1" x14ac:dyDescent="0.25">
      <c r="A6638" s="393"/>
      <c r="B6638" s="271"/>
      <c r="C6638" s="271"/>
      <c r="D6638" s="271"/>
      <c r="E6638" s="271"/>
      <c r="F6638" s="271"/>
      <c r="G6638" s="273"/>
      <c r="H6638" s="29" t="str">
        <f>IF(A6638="","",VLOOKUP(A6638,AA_Cuadrillas,4,FALSE))</f>
        <v/>
      </c>
      <c r="I6638" s="394" t="str">
        <f>IF(A6638="","",VLOOKUP(A6638,AA_Cuadrillas,5,FALSE))</f>
        <v/>
      </c>
      <c r="J6638" s="273"/>
      <c r="K6638" s="9" t="str">
        <f>IF(A6638="","",F.P!$I$2)</f>
        <v/>
      </c>
      <c r="L6638" s="9"/>
      <c r="M6638" s="394" t="str">
        <f t="shared" si="906"/>
        <v/>
      </c>
      <c r="N6638" s="273"/>
    </row>
    <row r="6639" spans="1:14" ht="12.75" customHeight="1" x14ac:dyDescent="0.25">
      <c r="A6639" s="393"/>
      <c r="B6639" s="271"/>
      <c r="C6639" s="271"/>
      <c r="D6639" s="271"/>
      <c r="E6639" s="271"/>
      <c r="F6639" s="271"/>
      <c r="G6639" s="273"/>
      <c r="H6639" s="29" t="str">
        <f>IF(A6639="","",VLOOKUP(A6639,AA_Cuadrillas,4,FALSE))</f>
        <v/>
      </c>
      <c r="I6639" s="394" t="str">
        <f>IF(A6639="","",VLOOKUP(A6639,AA_Cuadrillas,5,FALSE))</f>
        <v/>
      </c>
      <c r="J6639" s="273"/>
      <c r="K6639" s="9" t="str">
        <f>IF(A6639="","",F.P!$I$2)</f>
        <v/>
      </c>
      <c r="L6639" s="37"/>
      <c r="M6639" s="394" t="str">
        <f t="shared" si="906"/>
        <v/>
      </c>
      <c r="N6639" s="273"/>
    </row>
    <row r="6640" spans="1:14" ht="12.75" customHeight="1" x14ac:dyDescent="0.25">
      <c r="A6640" s="393"/>
      <c r="B6640" s="271"/>
      <c r="C6640" s="271"/>
      <c r="D6640" s="271"/>
      <c r="E6640" s="271"/>
      <c r="F6640" s="271"/>
      <c r="G6640" s="273"/>
      <c r="H6640" s="29" t="str">
        <f>IF(A6640="","",VLOOKUP(A6640,AA_Cuadrillas,4,FALSE))</f>
        <v/>
      </c>
      <c r="I6640" s="394" t="str">
        <f>IF(A6640="","",VLOOKUP(A6640,AA_Cuadrillas,5,FALSE))</f>
        <v/>
      </c>
      <c r="J6640" s="273"/>
      <c r="K6640" s="9" t="str">
        <f>IF(A6640="","",F.P!$I$2)</f>
        <v/>
      </c>
      <c r="L6640" s="37"/>
      <c r="M6640" s="394" t="str">
        <f t="shared" si="906"/>
        <v/>
      </c>
      <c r="N6640" s="273"/>
    </row>
    <row r="6641" spans="1:14" ht="12.75" customHeight="1" x14ac:dyDescent="0.25">
      <c r="A6641" s="393"/>
      <c r="B6641" s="271"/>
      <c r="C6641" s="271"/>
      <c r="D6641" s="271"/>
      <c r="E6641" s="271"/>
      <c r="F6641" s="271"/>
      <c r="G6641" s="273"/>
      <c r="H6641" s="29" t="str">
        <f>IF(A6641="","",VLOOKUP(A6641,AA_Cuadrillas,4,FALSE))</f>
        <v/>
      </c>
      <c r="I6641" s="394" t="str">
        <f>IF(A6641="","",VLOOKUP(A6641,AA_Cuadrillas,5,FALSE))</f>
        <v/>
      </c>
      <c r="J6641" s="273"/>
      <c r="K6641" s="9" t="str">
        <f>IF(A6641="","",F.P!$I$2)</f>
        <v/>
      </c>
      <c r="L6641" s="37"/>
      <c r="M6641" s="394" t="str">
        <f t="shared" si="906"/>
        <v/>
      </c>
      <c r="N6641" s="273"/>
    </row>
    <row r="6642" spans="1:14" ht="12.75" customHeight="1" x14ac:dyDescent="0.25">
      <c r="A6642" s="4"/>
      <c r="B6642" s="4"/>
      <c r="C6642" s="4"/>
      <c r="D6642" s="4"/>
      <c r="E6642" s="4"/>
      <c r="F6642" s="4"/>
      <c r="G6642" s="4"/>
      <c r="H6642" s="4"/>
      <c r="I6642" s="4"/>
      <c r="J6642" s="4"/>
      <c r="K6642" s="396" t="s">
        <v>444</v>
      </c>
      <c r="L6642" s="273"/>
      <c r="M6642" s="394">
        <f>SUM(M6637:N6641)</f>
        <v>4681.5258666666668</v>
      </c>
      <c r="N6642" s="273"/>
    </row>
    <row r="6643" spans="1:14" ht="12.75" customHeight="1" x14ac:dyDescent="0.2"/>
    <row r="6644" spans="1:14" ht="12.75" customHeight="1" x14ac:dyDescent="0.2">
      <c r="A6644" s="397" t="s">
        <v>226</v>
      </c>
      <c r="B6644" s="275"/>
      <c r="C6644" s="275"/>
      <c r="D6644" s="275"/>
      <c r="E6644" s="275"/>
      <c r="F6644" s="275"/>
      <c r="G6644" s="275"/>
      <c r="H6644" s="275"/>
      <c r="I6644" s="275"/>
      <c r="J6644" s="275"/>
      <c r="K6644" s="275"/>
      <c r="L6644" s="275"/>
      <c r="M6644" s="275"/>
      <c r="N6644" s="276"/>
    </row>
    <row r="6645" spans="1:14" ht="12.75" customHeight="1" x14ac:dyDescent="0.2">
      <c r="A6645" s="277"/>
      <c r="B6645" s="278"/>
      <c r="C6645" s="278"/>
      <c r="D6645" s="278"/>
      <c r="E6645" s="278"/>
      <c r="F6645" s="278"/>
      <c r="G6645" s="278"/>
      <c r="H6645" s="278"/>
      <c r="I6645" s="278"/>
      <c r="J6645" s="278"/>
      <c r="K6645" s="278"/>
      <c r="L6645" s="278"/>
      <c r="M6645" s="278"/>
      <c r="N6645" s="279"/>
    </row>
    <row r="6646" spans="1:14" ht="12.75" customHeight="1" x14ac:dyDescent="0.2">
      <c r="A6646" s="75"/>
      <c r="B6646" s="75"/>
      <c r="C6646" s="75"/>
      <c r="D6646" s="75"/>
      <c r="E6646" s="75"/>
      <c r="F6646" s="75"/>
      <c r="G6646" s="75"/>
      <c r="H6646" s="75"/>
      <c r="I6646" s="75"/>
      <c r="J6646" s="75"/>
      <c r="K6646" s="75"/>
      <c r="L6646" s="75"/>
      <c r="M6646" s="75"/>
      <c r="N6646" s="75"/>
    </row>
    <row r="6647" spans="1:14" ht="12.75" customHeight="1" x14ac:dyDescent="0.3">
      <c r="A6647" s="79" t="s">
        <v>767</v>
      </c>
      <c r="B6647" s="80" t="str">
        <f>A6644</f>
        <v>PORTÓN PARA ACCESO AL PREDIO EN MALLA ESLABONADA NO. 10 (INCLUYE TUBEÍA EN HIERRO GALVANIZADO DE 2", SOLDADURA, MALLA, PINTURA, PORTACANDADO DE 4", BISAGRA DE 3", MATERIALES, HERRAMIENTA MENOR, EQUIPO Y MANO DE OBRA)</v>
      </c>
      <c r="C6647" s="81" t="s">
        <v>916</v>
      </c>
      <c r="D6647" s="82" t="s">
        <v>999</v>
      </c>
      <c r="E6647" s="83" t="s">
        <v>445</v>
      </c>
      <c r="F6647" s="86">
        <f>H6647+J6647+L6647+N6647</f>
        <v>1673316.1944894323</v>
      </c>
      <c r="G6647" s="83" t="s">
        <v>607</v>
      </c>
      <c r="H6647" s="86">
        <f>M6671</f>
        <v>133474.85966666666</v>
      </c>
      <c r="I6647" s="83" t="s">
        <v>918</v>
      </c>
      <c r="J6647" s="86">
        <f>M6662</f>
        <v>1027622.9918946974</v>
      </c>
      <c r="K6647" s="83" t="s">
        <v>609</v>
      </c>
      <c r="L6647" s="86">
        <f>M6680</f>
        <v>51381.149594734874</v>
      </c>
      <c r="M6647" s="83" t="s">
        <v>610</v>
      </c>
      <c r="N6647" s="86">
        <f>M6689</f>
        <v>460837.1933333333</v>
      </c>
    </row>
    <row r="6648" spans="1:14" ht="12.75" customHeight="1" x14ac:dyDescent="0.25">
      <c r="A6648" s="87"/>
      <c r="B6648" s="87"/>
      <c r="C6648" s="87"/>
      <c r="D6648" s="87"/>
      <c r="E6648" s="87"/>
      <c r="F6648" s="87"/>
      <c r="G6648" s="87"/>
      <c r="J6648" s="87"/>
      <c r="K6648" s="215" t="s">
        <v>3217</v>
      </c>
      <c r="L6648" s="215">
        <f>+F6647*presup!$O$5</f>
        <v>2175311.0528362622</v>
      </c>
      <c r="M6648" s="87"/>
      <c r="N6648" s="87"/>
    </row>
    <row r="6649" spans="1:14" ht="12.75" customHeight="1" x14ac:dyDescent="0.2">
      <c r="A6649" s="398" t="s">
        <v>919</v>
      </c>
      <c r="B6649" s="271"/>
      <c r="C6649" s="271"/>
      <c r="D6649" s="271"/>
      <c r="E6649" s="271"/>
      <c r="F6649" s="271"/>
      <c r="G6649" s="271"/>
      <c r="H6649" s="271"/>
      <c r="I6649" s="271"/>
      <c r="J6649" s="271"/>
      <c r="K6649" s="271"/>
      <c r="L6649" s="271"/>
      <c r="M6649" s="271"/>
      <c r="N6649" s="273"/>
    </row>
    <row r="6650" spans="1:14" ht="12.75" customHeight="1" x14ac:dyDescent="0.2">
      <c r="A6650" s="396" t="s">
        <v>76</v>
      </c>
      <c r="B6650" s="271"/>
      <c r="C6650" s="271"/>
      <c r="D6650" s="271"/>
      <c r="E6650" s="271"/>
      <c r="F6650" s="271"/>
      <c r="G6650" s="273"/>
      <c r="H6650" s="88" t="s">
        <v>77</v>
      </c>
      <c r="I6650" s="399" t="s">
        <v>920</v>
      </c>
      <c r="J6650" s="273"/>
      <c r="K6650" s="399" t="s">
        <v>453</v>
      </c>
      <c r="L6650" s="273"/>
      <c r="M6650" s="399" t="s">
        <v>921</v>
      </c>
      <c r="N6650" s="273"/>
    </row>
    <row r="6651" spans="1:14" ht="12.75" customHeight="1" x14ac:dyDescent="0.2">
      <c r="A6651" s="400" t="s">
        <v>994</v>
      </c>
      <c r="B6651" s="271"/>
      <c r="C6651" s="271"/>
      <c r="D6651" s="271"/>
      <c r="E6651" s="271"/>
      <c r="F6651" s="271"/>
      <c r="G6651" s="273"/>
      <c r="H6651" s="29" t="str">
        <f t="shared" ref="H6651:H6661" si="907">IF(A6651="","",VLOOKUP(A6651,AA_Materiales,7,FALSE))</f>
        <v>ml</v>
      </c>
      <c r="I6651" s="394">
        <f t="shared" ref="I6651:I6661" si="908">IF(A6651="","",VLOOKUP(A6651,AA_Materiales,8,FALSE))</f>
        <v>22125</v>
      </c>
      <c r="J6651" s="273"/>
      <c r="K6651" s="395">
        <v>19</v>
      </c>
      <c r="L6651" s="273"/>
      <c r="M6651" s="394">
        <f t="shared" ref="M6651:M6661" si="909">IF(A6651="","",I6651*K6651)</f>
        <v>420375</v>
      </c>
      <c r="N6651" s="273"/>
    </row>
    <row r="6652" spans="1:14" ht="12.75" customHeight="1" x14ac:dyDescent="0.2">
      <c r="A6652" s="400" t="s">
        <v>1031</v>
      </c>
      <c r="B6652" s="271"/>
      <c r="C6652" s="271"/>
      <c r="D6652" s="271"/>
      <c r="E6652" s="271"/>
      <c r="F6652" s="271"/>
      <c r="G6652" s="273"/>
      <c r="H6652" s="29" t="str">
        <f t="shared" si="907"/>
        <v>Kg</v>
      </c>
      <c r="I6652" s="394">
        <f t="shared" si="908"/>
        <v>21380</v>
      </c>
      <c r="J6652" s="273"/>
      <c r="K6652" s="395">
        <v>6</v>
      </c>
      <c r="L6652" s="273"/>
      <c r="M6652" s="394">
        <f t="shared" si="909"/>
        <v>128280</v>
      </c>
      <c r="N6652" s="273"/>
    </row>
    <row r="6653" spans="1:14" ht="12.75" customHeight="1" x14ac:dyDescent="0.2">
      <c r="A6653" s="400" t="s">
        <v>1281</v>
      </c>
      <c r="B6653" s="271"/>
      <c r="C6653" s="271"/>
      <c r="D6653" s="271"/>
      <c r="E6653" s="271"/>
      <c r="F6653" s="271"/>
      <c r="G6653" s="273"/>
      <c r="H6653" s="29" t="str">
        <f t="shared" si="907"/>
        <v>m2</v>
      </c>
      <c r="I6653" s="394">
        <f t="shared" si="908"/>
        <v>13455.99</v>
      </c>
      <c r="J6653" s="273"/>
      <c r="K6653" s="395">
        <v>11.25</v>
      </c>
      <c r="L6653" s="273"/>
      <c r="M6653" s="394">
        <f t="shared" si="909"/>
        <v>151379.88750000001</v>
      </c>
      <c r="N6653" s="273"/>
    </row>
    <row r="6654" spans="1:14" ht="12.75" customHeight="1" x14ac:dyDescent="0.2">
      <c r="A6654" s="400" t="s">
        <v>995</v>
      </c>
      <c r="B6654" s="271"/>
      <c r="C6654" s="271"/>
      <c r="D6654" s="271"/>
      <c r="E6654" s="271"/>
      <c r="F6654" s="271"/>
      <c r="G6654" s="273"/>
      <c r="H6654" s="29" t="str">
        <f t="shared" si="907"/>
        <v>Galón</v>
      </c>
      <c r="I6654" s="394">
        <f t="shared" si="908"/>
        <v>95900</v>
      </c>
      <c r="J6654" s="273"/>
      <c r="K6654" s="395">
        <v>0.4</v>
      </c>
      <c r="L6654" s="273"/>
      <c r="M6654" s="394">
        <f t="shared" si="909"/>
        <v>38360</v>
      </c>
      <c r="N6654" s="273"/>
    </row>
    <row r="6655" spans="1:14" ht="12.75" customHeight="1" x14ac:dyDescent="0.2">
      <c r="A6655" s="400" t="s">
        <v>970</v>
      </c>
      <c r="B6655" s="271"/>
      <c r="C6655" s="271"/>
      <c r="D6655" s="271"/>
      <c r="E6655" s="271"/>
      <c r="F6655" s="271"/>
      <c r="G6655" s="273"/>
      <c r="H6655" s="29" t="str">
        <f t="shared" si="907"/>
        <v>Kg</v>
      </c>
      <c r="I6655" s="394">
        <f t="shared" si="908"/>
        <v>5883.1369999999997</v>
      </c>
      <c r="J6655" s="273"/>
      <c r="K6655" s="395">
        <v>8.64</v>
      </c>
      <c r="L6655" s="273"/>
      <c r="M6655" s="394">
        <f t="shared" si="909"/>
        <v>50830.303679999997</v>
      </c>
      <c r="N6655" s="273"/>
    </row>
    <row r="6656" spans="1:14" ht="12.75" customHeight="1" x14ac:dyDescent="0.2">
      <c r="A6656" s="400" t="s">
        <v>1215</v>
      </c>
      <c r="B6656" s="271"/>
      <c r="C6656" s="271"/>
      <c r="D6656" s="271"/>
      <c r="E6656" s="271"/>
      <c r="F6656" s="271"/>
      <c r="G6656" s="273"/>
      <c r="H6656" s="29" t="str">
        <f t="shared" si="907"/>
        <v>m3</v>
      </c>
      <c r="I6656" s="394">
        <f t="shared" si="908"/>
        <v>790161.82467906782</v>
      </c>
      <c r="J6656" s="273"/>
      <c r="K6656" s="395">
        <v>0.11</v>
      </c>
      <c r="L6656" s="273"/>
      <c r="M6656" s="394">
        <f t="shared" si="909"/>
        <v>86917.800714697456</v>
      </c>
      <c r="N6656" s="273"/>
    </row>
    <row r="6657" spans="1:14" ht="12.75" customHeight="1" x14ac:dyDescent="0.2">
      <c r="A6657" s="400" t="s">
        <v>1044</v>
      </c>
      <c r="B6657" s="271"/>
      <c r="C6657" s="271"/>
      <c r="D6657" s="271"/>
      <c r="E6657" s="271"/>
      <c r="F6657" s="271"/>
      <c r="G6657" s="273"/>
      <c r="H6657" s="29" t="str">
        <f t="shared" si="907"/>
        <v>Galón</v>
      </c>
      <c r="I6657" s="394">
        <f t="shared" si="908"/>
        <v>76900</v>
      </c>
      <c r="J6657" s="273"/>
      <c r="K6657" s="395">
        <v>1.2</v>
      </c>
      <c r="L6657" s="273"/>
      <c r="M6657" s="394">
        <f t="shared" si="909"/>
        <v>92280</v>
      </c>
      <c r="N6657" s="273"/>
    </row>
    <row r="6658" spans="1:14" ht="12.75" customHeight="1" x14ac:dyDescent="0.2">
      <c r="A6658" s="400" t="s">
        <v>1047</v>
      </c>
      <c r="B6658" s="271"/>
      <c r="C6658" s="271"/>
      <c r="D6658" s="271"/>
      <c r="E6658" s="271"/>
      <c r="F6658" s="271"/>
      <c r="G6658" s="273"/>
      <c r="H6658" s="29" t="str">
        <f t="shared" si="907"/>
        <v>Galón</v>
      </c>
      <c r="I6658" s="394">
        <f t="shared" si="908"/>
        <v>42000</v>
      </c>
      <c r="J6658" s="273"/>
      <c r="K6658" s="395">
        <v>0.6</v>
      </c>
      <c r="L6658" s="273"/>
      <c r="M6658" s="394">
        <f t="shared" si="909"/>
        <v>25200</v>
      </c>
      <c r="N6658" s="273"/>
    </row>
    <row r="6659" spans="1:14" ht="12.75" customHeight="1" x14ac:dyDescent="0.2">
      <c r="A6659" s="400" t="s">
        <v>1283</v>
      </c>
      <c r="B6659" s="271"/>
      <c r="C6659" s="271"/>
      <c r="D6659" s="271"/>
      <c r="E6659" s="271"/>
      <c r="F6659" s="271"/>
      <c r="G6659" s="273"/>
      <c r="H6659" s="29" t="str">
        <f t="shared" si="907"/>
        <v>Unidad</v>
      </c>
      <c r="I6659" s="394">
        <f t="shared" si="908"/>
        <v>5500</v>
      </c>
      <c r="J6659" s="273"/>
      <c r="K6659" s="395">
        <v>2</v>
      </c>
      <c r="L6659" s="273"/>
      <c r="M6659" s="394">
        <f t="shared" si="909"/>
        <v>11000</v>
      </c>
      <c r="N6659" s="273"/>
    </row>
    <row r="6660" spans="1:14" ht="12.75" customHeight="1" x14ac:dyDescent="0.2">
      <c r="A6660" s="400" t="s">
        <v>1284</v>
      </c>
      <c r="B6660" s="271"/>
      <c r="C6660" s="271"/>
      <c r="D6660" s="271"/>
      <c r="E6660" s="271"/>
      <c r="F6660" s="271"/>
      <c r="G6660" s="273"/>
      <c r="H6660" s="29" t="str">
        <f t="shared" si="907"/>
        <v>Unidad</v>
      </c>
      <c r="I6660" s="394">
        <f t="shared" si="908"/>
        <v>5750</v>
      </c>
      <c r="J6660" s="273"/>
      <c r="K6660" s="395">
        <v>4</v>
      </c>
      <c r="L6660" s="273"/>
      <c r="M6660" s="394">
        <f t="shared" si="909"/>
        <v>23000</v>
      </c>
      <c r="N6660" s="273"/>
    </row>
    <row r="6661" spans="1:14" ht="12.75" customHeight="1" x14ac:dyDescent="0.2">
      <c r="A6661" s="400"/>
      <c r="B6661" s="271"/>
      <c r="C6661" s="271"/>
      <c r="D6661" s="271"/>
      <c r="E6661" s="271"/>
      <c r="F6661" s="271"/>
      <c r="G6661" s="273"/>
      <c r="H6661" s="29" t="str">
        <f t="shared" si="907"/>
        <v/>
      </c>
      <c r="I6661" s="394" t="str">
        <f t="shared" si="908"/>
        <v/>
      </c>
      <c r="J6661" s="273"/>
      <c r="K6661" s="395"/>
      <c r="L6661" s="273"/>
      <c r="M6661" s="394" t="str">
        <f t="shared" si="909"/>
        <v/>
      </c>
      <c r="N6661" s="273"/>
    </row>
    <row r="6662" spans="1:14" ht="12.75" customHeight="1" x14ac:dyDescent="0.25">
      <c r="A6662" s="4"/>
      <c r="B6662" s="4"/>
      <c r="C6662" s="4"/>
      <c r="D6662" s="4"/>
      <c r="E6662" s="4"/>
      <c r="F6662" s="4"/>
      <c r="G6662" s="4"/>
      <c r="H6662" s="4"/>
      <c r="I6662" s="4"/>
      <c r="J6662" s="4"/>
      <c r="K6662" s="396" t="s">
        <v>444</v>
      </c>
      <c r="L6662" s="273"/>
      <c r="M6662" s="394">
        <f>SUM(M6651:N6661)</f>
        <v>1027622.9918946974</v>
      </c>
      <c r="N6662" s="273"/>
    </row>
    <row r="6663" spans="1:14" ht="12.75" customHeight="1" x14ac:dyDescent="0.25">
      <c r="A6663" s="4"/>
      <c r="B6663" s="4"/>
      <c r="C6663" s="4"/>
      <c r="D6663" s="4"/>
      <c r="E6663" s="4"/>
      <c r="F6663" s="4"/>
      <c r="G6663" s="4"/>
      <c r="H6663" s="4"/>
      <c r="I6663" s="4"/>
      <c r="J6663" s="4"/>
      <c r="K6663" s="4"/>
      <c r="L6663" s="4"/>
      <c r="M6663" s="4"/>
      <c r="N6663" s="4"/>
    </row>
    <row r="6664" spans="1:14" ht="12.75" customHeight="1" x14ac:dyDescent="0.2">
      <c r="A6664" s="398" t="s">
        <v>926</v>
      </c>
      <c r="B6664" s="271"/>
      <c r="C6664" s="271"/>
      <c r="D6664" s="271"/>
      <c r="E6664" s="271"/>
      <c r="F6664" s="271"/>
      <c r="G6664" s="271"/>
      <c r="H6664" s="271"/>
      <c r="I6664" s="271"/>
      <c r="J6664" s="271"/>
      <c r="K6664" s="271"/>
      <c r="L6664" s="271"/>
      <c r="M6664" s="271"/>
      <c r="N6664" s="273"/>
    </row>
    <row r="6665" spans="1:14" ht="12.75" customHeight="1" x14ac:dyDescent="0.2">
      <c r="A6665" s="396" t="s">
        <v>76</v>
      </c>
      <c r="B6665" s="271"/>
      <c r="C6665" s="271"/>
      <c r="D6665" s="271"/>
      <c r="E6665" s="271"/>
      <c r="F6665" s="271"/>
      <c r="G6665" s="273"/>
      <c r="H6665" s="88" t="s">
        <v>77</v>
      </c>
      <c r="I6665" s="399" t="s">
        <v>920</v>
      </c>
      <c r="J6665" s="273"/>
      <c r="K6665" s="399" t="s">
        <v>453</v>
      </c>
      <c r="L6665" s="273"/>
      <c r="M6665" s="399" t="s">
        <v>921</v>
      </c>
      <c r="N6665" s="273"/>
    </row>
    <row r="6666" spans="1:14" ht="12.75" customHeight="1" x14ac:dyDescent="0.2">
      <c r="A6666" s="400" t="s">
        <v>927</v>
      </c>
      <c r="B6666" s="271"/>
      <c r="C6666" s="271"/>
      <c r="D6666" s="271"/>
      <c r="E6666" s="271"/>
      <c r="F6666" s="271"/>
      <c r="G6666" s="273"/>
      <c r="H6666" s="29" t="str">
        <f>IF(A6666="","",VLOOKUP(A6666,AA_Equipos,7,FALSE))</f>
        <v>% M.O.</v>
      </c>
      <c r="I6666" s="394">
        <f>+M6689</f>
        <v>460837.1933333333</v>
      </c>
      <c r="J6666" s="273"/>
      <c r="K6666" s="404">
        <v>0.05</v>
      </c>
      <c r="L6666" s="273"/>
      <c r="M6666" s="394">
        <f t="shared" ref="M6666:M6670" si="910">IF(A6666="","",I6666*K6666)</f>
        <v>23041.859666666667</v>
      </c>
      <c r="N6666" s="273"/>
    </row>
    <row r="6667" spans="1:14" ht="12.75" customHeight="1" x14ac:dyDescent="0.2">
      <c r="A6667" s="403" t="s">
        <v>1032</v>
      </c>
      <c r="B6667" s="271"/>
      <c r="C6667" s="271"/>
      <c r="D6667" s="271"/>
      <c r="E6667" s="271"/>
      <c r="F6667" s="271"/>
      <c r="G6667" s="273"/>
      <c r="H6667" s="29" t="str">
        <f>IF(A6667="","",VLOOKUP(A6667,AA_Equipos,7,FALSE))</f>
        <v>Dia</v>
      </c>
      <c r="I6667" s="394">
        <f>IF(A6667="","",VLOOKUP(A6667,AA_Equipos,8,FALSE))</f>
        <v>50000</v>
      </c>
      <c r="J6667" s="273"/>
      <c r="K6667" s="402">
        <v>0.5</v>
      </c>
      <c r="L6667" s="273"/>
      <c r="M6667" s="394">
        <f t="shared" si="910"/>
        <v>25000</v>
      </c>
      <c r="N6667" s="273"/>
    </row>
    <row r="6668" spans="1:14" ht="12.75" customHeight="1" x14ac:dyDescent="0.2">
      <c r="A6668" s="400" t="s">
        <v>1092</v>
      </c>
      <c r="B6668" s="271"/>
      <c r="C6668" s="271"/>
      <c r="D6668" s="271"/>
      <c r="E6668" s="271"/>
      <c r="F6668" s="271"/>
      <c r="G6668" s="273"/>
      <c r="H6668" s="29" t="str">
        <f>IF(A6668="","",VLOOKUP(A6668,AA_Equipos,7,FALSE))</f>
        <v>Dia</v>
      </c>
      <c r="I6668" s="394">
        <f>IF(A6668="","",VLOOKUP(A6668,AA_Equipos,8,FALSE))</f>
        <v>84000</v>
      </c>
      <c r="J6668" s="273"/>
      <c r="K6668" s="402">
        <v>0.5</v>
      </c>
      <c r="L6668" s="273"/>
      <c r="M6668" s="394">
        <f t="shared" si="910"/>
        <v>42000</v>
      </c>
      <c r="N6668" s="273"/>
    </row>
    <row r="6669" spans="1:14" ht="12.75" customHeight="1" x14ac:dyDescent="0.2">
      <c r="A6669" s="400" t="s">
        <v>964</v>
      </c>
      <c r="B6669" s="271"/>
      <c r="C6669" s="271"/>
      <c r="D6669" s="271"/>
      <c r="E6669" s="271"/>
      <c r="F6669" s="271"/>
      <c r="G6669" s="273"/>
      <c r="H6669" s="29" t="str">
        <f>IF(A6669="","",VLOOKUP(A6669,AA_Equipos,7,FALSE))</f>
        <v>Dia</v>
      </c>
      <c r="I6669" s="394">
        <f>IF(A6669="","",VLOOKUP(A6669,AA_Equipos,8,FALSE))</f>
        <v>71766</v>
      </c>
      <c r="J6669" s="273"/>
      <c r="K6669" s="402">
        <v>0.5</v>
      </c>
      <c r="L6669" s="273"/>
      <c r="M6669" s="394">
        <f t="shared" si="910"/>
        <v>35883</v>
      </c>
      <c r="N6669" s="273"/>
    </row>
    <row r="6670" spans="1:14" ht="12.75" customHeight="1" x14ac:dyDescent="0.2">
      <c r="A6670" s="400" t="s">
        <v>1285</v>
      </c>
      <c r="B6670" s="271"/>
      <c r="C6670" s="271"/>
      <c r="D6670" s="271"/>
      <c r="E6670" s="271"/>
      <c r="F6670" s="271"/>
      <c r="G6670" s="273"/>
      <c r="H6670" s="29" t="str">
        <f>IF(A6670="","",VLOOKUP(A6670,AA_Equipos,7,FALSE))</f>
        <v>Dia</v>
      </c>
      <c r="I6670" s="394">
        <f>IF(A6670="","",VLOOKUP(A6670,AA_Equipos,8,FALSE))</f>
        <v>15100</v>
      </c>
      <c r="J6670" s="273"/>
      <c r="K6670" s="395">
        <v>0.5</v>
      </c>
      <c r="L6670" s="273"/>
      <c r="M6670" s="394">
        <f t="shared" si="910"/>
        <v>7550</v>
      </c>
      <c r="N6670" s="273"/>
    </row>
    <row r="6671" spans="1:14" ht="12.75" customHeight="1" x14ac:dyDescent="0.25">
      <c r="A6671" s="4"/>
      <c r="B6671" s="4"/>
      <c r="C6671" s="4"/>
      <c r="D6671" s="4"/>
      <c r="E6671" s="4"/>
      <c r="F6671" s="4"/>
      <c r="G6671" s="4"/>
      <c r="H6671" s="4"/>
      <c r="I6671" s="4"/>
      <c r="J6671" s="4"/>
      <c r="K6671" s="396" t="s">
        <v>444</v>
      </c>
      <c r="L6671" s="273"/>
      <c r="M6671" s="394">
        <f>SUM(M6666:N6670)</f>
        <v>133474.85966666666</v>
      </c>
      <c r="N6671" s="273"/>
    </row>
    <row r="6672" spans="1:14" ht="12.75" customHeight="1" x14ac:dyDescent="0.25">
      <c r="A6672" s="4"/>
      <c r="B6672" s="4"/>
      <c r="C6672" s="4"/>
      <c r="D6672" s="4"/>
      <c r="E6672" s="4"/>
      <c r="F6672" s="4"/>
      <c r="G6672" s="4"/>
      <c r="H6672" s="4"/>
      <c r="I6672" s="4"/>
      <c r="J6672" s="4"/>
      <c r="K6672" s="4"/>
      <c r="L6672" s="4"/>
      <c r="M6672" s="4"/>
      <c r="N6672" s="4"/>
    </row>
    <row r="6673" spans="1:14" ht="12.75" customHeight="1" x14ac:dyDescent="0.2">
      <c r="A6673" s="398" t="s">
        <v>929</v>
      </c>
      <c r="B6673" s="271"/>
      <c r="C6673" s="271"/>
      <c r="D6673" s="271"/>
      <c r="E6673" s="271"/>
      <c r="F6673" s="271"/>
      <c r="G6673" s="271"/>
      <c r="H6673" s="271"/>
      <c r="I6673" s="271"/>
      <c r="J6673" s="271"/>
      <c r="K6673" s="271"/>
      <c r="L6673" s="271"/>
      <c r="M6673" s="271"/>
      <c r="N6673" s="273"/>
    </row>
    <row r="6674" spans="1:14" ht="12.75" customHeight="1" x14ac:dyDescent="0.2">
      <c r="A6674" s="396" t="s">
        <v>76</v>
      </c>
      <c r="B6674" s="271"/>
      <c r="C6674" s="271"/>
      <c r="D6674" s="271"/>
      <c r="E6674" s="271"/>
      <c r="F6674" s="271"/>
      <c r="G6674" s="273"/>
      <c r="H6674" s="88" t="s">
        <v>77</v>
      </c>
      <c r="I6674" s="399" t="s">
        <v>920</v>
      </c>
      <c r="J6674" s="273"/>
      <c r="K6674" s="399" t="s">
        <v>453</v>
      </c>
      <c r="L6674" s="273"/>
      <c r="M6674" s="399" t="s">
        <v>921</v>
      </c>
      <c r="N6674" s="273"/>
    </row>
    <row r="6675" spans="1:14" ht="12.75" customHeight="1" x14ac:dyDescent="0.2">
      <c r="A6675" s="400" t="s">
        <v>966</v>
      </c>
      <c r="B6675" s="271"/>
      <c r="C6675" s="271"/>
      <c r="D6675" s="271"/>
      <c r="E6675" s="271"/>
      <c r="F6675" s="271"/>
      <c r="G6675" s="273"/>
      <c r="H6675" s="29" t="s">
        <v>950</v>
      </c>
      <c r="I6675" s="394">
        <f>+M6662</f>
        <v>1027622.9918946974</v>
      </c>
      <c r="J6675" s="273"/>
      <c r="K6675" s="404">
        <v>0.05</v>
      </c>
      <c r="L6675" s="273"/>
      <c r="M6675" s="394">
        <f t="shared" ref="M6675:M6679" si="911">IF(A6675="","",I6675*K6675)</f>
        <v>51381.149594734874</v>
      </c>
      <c r="N6675" s="273"/>
    </row>
    <row r="6676" spans="1:14" ht="12.75" customHeight="1" x14ac:dyDescent="0.2">
      <c r="A6676" s="403"/>
      <c r="B6676" s="271"/>
      <c r="C6676" s="271"/>
      <c r="D6676" s="271"/>
      <c r="E6676" s="271"/>
      <c r="F6676" s="271"/>
      <c r="G6676" s="273"/>
      <c r="H6676" s="29"/>
      <c r="I6676" s="394"/>
      <c r="J6676" s="273"/>
      <c r="K6676" s="404"/>
      <c r="L6676" s="273"/>
      <c r="M6676" s="394" t="str">
        <f t="shared" si="911"/>
        <v/>
      </c>
      <c r="N6676" s="273"/>
    </row>
    <row r="6677" spans="1:14" ht="12.75" customHeight="1" x14ac:dyDescent="0.2">
      <c r="A6677" s="400"/>
      <c r="B6677" s="271"/>
      <c r="C6677" s="271"/>
      <c r="D6677" s="271"/>
      <c r="E6677" s="271"/>
      <c r="F6677" s="271"/>
      <c r="G6677" s="273"/>
      <c r="H6677" s="29"/>
      <c r="I6677" s="394"/>
      <c r="J6677" s="273"/>
      <c r="K6677" s="395"/>
      <c r="L6677" s="273"/>
      <c r="M6677" s="394" t="str">
        <f t="shared" si="911"/>
        <v/>
      </c>
      <c r="N6677" s="273"/>
    </row>
    <row r="6678" spans="1:14" ht="12.75" customHeight="1" x14ac:dyDescent="0.2">
      <c r="A6678" s="400"/>
      <c r="B6678" s="271"/>
      <c r="C6678" s="271"/>
      <c r="D6678" s="271"/>
      <c r="E6678" s="271"/>
      <c r="F6678" s="271"/>
      <c r="G6678" s="273"/>
      <c r="H6678" s="29"/>
      <c r="I6678" s="394"/>
      <c r="J6678" s="273"/>
      <c r="K6678" s="395"/>
      <c r="L6678" s="273"/>
      <c r="M6678" s="394" t="str">
        <f t="shared" si="911"/>
        <v/>
      </c>
      <c r="N6678" s="273"/>
    </row>
    <row r="6679" spans="1:14" ht="12.75" customHeight="1" x14ac:dyDescent="0.2">
      <c r="A6679" s="400"/>
      <c r="B6679" s="271"/>
      <c r="C6679" s="271"/>
      <c r="D6679" s="271"/>
      <c r="E6679" s="271"/>
      <c r="F6679" s="271"/>
      <c r="G6679" s="273"/>
      <c r="H6679" s="29"/>
      <c r="I6679" s="394"/>
      <c r="J6679" s="273"/>
      <c r="K6679" s="395"/>
      <c r="L6679" s="273"/>
      <c r="M6679" s="394" t="str">
        <f t="shared" si="911"/>
        <v/>
      </c>
      <c r="N6679" s="273"/>
    </row>
    <row r="6680" spans="1:14" ht="12.75" customHeight="1" x14ac:dyDescent="0.25">
      <c r="A6680" s="4"/>
      <c r="B6680" s="4"/>
      <c r="C6680" s="4"/>
      <c r="D6680" s="4"/>
      <c r="E6680" s="4"/>
      <c r="F6680" s="4"/>
      <c r="G6680" s="4"/>
      <c r="H6680" s="4"/>
      <c r="I6680" s="4"/>
      <c r="J6680" s="4"/>
      <c r="K6680" s="396" t="s">
        <v>444</v>
      </c>
      <c r="L6680" s="273"/>
      <c r="M6680" s="394">
        <f>SUM(M6675:N6679)</f>
        <v>51381.149594734874</v>
      </c>
      <c r="N6680" s="273"/>
    </row>
    <row r="6681" spans="1:14" ht="12.75" customHeight="1" x14ac:dyDescent="0.25">
      <c r="A6681" s="4"/>
      <c r="B6681" s="4"/>
      <c r="C6681" s="4"/>
      <c r="D6681" s="4"/>
      <c r="E6681" s="4"/>
      <c r="F6681" s="4"/>
      <c r="G6681" s="4"/>
      <c r="H6681" s="4"/>
      <c r="I6681" s="4"/>
      <c r="J6681" s="4"/>
      <c r="K6681" s="4"/>
      <c r="L6681" s="4"/>
      <c r="M6681" s="4"/>
      <c r="N6681" s="4"/>
    </row>
    <row r="6682" spans="1:14" ht="12.75" customHeight="1" x14ac:dyDescent="0.2">
      <c r="A6682" s="398" t="s">
        <v>931</v>
      </c>
      <c r="B6682" s="271"/>
      <c r="C6682" s="271"/>
      <c r="D6682" s="271"/>
      <c r="E6682" s="271"/>
      <c r="F6682" s="271"/>
      <c r="G6682" s="271"/>
      <c r="H6682" s="271"/>
      <c r="I6682" s="271"/>
      <c r="J6682" s="271"/>
      <c r="K6682" s="271"/>
      <c r="L6682" s="271"/>
      <c r="M6682" s="271"/>
      <c r="N6682" s="273"/>
    </row>
    <row r="6683" spans="1:14" ht="12.75" customHeight="1" x14ac:dyDescent="0.2">
      <c r="A6683" s="396" t="s">
        <v>76</v>
      </c>
      <c r="B6683" s="271"/>
      <c r="C6683" s="271"/>
      <c r="D6683" s="271"/>
      <c r="E6683" s="271"/>
      <c r="F6683" s="271"/>
      <c r="G6683" s="273"/>
      <c r="H6683" s="88" t="s">
        <v>77</v>
      </c>
      <c r="I6683" s="399" t="s">
        <v>920</v>
      </c>
      <c r="J6683" s="273"/>
      <c r="K6683" s="90" t="s">
        <v>514</v>
      </c>
      <c r="L6683" s="91" t="s">
        <v>932</v>
      </c>
      <c r="M6683" s="399" t="s">
        <v>921</v>
      </c>
      <c r="N6683" s="273"/>
    </row>
    <row r="6684" spans="1:14" ht="12.75" customHeight="1" x14ac:dyDescent="0.25">
      <c r="A6684" s="393" t="s">
        <v>1286</v>
      </c>
      <c r="B6684" s="271"/>
      <c r="C6684" s="271"/>
      <c r="D6684" s="271"/>
      <c r="E6684" s="271"/>
      <c r="F6684" s="271"/>
      <c r="G6684" s="273"/>
      <c r="H6684" s="29" t="str">
        <f>IF(A6684="","",VLOOKUP(A6684,AA_Cuadrillas,4,FALSE))</f>
        <v>Cuadrilla</v>
      </c>
      <c r="I6684" s="394">
        <f>IF(A6684="","",VLOOKUP(A6684,AA_Cuadrillas,5,FALSE))</f>
        <v>396871</v>
      </c>
      <c r="J6684" s="273"/>
      <c r="K6684" s="9">
        <f>IF(A6684="","",F.P!$I$2)</f>
        <v>1.88</v>
      </c>
      <c r="L6684" s="93">
        <v>0.25</v>
      </c>
      <c r="M6684" s="394">
        <f t="shared" ref="M6684:M6688" si="912">IF(A6684="","",I6684*K6684*L6684)</f>
        <v>186529.37</v>
      </c>
      <c r="N6684" s="273"/>
    </row>
    <row r="6685" spans="1:14" ht="12.75" customHeight="1" x14ac:dyDescent="0.25">
      <c r="A6685" s="393" t="s">
        <v>1287</v>
      </c>
      <c r="B6685" s="271"/>
      <c r="C6685" s="271"/>
      <c r="D6685" s="271"/>
      <c r="E6685" s="271"/>
      <c r="F6685" s="271"/>
      <c r="G6685" s="273"/>
      <c r="H6685" s="29" t="str">
        <f>IF(A6685="","",VLOOKUP(A6685,AA_Cuadrillas,4,FALSE))</f>
        <v>Cuadrilla</v>
      </c>
      <c r="I6685" s="394">
        <f>IF(A6685="","",VLOOKUP(A6685,AA_Cuadrillas,5,FALSE))</f>
        <v>396871</v>
      </c>
      <c r="J6685" s="273"/>
      <c r="K6685" s="9">
        <f>IF(A6685="","",F.P!$I$2)</f>
        <v>1.88</v>
      </c>
      <c r="L6685" s="9">
        <v>0.25</v>
      </c>
      <c r="M6685" s="394">
        <f t="shared" si="912"/>
        <v>186529.37</v>
      </c>
      <c r="N6685" s="273"/>
    </row>
    <row r="6686" spans="1:14" ht="12.75" customHeight="1" x14ac:dyDescent="0.25">
      <c r="A6686" s="393" t="s">
        <v>979</v>
      </c>
      <c r="B6686" s="271"/>
      <c r="C6686" s="271"/>
      <c r="D6686" s="271"/>
      <c r="E6686" s="271"/>
      <c r="F6686" s="271"/>
      <c r="G6686" s="273"/>
      <c r="H6686" s="29" t="str">
        <f>IF(A6686="","",VLOOKUP(A6686,AA_Cuadrillas,4,FALSE))</f>
        <v>Cuadrilla</v>
      </c>
      <c r="I6686" s="394">
        <f>IF(A6686="","",VLOOKUP(A6686,AA_Cuadrillas,5,FALSE))</f>
        <v>140072</v>
      </c>
      <c r="J6686" s="273"/>
      <c r="K6686" s="9">
        <f>IF(A6686="","",F.P!$I$2)</f>
        <v>1.88</v>
      </c>
      <c r="L6686" s="9">
        <v>0.33333333333333331</v>
      </c>
      <c r="M6686" s="394">
        <f t="shared" si="912"/>
        <v>87778.453333333324</v>
      </c>
      <c r="N6686" s="273"/>
    </row>
    <row r="6687" spans="1:14" ht="12.75" customHeight="1" x14ac:dyDescent="0.25">
      <c r="A6687" s="393"/>
      <c r="B6687" s="271"/>
      <c r="C6687" s="271"/>
      <c r="D6687" s="271"/>
      <c r="E6687" s="271"/>
      <c r="F6687" s="271"/>
      <c r="G6687" s="273"/>
      <c r="H6687" s="29" t="str">
        <f>IF(A6687="","",VLOOKUP(A6687,AA_Cuadrillas,4,FALSE))</f>
        <v/>
      </c>
      <c r="I6687" s="394" t="str">
        <f>IF(A6687="","",VLOOKUP(A6687,AA_Cuadrillas,5,FALSE))</f>
        <v/>
      </c>
      <c r="J6687" s="273"/>
      <c r="K6687" s="9" t="str">
        <f>IF(A6687="","",F.P!$I$2)</f>
        <v/>
      </c>
      <c r="L6687" s="37"/>
      <c r="M6687" s="394" t="str">
        <f t="shared" si="912"/>
        <v/>
      </c>
      <c r="N6687" s="273"/>
    </row>
    <row r="6688" spans="1:14" ht="12.75" customHeight="1" x14ac:dyDescent="0.25">
      <c r="A6688" s="393"/>
      <c r="B6688" s="271"/>
      <c r="C6688" s="271"/>
      <c r="D6688" s="271"/>
      <c r="E6688" s="271"/>
      <c r="F6688" s="271"/>
      <c r="G6688" s="273"/>
      <c r="H6688" s="29" t="str">
        <f>IF(A6688="","",VLOOKUP(A6688,AA_Cuadrillas,4,FALSE))</f>
        <v/>
      </c>
      <c r="I6688" s="394" t="str">
        <f>IF(A6688="","",VLOOKUP(A6688,AA_Cuadrillas,5,FALSE))</f>
        <v/>
      </c>
      <c r="J6688" s="273"/>
      <c r="K6688" s="9" t="str">
        <f>IF(A6688="","",F.P!$I$2)</f>
        <v/>
      </c>
      <c r="L6688" s="37"/>
      <c r="M6688" s="394" t="str">
        <f t="shared" si="912"/>
        <v/>
      </c>
      <c r="N6688" s="273"/>
    </row>
    <row r="6689" spans="1:15" ht="12.75" customHeight="1" x14ac:dyDescent="0.25">
      <c r="A6689" s="4"/>
      <c r="B6689" s="4"/>
      <c r="C6689" s="4"/>
      <c r="D6689" s="4"/>
      <c r="E6689" s="4"/>
      <c r="F6689" s="4"/>
      <c r="G6689" s="4"/>
      <c r="H6689" s="4"/>
      <c r="I6689" s="4"/>
      <c r="J6689" s="4"/>
      <c r="K6689" s="396" t="s">
        <v>444</v>
      </c>
      <c r="L6689" s="273"/>
      <c r="M6689" s="394">
        <f>SUM(M6684:N6688)</f>
        <v>460837.1933333333</v>
      </c>
      <c r="N6689" s="273"/>
    </row>
    <row r="6690" spans="1:15" ht="12.75" customHeight="1" x14ac:dyDescent="0.2"/>
    <row r="6691" spans="1:15" ht="12.75" customHeight="1" x14ac:dyDescent="0.2">
      <c r="A6691" s="407" t="s">
        <v>306</v>
      </c>
      <c r="B6691" s="275"/>
      <c r="C6691" s="275"/>
      <c r="D6691" s="275"/>
      <c r="E6691" s="275"/>
      <c r="F6691" s="275"/>
      <c r="G6691" s="275"/>
      <c r="H6691" s="275"/>
      <c r="I6691" s="275"/>
      <c r="J6691" s="275"/>
      <c r="K6691" s="275"/>
      <c r="L6691" s="275"/>
      <c r="M6691" s="275"/>
      <c r="N6691" s="276"/>
      <c r="O6691" s="166"/>
    </row>
    <row r="6692" spans="1:15" ht="12.75" customHeight="1" x14ac:dyDescent="0.2">
      <c r="A6692" s="277"/>
      <c r="B6692" s="278"/>
      <c r="C6692" s="278"/>
      <c r="D6692" s="278"/>
      <c r="E6692" s="278"/>
      <c r="F6692" s="278"/>
      <c r="G6692" s="278"/>
      <c r="H6692" s="278"/>
      <c r="I6692" s="278"/>
      <c r="J6692" s="278"/>
      <c r="K6692" s="278"/>
      <c r="L6692" s="278"/>
      <c r="M6692" s="278"/>
      <c r="N6692" s="279"/>
      <c r="O6692" s="166"/>
    </row>
    <row r="6693" spans="1:15" ht="12.75" customHeight="1" x14ac:dyDescent="0.2">
      <c r="A6693" s="75"/>
      <c r="B6693" s="75"/>
      <c r="C6693" s="75"/>
      <c r="D6693" s="75"/>
      <c r="E6693" s="75"/>
      <c r="F6693" s="75"/>
      <c r="G6693" s="75"/>
      <c r="H6693" s="75"/>
      <c r="I6693" s="75"/>
      <c r="J6693" s="75"/>
      <c r="K6693" s="75"/>
      <c r="L6693" s="75"/>
      <c r="M6693" s="75"/>
      <c r="N6693" s="75"/>
    </row>
    <row r="6694" spans="1:15" ht="12.75" customHeight="1" x14ac:dyDescent="0.3">
      <c r="A6694" s="79" t="s">
        <v>768</v>
      </c>
      <c r="B6694" s="80" t="str">
        <f>A6691</f>
        <v>CONCRETO PARA TAPA DE 4000 PSI IMPERMEABILIZADO A TODO COSTO (280 KG/CM2)</v>
      </c>
      <c r="C6694" s="81" t="s">
        <v>916</v>
      </c>
      <c r="D6694" s="82" t="s">
        <v>258</v>
      </c>
      <c r="E6694" s="83" t="s">
        <v>445</v>
      </c>
      <c r="F6694" s="240">
        <f>H6694+J6694+L6694+N6694</f>
        <v>1389173.4069229569</v>
      </c>
      <c r="G6694" s="83" t="s">
        <v>607</v>
      </c>
      <c r="H6694" s="86">
        <f>M6716</f>
        <v>48670.608500000002</v>
      </c>
      <c r="I6694" s="83" t="s">
        <v>918</v>
      </c>
      <c r="J6694" s="86">
        <f>M6707</f>
        <v>1005059.3286</v>
      </c>
      <c r="K6694" s="83" t="s">
        <v>609</v>
      </c>
      <c r="L6694" s="86">
        <f>M6725</f>
        <v>148914.09982295672</v>
      </c>
      <c r="M6694" s="83" t="s">
        <v>610</v>
      </c>
      <c r="N6694" s="86">
        <f>M6734</f>
        <v>186529.37</v>
      </c>
      <c r="O6694" t="s">
        <v>3233</v>
      </c>
    </row>
    <row r="6695" spans="1:15" ht="12.75" customHeight="1" x14ac:dyDescent="0.25">
      <c r="A6695" s="87"/>
      <c r="B6695" s="87"/>
      <c r="C6695" s="87"/>
      <c r="D6695" s="87"/>
      <c r="E6695" s="242" t="s">
        <v>3246</v>
      </c>
      <c r="F6695" s="259">
        <f>F6694*1.3</f>
        <v>1805925.428999844</v>
      </c>
      <c r="G6695" s="87"/>
      <c r="J6695" s="87"/>
      <c r="K6695" s="215" t="s">
        <v>3217</v>
      </c>
      <c r="L6695" s="215"/>
      <c r="M6695" s="87"/>
      <c r="N6695" s="87"/>
    </row>
    <row r="6696" spans="1:15" ht="12.75" customHeight="1" x14ac:dyDescent="0.2">
      <c r="A6696" s="398" t="s">
        <v>919</v>
      </c>
      <c r="B6696" s="271"/>
      <c r="C6696" s="271"/>
      <c r="D6696" s="271"/>
      <c r="E6696" s="271"/>
      <c r="F6696" s="271"/>
      <c r="G6696" s="271"/>
      <c r="H6696" s="271"/>
      <c r="I6696" s="271"/>
      <c r="J6696" s="271"/>
      <c r="K6696" s="271"/>
      <c r="L6696" s="271"/>
      <c r="M6696" s="271"/>
      <c r="N6696" s="273"/>
    </row>
    <row r="6697" spans="1:15" ht="12.75" customHeight="1" x14ac:dyDescent="0.2">
      <c r="A6697" s="396" t="s">
        <v>76</v>
      </c>
      <c r="B6697" s="271"/>
      <c r="C6697" s="271"/>
      <c r="D6697" s="271"/>
      <c r="E6697" s="271"/>
      <c r="F6697" s="271"/>
      <c r="G6697" s="273"/>
      <c r="H6697" s="88" t="s">
        <v>77</v>
      </c>
      <c r="I6697" s="399" t="s">
        <v>920</v>
      </c>
      <c r="J6697" s="273"/>
      <c r="K6697" s="399" t="s">
        <v>453</v>
      </c>
      <c r="L6697" s="273"/>
      <c r="M6697" s="399" t="s">
        <v>921</v>
      </c>
      <c r="N6697" s="273"/>
    </row>
    <row r="6698" spans="1:15" ht="12.75" customHeight="1" x14ac:dyDescent="0.2">
      <c r="A6698" s="400" t="s">
        <v>953</v>
      </c>
      <c r="B6698" s="271"/>
      <c r="C6698" s="271"/>
      <c r="D6698" s="271"/>
      <c r="E6698" s="271"/>
      <c r="F6698" s="271"/>
      <c r="G6698" s="273"/>
      <c r="H6698" s="29" t="str">
        <f t="shared" ref="H6698:H6706" si="913">IF(A6698="","",VLOOKUP(A6698,AA_Materiales,7,FALSE))</f>
        <v>Kg</v>
      </c>
      <c r="I6698" s="394">
        <f t="shared" ref="I6698:I6706" si="914">IF(A6698="","",VLOOKUP(A6698,AA_Materiales,8,FALSE))</f>
        <v>800</v>
      </c>
      <c r="J6698" s="273"/>
      <c r="K6698" s="395">
        <v>425</v>
      </c>
      <c r="L6698" s="273"/>
      <c r="M6698" s="394">
        <f t="shared" ref="M6698:M6706" si="915">IF(A6698="","",I6698*K6698)</f>
        <v>340000</v>
      </c>
      <c r="N6698" s="273"/>
    </row>
    <row r="6699" spans="1:15" ht="12.75" customHeight="1" x14ac:dyDescent="0.2">
      <c r="A6699" s="400" t="s">
        <v>954</v>
      </c>
      <c r="B6699" s="271"/>
      <c r="C6699" s="271"/>
      <c r="D6699" s="271"/>
      <c r="E6699" s="271"/>
      <c r="F6699" s="271"/>
      <c r="G6699" s="273"/>
      <c r="H6699" s="29" t="str">
        <f t="shared" si="913"/>
        <v>m3</v>
      </c>
      <c r="I6699" s="394">
        <f t="shared" si="914"/>
        <v>83000</v>
      </c>
      <c r="J6699" s="273"/>
      <c r="K6699" s="395">
        <v>0.57999999999999996</v>
      </c>
      <c r="L6699" s="273"/>
      <c r="M6699" s="394">
        <f t="shared" si="915"/>
        <v>48140</v>
      </c>
      <c r="N6699" s="273"/>
    </row>
    <row r="6700" spans="1:15" ht="12.75" customHeight="1" x14ac:dyDescent="0.2">
      <c r="A6700" s="400" t="s">
        <v>955</v>
      </c>
      <c r="B6700" s="271"/>
      <c r="C6700" s="271"/>
      <c r="D6700" s="271"/>
      <c r="E6700" s="271"/>
      <c r="F6700" s="271"/>
      <c r="G6700" s="273"/>
      <c r="H6700" s="29" t="str">
        <f t="shared" si="913"/>
        <v>m3</v>
      </c>
      <c r="I6700" s="394">
        <f t="shared" si="914"/>
        <v>90000</v>
      </c>
      <c r="J6700" s="273"/>
      <c r="K6700" s="395">
        <v>0.7</v>
      </c>
      <c r="L6700" s="273"/>
      <c r="M6700" s="394">
        <f t="shared" si="915"/>
        <v>62999.999999999993</v>
      </c>
      <c r="N6700" s="273"/>
    </row>
    <row r="6701" spans="1:15" ht="12.75" customHeight="1" x14ac:dyDescent="0.2">
      <c r="A6701" s="400" t="s">
        <v>956</v>
      </c>
      <c r="B6701" s="271"/>
      <c r="C6701" s="271"/>
      <c r="D6701" s="271"/>
      <c r="E6701" s="271"/>
      <c r="F6701" s="271"/>
      <c r="G6701" s="273"/>
      <c r="H6701" s="29" t="str">
        <f t="shared" si="913"/>
        <v>Lt</v>
      </c>
      <c r="I6701" s="394">
        <f t="shared" si="914"/>
        <v>20</v>
      </c>
      <c r="J6701" s="273"/>
      <c r="K6701" s="395">
        <v>200</v>
      </c>
      <c r="L6701" s="273"/>
      <c r="M6701" s="394">
        <f t="shared" si="915"/>
        <v>4000</v>
      </c>
      <c r="N6701" s="273"/>
    </row>
    <row r="6702" spans="1:15" ht="12.75" customHeight="1" x14ac:dyDescent="0.2">
      <c r="A6702" s="400" t="s">
        <v>1164</v>
      </c>
      <c r="B6702" s="271"/>
      <c r="C6702" s="271"/>
      <c r="D6702" s="271"/>
      <c r="E6702" s="271"/>
      <c r="F6702" s="271"/>
      <c r="G6702" s="273"/>
      <c r="H6702" s="29" t="str">
        <f t="shared" si="913"/>
        <v>Kg</v>
      </c>
      <c r="I6702" s="394">
        <f t="shared" si="914"/>
        <v>24422.22</v>
      </c>
      <c r="J6702" s="273"/>
      <c r="K6702" s="395">
        <v>2.13</v>
      </c>
      <c r="L6702" s="273"/>
      <c r="M6702" s="394">
        <f t="shared" si="915"/>
        <v>52019.328600000001</v>
      </c>
      <c r="N6702" s="273"/>
    </row>
    <row r="6703" spans="1:15" ht="12.75" customHeight="1" x14ac:dyDescent="0.2">
      <c r="A6703" s="400" t="s">
        <v>1165</v>
      </c>
      <c r="B6703" s="271"/>
      <c r="C6703" s="271"/>
      <c r="D6703" s="271"/>
      <c r="E6703" s="271"/>
      <c r="F6703" s="271"/>
      <c r="G6703" s="273"/>
      <c r="H6703" s="29" t="str">
        <f t="shared" si="913"/>
        <v>Unidad</v>
      </c>
      <c r="I6703" s="394">
        <f t="shared" si="914"/>
        <v>2400</v>
      </c>
      <c r="J6703" s="273"/>
      <c r="K6703" s="395">
        <v>156</v>
      </c>
      <c r="L6703" s="273"/>
      <c r="M6703" s="394">
        <f t="shared" si="915"/>
        <v>374400</v>
      </c>
      <c r="N6703" s="273"/>
    </row>
    <row r="6704" spans="1:15" ht="12.75" customHeight="1" x14ac:dyDescent="0.2">
      <c r="A6704" s="400" t="s">
        <v>1166</v>
      </c>
      <c r="B6704" s="271"/>
      <c r="C6704" s="271"/>
      <c r="D6704" s="271"/>
      <c r="E6704" s="271"/>
      <c r="F6704" s="271"/>
      <c r="G6704" s="273"/>
      <c r="H6704" s="29" t="str">
        <f t="shared" si="913"/>
        <v>Unidad</v>
      </c>
      <c r="I6704" s="394">
        <f t="shared" si="914"/>
        <v>8000</v>
      </c>
      <c r="J6704" s="273"/>
      <c r="K6704" s="395">
        <v>12</v>
      </c>
      <c r="L6704" s="273"/>
      <c r="M6704" s="394">
        <f t="shared" si="915"/>
        <v>96000</v>
      </c>
      <c r="N6704" s="273"/>
    </row>
    <row r="6705" spans="1:14" ht="12.75" customHeight="1" x14ac:dyDescent="0.2">
      <c r="A6705" s="400" t="s">
        <v>947</v>
      </c>
      <c r="B6705" s="271"/>
      <c r="C6705" s="271"/>
      <c r="D6705" s="271"/>
      <c r="E6705" s="271"/>
      <c r="F6705" s="271"/>
      <c r="G6705" s="273"/>
      <c r="H6705" s="29" t="str">
        <f t="shared" si="913"/>
        <v>LB</v>
      </c>
      <c r="I6705" s="394">
        <f t="shared" si="914"/>
        <v>5500</v>
      </c>
      <c r="J6705" s="273"/>
      <c r="K6705" s="395">
        <v>5</v>
      </c>
      <c r="L6705" s="273"/>
      <c r="M6705" s="394">
        <f t="shared" si="915"/>
        <v>27500</v>
      </c>
      <c r="N6705" s="273"/>
    </row>
    <row r="6706" spans="1:14" ht="12.75" customHeight="1" x14ac:dyDescent="0.2">
      <c r="A6706" s="400"/>
      <c r="B6706" s="271"/>
      <c r="C6706" s="271"/>
      <c r="D6706" s="271"/>
      <c r="E6706" s="271"/>
      <c r="F6706" s="271"/>
      <c r="G6706" s="273"/>
      <c r="H6706" s="29" t="str">
        <f t="shared" si="913"/>
        <v/>
      </c>
      <c r="I6706" s="394" t="str">
        <f t="shared" si="914"/>
        <v/>
      </c>
      <c r="J6706" s="273"/>
      <c r="K6706" s="395"/>
      <c r="L6706" s="273"/>
      <c r="M6706" s="394" t="str">
        <f t="shared" si="915"/>
        <v/>
      </c>
      <c r="N6706" s="273"/>
    </row>
    <row r="6707" spans="1:14" ht="12.75" customHeight="1" x14ac:dyDescent="0.25">
      <c r="A6707" s="4"/>
      <c r="B6707" s="4"/>
      <c r="C6707" s="4"/>
      <c r="D6707" s="4"/>
      <c r="E6707" s="4"/>
      <c r="F6707" s="4"/>
      <c r="G6707" s="4"/>
      <c r="H6707" s="4"/>
      <c r="I6707" s="4"/>
      <c r="J6707" s="4"/>
      <c r="K6707" s="396" t="s">
        <v>444</v>
      </c>
      <c r="L6707" s="273"/>
      <c r="M6707" s="394">
        <f>SUM(M6698:N6706)</f>
        <v>1005059.3286</v>
      </c>
      <c r="N6707" s="273"/>
    </row>
    <row r="6708" spans="1:14" ht="12.75" customHeight="1" x14ac:dyDescent="0.25">
      <c r="A6708" s="4"/>
      <c r="B6708" s="4"/>
      <c r="C6708" s="4"/>
      <c r="D6708" s="4"/>
      <c r="E6708" s="4"/>
      <c r="F6708" s="4"/>
      <c r="G6708" s="4"/>
      <c r="H6708" s="4"/>
      <c r="I6708" s="4"/>
      <c r="J6708" s="4"/>
      <c r="K6708" s="4"/>
      <c r="L6708" s="4"/>
      <c r="M6708" s="4"/>
      <c r="N6708" s="4"/>
    </row>
    <row r="6709" spans="1:14" ht="12.75" customHeight="1" x14ac:dyDescent="0.2">
      <c r="A6709" s="398" t="s">
        <v>926</v>
      </c>
      <c r="B6709" s="271"/>
      <c r="C6709" s="271"/>
      <c r="D6709" s="271"/>
      <c r="E6709" s="271"/>
      <c r="F6709" s="271"/>
      <c r="G6709" s="271"/>
      <c r="H6709" s="271"/>
      <c r="I6709" s="271"/>
      <c r="J6709" s="271"/>
      <c r="K6709" s="271"/>
      <c r="L6709" s="271"/>
      <c r="M6709" s="271"/>
      <c r="N6709" s="273"/>
    </row>
    <row r="6710" spans="1:14" ht="12.75" customHeight="1" x14ac:dyDescent="0.2">
      <c r="A6710" s="396" t="s">
        <v>76</v>
      </c>
      <c r="B6710" s="271"/>
      <c r="C6710" s="271"/>
      <c r="D6710" s="271"/>
      <c r="E6710" s="271"/>
      <c r="F6710" s="271"/>
      <c r="G6710" s="273"/>
      <c r="H6710" s="88" t="s">
        <v>77</v>
      </c>
      <c r="I6710" s="399" t="s">
        <v>920</v>
      </c>
      <c r="J6710" s="273"/>
      <c r="K6710" s="399" t="s">
        <v>453</v>
      </c>
      <c r="L6710" s="273"/>
      <c r="M6710" s="399" t="s">
        <v>921</v>
      </c>
      <c r="N6710" s="273"/>
    </row>
    <row r="6711" spans="1:14" ht="12.75" customHeight="1" x14ac:dyDescent="0.2">
      <c r="A6711" s="400" t="s">
        <v>927</v>
      </c>
      <c r="B6711" s="271"/>
      <c r="C6711" s="271"/>
      <c r="D6711" s="271"/>
      <c r="E6711" s="271"/>
      <c r="F6711" s="271"/>
      <c r="G6711" s="273"/>
      <c r="H6711" s="29" t="str">
        <f>IF(A6711="","",VLOOKUP(A6711,AA_Equipos,7,FALSE))</f>
        <v>% M.O.</v>
      </c>
      <c r="I6711" s="394">
        <f>M6734</f>
        <v>186529.37</v>
      </c>
      <c r="J6711" s="273"/>
      <c r="K6711" s="395">
        <v>0.05</v>
      </c>
      <c r="L6711" s="273"/>
      <c r="M6711" s="394">
        <f t="shared" ref="M6711:M6715" si="916">IF(A6711="","",I6711*K6711)</f>
        <v>9326.4685000000009</v>
      </c>
      <c r="N6711" s="273"/>
    </row>
    <row r="6712" spans="1:14" ht="12.75" customHeight="1" x14ac:dyDescent="0.2">
      <c r="A6712" s="403" t="s">
        <v>957</v>
      </c>
      <c r="B6712" s="271"/>
      <c r="C6712" s="271"/>
      <c r="D6712" s="271"/>
      <c r="E6712" s="271"/>
      <c r="F6712" s="271"/>
      <c r="G6712" s="273"/>
      <c r="H6712" s="29" t="str">
        <f>IF(A6712="","",VLOOKUP(A6712,AA_Equipos,7,FALSE))</f>
        <v>Dia</v>
      </c>
      <c r="I6712" s="394">
        <f>IF(A6712="","",VLOOKUP(A6712,AA_Equipos,8,FALSE))</f>
        <v>107071</v>
      </c>
      <c r="J6712" s="273"/>
      <c r="K6712" s="402">
        <v>0.22</v>
      </c>
      <c r="L6712" s="273"/>
      <c r="M6712" s="394">
        <f t="shared" si="916"/>
        <v>23555.62</v>
      </c>
      <c r="N6712" s="273"/>
    </row>
    <row r="6713" spans="1:14" ht="12.75" customHeight="1" x14ac:dyDescent="0.2">
      <c r="A6713" s="400" t="s">
        <v>964</v>
      </c>
      <c r="B6713" s="271"/>
      <c r="C6713" s="271"/>
      <c r="D6713" s="271"/>
      <c r="E6713" s="271"/>
      <c r="F6713" s="271"/>
      <c r="G6713" s="273"/>
      <c r="H6713" s="29" t="str">
        <f>IF(A6713="","",VLOOKUP(A6713,AA_Equipos,7,FALSE))</f>
        <v>Dia</v>
      </c>
      <c r="I6713" s="394">
        <f>IF(A6713="","",VLOOKUP(A6713,AA_Equipos,8,FALSE))</f>
        <v>71766</v>
      </c>
      <c r="J6713" s="273"/>
      <c r="K6713" s="395">
        <v>0.22</v>
      </c>
      <c r="L6713" s="273"/>
      <c r="M6713" s="394">
        <f t="shared" si="916"/>
        <v>15788.52</v>
      </c>
      <c r="N6713" s="273"/>
    </row>
    <row r="6714" spans="1:14" ht="12.75" customHeight="1" x14ac:dyDescent="0.2">
      <c r="A6714" s="400"/>
      <c r="B6714" s="271"/>
      <c r="C6714" s="271"/>
      <c r="D6714" s="271"/>
      <c r="E6714" s="271"/>
      <c r="F6714" s="271"/>
      <c r="G6714" s="273"/>
      <c r="H6714" s="29" t="str">
        <f>IF(A6714="","",VLOOKUP(A6714,AA_Equipos,7,FALSE))</f>
        <v/>
      </c>
      <c r="I6714" s="394" t="str">
        <f>IF(A6714="","",VLOOKUP(A6714,AA_Equipos,8,FALSE))</f>
        <v/>
      </c>
      <c r="J6714" s="273"/>
      <c r="K6714" s="395"/>
      <c r="L6714" s="273"/>
      <c r="M6714" s="394" t="str">
        <f t="shared" si="916"/>
        <v/>
      </c>
      <c r="N6714" s="273"/>
    </row>
    <row r="6715" spans="1:14" ht="12.75" customHeight="1" x14ac:dyDescent="0.2">
      <c r="A6715" s="400"/>
      <c r="B6715" s="271"/>
      <c r="C6715" s="271"/>
      <c r="D6715" s="271"/>
      <c r="E6715" s="271"/>
      <c r="F6715" s="271"/>
      <c r="G6715" s="273"/>
      <c r="H6715" s="29" t="str">
        <f>IF(A6715="","",VLOOKUP(A6715,AA_Equipos,7,FALSE))</f>
        <v/>
      </c>
      <c r="I6715" s="394" t="str">
        <f>IF(A6715="","",VLOOKUP(A6715,AA_Equipos,8,FALSE))</f>
        <v/>
      </c>
      <c r="J6715" s="273"/>
      <c r="K6715" s="395"/>
      <c r="L6715" s="273"/>
      <c r="M6715" s="394" t="str">
        <f t="shared" si="916"/>
        <v/>
      </c>
      <c r="N6715" s="273"/>
    </row>
    <row r="6716" spans="1:14" ht="12.75" customHeight="1" x14ac:dyDescent="0.25">
      <c r="A6716" s="4"/>
      <c r="B6716" s="4"/>
      <c r="C6716" s="4"/>
      <c r="D6716" s="4"/>
      <c r="E6716" s="4"/>
      <c r="F6716" s="4"/>
      <c r="G6716" s="4"/>
      <c r="H6716" s="4"/>
      <c r="I6716" s="4"/>
      <c r="J6716" s="4"/>
      <c r="K6716" s="396" t="s">
        <v>444</v>
      </c>
      <c r="L6716" s="273"/>
      <c r="M6716" s="394">
        <f>SUM(M6711:N6715)</f>
        <v>48670.608500000002</v>
      </c>
      <c r="N6716" s="273"/>
    </row>
    <row r="6717" spans="1:14" ht="12.75" customHeight="1" x14ac:dyDescent="0.25">
      <c r="A6717" s="4"/>
      <c r="B6717" s="4"/>
      <c r="C6717" s="4"/>
      <c r="D6717" s="4"/>
      <c r="E6717" s="4"/>
      <c r="F6717" s="4"/>
      <c r="G6717" s="4"/>
      <c r="H6717" s="4"/>
      <c r="I6717" s="4"/>
      <c r="J6717" s="4"/>
      <c r="K6717" s="4"/>
      <c r="L6717" s="4"/>
      <c r="M6717" s="4"/>
      <c r="N6717" s="4"/>
    </row>
    <row r="6718" spans="1:14" ht="12.75" customHeight="1" x14ac:dyDescent="0.2">
      <c r="A6718" s="398" t="s">
        <v>929</v>
      </c>
      <c r="B6718" s="271"/>
      <c r="C6718" s="271"/>
      <c r="D6718" s="271"/>
      <c r="E6718" s="271"/>
      <c r="F6718" s="271"/>
      <c r="G6718" s="271"/>
      <c r="H6718" s="271"/>
      <c r="I6718" s="271"/>
      <c r="J6718" s="271"/>
      <c r="K6718" s="271"/>
      <c r="L6718" s="271"/>
      <c r="M6718" s="271"/>
      <c r="N6718" s="273"/>
    </row>
    <row r="6719" spans="1:14" ht="12.75" customHeight="1" x14ac:dyDescent="0.2">
      <c r="A6719" s="396" t="s">
        <v>76</v>
      </c>
      <c r="B6719" s="271"/>
      <c r="C6719" s="271"/>
      <c r="D6719" s="271"/>
      <c r="E6719" s="271"/>
      <c r="F6719" s="271"/>
      <c r="G6719" s="273"/>
      <c r="H6719" s="88" t="s">
        <v>77</v>
      </c>
      <c r="I6719" s="399" t="s">
        <v>920</v>
      </c>
      <c r="J6719" s="273"/>
      <c r="K6719" s="399" t="s">
        <v>453</v>
      </c>
      <c r="L6719" s="273"/>
      <c r="M6719" s="399" t="s">
        <v>921</v>
      </c>
      <c r="N6719" s="273"/>
    </row>
    <row r="6720" spans="1:14" ht="12.75" customHeight="1" x14ac:dyDescent="0.2">
      <c r="A6720" s="400" t="s">
        <v>965</v>
      </c>
      <c r="B6720" s="271"/>
      <c r="C6720" s="271"/>
      <c r="D6720" s="271"/>
      <c r="E6720" s="271"/>
      <c r="F6720" s="271"/>
      <c r="G6720" s="273"/>
      <c r="H6720" s="29" t="s">
        <v>959</v>
      </c>
      <c r="I6720" s="394">
        <f>+M6716</f>
        <v>48670.608500000002</v>
      </c>
      <c r="J6720" s="273"/>
      <c r="K6720" s="404">
        <v>0.05</v>
      </c>
      <c r="L6720" s="273"/>
      <c r="M6720" s="394">
        <f t="shared" ref="M6720:M6724" si="917">IF(A6720="","",I6720*K6720)</f>
        <v>2433.5304250000004</v>
      </c>
      <c r="N6720" s="273"/>
    </row>
    <row r="6721" spans="1:15" ht="12.75" customHeight="1" x14ac:dyDescent="0.2">
      <c r="A6721" s="403" t="s">
        <v>3172</v>
      </c>
      <c r="B6721" s="271"/>
      <c r="C6721" s="271"/>
      <c r="D6721" s="271"/>
      <c r="E6721" s="271"/>
      <c r="F6721" s="271"/>
      <c r="G6721" s="273"/>
      <c r="H6721" s="29" t="s">
        <v>967</v>
      </c>
      <c r="I6721" s="394">
        <f>+'precios '!$J$222</f>
        <v>2077.2367952644231</v>
      </c>
      <c r="J6721" s="273"/>
      <c r="K6721" s="417">
        <f>+Indice!L21</f>
        <v>49</v>
      </c>
      <c r="L6721" s="273"/>
      <c r="M6721" s="394">
        <f t="shared" si="917"/>
        <v>101784.60296795673</v>
      </c>
      <c r="N6721" s="273"/>
    </row>
    <row r="6722" spans="1:15" ht="12.75" customHeight="1" x14ac:dyDescent="0.2">
      <c r="A6722" s="400" t="s">
        <v>3173</v>
      </c>
      <c r="B6722" s="271"/>
      <c r="C6722" s="271"/>
      <c r="D6722" s="271"/>
      <c r="E6722" s="271"/>
      <c r="F6722" s="271"/>
      <c r="G6722" s="273"/>
      <c r="H6722" s="29" t="s">
        <v>24</v>
      </c>
      <c r="I6722" s="394">
        <f>+M6707-M6699-M6700</f>
        <v>893919.32860000001</v>
      </c>
      <c r="J6722" s="273"/>
      <c r="K6722" s="404">
        <v>0.05</v>
      </c>
      <c r="L6722" s="273"/>
      <c r="M6722" s="394">
        <f t="shared" si="917"/>
        <v>44695.96643</v>
      </c>
      <c r="N6722" s="273"/>
    </row>
    <row r="6723" spans="1:15" ht="12.75" customHeight="1" x14ac:dyDescent="0.2">
      <c r="A6723" s="400"/>
      <c r="B6723" s="271"/>
      <c r="C6723" s="271"/>
      <c r="D6723" s="271"/>
      <c r="E6723" s="271"/>
      <c r="F6723" s="271"/>
      <c r="G6723" s="273"/>
      <c r="H6723" s="29"/>
      <c r="I6723" s="394"/>
      <c r="J6723" s="273"/>
      <c r="K6723" s="395"/>
      <c r="L6723" s="273"/>
      <c r="M6723" s="394" t="str">
        <f t="shared" si="917"/>
        <v/>
      </c>
      <c r="N6723" s="273"/>
    </row>
    <row r="6724" spans="1:15" ht="12.75" customHeight="1" x14ac:dyDescent="0.2">
      <c r="A6724" s="400"/>
      <c r="B6724" s="271"/>
      <c r="C6724" s="271"/>
      <c r="D6724" s="271"/>
      <c r="E6724" s="271"/>
      <c r="F6724" s="271"/>
      <c r="G6724" s="273"/>
      <c r="H6724" s="29"/>
      <c r="I6724" s="394"/>
      <c r="J6724" s="273"/>
      <c r="K6724" s="395"/>
      <c r="L6724" s="273"/>
      <c r="M6724" s="394" t="str">
        <f t="shared" si="917"/>
        <v/>
      </c>
      <c r="N6724" s="273"/>
    </row>
    <row r="6725" spans="1:15" ht="12.75" customHeight="1" x14ac:dyDescent="0.25">
      <c r="A6725" s="4"/>
      <c r="B6725" s="4"/>
      <c r="C6725" s="4"/>
      <c r="D6725" s="4"/>
      <c r="E6725" s="4"/>
      <c r="F6725" s="4"/>
      <c r="G6725" s="4"/>
      <c r="H6725" s="4"/>
      <c r="I6725" s="4"/>
      <c r="J6725" s="4"/>
      <c r="K6725" s="396" t="s">
        <v>444</v>
      </c>
      <c r="L6725" s="273"/>
      <c r="M6725" s="394">
        <f>SUM(M6720:N6724)</f>
        <v>148914.09982295672</v>
      </c>
      <c r="N6725" s="273"/>
    </row>
    <row r="6726" spans="1:15" ht="12.75" customHeight="1" x14ac:dyDescent="0.25">
      <c r="A6726" s="4"/>
      <c r="B6726" s="4"/>
      <c r="C6726" s="4"/>
      <c r="D6726" s="4"/>
      <c r="E6726" s="4"/>
      <c r="F6726" s="4"/>
      <c r="G6726" s="4"/>
      <c r="H6726" s="4"/>
      <c r="I6726" s="4"/>
      <c r="J6726" s="4"/>
      <c r="K6726" s="4"/>
      <c r="L6726" s="4"/>
      <c r="M6726" s="4"/>
      <c r="N6726" s="4"/>
    </row>
    <row r="6727" spans="1:15" ht="12.75" customHeight="1" x14ac:dyDescent="0.2">
      <c r="A6727" s="398" t="s">
        <v>931</v>
      </c>
      <c r="B6727" s="271"/>
      <c r="C6727" s="271"/>
      <c r="D6727" s="271"/>
      <c r="E6727" s="271"/>
      <c r="F6727" s="271"/>
      <c r="G6727" s="271"/>
      <c r="H6727" s="271"/>
      <c r="I6727" s="271"/>
      <c r="J6727" s="271"/>
      <c r="K6727" s="271"/>
      <c r="L6727" s="271"/>
      <c r="M6727" s="271"/>
      <c r="N6727" s="273"/>
    </row>
    <row r="6728" spans="1:15" ht="12.75" customHeight="1" x14ac:dyDescent="0.2">
      <c r="A6728" s="396" t="s">
        <v>76</v>
      </c>
      <c r="B6728" s="271"/>
      <c r="C6728" s="271"/>
      <c r="D6728" s="271"/>
      <c r="E6728" s="271"/>
      <c r="F6728" s="271"/>
      <c r="G6728" s="273"/>
      <c r="H6728" s="88" t="s">
        <v>77</v>
      </c>
      <c r="I6728" s="399" t="s">
        <v>920</v>
      </c>
      <c r="J6728" s="273"/>
      <c r="K6728" s="90" t="s">
        <v>514</v>
      </c>
      <c r="L6728" s="91" t="s">
        <v>932</v>
      </c>
      <c r="M6728" s="399" t="s">
        <v>921</v>
      </c>
      <c r="N6728" s="273"/>
    </row>
    <row r="6729" spans="1:15" ht="12.75" customHeight="1" x14ac:dyDescent="0.25">
      <c r="A6729" s="393" t="s">
        <v>962</v>
      </c>
      <c r="B6729" s="271"/>
      <c r="C6729" s="271"/>
      <c r="D6729" s="271"/>
      <c r="E6729" s="271"/>
      <c r="F6729" s="271"/>
      <c r="G6729" s="273"/>
      <c r="H6729" s="29" t="str">
        <f>IF(A6729="","",VLOOKUP(A6729,AA_Cuadrillas,4,FALSE))</f>
        <v>Cuadrilla</v>
      </c>
      <c r="I6729" s="394">
        <f>IF(A6729="","",VLOOKUP(A6729,AA_Cuadrillas,5,FALSE))</f>
        <v>396871</v>
      </c>
      <c r="J6729" s="273"/>
      <c r="K6729" s="9">
        <f>IF(A6729="","",F.P!$I$2)</f>
        <v>1.88</v>
      </c>
      <c r="L6729" s="93">
        <v>0.25</v>
      </c>
      <c r="M6729" s="394">
        <f t="shared" ref="M6729:M6733" si="918">IF(A6729="","",I6729*K6729*L6729)</f>
        <v>186529.37</v>
      </c>
      <c r="N6729" s="273"/>
    </row>
    <row r="6730" spans="1:15" ht="12.75" customHeight="1" x14ac:dyDescent="0.25">
      <c r="A6730" s="393"/>
      <c r="B6730" s="271"/>
      <c r="C6730" s="271"/>
      <c r="D6730" s="271"/>
      <c r="E6730" s="271"/>
      <c r="F6730" s="271"/>
      <c r="G6730" s="273"/>
      <c r="H6730" s="29" t="str">
        <f>IF(A6730="","",VLOOKUP(A6730,AA_Cuadrillas,4,FALSE))</f>
        <v/>
      </c>
      <c r="I6730" s="394" t="str">
        <f>IF(A6730="","",VLOOKUP(A6730,AA_Cuadrillas,5,FALSE))</f>
        <v/>
      </c>
      <c r="J6730" s="273"/>
      <c r="K6730" s="9" t="str">
        <f>IF(A6730="","",F.P!$I$2)</f>
        <v/>
      </c>
      <c r="L6730" s="9"/>
      <c r="M6730" s="394" t="str">
        <f t="shared" si="918"/>
        <v/>
      </c>
      <c r="N6730" s="273"/>
    </row>
    <row r="6731" spans="1:15" ht="12.75" customHeight="1" x14ac:dyDescent="0.25">
      <c r="A6731" s="393"/>
      <c r="B6731" s="271"/>
      <c r="C6731" s="271"/>
      <c r="D6731" s="271"/>
      <c r="E6731" s="271"/>
      <c r="F6731" s="271"/>
      <c r="G6731" s="273"/>
      <c r="H6731" s="29" t="str">
        <f>IF(A6731="","",VLOOKUP(A6731,AA_Cuadrillas,4,FALSE))</f>
        <v/>
      </c>
      <c r="I6731" s="394" t="str">
        <f>IF(A6731="","",VLOOKUP(A6731,AA_Cuadrillas,5,FALSE))</f>
        <v/>
      </c>
      <c r="J6731" s="273"/>
      <c r="K6731" s="9" t="str">
        <f>IF(A6731="","",F.P!$I$2)</f>
        <v/>
      </c>
      <c r="L6731" s="37"/>
      <c r="M6731" s="394" t="str">
        <f t="shared" si="918"/>
        <v/>
      </c>
      <c r="N6731" s="273"/>
    </row>
    <row r="6732" spans="1:15" ht="12.75" customHeight="1" x14ac:dyDescent="0.25">
      <c r="A6732" s="393"/>
      <c r="B6732" s="271"/>
      <c r="C6732" s="271"/>
      <c r="D6732" s="271"/>
      <c r="E6732" s="271"/>
      <c r="F6732" s="271"/>
      <c r="G6732" s="273"/>
      <c r="H6732" s="29" t="str">
        <f>IF(A6732="","",VLOOKUP(A6732,AA_Cuadrillas,4,FALSE))</f>
        <v/>
      </c>
      <c r="I6732" s="394" t="str">
        <f>IF(A6732="","",VLOOKUP(A6732,AA_Cuadrillas,5,FALSE))</f>
        <v/>
      </c>
      <c r="J6732" s="273"/>
      <c r="K6732" s="9" t="str">
        <f>IF(A6732="","",F.P!$I$2)</f>
        <v/>
      </c>
      <c r="L6732" s="37"/>
      <c r="M6732" s="394" t="str">
        <f t="shared" si="918"/>
        <v/>
      </c>
      <c r="N6732" s="273"/>
    </row>
    <row r="6733" spans="1:15" ht="12.75" customHeight="1" x14ac:dyDescent="0.25">
      <c r="A6733" s="393"/>
      <c r="B6733" s="271"/>
      <c r="C6733" s="271"/>
      <c r="D6733" s="271"/>
      <c r="E6733" s="271"/>
      <c r="F6733" s="271"/>
      <c r="G6733" s="273"/>
      <c r="H6733" s="29" t="str">
        <f>IF(A6733="","",VLOOKUP(A6733,AA_Cuadrillas,4,FALSE))</f>
        <v/>
      </c>
      <c r="I6733" s="394" t="str">
        <f>IF(A6733="","",VLOOKUP(A6733,AA_Cuadrillas,5,FALSE))</f>
        <v/>
      </c>
      <c r="J6733" s="273"/>
      <c r="K6733" s="9" t="str">
        <f>IF(A6733="","",F.P!$I$2)</f>
        <v/>
      </c>
      <c r="L6733" s="37"/>
      <c r="M6733" s="394" t="str">
        <f t="shared" si="918"/>
        <v/>
      </c>
      <c r="N6733" s="273"/>
    </row>
    <row r="6734" spans="1:15" ht="12.75" customHeight="1" x14ac:dyDescent="0.25">
      <c r="A6734" s="4"/>
      <c r="B6734" s="4"/>
      <c r="C6734" s="4"/>
      <c r="D6734" s="4"/>
      <c r="E6734" s="4"/>
      <c r="F6734" s="4"/>
      <c r="G6734" s="4"/>
      <c r="H6734" s="4"/>
      <c r="I6734" s="4"/>
      <c r="J6734" s="4"/>
      <c r="K6734" s="396" t="s">
        <v>444</v>
      </c>
      <c r="L6734" s="273"/>
      <c r="M6734" s="394">
        <f>SUM(M6729:N6733)</f>
        <v>186529.37</v>
      </c>
      <c r="N6734" s="273"/>
    </row>
    <row r="6735" spans="1:15" ht="12.75" customHeight="1" x14ac:dyDescent="0.2"/>
    <row r="6736" spans="1:15" ht="12.75" customHeight="1" x14ac:dyDescent="0.2">
      <c r="A6736" s="407" t="s">
        <v>254</v>
      </c>
      <c r="B6736" s="275"/>
      <c r="C6736" s="275"/>
      <c r="D6736" s="275"/>
      <c r="E6736" s="275"/>
      <c r="F6736" s="275"/>
      <c r="G6736" s="275"/>
      <c r="H6736" s="275"/>
      <c r="I6736" s="275"/>
      <c r="J6736" s="275"/>
      <c r="K6736" s="275"/>
      <c r="L6736" s="275"/>
      <c r="M6736" s="275"/>
      <c r="N6736" s="276"/>
      <c r="O6736" s="166"/>
    </row>
    <row r="6737" spans="1:15" ht="12.75" customHeight="1" x14ac:dyDescent="0.2">
      <c r="A6737" s="277"/>
      <c r="B6737" s="278"/>
      <c r="C6737" s="278"/>
      <c r="D6737" s="278"/>
      <c r="E6737" s="278"/>
      <c r="F6737" s="278"/>
      <c r="G6737" s="278"/>
      <c r="H6737" s="278"/>
      <c r="I6737" s="278"/>
      <c r="J6737" s="278"/>
      <c r="K6737" s="278"/>
      <c r="L6737" s="278"/>
      <c r="M6737" s="278"/>
      <c r="N6737" s="279"/>
      <c r="O6737" s="166"/>
    </row>
    <row r="6738" spans="1:15" ht="12.75" customHeight="1" x14ac:dyDescent="0.2">
      <c r="A6738" s="75"/>
      <c r="B6738" s="75"/>
      <c r="C6738" s="75"/>
      <c r="D6738" s="75"/>
      <c r="E6738" s="75"/>
      <c r="F6738" s="75"/>
      <c r="G6738" s="75"/>
      <c r="H6738" s="75"/>
      <c r="I6738" s="75"/>
      <c r="J6738" s="75"/>
      <c r="K6738" s="75"/>
      <c r="L6738" s="75"/>
      <c r="M6738" s="75"/>
      <c r="N6738" s="75"/>
    </row>
    <row r="6739" spans="1:15" ht="12.75" customHeight="1" x14ac:dyDescent="0.3">
      <c r="A6739" s="79" t="s">
        <v>769</v>
      </c>
      <c r="B6739" s="80" t="str">
        <f>A6736</f>
        <v>CONCRETO PARA MUROS DE 4000 PSI IMPERMEABILIZADO A TODO COSTO (280 KG/CM2)</v>
      </c>
      <c r="C6739" s="81" t="s">
        <v>916</v>
      </c>
      <c r="D6739" s="82" t="s">
        <v>258</v>
      </c>
      <c r="E6739" s="83" t="s">
        <v>445</v>
      </c>
      <c r="F6739" s="240">
        <f>H6739+J6739+L6739+N6739</f>
        <v>1917601.7724229568</v>
      </c>
      <c r="G6739" s="83" t="s">
        <v>607</v>
      </c>
      <c r="H6739" s="86">
        <f>M6761</f>
        <v>54035.718500000003</v>
      </c>
      <c r="I6739" s="83" t="s">
        <v>918</v>
      </c>
      <c r="J6739" s="86">
        <f>M6752</f>
        <v>1502959.3286000001</v>
      </c>
      <c r="K6739" s="83" t="s">
        <v>609</v>
      </c>
      <c r="L6739" s="86">
        <f>M6770</f>
        <v>174077.35532295675</v>
      </c>
      <c r="M6739" s="83" t="s">
        <v>610</v>
      </c>
      <c r="N6739" s="86">
        <f>M6779</f>
        <v>186529.37</v>
      </c>
    </row>
    <row r="6740" spans="1:15" ht="12.75" customHeight="1" x14ac:dyDescent="0.25">
      <c r="A6740" s="87"/>
      <c r="B6740" s="87"/>
      <c r="C6740" s="87"/>
      <c r="D6740" s="87"/>
      <c r="E6740" s="87"/>
      <c r="F6740" s="87"/>
      <c r="G6740" s="87"/>
      <c r="J6740" s="87"/>
      <c r="K6740" s="215" t="s">
        <v>3217</v>
      </c>
      <c r="L6740" s="215">
        <f>+F6739*presup!$O$5</f>
        <v>2492882.3041498438</v>
      </c>
      <c r="M6740" s="87"/>
      <c r="N6740" s="87"/>
    </row>
    <row r="6741" spans="1:15" ht="12.75" customHeight="1" x14ac:dyDescent="0.2">
      <c r="A6741" s="398" t="s">
        <v>919</v>
      </c>
      <c r="B6741" s="271"/>
      <c r="C6741" s="271"/>
      <c r="D6741" s="271"/>
      <c r="E6741" s="271"/>
      <c r="F6741" s="271"/>
      <c r="G6741" s="271"/>
      <c r="H6741" s="271"/>
      <c r="I6741" s="271"/>
      <c r="J6741" s="271"/>
      <c r="K6741" s="271"/>
      <c r="L6741" s="271"/>
      <c r="M6741" s="271"/>
      <c r="N6741" s="273"/>
    </row>
    <row r="6742" spans="1:15" ht="12.75" customHeight="1" x14ac:dyDescent="0.2">
      <c r="A6742" s="396" t="s">
        <v>76</v>
      </c>
      <c r="B6742" s="271"/>
      <c r="C6742" s="271"/>
      <c r="D6742" s="271"/>
      <c r="E6742" s="271"/>
      <c r="F6742" s="271"/>
      <c r="G6742" s="273"/>
      <c r="H6742" s="88" t="s">
        <v>77</v>
      </c>
      <c r="I6742" s="399" t="s">
        <v>920</v>
      </c>
      <c r="J6742" s="273"/>
      <c r="K6742" s="399" t="s">
        <v>453</v>
      </c>
      <c r="L6742" s="273"/>
      <c r="M6742" s="399" t="s">
        <v>921</v>
      </c>
      <c r="N6742" s="273"/>
    </row>
    <row r="6743" spans="1:15" ht="12.75" customHeight="1" x14ac:dyDescent="0.2">
      <c r="A6743" s="400" t="s">
        <v>953</v>
      </c>
      <c r="B6743" s="271"/>
      <c r="C6743" s="271"/>
      <c r="D6743" s="271"/>
      <c r="E6743" s="271"/>
      <c r="F6743" s="271"/>
      <c r="G6743" s="273"/>
      <c r="H6743" s="29" t="str">
        <f t="shared" ref="H6743:H6751" si="919">IF(A6743="","",VLOOKUP(A6743,AA_Materiales,7,FALSE))</f>
        <v>Kg</v>
      </c>
      <c r="I6743" s="394">
        <f t="shared" ref="I6743:I6751" si="920">IF(A6743="","",VLOOKUP(A6743,AA_Materiales,8,FALSE))</f>
        <v>800</v>
      </c>
      <c r="J6743" s="273"/>
      <c r="K6743" s="395">
        <v>425</v>
      </c>
      <c r="L6743" s="273"/>
      <c r="M6743" s="394">
        <f t="shared" ref="M6743:M6751" si="921">IF(A6743="","",I6743*K6743)</f>
        <v>340000</v>
      </c>
      <c r="N6743" s="273"/>
    </row>
    <row r="6744" spans="1:15" ht="12.75" customHeight="1" x14ac:dyDescent="0.2">
      <c r="A6744" s="400" t="s">
        <v>954</v>
      </c>
      <c r="B6744" s="271"/>
      <c r="C6744" s="271"/>
      <c r="D6744" s="271"/>
      <c r="E6744" s="271"/>
      <c r="F6744" s="271"/>
      <c r="G6744" s="273"/>
      <c r="H6744" s="29" t="str">
        <f t="shared" si="919"/>
        <v>m3</v>
      </c>
      <c r="I6744" s="394">
        <f t="shared" si="920"/>
        <v>83000</v>
      </c>
      <c r="J6744" s="273"/>
      <c r="K6744" s="395">
        <v>0.57999999999999996</v>
      </c>
      <c r="L6744" s="273"/>
      <c r="M6744" s="394">
        <f t="shared" si="921"/>
        <v>48140</v>
      </c>
      <c r="N6744" s="273"/>
    </row>
    <row r="6745" spans="1:15" ht="12.75" customHeight="1" x14ac:dyDescent="0.2">
      <c r="A6745" s="400" t="s">
        <v>955</v>
      </c>
      <c r="B6745" s="271"/>
      <c r="C6745" s="271"/>
      <c r="D6745" s="271"/>
      <c r="E6745" s="271"/>
      <c r="F6745" s="271"/>
      <c r="G6745" s="273"/>
      <c r="H6745" s="29" t="str">
        <f t="shared" si="919"/>
        <v>m3</v>
      </c>
      <c r="I6745" s="394">
        <f t="shared" si="920"/>
        <v>90000</v>
      </c>
      <c r="J6745" s="273"/>
      <c r="K6745" s="395">
        <v>0.7</v>
      </c>
      <c r="L6745" s="273"/>
      <c r="M6745" s="394">
        <f t="shared" si="921"/>
        <v>62999.999999999993</v>
      </c>
      <c r="N6745" s="273"/>
    </row>
    <row r="6746" spans="1:15" ht="12.75" customHeight="1" x14ac:dyDescent="0.2">
      <c r="A6746" s="400" t="s">
        <v>956</v>
      </c>
      <c r="B6746" s="271"/>
      <c r="C6746" s="271"/>
      <c r="D6746" s="271"/>
      <c r="E6746" s="271"/>
      <c r="F6746" s="271"/>
      <c r="G6746" s="273"/>
      <c r="H6746" s="29" t="str">
        <f t="shared" si="919"/>
        <v>Lt</v>
      </c>
      <c r="I6746" s="394">
        <f t="shared" si="920"/>
        <v>20</v>
      </c>
      <c r="J6746" s="273"/>
      <c r="K6746" s="395">
        <v>200</v>
      </c>
      <c r="L6746" s="273"/>
      <c r="M6746" s="394">
        <f t="shared" si="921"/>
        <v>4000</v>
      </c>
      <c r="N6746" s="273"/>
    </row>
    <row r="6747" spans="1:15" ht="12.75" customHeight="1" x14ac:dyDescent="0.2">
      <c r="A6747" s="400" t="s">
        <v>1164</v>
      </c>
      <c r="B6747" s="271"/>
      <c r="C6747" s="271"/>
      <c r="D6747" s="271"/>
      <c r="E6747" s="271"/>
      <c r="F6747" s="271"/>
      <c r="G6747" s="273"/>
      <c r="H6747" s="29" t="str">
        <f t="shared" si="919"/>
        <v>Kg</v>
      </c>
      <c r="I6747" s="394">
        <f t="shared" si="920"/>
        <v>24422.22</v>
      </c>
      <c r="J6747" s="273"/>
      <c r="K6747" s="395">
        <v>2.13</v>
      </c>
      <c r="L6747" s="273"/>
      <c r="M6747" s="394">
        <f t="shared" si="921"/>
        <v>52019.328600000001</v>
      </c>
      <c r="N6747" s="273"/>
    </row>
    <row r="6748" spans="1:15" ht="12.75" customHeight="1" x14ac:dyDescent="0.2">
      <c r="A6748" s="400" t="s">
        <v>1165</v>
      </c>
      <c r="B6748" s="271"/>
      <c r="C6748" s="271"/>
      <c r="D6748" s="271"/>
      <c r="E6748" s="271"/>
      <c r="F6748" s="271"/>
      <c r="G6748" s="273"/>
      <c r="H6748" s="29" t="str">
        <f t="shared" si="919"/>
        <v>Unidad</v>
      </c>
      <c r="I6748" s="394">
        <f t="shared" si="920"/>
        <v>2400</v>
      </c>
      <c r="J6748" s="273"/>
      <c r="K6748" s="395">
        <f>156*2</f>
        <v>312</v>
      </c>
      <c r="L6748" s="273"/>
      <c r="M6748" s="394">
        <f t="shared" si="921"/>
        <v>748800</v>
      </c>
      <c r="N6748" s="273"/>
    </row>
    <row r="6749" spans="1:15" ht="12.75" customHeight="1" x14ac:dyDescent="0.2">
      <c r="A6749" s="400" t="s">
        <v>1166</v>
      </c>
      <c r="B6749" s="271"/>
      <c r="C6749" s="271"/>
      <c r="D6749" s="271"/>
      <c r="E6749" s="271"/>
      <c r="F6749" s="271"/>
      <c r="G6749" s="273"/>
      <c r="H6749" s="29" t="str">
        <f t="shared" si="919"/>
        <v>Unidad</v>
      </c>
      <c r="I6749" s="394">
        <f t="shared" si="920"/>
        <v>8000</v>
      </c>
      <c r="J6749" s="273"/>
      <c r="K6749" s="395">
        <f>12*2</f>
        <v>24</v>
      </c>
      <c r="L6749" s="273"/>
      <c r="M6749" s="394">
        <f t="shared" si="921"/>
        <v>192000</v>
      </c>
      <c r="N6749" s="273"/>
    </row>
    <row r="6750" spans="1:15" ht="12.75" customHeight="1" x14ac:dyDescent="0.2">
      <c r="A6750" s="400" t="s">
        <v>947</v>
      </c>
      <c r="B6750" s="271"/>
      <c r="C6750" s="271"/>
      <c r="D6750" s="271"/>
      <c r="E6750" s="271"/>
      <c r="F6750" s="271"/>
      <c r="G6750" s="273"/>
      <c r="H6750" s="29" t="str">
        <f t="shared" si="919"/>
        <v>LB</v>
      </c>
      <c r="I6750" s="394">
        <f t="shared" si="920"/>
        <v>5500</v>
      </c>
      <c r="J6750" s="273"/>
      <c r="K6750" s="395">
        <f>5*2</f>
        <v>10</v>
      </c>
      <c r="L6750" s="273"/>
      <c r="M6750" s="394">
        <f t="shared" si="921"/>
        <v>55000</v>
      </c>
      <c r="N6750" s="273"/>
    </row>
    <row r="6751" spans="1:15" ht="12.75" customHeight="1" x14ac:dyDescent="0.2">
      <c r="A6751" s="400"/>
      <c r="B6751" s="271"/>
      <c r="C6751" s="271"/>
      <c r="D6751" s="271"/>
      <c r="E6751" s="271"/>
      <c r="F6751" s="271"/>
      <c r="G6751" s="273"/>
      <c r="H6751" s="29" t="str">
        <f t="shared" si="919"/>
        <v/>
      </c>
      <c r="I6751" s="394" t="str">
        <f t="shared" si="920"/>
        <v/>
      </c>
      <c r="J6751" s="273"/>
      <c r="K6751" s="395"/>
      <c r="L6751" s="273"/>
      <c r="M6751" s="394" t="str">
        <f t="shared" si="921"/>
        <v/>
      </c>
      <c r="N6751" s="273"/>
    </row>
    <row r="6752" spans="1:15" ht="12.75" customHeight="1" x14ac:dyDescent="0.25">
      <c r="A6752" s="4"/>
      <c r="B6752" s="4"/>
      <c r="C6752" s="4"/>
      <c r="D6752" s="4"/>
      <c r="E6752" s="4"/>
      <c r="F6752" s="4"/>
      <c r="G6752" s="4"/>
      <c r="H6752" s="4"/>
      <c r="I6752" s="4"/>
      <c r="J6752" s="4"/>
      <c r="K6752" s="396" t="s">
        <v>444</v>
      </c>
      <c r="L6752" s="273"/>
      <c r="M6752" s="394">
        <f>SUM(M6743:N6751)</f>
        <v>1502959.3286000001</v>
      </c>
      <c r="N6752" s="273"/>
    </row>
    <row r="6753" spans="1:14" ht="12.75" customHeight="1" x14ac:dyDescent="0.25">
      <c r="A6753" s="4"/>
      <c r="B6753" s="4"/>
      <c r="C6753" s="4"/>
      <c r="D6753" s="4"/>
      <c r="E6753" s="4"/>
      <c r="F6753" s="4"/>
      <c r="G6753" s="4"/>
      <c r="H6753" s="4"/>
      <c r="I6753" s="4"/>
      <c r="J6753" s="4"/>
      <c r="K6753" s="4"/>
      <c r="L6753" s="4"/>
      <c r="M6753" s="4"/>
      <c r="N6753" s="4"/>
    </row>
    <row r="6754" spans="1:14" ht="12.75" customHeight="1" x14ac:dyDescent="0.2">
      <c r="A6754" s="398" t="s">
        <v>926</v>
      </c>
      <c r="B6754" s="271"/>
      <c r="C6754" s="271"/>
      <c r="D6754" s="271"/>
      <c r="E6754" s="271"/>
      <c r="F6754" s="271"/>
      <c r="G6754" s="271"/>
      <c r="H6754" s="271"/>
      <c r="I6754" s="271"/>
      <c r="J6754" s="271"/>
      <c r="K6754" s="271"/>
      <c r="L6754" s="271"/>
      <c r="M6754" s="271"/>
      <c r="N6754" s="273"/>
    </row>
    <row r="6755" spans="1:14" ht="12.75" customHeight="1" x14ac:dyDescent="0.2">
      <c r="A6755" s="396" t="s">
        <v>76</v>
      </c>
      <c r="B6755" s="271"/>
      <c r="C6755" s="271"/>
      <c r="D6755" s="271"/>
      <c r="E6755" s="271"/>
      <c r="F6755" s="271"/>
      <c r="G6755" s="273"/>
      <c r="H6755" s="88" t="s">
        <v>77</v>
      </c>
      <c r="I6755" s="399" t="s">
        <v>920</v>
      </c>
      <c r="J6755" s="273"/>
      <c r="K6755" s="399" t="s">
        <v>453</v>
      </c>
      <c r="L6755" s="273"/>
      <c r="M6755" s="399" t="s">
        <v>921</v>
      </c>
      <c r="N6755" s="273"/>
    </row>
    <row r="6756" spans="1:14" ht="12.75" customHeight="1" x14ac:dyDescent="0.2">
      <c r="A6756" s="400" t="s">
        <v>927</v>
      </c>
      <c r="B6756" s="271"/>
      <c r="C6756" s="271"/>
      <c r="D6756" s="271"/>
      <c r="E6756" s="271"/>
      <c r="F6756" s="271"/>
      <c r="G6756" s="273"/>
      <c r="H6756" s="29" t="str">
        <f>IF(A6756="","",VLOOKUP(A6756,AA_Equipos,7,FALSE))</f>
        <v>% M.O.</v>
      </c>
      <c r="I6756" s="394">
        <f>M6779</f>
        <v>186529.37</v>
      </c>
      <c r="J6756" s="273"/>
      <c r="K6756" s="404">
        <v>0.05</v>
      </c>
      <c r="L6756" s="273"/>
      <c r="M6756" s="394">
        <f t="shared" ref="M6756:M6760" si="922">IF(A6756="","",I6756*K6756)</f>
        <v>9326.4685000000009</v>
      </c>
      <c r="N6756" s="273"/>
    </row>
    <row r="6757" spans="1:14" ht="12.75" customHeight="1" x14ac:dyDescent="0.2">
      <c r="A6757" s="403" t="s">
        <v>957</v>
      </c>
      <c r="B6757" s="271"/>
      <c r="C6757" s="271"/>
      <c r="D6757" s="271"/>
      <c r="E6757" s="271"/>
      <c r="F6757" s="271"/>
      <c r="G6757" s="273"/>
      <c r="H6757" s="29" t="str">
        <f>IF(A6757="","",VLOOKUP(A6757,AA_Equipos,7,FALSE))</f>
        <v>Dia</v>
      </c>
      <c r="I6757" s="394">
        <f>IF(A6757="","",VLOOKUP(A6757,AA_Equipos,8,FALSE))</f>
        <v>107071</v>
      </c>
      <c r="J6757" s="273"/>
      <c r="K6757" s="402">
        <v>0.25</v>
      </c>
      <c r="L6757" s="273"/>
      <c r="M6757" s="394">
        <f t="shared" si="922"/>
        <v>26767.75</v>
      </c>
      <c r="N6757" s="273"/>
    </row>
    <row r="6758" spans="1:14" ht="12.75" customHeight="1" x14ac:dyDescent="0.2">
      <c r="A6758" s="400" t="s">
        <v>964</v>
      </c>
      <c r="B6758" s="271"/>
      <c r="C6758" s="271"/>
      <c r="D6758" s="271"/>
      <c r="E6758" s="271"/>
      <c r="F6758" s="271"/>
      <c r="G6758" s="273"/>
      <c r="H6758" s="29" t="str">
        <f>IF(A6758="","",VLOOKUP(A6758,AA_Equipos,7,FALSE))</f>
        <v>Dia</v>
      </c>
      <c r="I6758" s="394">
        <f>IF(A6758="","",VLOOKUP(A6758,AA_Equipos,8,FALSE))</f>
        <v>71766</v>
      </c>
      <c r="J6758" s="273"/>
      <c r="K6758" s="395">
        <v>0.25</v>
      </c>
      <c r="L6758" s="273"/>
      <c r="M6758" s="394">
        <f t="shared" si="922"/>
        <v>17941.5</v>
      </c>
      <c r="N6758" s="273"/>
    </row>
    <row r="6759" spans="1:14" ht="12.75" customHeight="1" x14ac:dyDescent="0.2">
      <c r="A6759" s="400"/>
      <c r="B6759" s="271"/>
      <c r="C6759" s="271"/>
      <c r="D6759" s="271"/>
      <c r="E6759" s="271"/>
      <c r="F6759" s="271"/>
      <c r="G6759" s="273"/>
      <c r="H6759" s="29" t="str">
        <f>IF(A6759="","",VLOOKUP(A6759,AA_Equipos,7,FALSE))</f>
        <v/>
      </c>
      <c r="I6759" s="394" t="str">
        <f>IF(A6759="","",VLOOKUP(A6759,AA_Equipos,8,FALSE))</f>
        <v/>
      </c>
      <c r="J6759" s="273"/>
      <c r="K6759" s="395"/>
      <c r="L6759" s="273"/>
      <c r="M6759" s="394" t="str">
        <f t="shared" si="922"/>
        <v/>
      </c>
      <c r="N6759" s="273"/>
    </row>
    <row r="6760" spans="1:14" ht="12.75" customHeight="1" x14ac:dyDescent="0.2">
      <c r="A6760" s="400"/>
      <c r="B6760" s="271"/>
      <c r="C6760" s="271"/>
      <c r="D6760" s="271"/>
      <c r="E6760" s="271"/>
      <c r="F6760" s="271"/>
      <c r="G6760" s="273"/>
      <c r="H6760" s="29" t="str">
        <f>IF(A6760="","",VLOOKUP(A6760,AA_Equipos,7,FALSE))</f>
        <v/>
      </c>
      <c r="I6760" s="394" t="str">
        <f>IF(A6760="","",VLOOKUP(A6760,AA_Equipos,8,FALSE))</f>
        <v/>
      </c>
      <c r="J6760" s="273"/>
      <c r="K6760" s="395"/>
      <c r="L6760" s="273"/>
      <c r="M6760" s="394" t="str">
        <f t="shared" si="922"/>
        <v/>
      </c>
      <c r="N6760" s="273"/>
    </row>
    <row r="6761" spans="1:14" ht="12.75" customHeight="1" x14ac:dyDescent="0.25">
      <c r="A6761" s="4"/>
      <c r="B6761" s="4"/>
      <c r="C6761" s="4"/>
      <c r="D6761" s="4"/>
      <c r="E6761" s="4"/>
      <c r="F6761" s="4"/>
      <c r="G6761" s="4"/>
      <c r="H6761" s="4"/>
      <c r="I6761" s="4"/>
      <c r="J6761" s="4"/>
      <c r="K6761" s="396" t="s">
        <v>444</v>
      </c>
      <c r="L6761" s="273"/>
      <c r="M6761" s="394">
        <f>SUM(M6756:N6760)</f>
        <v>54035.718500000003</v>
      </c>
      <c r="N6761" s="273"/>
    </row>
    <row r="6762" spans="1:14" ht="12.75" customHeight="1" x14ac:dyDescent="0.25">
      <c r="A6762" s="4"/>
      <c r="B6762" s="4"/>
      <c r="C6762" s="4"/>
      <c r="D6762" s="4"/>
      <c r="E6762" s="4"/>
      <c r="F6762" s="4"/>
      <c r="G6762" s="4"/>
      <c r="H6762" s="4"/>
      <c r="I6762" s="4"/>
      <c r="J6762" s="4"/>
      <c r="K6762" s="4"/>
      <c r="L6762" s="4"/>
      <c r="M6762" s="4"/>
      <c r="N6762" s="4"/>
    </row>
    <row r="6763" spans="1:14" ht="12.75" customHeight="1" x14ac:dyDescent="0.2">
      <c r="A6763" s="398" t="s">
        <v>929</v>
      </c>
      <c r="B6763" s="271"/>
      <c r="C6763" s="271"/>
      <c r="D6763" s="271"/>
      <c r="E6763" s="271"/>
      <c r="F6763" s="271"/>
      <c r="G6763" s="271"/>
      <c r="H6763" s="271"/>
      <c r="I6763" s="271"/>
      <c r="J6763" s="271"/>
      <c r="K6763" s="271"/>
      <c r="L6763" s="271"/>
      <c r="M6763" s="271"/>
      <c r="N6763" s="273"/>
    </row>
    <row r="6764" spans="1:14" ht="12.75" customHeight="1" x14ac:dyDescent="0.2">
      <c r="A6764" s="396" t="s">
        <v>76</v>
      </c>
      <c r="B6764" s="271"/>
      <c r="C6764" s="271"/>
      <c r="D6764" s="271"/>
      <c r="E6764" s="271"/>
      <c r="F6764" s="271"/>
      <c r="G6764" s="273"/>
      <c r="H6764" s="88" t="s">
        <v>77</v>
      </c>
      <c r="I6764" s="399" t="s">
        <v>920</v>
      </c>
      <c r="J6764" s="273"/>
      <c r="K6764" s="399" t="s">
        <v>453</v>
      </c>
      <c r="L6764" s="273"/>
      <c r="M6764" s="399" t="s">
        <v>921</v>
      </c>
      <c r="N6764" s="273"/>
    </row>
    <row r="6765" spans="1:14" ht="12.75" customHeight="1" x14ac:dyDescent="0.2">
      <c r="A6765" s="400" t="s">
        <v>965</v>
      </c>
      <c r="B6765" s="271"/>
      <c r="C6765" s="271"/>
      <c r="D6765" s="271"/>
      <c r="E6765" s="271"/>
      <c r="F6765" s="271"/>
      <c r="G6765" s="273"/>
      <c r="H6765" s="29" t="s">
        <v>959</v>
      </c>
      <c r="I6765" s="394">
        <f>+M6761</f>
        <v>54035.718500000003</v>
      </c>
      <c r="J6765" s="273"/>
      <c r="K6765" s="404">
        <v>0.05</v>
      </c>
      <c r="L6765" s="273"/>
      <c r="M6765" s="394">
        <f t="shared" ref="M6765:M6769" si="923">IF(A6765="","",I6765*K6765)</f>
        <v>2701.7859250000001</v>
      </c>
      <c r="N6765" s="273"/>
    </row>
    <row r="6766" spans="1:14" ht="12.75" customHeight="1" x14ac:dyDescent="0.2">
      <c r="A6766" s="403" t="s">
        <v>3172</v>
      </c>
      <c r="B6766" s="271"/>
      <c r="C6766" s="271"/>
      <c r="D6766" s="271"/>
      <c r="E6766" s="271"/>
      <c r="F6766" s="271"/>
      <c r="G6766" s="273"/>
      <c r="H6766" s="29" t="s">
        <v>3179</v>
      </c>
      <c r="I6766" s="394">
        <f>+'precios '!$J$222</f>
        <v>2077.2367952644231</v>
      </c>
      <c r="J6766" s="273"/>
      <c r="K6766" s="417">
        <f>+Indice!L21</f>
        <v>49</v>
      </c>
      <c r="L6766" s="273"/>
      <c r="M6766" s="394">
        <f t="shared" si="923"/>
        <v>101784.60296795673</v>
      </c>
      <c r="N6766" s="273"/>
    </row>
    <row r="6767" spans="1:14" ht="12.75" customHeight="1" x14ac:dyDescent="0.2">
      <c r="A6767" s="400" t="s">
        <v>3173</v>
      </c>
      <c r="B6767" s="271"/>
      <c r="C6767" s="271"/>
      <c r="D6767" s="271"/>
      <c r="E6767" s="271"/>
      <c r="F6767" s="271"/>
      <c r="G6767" s="273"/>
      <c r="H6767" s="29" t="s">
        <v>24</v>
      </c>
      <c r="I6767" s="394">
        <f>+M6752-M6744-M6745</f>
        <v>1391819.3286000001</v>
      </c>
      <c r="J6767" s="273"/>
      <c r="K6767" s="404">
        <v>0.05</v>
      </c>
      <c r="L6767" s="273"/>
      <c r="M6767" s="394">
        <f t="shared" si="923"/>
        <v>69590.966430000015</v>
      </c>
      <c r="N6767" s="273"/>
    </row>
    <row r="6768" spans="1:14" ht="12.75" customHeight="1" x14ac:dyDescent="0.2">
      <c r="A6768" s="400"/>
      <c r="B6768" s="271"/>
      <c r="C6768" s="271"/>
      <c r="D6768" s="271"/>
      <c r="E6768" s="271"/>
      <c r="F6768" s="271"/>
      <c r="G6768" s="273"/>
      <c r="H6768" s="29"/>
      <c r="I6768" s="394"/>
      <c r="J6768" s="273"/>
      <c r="K6768" s="395"/>
      <c r="L6768" s="273"/>
      <c r="M6768" s="394" t="str">
        <f t="shared" si="923"/>
        <v/>
      </c>
      <c r="N6768" s="273"/>
    </row>
    <row r="6769" spans="1:15" ht="12.75" customHeight="1" x14ac:dyDescent="0.2">
      <c r="A6769" s="400"/>
      <c r="B6769" s="271"/>
      <c r="C6769" s="271"/>
      <c r="D6769" s="271"/>
      <c r="E6769" s="271"/>
      <c r="F6769" s="271"/>
      <c r="G6769" s="273"/>
      <c r="H6769" s="29"/>
      <c r="I6769" s="394"/>
      <c r="J6769" s="273"/>
      <c r="K6769" s="395"/>
      <c r="L6769" s="273"/>
      <c r="M6769" s="394" t="str">
        <f t="shared" si="923"/>
        <v/>
      </c>
      <c r="N6769" s="273"/>
    </row>
    <row r="6770" spans="1:15" ht="12.75" customHeight="1" x14ac:dyDescent="0.25">
      <c r="A6770" s="4"/>
      <c r="B6770" s="4"/>
      <c r="C6770" s="4"/>
      <c r="D6770" s="4"/>
      <c r="E6770" s="4"/>
      <c r="F6770" s="4"/>
      <c r="G6770" s="4"/>
      <c r="H6770" s="4"/>
      <c r="I6770" s="4"/>
      <c r="J6770" s="4"/>
      <c r="K6770" s="396" t="s">
        <v>444</v>
      </c>
      <c r="L6770" s="273"/>
      <c r="M6770" s="394">
        <f>SUM(M6765:N6769)</f>
        <v>174077.35532295675</v>
      </c>
      <c r="N6770" s="273"/>
    </row>
    <row r="6771" spans="1:15" ht="12.75" customHeight="1" x14ac:dyDescent="0.25">
      <c r="A6771" s="4"/>
      <c r="B6771" s="4"/>
      <c r="C6771" s="4"/>
      <c r="D6771" s="4"/>
      <c r="E6771" s="4"/>
      <c r="F6771" s="4"/>
      <c r="G6771" s="4"/>
      <c r="H6771" s="4"/>
      <c r="I6771" s="4"/>
      <c r="J6771" s="4"/>
      <c r="K6771" s="4"/>
      <c r="L6771" s="4"/>
      <c r="M6771" s="4"/>
      <c r="N6771" s="4"/>
    </row>
    <row r="6772" spans="1:15" ht="12.75" customHeight="1" x14ac:dyDescent="0.2">
      <c r="A6772" s="398" t="s">
        <v>931</v>
      </c>
      <c r="B6772" s="271"/>
      <c r="C6772" s="271"/>
      <c r="D6772" s="271"/>
      <c r="E6772" s="271"/>
      <c r="F6772" s="271"/>
      <c r="G6772" s="271"/>
      <c r="H6772" s="271"/>
      <c r="I6772" s="271"/>
      <c r="J6772" s="271"/>
      <c r="K6772" s="271"/>
      <c r="L6772" s="271"/>
      <c r="M6772" s="271"/>
      <c r="N6772" s="273"/>
    </row>
    <row r="6773" spans="1:15" ht="12.75" customHeight="1" x14ac:dyDescent="0.2">
      <c r="A6773" s="396" t="s">
        <v>76</v>
      </c>
      <c r="B6773" s="271"/>
      <c r="C6773" s="271"/>
      <c r="D6773" s="271"/>
      <c r="E6773" s="271"/>
      <c r="F6773" s="271"/>
      <c r="G6773" s="273"/>
      <c r="H6773" s="88" t="s">
        <v>77</v>
      </c>
      <c r="I6773" s="399" t="s">
        <v>920</v>
      </c>
      <c r="J6773" s="273"/>
      <c r="K6773" s="90" t="s">
        <v>514</v>
      </c>
      <c r="L6773" s="91" t="s">
        <v>932</v>
      </c>
      <c r="M6773" s="399" t="s">
        <v>921</v>
      </c>
      <c r="N6773" s="273"/>
    </row>
    <row r="6774" spans="1:15" ht="12.75" customHeight="1" x14ac:dyDescent="0.25">
      <c r="A6774" s="393" t="s">
        <v>962</v>
      </c>
      <c r="B6774" s="271"/>
      <c r="C6774" s="271"/>
      <c r="D6774" s="271"/>
      <c r="E6774" s="271"/>
      <c r="F6774" s="271"/>
      <c r="G6774" s="273"/>
      <c r="H6774" s="29" t="str">
        <f>IF(A6774="","",VLOOKUP(A6774,AA_Cuadrillas,4,FALSE))</f>
        <v>Cuadrilla</v>
      </c>
      <c r="I6774" s="394">
        <f>IF(A6774="","",VLOOKUP(A6774,AA_Cuadrillas,5,FALSE))</f>
        <v>396871</v>
      </c>
      <c r="J6774" s="273"/>
      <c r="K6774" s="9">
        <f>IF(A6774="","",F.P!$I$2)</f>
        <v>1.88</v>
      </c>
      <c r="L6774" s="93">
        <v>0.25</v>
      </c>
      <c r="M6774" s="394">
        <f t="shared" ref="M6774:M6778" si="924">IF(A6774="","",I6774*K6774*L6774)</f>
        <v>186529.37</v>
      </c>
      <c r="N6774" s="273"/>
    </row>
    <row r="6775" spans="1:15" ht="12.75" customHeight="1" x14ac:dyDescent="0.25">
      <c r="A6775" s="393"/>
      <c r="B6775" s="271"/>
      <c r="C6775" s="271"/>
      <c r="D6775" s="271"/>
      <c r="E6775" s="271"/>
      <c r="F6775" s="271"/>
      <c r="G6775" s="273"/>
      <c r="H6775" s="29" t="str">
        <f>IF(A6775="","",VLOOKUP(A6775,AA_Cuadrillas,4,FALSE))</f>
        <v/>
      </c>
      <c r="I6775" s="394" t="str">
        <f>IF(A6775="","",VLOOKUP(A6775,AA_Cuadrillas,5,FALSE))</f>
        <v/>
      </c>
      <c r="J6775" s="273"/>
      <c r="K6775" s="9" t="str">
        <f>IF(A6775="","",F.P!$I$2)</f>
        <v/>
      </c>
      <c r="L6775" s="9"/>
      <c r="M6775" s="394" t="str">
        <f t="shared" si="924"/>
        <v/>
      </c>
      <c r="N6775" s="273"/>
    </row>
    <row r="6776" spans="1:15" ht="12.75" customHeight="1" x14ac:dyDescent="0.25">
      <c r="A6776" s="393"/>
      <c r="B6776" s="271"/>
      <c r="C6776" s="271"/>
      <c r="D6776" s="271"/>
      <c r="E6776" s="271"/>
      <c r="F6776" s="271"/>
      <c r="G6776" s="273"/>
      <c r="H6776" s="29" t="str">
        <f>IF(A6776="","",VLOOKUP(A6776,AA_Cuadrillas,4,FALSE))</f>
        <v/>
      </c>
      <c r="I6776" s="394" t="str">
        <f>IF(A6776="","",VLOOKUP(A6776,AA_Cuadrillas,5,FALSE))</f>
        <v/>
      </c>
      <c r="J6776" s="273"/>
      <c r="K6776" s="9" t="str">
        <f>IF(A6776="","",F.P!$I$2)</f>
        <v/>
      </c>
      <c r="L6776" s="37"/>
      <c r="M6776" s="394" t="str">
        <f t="shared" si="924"/>
        <v/>
      </c>
      <c r="N6776" s="273"/>
    </row>
    <row r="6777" spans="1:15" ht="12.75" customHeight="1" x14ac:dyDescent="0.25">
      <c r="A6777" s="393"/>
      <c r="B6777" s="271"/>
      <c r="C6777" s="271"/>
      <c r="D6777" s="271"/>
      <c r="E6777" s="271"/>
      <c r="F6777" s="271"/>
      <c r="G6777" s="273"/>
      <c r="H6777" s="29" t="str">
        <f>IF(A6777="","",VLOOKUP(A6777,AA_Cuadrillas,4,FALSE))</f>
        <v/>
      </c>
      <c r="I6777" s="394" t="str">
        <f>IF(A6777="","",VLOOKUP(A6777,AA_Cuadrillas,5,FALSE))</f>
        <v/>
      </c>
      <c r="J6777" s="273"/>
      <c r="K6777" s="9" t="str">
        <f>IF(A6777="","",F.P!$I$2)</f>
        <v/>
      </c>
      <c r="L6777" s="37"/>
      <c r="M6777" s="394" t="str">
        <f t="shared" si="924"/>
        <v/>
      </c>
      <c r="N6777" s="273"/>
    </row>
    <row r="6778" spans="1:15" ht="12.75" customHeight="1" x14ac:dyDescent="0.25">
      <c r="A6778" s="393"/>
      <c r="B6778" s="271"/>
      <c r="C6778" s="271"/>
      <c r="D6778" s="271"/>
      <c r="E6778" s="271"/>
      <c r="F6778" s="271"/>
      <c r="G6778" s="273"/>
      <c r="H6778" s="29" t="str">
        <f>IF(A6778="","",VLOOKUP(A6778,AA_Cuadrillas,4,FALSE))</f>
        <v/>
      </c>
      <c r="I6778" s="394" t="str">
        <f>IF(A6778="","",VLOOKUP(A6778,AA_Cuadrillas,5,FALSE))</f>
        <v/>
      </c>
      <c r="J6778" s="273"/>
      <c r="K6778" s="9" t="str">
        <f>IF(A6778="","",F.P!$I$2)</f>
        <v/>
      </c>
      <c r="L6778" s="37"/>
      <c r="M6778" s="394" t="str">
        <f t="shared" si="924"/>
        <v/>
      </c>
      <c r="N6778" s="273"/>
    </row>
    <row r="6779" spans="1:15" ht="12.75" customHeight="1" x14ac:dyDescent="0.25">
      <c r="A6779" s="4"/>
      <c r="B6779" s="4"/>
      <c r="C6779" s="4"/>
      <c r="D6779" s="4"/>
      <c r="E6779" s="4"/>
      <c r="F6779" s="4"/>
      <c r="G6779" s="4"/>
      <c r="H6779" s="4"/>
      <c r="I6779" s="4"/>
      <c r="J6779" s="4"/>
      <c r="K6779" s="396" t="s">
        <v>444</v>
      </c>
      <c r="L6779" s="273"/>
      <c r="M6779" s="394">
        <f>SUM(M6774:N6778)</f>
        <v>186529.37</v>
      </c>
      <c r="N6779" s="273"/>
    </row>
    <row r="6780" spans="1:15" ht="12.75" customHeight="1" x14ac:dyDescent="0.2"/>
    <row r="6781" spans="1:15" ht="12.75" customHeight="1" x14ac:dyDescent="0.2">
      <c r="A6781" s="407" t="s">
        <v>199</v>
      </c>
      <c r="B6781" s="275"/>
      <c r="C6781" s="275"/>
      <c r="D6781" s="275"/>
      <c r="E6781" s="275"/>
      <c r="F6781" s="275"/>
      <c r="G6781" s="275"/>
      <c r="H6781" s="275"/>
      <c r="I6781" s="275"/>
      <c r="J6781" s="275"/>
      <c r="K6781" s="275"/>
      <c r="L6781" s="275"/>
      <c r="M6781" s="275"/>
      <c r="N6781" s="276"/>
      <c r="O6781" s="166"/>
    </row>
    <row r="6782" spans="1:15" ht="12.75" customHeight="1" x14ac:dyDescent="0.2">
      <c r="A6782" s="277"/>
      <c r="B6782" s="278"/>
      <c r="C6782" s="278"/>
      <c r="D6782" s="278"/>
      <c r="E6782" s="278"/>
      <c r="F6782" s="278"/>
      <c r="G6782" s="278"/>
      <c r="H6782" s="278"/>
      <c r="I6782" s="278"/>
      <c r="J6782" s="278"/>
      <c r="K6782" s="278"/>
      <c r="L6782" s="278"/>
      <c r="M6782" s="278"/>
      <c r="N6782" s="279"/>
      <c r="O6782" s="166"/>
    </row>
    <row r="6783" spans="1:15" ht="12.75" customHeight="1" x14ac:dyDescent="0.2">
      <c r="A6783" s="75"/>
      <c r="B6783" s="75"/>
      <c r="C6783" s="75"/>
      <c r="D6783" s="75"/>
      <c r="E6783" s="75"/>
      <c r="F6783" s="75"/>
      <c r="G6783" s="75"/>
      <c r="H6783" s="75"/>
      <c r="I6783" s="75"/>
      <c r="J6783" s="75"/>
      <c r="K6783" s="75"/>
      <c r="L6783" s="75"/>
      <c r="M6783" s="75"/>
      <c r="N6783" s="75"/>
      <c r="O6783" t="s">
        <v>3234</v>
      </c>
    </row>
    <row r="6784" spans="1:15" ht="12.75" customHeight="1" x14ac:dyDescent="0.3">
      <c r="A6784" s="79" t="s">
        <v>770</v>
      </c>
      <c r="B6784" s="80" t="str">
        <f>A6781</f>
        <v>CONCRETO PARA PISO DE 4000 PSI IMPERMEABILIZADO A TODO COSTO (280 KG/CM2)</v>
      </c>
      <c r="C6784" s="81" t="s">
        <v>916</v>
      </c>
      <c r="D6784" s="82" t="s">
        <v>258</v>
      </c>
      <c r="E6784" s="83" t="s">
        <v>445</v>
      </c>
      <c r="F6784" s="240">
        <f>H6784+J6784+L6784+N6784</f>
        <v>844782.11970906786</v>
      </c>
      <c r="G6784" s="83" t="s">
        <v>607</v>
      </c>
      <c r="H6784" s="86">
        <f>M6806</f>
        <v>48031.749777777775</v>
      </c>
      <c r="I6784" s="83" t="s">
        <v>918</v>
      </c>
      <c r="J6784" s="86">
        <f>M6797</f>
        <v>507159.32860000001</v>
      </c>
      <c r="K6784" s="83" t="s">
        <v>609</v>
      </c>
      <c r="L6784" s="86">
        <f>M6815</f>
        <v>123787.15688684562</v>
      </c>
      <c r="M6784" s="83" t="s">
        <v>610</v>
      </c>
      <c r="N6784" s="86">
        <f>M6824</f>
        <v>165803.88444444444</v>
      </c>
    </row>
    <row r="6785" spans="1:14" ht="12.75" customHeight="1" x14ac:dyDescent="0.25">
      <c r="A6785" s="87"/>
      <c r="B6785" s="87"/>
      <c r="C6785" s="87"/>
      <c r="D6785" s="87"/>
      <c r="E6785" s="242" t="s">
        <v>3246</v>
      </c>
      <c r="F6785" s="259">
        <f>F6784*1.3</f>
        <v>1098216.7556217883</v>
      </c>
      <c r="G6785" s="87"/>
      <c r="J6785" s="87"/>
      <c r="K6785" s="215" t="s">
        <v>3217</v>
      </c>
      <c r="L6785" s="215"/>
      <c r="M6785" s="87"/>
      <c r="N6785" s="87"/>
    </row>
    <row r="6786" spans="1:14" ht="12.75" customHeight="1" x14ac:dyDescent="0.2">
      <c r="A6786" s="398" t="s">
        <v>919</v>
      </c>
      <c r="B6786" s="271"/>
      <c r="C6786" s="271"/>
      <c r="D6786" s="271"/>
      <c r="E6786" s="271"/>
      <c r="F6786" s="271"/>
      <c r="G6786" s="271"/>
      <c r="H6786" s="271"/>
      <c r="I6786" s="271"/>
      <c r="J6786" s="271"/>
      <c r="K6786" s="271"/>
      <c r="L6786" s="271"/>
      <c r="M6786" s="271"/>
      <c r="N6786" s="273"/>
    </row>
    <row r="6787" spans="1:14" ht="12.75" customHeight="1" x14ac:dyDescent="0.2">
      <c r="A6787" s="396" t="s">
        <v>76</v>
      </c>
      <c r="B6787" s="271"/>
      <c r="C6787" s="271"/>
      <c r="D6787" s="271"/>
      <c r="E6787" s="271"/>
      <c r="F6787" s="271"/>
      <c r="G6787" s="273"/>
      <c r="H6787" s="88" t="s">
        <v>77</v>
      </c>
      <c r="I6787" s="399" t="s">
        <v>920</v>
      </c>
      <c r="J6787" s="273"/>
      <c r="K6787" s="399" t="s">
        <v>453</v>
      </c>
      <c r="L6787" s="273"/>
      <c r="M6787" s="399" t="s">
        <v>921</v>
      </c>
      <c r="N6787" s="273"/>
    </row>
    <row r="6788" spans="1:14" ht="12.75" customHeight="1" x14ac:dyDescent="0.2">
      <c r="A6788" s="400" t="s">
        <v>953</v>
      </c>
      <c r="B6788" s="271"/>
      <c r="C6788" s="271"/>
      <c r="D6788" s="271"/>
      <c r="E6788" s="271"/>
      <c r="F6788" s="271"/>
      <c r="G6788" s="273"/>
      <c r="H6788" s="29" t="str">
        <f t="shared" ref="H6788:H6796" si="925">IF(A6788="","",VLOOKUP(A6788,AA_Materiales,7,FALSE))</f>
        <v>Kg</v>
      </c>
      <c r="I6788" s="394">
        <f t="shared" ref="I6788:I6796" si="926">IF(A6788="","",VLOOKUP(A6788,AA_Materiales,8,FALSE))</f>
        <v>800</v>
      </c>
      <c r="J6788" s="273"/>
      <c r="K6788" s="395">
        <v>425</v>
      </c>
      <c r="L6788" s="273"/>
      <c r="M6788" s="394">
        <f t="shared" ref="M6788:M6796" si="927">IF(A6788="","",I6788*K6788)</f>
        <v>340000</v>
      </c>
      <c r="N6788" s="273"/>
    </row>
    <row r="6789" spans="1:14" ht="12.75" customHeight="1" x14ac:dyDescent="0.2">
      <c r="A6789" s="400" t="s">
        <v>954</v>
      </c>
      <c r="B6789" s="271"/>
      <c r="C6789" s="271"/>
      <c r="D6789" s="271"/>
      <c r="E6789" s="271"/>
      <c r="F6789" s="271"/>
      <c r="G6789" s="273"/>
      <c r="H6789" s="29" t="str">
        <f t="shared" si="925"/>
        <v>m3</v>
      </c>
      <c r="I6789" s="394">
        <f t="shared" si="926"/>
        <v>83000</v>
      </c>
      <c r="J6789" s="273"/>
      <c r="K6789" s="395">
        <v>0.57999999999999996</v>
      </c>
      <c r="L6789" s="273"/>
      <c r="M6789" s="394">
        <f t="shared" si="927"/>
        <v>48140</v>
      </c>
      <c r="N6789" s="273"/>
    </row>
    <row r="6790" spans="1:14" ht="12.75" customHeight="1" x14ac:dyDescent="0.2">
      <c r="A6790" s="400" t="s">
        <v>955</v>
      </c>
      <c r="B6790" s="271"/>
      <c r="C6790" s="271"/>
      <c r="D6790" s="271"/>
      <c r="E6790" s="271"/>
      <c r="F6790" s="271"/>
      <c r="G6790" s="273"/>
      <c r="H6790" s="29" t="str">
        <f t="shared" si="925"/>
        <v>m3</v>
      </c>
      <c r="I6790" s="394">
        <f t="shared" si="926"/>
        <v>90000</v>
      </c>
      <c r="J6790" s="273"/>
      <c r="K6790" s="395">
        <v>0.7</v>
      </c>
      <c r="L6790" s="273"/>
      <c r="M6790" s="394">
        <f t="shared" si="927"/>
        <v>62999.999999999993</v>
      </c>
      <c r="N6790" s="273"/>
    </row>
    <row r="6791" spans="1:14" ht="12.75" customHeight="1" x14ac:dyDescent="0.2">
      <c r="A6791" s="400" t="s">
        <v>956</v>
      </c>
      <c r="B6791" s="271"/>
      <c r="C6791" s="271"/>
      <c r="D6791" s="271"/>
      <c r="E6791" s="271"/>
      <c r="F6791" s="271"/>
      <c r="G6791" s="273"/>
      <c r="H6791" s="29" t="str">
        <f t="shared" si="925"/>
        <v>Lt</v>
      </c>
      <c r="I6791" s="394">
        <f t="shared" si="926"/>
        <v>20</v>
      </c>
      <c r="J6791" s="273"/>
      <c r="K6791" s="395">
        <v>200</v>
      </c>
      <c r="L6791" s="273"/>
      <c r="M6791" s="394">
        <f t="shared" si="927"/>
        <v>4000</v>
      </c>
      <c r="N6791" s="273"/>
    </row>
    <row r="6792" spans="1:14" ht="12.75" customHeight="1" x14ac:dyDescent="0.2">
      <c r="A6792" s="400" t="s">
        <v>1164</v>
      </c>
      <c r="B6792" s="271"/>
      <c r="C6792" s="271"/>
      <c r="D6792" s="271"/>
      <c r="E6792" s="271"/>
      <c r="F6792" s="271"/>
      <c r="G6792" s="273"/>
      <c r="H6792" s="29" t="str">
        <f t="shared" si="925"/>
        <v>Kg</v>
      </c>
      <c r="I6792" s="394">
        <f t="shared" si="926"/>
        <v>24422.22</v>
      </c>
      <c r="J6792" s="273"/>
      <c r="K6792" s="395">
        <v>2.13</v>
      </c>
      <c r="L6792" s="273"/>
      <c r="M6792" s="394">
        <f t="shared" si="927"/>
        <v>52019.328600000001</v>
      </c>
      <c r="N6792" s="273"/>
    </row>
    <row r="6793" spans="1:14" ht="12.75" customHeight="1" x14ac:dyDescent="0.2">
      <c r="A6793" s="400"/>
      <c r="B6793" s="271"/>
      <c r="C6793" s="271"/>
      <c r="D6793" s="271"/>
      <c r="E6793" s="271"/>
      <c r="F6793" s="271"/>
      <c r="G6793" s="273"/>
      <c r="H6793" s="29" t="str">
        <f t="shared" si="925"/>
        <v/>
      </c>
      <c r="I6793" s="394" t="str">
        <f t="shared" si="926"/>
        <v/>
      </c>
      <c r="J6793" s="273"/>
      <c r="K6793" s="395"/>
      <c r="L6793" s="273"/>
      <c r="M6793" s="394" t="str">
        <f t="shared" si="927"/>
        <v/>
      </c>
      <c r="N6793" s="273"/>
    </row>
    <row r="6794" spans="1:14" ht="12.75" customHeight="1" x14ac:dyDescent="0.2">
      <c r="A6794" s="400"/>
      <c r="B6794" s="271"/>
      <c r="C6794" s="271"/>
      <c r="D6794" s="271"/>
      <c r="E6794" s="271"/>
      <c r="F6794" s="271"/>
      <c r="G6794" s="273"/>
      <c r="H6794" s="29" t="str">
        <f t="shared" si="925"/>
        <v/>
      </c>
      <c r="I6794" s="394" t="str">
        <f t="shared" si="926"/>
        <v/>
      </c>
      <c r="J6794" s="273"/>
      <c r="K6794" s="395"/>
      <c r="L6794" s="273"/>
      <c r="M6794" s="394" t="str">
        <f t="shared" si="927"/>
        <v/>
      </c>
      <c r="N6794" s="273"/>
    </row>
    <row r="6795" spans="1:14" ht="12.75" customHeight="1" x14ac:dyDescent="0.2">
      <c r="A6795" s="400"/>
      <c r="B6795" s="271"/>
      <c r="C6795" s="271"/>
      <c r="D6795" s="271"/>
      <c r="E6795" s="271"/>
      <c r="F6795" s="271"/>
      <c r="G6795" s="273"/>
      <c r="H6795" s="29" t="str">
        <f t="shared" si="925"/>
        <v/>
      </c>
      <c r="I6795" s="394" t="str">
        <f t="shared" si="926"/>
        <v/>
      </c>
      <c r="J6795" s="273"/>
      <c r="K6795" s="395"/>
      <c r="L6795" s="273"/>
      <c r="M6795" s="394" t="str">
        <f t="shared" si="927"/>
        <v/>
      </c>
      <c r="N6795" s="273"/>
    </row>
    <row r="6796" spans="1:14" ht="12.75" customHeight="1" x14ac:dyDescent="0.2">
      <c r="A6796" s="400"/>
      <c r="B6796" s="271"/>
      <c r="C6796" s="271"/>
      <c r="D6796" s="271"/>
      <c r="E6796" s="271"/>
      <c r="F6796" s="271"/>
      <c r="G6796" s="273"/>
      <c r="H6796" s="29" t="str">
        <f t="shared" si="925"/>
        <v/>
      </c>
      <c r="I6796" s="394" t="str">
        <f t="shared" si="926"/>
        <v/>
      </c>
      <c r="J6796" s="273"/>
      <c r="K6796" s="395"/>
      <c r="L6796" s="273"/>
      <c r="M6796" s="394" t="str">
        <f t="shared" si="927"/>
        <v/>
      </c>
      <c r="N6796" s="273"/>
    </row>
    <row r="6797" spans="1:14" ht="12.75" customHeight="1" x14ac:dyDescent="0.25">
      <c r="A6797" s="4"/>
      <c r="B6797" s="4"/>
      <c r="C6797" s="4"/>
      <c r="D6797" s="4"/>
      <c r="E6797" s="4"/>
      <c r="F6797" s="4"/>
      <c r="G6797" s="4"/>
      <c r="H6797" s="4"/>
      <c r="I6797" s="4"/>
      <c r="J6797" s="4"/>
      <c r="K6797" s="396" t="s">
        <v>444</v>
      </c>
      <c r="L6797" s="273"/>
      <c r="M6797" s="394">
        <f>SUM(M6788:N6796)</f>
        <v>507159.32860000001</v>
      </c>
      <c r="N6797" s="273"/>
    </row>
    <row r="6798" spans="1:14" ht="12.75" customHeight="1" x14ac:dyDescent="0.25">
      <c r="A6798" s="4"/>
      <c r="B6798" s="4"/>
      <c r="C6798" s="4"/>
      <c r="D6798" s="4"/>
      <c r="E6798" s="4"/>
      <c r="F6798" s="4"/>
      <c r="G6798" s="4"/>
      <c r="H6798" s="4"/>
      <c r="I6798" s="4"/>
      <c r="J6798" s="4"/>
      <c r="K6798" s="4"/>
      <c r="L6798" s="4"/>
      <c r="M6798" s="4"/>
      <c r="N6798" s="4"/>
    </row>
    <row r="6799" spans="1:14" ht="12.75" customHeight="1" x14ac:dyDescent="0.2">
      <c r="A6799" s="398" t="s">
        <v>926</v>
      </c>
      <c r="B6799" s="271"/>
      <c r="C6799" s="271"/>
      <c r="D6799" s="271"/>
      <c r="E6799" s="271"/>
      <c r="F6799" s="271"/>
      <c r="G6799" s="271"/>
      <c r="H6799" s="271"/>
      <c r="I6799" s="271"/>
      <c r="J6799" s="271"/>
      <c r="K6799" s="271"/>
      <c r="L6799" s="271"/>
      <c r="M6799" s="271"/>
      <c r="N6799" s="273"/>
    </row>
    <row r="6800" spans="1:14" ht="12.75" customHeight="1" x14ac:dyDescent="0.2">
      <c r="A6800" s="396" t="s">
        <v>76</v>
      </c>
      <c r="B6800" s="271"/>
      <c r="C6800" s="271"/>
      <c r="D6800" s="271"/>
      <c r="E6800" s="271"/>
      <c r="F6800" s="271"/>
      <c r="G6800" s="273"/>
      <c r="H6800" s="88" t="s">
        <v>77</v>
      </c>
      <c r="I6800" s="399" t="s">
        <v>920</v>
      </c>
      <c r="J6800" s="273"/>
      <c r="K6800" s="399" t="s">
        <v>453</v>
      </c>
      <c r="L6800" s="273"/>
      <c r="M6800" s="399" t="s">
        <v>921</v>
      </c>
      <c r="N6800" s="273"/>
    </row>
    <row r="6801" spans="1:14" ht="12.75" customHeight="1" x14ac:dyDescent="0.2">
      <c r="A6801" s="400" t="s">
        <v>927</v>
      </c>
      <c r="B6801" s="271"/>
      <c r="C6801" s="271"/>
      <c r="D6801" s="271"/>
      <c r="E6801" s="271"/>
      <c r="F6801" s="271"/>
      <c r="G6801" s="273"/>
      <c r="H6801" s="29" t="str">
        <f>IF(A6801="","",VLOOKUP(A6801,AA_Equipos,7,FALSE))</f>
        <v>% M.O.</v>
      </c>
      <c r="I6801" s="394">
        <f>M6824</f>
        <v>165803.88444444444</v>
      </c>
      <c r="J6801" s="273"/>
      <c r="K6801" s="404">
        <v>0.05</v>
      </c>
      <c r="L6801" s="273"/>
      <c r="M6801" s="394">
        <f t="shared" ref="M6801:M6805" si="928">IF(A6801="","",I6801*K6801)</f>
        <v>8290.1942222222224</v>
      </c>
      <c r="N6801" s="273"/>
    </row>
    <row r="6802" spans="1:14" ht="12.75" customHeight="1" x14ac:dyDescent="0.2">
      <c r="A6802" s="403" t="s">
        <v>957</v>
      </c>
      <c r="B6802" s="271"/>
      <c r="C6802" s="271"/>
      <c r="D6802" s="271"/>
      <c r="E6802" s="271"/>
      <c r="F6802" s="271"/>
      <c r="G6802" s="273"/>
      <c r="H6802" s="29" t="str">
        <f>IF(A6802="","",VLOOKUP(A6802,AA_Equipos,7,FALSE))</f>
        <v>Dia</v>
      </c>
      <c r="I6802" s="394">
        <f>IF(A6802="","",VLOOKUP(A6802,AA_Equipos,8,FALSE))</f>
        <v>107071</v>
      </c>
      <c r="J6802" s="273"/>
      <c r="K6802" s="402">
        <f t="shared" ref="K6802:K6803" si="929">1/4.5</f>
        <v>0.22222222222222221</v>
      </c>
      <c r="L6802" s="273"/>
      <c r="M6802" s="394">
        <f t="shared" si="928"/>
        <v>23793.555555555555</v>
      </c>
      <c r="N6802" s="273"/>
    </row>
    <row r="6803" spans="1:14" ht="12.75" customHeight="1" x14ac:dyDescent="0.2">
      <c r="A6803" s="400" t="s">
        <v>964</v>
      </c>
      <c r="B6803" s="271"/>
      <c r="C6803" s="271"/>
      <c r="D6803" s="271"/>
      <c r="E6803" s="271"/>
      <c r="F6803" s="271"/>
      <c r="G6803" s="273"/>
      <c r="H6803" s="29" t="str">
        <f>IF(A6803="","",VLOOKUP(A6803,AA_Equipos,7,FALSE))</f>
        <v>Dia</v>
      </c>
      <c r="I6803" s="394">
        <f>IF(A6803="","",VLOOKUP(A6803,AA_Equipos,8,FALSE))</f>
        <v>71766</v>
      </c>
      <c r="J6803" s="273"/>
      <c r="K6803" s="395">
        <f t="shared" si="929"/>
        <v>0.22222222222222221</v>
      </c>
      <c r="L6803" s="273"/>
      <c r="M6803" s="394">
        <f t="shared" si="928"/>
        <v>15948</v>
      </c>
      <c r="N6803" s="273"/>
    </row>
    <row r="6804" spans="1:14" ht="12.75" customHeight="1" x14ac:dyDescent="0.2">
      <c r="A6804" s="400"/>
      <c r="B6804" s="271"/>
      <c r="C6804" s="271"/>
      <c r="D6804" s="271"/>
      <c r="E6804" s="271"/>
      <c r="F6804" s="271"/>
      <c r="G6804" s="273"/>
      <c r="H6804" s="29" t="str">
        <f>IF(A6804="","",VLOOKUP(A6804,AA_Equipos,7,FALSE))</f>
        <v/>
      </c>
      <c r="I6804" s="394" t="str">
        <f>IF(A6804="","",VLOOKUP(A6804,AA_Equipos,8,FALSE))</f>
        <v/>
      </c>
      <c r="J6804" s="273"/>
      <c r="K6804" s="395"/>
      <c r="L6804" s="273"/>
      <c r="M6804" s="394" t="str">
        <f t="shared" si="928"/>
        <v/>
      </c>
      <c r="N6804" s="273"/>
    </row>
    <row r="6805" spans="1:14" ht="12.75" customHeight="1" x14ac:dyDescent="0.2">
      <c r="A6805" s="400"/>
      <c r="B6805" s="271"/>
      <c r="C6805" s="271"/>
      <c r="D6805" s="271"/>
      <c r="E6805" s="271"/>
      <c r="F6805" s="271"/>
      <c r="G6805" s="273"/>
      <c r="H6805" s="29" t="str">
        <f>IF(A6805="","",VLOOKUP(A6805,AA_Equipos,7,FALSE))</f>
        <v/>
      </c>
      <c r="I6805" s="394" t="str">
        <f>IF(A6805="","",VLOOKUP(A6805,AA_Equipos,8,FALSE))</f>
        <v/>
      </c>
      <c r="J6805" s="273"/>
      <c r="K6805" s="395"/>
      <c r="L6805" s="273"/>
      <c r="M6805" s="394" t="str">
        <f t="shared" si="928"/>
        <v/>
      </c>
      <c r="N6805" s="273"/>
    </row>
    <row r="6806" spans="1:14" ht="12.75" customHeight="1" x14ac:dyDescent="0.25">
      <c r="A6806" s="4"/>
      <c r="B6806" s="4"/>
      <c r="C6806" s="4"/>
      <c r="D6806" s="4"/>
      <c r="E6806" s="4"/>
      <c r="F6806" s="4"/>
      <c r="G6806" s="4"/>
      <c r="H6806" s="4"/>
      <c r="I6806" s="4"/>
      <c r="J6806" s="4"/>
      <c r="K6806" s="396" t="s">
        <v>444</v>
      </c>
      <c r="L6806" s="273"/>
      <c r="M6806" s="394">
        <f>SUM(M6801:N6805)</f>
        <v>48031.749777777775</v>
      </c>
      <c r="N6806" s="273"/>
    </row>
    <row r="6807" spans="1:14" ht="12.75" customHeight="1" x14ac:dyDescent="0.25">
      <c r="A6807" s="4"/>
      <c r="B6807" s="4"/>
      <c r="C6807" s="4"/>
      <c r="D6807" s="4"/>
      <c r="E6807" s="4"/>
      <c r="F6807" s="4"/>
      <c r="G6807" s="4"/>
      <c r="H6807" s="4"/>
      <c r="I6807" s="4"/>
      <c r="J6807" s="4"/>
      <c r="K6807" s="4"/>
      <c r="L6807" s="4"/>
      <c r="M6807" s="4"/>
      <c r="N6807" s="4"/>
    </row>
    <row r="6808" spans="1:14" ht="12.75" customHeight="1" x14ac:dyDescent="0.2">
      <c r="A6808" s="398" t="s">
        <v>929</v>
      </c>
      <c r="B6808" s="271"/>
      <c r="C6808" s="271"/>
      <c r="D6808" s="271"/>
      <c r="E6808" s="271"/>
      <c r="F6808" s="271"/>
      <c r="G6808" s="271"/>
      <c r="H6808" s="271"/>
      <c r="I6808" s="271"/>
      <c r="J6808" s="271"/>
      <c r="K6808" s="271"/>
      <c r="L6808" s="271"/>
      <c r="M6808" s="271"/>
      <c r="N6808" s="273"/>
    </row>
    <row r="6809" spans="1:14" ht="12.75" customHeight="1" x14ac:dyDescent="0.2">
      <c r="A6809" s="396" t="s">
        <v>76</v>
      </c>
      <c r="B6809" s="271"/>
      <c r="C6809" s="271"/>
      <c r="D6809" s="271"/>
      <c r="E6809" s="271"/>
      <c r="F6809" s="271"/>
      <c r="G6809" s="273"/>
      <c r="H6809" s="88" t="s">
        <v>77</v>
      </c>
      <c r="I6809" s="399" t="s">
        <v>920</v>
      </c>
      <c r="J6809" s="273"/>
      <c r="K6809" s="399" t="s">
        <v>453</v>
      </c>
      <c r="L6809" s="273"/>
      <c r="M6809" s="399" t="s">
        <v>921</v>
      </c>
      <c r="N6809" s="273"/>
    </row>
    <row r="6810" spans="1:14" ht="12.75" customHeight="1" x14ac:dyDescent="0.2">
      <c r="A6810" s="400" t="s">
        <v>965</v>
      </c>
      <c r="B6810" s="271"/>
      <c r="C6810" s="271"/>
      <c r="D6810" s="271"/>
      <c r="E6810" s="271"/>
      <c r="F6810" s="271"/>
      <c r="G6810" s="273"/>
      <c r="H6810" s="29" t="s">
        <v>959</v>
      </c>
      <c r="I6810" s="394">
        <f>+M6806</f>
        <v>48031.749777777775</v>
      </c>
      <c r="J6810" s="273"/>
      <c r="K6810" s="404">
        <v>0.05</v>
      </c>
      <c r="L6810" s="273"/>
      <c r="M6810" s="394">
        <f t="shared" ref="M6810:M6814" si="930">IF(A6810="","",I6810*K6810)</f>
        <v>2401.5874888888889</v>
      </c>
      <c r="N6810" s="273"/>
    </row>
    <row r="6811" spans="1:14" ht="12.75" customHeight="1" x14ac:dyDescent="0.2">
      <c r="A6811" s="403" t="s">
        <v>3172</v>
      </c>
      <c r="B6811" s="271"/>
      <c r="C6811" s="271"/>
      <c r="D6811" s="271"/>
      <c r="E6811" s="271"/>
      <c r="F6811" s="271"/>
      <c r="G6811" s="273"/>
      <c r="H6811" s="29" t="s">
        <v>3179</v>
      </c>
      <c r="I6811" s="394">
        <f>'precios '!J222</f>
        <v>2077.2367952644231</v>
      </c>
      <c r="J6811" s="273"/>
      <c r="K6811" s="417">
        <f>+Indice!$L$21</f>
        <v>49</v>
      </c>
      <c r="L6811" s="273"/>
      <c r="M6811" s="394">
        <f t="shared" si="930"/>
        <v>101784.60296795673</v>
      </c>
      <c r="N6811" s="273"/>
    </row>
    <row r="6812" spans="1:14" ht="12.75" customHeight="1" x14ac:dyDescent="0.2">
      <c r="A6812" s="400" t="s">
        <v>3173</v>
      </c>
      <c r="B6812" s="271"/>
      <c r="C6812" s="271"/>
      <c r="D6812" s="271"/>
      <c r="E6812" s="271"/>
      <c r="F6812" s="271"/>
      <c r="G6812" s="273"/>
      <c r="H6812" s="29" t="s">
        <v>24</v>
      </c>
      <c r="I6812" s="394">
        <f>+M6788+M6792</f>
        <v>392019.32860000001</v>
      </c>
      <c r="J6812" s="273"/>
      <c r="K6812" s="404">
        <v>0.05</v>
      </c>
      <c r="L6812" s="273"/>
      <c r="M6812" s="394">
        <f>IF(A6812="","",I6812*K6812)</f>
        <v>19600.96643</v>
      </c>
      <c r="N6812" s="273"/>
    </row>
    <row r="6813" spans="1:14" ht="12.75" customHeight="1" x14ac:dyDescent="0.2">
      <c r="A6813" s="400"/>
      <c r="B6813" s="271"/>
      <c r="C6813" s="271"/>
      <c r="D6813" s="271"/>
      <c r="E6813" s="271"/>
      <c r="F6813" s="271"/>
      <c r="G6813" s="273"/>
      <c r="H6813" s="29"/>
      <c r="I6813" s="394"/>
      <c r="J6813" s="273"/>
      <c r="K6813" s="395"/>
      <c r="L6813" s="273"/>
      <c r="M6813" s="394" t="str">
        <f t="shared" si="930"/>
        <v/>
      </c>
      <c r="N6813" s="273"/>
    </row>
    <row r="6814" spans="1:14" ht="12.75" customHeight="1" x14ac:dyDescent="0.2">
      <c r="A6814" s="400"/>
      <c r="B6814" s="271"/>
      <c r="C6814" s="271"/>
      <c r="D6814" s="271"/>
      <c r="E6814" s="271"/>
      <c r="F6814" s="271"/>
      <c r="G6814" s="273"/>
      <c r="H6814" s="29"/>
      <c r="I6814" s="394"/>
      <c r="J6814" s="273"/>
      <c r="K6814" s="395"/>
      <c r="L6814" s="273"/>
      <c r="M6814" s="394" t="str">
        <f t="shared" si="930"/>
        <v/>
      </c>
      <c r="N6814" s="273"/>
    </row>
    <row r="6815" spans="1:14" ht="12.75" customHeight="1" x14ac:dyDescent="0.25">
      <c r="A6815" s="4"/>
      <c r="B6815" s="4"/>
      <c r="C6815" s="4"/>
      <c r="D6815" s="4"/>
      <c r="E6815" s="4"/>
      <c r="F6815" s="4"/>
      <c r="G6815" s="4"/>
      <c r="H6815" s="4"/>
      <c r="I6815" s="4"/>
      <c r="J6815" s="4"/>
      <c r="K6815" s="396" t="s">
        <v>444</v>
      </c>
      <c r="L6815" s="273"/>
      <c r="M6815" s="394">
        <f>SUM(M6810:N6814)</f>
        <v>123787.15688684562</v>
      </c>
      <c r="N6815" s="273"/>
    </row>
    <row r="6816" spans="1:14" ht="12.75" customHeight="1" x14ac:dyDescent="0.25">
      <c r="A6816" s="4"/>
      <c r="B6816" s="4"/>
      <c r="C6816" s="4"/>
      <c r="D6816" s="4"/>
      <c r="E6816" s="4"/>
      <c r="F6816" s="4"/>
      <c r="G6816" s="4"/>
      <c r="H6816" s="4"/>
      <c r="I6816" s="4"/>
      <c r="J6816" s="4"/>
      <c r="K6816" s="4"/>
      <c r="L6816" s="4"/>
      <c r="M6816" s="4"/>
      <c r="N6816" s="4"/>
    </row>
    <row r="6817" spans="1:15" ht="12.75" customHeight="1" x14ac:dyDescent="0.2">
      <c r="A6817" s="398" t="s">
        <v>931</v>
      </c>
      <c r="B6817" s="271"/>
      <c r="C6817" s="271"/>
      <c r="D6817" s="271"/>
      <c r="E6817" s="271"/>
      <c r="F6817" s="271"/>
      <c r="G6817" s="271"/>
      <c r="H6817" s="271"/>
      <c r="I6817" s="271"/>
      <c r="J6817" s="271"/>
      <c r="K6817" s="271"/>
      <c r="L6817" s="271"/>
      <c r="M6817" s="271"/>
      <c r="N6817" s="273"/>
    </row>
    <row r="6818" spans="1:15" ht="12.75" customHeight="1" x14ac:dyDescent="0.2">
      <c r="A6818" s="396" t="s">
        <v>76</v>
      </c>
      <c r="B6818" s="271"/>
      <c r="C6818" s="271"/>
      <c r="D6818" s="271"/>
      <c r="E6818" s="271"/>
      <c r="F6818" s="271"/>
      <c r="G6818" s="273"/>
      <c r="H6818" s="88" t="s">
        <v>77</v>
      </c>
      <c r="I6818" s="399" t="s">
        <v>920</v>
      </c>
      <c r="J6818" s="273"/>
      <c r="K6818" s="90" t="s">
        <v>514</v>
      </c>
      <c r="L6818" s="91" t="s">
        <v>932</v>
      </c>
      <c r="M6818" s="399" t="s">
        <v>921</v>
      </c>
      <c r="N6818" s="273"/>
    </row>
    <row r="6819" spans="1:15" ht="12.75" customHeight="1" x14ac:dyDescent="0.25">
      <c r="A6819" s="393" t="s">
        <v>962</v>
      </c>
      <c r="B6819" s="271"/>
      <c r="C6819" s="271"/>
      <c r="D6819" s="271"/>
      <c r="E6819" s="271"/>
      <c r="F6819" s="271"/>
      <c r="G6819" s="273"/>
      <c r="H6819" s="29" t="str">
        <f>IF(A6819="","",VLOOKUP(A6819,AA_Cuadrillas,4,FALSE))</f>
        <v>Cuadrilla</v>
      </c>
      <c r="I6819" s="394">
        <f>IF(A6819="","",VLOOKUP(A6819,AA_Cuadrillas,5,FALSE))</f>
        <v>396871</v>
      </c>
      <c r="J6819" s="273"/>
      <c r="K6819" s="9">
        <f>IF(A6819="","",F.P!$I$2)</f>
        <v>1.88</v>
      </c>
      <c r="L6819" s="93">
        <f>1/4.5</f>
        <v>0.22222222222222221</v>
      </c>
      <c r="M6819" s="394">
        <f t="shared" ref="M6819:M6823" si="931">IF(A6819="","",I6819*K6819*L6819)</f>
        <v>165803.88444444444</v>
      </c>
      <c r="N6819" s="273"/>
    </row>
    <row r="6820" spans="1:15" ht="12.75" customHeight="1" x14ac:dyDescent="0.25">
      <c r="A6820" s="393"/>
      <c r="B6820" s="271"/>
      <c r="C6820" s="271"/>
      <c r="D6820" s="271"/>
      <c r="E6820" s="271"/>
      <c r="F6820" s="271"/>
      <c r="G6820" s="273"/>
      <c r="H6820" s="29" t="str">
        <f>IF(A6820="","",VLOOKUP(A6820,AA_Cuadrillas,4,FALSE))</f>
        <v/>
      </c>
      <c r="I6820" s="394" t="str">
        <f>IF(A6820="","",VLOOKUP(A6820,AA_Cuadrillas,5,FALSE))</f>
        <v/>
      </c>
      <c r="J6820" s="273"/>
      <c r="K6820" s="9" t="str">
        <f>IF(A6820="","",F.P!$I$2)</f>
        <v/>
      </c>
      <c r="L6820" s="9"/>
      <c r="M6820" s="394" t="str">
        <f t="shared" si="931"/>
        <v/>
      </c>
      <c r="N6820" s="273"/>
    </row>
    <row r="6821" spans="1:15" ht="12.75" customHeight="1" x14ac:dyDescent="0.25">
      <c r="A6821" s="393"/>
      <c r="B6821" s="271"/>
      <c r="C6821" s="271"/>
      <c r="D6821" s="271"/>
      <c r="E6821" s="271"/>
      <c r="F6821" s="271"/>
      <c r="G6821" s="273"/>
      <c r="H6821" s="29" t="str">
        <f>IF(A6821="","",VLOOKUP(A6821,AA_Cuadrillas,4,FALSE))</f>
        <v/>
      </c>
      <c r="I6821" s="394" t="str">
        <f>IF(A6821="","",VLOOKUP(A6821,AA_Cuadrillas,5,FALSE))</f>
        <v/>
      </c>
      <c r="J6821" s="273"/>
      <c r="K6821" s="9" t="str">
        <f>IF(A6821="","",F.P!$I$2)</f>
        <v/>
      </c>
      <c r="L6821" s="37"/>
      <c r="M6821" s="394" t="str">
        <f t="shared" si="931"/>
        <v/>
      </c>
      <c r="N6821" s="273"/>
    </row>
    <row r="6822" spans="1:15" ht="12.75" customHeight="1" x14ac:dyDescent="0.25">
      <c r="A6822" s="393"/>
      <c r="B6822" s="271"/>
      <c r="C6822" s="271"/>
      <c r="D6822" s="271"/>
      <c r="E6822" s="271"/>
      <c r="F6822" s="271"/>
      <c r="G6822" s="273"/>
      <c r="H6822" s="29" t="str">
        <f>IF(A6822="","",VLOOKUP(A6822,AA_Cuadrillas,4,FALSE))</f>
        <v/>
      </c>
      <c r="I6822" s="394" t="str">
        <f>IF(A6822="","",VLOOKUP(A6822,AA_Cuadrillas,5,FALSE))</f>
        <v/>
      </c>
      <c r="J6822" s="273"/>
      <c r="K6822" s="9" t="str">
        <f>IF(A6822="","",F.P!$I$2)</f>
        <v/>
      </c>
      <c r="L6822" s="37"/>
      <c r="M6822" s="394" t="str">
        <f t="shared" si="931"/>
        <v/>
      </c>
      <c r="N6822" s="273"/>
    </row>
    <row r="6823" spans="1:15" ht="12.75" customHeight="1" x14ac:dyDescent="0.25">
      <c r="A6823" s="393"/>
      <c r="B6823" s="271"/>
      <c r="C6823" s="271"/>
      <c r="D6823" s="271"/>
      <c r="E6823" s="271"/>
      <c r="F6823" s="271"/>
      <c r="G6823" s="273"/>
      <c r="H6823" s="29" t="str">
        <f>IF(A6823="","",VLOOKUP(A6823,AA_Cuadrillas,4,FALSE))</f>
        <v/>
      </c>
      <c r="I6823" s="394" t="str">
        <f>IF(A6823="","",VLOOKUP(A6823,AA_Cuadrillas,5,FALSE))</f>
        <v/>
      </c>
      <c r="J6823" s="273"/>
      <c r="K6823" s="9" t="str">
        <f>IF(A6823="","",F.P!$I$2)</f>
        <v/>
      </c>
      <c r="L6823" s="37"/>
      <c r="M6823" s="394" t="str">
        <f t="shared" si="931"/>
        <v/>
      </c>
      <c r="N6823" s="273"/>
    </row>
    <row r="6824" spans="1:15" ht="12.75" customHeight="1" x14ac:dyDescent="0.25">
      <c r="A6824" s="4"/>
      <c r="B6824" s="4"/>
      <c r="C6824" s="4"/>
      <c r="D6824" s="4"/>
      <c r="E6824" s="4"/>
      <c r="F6824" s="4"/>
      <c r="G6824" s="4"/>
      <c r="H6824" s="4"/>
      <c r="I6824" s="4"/>
      <c r="J6824" s="4"/>
      <c r="K6824" s="396" t="s">
        <v>444</v>
      </c>
      <c r="L6824" s="273"/>
      <c r="M6824" s="394">
        <f>SUM(M6819:N6823)</f>
        <v>165803.88444444444</v>
      </c>
      <c r="N6824" s="273"/>
    </row>
    <row r="6825" spans="1:15" ht="12.75" customHeight="1" x14ac:dyDescent="0.2"/>
    <row r="6826" spans="1:15" ht="12.75" customHeight="1" x14ac:dyDescent="0.2">
      <c r="A6826" s="397" t="s">
        <v>292</v>
      </c>
      <c r="B6826" s="275"/>
      <c r="C6826" s="275"/>
      <c r="D6826" s="275"/>
      <c r="E6826" s="275"/>
      <c r="F6826" s="275"/>
      <c r="G6826" s="275"/>
      <c r="H6826" s="275"/>
      <c r="I6826" s="275"/>
      <c r="J6826" s="275"/>
      <c r="K6826" s="275"/>
      <c r="L6826" s="275"/>
      <c r="M6826" s="275"/>
      <c r="N6826" s="276"/>
      <c r="O6826" s="166"/>
    </row>
    <row r="6827" spans="1:15" ht="12.75" customHeight="1" x14ac:dyDescent="0.2">
      <c r="A6827" s="277"/>
      <c r="B6827" s="278"/>
      <c r="C6827" s="278"/>
      <c r="D6827" s="278"/>
      <c r="E6827" s="278"/>
      <c r="F6827" s="278"/>
      <c r="G6827" s="278"/>
      <c r="H6827" s="278"/>
      <c r="I6827" s="278"/>
      <c r="J6827" s="278"/>
      <c r="K6827" s="278"/>
      <c r="L6827" s="278"/>
      <c r="M6827" s="278"/>
      <c r="N6827" s="279"/>
      <c r="O6827" s="166"/>
    </row>
    <row r="6828" spans="1:15" ht="12.75" customHeight="1" x14ac:dyDescent="0.2">
      <c r="A6828" s="75"/>
      <c r="B6828" s="75"/>
      <c r="C6828" s="75"/>
      <c r="D6828" s="75"/>
      <c r="E6828" s="75"/>
      <c r="F6828" s="75"/>
      <c r="G6828" s="75"/>
      <c r="H6828" s="75"/>
      <c r="I6828" s="75"/>
      <c r="J6828" s="75"/>
      <c r="K6828" s="75"/>
      <c r="L6828" s="75"/>
      <c r="M6828" s="75"/>
      <c r="N6828" s="75"/>
    </row>
    <row r="6829" spans="1:15" ht="12.75" customHeight="1" x14ac:dyDescent="0.3">
      <c r="A6829" s="79" t="s">
        <v>771</v>
      </c>
      <c r="B6829" s="80" t="str">
        <f>A6826</f>
        <v>ENTIBADO METÁLICO TIPO 3; SISTEMA DE GUÍAS CORREDERA COMPUESTA DE 4 PANELES 3,5X2,4 M PARA ALTURA ENTIBADA DE 4,8 M, PARA PROFUNDIDADES MAYORES A 4,0M (INCLUYE CODALES PARA ASEGURACIÓN DE LOS PANELES MATERIALES, HERRAMIENTAS Y MANO DE OBRA)</v>
      </c>
      <c r="C6829" s="81" t="s">
        <v>916</v>
      </c>
      <c r="D6829" s="82" t="s">
        <v>934</v>
      </c>
      <c r="E6829" s="83" t="s">
        <v>445</v>
      </c>
      <c r="F6829" s="234">
        <f>(H6829+J6829+L6829+N6829)*1.3</f>
        <v>437985.6027408333</v>
      </c>
      <c r="G6829" s="83" t="s">
        <v>607</v>
      </c>
      <c r="H6829" s="86">
        <f>M6851</f>
        <v>282552.53216666664</v>
      </c>
      <c r="I6829" s="83" t="s">
        <v>918</v>
      </c>
      <c r="J6829" s="86">
        <f>M6842</f>
        <v>0</v>
      </c>
      <c r="K6829" s="83" t="s">
        <v>609</v>
      </c>
      <c r="L6829" s="86">
        <f>M6860</f>
        <v>14127.626608333332</v>
      </c>
      <c r="M6829" s="83" t="s">
        <v>610</v>
      </c>
      <c r="N6829" s="86">
        <f>M6869</f>
        <v>40231.843333333331</v>
      </c>
    </row>
    <row r="6830" spans="1:15" ht="12.75" customHeight="1" x14ac:dyDescent="0.25">
      <c r="A6830" s="87"/>
      <c r="B6830" s="87"/>
      <c r="C6830" s="87"/>
      <c r="D6830" s="87"/>
      <c r="E6830" s="87"/>
      <c r="F6830" s="87"/>
      <c r="G6830" s="87"/>
      <c r="J6830" s="87"/>
      <c r="K6830" s="215" t="s">
        <v>3217</v>
      </c>
      <c r="L6830" s="215">
        <f>+F6829*presup!$O$5</f>
        <v>569381.28356308327</v>
      </c>
      <c r="M6830" s="87"/>
      <c r="N6830" s="87"/>
    </row>
    <row r="6831" spans="1:15" ht="12.75" customHeight="1" x14ac:dyDescent="0.2">
      <c r="A6831" s="398" t="s">
        <v>919</v>
      </c>
      <c r="B6831" s="271"/>
      <c r="C6831" s="271"/>
      <c r="D6831" s="271"/>
      <c r="E6831" s="271"/>
      <c r="F6831" s="271"/>
      <c r="G6831" s="271"/>
      <c r="H6831" s="271"/>
      <c r="I6831" s="271"/>
      <c r="J6831" s="271"/>
      <c r="K6831" s="271"/>
      <c r="L6831" s="271"/>
      <c r="M6831" s="271"/>
      <c r="N6831" s="273"/>
    </row>
    <row r="6832" spans="1:15" ht="12.75" customHeight="1" x14ac:dyDescent="0.2">
      <c r="A6832" s="396" t="s">
        <v>76</v>
      </c>
      <c r="B6832" s="271"/>
      <c r="C6832" s="271"/>
      <c r="D6832" s="271"/>
      <c r="E6832" s="271"/>
      <c r="F6832" s="271"/>
      <c r="G6832" s="273"/>
      <c r="H6832" s="88" t="s">
        <v>77</v>
      </c>
      <c r="I6832" s="399" t="s">
        <v>920</v>
      </c>
      <c r="J6832" s="273"/>
      <c r="K6832" s="399" t="s">
        <v>453</v>
      </c>
      <c r="L6832" s="273"/>
      <c r="M6832" s="399" t="s">
        <v>921</v>
      </c>
      <c r="N6832" s="273"/>
    </row>
    <row r="6833" spans="1:14" ht="12.75" customHeight="1" x14ac:dyDescent="0.2">
      <c r="A6833" s="400"/>
      <c r="B6833" s="271"/>
      <c r="C6833" s="271"/>
      <c r="D6833" s="271"/>
      <c r="E6833" s="271"/>
      <c r="F6833" s="271"/>
      <c r="G6833" s="273"/>
      <c r="H6833" s="29" t="str">
        <f t="shared" ref="H6833:H6841" si="932">IF(A6833="","",VLOOKUP(A6833,AA_Materiales,7,FALSE))</f>
        <v/>
      </c>
      <c r="I6833" s="394" t="str">
        <f t="shared" ref="I6833:I6841" si="933">IF(A6833="","",VLOOKUP(A6833,AA_Materiales,8,FALSE))</f>
        <v/>
      </c>
      <c r="J6833" s="273"/>
      <c r="K6833" s="395"/>
      <c r="L6833" s="273"/>
      <c r="M6833" s="394" t="str">
        <f t="shared" ref="M6833:M6841" si="934">IF(A6833="","",I6833*K6833)</f>
        <v/>
      </c>
      <c r="N6833" s="273"/>
    </row>
    <row r="6834" spans="1:14" ht="12.75" customHeight="1" x14ac:dyDescent="0.2">
      <c r="A6834" s="400"/>
      <c r="B6834" s="271"/>
      <c r="C6834" s="271"/>
      <c r="D6834" s="271"/>
      <c r="E6834" s="271"/>
      <c r="F6834" s="271"/>
      <c r="G6834" s="273"/>
      <c r="H6834" s="29" t="str">
        <f t="shared" si="932"/>
        <v/>
      </c>
      <c r="I6834" s="394" t="str">
        <f t="shared" si="933"/>
        <v/>
      </c>
      <c r="J6834" s="273"/>
      <c r="K6834" s="395"/>
      <c r="L6834" s="273"/>
      <c r="M6834" s="394" t="str">
        <f t="shared" si="934"/>
        <v/>
      </c>
      <c r="N6834" s="273"/>
    </row>
    <row r="6835" spans="1:14" ht="12.75" customHeight="1" x14ac:dyDescent="0.2">
      <c r="A6835" s="400"/>
      <c r="B6835" s="271"/>
      <c r="C6835" s="271"/>
      <c r="D6835" s="271"/>
      <c r="E6835" s="271"/>
      <c r="F6835" s="271"/>
      <c r="G6835" s="273"/>
      <c r="H6835" s="29" t="str">
        <f t="shared" si="932"/>
        <v/>
      </c>
      <c r="I6835" s="394" t="str">
        <f t="shared" si="933"/>
        <v/>
      </c>
      <c r="J6835" s="273"/>
      <c r="K6835" s="395"/>
      <c r="L6835" s="273"/>
      <c r="M6835" s="394" t="str">
        <f t="shared" si="934"/>
        <v/>
      </c>
      <c r="N6835" s="273"/>
    </row>
    <row r="6836" spans="1:14" ht="12.75" customHeight="1" x14ac:dyDescent="0.2">
      <c r="A6836" s="400"/>
      <c r="B6836" s="271"/>
      <c r="C6836" s="271"/>
      <c r="D6836" s="271"/>
      <c r="E6836" s="271"/>
      <c r="F6836" s="271"/>
      <c r="G6836" s="273"/>
      <c r="H6836" s="29" t="str">
        <f t="shared" si="932"/>
        <v/>
      </c>
      <c r="I6836" s="394" t="str">
        <f t="shared" si="933"/>
        <v/>
      </c>
      <c r="J6836" s="273"/>
      <c r="K6836" s="395"/>
      <c r="L6836" s="273"/>
      <c r="M6836" s="394" t="str">
        <f t="shared" si="934"/>
        <v/>
      </c>
      <c r="N6836" s="273"/>
    </row>
    <row r="6837" spans="1:14" ht="12.75" customHeight="1" x14ac:dyDescent="0.2">
      <c r="A6837" s="400"/>
      <c r="B6837" s="271"/>
      <c r="C6837" s="271"/>
      <c r="D6837" s="271"/>
      <c r="E6837" s="271"/>
      <c r="F6837" s="271"/>
      <c r="G6837" s="273"/>
      <c r="H6837" s="29" t="str">
        <f t="shared" si="932"/>
        <v/>
      </c>
      <c r="I6837" s="394" t="str">
        <f t="shared" si="933"/>
        <v/>
      </c>
      <c r="J6837" s="273"/>
      <c r="K6837" s="395"/>
      <c r="L6837" s="273"/>
      <c r="M6837" s="394" t="str">
        <f t="shared" si="934"/>
        <v/>
      </c>
      <c r="N6837" s="273"/>
    </row>
    <row r="6838" spans="1:14" ht="12.75" customHeight="1" x14ac:dyDescent="0.2">
      <c r="A6838" s="400"/>
      <c r="B6838" s="271"/>
      <c r="C6838" s="271"/>
      <c r="D6838" s="271"/>
      <c r="E6838" s="271"/>
      <c r="F6838" s="271"/>
      <c r="G6838" s="273"/>
      <c r="H6838" s="29" t="str">
        <f t="shared" si="932"/>
        <v/>
      </c>
      <c r="I6838" s="394" t="str">
        <f t="shared" si="933"/>
        <v/>
      </c>
      <c r="J6838" s="273"/>
      <c r="K6838" s="395"/>
      <c r="L6838" s="273"/>
      <c r="M6838" s="394" t="str">
        <f t="shared" si="934"/>
        <v/>
      </c>
      <c r="N6838" s="273"/>
    </row>
    <row r="6839" spans="1:14" ht="12.75" customHeight="1" x14ac:dyDescent="0.2">
      <c r="A6839" s="400"/>
      <c r="B6839" s="271"/>
      <c r="C6839" s="271"/>
      <c r="D6839" s="271"/>
      <c r="E6839" s="271"/>
      <c r="F6839" s="271"/>
      <c r="G6839" s="273"/>
      <c r="H6839" s="29" t="str">
        <f t="shared" si="932"/>
        <v/>
      </c>
      <c r="I6839" s="394" t="str">
        <f t="shared" si="933"/>
        <v/>
      </c>
      <c r="J6839" s="273"/>
      <c r="K6839" s="395"/>
      <c r="L6839" s="273"/>
      <c r="M6839" s="394" t="str">
        <f t="shared" si="934"/>
        <v/>
      </c>
      <c r="N6839" s="273"/>
    </row>
    <row r="6840" spans="1:14" ht="12.75" customHeight="1" x14ac:dyDescent="0.2">
      <c r="A6840" s="400"/>
      <c r="B6840" s="271"/>
      <c r="C6840" s="271"/>
      <c r="D6840" s="271"/>
      <c r="E6840" s="271"/>
      <c r="F6840" s="271"/>
      <c r="G6840" s="273"/>
      <c r="H6840" s="29" t="str">
        <f t="shared" si="932"/>
        <v/>
      </c>
      <c r="I6840" s="394" t="str">
        <f t="shared" si="933"/>
        <v/>
      </c>
      <c r="J6840" s="273"/>
      <c r="K6840" s="395"/>
      <c r="L6840" s="273"/>
      <c r="M6840" s="394" t="str">
        <f t="shared" si="934"/>
        <v/>
      </c>
      <c r="N6840" s="273"/>
    </row>
    <row r="6841" spans="1:14" ht="12.75" customHeight="1" x14ac:dyDescent="0.2">
      <c r="A6841" s="400"/>
      <c r="B6841" s="271"/>
      <c r="C6841" s="271"/>
      <c r="D6841" s="271"/>
      <c r="E6841" s="271"/>
      <c r="F6841" s="271"/>
      <c r="G6841" s="273"/>
      <c r="H6841" s="29" t="str">
        <f t="shared" si="932"/>
        <v/>
      </c>
      <c r="I6841" s="394" t="str">
        <f t="shared" si="933"/>
        <v/>
      </c>
      <c r="J6841" s="273"/>
      <c r="K6841" s="395"/>
      <c r="L6841" s="273"/>
      <c r="M6841" s="394" t="str">
        <f t="shared" si="934"/>
        <v/>
      </c>
      <c r="N6841" s="273"/>
    </row>
    <row r="6842" spans="1:14" ht="12.75" customHeight="1" x14ac:dyDescent="0.25">
      <c r="A6842" s="4"/>
      <c r="B6842" s="4"/>
      <c r="C6842" s="4"/>
      <c r="D6842" s="4"/>
      <c r="E6842" s="4"/>
      <c r="F6842" s="4"/>
      <c r="G6842" s="4"/>
      <c r="H6842" s="4"/>
      <c r="I6842" s="4"/>
      <c r="J6842" s="4"/>
      <c r="K6842" s="396" t="s">
        <v>444</v>
      </c>
      <c r="L6842" s="273"/>
      <c r="M6842" s="394">
        <f>SUM(M6833:N6841)</f>
        <v>0</v>
      </c>
      <c r="N6842" s="273"/>
    </row>
    <row r="6843" spans="1:14" ht="12.75" customHeight="1" x14ac:dyDescent="0.25">
      <c r="A6843" s="4"/>
      <c r="B6843" s="4"/>
      <c r="C6843" s="4"/>
      <c r="D6843" s="4"/>
      <c r="E6843" s="4"/>
      <c r="F6843" s="4"/>
      <c r="G6843" s="4"/>
      <c r="H6843" s="4"/>
      <c r="I6843" s="4"/>
      <c r="J6843" s="4"/>
      <c r="K6843" s="4"/>
      <c r="L6843" s="4"/>
      <c r="M6843" s="4"/>
      <c r="N6843" s="4"/>
    </row>
    <row r="6844" spans="1:14" ht="12.75" customHeight="1" x14ac:dyDescent="0.2">
      <c r="A6844" s="398" t="s">
        <v>926</v>
      </c>
      <c r="B6844" s="271"/>
      <c r="C6844" s="271"/>
      <c r="D6844" s="271"/>
      <c r="E6844" s="271"/>
      <c r="F6844" s="271"/>
      <c r="G6844" s="271"/>
      <c r="H6844" s="271"/>
      <c r="I6844" s="271"/>
      <c r="J6844" s="271"/>
      <c r="K6844" s="271"/>
      <c r="L6844" s="271"/>
      <c r="M6844" s="271"/>
      <c r="N6844" s="273"/>
    </row>
    <row r="6845" spans="1:14" ht="12.75" customHeight="1" x14ac:dyDescent="0.2">
      <c r="A6845" s="396" t="s">
        <v>76</v>
      </c>
      <c r="B6845" s="271"/>
      <c r="C6845" s="271"/>
      <c r="D6845" s="271"/>
      <c r="E6845" s="271"/>
      <c r="F6845" s="271"/>
      <c r="G6845" s="273"/>
      <c r="H6845" s="88" t="s">
        <v>77</v>
      </c>
      <c r="I6845" s="399" t="s">
        <v>920</v>
      </c>
      <c r="J6845" s="273"/>
      <c r="K6845" s="399" t="s">
        <v>453</v>
      </c>
      <c r="L6845" s="273"/>
      <c r="M6845" s="399" t="s">
        <v>921</v>
      </c>
      <c r="N6845" s="273"/>
    </row>
    <row r="6846" spans="1:14" ht="12.75" customHeight="1" x14ac:dyDescent="0.2">
      <c r="A6846" s="400" t="s">
        <v>927</v>
      </c>
      <c r="B6846" s="271"/>
      <c r="C6846" s="271"/>
      <c r="D6846" s="271"/>
      <c r="E6846" s="271"/>
      <c r="F6846" s="271"/>
      <c r="G6846" s="273"/>
      <c r="H6846" s="29" t="str">
        <f>IF(A6846="","",VLOOKUP(A6846,AA_Equipos,7,FALSE))</f>
        <v>% M.O.</v>
      </c>
      <c r="I6846" s="394">
        <f>M6869</f>
        <v>40231.843333333331</v>
      </c>
      <c r="J6846" s="273"/>
      <c r="K6846" s="404">
        <v>0.05</v>
      </c>
      <c r="L6846" s="273"/>
      <c r="M6846" s="394">
        <f t="shared" ref="M6846:M6850" si="935">IF(A6846="","",I6846*K6846)</f>
        <v>2011.5921666666666</v>
      </c>
      <c r="N6846" s="273"/>
    </row>
    <row r="6847" spans="1:14" ht="12.75" customHeight="1" x14ac:dyDescent="0.2">
      <c r="A6847" s="403" t="s">
        <v>1288</v>
      </c>
      <c r="B6847" s="271"/>
      <c r="C6847" s="271"/>
      <c r="D6847" s="271"/>
      <c r="E6847" s="271"/>
      <c r="F6847" s="271"/>
      <c r="G6847" s="273"/>
      <c r="H6847" s="29" t="str">
        <f>IF(A6847="","",VLOOKUP(A6847,AA_Equipos,7,FALSE))</f>
        <v>m2</v>
      </c>
      <c r="I6847" s="394">
        <f>IF(A6847="","",VLOOKUP(A6847,AA_Equipos,8,FALSE))</f>
        <v>8270.4699999999993</v>
      </c>
      <c r="J6847" s="273"/>
      <c r="K6847" s="402">
        <v>2</v>
      </c>
      <c r="L6847" s="273"/>
      <c r="M6847" s="394">
        <f t="shared" si="935"/>
        <v>16540.939999999999</v>
      </c>
      <c r="N6847" s="273"/>
    </row>
    <row r="6848" spans="1:14" ht="12.75" customHeight="1" x14ac:dyDescent="0.2">
      <c r="A6848" s="403" t="s">
        <v>941</v>
      </c>
      <c r="B6848" s="271"/>
      <c r="C6848" s="271"/>
      <c r="D6848" s="271"/>
      <c r="E6848" s="271"/>
      <c r="F6848" s="271"/>
      <c r="G6848" s="273"/>
      <c r="H6848" s="29" t="str">
        <f>IF(A6848="","",VLOOKUP(A6848,AA_Equipos,7,FALSE))</f>
        <v>Hora</v>
      </c>
      <c r="I6848" s="394">
        <f>IF(A6848="","",VLOOKUP(A6848,AA_Equipos,8,FALSE))</f>
        <v>145200</v>
      </c>
      <c r="J6848" s="273"/>
      <c r="K6848" s="395">
        <f>1/0.55</f>
        <v>1.8181818181818181</v>
      </c>
      <c r="L6848" s="273"/>
      <c r="M6848" s="394">
        <f t="shared" si="935"/>
        <v>264000</v>
      </c>
      <c r="N6848" s="273"/>
    </row>
    <row r="6849" spans="1:14" ht="12.75" customHeight="1" x14ac:dyDescent="0.2">
      <c r="A6849" s="400"/>
      <c r="B6849" s="271"/>
      <c r="C6849" s="271"/>
      <c r="D6849" s="271"/>
      <c r="E6849" s="271"/>
      <c r="F6849" s="271"/>
      <c r="G6849" s="273"/>
      <c r="H6849" s="29" t="str">
        <f>IF(A6849="","",VLOOKUP(A6849,AA_Equipos,7,FALSE))</f>
        <v/>
      </c>
      <c r="I6849" s="394" t="str">
        <f>IF(A6849="","",VLOOKUP(A6849,AA_Equipos,8,FALSE))</f>
        <v/>
      </c>
      <c r="J6849" s="273"/>
      <c r="K6849" s="395"/>
      <c r="L6849" s="273"/>
      <c r="M6849" s="394" t="str">
        <f t="shared" si="935"/>
        <v/>
      </c>
      <c r="N6849" s="273"/>
    </row>
    <row r="6850" spans="1:14" ht="12.75" customHeight="1" x14ac:dyDescent="0.2">
      <c r="A6850" s="400"/>
      <c r="B6850" s="271"/>
      <c r="C6850" s="271"/>
      <c r="D6850" s="271"/>
      <c r="E6850" s="271"/>
      <c r="F6850" s="271"/>
      <c r="G6850" s="273"/>
      <c r="H6850" s="29" t="str">
        <f>IF(A6850="","",VLOOKUP(A6850,AA_Equipos,7,FALSE))</f>
        <v/>
      </c>
      <c r="I6850" s="394" t="str">
        <f>IF(A6850="","",VLOOKUP(A6850,AA_Equipos,8,FALSE))</f>
        <v/>
      </c>
      <c r="J6850" s="273"/>
      <c r="K6850" s="395"/>
      <c r="L6850" s="273"/>
      <c r="M6850" s="394" t="str">
        <f t="shared" si="935"/>
        <v/>
      </c>
      <c r="N6850" s="273"/>
    </row>
    <row r="6851" spans="1:14" ht="12.75" customHeight="1" x14ac:dyDescent="0.25">
      <c r="A6851" s="4"/>
      <c r="B6851" s="4"/>
      <c r="C6851" s="4"/>
      <c r="D6851" s="4"/>
      <c r="E6851" s="4"/>
      <c r="F6851" s="4"/>
      <c r="G6851" s="4"/>
      <c r="H6851" s="4"/>
      <c r="I6851" s="4"/>
      <c r="J6851" s="4"/>
      <c r="K6851" s="396" t="s">
        <v>444</v>
      </c>
      <c r="L6851" s="273"/>
      <c r="M6851" s="394">
        <f>SUM(M6846:N6850)</f>
        <v>282552.53216666664</v>
      </c>
      <c r="N6851" s="273"/>
    </row>
    <row r="6852" spans="1:14" ht="12.75" customHeight="1" x14ac:dyDescent="0.25">
      <c r="A6852" s="4"/>
      <c r="B6852" s="4"/>
      <c r="C6852" s="4"/>
      <c r="D6852" s="4"/>
      <c r="E6852" s="4"/>
      <c r="F6852" s="4"/>
      <c r="G6852" s="4"/>
      <c r="H6852" s="4"/>
      <c r="I6852" s="4"/>
      <c r="J6852" s="4"/>
      <c r="K6852" s="4"/>
      <c r="L6852" s="4"/>
      <c r="M6852" s="4"/>
      <c r="N6852" s="4"/>
    </row>
    <row r="6853" spans="1:14" ht="12.75" customHeight="1" x14ac:dyDescent="0.2">
      <c r="A6853" s="398" t="s">
        <v>929</v>
      </c>
      <c r="B6853" s="271"/>
      <c r="C6853" s="271"/>
      <c r="D6853" s="271"/>
      <c r="E6853" s="271"/>
      <c r="F6853" s="271"/>
      <c r="G6853" s="271"/>
      <c r="H6853" s="271"/>
      <c r="I6853" s="271"/>
      <c r="J6853" s="271"/>
      <c r="K6853" s="271"/>
      <c r="L6853" s="271"/>
      <c r="M6853" s="271"/>
      <c r="N6853" s="273"/>
    </row>
    <row r="6854" spans="1:14" ht="12.75" customHeight="1" x14ac:dyDescent="0.2">
      <c r="A6854" s="396" t="s">
        <v>76</v>
      </c>
      <c r="B6854" s="271"/>
      <c r="C6854" s="271"/>
      <c r="D6854" s="271"/>
      <c r="E6854" s="271"/>
      <c r="F6854" s="271"/>
      <c r="G6854" s="273"/>
      <c r="H6854" s="88" t="s">
        <v>77</v>
      </c>
      <c r="I6854" s="399" t="s">
        <v>920</v>
      </c>
      <c r="J6854" s="273"/>
      <c r="K6854" s="399" t="s">
        <v>453</v>
      </c>
      <c r="L6854" s="273"/>
      <c r="M6854" s="399" t="s">
        <v>921</v>
      </c>
      <c r="N6854" s="273"/>
    </row>
    <row r="6855" spans="1:14" ht="12.75" customHeight="1" x14ac:dyDescent="0.2">
      <c r="A6855" s="400" t="s">
        <v>965</v>
      </c>
      <c r="B6855" s="271"/>
      <c r="C6855" s="271"/>
      <c r="D6855" s="271"/>
      <c r="E6855" s="271"/>
      <c r="F6855" s="271"/>
      <c r="G6855" s="273"/>
      <c r="H6855" s="29" t="s">
        <v>959</v>
      </c>
      <c r="I6855" s="394">
        <f>+M6851</f>
        <v>282552.53216666664</v>
      </c>
      <c r="J6855" s="273"/>
      <c r="K6855" s="404">
        <v>0.05</v>
      </c>
      <c r="L6855" s="273"/>
      <c r="M6855" s="394">
        <f t="shared" ref="M6855:M6859" si="936">IF(A6855="","",I6855*K6855)</f>
        <v>14127.626608333332</v>
      </c>
      <c r="N6855" s="273"/>
    </row>
    <row r="6856" spans="1:14" ht="12.75" customHeight="1" x14ac:dyDescent="0.2">
      <c r="A6856" s="403"/>
      <c r="B6856" s="271"/>
      <c r="C6856" s="271"/>
      <c r="D6856" s="271"/>
      <c r="E6856" s="271"/>
      <c r="F6856" s="271"/>
      <c r="G6856" s="273"/>
      <c r="H6856" s="29"/>
      <c r="I6856" s="394"/>
      <c r="J6856" s="273"/>
      <c r="K6856" s="417"/>
      <c r="L6856" s="273"/>
      <c r="M6856" s="394" t="str">
        <f t="shared" si="936"/>
        <v/>
      </c>
      <c r="N6856" s="273"/>
    </row>
    <row r="6857" spans="1:14" ht="12.75" customHeight="1" x14ac:dyDescent="0.2">
      <c r="A6857" s="400"/>
      <c r="B6857" s="271"/>
      <c r="C6857" s="271"/>
      <c r="D6857" s="271"/>
      <c r="E6857" s="271"/>
      <c r="F6857" s="271"/>
      <c r="G6857" s="273"/>
      <c r="H6857" s="29"/>
      <c r="I6857" s="394"/>
      <c r="J6857" s="273"/>
      <c r="K6857" s="395"/>
      <c r="L6857" s="273"/>
      <c r="M6857" s="394" t="str">
        <f t="shared" si="936"/>
        <v/>
      </c>
      <c r="N6857" s="273"/>
    </row>
    <row r="6858" spans="1:14" ht="12.75" customHeight="1" x14ac:dyDescent="0.2">
      <c r="A6858" s="400"/>
      <c r="B6858" s="271"/>
      <c r="C6858" s="271"/>
      <c r="D6858" s="271"/>
      <c r="E6858" s="271"/>
      <c r="F6858" s="271"/>
      <c r="G6858" s="273"/>
      <c r="H6858" s="29"/>
      <c r="I6858" s="394"/>
      <c r="J6858" s="273"/>
      <c r="K6858" s="395"/>
      <c r="L6858" s="273"/>
      <c r="M6858" s="394" t="str">
        <f t="shared" si="936"/>
        <v/>
      </c>
      <c r="N6858" s="273"/>
    </row>
    <row r="6859" spans="1:14" ht="12.75" customHeight="1" x14ac:dyDescent="0.2">
      <c r="A6859" s="400"/>
      <c r="B6859" s="271"/>
      <c r="C6859" s="271"/>
      <c r="D6859" s="271"/>
      <c r="E6859" s="271"/>
      <c r="F6859" s="271"/>
      <c r="G6859" s="273"/>
      <c r="H6859" s="29"/>
      <c r="I6859" s="394"/>
      <c r="J6859" s="273"/>
      <c r="K6859" s="395"/>
      <c r="L6859" s="273"/>
      <c r="M6859" s="394" t="str">
        <f t="shared" si="936"/>
        <v/>
      </c>
      <c r="N6859" s="273"/>
    </row>
    <row r="6860" spans="1:14" ht="12.75" customHeight="1" x14ac:dyDescent="0.25">
      <c r="A6860" s="4"/>
      <c r="B6860" s="4"/>
      <c r="C6860" s="4"/>
      <c r="D6860" s="4"/>
      <c r="E6860" s="4"/>
      <c r="F6860" s="4"/>
      <c r="G6860" s="4"/>
      <c r="H6860" s="4"/>
      <c r="I6860" s="4"/>
      <c r="J6860" s="4"/>
      <c r="K6860" s="396" t="s">
        <v>444</v>
      </c>
      <c r="L6860" s="273"/>
      <c r="M6860" s="394">
        <f>SUM(M6855:N6859)</f>
        <v>14127.626608333332</v>
      </c>
      <c r="N6860" s="273"/>
    </row>
    <row r="6861" spans="1:14" ht="12.75" customHeight="1" x14ac:dyDescent="0.25">
      <c r="A6861" s="4"/>
      <c r="B6861" s="4"/>
      <c r="C6861" s="4"/>
      <c r="D6861" s="4"/>
      <c r="E6861" s="4"/>
      <c r="F6861" s="4"/>
      <c r="G6861" s="4"/>
      <c r="H6861" s="4"/>
      <c r="I6861" s="4"/>
      <c r="J6861" s="4"/>
      <c r="K6861" s="4"/>
      <c r="L6861" s="4"/>
      <c r="M6861" s="4"/>
      <c r="N6861" s="4"/>
    </row>
    <row r="6862" spans="1:14" ht="12.75" customHeight="1" x14ac:dyDescent="0.2">
      <c r="A6862" s="398" t="s">
        <v>931</v>
      </c>
      <c r="B6862" s="271"/>
      <c r="C6862" s="271"/>
      <c r="D6862" s="271"/>
      <c r="E6862" s="271"/>
      <c r="F6862" s="271"/>
      <c r="G6862" s="271"/>
      <c r="H6862" s="271"/>
      <c r="I6862" s="271"/>
      <c r="J6862" s="271"/>
      <c r="K6862" s="271"/>
      <c r="L6862" s="271"/>
      <c r="M6862" s="271"/>
      <c r="N6862" s="273"/>
    </row>
    <row r="6863" spans="1:14" ht="12.75" customHeight="1" x14ac:dyDescent="0.2">
      <c r="A6863" s="396" t="s">
        <v>76</v>
      </c>
      <c r="B6863" s="271"/>
      <c r="C6863" s="271"/>
      <c r="D6863" s="271"/>
      <c r="E6863" s="271"/>
      <c r="F6863" s="271"/>
      <c r="G6863" s="273"/>
      <c r="H6863" s="88" t="s">
        <v>77</v>
      </c>
      <c r="I6863" s="399" t="s">
        <v>920</v>
      </c>
      <c r="J6863" s="273"/>
      <c r="K6863" s="90" t="s">
        <v>514</v>
      </c>
      <c r="L6863" s="91" t="s">
        <v>932</v>
      </c>
      <c r="M6863" s="399" t="s">
        <v>921</v>
      </c>
      <c r="N6863" s="273"/>
    </row>
    <row r="6864" spans="1:14" ht="12.75" customHeight="1" x14ac:dyDescent="0.25">
      <c r="A6864" s="393" t="s">
        <v>973</v>
      </c>
      <c r="B6864" s="271"/>
      <c r="C6864" s="271"/>
      <c r="D6864" s="271"/>
      <c r="E6864" s="271"/>
      <c r="F6864" s="271"/>
      <c r="G6864" s="273"/>
      <c r="H6864" s="29" t="str">
        <f>IF(A6864="","",VLOOKUP(A6864,AA_Cuadrillas,4,FALSE))</f>
        <v>Cuadrilla</v>
      </c>
      <c r="I6864" s="394">
        <f>IF(A6864="","",VLOOKUP(A6864,AA_Cuadrillas,5,FALSE))</f>
        <v>256799</v>
      </c>
      <c r="J6864" s="273"/>
      <c r="K6864" s="9">
        <f>IF(A6864="","",F.P!$I$2)</f>
        <v>1.88</v>
      </c>
      <c r="L6864" s="93">
        <f>1/12</f>
        <v>8.3333333333333329E-2</v>
      </c>
      <c r="M6864" s="394">
        <f t="shared" ref="M6864:M6868" si="937">IF(A6864="","",I6864*K6864*L6864)</f>
        <v>40231.843333333331</v>
      </c>
      <c r="N6864" s="273"/>
    </row>
    <row r="6865" spans="1:14" ht="12.75" customHeight="1" x14ac:dyDescent="0.25">
      <c r="A6865" s="393"/>
      <c r="B6865" s="271"/>
      <c r="C6865" s="271"/>
      <c r="D6865" s="271"/>
      <c r="E6865" s="271"/>
      <c r="F6865" s="271"/>
      <c r="G6865" s="273"/>
      <c r="H6865" s="29" t="str">
        <f>IF(A6865="","",VLOOKUP(A6865,AA_Cuadrillas,4,FALSE))</f>
        <v/>
      </c>
      <c r="I6865" s="394" t="str">
        <f>IF(A6865="","",VLOOKUP(A6865,AA_Cuadrillas,5,FALSE))</f>
        <v/>
      </c>
      <c r="J6865" s="273"/>
      <c r="K6865" s="9" t="str">
        <f>IF(A6865="","",F.P!$I$2)</f>
        <v/>
      </c>
      <c r="L6865" s="9"/>
      <c r="M6865" s="394" t="str">
        <f t="shared" si="937"/>
        <v/>
      </c>
      <c r="N6865" s="273"/>
    </row>
    <row r="6866" spans="1:14" ht="12.75" customHeight="1" x14ac:dyDescent="0.25">
      <c r="A6866" s="393"/>
      <c r="B6866" s="271"/>
      <c r="C6866" s="271"/>
      <c r="D6866" s="271"/>
      <c r="E6866" s="271"/>
      <c r="F6866" s="271"/>
      <c r="G6866" s="273"/>
      <c r="H6866" s="29" t="str">
        <f>IF(A6866="","",VLOOKUP(A6866,AA_Cuadrillas,4,FALSE))</f>
        <v/>
      </c>
      <c r="I6866" s="394" t="str">
        <f>IF(A6866="","",VLOOKUP(A6866,AA_Cuadrillas,5,FALSE))</f>
        <v/>
      </c>
      <c r="J6866" s="273"/>
      <c r="K6866" s="9" t="str">
        <f>IF(A6866="","",F.P!$I$2)</f>
        <v/>
      </c>
      <c r="L6866" s="37"/>
      <c r="M6866" s="394" t="str">
        <f t="shared" si="937"/>
        <v/>
      </c>
      <c r="N6866" s="273"/>
    </row>
    <row r="6867" spans="1:14" ht="12.75" customHeight="1" x14ac:dyDescent="0.25">
      <c r="A6867" s="393"/>
      <c r="B6867" s="271"/>
      <c r="C6867" s="271"/>
      <c r="D6867" s="271"/>
      <c r="E6867" s="271"/>
      <c r="F6867" s="271"/>
      <c r="G6867" s="273"/>
      <c r="H6867" s="29" t="str">
        <f>IF(A6867="","",VLOOKUP(A6867,AA_Cuadrillas,4,FALSE))</f>
        <v/>
      </c>
      <c r="I6867" s="394" t="str">
        <f>IF(A6867="","",VLOOKUP(A6867,AA_Cuadrillas,5,FALSE))</f>
        <v/>
      </c>
      <c r="J6867" s="273"/>
      <c r="K6867" s="9" t="str">
        <f>IF(A6867="","",F.P!$I$2)</f>
        <v/>
      </c>
      <c r="L6867" s="37"/>
      <c r="M6867" s="394" t="str">
        <f t="shared" si="937"/>
        <v/>
      </c>
      <c r="N6867" s="273"/>
    </row>
    <row r="6868" spans="1:14" ht="12.75" customHeight="1" x14ac:dyDescent="0.25">
      <c r="A6868" s="393"/>
      <c r="B6868" s="271"/>
      <c r="C6868" s="271"/>
      <c r="D6868" s="271"/>
      <c r="E6868" s="271"/>
      <c r="F6868" s="271"/>
      <c r="G6868" s="273"/>
      <c r="H6868" s="29" t="str">
        <f>IF(A6868="","",VLOOKUP(A6868,AA_Cuadrillas,4,FALSE))</f>
        <v/>
      </c>
      <c r="I6868" s="394" t="str">
        <f>IF(A6868="","",VLOOKUP(A6868,AA_Cuadrillas,5,FALSE))</f>
        <v/>
      </c>
      <c r="J6868" s="273"/>
      <c r="K6868" s="9" t="str">
        <f>IF(A6868="","",F.P!$I$2)</f>
        <v/>
      </c>
      <c r="L6868" s="37"/>
      <c r="M6868" s="394" t="str">
        <f t="shared" si="937"/>
        <v/>
      </c>
      <c r="N6868" s="273"/>
    </row>
    <row r="6869" spans="1:14" ht="12.75" customHeight="1" x14ac:dyDescent="0.25">
      <c r="A6869" s="4"/>
      <c r="B6869" s="4"/>
      <c r="C6869" s="4"/>
      <c r="D6869" s="4"/>
      <c r="E6869" s="4"/>
      <c r="F6869" s="4"/>
      <c r="G6869" s="4"/>
      <c r="H6869" s="4"/>
      <c r="I6869" s="4"/>
      <c r="J6869" s="4"/>
      <c r="K6869" s="396" t="s">
        <v>444</v>
      </c>
      <c r="L6869" s="273"/>
      <c r="M6869" s="394">
        <f>SUM(M6864:N6868)</f>
        <v>40231.843333333331</v>
      </c>
      <c r="N6869" s="273"/>
    </row>
    <row r="6870" spans="1:14" ht="12.75" customHeight="1" x14ac:dyDescent="0.2"/>
    <row r="6871" spans="1:14" ht="12.75" customHeight="1" x14ac:dyDescent="0.2">
      <c r="A6871" s="407" t="s">
        <v>296</v>
      </c>
      <c r="B6871" s="275"/>
      <c r="C6871" s="275"/>
      <c r="D6871" s="275"/>
      <c r="E6871" s="275"/>
      <c r="F6871" s="275"/>
      <c r="G6871" s="275"/>
      <c r="H6871" s="275"/>
      <c r="I6871" s="275"/>
      <c r="J6871" s="275"/>
      <c r="K6871" s="275"/>
      <c r="L6871" s="275"/>
      <c r="M6871" s="275"/>
      <c r="N6871" s="276"/>
    </row>
    <row r="6872" spans="1:14" ht="12.75" customHeight="1" x14ac:dyDescent="0.2">
      <c r="A6872" s="277"/>
      <c r="B6872" s="278"/>
      <c r="C6872" s="278"/>
      <c r="D6872" s="278"/>
      <c r="E6872" s="278"/>
      <c r="F6872" s="278"/>
      <c r="G6872" s="278"/>
      <c r="H6872" s="278"/>
      <c r="I6872" s="278"/>
      <c r="J6872" s="278"/>
      <c r="K6872" s="278"/>
      <c r="L6872" s="278"/>
      <c r="M6872" s="278"/>
      <c r="N6872" s="279"/>
    </row>
    <row r="6873" spans="1:14" ht="12.75" customHeight="1" x14ac:dyDescent="0.2">
      <c r="A6873" s="75"/>
      <c r="B6873" s="75"/>
      <c r="C6873" s="75"/>
      <c r="D6873" s="75"/>
      <c r="E6873" s="75"/>
      <c r="F6873" s="75"/>
      <c r="G6873" s="75"/>
      <c r="H6873" s="75"/>
      <c r="I6873" s="75"/>
      <c r="J6873" s="75"/>
      <c r="K6873" s="75"/>
      <c r="L6873" s="75"/>
      <c r="M6873" s="75"/>
      <c r="N6873" s="75"/>
    </row>
    <row r="6874" spans="1:14" ht="12.75" customHeight="1" x14ac:dyDescent="0.3">
      <c r="A6874" s="79" t="s">
        <v>772</v>
      </c>
      <c r="B6874" s="80" t="str">
        <f>A6871</f>
        <v>RELLENO CON GRAVA EN AREAS DE TANQUES DE PLANTA DE TRATAMIENTO (INCLUYE MATERIALES, HERRAMIENTAS, TRANSPORTE Y MANO DE OBRA)</v>
      </c>
      <c r="C6874" s="81" t="s">
        <v>916</v>
      </c>
      <c r="D6874" s="82" t="s">
        <v>258</v>
      </c>
      <c r="E6874" s="83" t="s">
        <v>445</v>
      </c>
      <c r="F6874" s="86">
        <f>H6874+J6874+L6874+N6874</f>
        <v>211024.65599206576</v>
      </c>
      <c r="G6874" s="83" t="s">
        <v>607</v>
      </c>
      <c r="H6874" s="86">
        <f>M6896</f>
        <v>460.05478686233391</v>
      </c>
      <c r="I6874" s="83" t="s">
        <v>918</v>
      </c>
      <c r="J6874" s="86">
        <f>M6887</f>
        <v>99578.902500000011</v>
      </c>
      <c r="K6874" s="83" t="s">
        <v>609</v>
      </c>
      <c r="L6874" s="86">
        <f>M6905</f>
        <v>101784.60296795673</v>
      </c>
      <c r="M6874" s="83" t="s">
        <v>610</v>
      </c>
      <c r="N6874" s="86">
        <f>M6914</f>
        <v>9201.0957372466783</v>
      </c>
    </row>
    <row r="6875" spans="1:14" ht="12.75" customHeight="1" x14ac:dyDescent="0.25">
      <c r="A6875" s="87"/>
      <c r="B6875" s="87"/>
      <c r="C6875" s="87"/>
      <c r="D6875" s="87"/>
      <c r="E6875" s="87"/>
      <c r="F6875" s="87"/>
      <c r="G6875" s="87"/>
      <c r="J6875" s="87"/>
      <c r="K6875" s="215" t="s">
        <v>3217</v>
      </c>
      <c r="L6875" s="215">
        <f>+F6874*presup!$O$5</f>
        <v>274332.05278968549</v>
      </c>
      <c r="M6875" s="87"/>
      <c r="N6875" s="87"/>
    </row>
    <row r="6876" spans="1:14" ht="12.75" customHeight="1" x14ac:dyDescent="0.2">
      <c r="A6876" s="398" t="s">
        <v>919</v>
      </c>
      <c r="B6876" s="271"/>
      <c r="C6876" s="271"/>
      <c r="D6876" s="271"/>
      <c r="E6876" s="271"/>
      <c r="F6876" s="271"/>
      <c r="G6876" s="271"/>
      <c r="H6876" s="271"/>
      <c r="I6876" s="271"/>
      <c r="J6876" s="271"/>
      <c r="K6876" s="271"/>
      <c r="L6876" s="271"/>
      <c r="M6876" s="271"/>
      <c r="N6876" s="273"/>
    </row>
    <row r="6877" spans="1:14" ht="12.75" customHeight="1" x14ac:dyDescent="0.2">
      <c r="A6877" s="396" t="s">
        <v>76</v>
      </c>
      <c r="B6877" s="271"/>
      <c r="C6877" s="271"/>
      <c r="D6877" s="271"/>
      <c r="E6877" s="271"/>
      <c r="F6877" s="271"/>
      <c r="G6877" s="273"/>
      <c r="H6877" s="88" t="s">
        <v>77</v>
      </c>
      <c r="I6877" s="399" t="s">
        <v>920</v>
      </c>
      <c r="J6877" s="273"/>
      <c r="K6877" s="399" t="s">
        <v>453</v>
      </c>
      <c r="L6877" s="273"/>
      <c r="M6877" s="399" t="s">
        <v>921</v>
      </c>
      <c r="N6877" s="273"/>
    </row>
    <row r="6878" spans="1:14" ht="12.75" customHeight="1" x14ac:dyDescent="0.2">
      <c r="A6878" s="400" t="s">
        <v>1289</v>
      </c>
      <c r="B6878" s="271"/>
      <c r="C6878" s="271"/>
      <c r="D6878" s="271"/>
      <c r="E6878" s="271"/>
      <c r="F6878" s="271"/>
      <c r="G6878" s="273"/>
      <c r="H6878" s="29" t="str">
        <f t="shared" ref="H6878:H6886" si="938">IF(A6878="","",VLOOKUP(A6878,AA_Materiales,7,FALSE))</f>
        <v>m3</v>
      </c>
      <c r="I6878" s="394">
        <f t="shared" ref="I6878:I6886" si="939">IF(A6878="","",VLOOKUP(A6878,AA_Materiales,8,FALSE))</f>
        <v>94837.05</v>
      </c>
      <c r="J6878" s="273"/>
      <c r="K6878" s="395">
        <v>1.05</v>
      </c>
      <c r="L6878" s="273"/>
      <c r="M6878" s="394">
        <f t="shared" ref="M6878:M6886" si="940">IF(A6878="","",I6878*K6878)</f>
        <v>99578.902500000011</v>
      </c>
      <c r="N6878" s="273"/>
    </row>
    <row r="6879" spans="1:14" ht="12.75" customHeight="1" x14ac:dyDescent="0.2">
      <c r="A6879" s="400"/>
      <c r="B6879" s="271"/>
      <c r="C6879" s="271"/>
      <c r="D6879" s="271"/>
      <c r="E6879" s="271"/>
      <c r="F6879" s="271"/>
      <c r="G6879" s="273"/>
      <c r="H6879" s="29" t="str">
        <f t="shared" si="938"/>
        <v/>
      </c>
      <c r="I6879" s="394" t="str">
        <f t="shared" si="939"/>
        <v/>
      </c>
      <c r="J6879" s="273"/>
      <c r="K6879" s="395"/>
      <c r="L6879" s="273"/>
      <c r="M6879" s="394" t="str">
        <f t="shared" si="940"/>
        <v/>
      </c>
      <c r="N6879" s="273"/>
    </row>
    <row r="6880" spans="1:14" ht="12.75" customHeight="1" x14ac:dyDescent="0.2">
      <c r="A6880" s="400"/>
      <c r="B6880" s="271"/>
      <c r="C6880" s="271"/>
      <c r="D6880" s="271"/>
      <c r="E6880" s="271"/>
      <c r="F6880" s="271"/>
      <c r="G6880" s="273"/>
      <c r="H6880" s="29" t="str">
        <f t="shared" si="938"/>
        <v/>
      </c>
      <c r="I6880" s="394" t="str">
        <f t="shared" si="939"/>
        <v/>
      </c>
      <c r="J6880" s="273"/>
      <c r="K6880" s="395"/>
      <c r="L6880" s="273"/>
      <c r="M6880" s="394" t="str">
        <f t="shared" si="940"/>
        <v/>
      </c>
      <c r="N6880" s="273"/>
    </row>
    <row r="6881" spans="1:14" ht="12.75" customHeight="1" x14ac:dyDescent="0.2">
      <c r="A6881" s="400"/>
      <c r="B6881" s="271"/>
      <c r="C6881" s="271"/>
      <c r="D6881" s="271"/>
      <c r="E6881" s="271"/>
      <c r="F6881" s="271"/>
      <c r="G6881" s="273"/>
      <c r="H6881" s="29" t="str">
        <f t="shared" si="938"/>
        <v/>
      </c>
      <c r="I6881" s="394" t="str">
        <f t="shared" si="939"/>
        <v/>
      </c>
      <c r="J6881" s="273"/>
      <c r="K6881" s="395"/>
      <c r="L6881" s="273"/>
      <c r="M6881" s="394" t="str">
        <f t="shared" si="940"/>
        <v/>
      </c>
      <c r="N6881" s="273"/>
    </row>
    <row r="6882" spans="1:14" ht="12.75" customHeight="1" x14ac:dyDescent="0.2">
      <c r="A6882" s="400"/>
      <c r="B6882" s="271"/>
      <c r="C6882" s="271"/>
      <c r="D6882" s="271"/>
      <c r="E6882" s="271"/>
      <c r="F6882" s="271"/>
      <c r="G6882" s="273"/>
      <c r="H6882" s="29" t="str">
        <f t="shared" si="938"/>
        <v/>
      </c>
      <c r="I6882" s="394" t="str">
        <f t="shared" si="939"/>
        <v/>
      </c>
      <c r="J6882" s="273"/>
      <c r="K6882" s="395"/>
      <c r="L6882" s="273"/>
      <c r="M6882" s="394" t="str">
        <f t="shared" si="940"/>
        <v/>
      </c>
      <c r="N6882" s="273"/>
    </row>
    <row r="6883" spans="1:14" ht="12.75" customHeight="1" x14ac:dyDescent="0.2">
      <c r="A6883" s="400"/>
      <c r="B6883" s="271"/>
      <c r="C6883" s="271"/>
      <c r="D6883" s="271"/>
      <c r="E6883" s="271"/>
      <c r="F6883" s="271"/>
      <c r="G6883" s="273"/>
      <c r="H6883" s="29" t="str">
        <f t="shared" si="938"/>
        <v/>
      </c>
      <c r="I6883" s="394" t="str">
        <f t="shared" si="939"/>
        <v/>
      </c>
      <c r="J6883" s="273"/>
      <c r="K6883" s="395"/>
      <c r="L6883" s="273"/>
      <c r="M6883" s="394" t="str">
        <f t="shared" si="940"/>
        <v/>
      </c>
      <c r="N6883" s="273"/>
    </row>
    <row r="6884" spans="1:14" ht="12.75" customHeight="1" x14ac:dyDescent="0.2">
      <c r="A6884" s="400"/>
      <c r="B6884" s="271"/>
      <c r="C6884" s="271"/>
      <c r="D6884" s="271"/>
      <c r="E6884" s="271"/>
      <c r="F6884" s="271"/>
      <c r="G6884" s="273"/>
      <c r="H6884" s="29" t="str">
        <f t="shared" si="938"/>
        <v/>
      </c>
      <c r="I6884" s="394" t="str">
        <f t="shared" si="939"/>
        <v/>
      </c>
      <c r="J6884" s="273"/>
      <c r="K6884" s="395"/>
      <c r="L6884" s="273"/>
      <c r="M6884" s="394" t="str">
        <f t="shared" si="940"/>
        <v/>
      </c>
      <c r="N6884" s="273"/>
    </row>
    <row r="6885" spans="1:14" ht="12.75" customHeight="1" x14ac:dyDescent="0.2">
      <c r="A6885" s="400"/>
      <c r="B6885" s="271"/>
      <c r="C6885" s="271"/>
      <c r="D6885" s="271"/>
      <c r="E6885" s="271"/>
      <c r="F6885" s="271"/>
      <c r="G6885" s="273"/>
      <c r="H6885" s="29" t="str">
        <f t="shared" si="938"/>
        <v/>
      </c>
      <c r="I6885" s="394" t="str">
        <f t="shared" si="939"/>
        <v/>
      </c>
      <c r="J6885" s="273"/>
      <c r="K6885" s="395"/>
      <c r="L6885" s="273"/>
      <c r="M6885" s="394" t="str">
        <f t="shared" si="940"/>
        <v/>
      </c>
      <c r="N6885" s="273"/>
    </row>
    <row r="6886" spans="1:14" ht="12.75" customHeight="1" x14ac:dyDescent="0.2">
      <c r="A6886" s="400"/>
      <c r="B6886" s="271"/>
      <c r="C6886" s="271"/>
      <c r="D6886" s="271"/>
      <c r="E6886" s="271"/>
      <c r="F6886" s="271"/>
      <c r="G6886" s="273"/>
      <c r="H6886" s="29" t="str">
        <f t="shared" si="938"/>
        <v/>
      </c>
      <c r="I6886" s="394" t="str">
        <f t="shared" si="939"/>
        <v/>
      </c>
      <c r="J6886" s="273"/>
      <c r="K6886" s="395"/>
      <c r="L6886" s="273"/>
      <c r="M6886" s="394" t="str">
        <f t="shared" si="940"/>
        <v/>
      </c>
      <c r="N6886" s="273"/>
    </row>
    <row r="6887" spans="1:14" ht="12.75" customHeight="1" x14ac:dyDescent="0.25">
      <c r="A6887" s="4"/>
      <c r="B6887" s="4"/>
      <c r="C6887" s="4"/>
      <c r="D6887" s="4"/>
      <c r="E6887" s="4"/>
      <c r="F6887" s="4"/>
      <c r="G6887" s="4"/>
      <c r="H6887" s="4"/>
      <c r="I6887" s="4"/>
      <c r="J6887" s="4"/>
      <c r="K6887" s="396" t="s">
        <v>444</v>
      </c>
      <c r="L6887" s="273"/>
      <c r="M6887" s="394">
        <f>SUM(M6878:N6886)</f>
        <v>99578.902500000011</v>
      </c>
      <c r="N6887" s="273"/>
    </row>
    <row r="6888" spans="1:14" ht="12.75" customHeight="1" x14ac:dyDescent="0.25">
      <c r="A6888" s="4"/>
      <c r="B6888" s="4"/>
      <c r="C6888" s="4"/>
      <c r="D6888" s="4"/>
      <c r="E6888" s="4"/>
      <c r="F6888" s="4"/>
      <c r="G6888" s="4"/>
      <c r="H6888" s="4"/>
      <c r="I6888" s="4"/>
      <c r="J6888" s="4"/>
      <c r="K6888" s="4"/>
      <c r="L6888" s="4"/>
      <c r="M6888" s="4"/>
      <c r="N6888" s="4"/>
    </row>
    <row r="6889" spans="1:14" ht="12.75" customHeight="1" x14ac:dyDescent="0.2">
      <c r="A6889" s="398" t="s">
        <v>926</v>
      </c>
      <c r="B6889" s="271"/>
      <c r="C6889" s="271"/>
      <c r="D6889" s="271"/>
      <c r="E6889" s="271"/>
      <c r="F6889" s="271"/>
      <c r="G6889" s="271"/>
      <c r="H6889" s="271"/>
      <c r="I6889" s="271"/>
      <c r="J6889" s="271"/>
      <c r="K6889" s="271"/>
      <c r="L6889" s="271"/>
      <c r="M6889" s="271"/>
      <c r="N6889" s="273"/>
    </row>
    <row r="6890" spans="1:14" ht="12.75" customHeight="1" x14ac:dyDescent="0.2">
      <c r="A6890" s="396" t="s">
        <v>76</v>
      </c>
      <c r="B6890" s="271"/>
      <c r="C6890" s="271"/>
      <c r="D6890" s="271"/>
      <c r="E6890" s="271"/>
      <c r="F6890" s="271"/>
      <c r="G6890" s="273"/>
      <c r="H6890" s="88" t="s">
        <v>77</v>
      </c>
      <c r="I6890" s="399" t="s">
        <v>920</v>
      </c>
      <c r="J6890" s="273"/>
      <c r="K6890" s="399" t="s">
        <v>453</v>
      </c>
      <c r="L6890" s="273"/>
      <c r="M6890" s="399" t="s">
        <v>921</v>
      </c>
      <c r="N6890" s="273"/>
    </row>
    <row r="6891" spans="1:14" ht="12.75" customHeight="1" x14ac:dyDescent="0.2">
      <c r="A6891" s="400" t="s">
        <v>927</v>
      </c>
      <c r="B6891" s="271"/>
      <c r="C6891" s="271"/>
      <c r="D6891" s="271"/>
      <c r="E6891" s="271"/>
      <c r="F6891" s="271"/>
      <c r="G6891" s="273"/>
      <c r="H6891" s="29" t="str">
        <f>IF(A6891="","",VLOOKUP(A6891,AA_Equipos,7,FALSE))</f>
        <v>% M.O.</v>
      </c>
      <c r="I6891" s="394">
        <f>M6914</f>
        <v>9201.0957372466783</v>
      </c>
      <c r="J6891" s="273"/>
      <c r="K6891" s="404">
        <v>0.05</v>
      </c>
      <c r="L6891" s="273"/>
      <c r="M6891" s="394">
        <f t="shared" ref="M6891:M6895" si="941">IF(A6891="","",I6891*K6891)</f>
        <v>460.05478686233391</v>
      </c>
      <c r="N6891" s="273"/>
    </row>
    <row r="6892" spans="1:14" ht="12.75" customHeight="1" x14ac:dyDescent="0.2">
      <c r="A6892" s="403"/>
      <c r="B6892" s="271"/>
      <c r="C6892" s="271"/>
      <c r="D6892" s="271"/>
      <c r="E6892" s="271"/>
      <c r="F6892" s="271"/>
      <c r="G6892" s="273"/>
      <c r="H6892" s="29" t="str">
        <f>IF(A6892="","",VLOOKUP(A6892,AA_Equipos,7,FALSE))</f>
        <v/>
      </c>
      <c r="I6892" s="394" t="str">
        <f>IF(A6892="","",VLOOKUP(A6892,AA_Equipos,8,FALSE))</f>
        <v/>
      </c>
      <c r="J6892" s="273"/>
      <c r="K6892" s="402"/>
      <c r="L6892" s="273"/>
      <c r="M6892" s="394" t="str">
        <f t="shared" si="941"/>
        <v/>
      </c>
      <c r="N6892" s="273"/>
    </row>
    <row r="6893" spans="1:14" ht="12.75" customHeight="1" x14ac:dyDescent="0.2">
      <c r="A6893" s="403"/>
      <c r="B6893" s="271"/>
      <c r="C6893" s="271"/>
      <c r="D6893" s="271"/>
      <c r="E6893" s="271"/>
      <c r="F6893" s="271"/>
      <c r="G6893" s="273"/>
      <c r="H6893" s="29" t="str">
        <f>IF(A6893="","",VLOOKUP(A6893,AA_Equipos,7,FALSE))</f>
        <v/>
      </c>
      <c r="I6893" s="394" t="str">
        <f>IF(A6893="","",VLOOKUP(A6893,AA_Equipos,8,FALSE))</f>
        <v/>
      </c>
      <c r="J6893" s="273"/>
      <c r="K6893" s="395"/>
      <c r="L6893" s="273"/>
      <c r="M6893" s="394" t="str">
        <f t="shared" si="941"/>
        <v/>
      </c>
      <c r="N6893" s="273"/>
    </row>
    <row r="6894" spans="1:14" ht="12.75" customHeight="1" x14ac:dyDescent="0.2">
      <c r="A6894" s="400"/>
      <c r="B6894" s="271"/>
      <c r="C6894" s="271"/>
      <c r="D6894" s="271"/>
      <c r="E6894" s="271"/>
      <c r="F6894" s="271"/>
      <c r="G6894" s="273"/>
      <c r="H6894" s="29" t="str">
        <f>IF(A6894="","",VLOOKUP(A6894,AA_Equipos,7,FALSE))</f>
        <v/>
      </c>
      <c r="I6894" s="394" t="str">
        <f>IF(A6894="","",VLOOKUP(A6894,AA_Equipos,8,FALSE))</f>
        <v/>
      </c>
      <c r="J6894" s="273"/>
      <c r="K6894" s="395"/>
      <c r="L6894" s="273"/>
      <c r="M6894" s="394" t="str">
        <f t="shared" si="941"/>
        <v/>
      </c>
      <c r="N6894" s="273"/>
    </row>
    <row r="6895" spans="1:14" ht="12.75" customHeight="1" x14ac:dyDescent="0.2">
      <c r="A6895" s="400"/>
      <c r="B6895" s="271"/>
      <c r="C6895" s="271"/>
      <c r="D6895" s="271"/>
      <c r="E6895" s="271"/>
      <c r="F6895" s="271"/>
      <c r="G6895" s="273"/>
      <c r="H6895" s="29" t="str">
        <f>IF(A6895="","",VLOOKUP(A6895,AA_Equipos,7,FALSE))</f>
        <v/>
      </c>
      <c r="I6895" s="394" t="str">
        <f>IF(A6895="","",VLOOKUP(A6895,AA_Equipos,8,FALSE))</f>
        <v/>
      </c>
      <c r="J6895" s="273"/>
      <c r="K6895" s="395"/>
      <c r="L6895" s="273"/>
      <c r="M6895" s="394" t="str">
        <f t="shared" si="941"/>
        <v/>
      </c>
      <c r="N6895" s="273"/>
    </row>
    <row r="6896" spans="1:14" ht="12.75" customHeight="1" x14ac:dyDescent="0.25">
      <c r="A6896" s="4"/>
      <c r="B6896" s="4"/>
      <c r="C6896" s="4"/>
      <c r="D6896" s="4"/>
      <c r="E6896" s="4"/>
      <c r="F6896" s="4"/>
      <c r="G6896" s="4"/>
      <c r="H6896" s="4"/>
      <c r="I6896" s="4"/>
      <c r="J6896" s="4"/>
      <c r="K6896" s="396" t="s">
        <v>444</v>
      </c>
      <c r="L6896" s="273"/>
      <c r="M6896" s="394">
        <f>SUM(M6891:N6895)</f>
        <v>460.05478686233391</v>
      </c>
      <c r="N6896" s="273"/>
    </row>
    <row r="6897" spans="1:14" ht="12.75" customHeight="1" x14ac:dyDescent="0.25">
      <c r="A6897" s="4"/>
      <c r="B6897" s="4"/>
      <c r="C6897" s="4"/>
      <c r="D6897" s="4"/>
      <c r="E6897" s="4"/>
      <c r="F6897" s="4"/>
      <c r="G6897" s="4"/>
      <c r="H6897" s="4"/>
      <c r="I6897" s="4"/>
      <c r="J6897" s="4"/>
      <c r="K6897" s="4"/>
      <c r="L6897" s="4"/>
      <c r="M6897" s="4"/>
      <c r="N6897" s="4"/>
    </row>
    <row r="6898" spans="1:14" ht="12.75" customHeight="1" x14ac:dyDescent="0.2">
      <c r="A6898" s="398" t="s">
        <v>929</v>
      </c>
      <c r="B6898" s="271"/>
      <c r="C6898" s="271"/>
      <c r="D6898" s="271"/>
      <c r="E6898" s="271"/>
      <c r="F6898" s="271"/>
      <c r="G6898" s="271"/>
      <c r="H6898" s="271"/>
      <c r="I6898" s="271"/>
      <c r="J6898" s="271"/>
      <c r="K6898" s="271"/>
      <c r="L6898" s="271"/>
      <c r="M6898" s="271"/>
      <c r="N6898" s="273"/>
    </row>
    <row r="6899" spans="1:14" ht="12.75" customHeight="1" x14ac:dyDescent="0.2">
      <c r="A6899" s="396" t="s">
        <v>76</v>
      </c>
      <c r="B6899" s="271"/>
      <c r="C6899" s="271"/>
      <c r="D6899" s="271"/>
      <c r="E6899" s="271"/>
      <c r="F6899" s="271"/>
      <c r="G6899" s="273"/>
      <c r="H6899" s="88" t="s">
        <v>77</v>
      </c>
      <c r="I6899" s="399" t="s">
        <v>920</v>
      </c>
      <c r="J6899" s="273"/>
      <c r="K6899" s="399" t="s">
        <v>453</v>
      </c>
      <c r="L6899" s="273"/>
      <c r="M6899" s="399" t="s">
        <v>921</v>
      </c>
      <c r="N6899" s="273"/>
    </row>
    <row r="6900" spans="1:14" ht="12.75" customHeight="1" x14ac:dyDescent="0.2">
      <c r="A6900" s="400" t="s">
        <v>960</v>
      </c>
      <c r="B6900" s="271"/>
      <c r="C6900" s="271"/>
      <c r="D6900" s="271"/>
      <c r="E6900" s="271"/>
      <c r="F6900" s="271"/>
      <c r="G6900" s="273"/>
      <c r="H6900" s="29" t="s">
        <v>1025</v>
      </c>
      <c r="I6900" s="394">
        <f>+'precios '!J222</f>
        <v>2077.2367952644231</v>
      </c>
      <c r="J6900" s="273"/>
      <c r="K6900" s="417">
        <f>Indice!$L$21</f>
        <v>49</v>
      </c>
      <c r="L6900" s="273"/>
      <c r="M6900" s="394">
        <f t="shared" ref="M6900:M6904" si="942">IF(A6900="","",I6900*K6900)</f>
        <v>101784.60296795673</v>
      </c>
      <c r="N6900" s="273"/>
    </row>
    <row r="6901" spans="1:14" ht="12.75" customHeight="1" x14ac:dyDescent="0.2">
      <c r="A6901" s="403"/>
      <c r="B6901" s="271"/>
      <c r="C6901" s="271"/>
      <c r="D6901" s="271"/>
      <c r="E6901" s="271"/>
      <c r="F6901" s="271"/>
      <c r="G6901" s="273"/>
      <c r="H6901" s="29"/>
      <c r="I6901" s="394"/>
      <c r="J6901" s="273"/>
      <c r="K6901" s="417"/>
      <c r="L6901" s="273"/>
      <c r="M6901" s="394" t="str">
        <f t="shared" si="942"/>
        <v/>
      </c>
      <c r="N6901" s="273"/>
    </row>
    <row r="6902" spans="1:14" ht="12.75" customHeight="1" x14ac:dyDescent="0.2">
      <c r="A6902" s="400"/>
      <c r="B6902" s="271"/>
      <c r="C6902" s="271"/>
      <c r="D6902" s="271"/>
      <c r="E6902" s="271"/>
      <c r="F6902" s="271"/>
      <c r="G6902" s="273"/>
      <c r="H6902" s="29"/>
      <c r="I6902" s="394"/>
      <c r="J6902" s="273"/>
      <c r="K6902" s="395"/>
      <c r="L6902" s="273"/>
      <c r="M6902" s="394" t="str">
        <f t="shared" si="942"/>
        <v/>
      </c>
      <c r="N6902" s="273"/>
    </row>
    <row r="6903" spans="1:14" ht="12.75" customHeight="1" x14ac:dyDescent="0.2">
      <c r="A6903" s="400"/>
      <c r="B6903" s="271"/>
      <c r="C6903" s="271"/>
      <c r="D6903" s="271"/>
      <c r="E6903" s="271"/>
      <c r="F6903" s="271"/>
      <c r="G6903" s="273"/>
      <c r="H6903" s="29"/>
      <c r="I6903" s="394"/>
      <c r="J6903" s="273"/>
      <c r="K6903" s="395"/>
      <c r="L6903" s="273"/>
      <c r="M6903" s="394" t="str">
        <f t="shared" si="942"/>
        <v/>
      </c>
      <c r="N6903" s="273"/>
    </row>
    <row r="6904" spans="1:14" ht="12.75" customHeight="1" x14ac:dyDescent="0.2">
      <c r="A6904" s="400"/>
      <c r="B6904" s="271"/>
      <c r="C6904" s="271"/>
      <c r="D6904" s="271"/>
      <c r="E6904" s="271"/>
      <c r="F6904" s="271"/>
      <c r="G6904" s="273"/>
      <c r="H6904" s="29"/>
      <c r="I6904" s="394"/>
      <c r="J6904" s="273"/>
      <c r="K6904" s="395"/>
      <c r="L6904" s="273"/>
      <c r="M6904" s="394" t="str">
        <f t="shared" si="942"/>
        <v/>
      </c>
      <c r="N6904" s="273"/>
    </row>
    <row r="6905" spans="1:14" ht="12.75" customHeight="1" x14ac:dyDescent="0.25">
      <c r="A6905" s="4"/>
      <c r="B6905" s="4"/>
      <c r="C6905" s="4"/>
      <c r="D6905" s="4"/>
      <c r="E6905" s="4"/>
      <c r="F6905" s="4"/>
      <c r="G6905" s="4"/>
      <c r="H6905" s="4"/>
      <c r="I6905" s="4"/>
      <c r="J6905" s="4"/>
      <c r="K6905" s="396" t="s">
        <v>444</v>
      </c>
      <c r="L6905" s="273"/>
      <c r="M6905" s="394">
        <f>SUM(M6900:N6904)</f>
        <v>101784.60296795673</v>
      </c>
      <c r="N6905" s="273"/>
    </row>
    <row r="6906" spans="1:14" ht="12.75" customHeight="1" x14ac:dyDescent="0.25">
      <c r="A6906" s="4"/>
      <c r="B6906" s="4"/>
      <c r="C6906" s="4"/>
      <c r="D6906" s="4"/>
      <c r="E6906" s="4"/>
      <c r="F6906" s="4"/>
      <c r="G6906" s="4"/>
      <c r="H6906" s="4"/>
      <c r="I6906" s="4"/>
      <c r="J6906" s="4"/>
      <c r="K6906" s="4"/>
      <c r="L6906" s="4"/>
      <c r="M6906" s="4"/>
      <c r="N6906" s="4"/>
    </row>
    <row r="6907" spans="1:14" ht="12.75" customHeight="1" x14ac:dyDescent="0.2">
      <c r="A6907" s="398" t="s">
        <v>931</v>
      </c>
      <c r="B6907" s="271"/>
      <c r="C6907" s="271"/>
      <c r="D6907" s="271"/>
      <c r="E6907" s="271"/>
      <c r="F6907" s="271"/>
      <c r="G6907" s="271"/>
      <c r="H6907" s="271"/>
      <c r="I6907" s="271"/>
      <c r="J6907" s="271"/>
      <c r="K6907" s="271"/>
      <c r="L6907" s="271"/>
      <c r="M6907" s="271"/>
      <c r="N6907" s="273"/>
    </row>
    <row r="6908" spans="1:14" ht="12.75" customHeight="1" x14ac:dyDescent="0.2">
      <c r="A6908" s="396" t="s">
        <v>76</v>
      </c>
      <c r="B6908" s="271"/>
      <c r="C6908" s="271"/>
      <c r="D6908" s="271"/>
      <c r="E6908" s="271"/>
      <c r="F6908" s="271"/>
      <c r="G6908" s="273"/>
      <c r="H6908" s="88" t="s">
        <v>77</v>
      </c>
      <c r="I6908" s="399" t="s">
        <v>920</v>
      </c>
      <c r="J6908" s="273"/>
      <c r="K6908" s="90" t="s">
        <v>514</v>
      </c>
      <c r="L6908" s="91" t="s">
        <v>932</v>
      </c>
      <c r="M6908" s="399" t="s">
        <v>921</v>
      </c>
      <c r="N6908" s="273"/>
    </row>
    <row r="6909" spans="1:14" ht="12.75" customHeight="1" x14ac:dyDescent="0.25">
      <c r="A6909" s="393" t="s">
        <v>936</v>
      </c>
      <c r="B6909" s="271"/>
      <c r="C6909" s="271"/>
      <c r="D6909" s="271"/>
      <c r="E6909" s="271"/>
      <c r="F6909" s="271"/>
      <c r="G6909" s="273"/>
      <c r="H6909" s="29" t="str">
        <f>IF(A6909="","",VLOOKUP(A6909,AA_Cuadrillas,4,FALSE))</f>
        <v>Cuadrilla</v>
      </c>
      <c r="I6909" s="394">
        <f>IF(A6909="","",VLOOKUP(A6909,AA_Cuadrillas,5,FALSE))</f>
        <v>70036</v>
      </c>
      <c r="J6909" s="273"/>
      <c r="K6909" s="9">
        <f>IF(A6909="","",F.P!$I$2)</f>
        <v>1.88</v>
      </c>
      <c r="L6909" s="93">
        <f>1/14.31</f>
        <v>6.9881201956673647E-2</v>
      </c>
      <c r="M6909" s="394">
        <f t="shared" ref="M6909:M6913" si="943">IF(A6909="","",I6909*K6909*L6909)</f>
        <v>9201.0957372466783</v>
      </c>
      <c r="N6909" s="273"/>
    </row>
    <row r="6910" spans="1:14" ht="12.75" customHeight="1" x14ac:dyDescent="0.25">
      <c r="A6910" s="393"/>
      <c r="B6910" s="271"/>
      <c r="C6910" s="271"/>
      <c r="D6910" s="271"/>
      <c r="E6910" s="271"/>
      <c r="F6910" s="271"/>
      <c r="G6910" s="273"/>
      <c r="H6910" s="29" t="str">
        <f>IF(A6910="","",VLOOKUP(A6910,AA_Cuadrillas,4,FALSE))</f>
        <v/>
      </c>
      <c r="I6910" s="394" t="str">
        <f>IF(A6910="","",VLOOKUP(A6910,AA_Cuadrillas,5,FALSE))</f>
        <v/>
      </c>
      <c r="J6910" s="273"/>
      <c r="K6910" s="9" t="str">
        <f>IF(A6910="","",F.P!$I$2)</f>
        <v/>
      </c>
      <c r="L6910" s="9"/>
      <c r="M6910" s="394" t="str">
        <f t="shared" si="943"/>
        <v/>
      </c>
      <c r="N6910" s="273"/>
    </row>
    <row r="6911" spans="1:14" ht="12.75" customHeight="1" x14ac:dyDescent="0.25">
      <c r="A6911" s="393"/>
      <c r="B6911" s="271"/>
      <c r="C6911" s="271"/>
      <c r="D6911" s="271"/>
      <c r="E6911" s="271"/>
      <c r="F6911" s="271"/>
      <c r="G6911" s="273"/>
      <c r="H6911" s="29" t="str">
        <f>IF(A6911="","",VLOOKUP(A6911,AA_Cuadrillas,4,FALSE))</f>
        <v/>
      </c>
      <c r="I6911" s="394" t="str">
        <f>IF(A6911="","",VLOOKUP(A6911,AA_Cuadrillas,5,FALSE))</f>
        <v/>
      </c>
      <c r="J6911" s="273"/>
      <c r="K6911" s="9" t="str">
        <f>IF(A6911="","",F.P!$I$2)</f>
        <v/>
      </c>
      <c r="L6911" s="37"/>
      <c r="M6911" s="394" t="str">
        <f t="shared" si="943"/>
        <v/>
      </c>
      <c r="N6911" s="273"/>
    </row>
    <row r="6912" spans="1:14" ht="12.75" customHeight="1" x14ac:dyDescent="0.25">
      <c r="A6912" s="393"/>
      <c r="B6912" s="271"/>
      <c r="C6912" s="271"/>
      <c r="D6912" s="271"/>
      <c r="E6912" s="271"/>
      <c r="F6912" s="271"/>
      <c r="G6912" s="273"/>
      <c r="H6912" s="29" t="str">
        <f>IF(A6912="","",VLOOKUP(A6912,AA_Cuadrillas,4,FALSE))</f>
        <v/>
      </c>
      <c r="I6912" s="394" t="str">
        <f>IF(A6912="","",VLOOKUP(A6912,AA_Cuadrillas,5,FALSE))</f>
        <v/>
      </c>
      <c r="J6912" s="273"/>
      <c r="K6912" s="9" t="str">
        <f>IF(A6912="","",F.P!$I$2)</f>
        <v/>
      </c>
      <c r="L6912" s="37"/>
      <c r="M6912" s="394" t="str">
        <f t="shared" si="943"/>
        <v/>
      </c>
      <c r="N6912" s="273"/>
    </row>
    <row r="6913" spans="1:14" ht="12.75" customHeight="1" x14ac:dyDescent="0.25">
      <c r="A6913" s="393"/>
      <c r="B6913" s="271"/>
      <c r="C6913" s="271"/>
      <c r="D6913" s="271"/>
      <c r="E6913" s="271"/>
      <c r="F6913" s="271"/>
      <c r="G6913" s="273"/>
      <c r="H6913" s="29" t="str">
        <f>IF(A6913="","",VLOOKUP(A6913,AA_Cuadrillas,4,FALSE))</f>
        <v/>
      </c>
      <c r="I6913" s="394" t="str">
        <f>IF(A6913="","",VLOOKUP(A6913,AA_Cuadrillas,5,FALSE))</f>
        <v/>
      </c>
      <c r="J6913" s="273"/>
      <c r="K6913" s="9" t="str">
        <f>IF(A6913="","",F.P!$I$2)</f>
        <v/>
      </c>
      <c r="L6913" s="37"/>
      <c r="M6913" s="394" t="str">
        <f t="shared" si="943"/>
        <v/>
      </c>
      <c r="N6913" s="273"/>
    </row>
    <row r="6914" spans="1:14" ht="12.75" customHeight="1" x14ac:dyDescent="0.25">
      <c r="A6914" s="4"/>
      <c r="B6914" s="4"/>
      <c r="C6914" s="4"/>
      <c r="D6914" s="4"/>
      <c r="E6914" s="4"/>
      <c r="F6914" s="4"/>
      <c r="G6914" s="4"/>
      <c r="H6914" s="4"/>
      <c r="I6914" s="4"/>
      <c r="J6914" s="4"/>
      <c r="K6914" s="396" t="s">
        <v>444</v>
      </c>
      <c r="L6914" s="273"/>
      <c r="M6914" s="394">
        <f>SUM(M6909:N6913)</f>
        <v>9201.0957372466783</v>
      </c>
      <c r="N6914" s="273"/>
    </row>
    <row r="6915" spans="1:14" ht="12.75" customHeight="1" x14ac:dyDescent="0.2"/>
    <row r="6916" spans="1:14" ht="12.75" customHeight="1" x14ac:dyDescent="0.2">
      <c r="A6916" s="407" t="s">
        <v>332</v>
      </c>
      <c r="B6916" s="275"/>
      <c r="C6916" s="275"/>
      <c r="D6916" s="275"/>
      <c r="E6916" s="275"/>
      <c r="F6916" s="275"/>
      <c r="G6916" s="275"/>
      <c r="H6916" s="275"/>
      <c r="I6916" s="275"/>
      <c r="J6916" s="275"/>
      <c r="K6916" s="275"/>
      <c r="L6916" s="275"/>
      <c r="M6916" s="275"/>
      <c r="N6916" s="276"/>
    </row>
    <row r="6917" spans="1:14" ht="12.75" customHeight="1" x14ac:dyDescent="0.2">
      <c r="A6917" s="277"/>
      <c r="B6917" s="278"/>
      <c r="C6917" s="278"/>
      <c r="D6917" s="278"/>
      <c r="E6917" s="278"/>
      <c r="F6917" s="278"/>
      <c r="G6917" s="278"/>
      <c r="H6917" s="278"/>
      <c r="I6917" s="278"/>
      <c r="J6917" s="278"/>
      <c r="K6917" s="278"/>
      <c r="L6917" s="278"/>
      <c r="M6917" s="278"/>
      <c r="N6917" s="279"/>
    </row>
    <row r="6918" spans="1:14" ht="12.75" customHeight="1" x14ac:dyDescent="0.2">
      <c r="A6918" s="75"/>
      <c r="B6918" s="75"/>
      <c r="C6918" s="75"/>
      <c r="D6918" s="75"/>
      <c r="E6918" s="75"/>
      <c r="F6918" s="75"/>
      <c r="G6918" s="75"/>
      <c r="H6918" s="75"/>
      <c r="I6918" s="75"/>
      <c r="J6918" s="75"/>
      <c r="K6918" s="75"/>
      <c r="L6918" s="75"/>
      <c r="M6918" s="75"/>
      <c r="N6918" s="75"/>
    </row>
    <row r="6919" spans="1:14" ht="12.75" customHeight="1" x14ac:dyDescent="0.3">
      <c r="A6919" s="79" t="s">
        <v>773</v>
      </c>
      <c r="B6919" s="80" t="str">
        <f>A6916</f>
        <v>SUMINISTRO E INSTALACIÓN DE MACROMEDIDOR TIPO WOLTMAN Ø6" (INCLUYE MATERIALES, HERRAMIENTAS Y MANO DE OBRA)</v>
      </c>
      <c r="C6919" s="81" t="s">
        <v>916</v>
      </c>
      <c r="D6919" s="82" t="s">
        <v>999</v>
      </c>
      <c r="E6919" s="83" t="s">
        <v>445</v>
      </c>
      <c r="F6919" s="86">
        <f>H6919+J6919+L6919+N6919</f>
        <v>20895988.130416259</v>
      </c>
      <c r="G6919" s="83" t="s">
        <v>607</v>
      </c>
      <c r="H6919" s="86">
        <f>M6940</f>
        <v>2413.9106000000002</v>
      </c>
      <c r="I6919" s="83" t="s">
        <v>918</v>
      </c>
      <c r="J6919" s="86">
        <f>M6931</f>
        <v>20845296.007816259</v>
      </c>
      <c r="K6919" s="83" t="s">
        <v>609</v>
      </c>
      <c r="L6919" s="86">
        <f>M6949</f>
        <v>0</v>
      </c>
      <c r="M6919" s="83" t="s">
        <v>610</v>
      </c>
      <c r="N6919" s="86">
        <f>M6958</f>
        <v>48278.212</v>
      </c>
    </row>
    <row r="6920" spans="1:14" ht="12.75" customHeight="1" x14ac:dyDescent="0.25">
      <c r="A6920" s="87"/>
      <c r="B6920" s="87"/>
      <c r="C6920" s="87"/>
      <c r="D6920" s="87"/>
      <c r="E6920" s="87"/>
      <c r="F6920" s="87"/>
      <c r="G6920" s="87"/>
      <c r="J6920" s="87"/>
      <c r="K6920" s="215" t="s">
        <v>3217</v>
      </c>
      <c r="L6920" s="215"/>
      <c r="M6920" s="87"/>
      <c r="N6920" s="87"/>
    </row>
    <row r="6921" spans="1:14" ht="12.75" customHeight="1" x14ac:dyDescent="0.2">
      <c r="A6921" s="398" t="s">
        <v>919</v>
      </c>
      <c r="B6921" s="271"/>
      <c r="C6921" s="271"/>
      <c r="D6921" s="271"/>
      <c r="E6921" s="271"/>
      <c r="F6921" s="271"/>
      <c r="G6921" s="271"/>
      <c r="H6921" s="271"/>
      <c r="I6921" s="271"/>
      <c r="J6921" s="271"/>
      <c r="K6921" s="271"/>
      <c r="L6921" s="271"/>
      <c r="M6921" s="271"/>
      <c r="N6921" s="273"/>
    </row>
    <row r="6922" spans="1:14" ht="12.75" customHeight="1" x14ac:dyDescent="0.2">
      <c r="A6922" s="396" t="s">
        <v>76</v>
      </c>
      <c r="B6922" s="271"/>
      <c r="C6922" s="271"/>
      <c r="D6922" s="271"/>
      <c r="E6922" s="271"/>
      <c r="F6922" s="271"/>
      <c r="G6922" s="273"/>
      <c r="H6922" s="88" t="s">
        <v>77</v>
      </c>
      <c r="I6922" s="399" t="s">
        <v>920</v>
      </c>
      <c r="J6922" s="273"/>
      <c r="K6922" s="399" t="s">
        <v>453</v>
      </c>
      <c r="L6922" s="273"/>
      <c r="M6922" s="399" t="s">
        <v>921</v>
      </c>
      <c r="N6922" s="273"/>
    </row>
    <row r="6923" spans="1:14" ht="12.75" customHeight="1" x14ac:dyDescent="0.2">
      <c r="A6923" s="400" t="s">
        <v>1290</v>
      </c>
      <c r="B6923" s="271"/>
      <c r="C6923" s="271"/>
      <c r="D6923" s="271"/>
      <c r="E6923" s="271"/>
      <c r="F6923" s="271"/>
      <c r="G6923" s="273"/>
      <c r="H6923" s="29" t="str">
        <f t="shared" ref="H6923:H6930" si="944">IF(A6923="","",VLOOKUP(A6923,AA_Materiales,7,FALSE))</f>
        <v>Unidad</v>
      </c>
      <c r="I6923" s="394">
        <f t="shared" ref="I6923:I6930" si="945">IF(A6923="","",VLOOKUP(A6923,AA_Materiales,8,FALSE))</f>
        <v>1617616</v>
      </c>
      <c r="J6923" s="273"/>
      <c r="K6923" s="395">
        <v>1</v>
      </c>
      <c r="L6923" s="273"/>
      <c r="M6923" s="394">
        <f t="shared" ref="M6923:M6930" si="946">IF(A6923="","",I6923*K6923)</f>
        <v>1617616</v>
      </c>
      <c r="N6923" s="273"/>
    </row>
    <row r="6924" spans="1:14" ht="12.75" customHeight="1" x14ac:dyDescent="0.2">
      <c r="A6924" s="400" t="s">
        <v>1214</v>
      </c>
      <c r="B6924" s="271"/>
      <c r="C6924" s="271"/>
      <c r="D6924" s="271"/>
      <c r="E6924" s="271"/>
      <c r="F6924" s="271"/>
      <c r="G6924" s="273"/>
      <c r="H6924" s="29" t="str">
        <f t="shared" si="944"/>
        <v>Unidad</v>
      </c>
      <c r="I6924" s="394">
        <f t="shared" si="945"/>
        <v>1600000</v>
      </c>
      <c r="J6924" s="273"/>
      <c r="K6924" s="395">
        <v>1</v>
      </c>
      <c r="L6924" s="273"/>
      <c r="M6924" s="394">
        <f t="shared" si="946"/>
        <v>1600000</v>
      </c>
      <c r="N6924" s="273"/>
    </row>
    <row r="6925" spans="1:14" ht="12.75" customHeight="1" x14ac:dyDescent="0.2">
      <c r="A6925" s="400" t="s">
        <v>1215</v>
      </c>
      <c r="B6925" s="271"/>
      <c r="C6925" s="271"/>
      <c r="D6925" s="271"/>
      <c r="E6925" s="271"/>
      <c r="F6925" s="271"/>
      <c r="G6925" s="273"/>
      <c r="H6925" s="29" t="str">
        <f t="shared" si="944"/>
        <v>m3</v>
      </c>
      <c r="I6925" s="394">
        <f t="shared" si="945"/>
        <v>790161.82467906782</v>
      </c>
      <c r="J6925" s="273"/>
      <c r="K6925" s="395">
        <v>10.45</v>
      </c>
      <c r="L6925" s="273"/>
      <c r="M6925" s="394">
        <f t="shared" si="946"/>
        <v>8257191.0678962581</v>
      </c>
      <c r="N6925" s="273"/>
    </row>
    <row r="6926" spans="1:14" ht="12.75" customHeight="1" x14ac:dyDescent="0.2">
      <c r="A6926" s="400" t="s">
        <v>970</v>
      </c>
      <c r="B6926" s="271"/>
      <c r="C6926" s="271"/>
      <c r="D6926" s="271"/>
      <c r="E6926" s="271"/>
      <c r="F6926" s="271"/>
      <c r="G6926" s="273"/>
      <c r="H6926" s="29" t="str">
        <f t="shared" si="944"/>
        <v>Kg</v>
      </c>
      <c r="I6926" s="394">
        <f t="shared" si="945"/>
        <v>5883.1369999999997</v>
      </c>
      <c r="J6926" s="273"/>
      <c r="K6926" s="395">
        <v>836.16</v>
      </c>
      <c r="L6926" s="273"/>
      <c r="M6926" s="394">
        <f t="shared" si="946"/>
        <v>4919243.8339199992</v>
      </c>
      <c r="N6926" s="273"/>
    </row>
    <row r="6927" spans="1:14" ht="12.75" customHeight="1" x14ac:dyDescent="0.2">
      <c r="A6927" s="400" t="s">
        <v>1216</v>
      </c>
      <c r="B6927" s="271"/>
      <c r="C6927" s="271"/>
      <c r="D6927" s="271"/>
      <c r="E6927" s="271"/>
      <c r="F6927" s="271"/>
      <c r="G6927" s="273"/>
      <c r="H6927" s="29" t="str">
        <f t="shared" si="944"/>
        <v>Unidad</v>
      </c>
      <c r="I6927" s="394">
        <f t="shared" si="945"/>
        <v>276410.71000000002</v>
      </c>
      <c r="J6927" s="273"/>
      <c r="K6927" s="395">
        <v>2</v>
      </c>
      <c r="L6927" s="273"/>
      <c r="M6927" s="394">
        <f t="shared" si="946"/>
        <v>552821.42000000004</v>
      </c>
      <c r="N6927" s="273"/>
    </row>
    <row r="6928" spans="1:14" ht="12.75" customHeight="1" x14ac:dyDescent="0.2">
      <c r="A6928" s="400" t="s">
        <v>1217</v>
      </c>
      <c r="B6928" s="271"/>
      <c r="C6928" s="271"/>
      <c r="D6928" s="271"/>
      <c r="E6928" s="271"/>
      <c r="F6928" s="271"/>
      <c r="G6928" s="273"/>
      <c r="H6928" s="29" t="str">
        <f t="shared" si="944"/>
        <v>Unidad</v>
      </c>
      <c r="I6928" s="394">
        <f t="shared" si="945"/>
        <v>291900</v>
      </c>
      <c r="J6928" s="273"/>
      <c r="K6928" s="395">
        <v>8</v>
      </c>
      <c r="L6928" s="273"/>
      <c r="M6928" s="394">
        <f t="shared" si="946"/>
        <v>2335200</v>
      </c>
      <c r="N6928" s="273"/>
    </row>
    <row r="6929" spans="1:14" ht="12.75" customHeight="1" x14ac:dyDescent="0.2">
      <c r="A6929" s="400" t="s">
        <v>1218</v>
      </c>
      <c r="B6929" s="271"/>
      <c r="C6929" s="271"/>
      <c r="D6929" s="271"/>
      <c r="E6929" s="271"/>
      <c r="F6929" s="271"/>
      <c r="G6929" s="273"/>
      <c r="H6929" s="29" t="str">
        <f t="shared" si="944"/>
        <v>Kg</v>
      </c>
      <c r="I6929" s="394">
        <f t="shared" si="945"/>
        <v>11869.58</v>
      </c>
      <c r="J6929" s="273"/>
      <c r="K6929" s="395">
        <v>131.69999999999999</v>
      </c>
      <c r="L6929" s="273"/>
      <c r="M6929" s="394">
        <f t="shared" si="946"/>
        <v>1563223.6859999998</v>
      </c>
      <c r="N6929" s="273"/>
    </row>
    <row r="6930" spans="1:14" ht="12.75" customHeight="1" x14ac:dyDescent="0.2">
      <c r="A6930" s="400"/>
      <c r="B6930" s="271"/>
      <c r="C6930" s="271"/>
      <c r="D6930" s="271"/>
      <c r="E6930" s="271"/>
      <c r="F6930" s="271"/>
      <c r="G6930" s="273"/>
      <c r="H6930" s="29" t="str">
        <f t="shared" si="944"/>
        <v/>
      </c>
      <c r="I6930" s="394" t="str">
        <f t="shared" si="945"/>
        <v/>
      </c>
      <c r="J6930" s="273"/>
      <c r="K6930" s="395"/>
      <c r="L6930" s="273"/>
      <c r="M6930" s="394" t="str">
        <f t="shared" si="946"/>
        <v/>
      </c>
      <c r="N6930" s="273"/>
    </row>
    <row r="6931" spans="1:14" ht="12.75" customHeight="1" x14ac:dyDescent="0.25">
      <c r="A6931" s="4"/>
      <c r="B6931" s="4"/>
      <c r="C6931" s="4"/>
      <c r="D6931" s="4"/>
      <c r="E6931" s="4"/>
      <c r="F6931" s="4"/>
      <c r="G6931" s="4"/>
      <c r="H6931" s="4"/>
      <c r="I6931" s="4"/>
      <c r="J6931" s="4"/>
      <c r="K6931" s="396" t="s">
        <v>444</v>
      </c>
      <c r="L6931" s="273"/>
      <c r="M6931" s="394">
        <f>SUM(M6923:N6930)</f>
        <v>20845296.007816259</v>
      </c>
      <c r="N6931" s="273"/>
    </row>
    <row r="6932" spans="1:14" ht="12.75" customHeight="1" x14ac:dyDescent="0.25">
      <c r="A6932" s="4"/>
      <c r="B6932" s="4"/>
      <c r="C6932" s="4"/>
      <c r="D6932" s="4"/>
      <c r="E6932" s="4"/>
      <c r="F6932" s="4"/>
      <c r="G6932" s="4"/>
      <c r="H6932" s="4"/>
      <c r="I6932" s="4"/>
      <c r="J6932" s="4"/>
      <c r="K6932" s="4"/>
      <c r="L6932" s="4"/>
      <c r="M6932" s="4"/>
      <c r="N6932" s="4"/>
    </row>
    <row r="6933" spans="1:14" ht="12.75" customHeight="1" x14ac:dyDescent="0.2">
      <c r="A6933" s="398" t="s">
        <v>926</v>
      </c>
      <c r="B6933" s="271"/>
      <c r="C6933" s="271"/>
      <c r="D6933" s="271"/>
      <c r="E6933" s="271"/>
      <c r="F6933" s="271"/>
      <c r="G6933" s="271"/>
      <c r="H6933" s="271"/>
      <c r="I6933" s="271"/>
      <c r="J6933" s="271"/>
      <c r="K6933" s="271"/>
      <c r="L6933" s="271"/>
      <c r="M6933" s="271"/>
      <c r="N6933" s="273"/>
    </row>
    <row r="6934" spans="1:14" ht="12.75" customHeight="1" x14ac:dyDescent="0.2">
      <c r="A6934" s="396" t="s">
        <v>76</v>
      </c>
      <c r="B6934" s="271"/>
      <c r="C6934" s="271"/>
      <c r="D6934" s="271"/>
      <c r="E6934" s="271"/>
      <c r="F6934" s="271"/>
      <c r="G6934" s="273"/>
      <c r="H6934" s="88" t="s">
        <v>77</v>
      </c>
      <c r="I6934" s="399" t="s">
        <v>920</v>
      </c>
      <c r="J6934" s="273"/>
      <c r="K6934" s="399" t="s">
        <v>453</v>
      </c>
      <c r="L6934" s="273"/>
      <c r="M6934" s="399" t="s">
        <v>921</v>
      </c>
      <c r="N6934" s="273"/>
    </row>
    <row r="6935" spans="1:14" ht="12.75" customHeight="1" x14ac:dyDescent="0.2">
      <c r="A6935" s="400" t="s">
        <v>927</v>
      </c>
      <c r="B6935" s="271"/>
      <c r="C6935" s="271"/>
      <c r="D6935" s="271"/>
      <c r="E6935" s="271"/>
      <c r="F6935" s="271"/>
      <c r="G6935" s="273"/>
      <c r="H6935" s="29" t="str">
        <f>IF(A6935="","",VLOOKUP(A6935,AA_Equipos,7,FALSE))</f>
        <v>% M.O.</v>
      </c>
      <c r="I6935" s="394">
        <f>+M6958</f>
        <v>48278.212</v>
      </c>
      <c r="J6935" s="273"/>
      <c r="K6935" s="404">
        <v>0.05</v>
      </c>
      <c r="L6935" s="273"/>
      <c r="M6935" s="394">
        <f t="shared" ref="M6935:M6939" si="947">IF(A6935="","",I6935*K6935)</f>
        <v>2413.9106000000002</v>
      </c>
      <c r="N6935" s="273"/>
    </row>
    <row r="6936" spans="1:14" ht="12.75" customHeight="1" x14ac:dyDescent="0.2">
      <c r="A6936" s="403"/>
      <c r="B6936" s="271"/>
      <c r="C6936" s="271"/>
      <c r="D6936" s="271"/>
      <c r="E6936" s="271"/>
      <c r="F6936" s="271"/>
      <c r="G6936" s="273"/>
      <c r="H6936" s="29" t="str">
        <f>IF(A6936="","",VLOOKUP(A6936,AA_Equipos,7,FALSE))</f>
        <v/>
      </c>
      <c r="I6936" s="394" t="str">
        <f>IF(A6936="","",VLOOKUP(A6936,AA_Equipos,8,FALSE))</f>
        <v/>
      </c>
      <c r="J6936" s="273"/>
      <c r="K6936" s="402"/>
      <c r="L6936" s="273"/>
      <c r="M6936" s="394" t="str">
        <f t="shared" si="947"/>
        <v/>
      </c>
      <c r="N6936" s="273"/>
    </row>
    <row r="6937" spans="1:14" ht="12.75" customHeight="1" x14ac:dyDescent="0.2">
      <c r="A6937" s="400"/>
      <c r="B6937" s="271"/>
      <c r="C6937" s="271"/>
      <c r="D6937" s="271"/>
      <c r="E6937" s="271"/>
      <c r="F6937" s="271"/>
      <c r="G6937" s="273"/>
      <c r="H6937" s="29" t="str">
        <f>IF(A6937="","",VLOOKUP(A6937,AA_Equipos,7,FALSE))</f>
        <v/>
      </c>
      <c r="I6937" s="394"/>
      <c r="J6937" s="273"/>
      <c r="K6937" s="404"/>
      <c r="L6937" s="273"/>
      <c r="M6937" s="394" t="str">
        <f t="shared" si="947"/>
        <v/>
      </c>
      <c r="N6937" s="273"/>
    </row>
    <row r="6938" spans="1:14" ht="12.75" customHeight="1" x14ac:dyDescent="0.2">
      <c r="A6938" s="400"/>
      <c r="B6938" s="271"/>
      <c r="C6938" s="271"/>
      <c r="D6938" s="271"/>
      <c r="E6938" s="271"/>
      <c r="F6938" s="271"/>
      <c r="G6938" s="273"/>
      <c r="H6938" s="29" t="str">
        <f>IF(A6938="","",VLOOKUP(A6938,AA_Equipos,7,FALSE))</f>
        <v/>
      </c>
      <c r="I6938" s="394" t="str">
        <f>IF(A6938="","",VLOOKUP(A6938,AA_Equipos,8,FALSE))</f>
        <v/>
      </c>
      <c r="J6938" s="273"/>
      <c r="K6938" s="395"/>
      <c r="L6938" s="273"/>
      <c r="M6938" s="394" t="str">
        <f t="shared" si="947"/>
        <v/>
      </c>
      <c r="N6938" s="273"/>
    </row>
    <row r="6939" spans="1:14" ht="12.75" customHeight="1" x14ac:dyDescent="0.2">
      <c r="A6939" s="400"/>
      <c r="B6939" s="271"/>
      <c r="C6939" s="271"/>
      <c r="D6939" s="271"/>
      <c r="E6939" s="271"/>
      <c r="F6939" s="271"/>
      <c r="G6939" s="273"/>
      <c r="H6939" s="29" t="str">
        <f>IF(A6939="","",VLOOKUP(A6939,AA_Equipos,7,FALSE))</f>
        <v/>
      </c>
      <c r="I6939" s="394" t="str">
        <f>IF(A6939="","",VLOOKUP(A6939,AA_Equipos,8,FALSE))</f>
        <v/>
      </c>
      <c r="J6939" s="273"/>
      <c r="K6939" s="395"/>
      <c r="L6939" s="273"/>
      <c r="M6939" s="394" t="str">
        <f t="shared" si="947"/>
        <v/>
      </c>
      <c r="N6939" s="273"/>
    </row>
    <row r="6940" spans="1:14" ht="12.75" customHeight="1" x14ac:dyDescent="0.25">
      <c r="A6940" s="4"/>
      <c r="B6940" s="4"/>
      <c r="C6940" s="4"/>
      <c r="D6940" s="4"/>
      <c r="E6940" s="4"/>
      <c r="F6940" s="4"/>
      <c r="G6940" s="4"/>
      <c r="H6940" s="4"/>
      <c r="I6940" s="4"/>
      <c r="J6940" s="4"/>
      <c r="K6940" s="396" t="s">
        <v>444</v>
      </c>
      <c r="L6940" s="273"/>
      <c r="M6940" s="394">
        <f>SUM(M6935:N6939)</f>
        <v>2413.9106000000002</v>
      </c>
      <c r="N6940" s="273"/>
    </row>
    <row r="6941" spans="1:14" ht="12.75" customHeight="1" x14ac:dyDescent="0.25">
      <c r="A6941" s="4"/>
      <c r="B6941" s="4"/>
      <c r="C6941" s="4"/>
      <c r="D6941" s="4"/>
      <c r="E6941" s="4"/>
      <c r="F6941" s="4"/>
      <c r="G6941" s="4"/>
      <c r="H6941" s="4"/>
      <c r="I6941" s="4"/>
      <c r="J6941" s="4"/>
      <c r="K6941" s="4"/>
      <c r="L6941" s="4"/>
      <c r="M6941" s="4"/>
      <c r="N6941" s="4"/>
    </row>
    <row r="6942" spans="1:14" ht="12.75" customHeight="1" x14ac:dyDescent="0.2">
      <c r="A6942" s="398" t="s">
        <v>929</v>
      </c>
      <c r="B6942" s="271"/>
      <c r="C6942" s="271"/>
      <c r="D6942" s="271"/>
      <c r="E6942" s="271"/>
      <c r="F6942" s="271"/>
      <c r="G6942" s="271"/>
      <c r="H6942" s="271"/>
      <c r="I6942" s="271"/>
      <c r="J6942" s="271"/>
      <c r="K6942" s="271"/>
      <c r="L6942" s="271"/>
      <c r="M6942" s="271"/>
      <c r="N6942" s="273"/>
    </row>
    <row r="6943" spans="1:14" ht="12.75" customHeight="1" x14ac:dyDescent="0.2">
      <c r="A6943" s="396" t="s">
        <v>76</v>
      </c>
      <c r="B6943" s="271"/>
      <c r="C6943" s="271"/>
      <c r="D6943" s="271"/>
      <c r="E6943" s="271"/>
      <c r="F6943" s="271"/>
      <c r="G6943" s="273"/>
      <c r="H6943" s="88" t="s">
        <v>77</v>
      </c>
      <c r="I6943" s="399" t="s">
        <v>920</v>
      </c>
      <c r="J6943" s="273"/>
      <c r="K6943" s="399" t="s">
        <v>453</v>
      </c>
      <c r="L6943" s="273"/>
      <c r="M6943" s="399" t="s">
        <v>921</v>
      </c>
      <c r="N6943" s="273"/>
    </row>
    <row r="6944" spans="1:14" ht="12.75" customHeight="1" x14ac:dyDescent="0.2">
      <c r="A6944" s="400"/>
      <c r="B6944" s="271"/>
      <c r="C6944" s="271"/>
      <c r="D6944" s="271"/>
      <c r="E6944" s="271"/>
      <c r="F6944" s="271"/>
      <c r="G6944" s="273"/>
      <c r="H6944" s="29"/>
      <c r="I6944" s="394"/>
      <c r="J6944" s="273"/>
      <c r="K6944" s="404"/>
      <c r="L6944" s="273"/>
      <c r="M6944" s="394" t="str">
        <f t="shared" ref="M6944:M6948" si="948">IF(A6944="","",I6944*K6944)</f>
        <v/>
      </c>
      <c r="N6944" s="273"/>
    </row>
    <row r="6945" spans="1:15" ht="12.75" customHeight="1" x14ac:dyDescent="0.2">
      <c r="A6945" s="403"/>
      <c r="B6945" s="271"/>
      <c r="C6945" s="271"/>
      <c r="D6945" s="271"/>
      <c r="E6945" s="271"/>
      <c r="F6945" s="271"/>
      <c r="G6945" s="273"/>
      <c r="H6945" s="29"/>
      <c r="I6945" s="394"/>
      <c r="J6945" s="273"/>
      <c r="K6945" s="404"/>
      <c r="L6945" s="273"/>
      <c r="M6945" s="394" t="str">
        <f t="shared" si="948"/>
        <v/>
      </c>
      <c r="N6945" s="273"/>
    </row>
    <row r="6946" spans="1:15" ht="12.75" customHeight="1" x14ac:dyDescent="0.2">
      <c r="A6946" s="400"/>
      <c r="B6946" s="271"/>
      <c r="C6946" s="271"/>
      <c r="D6946" s="271"/>
      <c r="E6946" s="271"/>
      <c r="F6946" s="271"/>
      <c r="G6946" s="273"/>
      <c r="H6946" s="29"/>
      <c r="I6946" s="394"/>
      <c r="J6946" s="273"/>
      <c r="K6946" s="395"/>
      <c r="L6946" s="273"/>
      <c r="M6946" s="394" t="str">
        <f t="shared" si="948"/>
        <v/>
      </c>
      <c r="N6946" s="273"/>
    </row>
    <row r="6947" spans="1:15" ht="12.75" customHeight="1" x14ac:dyDescent="0.2">
      <c r="A6947" s="400"/>
      <c r="B6947" s="271"/>
      <c r="C6947" s="271"/>
      <c r="D6947" s="271"/>
      <c r="E6947" s="271"/>
      <c r="F6947" s="271"/>
      <c r="G6947" s="273"/>
      <c r="H6947" s="29"/>
      <c r="I6947" s="394"/>
      <c r="J6947" s="273"/>
      <c r="K6947" s="395"/>
      <c r="L6947" s="273"/>
      <c r="M6947" s="394" t="str">
        <f t="shared" si="948"/>
        <v/>
      </c>
      <c r="N6947" s="273"/>
    </row>
    <row r="6948" spans="1:15" ht="12.75" customHeight="1" x14ac:dyDescent="0.2">
      <c r="A6948" s="400"/>
      <c r="B6948" s="271"/>
      <c r="C6948" s="271"/>
      <c r="D6948" s="271"/>
      <c r="E6948" s="271"/>
      <c r="F6948" s="271"/>
      <c r="G6948" s="273"/>
      <c r="H6948" s="29"/>
      <c r="I6948" s="394"/>
      <c r="J6948" s="273"/>
      <c r="K6948" s="395"/>
      <c r="L6948" s="273"/>
      <c r="M6948" s="394" t="str">
        <f t="shared" si="948"/>
        <v/>
      </c>
      <c r="N6948" s="273"/>
    </row>
    <row r="6949" spans="1:15" ht="12.75" customHeight="1" x14ac:dyDescent="0.25">
      <c r="A6949" s="4"/>
      <c r="B6949" s="4"/>
      <c r="C6949" s="4"/>
      <c r="D6949" s="4"/>
      <c r="E6949" s="4"/>
      <c r="F6949" s="4"/>
      <c r="G6949" s="4"/>
      <c r="H6949" s="4"/>
      <c r="I6949" s="4"/>
      <c r="J6949" s="4"/>
      <c r="K6949" s="396" t="s">
        <v>444</v>
      </c>
      <c r="L6949" s="273"/>
      <c r="M6949" s="394">
        <f>SUM(M6944:N6948)</f>
        <v>0</v>
      </c>
      <c r="N6949" s="273"/>
    </row>
    <row r="6950" spans="1:15" ht="12.75" customHeight="1" x14ac:dyDescent="0.25">
      <c r="A6950" s="4"/>
      <c r="B6950" s="4"/>
      <c r="C6950" s="4"/>
      <c r="D6950" s="4"/>
      <c r="E6950" s="4"/>
      <c r="F6950" s="4"/>
      <c r="G6950" s="4"/>
      <c r="H6950" s="4"/>
      <c r="I6950" s="4"/>
      <c r="J6950" s="4"/>
      <c r="K6950" s="4"/>
      <c r="L6950" s="4"/>
      <c r="M6950" s="4"/>
      <c r="N6950" s="4"/>
    </row>
    <row r="6951" spans="1:15" ht="12.75" customHeight="1" x14ac:dyDescent="0.2">
      <c r="A6951" s="398" t="s">
        <v>931</v>
      </c>
      <c r="B6951" s="271"/>
      <c r="C6951" s="271"/>
      <c r="D6951" s="271"/>
      <c r="E6951" s="271"/>
      <c r="F6951" s="271"/>
      <c r="G6951" s="271"/>
      <c r="H6951" s="271"/>
      <c r="I6951" s="271"/>
      <c r="J6951" s="271"/>
      <c r="K6951" s="271"/>
      <c r="L6951" s="271"/>
      <c r="M6951" s="271"/>
      <c r="N6951" s="273"/>
    </row>
    <row r="6952" spans="1:15" ht="12.75" customHeight="1" x14ac:dyDescent="0.2">
      <c r="A6952" s="396" t="s">
        <v>76</v>
      </c>
      <c r="B6952" s="271"/>
      <c r="C6952" s="271"/>
      <c r="D6952" s="271"/>
      <c r="E6952" s="271"/>
      <c r="F6952" s="271"/>
      <c r="G6952" s="273"/>
      <c r="H6952" s="88" t="s">
        <v>77</v>
      </c>
      <c r="I6952" s="399" t="s">
        <v>920</v>
      </c>
      <c r="J6952" s="273"/>
      <c r="K6952" s="90" t="s">
        <v>514</v>
      </c>
      <c r="L6952" s="91" t="s">
        <v>932</v>
      </c>
      <c r="M6952" s="399" t="s">
        <v>921</v>
      </c>
      <c r="N6952" s="273"/>
    </row>
    <row r="6953" spans="1:15" ht="12.75" customHeight="1" x14ac:dyDescent="0.25">
      <c r="A6953" s="393" t="s">
        <v>1106</v>
      </c>
      <c r="B6953" s="271"/>
      <c r="C6953" s="271"/>
      <c r="D6953" s="271"/>
      <c r="E6953" s="271"/>
      <c r="F6953" s="271"/>
      <c r="G6953" s="273"/>
      <c r="H6953" s="29" t="str">
        <f>IF(A6953="","",VLOOKUP(A6953,AA_Cuadrillas,4,FALSE))</f>
        <v>Cuadrilla</v>
      </c>
      <c r="I6953" s="394">
        <f>IF(A6953="","",VLOOKUP(A6953,AA_Cuadrillas,5,FALSE))</f>
        <v>256799</v>
      </c>
      <c r="J6953" s="273"/>
      <c r="K6953" s="9">
        <f>IF(A6953="","",F.P!$I$2)</f>
        <v>1.88</v>
      </c>
      <c r="L6953" s="93">
        <v>0.1</v>
      </c>
      <c r="M6953" s="394">
        <f t="shared" ref="M6953:M6957" si="949">IF(A6953="","",I6953*K6953*L6953)</f>
        <v>48278.212</v>
      </c>
      <c r="N6953" s="273"/>
    </row>
    <row r="6954" spans="1:15" ht="12.75" customHeight="1" x14ac:dyDescent="0.25">
      <c r="A6954" s="393"/>
      <c r="B6954" s="271"/>
      <c r="C6954" s="271"/>
      <c r="D6954" s="271"/>
      <c r="E6954" s="271"/>
      <c r="F6954" s="271"/>
      <c r="G6954" s="273"/>
      <c r="H6954" s="29" t="str">
        <f>IF(A6954="","",VLOOKUP(A6954,AA_Cuadrillas,4,FALSE))</f>
        <v/>
      </c>
      <c r="I6954" s="394" t="str">
        <f>IF(A6954="","",VLOOKUP(A6954,AA_Cuadrillas,5,FALSE))</f>
        <v/>
      </c>
      <c r="J6954" s="273"/>
      <c r="K6954" s="9" t="str">
        <f>IF(A6954="","",F.P!$I$2)</f>
        <v/>
      </c>
      <c r="L6954" s="9"/>
      <c r="M6954" s="394" t="str">
        <f t="shared" si="949"/>
        <v/>
      </c>
      <c r="N6954" s="273"/>
    </row>
    <row r="6955" spans="1:15" ht="12.75" customHeight="1" x14ac:dyDescent="0.25">
      <c r="A6955" s="393"/>
      <c r="B6955" s="271"/>
      <c r="C6955" s="271"/>
      <c r="D6955" s="271"/>
      <c r="E6955" s="271"/>
      <c r="F6955" s="271"/>
      <c r="G6955" s="273"/>
      <c r="H6955" s="29" t="str">
        <f>IF(A6955="","",VLOOKUP(A6955,AA_Cuadrillas,4,FALSE))</f>
        <v/>
      </c>
      <c r="I6955" s="394" t="str">
        <f>IF(A6955="","",VLOOKUP(A6955,AA_Cuadrillas,5,FALSE))</f>
        <v/>
      </c>
      <c r="J6955" s="273"/>
      <c r="K6955" s="9" t="str">
        <f>IF(A6955="","",F.P!$I$2)</f>
        <v/>
      </c>
      <c r="L6955" s="37"/>
      <c r="M6955" s="394" t="str">
        <f t="shared" si="949"/>
        <v/>
      </c>
      <c r="N6955" s="273"/>
    </row>
    <row r="6956" spans="1:15" ht="12.75" customHeight="1" x14ac:dyDescent="0.25">
      <c r="A6956" s="393"/>
      <c r="B6956" s="271"/>
      <c r="C6956" s="271"/>
      <c r="D6956" s="271"/>
      <c r="E6956" s="271"/>
      <c r="F6956" s="271"/>
      <c r="G6956" s="273"/>
      <c r="H6956" s="29" t="str">
        <f>IF(A6956="","",VLOOKUP(A6956,AA_Cuadrillas,4,FALSE))</f>
        <v/>
      </c>
      <c r="I6956" s="394" t="str">
        <f>IF(A6956="","",VLOOKUP(A6956,AA_Cuadrillas,5,FALSE))</f>
        <v/>
      </c>
      <c r="J6956" s="273"/>
      <c r="K6956" s="9" t="str">
        <f>IF(A6956="","",F.P!$I$2)</f>
        <v/>
      </c>
      <c r="L6956" s="37"/>
      <c r="M6956" s="394" t="str">
        <f t="shared" si="949"/>
        <v/>
      </c>
      <c r="N6956" s="273"/>
    </row>
    <row r="6957" spans="1:15" ht="12.75" customHeight="1" x14ac:dyDescent="0.25">
      <c r="A6957" s="393"/>
      <c r="B6957" s="271"/>
      <c r="C6957" s="271"/>
      <c r="D6957" s="271"/>
      <c r="E6957" s="271"/>
      <c r="F6957" s="271"/>
      <c r="G6957" s="273"/>
      <c r="H6957" s="29" t="str">
        <f>IF(A6957="","",VLOOKUP(A6957,AA_Cuadrillas,4,FALSE))</f>
        <v/>
      </c>
      <c r="I6957" s="394" t="str">
        <f>IF(A6957="","",VLOOKUP(A6957,AA_Cuadrillas,5,FALSE))</f>
        <v/>
      </c>
      <c r="J6957" s="273"/>
      <c r="K6957" s="9" t="str">
        <f>IF(A6957="","",F.P!$I$2)</f>
        <v/>
      </c>
      <c r="L6957" s="37"/>
      <c r="M6957" s="394" t="str">
        <f t="shared" si="949"/>
        <v/>
      </c>
      <c r="N6957" s="273"/>
    </row>
    <row r="6958" spans="1:15" ht="12.75" customHeight="1" x14ac:dyDescent="0.25">
      <c r="A6958" s="4"/>
      <c r="B6958" s="4"/>
      <c r="C6958" s="4"/>
      <c r="D6958" s="4"/>
      <c r="E6958" s="4"/>
      <c r="F6958" s="4"/>
      <c r="G6958" s="4"/>
      <c r="H6958" s="4"/>
      <c r="I6958" s="4"/>
      <c r="J6958" s="4"/>
      <c r="K6958" s="396" t="s">
        <v>444</v>
      </c>
      <c r="L6958" s="273"/>
      <c r="M6958" s="394">
        <f>SUM(M6953:N6957)</f>
        <v>48278.212</v>
      </c>
      <c r="N6958" s="273"/>
    </row>
    <row r="6959" spans="1:15" ht="12.75" customHeight="1" x14ac:dyDescent="0.2"/>
    <row r="6960" spans="1:15" ht="12.75" customHeight="1" x14ac:dyDescent="0.2">
      <c r="A6960" s="407" t="s">
        <v>347</v>
      </c>
      <c r="B6960" s="275"/>
      <c r="C6960" s="275"/>
      <c r="D6960" s="275"/>
      <c r="E6960" s="275"/>
      <c r="F6960" s="275"/>
      <c r="G6960" s="275"/>
      <c r="H6960" s="275"/>
      <c r="I6960" s="275"/>
      <c r="J6960" s="275"/>
      <c r="K6960" s="275"/>
      <c r="L6960" s="275"/>
      <c r="M6960" s="275"/>
      <c r="N6960" s="276"/>
      <c r="O6960" s="166"/>
    </row>
    <row r="6961" spans="1:15" ht="12.75" customHeight="1" x14ac:dyDescent="0.2">
      <c r="A6961" s="277"/>
      <c r="B6961" s="278"/>
      <c r="C6961" s="278"/>
      <c r="D6961" s="278"/>
      <c r="E6961" s="278"/>
      <c r="F6961" s="278"/>
      <c r="G6961" s="278"/>
      <c r="H6961" s="278"/>
      <c r="I6961" s="278"/>
      <c r="J6961" s="278"/>
      <c r="K6961" s="278"/>
      <c r="L6961" s="278"/>
      <c r="M6961" s="278"/>
      <c r="N6961" s="279"/>
      <c r="O6961" s="166"/>
    </row>
    <row r="6962" spans="1:15" ht="12.75" customHeight="1" x14ac:dyDescent="0.2">
      <c r="A6962" s="75"/>
      <c r="B6962" s="75"/>
      <c r="C6962" s="75"/>
      <c r="D6962" s="75"/>
      <c r="E6962" s="75"/>
      <c r="F6962" s="75"/>
      <c r="G6962" s="75"/>
      <c r="H6962" s="75"/>
      <c r="I6962" s="75"/>
      <c r="J6962" s="75"/>
      <c r="K6962" s="75"/>
      <c r="L6962" s="75"/>
      <c r="M6962" s="75"/>
      <c r="N6962" s="75"/>
    </row>
    <row r="6963" spans="1:15" ht="12.75" customHeight="1" x14ac:dyDescent="0.3">
      <c r="A6963" s="79" t="s">
        <v>774</v>
      </c>
      <c r="B6963" s="80" t="str">
        <f>A6960</f>
        <v>SUMINISTRO E INSTALACIÓN DE TUBERIA DE VENTILACIÓN Ø2" (INCLUYE MATERIALES, HERRAMIENTAS Y MANO DE OBRA)</v>
      </c>
      <c r="C6963" s="81" t="s">
        <v>916</v>
      </c>
      <c r="D6963" s="82" t="s">
        <v>999</v>
      </c>
      <c r="E6963" s="83" t="s">
        <v>445</v>
      </c>
      <c r="F6963" s="234">
        <f>(H6963+J6963+L6963+N6963)*1.3</f>
        <v>695651.71865800011</v>
      </c>
      <c r="G6963" s="83" t="s">
        <v>607</v>
      </c>
      <c r="H6963" s="86">
        <f>M6985</f>
        <v>329.16920000000005</v>
      </c>
      <c r="I6963" s="83" t="s">
        <v>918</v>
      </c>
      <c r="J6963" s="86">
        <f>M6976</f>
        <v>503035.9</v>
      </c>
      <c r="K6963" s="83" t="s">
        <v>609</v>
      </c>
      <c r="L6963" s="86">
        <f>M6994</f>
        <v>25168.253460000004</v>
      </c>
      <c r="M6963" s="83" t="s">
        <v>610</v>
      </c>
      <c r="N6963" s="86">
        <f>M7003</f>
        <v>6583.384</v>
      </c>
    </row>
    <row r="6964" spans="1:15" ht="12.75" customHeight="1" x14ac:dyDescent="0.25">
      <c r="A6964" s="87"/>
      <c r="B6964" s="87"/>
      <c r="C6964" s="87"/>
      <c r="D6964" s="87"/>
      <c r="E6964" s="87"/>
      <c r="F6964" s="87"/>
      <c r="G6964" s="87"/>
      <c r="J6964" s="87"/>
      <c r="K6964" s="215" t="s">
        <v>3217</v>
      </c>
      <c r="L6964" s="215"/>
      <c r="M6964" s="87"/>
      <c r="N6964" s="87"/>
    </row>
    <row r="6965" spans="1:15" ht="12.75" customHeight="1" x14ac:dyDescent="0.2">
      <c r="A6965" s="398" t="s">
        <v>919</v>
      </c>
      <c r="B6965" s="271"/>
      <c r="C6965" s="271"/>
      <c r="D6965" s="271"/>
      <c r="E6965" s="271"/>
      <c r="F6965" s="271"/>
      <c r="G6965" s="271"/>
      <c r="H6965" s="271"/>
      <c r="I6965" s="271"/>
      <c r="J6965" s="271"/>
      <c r="K6965" s="271"/>
      <c r="L6965" s="271"/>
      <c r="M6965" s="271"/>
      <c r="N6965" s="273"/>
    </row>
    <row r="6966" spans="1:15" ht="12.75" customHeight="1" x14ac:dyDescent="0.2">
      <c r="A6966" s="396" t="s">
        <v>76</v>
      </c>
      <c r="B6966" s="271"/>
      <c r="C6966" s="271"/>
      <c r="D6966" s="271"/>
      <c r="E6966" s="271"/>
      <c r="F6966" s="271"/>
      <c r="G6966" s="273"/>
      <c r="H6966" s="88" t="s">
        <v>77</v>
      </c>
      <c r="I6966" s="399" t="s">
        <v>920</v>
      </c>
      <c r="J6966" s="273"/>
      <c r="K6966" s="399" t="s">
        <v>453</v>
      </c>
      <c r="L6966" s="273"/>
      <c r="M6966" s="399" t="s">
        <v>921</v>
      </c>
      <c r="N6966" s="273"/>
    </row>
    <row r="6967" spans="1:15" ht="12.75" customHeight="1" x14ac:dyDescent="0.2">
      <c r="A6967" s="400" t="s">
        <v>1207</v>
      </c>
      <c r="B6967" s="271"/>
      <c r="C6967" s="271"/>
      <c r="D6967" s="271"/>
      <c r="E6967" s="271"/>
      <c r="F6967" s="271"/>
      <c r="G6967" s="273"/>
      <c r="H6967" s="29" t="str">
        <f t="shared" ref="H6967:H6975" si="950">IF(A6967="","",VLOOKUP(A6967,AA_Materiales,7,FALSE))</f>
        <v>Unidad</v>
      </c>
      <c r="I6967" s="394">
        <f t="shared" ref="I6967:I6975" si="951">IF(A6967="","",VLOOKUP(A6967,AA_Materiales,8,FALSE))</f>
        <v>124017.95</v>
      </c>
      <c r="J6967" s="273"/>
      <c r="K6967" s="395">
        <v>2</v>
      </c>
      <c r="L6967" s="273"/>
      <c r="M6967" s="394">
        <f t="shared" ref="M6967:M6975" si="952">IF(A6967="","",I6967*K6967)</f>
        <v>248035.9</v>
      </c>
      <c r="N6967" s="273"/>
    </row>
    <row r="6968" spans="1:15" ht="12.75" customHeight="1" x14ac:dyDescent="0.2">
      <c r="A6968" s="400" t="s">
        <v>1124</v>
      </c>
      <c r="B6968" s="271"/>
      <c r="C6968" s="271"/>
      <c r="D6968" s="271"/>
      <c r="E6968" s="271"/>
      <c r="F6968" s="271"/>
      <c r="G6968" s="273"/>
      <c r="H6968" s="29" t="str">
        <f t="shared" si="950"/>
        <v>Unidad</v>
      </c>
      <c r="I6968" s="394">
        <f t="shared" si="951"/>
        <v>190000</v>
      </c>
      <c r="J6968" s="273"/>
      <c r="K6968" s="395">
        <v>1</v>
      </c>
      <c r="L6968" s="273"/>
      <c r="M6968" s="394">
        <f t="shared" si="952"/>
        <v>190000</v>
      </c>
      <c r="N6968" s="273"/>
    </row>
    <row r="6969" spans="1:15" ht="12.75" customHeight="1" x14ac:dyDescent="0.2">
      <c r="A6969" s="400" t="s">
        <v>1137</v>
      </c>
      <c r="B6969" s="271"/>
      <c r="C6969" s="271"/>
      <c r="D6969" s="271"/>
      <c r="E6969" s="271"/>
      <c r="F6969" s="271"/>
      <c r="G6969" s="273"/>
      <c r="H6969" s="29" t="str">
        <f t="shared" si="950"/>
        <v>Unidad</v>
      </c>
      <c r="I6969" s="394">
        <f t="shared" si="951"/>
        <v>65000</v>
      </c>
      <c r="J6969" s="273"/>
      <c r="K6969" s="395">
        <v>1</v>
      </c>
      <c r="L6969" s="273"/>
      <c r="M6969" s="394">
        <f t="shared" si="952"/>
        <v>65000</v>
      </c>
      <c r="N6969" s="273"/>
    </row>
    <row r="6970" spans="1:15" ht="12.75" customHeight="1" x14ac:dyDescent="0.2">
      <c r="A6970" s="400"/>
      <c r="B6970" s="271"/>
      <c r="C6970" s="271"/>
      <c r="D6970" s="271"/>
      <c r="E6970" s="271"/>
      <c r="F6970" s="271"/>
      <c r="G6970" s="273"/>
      <c r="H6970" s="29" t="str">
        <f t="shared" si="950"/>
        <v/>
      </c>
      <c r="I6970" s="394" t="str">
        <f t="shared" si="951"/>
        <v/>
      </c>
      <c r="J6970" s="273"/>
      <c r="K6970" s="395"/>
      <c r="L6970" s="273"/>
      <c r="M6970" s="394" t="str">
        <f t="shared" si="952"/>
        <v/>
      </c>
      <c r="N6970" s="273"/>
    </row>
    <row r="6971" spans="1:15" ht="12.75" customHeight="1" x14ac:dyDescent="0.2">
      <c r="A6971" s="400"/>
      <c r="B6971" s="271"/>
      <c r="C6971" s="271"/>
      <c r="D6971" s="271"/>
      <c r="E6971" s="271"/>
      <c r="F6971" s="271"/>
      <c r="G6971" s="273"/>
      <c r="H6971" s="29" t="str">
        <f t="shared" si="950"/>
        <v/>
      </c>
      <c r="I6971" s="394" t="str">
        <f t="shared" si="951"/>
        <v/>
      </c>
      <c r="J6971" s="273"/>
      <c r="K6971" s="395"/>
      <c r="L6971" s="273"/>
      <c r="M6971" s="394" t="str">
        <f t="shared" si="952"/>
        <v/>
      </c>
      <c r="N6971" s="273"/>
    </row>
    <row r="6972" spans="1:15" ht="12.75" customHeight="1" x14ac:dyDescent="0.2">
      <c r="A6972" s="400"/>
      <c r="B6972" s="271"/>
      <c r="C6972" s="271"/>
      <c r="D6972" s="271"/>
      <c r="E6972" s="271"/>
      <c r="F6972" s="271"/>
      <c r="G6972" s="273"/>
      <c r="H6972" s="29" t="str">
        <f t="shared" si="950"/>
        <v/>
      </c>
      <c r="I6972" s="394" t="str">
        <f t="shared" si="951"/>
        <v/>
      </c>
      <c r="J6972" s="273"/>
      <c r="K6972" s="395"/>
      <c r="L6972" s="273"/>
      <c r="M6972" s="394" t="str">
        <f t="shared" si="952"/>
        <v/>
      </c>
      <c r="N6972" s="273"/>
    </row>
    <row r="6973" spans="1:15" ht="12.75" customHeight="1" x14ac:dyDescent="0.2">
      <c r="A6973" s="400"/>
      <c r="B6973" s="271"/>
      <c r="C6973" s="271"/>
      <c r="D6973" s="271"/>
      <c r="E6973" s="271"/>
      <c r="F6973" s="271"/>
      <c r="G6973" s="273"/>
      <c r="H6973" s="29" t="str">
        <f t="shared" si="950"/>
        <v/>
      </c>
      <c r="I6973" s="394" t="str">
        <f t="shared" si="951"/>
        <v/>
      </c>
      <c r="J6973" s="273"/>
      <c r="K6973" s="395"/>
      <c r="L6973" s="273"/>
      <c r="M6973" s="394" t="str">
        <f t="shared" si="952"/>
        <v/>
      </c>
      <c r="N6973" s="273"/>
    </row>
    <row r="6974" spans="1:15" ht="12.75" customHeight="1" x14ac:dyDescent="0.2">
      <c r="A6974" s="400"/>
      <c r="B6974" s="271"/>
      <c r="C6974" s="271"/>
      <c r="D6974" s="271"/>
      <c r="E6974" s="271"/>
      <c r="F6974" s="271"/>
      <c r="G6974" s="273"/>
      <c r="H6974" s="29" t="str">
        <f t="shared" si="950"/>
        <v/>
      </c>
      <c r="I6974" s="394" t="str">
        <f t="shared" si="951"/>
        <v/>
      </c>
      <c r="J6974" s="273"/>
      <c r="K6974" s="395"/>
      <c r="L6974" s="273"/>
      <c r="M6974" s="394" t="str">
        <f t="shared" si="952"/>
        <v/>
      </c>
      <c r="N6974" s="273"/>
    </row>
    <row r="6975" spans="1:15" ht="12.75" customHeight="1" x14ac:dyDescent="0.2">
      <c r="A6975" s="400"/>
      <c r="B6975" s="271"/>
      <c r="C6975" s="271"/>
      <c r="D6975" s="271"/>
      <c r="E6975" s="271"/>
      <c r="F6975" s="271"/>
      <c r="G6975" s="273"/>
      <c r="H6975" s="29" t="str">
        <f t="shared" si="950"/>
        <v/>
      </c>
      <c r="I6975" s="394" t="str">
        <f t="shared" si="951"/>
        <v/>
      </c>
      <c r="J6975" s="273"/>
      <c r="K6975" s="395"/>
      <c r="L6975" s="273"/>
      <c r="M6975" s="394" t="str">
        <f t="shared" si="952"/>
        <v/>
      </c>
      <c r="N6975" s="273"/>
    </row>
    <row r="6976" spans="1:15" ht="12.75" customHeight="1" x14ac:dyDescent="0.25">
      <c r="A6976" s="4"/>
      <c r="B6976" s="4"/>
      <c r="C6976" s="4"/>
      <c r="D6976" s="4"/>
      <c r="E6976" s="4"/>
      <c r="F6976" s="4"/>
      <c r="G6976" s="4"/>
      <c r="H6976" s="4"/>
      <c r="I6976" s="4"/>
      <c r="J6976" s="4"/>
      <c r="K6976" s="396" t="s">
        <v>444</v>
      </c>
      <c r="L6976" s="273"/>
      <c r="M6976" s="394">
        <f>SUM(M6967:N6975)</f>
        <v>503035.9</v>
      </c>
      <c r="N6976" s="273"/>
    </row>
    <row r="6977" spans="1:14" ht="12.75" customHeight="1" x14ac:dyDescent="0.25">
      <c r="A6977" s="4"/>
      <c r="B6977" s="4"/>
      <c r="C6977" s="4"/>
      <c r="D6977" s="4"/>
      <c r="E6977" s="4"/>
      <c r="F6977" s="4"/>
      <c r="G6977" s="4"/>
      <c r="H6977" s="4"/>
      <c r="I6977" s="4"/>
      <c r="J6977" s="4"/>
      <c r="K6977" s="4"/>
      <c r="L6977" s="4"/>
      <c r="M6977" s="4"/>
      <c r="N6977" s="4"/>
    </row>
    <row r="6978" spans="1:14" ht="12.75" customHeight="1" x14ac:dyDescent="0.2">
      <c r="A6978" s="398" t="s">
        <v>926</v>
      </c>
      <c r="B6978" s="271"/>
      <c r="C6978" s="271"/>
      <c r="D6978" s="271"/>
      <c r="E6978" s="271"/>
      <c r="F6978" s="271"/>
      <c r="G6978" s="271"/>
      <c r="H6978" s="271"/>
      <c r="I6978" s="271"/>
      <c r="J6978" s="271"/>
      <c r="K6978" s="271"/>
      <c r="L6978" s="271"/>
      <c r="M6978" s="271"/>
      <c r="N6978" s="273"/>
    </row>
    <row r="6979" spans="1:14" ht="12.75" customHeight="1" x14ac:dyDescent="0.2">
      <c r="A6979" s="396" t="s">
        <v>76</v>
      </c>
      <c r="B6979" s="271"/>
      <c r="C6979" s="271"/>
      <c r="D6979" s="271"/>
      <c r="E6979" s="271"/>
      <c r="F6979" s="271"/>
      <c r="G6979" s="273"/>
      <c r="H6979" s="88" t="s">
        <v>77</v>
      </c>
      <c r="I6979" s="399" t="s">
        <v>920</v>
      </c>
      <c r="J6979" s="273"/>
      <c r="K6979" s="399" t="s">
        <v>453</v>
      </c>
      <c r="L6979" s="273"/>
      <c r="M6979" s="399" t="s">
        <v>921</v>
      </c>
      <c r="N6979" s="273"/>
    </row>
    <row r="6980" spans="1:14" ht="12.75" customHeight="1" x14ac:dyDescent="0.2">
      <c r="A6980" s="400" t="s">
        <v>927</v>
      </c>
      <c r="B6980" s="271"/>
      <c r="C6980" s="271"/>
      <c r="D6980" s="271"/>
      <c r="E6980" s="271"/>
      <c r="F6980" s="271"/>
      <c r="G6980" s="273"/>
      <c r="H6980" s="29" t="str">
        <f>IF(A6980="","",VLOOKUP(A6980,AA_Equipos,7,FALSE))</f>
        <v>% M.O.</v>
      </c>
      <c r="I6980" s="394">
        <f>M7003</f>
        <v>6583.384</v>
      </c>
      <c r="J6980" s="273"/>
      <c r="K6980" s="404">
        <v>0.05</v>
      </c>
      <c r="L6980" s="273"/>
      <c r="M6980" s="394">
        <f t="shared" ref="M6980:M6984" si="953">IF(A6980="","",I6980*K6980)</f>
        <v>329.16920000000005</v>
      </c>
      <c r="N6980" s="273"/>
    </row>
    <row r="6981" spans="1:14" ht="12.75" customHeight="1" x14ac:dyDescent="0.2">
      <c r="A6981" s="403"/>
      <c r="B6981" s="271"/>
      <c r="C6981" s="271"/>
      <c r="D6981" s="271"/>
      <c r="E6981" s="271"/>
      <c r="F6981" s="271"/>
      <c r="G6981" s="273"/>
      <c r="H6981" s="29" t="str">
        <f>IF(A6981="","",VLOOKUP(A6981,AA_Equipos,7,FALSE))</f>
        <v/>
      </c>
      <c r="I6981" s="394" t="str">
        <f>IF(A6981="","",VLOOKUP(A6981,AA_Equipos,8,FALSE))</f>
        <v/>
      </c>
      <c r="J6981" s="273"/>
      <c r="K6981" s="402"/>
      <c r="L6981" s="273"/>
      <c r="M6981" s="394" t="str">
        <f t="shared" si="953"/>
        <v/>
      </c>
      <c r="N6981" s="273"/>
    </row>
    <row r="6982" spans="1:14" ht="12.75" customHeight="1" x14ac:dyDescent="0.2">
      <c r="A6982" s="403"/>
      <c r="B6982" s="271"/>
      <c r="C6982" s="271"/>
      <c r="D6982" s="271"/>
      <c r="E6982" s="271"/>
      <c r="F6982" s="271"/>
      <c r="G6982" s="273"/>
      <c r="H6982" s="29" t="str">
        <f>IF(A6982="","",VLOOKUP(A6982,AA_Equipos,7,FALSE))</f>
        <v/>
      </c>
      <c r="I6982" s="394" t="str">
        <f>IF(A6982="","",VLOOKUP(A6982,AA_Equipos,8,FALSE))</f>
        <v/>
      </c>
      <c r="J6982" s="273"/>
      <c r="K6982" s="395"/>
      <c r="L6982" s="273"/>
      <c r="M6982" s="394" t="str">
        <f t="shared" si="953"/>
        <v/>
      </c>
      <c r="N6982" s="273"/>
    </row>
    <row r="6983" spans="1:14" ht="12.75" customHeight="1" x14ac:dyDescent="0.2">
      <c r="A6983" s="400"/>
      <c r="B6983" s="271"/>
      <c r="C6983" s="271"/>
      <c r="D6983" s="271"/>
      <c r="E6983" s="271"/>
      <c r="F6983" s="271"/>
      <c r="G6983" s="273"/>
      <c r="H6983" s="29" t="str">
        <f>IF(A6983="","",VLOOKUP(A6983,AA_Equipos,7,FALSE))</f>
        <v/>
      </c>
      <c r="I6983" s="394" t="str">
        <f>IF(A6983="","",VLOOKUP(A6983,AA_Equipos,8,FALSE))</f>
        <v/>
      </c>
      <c r="J6983" s="273"/>
      <c r="K6983" s="395"/>
      <c r="L6983" s="273"/>
      <c r="M6983" s="394" t="str">
        <f t="shared" si="953"/>
        <v/>
      </c>
      <c r="N6983" s="273"/>
    </row>
    <row r="6984" spans="1:14" ht="12.75" customHeight="1" x14ac:dyDescent="0.2">
      <c r="A6984" s="400"/>
      <c r="B6984" s="271"/>
      <c r="C6984" s="271"/>
      <c r="D6984" s="271"/>
      <c r="E6984" s="271"/>
      <c r="F6984" s="271"/>
      <c r="G6984" s="273"/>
      <c r="H6984" s="29" t="str">
        <f>IF(A6984="","",VLOOKUP(A6984,AA_Equipos,7,FALSE))</f>
        <v/>
      </c>
      <c r="I6984" s="394" t="str">
        <f>IF(A6984="","",VLOOKUP(A6984,AA_Equipos,8,FALSE))</f>
        <v/>
      </c>
      <c r="J6984" s="273"/>
      <c r="K6984" s="395"/>
      <c r="L6984" s="273"/>
      <c r="M6984" s="394" t="str">
        <f t="shared" si="953"/>
        <v/>
      </c>
      <c r="N6984" s="273"/>
    </row>
    <row r="6985" spans="1:14" ht="12.75" customHeight="1" x14ac:dyDescent="0.25">
      <c r="A6985" s="4"/>
      <c r="B6985" s="4"/>
      <c r="C6985" s="4"/>
      <c r="D6985" s="4"/>
      <c r="E6985" s="4"/>
      <c r="F6985" s="4"/>
      <c r="G6985" s="4"/>
      <c r="H6985" s="4"/>
      <c r="I6985" s="4"/>
      <c r="J6985" s="4"/>
      <c r="K6985" s="396" t="s">
        <v>444</v>
      </c>
      <c r="L6985" s="273"/>
      <c r="M6985" s="394">
        <f>SUM(M6980:N6984)</f>
        <v>329.16920000000005</v>
      </c>
      <c r="N6985" s="273"/>
    </row>
    <row r="6986" spans="1:14" ht="12.75" customHeight="1" x14ac:dyDescent="0.25">
      <c r="A6986" s="4"/>
      <c r="B6986" s="4"/>
      <c r="C6986" s="4"/>
      <c r="D6986" s="4"/>
      <c r="E6986" s="4"/>
      <c r="F6986" s="4"/>
      <c r="G6986" s="4"/>
      <c r="H6986" s="4"/>
      <c r="I6986" s="4"/>
      <c r="J6986" s="4"/>
      <c r="K6986" s="4"/>
      <c r="L6986" s="4"/>
      <c r="M6986" s="4"/>
      <c r="N6986" s="4"/>
    </row>
    <row r="6987" spans="1:14" ht="12.75" customHeight="1" x14ac:dyDescent="0.2">
      <c r="A6987" s="398" t="s">
        <v>929</v>
      </c>
      <c r="B6987" s="271"/>
      <c r="C6987" s="271"/>
      <c r="D6987" s="271"/>
      <c r="E6987" s="271"/>
      <c r="F6987" s="271"/>
      <c r="G6987" s="271"/>
      <c r="H6987" s="271"/>
      <c r="I6987" s="271"/>
      <c r="J6987" s="271"/>
      <c r="K6987" s="271"/>
      <c r="L6987" s="271"/>
      <c r="M6987" s="271"/>
      <c r="N6987" s="273"/>
    </row>
    <row r="6988" spans="1:14" ht="12.75" customHeight="1" x14ac:dyDescent="0.2">
      <c r="A6988" s="396" t="s">
        <v>76</v>
      </c>
      <c r="B6988" s="271"/>
      <c r="C6988" s="271"/>
      <c r="D6988" s="271"/>
      <c r="E6988" s="271"/>
      <c r="F6988" s="271"/>
      <c r="G6988" s="273"/>
      <c r="H6988" s="88" t="s">
        <v>77</v>
      </c>
      <c r="I6988" s="399" t="s">
        <v>920</v>
      </c>
      <c r="J6988" s="273"/>
      <c r="K6988" s="399" t="s">
        <v>453</v>
      </c>
      <c r="L6988" s="273"/>
      <c r="M6988" s="399" t="s">
        <v>921</v>
      </c>
      <c r="N6988" s="273"/>
    </row>
    <row r="6989" spans="1:14" ht="12.75" customHeight="1" x14ac:dyDescent="0.2">
      <c r="A6989" s="400" t="s">
        <v>930</v>
      </c>
      <c r="B6989" s="271"/>
      <c r="C6989" s="271"/>
      <c r="D6989" s="271"/>
      <c r="E6989" s="271"/>
      <c r="F6989" s="271"/>
      <c r="G6989" s="273"/>
      <c r="H6989" s="29" t="s">
        <v>950</v>
      </c>
      <c r="I6989" s="394">
        <f>+M6976+M6985</f>
        <v>503365.06920000003</v>
      </c>
      <c r="J6989" s="273"/>
      <c r="K6989" s="404">
        <v>0.05</v>
      </c>
      <c r="L6989" s="273"/>
      <c r="M6989" s="394">
        <f t="shared" ref="M6989:M6993" si="954">IF(A6989="","",I6989*K6989)</f>
        <v>25168.253460000004</v>
      </c>
      <c r="N6989" s="273"/>
    </row>
    <row r="6990" spans="1:14" ht="12.75" customHeight="1" x14ac:dyDescent="0.2">
      <c r="A6990" s="403"/>
      <c r="B6990" s="271"/>
      <c r="C6990" s="271"/>
      <c r="D6990" s="271"/>
      <c r="E6990" s="271"/>
      <c r="F6990" s="271"/>
      <c r="G6990" s="273"/>
      <c r="H6990" s="29"/>
      <c r="I6990" s="394"/>
      <c r="J6990" s="273"/>
      <c r="K6990" s="417"/>
      <c r="L6990" s="273"/>
      <c r="M6990" s="394" t="str">
        <f t="shared" si="954"/>
        <v/>
      </c>
      <c r="N6990" s="273"/>
    </row>
    <row r="6991" spans="1:14" ht="12.75" customHeight="1" x14ac:dyDescent="0.2">
      <c r="A6991" s="400"/>
      <c r="B6991" s="271"/>
      <c r="C6991" s="271"/>
      <c r="D6991" s="271"/>
      <c r="E6991" s="271"/>
      <c r="F6991" s="271"/>
      <c r="G6991" s="273"/>
      <c r="H6991" s="29"/>
      <c r="I6991" s="394"/>
      <c r="J6991" s="273"/>
      <c r="K6991" s="395"/>
      <c r="L6991" s="273"/>
      <c r="M6991" s="394" t="str">
        <f t="shared" si="954"/>
        <v/>
      </c>
      <c r="N6991" s="273"/>
    </row>
    <row r="6992" spans="1:14" ht="12.75" customHeight="1" x14ac:dyDescent="0.2">
      <c r="A6992" s="400"/>
      <c r="B6992" s="271"/>
      <c r="C6992" s="271"/>
      <c r="D6992" s="271"/>
      <c r="E6992" s="271"/>
      <c r="F6992" s="271"/>
      <c r="G6992" s="273"/>
      <c r="H6992" s="29"/>
      <c r="I6992" s="394"/>
      <c r="J6992" s="273"/>
      <c r="K6992" s="395"/>
      <c r="L6992" s="273"/>
      <c r="M6992" s="394" t="str">
        <f t="shared" si="954"/>
        <v/>
      </c>
      <c r="N6992" s="273"/>
    </row>
    <row r="6993" spans="1:15" ht="12.75" customHeight="1" x14ac:dyDescent="0.2">
      <c r="A6993" s="400"/>
      <c r="B6993" s="271"/>
      <c r="C6993" s="271"/>
      <c r="D6993" s="271"/>
      <c r="E6993" s="271"/>
      <c r="F6993" s="271"/>
      <c r="G6993" s="273"/>
      <c r="H6993" s="29"/>
      <c r="I6993" s="394"/>
      <c r="J6993" s="273"/>
      <c r="K6993" s="395"/>
      <c r="L6993" s="273"/>
      <c r="M6993" s="394" t="str">
        <f t="shared" si="954"/>
        <v/>
      </c>
      <c r="N6993" s="273"/>
    </row>
    <row r="6994" spans="1:15" ht="12.75" customHeight="1" x14ac:dyDescent="0.25">
      <c r="A6994" s="4"/>
      <c r="B6994" s="4"/>
      <c r="C6994" s="4"/>
      <c r="D6994" s="4"/>
      <c r="E6994" s="4"/>
      <c r="F6994" s="4"/>
      <c r="G6994" s="4"/>
      <c r="H6994" s="4"/>
      <c r="I6994" s="4"/>
      <c r="J6994" s="4"/>
      <c r="K6994" s="396" t="s">
        <v>444</v>
      </c>
      <c r="L6994" s="273"/>
      <c r="M6994" s="394">
        <f>SUM(M6989:N6993)</f>
        <v>25168.253460000004</v>
      </c>
      <c r="N6994" s="273"/>
    </row>
    <row r="6995" spans="1:15" ht="12.75" customHeight="1" x14ac:dyDescent="0.25">
      <c r="A6995" s="4"/>
      <c r="B6995" s="4"/>
      <c r="C6995" s="4"/>
      <c r="D6995" s="4"/>
      <c r="E6995" s="4"/>
      <c r="F6995" s="4"/>
      <c r="G6995" s="4"/>
      <c r="H6995" s="4"/>
      <c r="I6995" s="4"/>
      <c r="J6995" s="4"/>
      <c r="K6995" s="4"/>
      <c r="L6995" s="4"/>
      <c r="M6995" s="4"/>
      <c r="N6995" s="4"/>
    </row>
    <row r="6996" spans="1:15" ht="12.75" customHeight="1" x14ac:dyDescent="0.2">
      <c r="A6996" s="398" t="s">
        <v>931</v>
      </c>
      <c r="B6996" s="271"/>
      <c r="C6996" s="271"/>
      <c r="D6996" s="271"/>
      <c r="E6996" s="271"/>
      <c r="F6996" s="271"/>
      <c r="G6996" s="271"/>
      <c r="H6996" s="271"/>
      <c r="I6996" s="271"/>
      <c r="J6996" s="271"/>
      <c r="K6996" s="271"/>
      <c r="L6996" s="271"/>
      <c r="M6996" s="271"/>
      <c r="N6996" s="273"/>
    </row>
    <row r="6997" spans="1:15" ht="12.75" customHeight="1" x14ac:dyDescent="0.2">
      <c r="A6997" s="396" t="s">
        <v>76</v>
      </c>
      <c r="B6997" s="271"/>
      <c r="C6997" s="271"/>
      <c r="D6997" s="271"/>
      <c r="E6997" s="271"/>
      <c r="F6997" s="271"/>
      <c r="G6997" s="273"/>
      <c r="H6997" s="88" t="s">
        <v>77</v>
      </c>
      <c r="I6997" s="399" t="s">
        <v>920</v>
      </c>
      <c r="J6997" s="273"/>
      <c r="K6997" s="90" t="s">
        <v>514</v>
      </c>
      <c r="L6997" s="91" t="s">
        <v>932</v>
      </c>
      <c r="M6997" s="399" t="s">
        <v>921</v>
      </c>
      <c r="N6997" s="273"/>
    </row>
    <row r="6998" spans="1:15" ht="12.75" customHeight="1" x14ac:dyDescent="0.25">
      <c r="A6998" s="393" t="s">
        <v>936</v>
      </c>
      <c r="B6998" s="271"/>
      <c r="C6998" s="271"/>
      <c r="D6998" s="271"/>
      <c r="E6998" s="271"/>
      <c r="F6998" s="271"/>
      <c r="G6998" s="273"/>
      <c r="H6998" s="29" t="str">
        <f>IF(A6998="","",VLOOKUP(A6998,AA_Cuadrillas,4,FALSE))</f>
        <v>Cuadrilla</v>
      </c>
      <c r="I6998" s="394">
        <f>IF(A6998="","",VLOOKUP(A6998,AA_Cuadrillas,5,FALSE))</f>
        <v>70036</v>
      </c>
      <c r="J6998" s="273"/>
      <c r="K6998" s="9">
        <f>IF(A6998="","",F.P!$I$2)</f>
        <v>1.88</v>
      </c>
      <c r="L6998" s="93">
        <v>0.05</v>
      </c>
      <c r="M6998" s="394">
        <f t="shared" ref="M6998:M7002" si="955">IF(A6998="","",I6998*K6998*L6998)</f>
        <v>6583.384</v>
      </c>
      <c r="N6998" s="273"/>
    </row>
    <row r="6999" spans="1:15" ht="12.75" customHeight="1" x14ac:dyDescent="0.25">
      <c r="A6999" s="393"/>
      <c r="B6999" s="271"/>
      <c r="C6999" s="271"/>
      <c r="D6999" s="271"/>
      <c r="E6999" s="271"/>
      <c r="F6999" s="271"/>
      <c r="G6999" s="273"/>
      <c r="H6999" s="29" t="str">
        <f>IF(A6999="","",VLOOKUP(A6999,AA_Cuadrillas,4,FALSE))</f>
        <v/>
      </c>
      <c r="I6999" s="394" t="str">
        <f>IF(A6999="","",VLOOKUP(A6999,AA_Cuadrillas,5,FALSE))</f>
        <v/>
      </c>
      <c r="J6999" s="273"/>
      <c r="K6999" s="9" t="str">
        <f>IF(A6999="","",F.P!$I$2)</f>
        <v/>
      </c>
      <c r="L6999" s="9"/>
      <c r="M6999" s="394" t="str">
        <f t="shared" si="955"/>
        <v/>
      </c>
      <c r="N6999" s="273"/>
    </row>
    <row r="7000" spans="1:15" ht="12.75" customHeight="1" x14ac:dyDescent="0.25">
      <c r="A7000" s="393"/>
      <c r="B7000" s="271"/>
      <c r="C7000" s="271"/>
      <c r="D7000" s="271"/>
      <c r="E7000" s="271"/>
      <c r="F7000" s="271"/>
      <c r="G7000" s="273"/>
      <c r="H7000" s="29" t="str">
        <f>IF(A7000="","",VLOOKUP(A7000,AA_Cuadrillas,4,FALSE))</f>
        <v/>
      </c>
      <c r="I7000" s="394" t="str">
        <f>IF(A7000="","",VLOOKUP(A7000,AA_Cuadrillas,5,FALSE))</f>
        <v/>
      </c>
      <c r="J7000" s="273"/>
      <c r="K7000" s="9" t="str">
        <f>IF(A7000="","",F.P!$I$2)</f>
        <v/>
      </c>
      <c r="L7000" s="37"/>
      <c r="M7000" s="394" t="str">
        <f t="shared" si="955"/>
        <v/>
      </c>
      <c r="N7000" s="273"/>
    </row>
    <row r="7001" spans="1:15" ht="12.75" customHeight="1" x14ac:dyDescent="0.25">
      <c r="A7001" s="393"/>
      <c r="B7001" s="271"/>
      <c r="C7001" s="271"/>
      <c r="D7001" s="271"/>
      <c r="E7001" s="271"/>
      <c r="F7001" s="271"/>
      <c r="G7001" s="273"/>
      <c r="H7001" s="29" t="str">
        <f>IF(A7001="","",VLOOKUP(A7001,AA_Cuadrillas,4,FALSE))</f>
        <v/>
      </c>
      <c r="I7001" s="394" t="str">
        <f>IF(A7001="","",VLOOKUP(A7001,AA_Cuadrillas,5,FALSE))</f>
        <v/>
      </c>
      <c r="J7001" s="273"/>
      <c r="K7001" s="9" t="str">
        <f>IF(A7001="","",F.P!$I$2)</f>
        <v/>
      </c>
      <c r="L7001" s="37"/>
      <c r="M7001" s="394" t="str">
        <f t="shared" si="955"/>
        <v/>
      </c>
      <c r="N7001" s="273"/>
    </row>
    <row r="7002" spans="1:15" ht="12.75" customHeight="1" x14ac:dyDescent="0.25">
      <c r="A7002" s="393"/>
      <c r="B7002" s="271"/>
      <c r="C7002" s="271"/>
      <c r="D7002" s="271"/>
      <c r="E7002" s="271"/>
      <c r="F7002" s="271"/>
      <c r="G7002" s="273"/>
      <c r="H7002" s="29" t="str">
        <f>IF(A7002="","",VLOOKUP(A7002,AA_Cuadrillas,4,FALSE))</f>
        <v/>
      </c>
      <c r="I7002" s="394" t="str">
        <f>IF(A7002="","",VLOOKUP(A7002,AA_Cuadrillas,5,FALSE))</f>
        <v/>
      </c>
      <c r="J7002" s="273"/>
      <c r="K7002" s="9" t="str">
        <f>IF(A7002="","",F.P!$I$2)</f>
        <v/>
      </c>
      <c r="L7002" s="37"/>
      <c r="M7002" s="394" t="str">
        <f t="shared" si="955"/>
        <v/>
      </c>
      <c r="N7002" s="273"/>
    </row>
    <row r="7003" spans="1:15" ht="12.75" customHeight="1" x14ac:dyDescent="0.25">
      <c r="A7003" s="4"/>
      <c r="B7003" s="4"/>
      <c r="C7003" s="4"/>
      <c r="D7003" s="4"/>
      <c r="E7003" s="4"/>
      <c r="F7003" s="4"/>
      <c r="G7003" s="4"/>
      <c r="H7003" s="4"/>
      <c r="I7003" s="4"/>
      <c r="J7003" s="4"/>
      <c r="K7003" s="396" t="s">
        <v>444</v>
      </c>
      <c r="L7003" s="273"/>
      <c r="M7003" s="394">
        <f>SUM(M6998:N7002)</f>
        <v>6583.384</v>
      </c>
      <c r="N7003" s="273"/>
    </row>
    <row r="7004" spans="1:15" ht="12.75" customHeight="1" x14ac:dyDescent="0.2"/>
    <row r="7005" spans="1:15" ht="12.75" customHeight="1" x14ac:dyDescent="0.2">
      <c r="A7005" s="407" t="s">
        <v>301</v>
      </c>
      <c r="B7005" s="275"/>
      <c r="C7005" s="275"/>
      <c r="D7005" s="275"/>
      <c r="E7005" s="275"/>
      <c r="F7005" s="275"/>
      <c r="G7005" s="275"/>
      <c r="H7005" s="275"/>
      <c r="I7005" s="275"/>
      <c r="J7005" s="275"/>
      <c r="K7005" s="275"/>
      <c r="L7005" s="275"/>
      <c r="M7005" s="275"/>
      <c r="N7005" s="276"/>
      <c r="O7005" s="166"/>
    </row>
    <row r="7006" spans="1:15" ht="12.75" customHeight="1" x14ac:dyDescent="0.2">
      <c r="A7006" s="277"/>
      <c r="B7006" s="278"/>
      <c r="C7006" s="278"/>
      <c r="D7006" s="278"/>
      <c r="E7006" s="278"/>
      <c r="F7006" s="278"/>
      <c r="G7006" s="278"/>
      <c r="H7006" s="278"/>
      <c r="I7006" s="278"/>
      <c r="J7006" s="278"/>
      <c r="K7006" s="278"/>
      <c r="L7006" s="278"/>
      <c r="M7006" s="278"/>
      <c r="N7006" s="279"/>
      <c r="O7006" s="166"/>
    </row>
    <row r="7007" spans="1:15" ht="12.75" customHeight="1" x14ac:dyDescent="0.2">
      <c r="A7007" s="75"/>
      <c r="B7007" s="75"/>
      <c r="C7007" s="75"/>
      <c r="D7007" s="75"/>
      <c r="E7007" s="75"/>
      <c r="F7007" s="75"/>
      <c r="G7007" s="75"/>
      <c r="H7007" s="75"/>
      <c r="I7007" s="75"/>
      <c r="J7007" s="75"/>
      <c r="K7007" s="75"/>
      <c r="L7007" s="75"/>
      <c r="M7007" s="75"/>
      <c r="N7007" s="75"/>
    </row>
    <row r="7008" spans="1:15" ht="12.75" customHeight="1" x14ac:dyDescent="0.3">
      <c r="A7008" s="79" t="s">
        <v>775</v>
      </c>
      <c r="B7008" s="80" t="str">
        <f>A7005</f>
        <v>CONCRETO PARA SOLADO DE 2000 PSI PARA ANDÉN PERIMETRAL A TODO COSTO (140 KG/CM2)</v>
      </c>
      <c r="C7008" s="81" t="s">
        <v>916</v>
      </c>
      <c r="D7008" s="82" t="s">
        <v>258</v>
      </c>
      <c r="E7008" s="83" t="s">
        <v>445</v>
      </c>
      <c r="F7008" s="234">
        <f>(H7008+J7008+L7008+N7008)*1.3</f>
        <v>805837.05099293601</v>
      </c>
      <c r="G7008" s="83" t="s">
        <v>607</v>
      </c>
      <c r="H7008" s="86">
        <f>M7026</f>
        <v>32083.643082279999</v>
      </c>
      <c r="I7008" s="83" t="s">
        <v>918</v>
      </c>
      <c r="J7008" s="86">
        <f>M7017</f>
        <v>309400</v>
      </c>
      <c r="K7008" s="83" t="s">
        <v>609</v>
      </c>
      <c r="L7008" s="86">
        <f>M7035</f>
        <v>112588.78512207072</v>
      </c>
      <c r="M7008" s="83" t="s">
        <v>610</v>
      </c>
      <c r="N7008" s="86">
        <f>M7044</f>
        <v>165802.2264056</v>
      </c>
      <c r="O7008" s="221" t="s">
        <v>3251</v>
      </c>
    </row>
    <row r="7009" spans="1:14" ht="12.75" customHeight="1" x14ac:dyDescent="0.25">
      <c r="A7009" s="87"/>
      <c r="B7009" s="87"/>
      <c r="C7009" s="87"/>
      <c r="D7009" s="87"/>
      <c r="E7009" s="87"/>
      <c r="F7009" s="87"/>
      <c r="G7009" s="87"/>
      <c r="J7009" s="87"/>
      <c r="K7009" s="215" t="s">
        <v>3217</v>
      </c>
      <c r="L7009" s="215"/>
      <c r="M7009" s="87"/>
      <c r="N7009" s="87"/>
    </row>
    <row r="7010" spans="1:14" ht="12.75" customHeight="1" x14ac:dyDescent="0.2">
      <c r="A7010" s="398" t="s">
        <v>919</v>
      </c>
      <c r="B7010" s="271"/>
      <c r="C7010" s="271"/>
      <c r="D7010" s="271"/>
      <c r="E7010" s="271"/>
      <c r="F7010" s="271"/>
      <c r="G7010" s="271"/>
      <c r="H7010" s="271"/>
      <c r="I7010" s="271"/>
      <c r="J7010" s="271"/>
      <c r="K7010" s="271"/>
      <c r="L7010" s="271"/>
      <c r="M7010" s="271"/>
      <c r="N7010" s="273"/>
    </row>
    <row r="7011" spans="1:14" ht="12.75" customHeight="1" x14ac:dyDescent="0.2">
      <c r="A7011" s="396" t="s">
        <v>76</v>
      </c>
      <c r="B7011" s="271"/>
      <c r="C7011" s="271"/>
      <c r="D7011" s="271"/>
      <c r="E7011" s="271"/>
      <c r="F7011" s="271"/>
      <c r="G7011" s="273"/>
      <c r="H7011" s="88" t="s">
        <v>77</v>
      </c>
      <c r="I7011" s="399" t="s">
        <v>920</v>
      </c>
      <c r="J7011" s="273"/>
      <c r="K7011" s="399" t="s">
        <v>453</v>
      </c>
      <c r="L7011" s="273"/>
      <c r="M7011" s="399" t="s">
        <v>921</v>
      </c>
      <c r="N7011" s="273"/>
    </row>
    <row r="7012" spans="1:14" ht="12.75" customHeight="1" x14ac:dyDescent="0.2">
      <c r="A7012" s="400" t="s">
        <v>953</v>
      </c>
      <c r="B7012" s="271"/>
      <c r="C7012" s="271"/>
      <c r="D7012" s="271"/>
      <c r="E7012" s="271"/>
      <c r="F7012" s="271"/>
      <c r="G7012" s="273"/>
      <c r="H7012" s="29" t="str">
        <f>IF(A7012="","",VLOOKUP(A7012,AA_Materiales,7,FALSE))</f>
        <v>Kg</v>
      </c>
      <c r="I7012" s="394">
        <f>IF(A7012="","",VLOOKUP(A7012,AA_Materiales,8,FALSE))</f>
        <v>800</v>
      </c>
      <c r="J7012" s="273"/>
      <c r="K7012" s="395">
        <v>230</v>
      </c>
      <c r="L7012" s="273"/>
      <c r="M7012" s="394">
        <f t="shared" ref="M7012:M7016" si="956">IF(A7012="","",I7012*K7012)</f>
        <v>184000</v>
      </c>
      <c r="N7012" s="273"/>
    </row>
    <row r="7013" spans="1:14" ht="12.75" customHeight="1" x14ac:dyDescent="0.2">
      <c r="A7013" s="400" t="s">
        <v>954</v>
      </c>
      <c r="B7013" s="271"/>
      <c r="C7013" s="271"/>
      <c r="D7013" s="271"/>
      <c r="E7013" s="271"/>
      <c r="F7013" s="271"/>
      <c r="G7013" s="273"/>
      <c r="H7013" s="29" t="str">
        <f>IF(A7013="","",VLOOKUP(A7013,AA_Materiales,7,FALSE))</f>
        <v>m3</v>
      </c>
      <c r="I7013" s="394">
        <f>IF(A7013="","",VLOOKUP(A7013,AA_Materiales,8,FALSE))</f>
        <v>83000</v>
      </c>
      <c r="J7013" s="273"/>
      <c r="K7013" s="395">
        <v>0.6</v>
      </c>
      <c r="L7013" s="273"/>
      <c r="M7013" s="394">
        <f t="shared" si="956"/>
        <v>49800</v>
      </c>
      <c r="N7013" s="273"/>
    </row>
    <row r="7014" spans="1:14" ht="12.75" customHeight="1" x14ac:dyDescent="0.2">
      <c r="A7014" s="400" t="s">
        <v>955</v>
      </c>
      <c r="B7014" s="271"/>
      <c r="C7014" s="271"/>
      <c r="D7014" s="271"/>
      <c r="E7014" s="271"/>
      <c r="F7014" s="271"/>
      <c r="G7014" s="273"/>
      <c r="H7014" s="29" t="str">
        <f>IF(A7014="","",VLOOKUP(A7014,AA_Materiales,7,FALSE))</f>
        <v>m3</v>
      </c>
      <c r="I7014" s="394">
        <f>IF(A7014="","",VLOOKUP(A7014,AA_Materiales,8,FALSE))</f>
        <v>90000</v>
      </c>
      <c r="J7014" s="273"/>
      <c r="K7014" s="395">
        <v>0.8</v>
      </c>
      <c r="L7014" s="273"/>
      <c r="M7014" s="394">
        <f t="shared" si="956"/>
        <v>72000</v>
      </c>
      <c r="N7014" s="273"/>
    </row>
    <row r="7015" spans="1:14" ht="12.75" customHeight="1" x14ac:dyDescent="0.2">
      <c r="A7015" s="400" t="s">
        <v>956</v>
      </c>
      <c r="B7015" s="271"/>
      <c r="C7015" s="271"/>
      <c r="D7015" s="271"/>
      <c r="E7015" s="271"/>
      <c r="F7015" s="271"/>
      <c r="G7015" s="273"/>
      <c r="H7015" s="29" t="str">
        <f>IF(A7015="","",VLOOKUP(A7015,AA_Materiales,7,FALSE))</f>
        <v>Lt</v>
      </c>
      <c r="I7015" s="394">
        <f>IF(A7015="","",VLOOKUP(A7015,AA_Materiales,8,FALSE))</f>
        <v>20</v>
      </c>
      <c r="J7015" s="273"/>
      <c r="K7015" s="395">
        <v>180</v>
      </c>
      <c r="L7015" s="273"/>
      <c r="M7015" s="394">
        <f t="shared" si="956"/>
        <v>3600</v>
      </c>
      <c r="N7015" s="273"/>
    </row>
    <row r="7016" spans="1:14" ht="12.75" customHeight="1" x14ac:dyDescent="0.2">
      <c r="A7016" s="400"/>
      <c r="B7016" s="271"/>
      <c r="C7016" s="271"/>
      <c r="D7016" s="271"/>
      <c r="E7016" s="271"/>
      <c r="F7016" s="271"/>
      <c r="G7016" s="273"/>
      <c r="H7016" s="29" t="str">
        <f>IF(A7016="","",VLOOKUP(A7016,AA_Materiales,7,FALSE))</f>
        <v/>
      </c>
      <c r="I7016" s="394" t="str">
        <f>IF(A7016="","",VLOOKUP(A7016,AA_Materiales,8,FALSE))</f>
        <v/>
      </c>
      <c r="J7016" s="273"/>
      <c r="K7016" s="395"/>
      <c r="L7016" s="273"/>
      <c r="M7016" s="394" t="str">
        <f t="shared" si="956"/>
        <v/>
      </c>
      <c r="N7016" s="273"/>
    </row>
    <row r="7017" spans="1:14" ht="12.75" customHeight="1" x14ac:dyDescent="0.25">
      <c r="A7017" s="4"/>
      <c r="B7017" s="4"/>
      <c r="C7017" s="4"/>
      <c r="D7017" s="4"/>
      <c r="E7017" s="4"/>
      <c r="F7017" s="4"/>
      <c r="G7017" s="4"/>
      <c r="H7017" s="4"/>
      <c r="I7017" s="4"/>
      <c r="J7017" s="4"/>
      <c r="K7017" s="396" t="s">
        <v>444</v>
      </c>
      <c r="L7017" s="273"/>
      <c r="M7017" s="394">
        <f>SUM(M7012:N7016)</f>
        <v>309400</v>
      </c>
      <c r="N7017" s="273"/>
    </row>
    <row r="7018" spans="1:14" ht="12.75" customHeight="1" x14ac:dyDescent="0.25">
      <c r="A7018" s="4"/>
      <c r="B7018" s="4"/>
      <c r="C7018" s="4"/>
      <c r="D7018" s="4"/>
      <c r="E7018" s="4"/>
      <c r="F7018" s="4"/>
      <c r="G7018" s="4"/>
      <c r="H7018" s="4"/>
      <c r="I7018" s="4"/>
      <c r="J7018" s="4"/>
      <c r="K7018" s="4"/>
      <c r="L7018" s="4"/>
      <c r="M7018" s="4"/>
      <c r="N7018" s="4"/>
    </row>
    <row r="7019" spans="1:14" ht="12.75" customHeight="1" x14ac:dyDescent="0.2">
      <c r="A7019" s="398" t="s">
        <v>926</v>
      </c>
      <c r="B7019" s="271"/>
      <c r="C7019" s="271"/>
      <c r="D7019" s="271"/>
      <c r="E7019" s="271"/>
      <c r="F7019" s="271"/>
      <c r="G7019" s="271"/>
      <c r="H7019" s="271"/>
      <c r="I7019" s="271"/>
      <c r="J7019" s="271"/>
      <c r="K7019" s="271"/>
      <c r="L7019" s="271"/>
      <c r="M7019" s="271"/>
      <c r="N7019" s="273"/>
    </row>
    <row r="7020" spans="1:14" ht="12.75" customHeight="1" x14ac:dyDescent="0.2">
      <c r="A7020" s="396" t="s">
        <v>76</v>
      </c>
      <c r="B7020" s="271"/>
      <c r="C7020" s="271"/>
      <c r="D7020" s="271"/>
      <c r="E7020" s="271"/>
      <c r="F7020" s="271"/>
      <c r="G7020" s="273"/>
      <c r="H7020" s="88" t="s">
        <v>77</v>
      </c>
      <c r="I7020" s="399" t="s">
        <v>920</v>
      </c>
      <c r="J7020" s="273"/>
      <c r="K7020" s="399" t="s">
        <v>453</v>
      </c>
      <c r="L7020" s="273"/>
      <c r="M7020" s="399" t="s">
        <v>921</v>
      </c>
      <c r="N7020" s="273"/>
    </row>
    <row r="7021" spans="1:14" ht="12.75" customHeight="1" x14ac:dyDescent="0.2">
      <c r="A7021" s="400" t="s">
        <v>927</v>
      </c>
      <c r="B7021" s="271"/>
      <c r="C7021" s="271"/>
      <c r="D7021" s="271"/>
      <c r="E7021" s="271"/>
      <c r="F7021" s="271"/>
      <c r="G7021" s="273"/>
      <c r="H7021" s="29" t="str">
        <f>IF(A7021="","",VLOOKUP(A7021,AA_Equipos,7,FALSE))</f>
        <v>% M.O.</v>
      </c>
      <c r="I7021" s="394">
        <f>M7044</f>
        <v>165802.2264056</v>
      </c>
      <c r="J7021" s="273"/>
      <c r="K7021" s="404">
        <v>0.05</v>
      </c>
      <c r="L7021" s="273"/>
      <c r="M7021" s="394">
        <f t="shared" ref="M7021:M7025" si="957">IF(A7021="","",I7021*K7021)</f>
        <v>8290.1113202800007</v>
      </c>
      <c r="N7021" s="273"/>
    </row>
    <row r="7022" spans="1:14" ht="12.75" customHeight="1" x14ac:dyDescent="0.2">
      <c r="A7022" s="403" t="s">
        <v>957</v>
      </c>
      <c r="B7022" s="271"/>
      <c r="C7022" s="271"/>
      <c r="D7022" s="271"/>
      <c r="E7022" s="271"/>
      <c r="F7022" s="271"/>
      <c r="G7022" s="273"/>
      <c r="H7022" s="29" t="str">
        <f>IF(A7022="","",VLOOKUP(A7022,AA_Equipos,7,FALSE))</f>
        <v>Dia</v>
      </c>
      <c r="I7022" s="394">
        <f>IF(A7022="","",VLOOKUP(A7022,AA_Equipos,8,FALSE))</f>
        <v>107071</v>
      </c>
      <c r="J7022" s="273"/>
      <c r="K7022" s="402">
        <v>0.222222</v>
      </c>
      <c r="L7022" s="273"/>
      <c r="M7022" s="394">
        <f t="shared" si="957"/>
        <v>23793.531761999999</v>
      </c>
      <c r="N7022" s="273"/>
    </row>
    <row r="7023" spans="1:14" ht="12.75" customHeight="1" x14ac:dyDescent="0.2">
      <c r="A7023" s="400"/>
      <c r="B7023" s="271"/>
      <c r="C7023" s="271"/>
      <c r="D7023" s="271"/>
      <c r="E7023" s="271"/>
      <c r="F7023" s="271"/>
      <c r="G7023" s="273"/>
      <c r="H7023" s="29" t="str">
        <f>IF(A7023="","",VLOOKUP(A7023,AA_Equipos,7,FALSE))</f>
        <v/>
      </c>
      <c r="I7023" s="394" t="str">
        <f>IF(A7023="","",VLOOKUP(A7023,AA_Equipos,8,FALSE))</f>
        <v/>
      </c>
      <c r="J7023" s="273"/>
      <c r="K7023" s="395"/>
      <c r="L7023" s="273"/>
      <c r="M7023" s="394" t="str">
        <f t="shared" si="957"/>
        <v/>
      </c>
      <c r="N7023" s="273"/>
    </row>
    <row r="7024" spans="1:14" ht="12.75" customHeight="1" x14ac:dyDescent="0.2">
      <c r="A7024" s="400"/>
      <c r="B7024" s="271"/>
      <c r="C7024" s="271"/>
      <c r="D7024" s="271"/>
      <c r="E7024" s="271"/>
      <c r="F7024" s="271"/>
      <c r="G7024" s="273"/>
      <c r="H7024" s="29" t="str">
        <f>IF(A7024="","",VLOOKUP(A7024,AA_Equipos,7,FALSE))</f>
        <v/>
      </c>
      <c r="I7024" s="394" t="str">
        <f>IF(A7024="","",VLOOKUP(A7024,AA_Equipos,8,FALSE))</f>
        <v/>
      </c>
      <c r="J7024" s="273"/>
      <c r="K7024" s="395"/>
      <c r="L7024" s="273"/>
      <c r="M7024" s="394" t="str">
        <f t="shared" si="957"/>
        <v/>
      </c>
      <c r="N7024" s="273"/>
    </row>
    <row r="7025" spans="1:14" ht="12.75" customHeight="1" x14ac:dyDescent="0.2">
      <c r="A7025" s="400"/>
      <c r="B7025" s="271"/>
      <c r="C7025" s="271"/>
      <c r="D7025" s="271"/>
      <c r="E7025" s="271"/>
      <c r="F7025" s="271"/>
      <c r="G7025" s="273"/>
      <c r="H7025" s="29" t="str">
        <f>IF(A7025="","",VLOOKUP(A7025,AA_Equipos,7,FALSE))</f>
        <v/>
      </c>
      <c r="I7025" s="394" t="str">
        <f>IF(A7025="","",VLOOKUP(A7025,AA_Equipos,8,FALSE))</f>
        <v/>
      </c>
      <c r="J7025" s="273"/>
      <c r="K7025" s="395"/>
      <c r="L7025" s="273"/>
      <c r="M7025" s="394" t="str">
        <f t="shared" si="957"/>
        <v/>
      </c>
      <c r="N7025" s="273"/>
    </row>
    <row r="7026" spans="1:14" ht="12.75" customHeight="1" x14ac:dyDescent="0.25">
      <c r="A7026" s="4"/>
      <c r="B7026" s="4"/>
      <c r="C7026" s="4"/>
      <c r="D7026" s="4"/>
      <c r="E7026" s="4"/>
      <c r="F7026" s="4"/>
      <c r="G7026" s="4"/>
      <c r="H7026" s="4"/>
      <c r="I7026" s="4"/>
      <c r="J7026" s="4"/>
      <c r="K7026" s="396" t="s">
        <v>444</v>
      </c>
      <c r="L7026" s="273"/>
      <c r="M7026" s="394">
        <f>SUM(M7021:N7025)</f>
        <v>32083.643082279999</v>
      </c>
      <c r="N7026" s="273"/>
    </row>
    <row r="7027" spans="1:14" ht="12.75" customHeight="1" x14ac:dyDescent="0.25">
      <c r="A7027" s="4"/>
      <c r="B7027" s="4"/>
      <c r="C7027" s="4"/>
      <c r="D7027" s="4"/>
      <c r="E7027" s="4"/>
      <c r="F7027" s="4"/>
      <c r="G7027" s="4"/>
      <c r="H7027" s="4"/>
      <c r="I7027" s="4"/>
      <c r="J7027" s="4"/>
      <c r="K7027" s="4"/>
      <c r="L7027" s="4"/>
      <c r="M7027" s="4"/>
      <c r="N7027" s="4"/>
    </row>
    <row r="7028" spans="1:14" ht="12.75" customHeight="1" x14ac:dyDescent="0.2">
      <c r="A7028" s="398" t="s">
        <v>929</v>
      </c>
      <c r="B7028" s="271"/>
      <c r="C7028" s="271"/>
      <c r="D7028" s="271"/>
      <c r="E7028" s="271"/>
      <c r="F7028" s="271"/>
      <c r="G7028" s="271"/>
      <c r="H7028" s="271"/>
      <c r="I7028" s="271"/>
      <c r="J7028" s="271"/>
      <c r="K7028" s="271"/>
      <c r="L7028" s="271"/>
      <c r="M7028" s="271"/>
      <c r="N7028" s="273"/>
    </row>
    <row r="7029" spans="1:14" ht="12.75" customHeight="1" x14ac:dyDescent="0.2">
      <c r="A7029" s="396" t="s">
        <v>76</v>
      </c>
      <c r="B7029" s="271"/>
      <c r="C7029" s="271"/>
      <c r="D7029" s="271"/>
      <c r="E7029" s="271"/>
      <c r="F7029" s="271"/>
      <c r="G7029" s="273"/>
      <c r="H7029" s="88" t="s">
        <v>77</v>
      </c>
      <c r="I7029" s="399" t="s">
        <v>920</v>
      </c>
      <c r="J7029" s="273"/>
      <c r="K7029" s="399" t="s">
        <v>453</v>
      </c>
      <c r="L7029" s="273"/>
      <c r="M7029" s="399" t="s">
        <v>921</v>
      </c>
      <c r="N7029" s="273"/>
    </row>
    <row r="7030" spans="1:14" ht="12.75" customHeight="1" x14ac:dyDescent="0.2">
      <c r="A7030" s="400" t="s">
        <v>958</v>
      </c>
      <c r="B7030" s="271"/>
      <c r="C7030" s="271"/>
      <c r="D7030" s="271"/>
      <c r="E7030" s="271"/>
      <c r="F7030" s="271"/>
      <c r="G7030" s="273"/>
      <c r="H7030" s="29" t="s">
        <v>959</v>
      </c>
      <c r="I7030" s="394">
        <f>+M7026</f>
        <v>32083.643082279999</v>
      </c>
      <c r="J7030" s="273"/>
      <c r="K7030" s="404">
        <v>0.05</v>
      </c>
      <c r="L7030" s="273"/>
      <c r="M7030" s="394">
        <f t="shared" ref="M7030:M7034" si="958">IF(A7030="","",I7030*K7030)</f>
        <v>1604.182154114</v>
      </c>
      <c r="N7030" s="273"/>
    </row>
    <row r="7031" spans="1:14" ht="12.75" customHeight="1" x14ac:dyDescent="0.2">
      <c r="A7031" s="403" t="s">
        <v>3175</v>
      </c>
      <c r="B7031" s="271"/>
      <c r="C7031" s="271"/>
      <c r="D7031" s="271"/>
      <c r="E7031" s="271"/>
      <c r="F7031" s="271"/>
      <c r="G7031" s="273"/>
      <c r="H7031" s="29" t="s">
        <v>3191</v>
      </c>
      <c r="I7031" s="394">
        <f>+'precios '!J222</f>
        <v>2077.2367952644231</v>
      </c>
      <c r="J7031" s="273"/>
      <c r="K7031" s="402">
        <f>+Indice!L21</f>
        <v>49</v>
      </c>
      <c r="L7031" s="273"/>
      <c r="M7031" s="394">
        <f t="shared" si="958"/>
        <v>101784.60296795673</v>
      </c>
      <c r="N7031" s="273"/>
    </row>
    <row r="7032" spans="1:14" ht="12.75" customHeight="1" x14ac:dyDescent="0.2">
      <c r="A7032" s="400" t="s">
        <v>3176</v>
      </c>
      <c r="B7032" s="271"/>
      <c r="C7032" s="271"/>
      <c r="D7032" s="271"/>
      <c r="E7032" s="271"/>
      <c r="F7032" s="271"/>
      <c r="G7032" s="273"/>
      <c r="H7032" s="82" t="s">
        <v>24</v>
      </c>
      <c r="I7032" s="394">
        <f>+M7012</f>
        <v>184000</v>
      </c>
      <c r="J7032" s="273"/>
      <c r="K7032" s="404">
        <v>0.05</v>
      </c>
      <c r="L7032" s="273"/>
      <c r="M7032" s="394">
        <f t="shared" si="958"/>
        <v>9200</v>
      </c>
      <c r="N7032" s="273"/>
    </row>
    <row r="7033" spans="1:14" ht="12.75" customHeight="1" x14ac:dyDescent="0.2">
      <c r="A7033" s="400"/>
      <c r="B7033" s="271"/>
      <c r="C7033" s="271"/>
      <c r="D7033" s="271"/>
      <c r="E7033" s="271"/>
      <c r="F7033" s="271"/>
      <c r="G7033" s="273"/>
      <c r="H7033" s="29"/>
      <c r="I7033" s="394"/>
      <c r="J7033" s="273"/>
      <c r="K7033" s="395"/>
      <c r="L7033" s="273"/>
      <c r="M7033" s="394" t="str">
        <f t="shared" si="958"/>
        <v/>
      </c>
      <c r="N7033" s="273"/>
    </row>
    <row r="7034" spans="1:14" ht="12.75" customHeight="1" x14ac:dyDescent="0.2">
      <c r="A7034" s="400"/>
      <c r="B7034" s="271"/>
      <c r="C7034" s="271"/>
      <c r="D7034" s="271"/>
      <c r="E7034" s="271"/>
      <c r="F7034" s="271"/>
      <c r="G7034" s="273"/>
      <c r="H7034" s="29"/>
      <c r="I7034" s="394"/>
      <c r="J7034" s="273"/>
      <c r="K7034" s="395"/>
      <c r="L7034" s="273"/>
      <c r="M7034" s="394" t="str">
        <f t="shared" si="958"/>
        <v/>
      </c>
      <c r="N7034" s="273"/>
    </row>
    <row r="7035" spans="1:14" ht="12.75" customHeight="1" x14ac:dyDescent="0.25">
      <c r="A7035" s="4"/>
      <c r="B7035" s="4"/>
      <c r="C7035" s="4"/>
      <c r="D7035" s="4"/>
      <c r="E7035" s="4"/>
      <c r="F7035" s="4"/>
      <c r="G7035" s="4"/>
      <c r="H7035" s="4"/>
      <c r="I7035" s="4"/>
      <c r="J7035" s="4"/>
      <c r="K7035" s="396" t="s">
        <v>444</v>
      </c>
      <c r="L7035" s="273"/>
      <c r="M7035" s="394">
        <f>SUM(M7030:N7034)</f>
        <v>112588.78512207072</v>
      </c>
      <c r="N7035" s="273"/>
    </row>
    <row r="7036" spans="1:14" ht="12.75" customHeight="1" x14ac:dyDescent="0.25">
      <c r="A7036" s="4"/>
      <c r="B7036" s="4"/>
      <c r="C7036" s="4"/>
      <c r="D7036" s="4"/>
      <c r="E7036" s="4"/>
      <c r="F7036" s="4"/>
      <c r="G7036" s="4"/>
      <c r="H7036" s="4"/>
      <c r="I7036" s="4"/>
      <c r="J7036" s="4"/>
      <c r="K7036" s="4"/>
      <c r="L7036" s="4"/>
      <c r="M7036" s="4"/>
      <c r="N7036" s="4"/>
    </row>
    <row r="7037" spans="1:14" ht="12.75" customHeight="1" x14ac:dyDescent="0.2">
      <c r="A7037" s="398" t="s">
        <v>931</v>
      </c>
      <c r="B7037" s="271"/>
      <c r="C7037" s="271"/>
      <c r="D7037" s="271"/>
      <c r="E7037" s="271"/>
      <c r="F7037" s="271"/>
      <c r="G7037" s="271"/>
      <c r="H7037" s="271"/>
      <c r="I7037" s="271"/>
      <c r="J7037" s="271"/>
      <c r="K7037" s="271"/>
      <c r="L7037" s="271"/>
      <c r="M7037" s="271"/>
      <c r="N7037" s="273"/>
    </row>
    <row r="7038" spans="1:14" ht="12.75" customHeight="1" x14ac:dyDescent="0.2">
      <c r="A7038" s="396" t="s">
        <v>76</v>
      </c>
      <c r="B7038" s="271"/>
      <c r="C7038" s="271"/>
      <c r="D7038" s="271"/>
      <c r="E7038" s="271"/>
      <c r="F7038" s="271"/>
      <c r="G7038" s="273"/>
      <c r="H7038" s="88" t="s">
        <v>77</v>
      </c>
      <c r="I7038" s="399" t="s">
        <v>920</v>
      </c>
      <c r="J7038" s="273"/>
      <c r="K7038" s="90" t="s">
        <v>514</v>
      </c>
      <c r="L7038" s="91" t="s">
        <v>932</v>
      </c>
      <c r="M7038" s="399" t="s">
        <v>921</v>
      </c>
      <c r="N7038" s="273"/>
    </row>
    <row r="7039" spans="1:14" ht="12.75" customHeight="1" x14ac:dyDescent="0.25">
      <c r="A7039" s="393" t="s">
        <v>962</v>
      </c>
      <c r="B7039" s="271"/>
      <c r="C7039" s="271"/>
      <c r="D7039" s="271"/>
      <c r="E7039" s="271"/>
      <c r="F7039" s="271"/>
      <c r="G7039" s="273"/>
      <c r="H7039" s="29" t="str">
        <f>IF(A7039="","",VLOOKUP(A7039,AA_Cuadrillas,4,FALSE))</f>
        <v>Cuadrilla</v>
      </c>
      <c r="I7039" s="394">
        <f>IF(A7039="","",VLOOKUP(A7039,AA_Cuadrillas,5,FALSE))</f>
        <v>396871</v>
      </c>
      <c r="J7039" s="273"/>
      <c r="K7039" s="9">
        <f>IF(A7039="","",F.P!$I$2)</f>
        <v>1.88</v>
      </c>
      <c r="L7039" s="93">
        <v>0.22222</v>
      </c>
      <c r="M7039" s="394">
        <f t="shared" ref="M7039:M7043" si="959">IF(A7039="","",I7039*K7039*L7039)</f>
        <v>165802.2264056</v>
      </c>
      <c r="N7039" s="273"/>
    </row>
    <row r="7040" spans="1:14" ht="12.75" customHeight="1" x14ac:dyDescent="0.25">
      <c r="A7040" s="393"/>
      <c r="B7040" s="271"/>
      <c r="C7040" s="271"/>
      <c r="D7040" s="271"/>
      <c r="E7040" s="271"/>
      <c r="F7040" s="271"/>
      <c r="G7040" s="273"/>
      <c r="H7040" s="29" t="str">
        <f>IF(A7040="","",VLOOKUP(A7040,AA_Cuadrillas,4,FALSE))</f>
        <v/>
      </c>
      <c r="I7040" s="394" t="str">
        <f>IF(A7040="","",VLOOKUP(A7040,AA_Cuadrillas,5,FALSE))</f>
        <v/>
      </c>
      <c r="J7040" s="273"/>
      <c r="K7040" s="9" t="str">
        <f>IF(A7040="","",F.P!$I$2)</f>
        <v/>
      </c>
      <c r="L7040" s="9"/>
      <c r="M7040" s="394" t="str">
        <f t="shared" si="959"/>
        <v/>
      </c>
      <c r="N7040" s="273"/>
    </row>
    <row r="7041" spans="1:15" ht="12.75" customHeight="1" x14ac:dyDescent="0.25">
      <c r="A7041" s="393"/>
      <c r="B7041" s="271"/>
      <c r="C7041" s="271"/>
      <c r="D7041" s="271"/>
      <c r="E7041" s="271"/>
      <c r="F7041" s="271"/>
      <c r="G7041" s="273"/>
      <c r="H7041" s="29" t="str">
        <f>IF(A7041="","",VLOOKUP(A7041,AA_Cuadrillas,4,FALSE))</f>
        <v/>
      </c>
      <c r="I7041" s="394" t="str">
        <f>IF(A7041="","",VLOOKUP(A7041,AA_Cuadrillas,5,FALSE))</f>
        <v/>
      </c>
      <c r="J7041" s="273"/>
      <c r="K7041" s="9" t="str">
        <f>IF(A7041="","",F.P!$I$2)</f>
        <v/>
      </c>
      <c r="L7041" s="37"/>
      <c r="M7041" s="394" t="str">
        <f t="shared" si="959"/>
        <v/>
      </c>
      <c r="N7041" s="273"/>
    </row>
    <row r="7042" spans="1:15" ht="12.75" customHeight="1" x14ac:dyDescent="0.25">
      <c r="A7042" s="393"/>
      <c r="B7042" s="271"/>
      <c r="C7042" s="271"/>
      <c r="D7042" s="271"/>
      <c r="E7042" s="271"/>
      <c r="F7042" s="271"/>
      <c r="G7042" s="273"/>
      <c r="H7042" s="29" t="str">
        <f>IF(A7042="","",VLOOKUP(A7042,AA_Cuadrillas,4,FALSE))</f>
        <v/>
      </c>
      <c r="I7042" s="394" t="str">
        <f>IF(A7042="","",VLOOKUP(A7042,AA_Cuadrillas,5,FALSE))</f>
        <v/>
      </c>
      <c r="J7042" s="273"/>
      <c r="K7042" s="9" t="str">
        <f>IF(A7042="","",F.P!$I$2)</f>
        <v/>
      </c>
      <c r="L7042" s="37"/>
      <c r="M7042" s="394" t="str">
        <f t="shared" si="959"/>
        <v/>
      </c>
      <c r="N7042" s="273"/>
    </row>
    <row r="7043" spans="1:15" ht="12.75" customHeight="1" x14ac:dyDescent="0.25">
      <c r="A7043" s="393"/>
      <c r="B7043" s="271"/>
      <c r="C7043" s="271"/>
      <c r="D7043" s="271"/>
      <c r="E7043" s="271"/>
      <c r="F7043" s="271"/>
      <c r="G7043" s="273"/>
      <c r="H7043" s="29" t="str">
        <f>IF(A7043="","",VLOOKUP(A7043,AA_Cuadrillas,4,FALSE))</f>
        <v/>
      </c>
      <c r="I7043" s="394" t="str">
        <f>IF(A7043="","",VLOOKUP(A7043,AA_Cuadrillas,5,FALSE))</f>
        <v/>
      </c>
      <c r="J7043" s="273"/>
      <c r="K7043" s="9" t="str">
        <f>IF(A7043="","",F.P!$I$2)</f>
        <v/>
      </c>
      <c r="L7043" s="37"/>
      <c r="M7043" s="394" t="str">
        <f t="shared" si="959"/>
        <v/>
      </c>
      <c r="N7043" s="273"/>
    </row>
    <row r="7044" spans="1:15" ht="12.75" customHeight="1" x14ac:dyDescent="0.25">
      <c r="A7044" s="4"/>
      <c r="B7044" s="4"/>
      <c r="C7044" s="4"/>
      <c r="D7044" s="4"/>
      <c r="E7044" s="4"/>
      <c r="F7044" s="4"/>
      <c r="G7044" s="4"/>
      <c r="H7044" s="4"/>
      <c r="I7044" s="4"/>
      <c r="J7044" s="4"/>
      <c r="K7044" s="396" t="s">
        <v>444</v>
      </c>
      <c r="L7044" s="273"/>
      <c r="M7044" s="394">
        <f>SUM(M7039:N7043)</f>
        <v>165802.2264056</v>
      </c>
      <c r="N7044" s="273"/>
    </row>
    <row r="7045" spans="1:15" ht="12.75" customHeight="1" x14ac:dyDescent="0.2"/>
    <row r="7046" spans="1:15" ht="12.75" customHeight="1" x14ac:dyDescent="0.2">
      <c r="A7046" s="407" t="s">
        <v>1291</v>
      </c>
      <c r="B7046" s="275"/>
      <c r="C7046" s="275"/>
      <c r="D7046" s="275"/>
      <c r="E7046" s="275"/>
      <c r="F7046" s="275"/>
      <c r="G7046" s="275"/>
      <c r="H7046" s="275"/>
      <c r="I7046" s="275"/>
      <c r="J7046" s="275"/>
      <c r="K7046" s="275"/>
      <c r="L7046" s="275"/>
      <c r="M7046" s="275"/>
      <c r="N7046" s="276"/>
    </row>
    <row r="7047" spans="1:15" ht="12.75" customHeight="1" x14ac:dyDescent="0.2">
      <c r="A7047" s="277"/>
      <c r="B7047" s="278"/>
      <c r="C7047" s="278"/>
      <c r="D7047" s="278"/>
      <c r="E7047" s="278"/>
      <c r="F7047" s="278"/>
      <c r="G7047" s="278"/>
      <c r="H7047" s="278"/>
      <c r="I7047" s="278"/>
      <c r="J7047" s="278"/>
      <c r="K7047" s="278"/>
      <c r="L7047" s="278"/>
      <c r="M7047" s="278"/>
      <c r="N7047" s="279"/>
    </row>
    <row r="7048" spans="1:15" ht="12.75" customHeight="1" x14ac:dyDescent="0.2">
      <c r="A7048" s="75"/>
      <c r="B7048" s="75"/>
      <c r="C7048" s="75"/>
      <c r="D7048" s="75"/>
      <c r="E7048" s="75"/>
      <c r="F7048" s="75"/>
      <c r="G7048" s="75"/>
      <c r="H7048" s="75"/>
      <c r="I7048" s="75"/>
      <c r="J7048" s="75"/>
      <c r="K7048" s="75"/>
      <c r="L7048" s="75"/>
      <c r="M7048" s="75"/>
      <c r="N7048" s="75"/>
    </row>
    <row r="7049" spans="1:15" ht="12.75" customHeight="1" x14ac:dyDescent="0.3">
      <c r="A7049" s="79" t="s">
        <v>776</v>
      </c>
      <c r="B7049" s="80" t="str">
        <f>A7046</f>
        <v>CONCRETO DE 3000 PSI PARA ANDEN PERIMETRAL SIN FORMALETA</v>
      </c>
      <c r="C7049" s="81" t="s">
        <v>916</v>
      </c>
      <c r="D7049" s="82" t="s">
        <v>258</v>
      </c>
      <c r="E7049" s="83" t="s">
        <v>445</v>
      </c>
      <c r="F7049" s="240">
        <f>H7049+J7049+L7049+N7049</f>
        <v>619307.13582733332</v>
      </c>
      <c r="G7049" s="83" t="s">
        <v>607</v>
      </c>
      <c r="H7049" s="86">
        <f>M7061</f>
        <v>404815</v>
      </c>
      <c r="I7049" s="83" t="s">
        <v>918</v>
      </c>
      <c r="J7049" s="86">
        <f>M7070</f>
        <v>47948.847835555556</v>
      </c>
      <c r="K7049" s="83" t="s">
        <v>609</v>
      </c>
      <c r="L7049" s="86">
        <f>M7079</f>
        <v>2397.4423917777781</v>
      </c>
      <c r="M7049" s="83" t="s">
        <v>610</v>
      </c>
      <c r="N7049" s="86">
        <f>M7088</f>
        <v>164145.8456</v>
      </c>
      <c r="O7049" s="221" t="s">
        <v>3250</v>
      </c>
    </row>
    <row r="7050" spans="1:15" ht="12.75" customHeight="1" x14ac:dyDescent="0.25">
      <c r="A7050" s="87"/>
      <c r="B7050" s="87"/>
      <c r="C7050" s="87"/>
      <c r="D7050" s="87"/>
      <c r="E7050" s="242" t="s">
        <v>3246</v>
      </c>
      <c r="F7050" s="259">
        <f>F7049*1.3</f>
        <v>805099.27657553332</v>
      </c>
      <c r="G7050" s="87"/>
      <c r="J7050" s="87"/>
      <c r="K7050" s="215" t="s">
        <v>3217</v>
      </c>
      <c r="L7050" s="215"/>
      <c r="M7050" s="87"/>
      <c r="N7050" s="87"/>
    </row>
    <row r="7051" spans="1:15" ht="12.75" customHeight="1" x14ac:dyDescent="0.2">
      <c r="A7051" s="398" t="s">
        <v>919</v>
      </c>
      <c r="B7051" s="271"/>
      <c r="C7051" s="271"/>
      <c r="D7051" s="271"/>
      <c r="E7051" s="271"/>
      <c r="F7051" s="271"/>
      <c r="G7051" s="271"/>
      <c r="H7051" s="271"/>
      <c r="I7051" s="271"/>
      <c r="J7051" s="271"/>
      <c r="K7051" s="271"/>
      <c r="L7051" s="271"/>
      <c r="M7051" s="271"/>
      <c r="N7051" s="273"/>
    </row>
    <row r="7052" spans="1:15" ht="12.75" customHeight="1" x14ac:dyDescent="0.2">
      <c r="A7052" s="396" t="s">
        <v>76</v>
      </c>
      <c r="B7052" s="271"/>
      <c r="C7052" s="271"/>
      <c r="D7052" s="271"/>
      <c r="E7052" s="271"/>
      <c r="F7052" s="271"/>
      <c r="G7052" s="273"/>
      <c r="H7052" s="88" t="s">
        <v>77</v>
      </c>
      <c r="I7052" s="399" t="s">
        <v>920</v>
      </c>
      <c r="J7052" s="273"/>
      <c r="K7052" s="399" t="s">
        <v>453</v>
      </c>
      <c r="L7052" s="273"/>
      <c r="M7052" s="399" t="s">
        <v>921</v>
      </c>
      <c r="N7052" s="273"/>
    </row>
    <row r="7053" spans="1:15" ht="12.75" customHeight="1" x14ac:dyDescent="0.2">
      <c r="A7053" s="400" t="s">
        <v>953</v>
      </c>
      <c r="B7053" s="271"/>
      <c r="C7053" s="271"/>
      <c r="D7053" s="271"/>
      <c r="E7053" s="271"/>
      <c r="F7053" s="271"/>
      <c r="G7053" s="273"/>
      <c r="H7053" s="29" t="str">
        <f t="shared" ref="H7053:H7060" si="960">IF(A7053="","",VLOOKUP(A7053,AA_Materiales,7,FALSE))</f>
        <v>Kg</v>
      </c>
      <c r="I7053" s="394">
        <f t="shared" ref="I7053:I7060" si="961">IF(A7053="","",VLOOKUP(A7053,AA_Materiales,8,FALSE))</f>
        <v>800</v>
      </c>
      <c r="J7053" s="273"/>
      <c r="K7053" s="395">
        <v>350</v>
      </c>
      <c r="L7053" s="273"/>
      <c r="M7053" s="394">
        <f t="shared" ref="M7053:M7060" si="962">IF(A7053="","",I7053*K7053)</f>
        <v>280000</v>
      </c>
      <c r="N7053" s="273"/>
    </row>
    <row r="7054" spans="1:15" ht="12.75" customHeight="1" x14ac:dyDescent="0.2">
      <c r="A7054" s="400" t="s">
        <v>954</v>
      </c>
      <c r="B7054" s="271"/>
      <c r="C7054" s="271"/>
      <c r="D7054" s="271"/>
      <c r="E7054" s="271"/>
      <c r="F7054" s="271"/>
      <c r="G7054" s="273"/>
      <c r="H7054" s="29" t="str">
        <f t="shared" si="960"/>
        <v>m3</v>
      </c>
      <c r="I7054" s="394">
        <f t="shared" si="961"/>
        <v>83000</v>
      </c>
      <c r="J7054" s="273"/>
      <c r="K7054" s="395">
        <v>0.55500000000000005</v>
      </c>
      <c r="L7054" s="273"/>
      <c r="M7054" s="394">
        <f t="shared" si="962"/>
        <v>46065.000000000007</v>
      </c>
      <c r="N7054" s="273"/>
    </row>
    <row r="7055" spans="1:15" ht="12.75" customHeight="1" x14ac:dyDescent="0.2">
      <c r="A7055" s="400" t="s">
        <v>955</v>
      </c>
      <c r="B7055" s="271"/>
      <c r="C7055" s="271"/>
      <c r="D7055" s="271"/>
      <c r="E7055" s="271"/>
      <c r="F7055" s="271"/>
      <c r="G7055" s="273"/>
      <c r="H7055" s="29" t="str">
        <f t="shared" si="960"/>
        <v>m3</v>
      </c>
      <c r="I7055" s="394">
        <f t="shared" si="961"/>
        <v>90000</v>
      </c>
      <c r="J7055" s="273"/>
      <c r="K7055" s="395">
        <v>0.83499999999999996</v>
      </c>
      <c r="L7055" s="273"/>
      <c r="M7055" s="394">
        <f t="shared" si="962"/>
        <v>75150</v>
      </c>
      <c r="N7055" s="273"/>
    </row>
    <row r="7056" spans="1:15" ht="12.75" customHeight="1" x14ac:dyDescent="0.2">
      <c r="A7056" s="400" t="s">
        <v>956</v>
      </c>
      <c r="B7056" s="271"/>
      <c r="C7056" s="271"/>
      <c r="D7056" s="271"/>
      <c r="E7056" s="271"/>
      <c r="F7056" s="271"/>
      <c r="G7056" s="273"/>
      <c r="H7056" s="29" t="str">
        <f t="shared" si="960"/>
        <v>Lt</v>
      </c>
      <c r="I7056" s="394">
        <f t="shared" si="961"/>
        <v>20</v>
      </c>
      <c r="J7056" s="273"/>
      <c r="K7056" s="395">
        <v>180</v>
      </c>
      <c r="L7056" s="273"/>
      <c r="M7056" s="394">
        <f t="shared" si="962"/>
        <v>3600</v>
      </c>
      <c r="N7056" s="273"/>
    </row>
    <row r="7057" spans="1:14" ht="12.75" customHeight="1" x14ac:dyDescent="0.2">
      <c r="A7057" s="400"/>
      <c r="B7057" s="271"/>
      <c r="C7057" s="271"/>
      <c r="D7057" s="271"/>
      <c r="E7057" s="271"/>
      <c r="F7057" s="271"/>
      <c r="G7057" s="273"/>
      <c r="H7057" s="29" t="str">
        <f t="shared" si="960"/>
        <v/>
      </c>
      <c r="I7057" s="394" t="str">
        <f t="shared" si="961"/>
        <v/>
      </c>
      <c r="J7057" s="273"/>
      <c r="K7057" s="395"/>
      <c r="L7057" s="273"/>
      <c r="M7057" s="394" t="str">
        <f t="shared" si="962"/>
        <v/>
      </c>
      <c r="N7057" s="273"/>
    </row>
    <row r="7058" spans="1:14" ht="12.75" customHeight="1" x14ac:dyDescent="0.2">
      <c r="A7058" s="400"/>
      <c r="B7058" s="271"/>
      <c r="C7058" s="271"/>
      <c r="D7058" s="271"/>
      <c r="E7058" s="271"/>
      <c r="F7058" s="271"/>
      <c r="G7058" s="273"/>
      <c r="H7058" s="29" t="str">
        <f t="shared" si="960"/>
        <v/>
      </c>
      <c r="I7058" s="394" t="str">
        <f t="shared" si="961"/>
        <v/>
      </c>
      <c r="J7058" s="273"/>
      <c r="K7058" s="395"/>
      <c r="L7058" s="273"/>
      <c r="M7058" s="394" t="str">
        <f t="shared" si="962"/>
        <v/>
      </c>
      <c r="N7058" s="273"/>
    </row>
    <row r="7059" spans="1:14" ht="12.75" customHeight="1" x14ac:dyDescent="0.2">
      <c r="A7059" s="400"/>
      <c r="B7059" s="271"/>
      <c r="C7059" s="271"/>
      <c r="D7059" s="271"/>
      <c r="E7059" s="271"/>
      <c r="F7059" s="271"/>
      <c r="G7059" s="273"/>
      <c r="H7059" s="29" t="str">
        <f t="shared" si="960"/>
        <v/>
      </c>
      <c r="I7059" s="394" t="str">
        <f t="shared" si="961"/>
        <v/>
      </c>
      <c r="J7059" s="273"/>
      <c r="K7059" s="395"/>
      <c r="L7059" s="273"/>
      <c r="M7059" s="394" t="str">
        <f t="shared" si="962"/>
        <v/>
      </c>
      <c r="N7059" s="273"/>
    </row>
    <row r="7060" spans="1:14" ht="12.75" customHeight="1" x14ac:dyDescent="0.2">
      <c r="A7060" s="400"/>
      <c r="B7060" s="271"/>
      <c r="C7060" s="271"/>
      <c r="D7060" s="271"/>
      <c r="E7060" s="271"/>
      <c r="F7060" s="271"/>
      <c r="G7060" s="273"/>
      <c r="H7060" s="29" t="str">
        <f t="shared" si="960"/>
        <v/>
      </c>
      <c r="I7060" s="394" t="str">
        <f t="shared" si="961"/>
        <v/>
      </c>
      <c r="J7060" s="273"/>
      <c r="K7060" s="395"/>
      <c r="L7060" s="273"/>
      <c r="M7060" s="394" t="str">
        <f t="shared" si="962"/>
        <v/>
      </c>
      <c r="N7060" s="273"/>
    </row>
    <row r="7061" spans="1:14" ht="12.75" customHeight="1" x14ac:dyDescent="0.25">
      <c r="A7061" s="4"/>
      <c r="B7061" s="4"/>
      <c r="C7061" s="4"/>
      <c r="D7061" s="4"/>
      <c r="E7061" s="4"/>
      <c r="F7061" s="4"/>
      <c r="G7061" s="4"/>
      <c r="H7061" s="4"/>
      <c r="I7061" s="4"/>
      <c r="J7061" s="4"/>
      <c r="K7061" s="396" t="s">
        <v>444</v>
      </c>
      <c r="L7061" s="273"/>
      <c r="M7061" s="394">
        <f>SUM(M7053:N7060)</f>
        <v>404815</v>
      </c>
      <c r="N7061" s="273"/>
    </row>
    <row r="7062" spans="1:14" ht="12.75" customHeight="1" x14ac:dyDescent="0.25">
      <c r="A7062" s="4"/>
      <c r="B7062" s="4"/>
      <c r="C7062" s="4"/>
      <c r="D7062" s="4"/>
      <c r="E7062" s="4"/>
      <c r="F7062" s="4"/>
      <c r="G7062" s="4"/>
      <c r="H7062" s="4"/>
      <c r="I7062" s="4"/>
      <c r="J7062" s="4"/>
      <c r="K7062" s="4"/>
      <c r="L7062" s="4"/>
      <c r="M7062" s="4"/>
      <c r="N7062" s="4"/>
    </row>
    <row r="7063" spans="1:14" ht="12.75" customHeight="1" x14ac:dyDescent="0.2">
      <c r="A7063" s="398" t="s">
        <v>926</v>
      </c>
      <c r="B7063" s="271"/>
      <c r="C7063" s="271"/>
      <c r="D7063" s="271"/>
      <c r="E7063" s="271"/>
      <c r="F7063" s="271"/>
      <c r="G7063" s="271"/>
      <c r="H7063" s="271"/>
      <c r="I7063" s="271"/>
      <c r="J7063" s="271"/>
      <c r="K7063" s="271"/>
      <c r="L7063" s="271"/>
      <c r="M7063" s="271"/>
      <c r="N7063" s="273"/>
    </row>
    <row r="7064" spans="1:14" ht="12.75" customHeight="1" x14ac:dyDescent="0.2">
      <c r="A7064" s="396" t="s">
        <v>76</v>
      </c>
      <c r="B7064" s="271"/>
      <c r="C7064" s="271"/>
      <c r="D7064" s="271"/>
      <c r="E7064" s="271"/>
      <c r="F7064" s="271"/>
      <c r="G7064" s="273"/>
      <c r="H7064" s="88" t="s">
        <v>77</v>
      </c>
      <c r="I7064" s="399" t="s">
        <v>920</v>
      </c>
      <c r="J7064" s="273"/>
      <c r="K7064" s="399" t="s">
        <v>453</v>
      </c>
      <c r="L7064" s="273"/>
      <c r="M7064" s="399" t="s">
        <v>921</v>
      </c>
      <c r="N7064" s="273"/>
    </row>
    <row r="7065" spans="1:14" ht="12.75" customHeight="1" x14ac:dyDescent="0.2">
      <c r="A7065" s="400" t="s">
        <v>927</v>
      </c>
      <c r="B7065" s="271"/>
      <c r="C7065" s="271"/>
      <c r="D7065" s="271"/>
      <c r="E7065" s="271"/>
      <c r="F7065" s="271"/>
      <c r="G7065" s="273"/>
      <c r="H7065" s="29" t="str">
        <f>IF(A7065="","",VLOOKUP(A7065,AA_Equipos,7,FALSE))</f>
        <v>% M.O.</v>
      </c>
      <c r="I7065" s="394">
        <f>M7088</f>
        <v>164145.8456</v>
      </c>
      <c r="J7065" s="273"/>
      <c r="K7065" s="395">
        <v>0.05</v>
      </c>
      <c r="L7065" s="273"/>
      <c r="M7065" s="394">
        <f t="shared" ref="M7065:M7069" si="963">IF(A7065="","",I7065*K7065)</f>
        <v>8207.2922799999997</v>
      </c>
      <c r="N7065" s="273"/>
    </row>
    <row r="7066" spans="1:14" ht="12.75" customHeight="1" x14ac:dyDescent="0.2">
      <c r="A7066" s="403" t="s">
        <v>957</v>
      </c>
      <c r="B7066" s="271"/>
      <c r="C7066" s="271"/>
      <c r="D7066" s="271"/>
      <c r="E7066" s="271"/>
      <c r="F7066" s="271"/>
      <c r="G7066" s="273"/>
      <c r="H7066" s="29" t="str">
        <f>IF(A7066="","",VLOOKUP(A7066,AA_Equipos,7,FALSE))</f>
        <v>Dia</v>
      </c>
      <c r="I7066" s="394">
        <f>IF(A7066="","",VLOOKUP(A7066,AA_Equipos,8,FALSE))</f>
        <v>107071</v>
      </c>
      <c r="J7066" s="273"/>
      <c r="K7066" s="402">
        <f t="shared" ref="K7066:K7067" si="964">1/4.5</f>
        <v>0.22222222222222221</v>
      </c>
      <c r="L7066" s="273"/>
      <c r="M7066" s="394">
        <f t="shared" si="963"/>
        <v>23793.555555555555</v>
      </c>
      <c r="N7066" s="273"/>
    </row>
    <row r="7067" spans="1:14" ht="12.75" customHeight="1" x14ac:dyDescent="0.2">
      <c r="A7067" s="400" t="s">
        <v>964</v>
      </c>
      <c r="B7067" s="271"/>
      <c r="C7067" s="271"/>
      <c r="D7067" s="271"/>
      <c r="E7067" s="271"/>
      <c r="F7067" s="271"/>
      <c r="G7067" s="273"/>
      <c r="H7067" s="29" t="str">
        <f>IF(A7067="","",VLOOKUP(A7067,AA_Equipos,7,FALSE))</f>
        <v>Dia</v>
      </c>
      <c r="I7067" s="394">
        <f>IF(A7067="","",VLOOKUP(A7067,AA_Equipos,8,FALSE))</f>
        <v>71766</v>
      </c>
      <c r="J7067" s="273"/>
      <c r="K7067" s="401">
        <f t="shared" si="964"/>
        <v>0.22222222222222221</v>
      </c>
      <c r="L7067" s="273"/>
      <c r="M7067" s="394">
        <f t="shared" si="963"/>
        <v>15948</v>
      </c>
      <c r="N7067" s="273"/>
    </row>
    <row r="7068" spans="1:14" ht="12.75" customHeight="1" x14ac:dyDescent="0.2">
      <c r="A7068" s="400"/>
      <c r="B7068" s="271"/>
      <c r="C7068" s="271"/>
      <c r="D7068" s="271"/>
      <c r="E7068" s="271"/>
      <c r="F7068" s="271"/>
      <c r="G7068" s="273"/>
      <c r="H7068" s="29" t="str">
        <f>IF(A7068="","",VLOOKUP(A7068,AA_Equipos,7,FALSE))</f>
        <v/>
      </c>
      <c r="I7068" s="394" t="str">
        <f>IF(A7068="","",VLOOKUP(A7068,AA_Equipos,8,FALSE))</f>
        <v/>
      </c>
      <c r="J7068" s="273"/>
      <c r="K7068" s="395"/>
      <c r="L7068" s="273"/>
      <c r="M7068" s="394" t="str">
        <f t="shared" si="963"/>
        <v/>
      </c>
      <c r="N7068" s="273"/>
    </row>
    <row r="7069" spans="1:14" ht="12.75" customHeight="1" x14ac:dyDescent="0.2">
      <c r="A7069" s="400"/>
      <c r="B7069" s="271"/>
      <c r="C7069" s="271"/>
      <c r="D7069" s="271"/>
      <c r="E7069" s="271"/>
      <c r="F7069" s="271"/>
      <c r="G7069" s="273"/>
      <c r="H7069" s="29" t="str">
        <f>IF(A7069="","",VLOOKUP(A7069,AA_Equipos,7,FALSE))</f>
        <v/>
      </c>
      <c r="I7069" s="394" t="str">
        <f>IF(A7069="","",VLOOKUP(A7069,AA_Equipos,8,FALSE))</f>
        <v/>
      </c>
      <c r="J7069" s="273"/>
      <c r="K7069" s="395"/>
      <c r="L7069" s="273"/>
      <c r="M7069" s="394" t="str">
        <f t="shared" si="963"/>
        <v/>
      </c>
      <c r="N7069" s="273"/>
    </row>
    <row r="7070" spans="1:14" ht="12.75" customHeight="1" x14ac:dyDescent="0.25">
      <c r="A7070" s="4"/>
      <c r="B7070" s="4"/>
      <c r="C7070" s="4"/>
      <c r="D7070" s="4"/>
      <c r="E7070" s="4"/>
      <c r="F7070" s="4"/>
      <c r="G7070" s="4"/>
      <c r="H7070" s="4"/>
      <c r="I7070" s="4"/>
      <c r="J7070" s="4"/>
      <c r="K7070" s="396" t="s">
        <v>444</v>
      </c>
      <c r="L7070" s="273"/>
      <c r="M7070" s="394">
        <f>SUM(M7065:N7069)</f>
        <v>47948.847835555556</v>
      </c>
      <c r="N7070" s="273"/>
    </row>
    <row r="7071" spans="1:14" ht="12.75" customHeight="1" x14ac:dyDescent="0.25">
      <c r="A7071" s="4"/>
      <c r="B7071" s="4"/>
      <c r="C7071" s="4"/>
      <c r="D7071" s="4"/>
      <c r="E7071" s="4"/>
      <c r="F7071" s="4"/>
      <c r="G7071" s="4"/>
      <c r="H7071" s="4"/>
      <c r="I7071" s="4"/>
      <c r="J7071" s="4"/>
      <c r="K7071" s="4"/>
      <c r="L7071" s="4"/>
      <c r="M7071" s="4"/>
      <c r="N7071" s="4"/>
    </row>
    <row r="7072" spans="1:14" ht="12.75" customHeight="1" x14ac:dyDescent="0.2">
      <c r="A7072" s="398" t="s">
        <v>929</v>
      </c>
      <c r="B7072" s="271"/>
      <c r="C7072" s="271"/>
      <c r="D7072" s="271"/>
      <c r="E7072" s="271"/>
      <c r="F7072" s="271"/>
      <c r="G7072" s="271"/>
      <c r="H7072" s="271"/>
      <c r="I7072" s="271"/>
      <c r="J7072" s="271"/>
      <c r="K7072" s="271"/>
      <c r="L7072" s="271"/>
      <c r="M7072" s="271"/>
      <c r="N7072" s="273"/>
    </row>
    <row r="7073" spans="1:14" ht="12.75" customHeight="1" x14ac:dyDescent="0.2">
      <c r="A7073" s="396" t="s">
        <v>76</v>
      </c>
      <c r="B7073" s="271"/>
      <c r="C7073" s="271"/>
      <c r="D7073" s="271"/>
      <c r="E7073" s="271"/>
      <c r="F7073" s="271"/>
      <c r="G7073" s="273"/>
      <c r="H7073" s="88" t="s">
        <v>77</v>
      </c>
      <c r="I7073" s="399" t="s">
        <v>920</v>
      </c>
      <c r="J7073" s="273"/>
      <c r="K7073" s="399" t="s">
        <v>453</v>
      </c>
      <c r="L7073" s="273"/>
      <c r="M7073" s="399" t="s">
        <v>921</v>
      </c>
      <c r="N7073" s="273"/>
    </row>
    <row r="7074" spans="1:14" ht="12.75" customHeight="1" x14ac:dyDescent="0.2">
      <c r="A7074" s="400" t="s">
        <v>965</v>
      </c>
      <c r="B7074" s="271"/>
      <c r="C7074" s="271"/>
      <c r="D7074" s="271"/>
      <c r="E7074" s="271"/>
      <c r="F7074" s="271"/>
      <c r="G7074" s="273"/>
      <c r="H7074" s="29" t="s">
        <v>959</v>
      </c>
      <c r="I7074" s="394">
        <f>+M7070</f>
        <v>47948.847835555556</v>
      </c>
      <c r="J7074" s="273"/>
      <c r="K7074" s="404">
        <v>0.05</v>
      </c>
      <c r="L7074" s="273"/>
      <c r="M7074" s="394">
        <f t="shared" ref="M7074:M7078" si="965">IF(A7074="","",I7074*K7074)</f>
        <v>2397.4423917777781</v>
      </c>
      <c r="N7074" s="273"/>
    </row>
    <row r="7075" spans="1:14" ht="12.75" customHeight="1" x14ac:dyDescent="0.2">
      <c r="A7075" s="403" t="s">
        <v>966</v>
      </c>
      <c r="B7075" s="271"/>
      <c r="C7075" s="271"/>
      <c r="D7075" s="271"/>
      <c r="E7075" s="271"/>
      <c r="F7075" s="271"/>
      <c r="G7075" s="273"/>
      <c r="H7075" s="29"/>
      <c r="I7075" s="394"/>
      <c r="J7075" s="273"/>
      <c r="K7075" s="402"/>
      <c r="L7075" s="273"/>
      <c r="M7075" s="394">
        <f t="shared" si="965"/>
        <v>0</v>
      </c>
      <c r="N7075" s="273"/>
    </row>
    <row r="7076" spans="1:14" ht="12.75" customHeight="1" x14ac:dyDescent="0.2">
      <c r="A7076" s="400"/>
      <c r="B7076" s="271"/>
      <c r="C7076" s="271"/>
      <c r="D7076" s="271"/>
      <c r="E7076" s="271"/>
      <c r="F7076" s="271"/>
      <c r="G7076" s="273"/>
      <c r="H7076" s="29"/>
      <c r="I7076" s="394"/>
      <c r="J7076" s="273"/>
      <c r="K7076" s="395"/>
      <c r="L7076" s="273"/>
      <c r="M7076" s="394" t="str">
        <f t="shared" si="965"/>
        <v/>
      </c>
      <c r="N7076" s="273"/>
    </row>
    <row r="7077" spans="1:14" ht="12.75" customHeight="1" x14ac:dyDescent="0.2">
      <c r="A7077" s="400"/>
      <c r="B7077" s="271"/>
      <c r="C7077" s="271"/>
      <c r="D7077" s="271"/>
      <c r="E7077" s="271"/>
      <c r="F7077" s="271"/>
      <c r="G7077" s="273"/>
      <c r="H7077" s="29"/>
      <c r="I7077" s="394"/>
      <c r="J7077" s="273"/>
      <c r="K7077" s="395"/>
      <c r="L7077" s="273"/>
      <c r="M7077" s="394" t="str">
        <f t="shared" si="965"/>
        <v/>
      </c>
      <c r="N7077" s="273"/>
    </row>
    <row r="7078" spans="1:14" ht="12.75" customHeight="1" x14ac:dyDescent="0.2">
      <c r="A7078" s="400"/>
      <c r="B7078" s="271"/>
      <c r="C7078" s="271"/>
      <c r="D7078" s="271"/>
      <c r="E7078" s="271"/>
      <c r="F7078" s="271"/>
      <c r="G7078" s="273"/>
      <c r="H7078" s="29"/>
      <c r="I7078" s="394"/>
      <c r="J7078" s="273"/>
      <c r="K7078" s="395"/>
      <c r="L7078" s="273"/>
      <c r="M7078" s="394" t="str">
        <f t="shared" si="965"/>
        <v/>
      </c>
      <c r="N7078" s="273"/>
    </row>
    <row r="7079" spans="1:14" ht="12.75" customHeight="1" x14ac:dyDescent="0.25">
      <c r="A7079" s="4"/>
      <c r="B7079" s="4"/>
      <c r="C7079" s="4"/>
      <c r="D7079" s="4"/>
      <c r="E7079" s="4"/>
      <c r="F7079" s="4"/>
      <c r="G7079" s="4"/>
      <c r="H7079" s="4"/>
      <c r="I7079" s="4"/>
      <c r="J7079" s="4"/>
      <c r="K7079" s="396" t="s">
        <v>444</v>
      </c>
      <c r="L7079" s="273"/>
      <c r="M7079" s="394">
        <f>SUM(M7074:N7078)</f>
        <v>2397.4423917777781</v>
      </c>
      <c r="N7079" s="273"/>
    </row>
    <row r="7080" spans="1:14" ht="12.75" customHeight="1" x14ac:dyDescent="0.25">
      <c r="A7080" s="4"/>
      <c r="B7080" s="4"/>
      <c r="C7080" s="4"/>
      <c r="D7080" s="4"/>
      <c r="E7080" s="4"/>
      <c r="F7080" s="4"/>
      <c r="G7080" s="4"/>
      <c r="H7080" s="4"/>
      <c r="I7080" s="4"/>
      <c r="J7080" s="4"/>
      <c r="K7080" s="94"/>
      <c r="L7080" s="95"/>
      <c r="M7080" s="89"/>
      <c r="N7080" s="96"/>
    </row>
    <row r="7081" spans="1:14" ht="12.75" customHeight="1" x14ac:dyDescent="0.2">
      <c r="A7081" s="398" t="s">
        <v>931</v>
      </c>
      <c r="B7081" s="271"/>
      <c r="C7081" s="271"/>
      <c r="D7081" s="271"/>
      <c r="E7081" s="271"/>
      <c r="F7081" s="271"/>
      <c r="G7081" s="271"/>
      <c r="H7081" s="271"/>
      <c r="I7081" s="271"/>
      <c r="J7081" s="271"/>
      <c r="K7081" s="271"/>
      <c r="L7081" s="271"/>
      <c r="M7081" s="271"/>
      <c r="N7081" s="273"/>
    </row>
    <row r="7082" spans="1:14" ht="12.75" customHeight="1" x14ac:dyDescent="0.2">
      <c r="A7082" s="396" t="s">
        <v>76</v>
      </c>
      <c r="B7082" s="271"/>
      <c r="C7082" s="271"/>
      <c r="D7082" s="271"/>
      <c r="E7082" s="271"/>
      <c r="F7082" s="271"/>
      <c r="G7082" s="273"/>
      <c r="H7082" s="88" t="s">
        <v>77</v>
      </c>
      <c r="I7082" s="399" t="s">
        <v>920</v>
      </c>
      <c r="J7082" s="273"/>
      <c r="K7082" s="90" t="s">
        <v>514</v>
      </c>
      <c r="L7082" s="91" t="s">
        <v>932</v>
      </c>
      <c r="M7082" s="399" t="s">
        <v>921</v>
      </c>
      <c r="N7082" s="273"/>
    </row>
    <row r="7083" spans="1:14" ht="12.75" customHeight="1" x14ac:dyDescent="0.25">
      <c r="A7083" s="393" t="s">
        <v>962</v>
      </c>
      <c r="B7083" s="271"/>
      <c r="C7083" s="271"/>
      <c r="D7083" s="271"/>
      <c r="E7083" s="271"/>
      <c r="F7083" s="271"/>
      <c r="G7083" s="273"/>
      <c r="H7083" s="29" t="str">
        <f>IF(A7083="","",VLOOKUP(A7083,AA_Cuadrillas,4,FALSE))</f>
        <v>Cuadrilla</v>
      </c>
      <c r="I7083" s="394">
        <f>IF(A7083="","",VLOOKUP(A7083,AA_Cuadrillas,5,FALSE))</f>
        <v>396871</v>
      </c>
      <c r="J7083" s="273"/>
      <c r="K7083" s="9">
        <f>IF(A7083="","",F.P!$I$2)</f>
        <v>1.88</v>
      </c>
      <c r="L7083" s="93">
        <v>0.22</v>
      </c>
      <c r="M7083" s="394">
        <f t="shared" ref="M7083:M7087" si="966">IF(A7083="","",I7083*K7083*L7083)</f>
        <v>164145.8456</v>
      </c>
      <c r="N7083" s="273"/>
    </row>
    <row r="7084" spans="1:14" ht="12.75" customHeight="1" x14ac:dyDescent="0.25">
      <c r="A7084" s="393"/>
      <c r="B7084" s="271"/>
      <c r="C7084" s="271"/>
      <c r="D7084" s="271"/>
      <c r="E7084" s="271"/>
      <c r="F7084" s="271"/>
      <c r="G7084" s="273"/>
      <c r="H7084" s="29" t="str">
        <f>IF(A7084="","",VLOOKUP(A7084,AA_Cuadrillas,4,FALSE))</f>
        <v/>
      </c>
      <c r="I7084" s="394" t="str">
        <f>IF(A7084="","",VLOOKUP(A7084,AA_Cuadrillas,5,FALSE))</f>
        <v/>
      </c>
      <c r="J7084" s="273"/>
      <c r="K7084" s="9" t="str">
        <f>IF(A7084="","",F.P!$I$2)</f>
        <v/>
      </c>
      <c r="L7084" s="9"/>
      <c r="M7084" s="394" t="str">
        <f t="shared" si="966"/>
        <v/>
      </c>
      <c r="N7084" s="273"/>
    </row>
    <row r="7085" spans="1:14" ht="12.75" customHeight="1" x14ac:dyDescent="0.25">
      <c r="A7085" s="393"/>
      <c r="B7085" s="271"/>
      <c r="C7085" s="271"/>
      <c r="D7085" s="271"/>
      <c r="E7085" s="271"/>
      <c r="F7085" s="271"/>
      <c r="G7085" s="273"/>
      <c r="H7085" s="29" t="str">
        <f>IF(A7085="","",VLOOKUP(A7085,AA_Cuadrillas,4,FALSE))</f>
        <v/>
      </c>
      <c r="I7085" s="394" t="str">
        <f>IF(A7085="","",VLOOKUP(A7085,AA_Cuadrillas,5,FALSE))</f>
        <v/>
      </c>
      <c r="J7085" s="273"/>
      <c r="K7085" s="9" t="str">
        <f>IF(A7085="","",F.P!$I$2)</f>
        <v/>
      </c>
      <c r="L7085" s="37"/>
      <c r="M7085" s="394" t="str">
        <f t="shared" si="966"/>
        <v/>
      </c>
      <c r="N7085" s="273"/>
    </row>
    <row r="7086" spans="1:14" ht="12.75" customHeight="1" x14ac:dyDescent="0.25">
      <c r="A7086" s="393"/>
      <c r="B7086" s="271"/>
      <c r="C7086" s="271"/>
      <c r="D7086" s="271"/>
      <c r="E7086" s="271"/>
      <c r="F7086" s="271"/>
      <c r="G7086" s="273"/>
      <c r="H7086" s="29" t="str">
        <f>IF(A7086="","",VLOOKUP(A7086,AA_Cuadrillas,4,FALSE))</f>
        <v/>
      </c>
      <c r="I7086" s="394" t="str">
        <f>IF(A7086="","",VLOOKUP(A7086,AA_Cuadrillas,5,FALSE))</f>
        <v/>
      </c>
      <c r="J7086" s="273"/>
      <c r="K7086" s="9" t="str">
        <f>IF(A7086="","",F.P!$I$2)</f>
        <v/>
      </c>
      <c r="L7086" s="37"/>
      <c r="M7086" s="394" t="str">
        <f t="shared" si="966"/>
        <v/>
      </c>
      <c r="N7086" s="273"/>
    </row>
    <row r="7087" spans="1:14" ht="12.75" customHeight="1" x14ac:dyDescent="0.25">
      <c r="A7087" s="393"/>
      <c r="B7087" s="271"/>
      <c r="C7087" s="271"/>
      <c r="D7087" s="271"/>
      <c r="E7087" s="271"/>
      <c r="F7087" s="271"/>
      <c r="G7087" s="273"/>
      <c r="H7087" s="29" t="str">
        <f>IF(A7087="","",VLOOKUP(A7087,AA_Cuadrillas,4,FALSE))</f>
        <v/>
      </c>
      <c r="I7087" s="394" t="str">
        <f>IF(A7087="","",VLOOKUP(A7087,AA_Cuadrillas,5,FALSE))</f>
        <v/>
      </c>
      <c r="J7087" s="273"/>
      <c r="K7087" s="9" t="str">
        <f>IF(A7087="","",F.P!$I$2)</f>
        <v/>
      </c>
      <c r="L7087" s="37"/>
      <c r="M7087" s="394" t="str">
        <f t="shared" si="966"/>
        <v/>
      </c>
      <c r="N7087" s="273"/>
    </row>
    <row r="7088" spans="1:14" ht="12.75" customHeight="1" x14ac:dyDescent="0.25">
      <c r="A7088" s="4"/>
      <c r="B7088" s="4"/>
      <c r="C7088" s="4"/>
      <c r="D7088" s="4"/>
      <c r="E7088" s="4"/>
      <c r="F7088" s="4"/>
      <c r="G7088" s="4"/>
      <c r="H7088" s="4"/>
      <c r="I7088" s="4"/>
      <c r="J7088" s="4"/>
      <c r="K7088" s="396" t="s">
        <v>444</v>
      </c>
      <c r="L7088" s="273"/>
      <c r="M7088" s="394">
        <f>SUM(M7083:N7087)</f>
        <v>164145.8456</v>
      </c>
      <c r="N7088" s="273"/>
    </row>
    <row r="7089" spans="1:14" ht="12.75" customHeight="1" x14ac:dyDescent="0.2"/>
    <row r="7090" spans="1:14" ht="12.75" customHeight="1" x14ac:dyDescent="0.2">
      <c r="A7090" s="407" t="s">
        <v>1292</v>
      </c>
      <c r="B7090" s="275"/>
      <c r="C7090" s="275"/>
      <c r="D7090" s="275"/>
      <c r="E7090" s="275"/>
      <c r="F7090" s="275"/>
      <c r="G7090" s="275"/>
      <c r="H7090" s="275"/>
      <c r="I7090" s="275"/>
      <c r="J7090" s="275"/>
      <c r="K7090" s="275"/>
      <c r="L7090" s="275"/>
      <c r="M7090" s="275"/>
      <c r="N7090" s="276"/>
    </row>
    <row r="7091" spans="1:14" ht="12.75" customHeight="1" x14ac:dyDescent="0.2">
      <c r="A7091" s="277"/>
      <c r="B7091" s="278"/>
      <c r="C7091" s="278"/>
      <c r="D7091" s="278"/>
      <c r="E7091" s="278"/>
      <c r="F7091" s="278"/>
      <c r="G7091" s="278"/>
      <c r="H7091" s="278"/>
      <c r="I7091" s="278"/>
      <c r="J7091" s="278"/>
      <c r="K7091" s="278"/>
      <c r="L7091" s="278"/>
      <c r="M7091" s="278"/>
      <c r="N7091" s="279"/>
    </row>
    <row r="7092" spans="1:14" ht="12.75" customHeight="1" x14ac:dyDescent="0.2">
      <c r="A7092" s="75"/>
      <c r="B7092" s="75"/>
      <c r="C7092" s="75"/>
      <c r="D7092" s="75"/>
      <c r="E7092" s="75"/>
      <c r="F7092" s="75"/>
      <c r="G7092" s="75"/>
      <c r="H7092" s="75"/>
      <c r="I7092" s="75"/>
      <c r="J7092" s="75"/>
      <c r="K7092" s="75"/>
      <c r="L7092" s="75"/>
      <c r="M7092" s="75"/>
      <c r="N7092" s="75"/>
    </row>
    <row r="7093" spans="1:14" ht="12.75" customHeight="1" x14ac:dyDescent="0.3">
      <c r="A7093" s="79" t="s">
        <v>777</v>
      </c>
      <c r="B7093" s="80" t="str">
        <f>A7090</f>
        <v>KIT DE INSTALACIÓN DE BOMBA 7 HP - LAPICERO</v>
      </c>
      <c r="C7093" s="81" t="s">
        <v>916</v>
      </c>
      <c r="D7093" s="82" t="s">
        <v>999</v>
      </c>
      <c r="E7093" s="83" t="s">
        <v>445</v>
      </c>
      <c r="F7093" s="86">
        <f>H7093+J7093+L7093+N7093</f>
        <v>2664913.3664999995</v>
      </c>
      <c r="G7093" s="83" t="s">
        <v>607</v>
      </c>
      <c r="H7093" s="86">
        <f>M7105</f>
        <v>2237905.5099999998</v>
      </c>
      <c r="I7093" s="83" t="s">
        <v>918</v>
      </c>
      <c r="J7093" s="86">
        <f>M7114</f>
        <v>15005.360999999999</v>
      </c>
      <c r="K7093" s="83" t="s">
        <v>609</v>
      </c>
      <c r="L7093" s="86">
        <f>M7123</f>
        <v>111895.27549999999</v>
      </c>
      <c r="M7093" s="83" t="s">
        <v>610</v>
      </c>
      <c r="N7093" s="86">
        <f>M7132</f>
        <v>300107.21999999997</v>
      </c>
    </row>
    <row r="7094" spans="1:14" ht="12.75" customHeight="1" x14ac:dyDescent="0.25">
      <c r="A7094" s="87"/>
      <c r="B7094" s="87"/>
      <c r="C7094" s="87"/>
      <c r="D7094" s="87"/>
      <c r="E7094" s="87"/>
      <c r="F7094" s="87"/>
      <c r="G7094" s="87"/>
      <c r="J7094" s="87"/>
      <c r="K7094" s="215" t="s">
        <v>3217</v>
      </c>
      <c r="L7094" s="215"/>
      <c r="M7094" s="87"/>
      <c r="N7094" s="87"/>
    </row>
    <row r="7095" spans="1:14" ht="12.75" customHeight="1" x14ac:dyDescent="0.2">
      <c r="A7095" s="398" t="s">
        <v>919</v>
      </c>
      <c r="B7095" s="271"/>
      <c r="C7095" s="271"/>
      <c r="D7095" s="271"/>
      <c r="E7095" s="271"/>
      <c r="F7095" s="271"/>
      <c r="G7095" s="271"/>
      <c r="H7095" s="271"/>
      <c r="I7095" s="271"/>
      <c r="J7095" s="271"/>
      <c r="K7095" s="271"/>
      <c r="L7095" s="271"/>
      <c r="M7095" s="271"/>
      <c r="N7095" s="273"/>
    </row>
    <row r="7096" spans="1:14" ht="12.75" customHeight="1" x14ac:dyDescent="0.2">
      <c r="A7096" s="396" t="s">
        <v>76</v>
      </c>
      <c r="B7096" s="271"/>
      <c r="C7096" s="271"/>
      <c r="D7096" s="271"/>
      <c r="E7096" s="271"/>
      <c r="F7096" s="271"/>
      <c r="G7096" s="273"/>
      <c r="H7096" s="88" t="s">
        <v>77</v>
      </c>
      <c r="I7096" s="399" t="s">
        <v>920</v>
      </c>
      <c r="J7096" s="273"/>
      <c r="K7096" s="399" t="s">
        <v>453</v>
      </c>
      <c r="L7096" s="273"/>
      <c r="M7096" s="399" t="s">
        <v>921</v>
      </c>
      <c r="N7096" s="273"/>
    </row>
    <row r="7097" spans="1:14" ht="12.75" customHeight="1" x14ac:dyDescent="0.2">
      <c r="A7097" s="403" t="s">
        <v>1293</v>
      </c>
      <c r="B7097" s="271"/>
      <c r="C7097" s="271"/>
      <c r="D7097" s="271"/>
      <c r="E7097" s="271"/>
      <c r="F7097" s="271"/>
      <c r="G7097" s="273"/>
      <c r="H7097" s="29" t="str">
        <f t="shared" ref="H7097:H7104" si="967">IF(A7097="","",VLOOKUP(A7097,AA_Materiales,7,FALSE))</f>
        <v>Unidad</v>
      </c>
      <c r="I7097" s="394">
        <f t="shared" ref="I7097:I7104" si="968">IF(A7097="","",VLOOKUP(A7097,AA_Materiales,8,FALSE))</f>
        <v>600000</v>
      </c>
      <c r="J7097" s="273"/>
      <c r="K7097" s="395">
        <v>1</v>
      </c>
      <c r="L7097" s="273"/>
      <c r="M7097" s="394">
        <f t="shared" ref="M7097:M7104" si="969">IF(A7097="","",I7097*K7097)</f>
        <v>600000</v>
      </c>
      <c r="N7097" s="273"/>
    </row>
    <row r="7098" spans="1:14" ht="12.75" customHeight="1" x14ac:dyDescent="0.2">
      <c r="A7098" s="403" t="s">
        <v>1294</v>
      </c>
      <c r="B7098" s="271"/>
      <c r="C7098" s="271"/>
      <c r="D7098" s="271"/>
      <c r="E7098" s="271"/>
      <c r="F7098" s="271"/>
      <c r="G7098" s="273"/>
      <c r="H7098" s="29" t="str">
        <f t="shared" si="967"/>
        <v>Unidad</v>
      </c>
      <c r="I7098" s="394">
        <f t="shared" si="968"/>
        <v>1500000</v>
      </c>
      <c r="J7098" s="273"/>
      <c r="K7098" s="395">
        <v>1</v>
      </c>
      <c r="L7098" s="273"/>
      <c r="M7098" s="394">
        <f t="shared" si="969"/>
        <v>1500000</v>
      </c>
      <c r="N7098" s="273"/>
    </row>
    <row r="7099" spans="1:14" ht="12.75" customHeight="1" x14ac:dyDescent="0.2">
      <c r="A7099" s="403" t="s">
        <v>1295</v>
      </c>
      <c r="B7099" s="271"/>
      <c r="C7099" s="271"/>
      <c r="D7099" s="271"/>
      <c r="E7099" s="271"/>
      <c r="F7099" s="271"/>
      <c r="G7099" s="273"/>
      <c r="H7099" s="29" t="str">
        <f t="shared" si="967"/>
        <v>Unidad</v>
      </c>
      <c r="I7099" s="394">
        <f t="shared" si="968"/>
        <v>57316.81</v>
      </c>
      <c r="J7099" s="273"/>
      <c r="K7099" s="395">
        <v>1</v>
      </c>
      <c r="L7099" s="273"/>
      <c r="M7099" s="394">
        <f t="shared" si="969"/>
        <v>57316.81</v>
      </c>
      <c r="N7099" s="273"/>
    </row>
    <row r="7100" spans="1:14" ht="12.75" customHeight="1" x14ac:dyDescent="0.2">
      <c r="A7100" s="403" t="s">
        <v>1296</v>
      </c>
      <c r="B7100" s="271"/>
      <c r="C7100" s="271"/>
      <c r="D7100" s="271"/>
      <c r="E7100" s="271"/>
      <c r="F7100" s="271"/>
      <c r="G7100" s="273"/>
      <c r="H7100" s="29" t="str">
        <f t="shared" si="967"/>
        <v>Unidad</v>
      </c>
      <c r="I7100" s="394">
        <f t="shared" si="968"/>
        <v>57676.480000000003</v>
      </c>
      <c r="J7100" s="273"/>
      <c r="K7100" s="395">
        <v>1</v>
      </c>
      <c r="L7100" s="273"/>
      <c r="M7100" s="394">
        <f t="shared" si="969"/>
        <v>57676.480000000003</v>
      </c>
      <c r="N7100" s="273"/>
    </row>
    <row r="7101" spans="1:14" ht="12.75" customHeight="1" x14ac:dyDescent="0.2">
      <c r="A7101" s="403" t="s">
        <v>1297</v>
      </c>
      <c r="B7101" s="271"/>
      <c r="C7101" s="271"/>
      <c r="D7101" s="271"/>
      <c r="E7101" s="271"/>
      <c r="F7101" s="271"/>
      <c r="G7101" s="273"/>
      <c r="H7101" s="29" t="str">
        <f t="shared" si="967"/>
        <v>Unidad</v>
      </c>
      <c r="I7101" s="394">
        <f t="shared" si="968"/>
        <v>12845.55</v>
      </c>
      <c r="J7101" s="273"/>
      <c r="K7101" s="395">
        <v>1</v>
      </c>
      <c r="L7101" s="273"/>
      <c r="M7101" s="394">
        <f t="shared" si="969"/>
        <v>12845.55</v>
      </c>
      <c r="N7101" s="273"/>
    </row>
    <row r="7102" spans="1:14" ht="12.75" customHeight="1" x14ac:dyDescent="0.2">
      <c r="A7102" s="403" t="s">
        <v>1298</v>
      </c>
      <c r="B7102" s="271"/>
      <c r="C7102" s="271"/>
      <c r="D7102" s="271"/>
      <c r="E7102" s="271"/>
      <c r="F7102" s="271"/>
      <c r="G7102" s="273"/>
      <c r="H7102" s="29" t="str">
        <f t="shared" si="967"/>
        <v>ml</v>
      </c>
      <c r="I7102" s="394">
        <f t="shared" si="968"/>
        <v>5316.67</v>
      </c>
      <c r="J7102" s="273"/>
      <c r="K7102" s="416">
        <v>1</v>
      </c>
      <c r="L7102" s="273"/>
      <c r="M7102" s="394">
        <f t="shared" si="969"/>
        <v>5316.67</v>
      </c>
      <c r="N7102" s="273"/>
    </row>
    <row r="7103" spans="1:14" ht="12.75" customHeight="1" x14ac:dyDescent="0.2">
      <c r="A7103" s="403" t="s">
        <v>1299</v>
      </c>
      <c r="B7103" s="271"/>
      <c r="C7103" s="271"/>
      <c r="D7103" s="271"/>
      <c r="E7103" s="271"/>
      <c r="F7103" s="271"/>
      <c r="G7103" s="273"/>
      <c r="H7103" s="29" t="str">
        <f t="shared" si="967"/>
        <v>Unidad</v>
      </c>
      <c r="I7103" s="394">
        <f t="shared" si="968"/>
        <v>2800</v>
      </c>
      <c r="J7103" s="273"/>
      <c r="K7103" s="395">
        <v>1</v>
      </c>
      <c r="L7103" s="273"/>
      <c r="M7103" s="394">
        <f t="shared" si="969"/>
        <v>2800</v>
      </c>
      <c r="N7103" s="273"/>
    </row>
    <row r="7104" spans="1:14" ht="12.75" customHeight="1" x14ac:dyDescent="0.2">
      <c r="A7104" s="403" t="s">
        <v>1300</v>
      </c>
      <c r="B7104" s="271"/>
      <c r="C7104" s="271"/>
      <c r="D7104" s="271"/>
      <c r="E7104" s="271"/>
      <c r="F7104" s="271"/>
      <c r="G7104" s="273"/>
      <c r="H7104" s="29" t="str">
        <f t="shared" si="967"/>
        <v>Unidad</v>
      </c>
      <c r="I7104" s="394">
        <f t="shared" si="968"/>
        <v>1950</v>
      </c>
      <c r="J7104" s="273"/>
      <c r="K7104" s="395">
        <v>1</v>
      </c>
      <c r="L7104" s="273"/>
      <c r="M7104" s="394">
        <f t="shared" si="969"/>
        <v>1950</v>
      </c>
      <c r="N7104" s="273"/>
    </row>
    <row r="7105" spans="1:14" ht="12.75" customHeight="1" x14ac:dyDescent="0.25">
      <c r="A7105" s="4"/>
      <c r="B7105" s="4"/>
      <c r="C7105" s="4"/>
      <c r="D7105" s="4"/>
      <c r="E7105" s="4"/>
      <c r="F7105" s="4"/>
      <c r="G7105" s="4"/>
      <c r="H7105" s="4"/>
      <c r="I7105" s="4"/>
      <c r="J7105" s="4"/>
      <c r="K7105" s="396" t="s">
        <v>444</v>
      </c>
      <c r="L7105" s="273"/>
      <c r="M7105" s="394">
        <f>SUM(M7097:N7104)</f>
        <v>2237905.5099999998</v>
      </c>
      <c r="N7105" s="273"/>
    </row>
    <row r="7106" spans="1:14" ht="12.75" customHeight="1" x14ac:dyDescent="0.25">
      <c r="A7106" s="4"/>
      <c r="B7106" s="4"/>
      <c r="C7106" s="4"/>
      <c r="D7106" s="4"/>
      <c r="E7106" s="4"/>
      <c r="F7106" s="4"/>
      <c r="G7106" s="4"/>
      <c r="H7106" s="4"/>
      <c r="I7106" s="4"/>
      <c r="J7106" s="4"/>
      <c r="K7106" s="4"/>
      <c r="L7106" s="4"/>
      <c r="M7106" s="4"/>
      <c r="N7106" s="4"/>
    </row>
    <row r="7107" spans="1:14" ht="12.75" customHeight="1" x14ac:dyDescent="0.2">
      <c r="A7107" s="398" t="s">
        <v>926</v>
      </c>
      <c r="B7107" s="271"/>
      <c r="C7107" s="271"/>
      <c r="D7107" s="271"/>
      <c r="E7107" s="271"/>
      <c r="F7107" s="271"/>
      <c r="G7107" s="271"/>
      <c r="H7107" s="271"/>
      <c r="I7107" s="271"/>
      <c r="J7107" s="271"/>
      <c r="K7107" s="271"/>
      <c r="L7107" s="271"/>
      <c r="M7107" s="271"/>
      <c r="N7107" s="273"/>
    </row>
    <row r="7108" spans="1:14" ht="12.75" customHeight="1" x14ac:dyDescent="0.2">
      <c r="A7108" s="396" t="s">
        <v>76</v>
      </c>
      <c r="B7108" s="271"/>
      <c r="C7108" s="271"/>
      <c r="D7108" s="271"/>
      <c r="E7108" s="271"/>
      <c r="F7108" s="271"/>
      <c r="G7108" s="273"/>
      <c r="H7108" s="88" t="s">
        <v>77</v>
      </c>
      <c r="I7108" s="399" t="s">
        <v>920</v>
      </c>
      <c r="J7108" s="273"/>
      <c r="K7108" s="399" t="s">
        <v>453</v>
      </c>
      <c r="L7108" s="273"/>
      <c r="M7108" s="399" t="s">
        <v>921</v>
      </c>
      <c r="N7108" s="273"/>
    </row>
    <row r="7109" spans="1:14" ht="12.75" customHeight="1" x14ac:dyDescent="0.2">
      <c r="A7109" s="400" t="s">
        <v>927</v>
      </c>
      <c r="B7109" s="271"/>
      <c r="C7109" s="271"/>
      <c r="D7109" s="271"/>
      <c r="E7109" s="271"/>
      <c r="F7109" s="271"/>
      <c r="G7109" s="273"/>
      <c r="H7109" s="29" t="str">
        <f>IF(A7109="","",VLOOKUP(A7109,AA_Equipos,7,FALSE))</f>
        <v>% M.O.</v>
      </c>
      <c r="I7109" s="394">
        <f>+M7132</f>
        <v>300107.21999999997</v>
      </c>
      <c r="J7109" s="273"/>
      <c r="K7109" s="404">
        <v>0.05</v>
      </c>
      <c r="L7109" s="273"/>
      <c r="M7109" s="394">
        <f t="shared" ref="M7109:M7113" si="970">IF(A7109="","",I7109*K7109)</f>
        <v>15005.360999999999</v>
      </c>
      <c r="N7109" s="273"/>
    </row>
    <row r="7110" spans="1:14" ht="12.75" customHeight="1" x14ac:dyDescent="0.2">
      <c r="A7110" s="403"/>
      <c r="B7110" s="271"/>
      <c r="C7110" s="271"/>
      <c r="D7110" s="271"/>
      <c r="E7110" s="271"/>
      <c r="F7110" s="271"/>
      <c r="G7110" s="273"/>
      <c r="H7110" s="29" t="str">
        <f>IF(A7110="","",VLOOKUP(A7110,AA_Equipos,7,FALSE))</f>
        <v/>
      </c>
      <c r="I7110" s="394" t="str">
        <f>IF(A7110="","",VLOOKUP(A7110,AA_Equipos,8,FALSE))</f>
        <v/>
      </c>
      <c r="J7110" s="273"/>
      <c r="K7110" s="402"/>
      <c r="L7110" s="273"/>
      <c r="M7110" s="394" t="str">
        <f t="shared" si="970"/>
        <v/>
      </c>
      <c r="N7110" s="273"/>
    </row>
    <row r="7111" spans="1:14" ht="12.75" customHeight="1" x14ac:dyDescent="0.2">
      <c r="A7111" s="400"/>
      <c r="B7111" s="271"/>
      <c r="C7111" s="271"/>
      <c r="D7111" s="271"/>
      <c r="E7111" s="271"/>
      <c r="F7111" s="271"/>
      <c r="G7111" s="273"/>
      <c r="H7111" s="29" t="str">
        <f>IF(A7111="","",VLOOKUP(A7111,AA_Equipos,7,FALSE))</f>
        <v/>
      </c>
      <c r="I7111" s="394" t="str">
        <f>IF(A7111="","",VLOOKUP(A7111,AA_Equipos,8,FALSE))</f>
        <v/>
      </c>
      <c r="J7111" s="273"/>
      <c r="K7111" s="401"/>
      <c r="L7111" s="273"/>
      <c r="M7111" s="394" t="str">
        <f t="shared" si="970"/>
        <v/>
      </c>
      <c r="N7111" s="273"/>
    </row>
    <row r="7112" spans="1:14" ht="12.75" customHeight="1" x14ac:dyDescent="0.2">
      <c r="A7112" s="400"/>
      <c r="B7112" s="271"/>
      <c r="C7112" s="271"/>
      <c r="D7112" s="271"/>
      <c r="E7112" s="271"/>
      <c r="F7112" s="271"/>
      <c r="G7112" s="273"/>
      <c r="H7112" s="29" t="str">
        <f>IF(A7112="","",VLOOKUP(A7112,AA_Equipos,7,FALSE))</f>
        <v/>
      </c>
      <c r="I7112" s="394" t="str">
        <f>IF(A7112="","",VLOOKUP(A7112,AA_Equipos,8,FALSE))</f>
        <v/>
      </c>
      <c r="J7112" s="273"/>
      <c r="K7112" s="395"/>
      <c r="L7112" s="273"/>
      <c r="M7112" s="394" t="str">
        <f t="shared" si="970"/>
        <v/>
      </c>
      <c r="N7112" s="273"/>
    </row>
    <row r="7113" spans="1:14" ht="12.75" customHeight="1" x14ac:dyDescent="0.2">
      <c r="A7113" s="400"/>
      <c r="B7113" s="271"/>
      <c r="C7113" s="271"/>
      <c r="D7113" s="271"/>
      <c r="E7113" s="271"/>
      <c r="F7113" s="271"/>
      <c r="G7113" s="273"/>
      <c r="H7113" s="29" t="str">
        <f>IF(A7113="","",VLOOKUP(A7113,AA_Equipos,7,FALSE))</f>
        <v/>
      </c>
      <c r="I7113" s="394" t="str">
        <f>IF(A7113="","",VLOOKUP(A7113,AA_Equipos,8,FALSE))</f>
        <v/>
      </c>
      <c r="J7113" s="273"/>
      <c r="K7113" s="395"/>
      <c r="L7113" s="273"/>
      <c r="M7113" s="394" t="str">
        <f t="shared" si="970"/>
        <v/>
      </c>
      <c r="N7113" s="273"/>
    </row>
    <row r="7114" spans="1:14" ht="12.75" customHeight="1" x14ac:dyDescent="0.25">
      <c r="A7114" s="4"/>
      <c r="B7114" s="4"/>
      <c r="C7114" s="4"/>
      <c r="D7114" s="4"/>
      <c r="E7114" s="4"/>
      <c r="F7114" s="4"/>
      <c r="G7114" s="4"/>
      <c r="H7114" s="4"/>
      <c r="I7114" s="4"/>
      <c r="J7114" s="4"/>
      <c r="K7114" s="396" t="s">
        <v>444</v>
      </c>
      <c r="L7114" s="273"/>
      <c r="M7114" s="394">
        <f>SUM(M7109:N7113)</f>
        <v>15005.360999999999</v>
      </c>
      <c r="N7114" s="273"/>
    </row>
    <row r="7115" spans="1:14" ht="12.75" customHeight="1" x14ac:dyDescent="0.25">
      <c r="A7115" s="4"/>
      <c r="B7115" s="4"/>
      <c r="C7115" s="4"/>
      <c r="D7115" s="4"/>
      <c r="E7115" s="4"/>
      <c r="F7115" s="4"/>
      <c r="G7115" s="4"/>
      <c r="H7115" s="4"/>
      <c r="I7115" s="4"/>
      <c r="J7115" s="4"/>
      <c r="K7115" s="4"/>
      <c r="L7115" s="4"/>
      <c r="M7115" s="4"/>
      <c r="N7115" s="4"/>
    </row>
    <row r="7116" spans="1:14" ht="12.75" customHeight="1" x14ac:dyDescent="0.2">
      <c r="A7116" s="398" t="s">
        <v>929</v>
      </c>
      <c r="B7116" s="271"/>
      <c r="C7116" s="271"/>
      <c r="D7116" s="271"/>
      <c r="E7116" s="271"/>
      <c r="F7116" s="271"/>
      <c r="G7116" s="271"/>
      <c r="H7116" s="271"/>
      <c r="I7116" s="271"/>
      <c r="J7116" s="271"/>
      <c r="K7116" s="271"/>
      <c r="L7116" s="271"/>
      <c r="M7116" s="271"/>
      <c r="N7116" s="273"/>
    </row>
    <row r="7117" spans="1:14" ht="12.75" customHeight="1" x14ac:dyDescent="0.2">
      <c r="A7117" s="396" t="s">
        <v>76</v>
      </c>
      <c r="B7117" s="271"/>
      <c r="C7117" s="271"/>
      <c r="D7117" s="271"/>
      <c r="E7117" s="271"/>
      <c r="F7117" s="271"/>
      <c r="G7117" s="273"/>
      <c r="H7117" s="88" t="s">
        <v>77</v>
      </c>
      <c r="I7117" s="399" t="s">
        <v>920</v>
      </c>
      <c r="J7117" s="273"/>
      <c r="K7117" s="399" t="s">
        <v>453</v>
      </c>
      <c r="L7117" s="273"/>
      <c r="M7117" s="399" t="s">
        <v>921</v>
      </c>
      <c r="N7117" s="273"/>
    </row>
    <row r="7118" spans="1:14" ht="12.75" customHeight="1" x14ac:dyDescent="0.2">
      <c r="A7118" s="400" t="s">
        <v>960</v>
      </c>
      <c r="B7118" s="271"/>
      <c r="C7118" s="271"/>
      <c r="D7118" s="271"/>
      <c r="E7118" s="271"/>
      <c r="F7118" s="271"/>
      <c r="G7118" s="273"/>
      <c r="H7118" s="29" t="s">
        <v>950</v>
      </c>
      <c r="I7118" s="394">
        <f>+M7105</f>
        <v>2237905.5099999998</v>
      </c>
      <c r="J7118" s="273"/>
      <c r="K7118" s="404">
        <v>0.05</v>
      </c>
      <c r="L7118" s="273"/>
      <c r="M7118" s="394">
        <f t="shared" ref="M7118:M7122" si="971">IF(A7118="","",I7118*K7118)</f>
        <v>111895.27549999999</v>
      </c>
      <c r="N7118" s="273"/>
    </row>
    <row r="7119" spans="1:14" ht="12.75" customHeight="1" x14ac:dyDescent="0.2">
      <c r="A7119" s="403"/>
      <c r="B7119" s="271"/>
      <c r="C7119" s="271"/>
      <c r="D7119" s="271"/>
      <c r="E7119" s="271"/>
      <c r="F7119" s="271"/>
      <c r="G7119" s="273"/>
      <c r="H7119" s="29"/>
      <c r="I7119" s="394"/>
      <c r="J7119" s="273"/>
      <c r="K7119" s="404"/>
      <c r="L7119" s="273"/>
      <c r="M7119" s="394" t="str">
        <f t="shared" si="971"/>
        <v/>
      </c>
      <c r="N7119" s="273"/>
    </row>
    <row r="7120" spans="1:14" ht="12.75" customHeight="1" x14ac:dyDescent="0.2">
      <c r="A7120" s="400"/>
      <c r="B7120" s="271"/>
      <c r="C7120" s="271"/>
      <c r="D7120" s="271"/>
      <c r="E7120" s="271"/>
      <c r="F7120" s="271"/>
      <c r="G7120" s="273"/>
      <c r="H7120" s="29"/>
      <c r="I7120" s="394"/>
      <c r="J7120" s="273"/>
      <c r="K7120" s="395"/>
      <c r="L7120" s="273"/>
      <c r="M7120" s="394" t="str">
        <f t="shared" si="971"/>
        <v/>
      </c>
      <c r="N7120" s="273"/>
    </row>
    <row r="7121" spans="1:14" ht="12.75" customHeight="1" x14ac:dyDescent="0.2">
      <c r="A7121" s="400"/>
      <c r="B7121" s="271"/>
      <c r="C7121" s="271"/>
      <c r="D7121" s="271"/>
      <c r="E7121" s="271"/>
      <c r="F7121" s="271"/>
      <c r="G7121" s="273"/>
      <c r="H7121" s="29"/>
      <c r="I7121" s="394"/>
      <c r="J7121" s="273"/>
      <c r="K7121" s="395"/>
      <c r="L7121" s="273"/>
      <c r="M7121" s="394" t="str">
        <f t="shared" si="971"/>
        <v/>
      </c>
      <c r="N7121" s="273"/>
    </row>
    <row r="7122" spans="1:14" ht="12.75" customHeight="1" x14ac:dyDescent="0.2">
      <c r="A7122" s="400"/>
      <c r="B7122" s="271"/>
      <c r="C7122" s="271"/>
      <c r="D7122" s="271"/>
      <c r="E7122" s="271"/>
      <c r="F7122" s="271"/>
      <c r="G7122" s="273"/>
      <c r="H7122" s="29"/>
      <c r="I7122" s="394"/>
      <c r="J7122" s="273"/>
      <c r="K7122" s="395"/>
      <c r="L7122" s="273"/>
      <c r="M7122" s="394" t="str">
        <f t="shared" si="971"/>
        <v/>
      </c>
      <c r="N7122" s="273"/>
    </row>
    <row r="7123" spans="1:14" ht="12.75" customHeight="1" x14ac:dyDescent="0.25">
      <c r="A7123" s="4"/>
      <c r="B7123" s="4"/>
      <c r="C7123" s="4"/>
      <c r="D7123" s="4"/>
      <c r="E7123" s="4"/>
      <c r="F7123" s="4"/>
      <c r="G7123" s="4"/>
      <c r="H7123" s="4"/>
      <c r="I7123" s="4"/>
      <c r="J7123" s="4"/>
      <c r="K7123" s="396" t="s">
        <v>444</v>
      </c>
      <c r="L7123" s="273"/>
      <c r="M7123" s="394">
        <f>SUM(M7118:N7122)</f>
        <v>111895.27549999999</v>
      </c>
      <c r="N7123" s="273"/>
    </row>
    <row r="7124" spans="1:14" ht="12.75" customHeight="1" x14ac:dyDescent="0.25">
      <c r="A7124" s="4"/>
      <c r="B7124" s="4"/>
      <c r="C7124" s="4"/>
      <c r="D7124" s="4"/>
      <c r="E7124" s="4"/>
      <c r="F7124" s="4"/>
      <c r="G7124" s="4"/>
      <c r="H7124" s="4"/>
      <c r="I7124" s="4"/>
      <c r="J7124" s="4"/>
      <c r="K7124" s="4"/>
      <c r="L7124" s="4"/>
      <c r="M7124" s="4"/>
      <c r="N7124" s="4"/>
    </row>
    <row r="7125" spans="1:14" ht="12.75" customHeight="1" x14ac:dyDescent="0.2">
      <c r="A7125" s="398" t="s">
        <v>931</v>
      </c>
      <c r="B7125" s="271"/>
      <c r="C7125" s="271"/>
      <c r="D7125" s="271"/>
      <c r="E7125" s="271"/>
      <c r="F7125" s="271"/>
      <c r="G7125" s="271"/>
      <c r="H7125" s="271"/>
      <c r="I7125" s="271"/>
      <c r="J7125" s="271"/>
      <c r="K7125" s="271"/>
      <c r="L7125" s="271"/>
      <c r="M7125" s="271"/>
      <c r="N7125" s="273"/>
    </row>
    <row r="7126" spans="1:14" ht="12.75" customHeight="1" x14ac:dyDescent="0.2">
      <c r="A7126" s="396" t="s">
        <v>76</v>
      </c>
      <c r="B7126" s="271"/>
      <c r="C7126" s="271"/>
      <c r="D7126" s="271"/>
      <c r="E7126" s="271"/>
      <c r="F7126" s="271"/>
      <c r="G7126" s="273"/>
      <c r="H7126" s="88" t="s">
        <v>77</v>
      </c>
      <c r="I7126" s="399" t="s">
        <v>920</v>
      </c>
      <c r="J7126" s="273"/>
      <c r="K7126" s="90" t="s">
        <v>514</v>
      </c>
      <c r="L7126" s="91" t="s">
        <v>932</v>
      </c>
      <c r="M7126" s="399" t="s">
        <v>921</v>
      </c>
      <c r="N7126" s="273"/>
    </row>
    <row r="7127" spans="1:14" ht="12.75" customHeight="1" x14ac:dyDescent="0.25">
      <c r="A7127" s="393" t="s">
        <v>1041</v>
      </c>
      <c r="B7127" s="271"/>
      <c r="C7127" s="271"/>
      <c r="D7127" s="271"/>
      <c r="E7127" s="271"/>
      <c r="F7127" s="271"/>
      <c r="G7127" s="273"/>
      <c r="H7127" s="29" t="str">
        <f>IF(A7127="","",VLOOKUP(A7127,AA_Cuadrillas,4,FALSE))</f>
        <v>Cuadrilla</v>
      </c>
      <c r="I7127" s="394">
        <f>IF(A7127="","",VLOOKUP(A7127,AA_Cuadrillas,5,FALSE))</f>
        <v>186763</v>
      </c>
      <c r="J7127" s="273"/>
      <c r="K7127" s="9">
        <f>IF(A7127="","",F.P!$I$2)</f>
        <v>1.88</v>
      </c>
      <c r="L7127" s="97">
        <v>0.5</v>
      </c>
      <c r="M7127" s="394">
        <f t="shared" ref="M7127:M7131" si="972">IF(A7127="","",I7127*K7127*L7127)</f>
        <v>175557.22</v>
      </c>
      <c r="N7127" s="273"/>
    </row>
    <row r="7128" spans="1:14" ht="12.75" customHeight="1" x14ac:dyDescent="0.25">
      <c r="A7128" s="393" t="s">
        <v>1301</v>
      </c>
      <c r="B7128" s="271"/>
      <c r="C7128" s="271"/>
      <c r="D7128" s="271"/>
      <c r="E7128" s="271"/>
      <c r="F7128" s="271"/>
      <c r="G7128" s="273"/>
      <c r="H7128" s="29" t="str">
        <f>IF(A7128="","",VLOOKUP(A7128,AA_Cuadrillas,4,FALSE))</f>
        <v>Cuadrilla</v>
      </c>
      <c r="I7128" s="394">
        <f>IF(A7128="","",VLOOKUP(A7128,AA_Cuadrillas,5,FALSE))</f>
        <v>132500</v>
      </c>
      <c r="J7128" s="273"/>
      <c r="K7128" s="9">
        <f>IF(A7128="","",F.P!$I$2)</f>
        <v>1.88</v>
      </c>
      <c r="L7128" s="9">
        <v>0.5</v>
      </c>
      <c r="M7128" s="394">
        <f t="shared" si="972"/>
        <v>124550</v>
      </c>
      <c r="N7128" s="273"/>
    </row>
    <row r="7129" spans="1:14" ht="12.75" customHeight="1" x14ac:dyDescent="0.25">
      <c r="A7129" s="393"/>
      <c r="B7129" s="271"/>
      <c r="C7129" s="271"/>
      <c r="D7129" s="271"/>
      <c r="E7129" s="271"/>
      <c r="F7129" s="271"/>
      <c r="G7129" s="273"/>
      <c r="H7129" s="29" t="str">
        <f>IF(A7129="","",VLOOKUP(A7129,AA_Cuadrillas,4,FALSE))</f>
        <v/>
      </c>
      <c r="I7129" s="394" t="str">
        <f>IF(A7129="","",VLOOKUP(A7129,AA_Cuadrillas,5,FALSE))</f>
        <v/>
      </c>
      <c r="J7129" s="273"/>
      <c r="K7129" s="9" t="str">
        <f>IF(A7129="","",F.P!$I$2)</f>
        <v/>
      </c>
      <c r="L7129" s="37"/>
      <c r="M7129" s="394" t="str">
        <f t="shared" si="972"/>
        <v/>
      </c>
      <c r="N7129" s="273"/>
    </row>
    <row r="7130" spans="1:14" ht="12.75" customHeight="1" x14ac:dyDescent="0.25">
      <c r="A7130" s="393"/>
      <c r="B7130" s="271"/>
      <c r="C7130" s="271"/>
      <c r="D7130" s="271"/>
      <c r="E7130" s="271"/>
      <c r="F7130" s="271"/>
      <c r="G7130" s="273"/>
      <c r="H7130" s="29" t="str">
        <f>IF(A7130="","",VLOOKUP(A7130,AA_Cuadrillas,4,FALSE))</f>
        <v/>
      </c>
      <c r="I7130" s="394" t="str">
        <f>IF(A7130="","",VLOOKUP(A7130,AA_Cuadrillas,5,FALSE))</f>
        <v/>
      </c>
      <c r="J7130" s="273"/>
      <c r="K7130" s="9" t="str">
        <f>IF(A7130="","",F.P!$I$2)</f>
        <v/>
      </c>
      <c r="L7130" s="37"/>
      <c r="M7130" s="394" t="str">
        <f t="shared" si="972"/>
        <v/>
      </c>
      <c r="N7130" s="273"/>
    </row>
    <row r="7131" spans="1:14" ht="12.75" customHeight="1" x14ac:dyDescent="0.25">
      <c r="A7131" s="393"/>
      <c r="B7131" s="271"/>
      <c r="C7131" s="271"/>
      <c r="D7131" s="271"/>
      <c r="E7131" s="271"/>
      <c r="F7131" s="271"/>
      <c r="G7131" s="273"/>
      <c r="H7131" s="29" t="str">
        <f>IF(A7131="","",VLOOKUP(A7131,AA_Cuadrillas,4,FALSE))</f>
        <v/>
      </c>
      <c r="I7131" s="394" t="str">
        <f>IF(A7131="","",VLOOKUP(A7131,AA_Cuadrillas,5,FALSE))</f>
        <v/>
      </c>
      <c r="J7131" s="273"/>
      <c r="K7131" s="9" t="str">
        <f>IF(A7131="","",F.P!$I$2)</f>
        <v/>
      </c>
      <c r="L7131" s="37"/>
      <c r="M7131" s="394" t="str">
        <f t="shared" si="972"/>
        <v/>
      </c>
      <c r="N7131" s="273"/>
    </row>
    <row r="7132" spans="1:14" ht="12.75" customHeight="1" x14ac:dyDescent="0.25">
      <c r="A7132" s="4"/>
      <c r="B7132" s="4"/>
      <c r="C7132" s="4"/>
      <c r="D7132" s="4"/>
      <c r="E7132" s="4"/>
      <c r="F7132" s="4"/>
      <c r="G7132" s="4"/>
      <c r="H7132" s="4"/>
      <c r="I7132" s="4"/>
      <c r="J7132" s="4"/>
      <c r="K7132" s="396" t="s">
        <v>444</v>
      </c>
      <c r="L7132" s="273"/>
      <c r="M7132" s="394">
        <f>SUM(M7127:N7131)</f>
        <v>300107.21999999997</v>
      </c>
      <c r="N7132" s="273"/>
    </row>
    <row r="7133" spans="1:14" ht="12.75" customHeight="1" x14ac:dyDescent="0.2"/>
    <row r="7134" spans="1:14" ht="12.75" customHeight="1" x14ac:dyDescent="0.2">
      <c r="A7134" s="407" t="s">
        <v>133</v>
      </c>
      <c r="B7134" s="275"/>
      <c r="C7134" s="275"/>
      <c r="D7134" s="275"/>
      <c r="E7134" s="275"/>
      <c r="F7134" s="275"/>
      <c r="G7134" s="275"/>
      <c r="H7134" s="275"/>
      <c r="I7134" s="275"/>
      <c r="J7134" s="275"/>
      <c r="K7134" s="275"/>
      <c r="L7134" s="275"/>
      <c r="M7134" s="275"/>
      <c r="N7134" s="276"/>
    </row>
    <row r="7135" spans="1:14" ht="12.75" customHeight="1" x14ac:dyDescent="0.2">
      <c r="A7135" s="277"/>
      <c r="B7135" s="278"/>
      <c r="C7135" s="278"/>
      <c r="D7135" s="278"/>
      <c r="E7135" s="278"/>
      <c r="F7135" s="278"/>
      <c r="G7135" s="278"/>
      <c r="H7135" s="278"/>
      <c r="I7135" s="278"/>
      <c r="J7135" s="278"/>
      <c r="K7135" s="278"/>
      <c r="L7135" s="278"/>
      <c r="M7135" s="278"/>
      <c r="N7135" s="279"/>
    </row>
    <row r="7136" spans="1:14" ht="12.75" customHeight="1" x14ac:dyDescent="0.2">
      <c r="A7136" s="75"/>
      <c r="B7136" s="75"/>
      <c r="C7136" s="75"/>
      <c r="D7136" s="75"/>
      <c r="E7136" s="75"/>
      <c r="F7136" s="75"/>
      <c r="G7136" s="75"/>
      <c r="H7136" s="75"/>
      <c r="I7136" s="75"/>
      <c r="J7136" s="75"/>
      <c r="K7136" s="75"/>
      <c r="L7136" s="75"/>
      <c r="M7136" s="75"/>
      <c r="N7136" s="75"/>
    </row>
    <row r="7137" spans="1:14" ht="12.75" customHeight="1" x14ac:dyDescent="0.3">
      <c r="A7137" s="79" t="s">
        <v>778</v>
      </c>
      <c r="B7137" s="80" t="str">
        <f>A7134</f>
        <v>KIT DE INSTALACIÓN DE BOMBA 7.5 HP - CENTRIFUGA</v>
      </c>
      <c r="C7137" s="81" t="s">
        <v>916</v>
      </c>
      <c r="D7137" s="82" t="s">
        <v>999</v>
      </c>
      <c r="E7137" s="83" t="s">
        <v>445</v>
      </c>
      <c r="F7137" s="86">
        <f>H7137+J7137+L7137+N7137</f>
        <v>2968775.4810000001</v>
      </c>
      <c r="G7137" s="83" t="s">
        <v>607</v>
      </c>
      <c r="H7137" s="86">
        <f>M7157</f>
        <v>8777.8610000000008</v>
      </c>
      <c r="I7137" s="83" t="s">
        <v>918</v>
      </c>
      <c r="J7137" s="86">
        <f>M7148</f>
        <v>2651848</v>
      </c>
      <c r="K7137" s="83" t="s">
        <v>609</v>
      </c>
      <c r="L7137" s="86">
        <f>M7166</f>
        <v>132592.4</v>
      </c>
      <c r="M7137" s="83" t="s">
        <v>610</v>
      </c>
      <c r="N7137" s="86">
        <f>M7175</f>
        <v>175557.22</v>
      </c>
    </row>
    <row r="7138" spans="1:14" ht="12.75" customHeight="1" x14ac:dyDescent="0.25">
      <c r="A7138" s="87"/>
      <c r="B7138" s="87"/>
      <c r="C7138" s="87"/>
      <c r="D7138" s="87"/>
      <c r="E7138" s="87"/>
      <c r="F7138" s="87"/>
      <c r="G7138" s="87"/>
      <c r="J7138" s="87"/>
      <c r="K7138" s="215" t="s">
        <v>3217</v>
      </c>
      <c r="L7138" s="215">
        <f>+F7137*presup!$O$5</f>
        <v>3859408.1253000004</v>
      </c>
      <c r="M7138" s="87"/>
      <c r="N7138" s="87"/>
    </row>
    <row r="7139" spans="1:14" ht="12.75" customHeight="1" x14ac:dyDescent="0.2">
      <c r="A7139" s="398" t="s">
        <v>919</v>
      </c>
      <c r="B7139" s="271"/>
      <c r="C7139" s="271"/>
      <c r="D7139" s="271"/>
      <c r="E7139" s="271"/>
      <c r="F7139" s="271"/>
      <c r="G7139" s="271"/>
      <c r="H7139" s="271"/>
      <c r="I7139" s="271"/>
      <c r="J7139" s="271"/>
      <c r="K7139" s="271"/>
      <c r="L7139" s="271"/>
      <c r="M7139" s="271"/>
      <c r="N7139" s="273"/>
    </row>
    <row r="7140" spans="1:14" ht="12.75" customHeight="1" x14ac:dyDescent="0.2">
      <c r="A7140" s="396" t="s">
        <v>76</v>
      </c>
      <c r="B7140" s="271"/>
      <c r="C7140" s="271"/>
      <c r="D7140" s="271"/>
      <c r="E7140" s="271"/>
      <c r="F7140" s="271"/>
      <c r="G7140" s="273"/>
      <c r="H7140" s="88" t="s">
        <v>77</v>
      </c>
      <c r="I7140" s="399" t="s">
        <v>920</v>
      </c>
      <c r="J7140" s="273"/>
      <c r="K7140" s="399" t="s">
        <v>453</v>
      </c>
      <c r="L7140" s="273"/>
      <c r="M7140" s="399" t="s">
        <v>921</v>
      </c>
      <c r="N7140" s="273"/>
    </row>
    <row r="7141" spans="1:14" ht="12.75" customHeight="1" x14ac:dyDescent="0.2">
      <c r="A7141" s="403" t="s">
        <v>1302</v>
      </c>
      <c r="B7141" s="271"/>
      <c r="C7141" s="271"/>
      <c r="D7141" s="271"/>
      <c r="E7141" s="271"/>
      <c r="F7141" s="271"/>
      <c r="G7141" s="273"/>
      <c r="H7141" s="29" t="str">
        <f t="shared" ref="H7141:H7147" si="973">IF(A7141="","",VLOOKUP(A7141,AA_Materiales,7,FALSE))</f>
        <v>Unidad</v>
      </c>
      <c r="I7141" s="394">
        <f t="shared" ref="I7141:I7147" si="974">IF(A7141="","",VLOOKUP(A7141,AA_Materiales,8,FALSE))</f>
        <v>285000</v>
      </c>
      <c r="J7141" s="273"/>
      <c r="K7141" s="395">
        <v>2</v>
      </c>
      <c r="L7141" s="273"/>
      <c r="M7141" s="394">
        <f t="shared" ref="M7141:M7147" si="975">IF(A7141="","",I7141*K7141)</f>
        <v>570000</v>
      </c>
      <c r="N7141" s="273"/>
    </row>
    <row r="7142" spans="1:14" ht="12.75" customHeight="1" x14ac:dyDescent="0.2">
      <c r="A7142" s="403" t="s">
        <v>1083</v>
      </c>
      <c r="B7142" s="271"/>
      <c r="C7142" s="271"/>
      <c r="D7142" s="271"/>
      <c r="E7142" s="271"/>
      <c r="F7142" s="271"/>
      <c r="G7142" s="273"/>
      <c r="H7142" s="29" t="str">
        <f t="shared" si="973"/>
        <v>Unidad</v>
      </c>
      <c r="I7142" s="394">
        <f t="shared" si="974"/>
        <v>231924</v>
      </c>
      <c r="J7142" s="273"/>
      <c r="K7142" s="395">
        <v>2</v>
      </c>
      <c r="L7142" s="273"/>
      <c r="M7142" s="394">
        <f t="shared" si="975"/>
        <v>463848</v>
      </c>
      <c r="N7142" s="273"/>
    </row>
    <row r="7143" spans="1:14" ht="12.75" customHeight="1" x14ac:dyDescent="0.2">
      <c r="A7143" s="403" t="s">
        <v>1081</v>
      </c>
      <c r="B7143" s="271"/>
      <c r="C7143" s="271"/>
      <c r="D7143" s="271"/>
      <c r="E7143" s="271"/>
      <c r="F7143" s="271"/>
      <c r="G7143" s="273"/>
      <c r="H7143" s="29" t="str">
        <f t="shared" si="973"/>
        <v>Unidad</v>
      </c>
      <c r="I7143" s="394">
        <f t="shared" si="974"/>
        <v>1158000</v>
      </c>
      <c r="J7143" s="273"/>
      <c r="K7143" s="395">
        <v>1</v>
      </c>
      <c r="L7143" s="273"/>
      <c r="M7143" s="394">
        <f t="shared" si="975"/>
        <v>1158000</v>
      </c>
      <c r="N7143" s="273"/>
    </row>
    <row r="7144" spans="1:14" ht="12.75" customHeight="1" x14ac:dyDescent="0.2">
      <c r="A7144" s="413" t="str">
        <f>'precios '!C94</f>
        <v xml:space="preserve">Tee Ø4 en hierro ductil  junta rapida </v>
      </c>
      <c r="B7144" s="414"/>
      <c r="C7144" s="414"/>
      <c r="D7144" s="414"/>
      <c r="E7144" s="414"/>
      <c r="F7144" s="414"/>
      <c r="G7144" s="415"/>
      <c r="H7144" s="29" t="str">
        <f t="shared" si="973"/>
        <v>Unidad</v>
      </c>
      <c r="I7144" s="394">
        <f t="shared" si="974"/>
        <v>460000</v>
      </c>
      <c r="J7144" s="273"/>
      <c r="K7144" s="395">
        <v>1</v>
      </c>
      <c r="L7144" s="273"/>
      <c r="M7144" s="394">
        <f t="shared" si="975"/>
        <v>460000</v>
      </c>
      <c r="N7144" s="273"/>
    </row>
    <row r="7145" spans="1:14" ht="12.75" customHeight="1" x14ac:dyDescent="0.2">
      <c r="A7145" s="403"/>
      <c r="B7145" s="271"/>
      <c r="C7145" s="271"/>
      <c r="D7145" s="271"/>
      <c r="E7145" s="271"/>
      <c r="F7145" s="271"/>
      <c r="G7145" s="273"/>
      <c r="H7145" s="29" t="str">
        <f t="shared" si="973"/>
        <v/>
      </c>
      <c r="I7145" s="394" t="str">
        <f t="shared" si="974"/>
        <v/>
      </c>
      <c r="J7145" s="273"/>
      <c r="K7145" s="395"/>
      <c r="L7145" s="273"/>
      <c r="M7145" s="394" t="str">
        <f t="shared" si="975"/>
        <v/>
      </c>
      <c r="N7145" s="273"/>
    </row>
    <row r="7146" spans="1:14" ht="12.75" customHeight="1" x14ac:dyDescent="0.2">
      <c r="A7146" s="403"/>
      <c r="B7146" s="271"/>
      <c r="C7146" s="271"/>
      <c r="D7146" s="271"/>
      <c r="E7146" s="271"/>
      <c r="F7146" s="271"/>
      <c r="G7146" s="273"/>
      <c r="H7146" s="29" t="str">
        <f t="shared" si="973"/>
        <v/>
      </c>
      <c r="I7146" s="394" t="str">
        <f t="shared" si="974"/>
        <v/>
      </c>
      <c r="J7146" s="273"/>
      <c r="K7146" s="395"/>
      <c r="L7146" s="273"/>
      <c r="M7146" s="394" t="str">
        <f t="shared" si="975"/>
        <v/>
      </c>
      <c r="N7146" s="273"/>
    </row>
    <row r="7147" spans="1:14" ht="12.75" customHeight="1" x14ac:dyDescent="0.2">
      <c r="A7147" s="403"/>
      <c r="B7147" s="271"/>
      <c r="C7147" s="271"/>
      <c r="D7147" s="271"/>
      <c r="E7147" s="271"/>
      <c r="F7147" s="271"/>
      <c r="G7147" s="273"/>
      <c r="H7147" s="29" t="str">
        <f t="shared" si="973"/>
        <v/>
      </c>
      <c r="I7147" s="394" t="str">
        <f t="shared" si="974"/>
        <v/>
      </c>
      <c r="J7147" s="273"/>
      <c r="K7147" s="395"/>
      <c r="L7147" s="273"/>
      <c r="M7147" s="394" t="str">
        <f t="shared" si="975"/>
        <v/>
      </c>
      <c r="N7147" s="273"/>
    </row>
    <row r="7148" spans="1:14" ht="12.75" customHeight="1" x14ac:dyDescent="0.25">
      <c r="A7148" s="4"/>
      <c r="B7148" s="4"/>
      <c r="C7148" s="4"/>
      <c r="D7148" s="4"/>
      <c r="E7148" s="4"/>
      <c r="F7148" s="4"/>
      <c r="G7148" s="4"/>
      <c r="H7148" s="4"/>
      <c r="I7148" s="4"/>
      <c r="J7148" s="4"/>
      <c r="K7148" s="396" t="s">
        <v>444</v>
      </c>
      <c r="L7148" s="273"/>
      <c r="M7148" s="394">
        <f>SUM(M7141:N7147)</f>
        <v>2651848</v>
      </c>
      <c r="N7148" s="273"/>
    </row>
    <row r="7149" spans="1:14" ht="12.75" customHeight="1" x14ac:dyDescent="0.25">
      <c r="A7149" s="4"/>
      <c r="B7149" s="4"/>
      <c r="C7149" s="4"/>
      <c r="D7149" s="4"/>
      <c r="E7149" s="4"/>
      <c r="F7149" s="4"/>
      <c r="G7149" s="4"/>
      <c r="H7149" s="4"/>
      <c r="I7149" s="4"/>
      <c r="J7149" s="4"/>
      <c r="K7149" s="4"/>
      <c r="L7149" s="4"/>
      <c r="M7149" s="4"/>
      <c r="N7149" s="4"/>
    </row>
    <row r="7150" spans="1:14" ht="12.75" customHeight="1" x14ac:dyDescent="0.2">
      <c r="A7150" s="398" t="s">
        <v>926</v>
      </c>
      <c r="B7150" s="271"/>
      <c r="C7150" s="271"/>
      <c r="D7150" s="271"/>
      <c r="E7150" s="271"/>
      <c r="F7150" s="271"/>
      <c r="G7150" s="271"/>
      <c r="H7150" s="271"/>
      <c r="I7150" s="271"/>
      <c r="J7150" s="271"/>
      <c r="K7150" s="271"/>
      <c r="L7150" s="271"/>
      <c r="M7150" s="271"/>
      <c r="N7150" s="273"/>
    </row>
    <row r="7151" spans="1:14" ht="12.75" customHeight="1" x14ac:dyDescent="0.2">
      <c r="A7151" s="396" t="s">
        <v>76</v>
      </c>
      <c r="B7151" s="271"/>
      <c r="C7151" s="271"/>
      <c r="D7151" s="271"/>
      <c r="E7151" s="271"/>
      <c r="F7151" s="271"/>
      <c r="G7151" s="273"/>
      <c r="H7151" s="88" t="s">
        <v>77</v>
      </c>
      <c r="I7151" s="399" t="s">
        <v>920</v>
      </c>
      <c r="J7151" s="273"/>
      <c r="K7151" s="399" t="s">
        <v>453</v>
      </c>
      <c r="L7151" s="273"/>
      <c r="M7151" s="399" t="s">
        <v>921</v>
      </c>
      <c r="N7151" s="273"/>
    </row>
    <row r="7152" spans="1:14" ht="12.75" customHeight="1" x14ac:dyDescent="0.2">
      <c r="A7152" s="400" t="s">
        <v>927</v>
      </c>
      <c r="B7152" s="271"/>
      <c r="C7152" s="271"/>
      <c r="D7152" s="271"/>
      <c r="E7152" s="271"/>
      <c r="F7152" s="271"/>
      <c r="G7152" s="273"/>
      <c r="H7152" s="29" t="str">
        <f>IF(A7152="","",VLOOKUP(A7152,AA_Equipos,7,FALSE))</f>
        <v>% M.O.</v>
      </c>
      <c r="I7152" s="394">
        <f>+M7175</f>
        <v>175557.22</v>
      </c>
      <c r="J7152" s="273"/>
      <c r="K7152" s="404">
        <v>0.05</v>
      </c>
      <c r="L7152" s="273"/>
      <c r="M7152" s="394">
        <f t="shared" ref="M7152:M7156" si="976">IF(A7152="","",I7152*K7152)</f>
        <v>8777.8610000000008</v>
      </c>
      <c r="N7152" s="273"/>
    </row>
    <row r="7153" spans="1:14" ht="12.75" customHeight="1" x14ac:dyDescent="0.2">
      <c r="A7153" s="403"/>
      <c r="B7153" s="271"/>
      <c r="C7153" s="271"/>
      <c r="D7153" s="271"/>
      <c r="E7153" s="271"/>
      <c r="F7153" s="271"/>
      <c r="G7153" s="273"/>
      <c r="H7153" s="29" t="str">
        <f>IF(A7153="","",VLOOKUP(A7153,AA_Equipos,7,FALSE))</f>
        <v/>
      </c>
      <c r="I7153" s="394" t="str">
        <f>IF(A7153="","",VLOOKUP(A7153,AA_Equipos,8,FALSE))</f>
        <v/>
      </c>
      <c r="J7153" s="273"/>
      <c r="K7153" s="402"/>
      <c r="L7153" s="273"/>
      <c r="M7153" s="394" t="str">
        <f t="shared" si="976"/>
        <v/>
      </c>
      <c r="N7153" s="273"/>
    </row>
    <row r="7154" spans="1:14" ht="12.75" customHeight="1" x14ac:dyDescent="0.2">
      <c r="A7154" s="400"/>
      <c r="B7154" s="271"/>
      <c r="C7154" s="271"/>
      <c r="D7154" s="271"/>
      <c r="E7154" s="271"/>
      <c r="F7154" s="271"/>
      <c r="G7154" s="273"/>
      <c r="H7154" s="29" t="str">
        <f>IF(A7154="","",VLOOKUP(A7154,AA_Equipos,7,FALSE))</f>
        <v/>
      </c>
      <c r="I7154" s="394" t="str">
        <f>IF(A7154="","",VLOOKUP(A7154,AA_Equipos,8,FALSE))</f>
        <v/>
      </c>
      <c r="J7154" s="273"/>
      <c r="K7154" s="401"/>
      <c r="L7154" s="273"/>
      <c r="M7154" s="394" t="str">
        <f t="shared" si="976"/>
        <v/>
      </c>
      <c r="N7154" s="273"/>
    </row>
    <row r="7155" spans="1:14" ht="12.75" customHeight="1" x14ac:dyDescent="0.2">
      <c r="A7155" s="400"/>
      <c r="B7155" s="271"/>
      <c r="C7155" s="271"/>
      <c r="D7155" s="271"/>
      <c r="E7155" s="271"/>
      <c r="F7155" s="271"/>
      <c r="G7155" s="273"/>
      <c r="H7155" s="29" t="str">
        <f>IF(A7155="","",VLOOKUP(A7155,AA_Equipos,7,FALSE))</f>
        <v/>
      </c>
      <c r="I7155" s="394" t="str">
        <f>IF(A7155="","",VLOOKUP(A7155,AA_Equipos,8,FALSE))</f>
        <v/>
      </c>
      <c r="J7155" s="273"/>
      <c r="K7155" s="395"/>
      <c r="L7155" s="273"/>
      <c r="M7155" s="394" t="str">
        <f t="shared" si="976"/>
        <v/>
      </c>
      <c r="N7155" s="273"/>
    </row>
    <row r="7156" spans="1:14" ht="12.75" customHeight="1" x14ac:dyDescent="0.2">
      <c r="A7156" s="400"/>
      <c r="B7156" s="271"/>
      <c r="C7156" s="271"/>
      <c r="D7156" s="271"/>
      <c r="E7156" s="271"/>
      <c r="F7156" s="271"/>
      <c r="G7156" s="273"/>
      <c r="H7156" s="29" t="str">
        <f>IF(A7156="","",VLOOKUP(A7156,AA_Equipos,7,FALSE))</f>
        <v/>
      </c>
      <c r="I7156" s="394" t="str">
        <f>IF(A7156="","",VLOOKUP(A7156,AA_Equipos,8,FALSE))</f>
        <v/>
      </c>
      <c r="J7156" s="273"/>
      <c r="K7156" s="395"/>
      <c r="L7156" s="273"/>
      <c r="M7156" s="394" t="str">
        <f t="shared" si="976"/>
        <v/>
      </c>
      <c r="N7156" s="273"/>
    </row>
    <row r="7157" spans="1:14" ht="12.75" customHeight="1" x14ac:dyDescent="0.25">
      <c r="A7157" s="4"/>
      <c r="B7157" s="4"/>
      <c r="C7157" s="4"/>
      <c r="D7157" s="4"/>
      <c r="E7157" s="4"/>
      <c r="F7157" s="4"/>
      <c r="G7157" s="4"/>
      <c r="H7157" s="4"/>
      <c r="I7157" s="4"/>
      <c r="J7157" s="4"/>
      <c r="K7157" s="396" t="s">
        <v>444</v>
      </c>
      <c r="L7157" s="273"/>
      <c r="M7157" s="394">
        <f>SUM(M7152:N7156)</f>
        <v>8777.8610000000008</v>
      </c>
      <c r="N7157" s="273"/>
    </row>
    <row r="7158" spans="1:14" ht="12.75" customHeight="1" x14ac:dyDescent="0.25">
      <c r="A7158" s="4"/>
      <c r="B7158" s="4"/>
      <c r="C7158" s="4"/>
      <c r="D7158" s="4"/>
      <c r="E7158" s="4"/>
      <c r="F7158" s="4"/>
      <c r="G7158" s="4"/>
      <c r="H7158" s="4"/>
      <c r="I7158" s="4"/>
      <c r="J7158" s="4"/>
      <c r="K7158" s="4"/>
      <c r="L7158" s="4"/>
      <c r="M7158" s="4"/>
      <c r="N7158" s="4"/>
    </row>
    <row r="7159" spans="1:14" ht="12.75" customHeight="1" x14ac:dyDescent="0.2">
      <c r="A7159" s="398" t="s">
        <v>929</v>
      </c>
      <c r="B7159" s="271"/>
      <c r="C7159" s="271"/>
      <c r="D7159" s="271"/>
      <c r="E7159" s="271"/>
      <c r="F7159" s="271"/>
      <c r="G7159" s="271"/>
      <c r="H7159" s="271"/>
      <c r="I7159" s="271"/>
      <c r="J7159" s="271"/>
      <c r="K7159" s="271"/>
      <c r="L7159" s="271"/>
      <c r="M7159" s="271"/>
      <c r="N7159" s="273"/>
    </row>
    <row r="7160" spans="1:14" ht="12.75" customHeight="1" x14ac:dyDescent="0.2">
      <c r="A7160" s="396" t="s">
        <v>76</v>
      </c>
      <c r="B7160" s="271"/>
      <c r="C7160" s="271"/>
      <c r="D7160" s="271"/>
      <c r="E7160" s="271"/>
      <c r="F7160" s="271"/>
      <c r="G7160" s="273"/>
      <c r="H7160" s="88" t="s">
        <v>77</v>
      </c>
      <c r="I7160" s="399" t="s">
        <v>920</v>
      </c>
      <c r="J7160" s="273"/>
      <c r="K7160" s="399" t="s">
        <v>453</v>
      </c>
      <c r="L7160" s="273"/>
      <c r="M7160" s="399" t="s">
        <v>921</v>
      </c>
      <c r="N7160" s="273"/>
    </row>
    <row r="7161" spans="1:14" ht="12.75" customHeight="1" x14ac:dyDescent="0.2">
      <c r="A7161" s="400" t="s">
        <v>960</v>
      </c>
      <c r="B7161" s="271"/>
      <c r="C7161" s="271"/>
      <c r="D7161" s="271"/>
      <c r="E7161" s="271"/>
      <c r="F7161" s="271"/>
      <c r="G7161" s="273"/>
      <c r="H7161" s="29" t="s">
        <v>950</v>
      </c>
      <c r="I7161" s="394">
        <f>+M7148</f>
        <v>2651848</v>
      </c>
      <c r="J7161" s="273"/>
      <c r="K7161" s="404">
        <v>0.05</v>
      </c>
      <c r="L7161" s="273"/>
      <c r="M7161" s="394">
        <f t="shared" ref="M7161:M7165" si="977">IF(A7161="","",I7161*K7161)</f>
        <v>132592.4</v>
      </c>
      <c r="N7161" s="273"/>
    </row>
    <row r="7162" spans="1:14" ht="12.75" customHeight="1" x14ac:dyDescent="0.2">
      <c r="A7162" s="403"/>
      <c r="B7162" s="271"/>
      <c r="C7162" s="271"/>
      <c r="D7162" s="271"/>
      <c r="E7162" s="271"/>
      <c r="F7162" s="271"/>
      <c r="G7162" s="273"/>
      <c r="H7162" s="29"/>
      <c r="I7162" s="394"/>
      <c r="J7162" s="273"/>
      <c r="K7162" s="404"/>
      <c r="L7162" s="273"/>
      <c r="M7162" s="394" t="str">
        <f t="shared" si="977"/>
        <v/>
      </c>
      <c r="N7162" s="273"/>
    </row>
    <row r="7163" spans="1:14" ht="12.75" customHeight="1" x14ac:dyDescent="0.2">
      <c r="A7163" s="400"/>
      <c r="B7163" s="271"/>
      <c r="C7163" s="271"/>
      <c r="D7163" s="271"/>
      <c r="E7163" s="271"/>
      <c r="F7163" s="271"/>
      <c r="G7163" s="273"/>
      <c r="H7163" s="29"/>
      <c r="I7163" s="394"/>
      <c r="J7163" s="273"/>
      <c r="K7163" s="395"/>
      <c r="L7163" s="273"/>
      <c r="M7163" s="394" t="str">
        <f t="shared" si="977"/>
        <v/>
      </c>
      <c r="N7163" s="273"/>
    </row>
    <row r="7164" spans="1:14" ht="12.75" customHeight="1" x14ac:dyDescent="0.2">
      <c r="A7164" s="400"/>
      <c r="B7164" s="271"/>
      <c r="C7164" s="271"/>
      <c r="D7164" s="271"/>
      <c r="E7164" s="271"/>
      <c r="F7164" s="271"/>
      <c r="G7164" s="273"/>
      <c r="H7164" s="29"/>
      <c r="I7164" s="394"/>
      <c r="J7164" s="273"/>
      <c r="K7164" s="395"/>
      <c r="L7164" s="273"/>
      <c r="M7164" s="394" t="str">
        <f t="shared" si="977"/>
        <v/>
      </c>
      <c r="N7164" s="273"/>
    </row>
    <row r="7165" spans="1:14" ht="12.75" customHeight="1" x14ac:dyDescent="0.2">
      <c r="A7165" s="400"/>
      <c r="B7165" s="271"/>
      <c r="C7165" s="271"/>
      <c r="D7165" s="271"/>
      <c r="E7165" s="271"/>
      <c r="F7165" s="271"/>
      <c r="G7165" s="273"/>
      <c r="H7165" s="29"/>
      <c r="I7165" s="394"/>
      <c r="J7165" s="273"/>
      <c r="K7165" s="395"/>
      <c r="L7165" s="273"/>
      <c r="M7165" s="394" t="str">
        <f t="shared" si="977"/>
        <v/>
      </c>
      <c r="N7165" s="273"/>
    </row>
    <row r="7166" spans="1:14" ht="12.75" customHeight="1" x14ac:dyDescent="0.25">
      <c r="A7166" s="4"/>
      <c r="B7166" s="4"/>
      <c r="C7166" s="4"/>
      <c r="D7166" s="4"/>
      <c r="E7166" s="4"/>
      <c r="F7166" s="4"/>
      <c r="G7166" s="4"/>
      <c r="H7166" s="4"/>
      <c r="I7166" s="4"/>
      <c r="J7166" s="4"/>
      <c r="K7166" s="396" t="s">
        <v>444</v>
      </c>
      <c r="L7166" s="273"/>
      <c r="M7166" s="394">
        <f>SUM(M7161:N7165)</f>
        <v>132592.4</v>
      </c>
      <c r="N7166" s="273"/>
    </row>
    <row r="7167" spans="1:14" ht="12.75" customHeight="1" x14ac:dyDescent="0.25">
      <c r="A7167" s="4"/>
      <c r="B7167" s="4"/>
      <c r="C7167" s="4"/>
      <c r="D7167" s="4"/>
      <c r="E7167" s="4"/>
      <c r="F7167" s="4"/>
      <c r="G7167" s="4"/>
      <c r="H7167" s="4"/>
      <c r="I7167" s="4"/>
      <c r="J7167" s="4"/>
      <c r="K7167" s="4"/>
      <c r="L7167" s="4"/>
      <c r="M7167" s="4"/>
      <c r="N7167" s="4"/>
    </row>
    <row r="7168" spans="1:14" ht="12.75" customHeight="1" x14ac:dyDescent="0.2">
      <c r="A7168" s="398" t="s">
        <v>931</v>
      </c>
      <c r="B7168" s="271"/>
      <c r="C7168" s="271"/>
      <c r="D7168" s="271"/>
      <c r="E7168" s="271"/>
      <c r="F7168" s="271"/>
      <c r="G7168" s="271"/>
      <c r="H7168" s="271"/>
      <c r="I7168" s="271"/>
      <c r="J7168" s="271"/>
      <c r="K7168" s="271"/>
      <c r="L7168" s="271"/>
      <c r="M7168" s="271"/>
      <c r="N7168" s="273"/>
    </row>
    <row r="7169" spans="1:15" ht="12.75" customHeight="1" x14ac:dyDescent="0.2">
      <c r="A7169" s="396" t="s">
        <v>76</v>
      </c>
      <c r="B7169" s="271"/>
      <c r="C7169" s="271"/>
      <c r="D7169" s="271"/>
      <c r="E7169" s="271"/>
      <c r="F7169" s="271"/>
      <c r="G7169" s="273"/>
      <c r="H7169" s="88" t="s">
        <v>77</v>
      </c>
      <c r="I7169" s="399" t="s">
        <v>920</v>
      </c>
      <c r="J7169" s="273"/>
      <c r="K7169" s="90" t="s">
        <v>514</v>
      </c>
      <c r="L7169" s="91" t="s">
        <v>932</v>
      </c>
      <c r="M7169" s="399" t="s">
        <v>921</v>
      </c>
      <c r="N7169" s="273"/>
    </row>
    <row r="7170" spans="1:15" ht="12.75" customHeight="1" x14ac:dyDescent="0.25">
      <c r="A7170" s="393" t="s">
        <v>986</v>
      </c>
      <c r="B7170" s="271"/>
      <c r="C7170" s="271"/>
      <c r="D7170" s="271"/>
      <c r="E7170" s="271"/>
      <c r="F7170" s="271"/>
      <c r="G7170" s="273"/>
      <c r="H7170" s="29" t="str">
        <f>IF(A7170="","",VLOOKUP(A7170,AA_Cuadrillas,4,FALSE))</f>
        <v>Cuadrilla</v>
      </c>
      <c r="I7170" s="394">
        <f>IF(A7170="","",VLOOKUP(A7170,AA_Cuadrillas,5,FALSE))</f>
        <v>186763</v>
      </c>
      <c r="J7170" s="273"/>
      <c r="K7170" s="9">
        <f>IF(A7170="","",F.P!$I$2)</f>
        <v>1.88</v>
      </c>
      <c r="L7170" s="97">
        <v>0.5</v>
      </c>
      <c r="M7170" s="394">
        <f t="shared" ref="M7170:M7174" si="978">IF(A7170="","",I7170*K7170*L7170)</f>
        <v>175557.22</v>
      </c>
      <c r="N7170" s="273"/>
    </row>
    <row r="7171" spans="1:15" ht="12.75" customHeight="1" x14ac:dyDescent="0.25">
      <c r="A7171" s="393"/>
      <c r="B7171" s="271"/>
      <c r="C7171" s="271"/>
      <c r="D7171" s="271"/>
      <c r="E7171" s="271"/>
      <c r="F7171" s="271"/>
      <c r="G7171" s="273"/>
      <c r="H7171" s="29" t="str">
        <f>IF(A7171="","",VLOOKUP(A7171,AA_Cuadrillas,4,FALSE))</f>
        <v/>
      </c>
      <c r="I7171" s="394" t="str">
        <f>IF(A7171="","",VLOOKUP(A7171,AA_Cuadrillas,5,FALSE))</f>
        <v/>
      </c>
      <c r="J7171" s="273"/>
      <c r="K7171" s="9" t="str">
        <f>IF(A7171="","",F.P!$I$2)</f>
        <v/>
      </c>
      <c r="L7171" s="9"/>
      <c r="M7171" s="394" t="str">
        <f t="shared" si="978"/>
        <v/>
      </c>
      <c r="N7171" s="273"/>
    </row>
    <row r="7172" spans="1:15" ht="12.75" customHeight="1" x14ac:dyDescent="0.25">
      <c r="A7172" s="393"/>
      <c r="B7172" s="271"/>
      <c r="C7172" s="271"/>
      <c r="D7172" s="271"/>
      <c r="E7172" s="271"/>
      <c r="F7172" s="271"/>
      <c r="G7172" s="273"/>
      <c r="H7172" s="29" t="str">
        <f>IF(A7172="","",VLOOKUP(A7172,AA_Cuadrillas,4,FALSE))</f>
        <v/>
      </c>
      <c r="I7172" s="394" t="str">
        <f>IF(A7172="","",VLOOKUP(A7172,AA_Cuadrillas,5,FALSE))</f>
        <v/>
      </c>
      <c r="J7172" s="273"/>
      <c r="K7172" s="9" t="str">
        <f>IF(A7172="","",F.P!$I$2)</f>
        <v/>
      </c>
      <c r="L7172" s="37"/>
      <c r="M7172" s="394" t="str">
        <f t="shared" si="978"/>
        <v/>
      </c>
      <c r="N7172" s="273"/>
    </row>
    <row r="7173" spans="1:15" ht="12.75" customHeight="1" x14ac:dyDescent="0.25">
      <c r="A7173" s="393"/>
      <c r="B7173" s="271"/>
      <c r="C7173" s="271"/>
      <c r="D7173" s="271"/>
      <c r="E7173" s="271"/>
      <c r="F7173" s="271"/>
      <c r="G7173" s="273"/>
      <c r="H7173" s="29" t="str">
        <f>IF(A7173="","",VLOOKUP(A7173,AA_Cuadrillas,4,FALSE))</f>
        <v/>
      </c>
      <c r="I7173" s="394" t="str">
        <f>IF(A7173="","",VLOOKUP(A7173,AA_Cuadrillas,5,FALSE))</f>
        <v/>
      </c>
      <c r="J7173" s="273"/>
      <c r="K7173" s="9" t="str">
        <f>IF(A7173="","",F.P!$I$2)</f>
        <v/>
      </c>
      <c r="L7173" s="37"/>
      <c r="M7173" s="394" t="str">
        <f t="shared" si="978"/>
        <v/>
      </c>
      <c r="N7173" s="273"/>
    </row>
    <row r="7174" spans="1:15" ht="12.75" customHeight="1" x14ac:dyDescent="0.25">
      <c r="A7174" s="393"/>
      <c r="B7174" s="271"/>
      <c r="C7174" s="271"/>
      <c r="D7174" s="271"/>
      <c r="E7174" s="271"/>
      <c r="F7174" s="271"/>
      <c r="G7174" s="273"/>
      <c r="H7174" s="29" t="str">
        <f>IF(A7174="","",VLOOKUP(A7174,AA_Cuadrillas,4,FALSE))</f>
        <v/>
      </c>
      <c r="I7174" s="394" t="str">
        <f>IF(A7174="","",VLOOKUP(A7174,AA_Cuadrillas,5,FALSE))</f>
        <v/>
      </c>
      <c r="J7174" s="273"/>
      <c r="K7174" s="9" t="str">
        <f>IF(A7174="","",F.P!$I$2)</f>
        <v/>
      </c>
      <c r="L7174" s="37"/>
      <c r="M7174" s="394" t="str">
        <f t="shared" si="978"/>
        <v/>
      </c>
      <c r="N7174" s="273"/>
    </row>
    <row r="7175" spans="1:15" ht="12.75" customHeight="1" x14ac:dyDescent="0.25">
      <c r="A7175" s="4"/>
      <c r="B7175" s="4"/>
      <c r="C7175" s="4"/>
      <c r="D7175" s="4"/>
      <c r="E7175" s="4"/>
      <c r="F7175" s="4"/>
      <c r="G7175" s="4"/>
      <c r="H7175" s="4"/>
      <c r="I7175" s="4"/>
      <c r="J7175" s="4"/>
      <c r="K7175" s="396" t="s">
        <v>444</v>
      </c>
      <c r="L7175" s="273"/>
      <c r="M7175" s="394">
        <f>SUM(M7170:N7174)</f>
        <v>175557.22</v>
      </c>
      <c r="N7175" s="273"/>
    </row>
    <row r="7176" spans="1:15" ht="12.75" customHeight="1" x14ac:dyDescent="0.2"/>
    <row r="7177" spans="1:15" ht="12.75" customHeight="1" x14ac:dyDescent="0.2">
      <c r="A7177" s="407" t="s">
        <v>135</v>
      </c>
      <c r="B7177" s="275"/>
      <c r="C7177" s="275"/>
      <c r="D7177" s="275"/>
      <c r="E7177" s="275"/>
      <c r="F7177" s="275"/>
      <c r="G7177" s="275"/>
      <c r="H7177" s="275"/>
      <c r="I7177" s="275"/>
      <c r="J7177" s="275"/>
      <c r="K7177" s="275"/>
      <c r="L7177" s="275"/>
      <c r="M7177" s="275"/>
      <c r="N7177" s="276"/>
      <c r="O7177" s="166"/>
    </row>
    <row r="7178" spans="1:15" ht="12.75" customHeight="1" x14ac:dyDescent="0.2">
      <c r="A7178" s="277"/>
      <c r="B7178" s="278"/>
      <c r="C7178" s="278"/>
      <c r="D7178" s="278"/>
      <c r="E7178" s="278"/>
      <c r="F7178" s="278"/>
      <c r="G7178" s="278"/>
      <c r="H7178" s="278"/>
      <c r="I7178" s="278"/>
      <c r="J7178" s="278"/>
      <c r="K7178" s="278"/>
      <c r="L7178" s="278"/>
      <c r="M7178" s="278"/>
      <c r="N7178" s="279"/>
      <c r="O7178" s="166"/>
    </row>
    <row r="7179" spans="1:15" ht="12.75" customHeight="1" x14ac:dyDescent="0.2">
      <c r="A7179" s="75"/>
      <c r="B7179" s="75"/>
      <c r="C7179" s="75"/>
      <c r="D7179" s="75"/>
      <c r="E7179" s="75"/>
      <c r="F7179" s="75"/>
      <c r="G7179" s="75"/>
      <c r="H7179" s="75"/>
      <c r="I7179" s="75"/>
      <c r="J7179" s="75"/>
      <c r="K7179" s="75"/>
      <c r="L7179" s="75"/>
      <c r="M7179" s="75"/>
      <c r="N7179" s="75"/>
    </row>
    <row r="7180" spans="1:15" ht="12.75" customHeight="1" x14ac:dyDescent="0.3">
      <c r="A7180" s="79" t="s">
        <v>779</v>
      </c>
      <c r="B7180" s="80" t="str">
        <f>A7177</f>
        <v>KIT DE INSTALACIÓN DE BOMBA 20 HP - CENTRIFUGA</v>
      </c>
      <c r="C7180" s="81" t="s">
        <v>916</v>
      </c>
      <c r="D7180" s="82" t="s">
        <v>999</v>
      </c>
      <c r="E7180" s="83" t="s">
        <v>445</v>
      </c>
      <c r="F7180" s="234">
        <f>(H7180+J7180+L7180+N7180)*1.3</f>
        <v>3470953.6862650006</v>
      </c>
      <c r="G7180" s="83" t="s">
        <v>607</v>
      </c>
      <c r="H7180" s="86">
        <f>M7200</f>
        <v>8777.8610000000008</v>
      </c>
      <c r="I7180" s="83" t="s">
        <v>918</v>
      </c>
      <c r="J7180" s="86">
        <f>M7191</f>
        <v>2366848</v>
      </c>
      <c r="K7180" s="83" t="s">
        <v>609</v>
      </c>
      <c r="L7180" s="86">
        <f>M7209</f>
        <v>118781.29305000001</v>
      </c>
      <c r="M7180" s="83" t="s">
        <v>610</v>
      </c>
      <c r="N7180" s="86">
        <f>M7218</f>
        <v>175557.22</v>
      </c>
    </row>
    <row r="7181" spans="1:15" ht="12.75" customHeight="1" x14ac:dyDescent="0.25">
      <c r="A7181" s="87"/>
      <c r="B7181" s="87"/>
      <c r="C7181" s="87"/>
      <c r="D7181" s="87"/>
      <c r="E7181" s="87"/>
      <c r="F7181" s="87"/>
      <c r="G7181" s="87"/>
      <c r="J7181" s="87"/>
      <c r="K7181" s="215" t="s">
        <v>3217</v>
      </c>
      <c r="L7181" s="215"/>
      <c r="M7181" s="87"/>
      <c r="N7181" s="87"/>
    </row>
    <row r="7182" spans="1:15" ht="12.75" customHeight="1" x14ac:dyDescent="0.2">
      <c r="A7182" s="398" t="s">
        <v>919</v>
      </c>
      <c r="B7182" s="271"/>
      <c r="C7182" s="271"/>
      <c r="D7182" s="271"/>
      <c r="E7182" s="271"/>
      <c r="F7182" s="271"/>
      <c r="G7182" s="271"/>
      <c r="H7182" s="271"/>
      <c r="I7182" s="271"/>
      <c r="J7182" s="271"/>
      <c r="K7182" s="271"/>
      <c r="L7182" s="271"/>
      <c r="M7182" s="271"/>
      <c r="N7182" s="273"/>
    </row>
    <row r="7183" spans="1:15" ht="12.75" customHeight="1" x14ac:dyDescent="0.2">
      <c r="A7183" s="396" t="s">
        <v>76</v>
      </c>
      <c r="B7183" s="271"/>
      <c r="C7183" s="271"/>
      <c r="D7183" s="271"/>
      <c r="E7183" s="271"/>
      <c r="F7183" s="271"/>
      <c r="G7183" s="273"/>
      <c r="H7183" s="88" t="s">
        <v>77</v>
      </c>
      <c r="I7183" s="399" t="s">
        <v>920</v>
      </c>
      <c r="J7183" s="273"/>
      <c r="K7183" s="399" t="s">
        <v>453</v>
      </c>
      <c r="L7183" s="273"/>
      <c r="M7183" s="399" t="s">
        <v>921</v>
      </c>
      <c r="N7183" s="273"/>
    </row>
    <row r="7184" spans="1:15" ht="12.75" customHeight="1" x14ac:dyDescent="0.2">
      <c r="A7184" s="403" t="s">
        <v>1302</v>
      </c>
      <c r="B7184" s="271"/>
      <c r="C7184" s="271"/>
      <c r="D7184" s="271"/>
      <c r="E7184" s="271"/>
      <c r="F7184" s="271"/>
      <c r="G7184" s="273"/>
      <c r="H7184" s="29" t="str">
        <f t="shared" ref="H7184:H7190" si="979">IF(A7184="","",VLOOKUP(A7184,AA_Materiales,7,FALSE))</f>
        <v>Unidad</v>
      </c>
      <c r="I7184" s="394">
        <f t="shared" ref="I7184:I7190" si="980">IF(A7184="","",VLOOKUP(A7184,AA_Materiales,8,FALSE))</f>
        <v>285000</v>
      </c>
      <c r="J7184" s="273"/>
      <c r="K7184" s="395">
        <v>1</v>
      </c>
      <c r="L7184" s="273"/>
      <c r="M7184" s="394">
        <f t="shared" ref="M7184:M7190" si="981">IF(A7184="","",I7184*K7184)</f>
        <v>285000</v>
      </c>
      <c r="N7184" s="273"/>
    </row>
    <row r="7185" spans="1:14" ht="12.75" customHeight="1" x14ac:dyDescent="0.2">
      <c r="A7185" s="403" t="s">
        <v>1083</v>
      </c>
      <c r="B7185" s="271"/>
      <c r="C7185" s="271"/>
      <c r="D7185" s="271"/>
      <c r="E7185" s="271"/>
      <c r="F7185" s="271"/>
      <c r="G7185" s="273"/>
      <c r="H7185" s="29" t="str">
        <f t="shared" si="979"/>
        <v>Unidad</v>
      </c>
      <c r="I7185" s="394">
        <f t="shared" si="980"/>
        <v>231924</v>
      </c>
      <c r="J7185" s="273"/>
      <c r="K7185" s="395">
        <v>2</v>
      </c>
      <c r="L7185" s="273"/>
      <c r="M7185" s="394">
        <f t="shared" si="981"/>
        <v>463848</v>
      </c>
      <c r="N7185" s="273"/>
    </row>
    <row r="7186" spans="1:14" ht="12.75" customHeight="1" x14ac:dyDescent="0.2">
      <c r="A7186" s="403" t="s">
        <v>1081</v>
      </c>
      <c r="B7186" s="271"/>
      <c r="C7186" s="271"/>
      <c r="D7186" s="271"/>
      <c r="E7186" s="271"/>
      <c r="F7186" s="271"/>
      <c r="G7186" s="273"/>
      <c r="H7186" s="29" t="str">
        <f t="shared" si="979"/>
        <v>Unidad</v>
      </c>
      <c r="I7186" s="412">
        <f t="shared" si="980"/>
        <v>1158000</v>
      </c>
      <c r="J7186" s="361"/>
      <c r="K7186" s="395">
        <v>1</v>
      </c>
      <c r="L7186" s="273"/>
      <c r="M7186" s="394">
        <f t="shared" si="981"/>
        <v>1158000</v>
      </c>
      <c r="N7186" s="273"/>
    </row>
    <row r="7187" spans="1:14" ht="12.75" customHeight="1" x14ac:dyDescent="0.2">
      <c r="A7187" s="413" t="str">
        <f>'precios '!C94</f>
        <v xml:space="preserve">Tee Ø4 en hierro ductil  junta rapida </v>
      </c>
      <c r="B7187" s="414"/>
      <c r="C7187" s="414"/>
      <c r="D7187" s="414"/>
      <c r="E7187" s="414"/>
      <c r="F7187" s="414"/>
      <c r="G7187" s="415"/>
      <c r="H7187" s="29" t="str">
        <f t="shared" si="979"/>
        <v>Unidad</v>
      </c>
      <c r="I7187" s="412">
        <f t="shared" si="980"/>
        <v>460000</v>
      </c>
      <c r="J7187" s="361"/>
      <c r="K7187" s="395">
        <v>1</v>
      </c>
      <c r="L7187" s="273"/>
      <c r="M7187" s="394">
        <f t="shared" si="981"/>
        <v>460000</v>
      </c>
      <c r="N7187" s="273"/>
    </row>
    <row r="7188" spans="1:14" ht="12.75" customHeight="1" x14ac:dyDescent="0.2">
      <c r="A7188" s="403"/>
      <c r="B7188" s="271"/>
      <c r="C7188" s="271"/>
      <c r="D7188" s="271"/>
      <c r="E7188" s="271"/>
      <c r="F7188" s="271"/>
      <c r="G7188" s="273"/>
      <c r="H7188" s="29" t="str">
        <f t="shared" si="979"/>
        <v/>
      </c>
      <c r="I7188" s="394" t="str">
        <f t="shared" si="980"/>
        <v/>
      </c>
      <c r="J7188" s="273"/>
      <c r="K7188" s="395"/>
      <c r="L7188" s="273"/>
      <c r="M7188" s="394" t="str">
        <f t="shared" si="981"/>
        <v/>
      </c>
      <c r="N7188" s="273"/>
    </row>
    <row r="7189" spans="1:14" ht="12.75" customHeight="1" x14ac:dyDescent="0.2">
      <c r="A7189" s="403"/>
      <c r="B7189" s="271"/>
      <c r="C7189" s="271"/>
      <c r="D7189" s="271"/>
      <c r="E7189" s="271"/>
      <c r="F7189" s="271"/>
      <c r="G7189" s="273"/>
      <c r="H7189" s="29" t="str">
        <f t="shared" si="979"/>
        <v/>
      </c>
      <c r="I7189" s="394" t="str">
        <f t="shared" si="980"/>
        <v/>
      </c>
      <c r="J7189" s="273"/>
      <c r="K7189" s="395"/>
      <c r="L7189" s="273"/>
      <c r="M7189" s="394" t="str">
        <f t="shared" si="981"/>
        <v/>
      </c>
      <c r="N7189" s="273"/>
    </row>
    <row r="7190" spans="1:14" ht="12.75" customHeight="1" x14ac:dyDescent="0.2">
      <c r="A7190" s="403"/>
      <c r="B7190" s="271"/>
      <c r="C7190" s="271"/>
      <c r="D7190" s="271"/>
      <c r="E7190" s="271"/>
      <c r="F7190" s="271"/>
      <c r="G7190" s="273"/>
      <c r="H7190" s="29" t="str">
        <f t="shared" si="979"/>
        <v/>
      </c>
      <c r="I7190" s="394" t="str">
        <f t="shared" si="980"/>
        <v/>
      </c>
      <c r="J7190" s="273"/>
      <c r="K7190" s="395"/>
      <c r="L7190" s="273"/>
      <c r="M7190" s="394" t="str">
        <f t="shared" si="981"/>
        <v/>
      </c>
      <c r="N7190" s="273"/>
    </row>
    <row r="7191" spans="1:14" ht="12.75" customHeight="1" x14ac:dyDescent="0.25">
      <c r="A7191" s="4"/>
      <c r="B7191" s="4"/>
      <c r="C7191" s="4"/>
      <c r="D7191" s="4"/>
      <c r="E7191" s="4"/>
      <c r="F7191" s="4"/>
      <c r="G7191" s="4"/>
      <c r="H7191" s="4"/>
      <c r="I7191" s="4"/>
      <c r="J7191" s="4"/>
      <c r="K7191" s="396" t="s">
        <v>444</v>
      </c>
      <c r="L7191" s="273"/>
      <c r="M7191" s="394">
        <f>SUM(M7184:N7190)</f>
        <v>2366848</v>
      </c>
      <c r="N7191" s="273"/>
    </row>
    <row r="7192" spans="1:14" ht="12.75" customHeight="1" x14ac:dyDescent="0.25">
      <c r="A7192" s="4"/>
      <c r="B7192" s="4"/>
      <c r="C7192" s="4"/>
      <c r="D7192" s="4"/>
      <c r="E7192" s="4"/>
      <c r="F7192" s="4"/>
      <c r="G7192" s="4"/>
      <c r="H7192" s="4"/>
      <c r="I7192" s="4"/>
      <c r="J7192" s="4"/>
      <c r="K7192" s="4"/>
      <c r="L7192" s="4"/>
      <c r="M7192" s="4"/>
      <c r="N7192" s="4"/>
    </row>
    <row r="7193" spans="1:14" ht="12.75" customHeight="1" x14ac:dyDescent="0.2">
      <c r="A7193" s="398" t="s">
        <v>926</v>
      </c>
      <c r="B7193" s="271"/>
      <c r="C7193" s="271"/>
      <c r="D7193" s="271"/>
      <c r="E7193" s="271"/>
      <c r="F7193" s="271"/>
      <c r="G7193" s="271"/>
      <c r="H7193" s="271"/>
      <c r="I7193" s="271"/>
      <c r="J7193" s="271"/>
      <c r="K7193" s="271"/>
      <c r="L7193" s="271"/>
      <c r="M7193" s="271"/>
      <c r="N7193" s="273"/>
    </row>
    <row r="7194" spans="1:14" ht="12.75" customHeight="1" x14ac:dyDescent="0.2">
      <c r="A7194" s="396" t="s">
        <v>76</v>
      </c>
      <c r="B7194" s="271"/>
      <c r="C7194" s="271"/>
      <c r="D7194" s="271"/>
      <c r="E7194" s="271"/>
      <c r="F7194" s="271"/>
      <c r="G7194" s="273"/>
      <c r="H7194" s="88" t="s">
        <v>77</v>
      </c>
      <c r="I7194" s="399" t="s">
        <v>920</v>
      </c>
      <c r="J7194" s="273"/>
      <c r="K7194" s="399" t="s">
        <v>453</v>
      </c>
      <c r="L7194" s="273"/>
      <c r="M7194" s="399" t="s">
        <v>921</v>
      </c>
      <c r="N7194" s="273"/>
    </row>
    <row r="7195" spans="1:14" ht="12.75" customHeight="1" x14ac:dyDescent="0.2">
      <c r="A7195" s="400" t="s">
        <v>927</v>
      </c>
      <c r="B7195" s="271"/>
      <c r="C7195" s="271"/>
      <c r="D7195" s="271"/>
      <c r="E7195" s="271"/>
      <c r="F7195" s="271"/>
      <c r="G7195" s="273"/>
      <c r="H7195" s="29" t="str">
        <f>IF(A7195="","",VLOOKUP(A7195,AA_Equipos,7,FALSE))</f>
        <v>% M.O.</v>
      </c>
      <c r="I7195" s="394">
        <f>+M7218</f>
        <v>175557.22</v>
      </c>
      <c r="J7195" s="273"/>
      <c r="K7195" s="404">
        <v>0.05</v>
      </c>
      <c r="L7195" s="273"/>
      <c r="M7195" s="394">
        <f t="shared" ref="M7195:M7199" si="982">IF(A7195="","",I7195*K7195)</f>
        <v>8777.8610000000008</v>
      </c>
      <c r="N7195" s="273"/>
    </row>
    <row r="7196" spans="1:14" ht="12.75" customHeight="1" x14ac:dyDescent="0.2">
      <c r="A7196" s="403"/>
      <c r="B7196" s="271"/>
      <c r="C7196" s="271"/>
      <c r="D7196" s="271"/>
      <c r="E7196" s="271"/>
      <c r="F7196" s="271"/>
      <c r="G7196" s="273"/>
      <c r="H7196" s="29" t="str">
        <f>IF(A7196="","",VLOOKUP(A7196,AA_Equipos,7,FALSE))</f>
        <v/>
      </c>
      <c r="I7196" s="394" t="str">
        <f>IF(A7196="","",VLOOKUP(A7196,AA_Equipos,8,FALSE))</f>
        <v/>
      </c>
      <c r="J7196" s="273"/>
      <c r="K7196" s="402"/>
      <c r="L7196" s="273"/>
      <c r="M7196" s="394" t="str">
        <f t="shared" si="982"/>
        <v/>
      </c>
      <c r="N7196" s="273"/>
    </row>
    <row r="7197" spans="1:14" ht="12.75" customHeight="1" x14ac:dyDescent="0.2">
      <c r="A7197" s="400"/>
      <c r="B7197" s="271"/>
      <c r="C7197" s="271"/>
      <c r="D7197" s="271"/>
      <c r="E7197" s="271"/>
      <c r="F7197" s="271"/>
      <c r="G7197" s="273"/>
      <c r="H7197" s="29" t="str">
        <f>IF(A7197="","",VLOOKUP(A7197,AA_Equipos,7,FALSE))</f>
        <v/>
      </c>
      <c r="I7197" s="394" t="str">
        <f>IF(A7197="","",VLOOKUP(A7197,AA_Equipos,8,FALSE))</f>
        <v/>
      </c>
      <c r="J7197" s="273"/>
      <c r="K7197" s="401"/>
      <c r="L7197" s="273"/>
      <c r="M7197" s="394" t="str">
        <f t="shared" si="982"/>
        <v/>
      </c>
      <c r="N7197" s="273"/>
    </row>
    <row r="7198" spans="1:14" ht="12.75" customHeight="1" x14ac:dyDescent="0.2">
      <c r="A7198" s="400"/>
      <c r="B7198" s="271"/>
      <c r="C7198" s="271"/>
      <c r="D7198" s="271"/>
      <c r="E7198" s="271"/>
      <c r="F7198" s="271"/>
      <c r="G7198" s="273"/>
      <c r="H7198" s="29" t="str">
        <f>IF(A7198="","",VLOOKUP(A7198,AA_Equipos,7,FALSE))</f>
        <v/>
      </c>
      <c r="I7198" s="394" t="str">
        <f>IF(A7198="","",VLOOKUP(A7198,AA_Equipos,8,FALSE))</f>
        <v/>
      </c>
      <c r="J7198" s="273"/>
      <c r="K7198" s="395"/>
      <c r="L7198" s="273"/>
      <c r="M7198" s="394" t="str">
        <f t="shared" si="982"/>
        <v/>
      </c>
      <c r="N7198" s="273"/>
    </row>
    <row r="7199" spans="1:14" ht="12.75" customHeight="1" x14ac:dyDescent="0.2">
      <c r="A7199" s="400"/>
      <c r="B7199" s="271"/>
      <c r="C7199" s="271"/>
      <c r="D7199" s="271"/>
      <c r="E7199" s="271"/>
      <c r="F7199" s="271"/>
      <c r="G7199" s="273"/>
      <c r="H7199" s="29" t="str">
        <f>IF(A7199="","",VLOOKUP(A7199,AA_Equipos,7,FALSE))</f>
        <v/>
      </c>
      <c r="I7199" s="394" t="str">
        <f>IF(A7199="","",VLOOKUP(A7199,AA_Equipos,8,FALSE))</f>
        <v/>
      </c>
      <c r="J7199" s="273"/>
      <c r="K7199" s="395"/>
      <c r="L7199" s="273"/>
      <c r="M7199" s="394" t="str">
        <f t="shared" si="982"/>
        <v/>
      </c>
      <c r="N7199" s="273"/>
    </row>
    <row r="7200" spans="1:14" ht="12.75" customHeight="1" x14ac:dyDescent="0.25">
      <c r="A7200" s="4"/>
      <c r="B7200" s="4"/>
      <c r="C7200" s="4"/>
      <c r="D7200" s="4"/>
      <c r="E7200" s="4"/>
      <c r="F7200" s="4"/>
      <c r="G7200" s="4"/>
      <c r="H7200" s="4"/>
      <c r="I7200" s="4"/>
      <c r="J7200" s="4"/>
      <c r="K7200" s="396" t="s">
        <v>444</v>
      </c>
      <c r="L7200" s="273"/>
      <c r="M7200" s="394">
        <f>SUM(M7195:N7199)</f>
        <v>8777.8610000000008</v>
      </c>
      <c r="N7200" s="273"/>
    </row>
    <row r="7201" spans="1:14" ht="12.75" customHeight="1" x14ac:dyDescent="0.25">
      <c r="A7201" s="4"/>
      <c r="B7201" s="4"/>
      <c r="C7201" s="4"/>
      <c r="D7201" s="4"/>
      <c r="E7201" s="4"/>
      <c r="F7201" s="4"/>
      <c r="G7201" s="4"/>
      <c r="H7201" s="4"/>
      <c r="I7201" s="4"/>
      <c r="J7201" s="4"/>
      <c r="K7201" s="4"/>
      <c r="L7201" s="4"/>
      <c r="M7201" s="4"/>
      <c r="N7201" s="4"/>
    </row>
    <row r="7202" spans="1:14" ht="12.75" customHeight="1" x14ac:dyDescent="0.2">
      <c r="A7202" s="398" t="s">
        <v>929</v>
      </c>
      <c r="B7202" s="271"/>
      <c r="C7202" s="271"/>
      <c r="D7202" s="271"/>
      <c r="E7202" s="271"/>
      <c r="F7202" s="271"/>
      <c r="G7202" s="271"/>
      <c r="H7202" s="271"/>
      <c r="I7202" s="271"/>
      <c r="J7202" s="271"/>
      <c r="K7202" s="271"/>
      <c r="L7202" s="271"/>
      <c r="M7202" s="271"/>
      <c r="N7202" s="273"/>
    </row>
    <row r="7203" spans="1:14" ht="12.75" customHeight="1" x14ac:dyDescent="0.2">
      <c r="A7203" s="396" t="s">
        <v>76</v>
      </c>
      <c r="B7203" s="271"/>
      <c r="C7203" s="271"/>
      <c r="D7203" s="271"/>
      <c r="E7203" s="271"/>
      <c r="F7203" s="271"/>
      <c r="G7203" s="273"/>
      <c r="H7203" s="88" t="s">
        <v>77</v>
      </c>
      <c r="I7203" s="399" t="s">
        <v>920</v>
      </c>
      <c r="J7203" s="273"/>
      <c r="K7203" s="399" t="s">
        <v>453</v>
      </c>
      <c r="L7203" s="273"/>
      <c r="M7203" s="399" t="s">
        <v>921</v>
      </c>
      <c r="N7203" s="273"/>
    </row>
    <row r="7204" spans="1:14" ht="12.75" customHeight="1" x14ac:dyDescent="0.2">
      <c r="A7204" s="400" t="s">
        <v>960</v>
      </c>
      <c r="B7204" s="271"/>
      <c r="C7204" s="271"/>
      <c r="D7204" s="271"/>
      <c r="E7204" s="271"/>
      <c r="F7204" s="271"/>
      <c r="G7204" s="273"/>
      <c r="H7204" s="29" t="s">
        <v>950</v>
      </c>
      <c r="I7204" s="394">
        <f>+M7191</f>
        <v>2366848</v>
      </c>
      <c r="J7204" s="273"/>
      <c r="K7204" s="404">
        <v>0.05</v>
      </c>
      <c r="L7204" s="273"/>
      <c r="M7204" s="394">
        <f t="shared" ref="M7204:M7208" si="983">IF(A7204="","",I7204*K7204)</f>
        <v>118342.40000000001</v>
      </c>
      <c r="N7204" s="273"/>
    </row>
    <row r="7205" spans="1:14" ht="12.75" customHeight="1" x14ac:dyDescent="0.2">
      <c r="A7205" s="403" t="s">
        <v>3174</v>
      </c>
      <c r="B7205" s="271"/>
      <c r="C7205" s="271"/>
      <c r="D7205" s="271"/>
      <c r="E7205" s="271"/>
      <c r="F7205" s="271"/>
      <c r="G7205" s="273"/>
      <c r="H7205" s="29" t="s">
        <v>24</v>
      </c>
      <c r="I7205" s="394">
        <f>+M7200</f>
        <v>8777.8610000000008</v>
      </c>
      <c r="J7205" s="273"/>
      <c r="K7205" s="404">
        <v>0.05</v>
      </c>
      <c r="L7205" s="273"/>
      <c r="M7205" s="394">
        <f t="shared" si="983"/>
        <v>438.89305000000007</v>
      </c>
      <c r="N7205" s="273"/>
    </row>
    <row r="7206" spans="1:14" ht="12.75" customHeight="1" x14ac:dyDescent="0.2">
      <c r="A7206" s="400"/>
      <c r="B7206" s="271"/>
      <c r="C7206" s="271"/>
      <c r="D7206" s="271"/>
      <c r="E7206" s="271"/>
      <c r="F7206" s="271"/>
      <c r="G7206" s="273"/>
      <c r="H7206" s="29"/>
      <c r="I7206" s="394"/>
      <c r="J7206" s="273"/>
      <c r="K7206" s="395"/>
      <c r="L7206" s="273"/>
      <c r="M7206" s="394" t="str">
        <f t="shared" si="983"/>
        <v/>
      </c>
      <c r="N7206" s="273"/>
    </row>
    <row r="7207" spans="1:14" ht="12.75" customHeight="1" x14ac:dyDescent="0.2">
      <c r="A7207" s="400"/>
      <c r="B7207" s="271"/>
      <c r="C7207" s="271"/>
      <c r="D7207" s="271"/>
      <c r="E7207" s="271"/>
      <c r="F7207" s="271"/>
      <c r="G7207" s="273"/>
      <c r="H7207" s="29"/>
      <c r="I7207" s="394"/>
      <c r="J7207" s="273"/>
      <c r="K7207" s="395"/>
      <c r="L7207" s="273"/>
      <c r="M7207" s="394" t="str">
        <f t="shared" si="983"/>
        <v/>
      </c>
      <c r="N7207" s="273"/>
    </row>
    <row r="7208" spans="1:14" ht="12.75" customHeight="1" x14ac:dyDescent="0.2">
      <c r="A7208" s="400"/>
      <c r="B7208" s="271"/>
      <c r="C7208" s="271"/>
      <c r="D7208" s="271"/>
      <c r="E7208" s="271"/>
      <c r="F7208" s="271"/>
      <c r="G7208" s="273"/>
      <c r="H7208" s="29"/>
      <c r="I7208" s="394"/>
      <c r="J7208" s="273"/>
      <c r="K7208" s="395"/>
      <c r="L7208" s="273"/>
      <c r="M7208" s="394" t="str">
        <f t="shared" si="983"/>
        <v/>
      </c>
      <c r="N7208" s="273"/>
    </row>
    <row r="7209" spans="1:14" ht="12.75" customHeight="1" x14ac:dyDescent="0.25">
      <c r="A7209" s="4"/>
      <c r="B7209" s="4"/>
      <c r="C7209" s="4"/>
      <c r="D7209" s="4"/>
      <c r="E7209" s="4"/>
      <c r="F7209" s="4"/>
      <c r="G7209" s="4"/>
      <c r="H7209" s="4"/>
      <c r="I7209" s="4"/>
      <c r="J7209" s="4"/>
      <c r="K7209" s="396" t="s">
        <v>444</v>
      </c>
      <c r="L7209" s="273"/>
      <c r="M7209" s="394">
        <f>SUM(M7204:N7208)</f>
        <v>118781.29305000001</v>
      </c>
      <c r="N7209" s="273"/>
    </row>
    <row r="7210" spans="1:14" ht="12.75" customHeight="1" x14ac:dyDescent="0.25">
      <c r="A7210" s="4"/>
      <c r="B7210" s="4"/>
      <c r="C7210" s="4"/>
      <c r="D7210" s="4"/>
      <c r="E7210" s="4"/>
      <c r="F7210" s="4"/>
      <c r="G7210" s="4"/>
      <c r="H7210" s="4"/>
      <c r="I7210" s="4"/>
      <c r="J7210" s="4"/>
      <c r="K7210" s="4"/>
      <c r="L7210" s="4"/>
      <c r="M7210" s="4"/>
      <c r="N7210" s="4"/>
    </row>
    <row r="7211" spans="1:14" ht="12.75" customHeight="1" x14ac:dyDescent="0.2">
      <c r="A7211" s="398" t="s">
        <v>931</v>
      </c>
      <c r="B7211" s="271"/>
      <c r="C7211" s="271"/>
      <c r="D7211" s="271"/>
      <c r="E7211" s="271"/>
      <c r="F7211" s="271"/>
      <c r="G7211" s="271"/>
      <c r="H7211" s="271"/>
      <c r="I7211" s="271"/>
      <c r="J7211" s="271"/>
      <c r="K7211" s="271"/>
      <c r="L7211" s="271"/>
      <c r="M7211" s="271"/>
      <c r="N7211" s="273"/>
    </row>
    <row r="7212" spans="1:14" ht="12.75" customHeight="1" x14ac:dyDescent="0.2">
      <c r="A7212" s="396" t="s">
        <v>76</v>
      </c>
      <c r="B7212" s="271"/>
      <c r="C7212" s="271"/>
      <c r="D7212" s="271"/>
      <c r="E7212" s="271"/>
      <c r="F7212" s="271"/>
      <c r="G7212" s="273"/>
      <c r="H7212" s="88" t="s">
        <v>77</v>
      </c>
      <c r="I7212" s="399" t="s">
        <v>920</v>
      </c>
      <c r="J7212" s="273"/>
      <c r="K7212" s="90" t="s">
        <v>514</v>
      </c>
      <c r="L7212" s="91" t="s">
        <v>932</v>
      </c>
      <c r="M7212" s="399" t="s">
        <v>921</v>
      </c>
      <c r="N7212" s="273"/>
    </row>
    <row r="7213" spans="1:14" ht="12.75" customHeight="1" x14ac:dyDescent="0.25">
      <c r="A7213" s="393" t="s">
        <v>986</v>
      </c>
      <c r="B7213" s="271"/>
      <c r="C7213" s="271"/>
      <c r="D7213" s="271"/>
      <c r="E7213" s="271"/>
      <c r="F7213" s="271"/>
      <c r="G7213" s="273"/>
      <c r="H7213" s="29" t="str">
        <f>IF(A7213="","",VLOOKUP(A7213,AA_Cuadrillas,4,FALSE))</f>
        <v>Cuadrilla</v>
      </c>
      <c r="I7213" s="394">
        <f>IF(A7213="","",VLOOKUP(A7213,AA_Cuadrillas,5,FALSE))</f>
        <v>186763</v>
      </c>
      <c r="J7213" s="273"/>
      <c r="K7213" s="9">
        <f>IF(A7213="","",F.P!$I$2)</f>
        <v>1.88</v>
      </c>
      <c r="L7213" s="97">
        <v>0.5</v>
      </c>
      <c r="M7213" s="394">
        <f t="shared" ref="M7213:M7217" si="984">IF(A7213="","",I7213*K7213*L7213)</f>
        <v>175557.22</v>
      </c>
      <c r="N7213" s="273"/>
    </row>
    <row r="7214" spans="1:14" ht="12.75" customHeight="1" x14ac:dyDescent="0.25">
      <c r="A7214" s="393"/>
      <c r="B7214" s="271"/>
      <c r="C7214" s="271"/>
      <c r="D7214" s="271"/>
      <c r="E7214" s="271"/>
      <c r="F7214" s="271"/>
      <c r="G7214" s="273"/>
      <c r="H7214" s="29" t="str">
        <f>IF(A7214="","",VLOOKUP(A7214,AA_Cuadrillas,4,FALSE))</f>
        <v/>
      </c>
      <c r="I7214" s="394" t="str">
        <f>IF(A7214="","",VLOOKUP(A7214,AA_Cuadrillas,5,FALSE))</f>
        <v/>
      </c>
      <c r="J7214" s="273"/>
      <c r="K7214" s="9" t="str">
        <f>IF(A7214="","",F.P!$I$2)</f>
        <v/>
      </c>
      <c r="L7214" s="9"/>
      <c r="M7214" s="394" t="str">
        <f t="shared" si="984"/>
        <v/>
      </c>
      <c r="N7214" s="273"/>
    </row>
    <row r="7215" spans="1:14" ht="12.75" customHeight="1" x14ac:dyDescent="0.25">
      <c r="A7215" s="393"/>
      <c r="B7215" s="271"/>
      <c r="C7215" s="271"/>
      <c r="D7215" s="271"/>
      <c r="E7215" s="271"/>
      <c r="F7215" s="271"/>
      <c r="G7215" s="273"/>
      <c r="H7215" s="29" t="str">
        <f>IF(A7215="","",VLOOKUP(A7215,AA_Cuadrillas,4,FALSE))</f>
        <v/>
      </c>
      <c r="I7215" s="394" t="str">
        <f>IF(A7215="","",VLOOKUP(A7215,AA_Cuadrillas,5,FALSE))</f>
        <v/>
      </c>
      <c r="J7215" s="273"/>
      <c r="K7215" s="9" t="str">
        <f>IF(A7215="","",F.P!$I$2)</f>
        <v/>
      </c>
      <c r="L7215" s="37"/>
      <c r="M7215" s="394" t="str">
        <f t="shared" si="984"/>
        <v/>
      </c>
      <c r="N7215" s="273"/>
    </row>
    <row r="7216" spans="1:14" ht="12.75" customHeight="1" x14ac:dyDescent="0.25">
      <c r="A7216" s="393"/>
      <c r="B7216" s="271"/>
      <c r="C7216" s="271"/>
      <c r="D7216" s="271"/>
      <c r="E7216" s="271"/>
      <c r="F7216" s="271"/>
      <c r="G7216" s="273"/>
      <c r="H7216" s="29" t="str">
        <f>IF(A7216="","",VLOOKUP(A7216,AA_Cuadrillas,4,FALSE))</f>
        <v/>
      </c>
      <c r="I7216" s="394" t="str">
        <f>IF(A7216="","",VLOOKUP(A7216,AA_Cuadrillas,5,FALSE))</f>
        <v/>
      </c>
      <c r="J7216" s="273"/>
      <c r="K7216" s="9" t="str">
        <f>IF(A7216="","",F.P!$I$2)</f>
        <v/>
      </c>
      <c r="L7216" s="37"/>
      <c r="M7216" s="394" t="str">
        <f t="shared" si="984"/>
        <v/>
      </c>
      <c r="N7216" s="273"/>
    </row>
    <row r="7217" spans="1:14" ht="12.75" customHeight="1" x14ac:dyDescent="0.25">
      <c r="A7217" s="393"/>
      <c r="B7217" s="271"/>
      <c r="C7217" s="271"/>
      <c r="D7217" s="271"/>
      <c r="E7217" s="271"/>
      <c r="F7217" s="271"/>
      <c r="G7217" s="273"/>
      <c r="H7217" s="29" t="str">
        <f>IF(A7217="","",VLOOKUP(A7217,AA_Cuadrillas,4,FALSE))</f>
        <v/>
      </c>
      <c r="I7217" s="394" t="str">
        <f>IF(A7217="","",VLOOKUP(A7217,AA_Cuadrillas,5,FALSE))</f>
        <v/>
      </c>
      <c r="J7217" s="273"/>
      <c r="K7217" s="9" t="str">
        <f>IF(A7217="","",F.P!$I$2)</f>
        <v/>
      </c>
      <c r="L7217" s="37"/>
      <c r="M7217" s="394" t="str">
        <f t="shared" si="984"/>
        <v/>
      </c>
      <c r="N7217" s="273"/>
    </row>
    <row r="7218" spans="1:14" ht="12.75" customHeight="1" x14ac:dyDescent="0.25">
      <c r="A7218" s="4"/>
      <c r="B7218" s="4"/>
      <c r="C7218" s="4"/>
      <c r="D7218" s="4"/>
      <c r="E7218" s="4"/>
      <c r="F7218" s="4"/>
      <c r="G7218" s="4"/>
      <c r="H7218" s="4"/>
      <c r="I7218" s="4"/>
      <c r="J7218" s="4"/>
      <c r="K7218" s="396" t="s">
        <v>444</v>
      </c>
      <c r="L7218" s="273"/>
      <c r="M7218" s="394">
        <f>SUM(M7213:N7217)</f>
        <v>175557.22</v>
      </c>
      <c r="N7218" s="273"/>
    </row>
    <row r="7219" spans="1:14" ht="12.75" customHeight="1" x14ac:dyDescent="0.2"/>
    <row r="7220" spans="1:14" ht="12.75" customHeight="1" x14ac:dyDescent="0.2">
      <c r="A7220" s="407" t="s">
        <v>137</v>
      </c>
      <c r="B7220" s="275"/>
      <c r="C7220" s="275"/>
      <c r="D7220" s="275"/>
      <c r="E7220" s="275"/>
      <c r="F7220" s="275"/>
      <c r="G7220" s="275"/>
      <c r="H7220" s="275"/>
      <c r="I7220" s="275"/>
      <c r="J7220" s="275"/>
      <c r="K7220" s="275"/>
      <c r="L7220" s="275"/>
      <c r="M7220" s="275"/>
      <c r="N7220" s="276"/>
    </row>
    <row r="7221" spans="1:14" ht="12.75" customHeight="1" x14ac:dyDescent="0.2">
      <c r="A7221" s="277"/>
      <c r="B7221" s="278"/>
      <c r="C7221" s="278"/>
      <c r="D7221" s="278"/>
      <c r="E7221" s="278"/>
      <c r="F7221" s="278"/>
      <c r="G7221" s="278"/>
      <c r="H7221" s="278"/>
      <c r="I7221" s="278"/>
      <c r="J7221" s="278"/>
      <c r="K7221" s="278"/>
      <c r="L7221" s="278"/>
      <c r="M7221" s="278"/>
      <c r="N7221" s="279"/>
    </row>
    <row r="7222" spans="1:14" ht="12.75" customHeight="1" x14ac:dyDescent="0.2">
      <c r="A7222" s="75"/>
      <c r="B7222" s="75"/>
      <c r="C7222" s="75"/>
      <c r="D7222" s="75"/>
      <c r="E7222" s="75"/>
      <c r="F7222" s="75"/>
      <c r="G7222" s="75"/>
      <c r="H7222" s="75"/>
      <c r="I7222" s="75"/>
      <c r="J7222" s="75"/>
      <c r="K7222" s="75"/>
      <c r="L7222" s="75"/>
      <c r="M7222" s="75"/>
      <c r="N7222" s="75"/>
    </row>
    <row r="7223" spans="1:14" ht="12.75" customHeight="1" x14ac:dyDescent="0.3">
      <c r="A7223" s="79" t="s">
        <v>780</v>
      </c>
      <c r="B7223" s="80" t="str">
        <f>A7220</f>
        <v>KIT DE INSTALACIÓN DE BOMBA 25 HP - CENTRIFUGA</v>
      </c>
      <c r="C7223" s="81" t="s">
        <v>916</v>
      </c>
      <c r="D7223" s="82" t="s">
        <v>999</v>
      </c>
      <c r="E7223" s="83" t="s">
        <v>445</v>
      </c>
      <c r="F7223" s="86">
        <f>H7223+J7223+L7223+N7223</f>
        <v>4519826.0309999995</v>
      </c>
      <c r="G7223" s="83" t="s">
        <v>607</v>
      </c>
      <c r="H7223" s="86">
        <f>M7243</f>
        <v>8777.8610000000008</v>
      </c>
      <c r="I7223" s="83" t="s">
        <v>918</v>
      </c>
      <c r="J7223" s="86">
        <f>M7234</f>
        <v>4129039</v>
      </c>
      <c r="K7223" s="83" t="s">
        <v>609</v>
      </c>
      <c r="L7223" s="86">
        <f>M7252</f>
        <v>206451.95</v>
      </c>
      <c r="M7223" s="83" t="s">
        <v>610</v>
      </c>
      <c r="N7223" s="86">
        <f>M7261</f>
        <v>175557.22</v>
      </c>
    </row>
    <row r="7224" spans="1:14" ht="12.75" customHeight="1" x14ac:dyDescent="0.25">
      <c r="A7224" s="87"/>
      <c r="B7224" s="87"/>
      <c r="C7224" s="87"/>
      <c r="D7224" s="87"/>
      <c r="E7224" s="87"/>
      <c r="F7224" s="87"/>
      <c r="G7224" s="87"/>
      <c r="J7224" s="87"/>
      <c r="K7224" s="215" t="s">
        <v>3217</v>
      </c>
      <c r="L7224" s="215"/>
      <c r="M7224" s="87"/>
      <c r="N7224" s="87"/>
    </row>
    <row r="7225" spans="1:14" ht="12.75" customHeight="1" x14ac:dyDescent="0.2">
      <c r="A7225" s="398" t="s">
        <v>919</v>
      </c>
      <c r="B7225" s="271"/>
      <c r="C7225" s="271"/>
      <c r="D7225" s="271"/>
      <c r="E7225" s="271"/>
      <c r="F7225" s="271"/>
      <c r="G7225" s="271"/>
      <c r="H7225" s="271"/>
      <c r="I7225" s="271"/>
      <c r="J7225" s="271"/>
      <c r="K7225" s="271"/>
      <c r="L7225" s="271"/>
      <c r="M7225" s="271"/>
      <c r="N7225" s="273"/>
    </row>
    <row r="7226" spans="1:14" ht="12.75" customHeight="1" x14ac:dyDescent="0.2">
      <c r="A7226" s="396" t="s">
        <v>76</v>
      </c>
      <c r="B7226" s="271"/>
      <c r="C7226" s="271"/>
      <c r="D7226" s="271"/>
      <c r="E7226" s="271"/>
      <c r="F7226" s="271"/>
      <c r="G7226" s="273"/>
      <c r="H7226" s="88" t="s">
        <v>77</v>
      </c>
      <c r="I7226" s="399" t="s">
        <v>920</v>
      </c>
      <c r="J7226" s="273"/>
      <c r="K7226" s="399" t="s">
        <v>453</v>
      </c>
      <c r="L7226" s="273"/>
      <c r="M7226" s="399" t="s">
        <v>921</v>
      </c>
      <c r="N7226" s="273"/>
    </row>
    <row r="7227" spans="1:14" ht="12.75" customHeight="1" x14ac:dyDescent="0.2">
      <c r="A7227" s="403" t="s">
        <v>1303</v>
      </c>
      <c r="B7227" s="271"/>
      <c r="C7227" s="271"/>
      <c r="D7227" s="271"/>
      <c r="E7227" s="271"/>
      <c r="F7227" s="271"/>
      <c r="G7227" s="273"/>
      <c r="H7227" s="29" t="str">
        <f t="shared" ref="H7227:H7233" si="985">IF(A7227="","",VLOOKUP(A7227,AA_Materiales,7,FALSE))</f>
        <v>Unidad</v>
      </c>
      <c r="I7227" s="394">
        <f t="shared" ref="I7227:I7233" si="986">IF(A7227="","",VLOOKUP(A7227,AA_Materiales,8,FALSE))</f>
        <v>643000</v>
      </c>
      <c r="J7227" s="273"/>
      <c r="K7227" s="395">
        <v>1</v>
      </c>
      <c r="L7227" s="273"/>
      <c r="M7227" s="394">
        <f t="shared" ref="M7227:M7233" si="987">IF(A7227="","",I7227*K7227)</f>
        <v>643000</v>
      </c>
      <c r="N7227" s="273"/>
    </row>
    <row r="7228" spans="1:14" ht="12.75" customHeight="1" x14ac:dyDescent="0.2">
      <c r="A7228" s="403" t="s">
        <v>1304</v>
      </c>
      <c r="B7228" s="271"/>
      <c r="C7228" s="271"/>
      <c r="D7228" s="271"/>
      <c r="E7228" s="271"/>
      <c r="F7228" s="271"/>
      <c r="G7228" s="273"/>
      <c r="H7228" s="29" t="str">
        <f t="shared" si="985"/>
        <v>Unidad</v>
      </c>
      <c r="I7228" s="394">
        <f t="shared" si="986"/>
        <v>862427</v>
      </c>
      <c r="J7228" s="273"/>
      <c r="K7228" s="395">
        <v>1</v>
      </c>
      <c r="L7228" s="273"/>
      <c r="M7228" s="394">
        <f t="shared" si="987"/>
        <v>862427</v>
      </c>
      <c r="N7228" s="273"/>
    </row>
    <row r="7229" spans="1:14" ht="12.75" customHeight="1" x14ac:dyDescent="0.2">
      <c r="A7229" s="403" t="s">
        <v>1220</v>
      </c>
      <c r="B7229" s="271"/>
      <c r="C7229" s="271"/>
      <c r="D7229" s="271"/>
      <c r="E7229" s="271"/>
      <c r="F7229" s="271"/>
      <c r="G7229" s="273"/>
      <c r="H7229" s="29" t="str">
        <f t="shared" si="985"/>
        <v>Unidad</v>
      </c>
      <c r="I7229" s="394">
        <f t="shared" si="986"/>
        <v>691000</v>
      </c>
      <c r="J7229" s="273"/>
      <c r="K7229" s="395">
        <v>1</v>
      </c>
      <c r="L7229" s="273"/>
      <c r="M7229" s="394">
        <f t="shared" si="987"/>
        <v>691000</v>
      </c>
      <c r="N7229" s="273"/>
    </row>
    <row r="7230" spans="1:14" ht="12.75" customHeight="1" x14ac:dyDescent="0.2">
      <c r="A7230" s="403" t="s">
        <v>1305</v>
      </c>
      <c r="B7230" s="271"/>
      <c r="C7230" s="271"/>
      <c r="D7230" s="271"/>
      <c r="E7230" s="271"/>
      <c r="F7230" s="271"/>
      <c r="G7230" s="273"/>
      <c r="H7230" s="29" t="str">
        <f t="shared" si="985"/>
        <v>Unidad</v>
      </c>
      <c r="I7230" s="394">
        <f t="shared" si="986"/>
        <v>431213</v>
      </c>
      <c r="J7230" s="273"/>
      <c r="K7230" s="395">
        <v>1</v>
      </c>
      <c r="L7230" s="273"/>
      <c r="M7230" s="394">
        <f t="shared" si="987"/>
        <v>431213</v>
      </c>
      <c r="N7230" s="273"/>
    </row>
    <row r="7231" spans="1:14" ht="12.75" customHeight="1" x14ac:dyDescent="0.2">
      <c r="A7231" s="403" t="s">
        <v>1074</v>
      </c>
      <c r="B7231" s="271"/>
      <c r="C7231" s="271"/>
      <c r="D7231" s="271"/>
      <c r="E7231" s="271"/>
      <c r="F7231" s="271"/>
      <c r="G7231" s="273"/>
      <c r="H7231" s="29" t="str">
        <f t="shared" si="985"/>
        <v>Unidad</v>
      </c>
      <c r="I7231" s="394">
        <f t="shared" si="986"/>
        <v>1501399</v>
      </c>
      <c r="J7231" s="273"/>
      <c r="K7231" s="395">
        <v>1</v>
      </c>
      <c r="L7231" s="273"/>
      <c r="M7231" s="394">
        <f t="shared" si="987"/>
        <v>1501399</v>
      </c>
      <c r="N7231" s="273"/>
    </row>
    <row r="7232" spans="1:14" ht="12.75" customHeight="1" x14ac:dyDescent="0.2">
      <c r="A7232" s="403"/>
      <c r="B7232" s="271"/>
      <c r="C7232" s="271"/>
      <c r="D7232" s="271"/>
      <c r="E7232" s="271"/>
      <c r="F7232" s="271"/>
      <c r="G7232" s="273"/>
      <c r="H7232" s="29" t="str">
        <f t="shared" si="985"/>
        <v/>
      </c>
      <c r="I7232" s="394" t="str">
        <f t="shared" si="986"/>
        <v/>
      </c>
      <c r="J7232" s="273"/>
      <c r="K7232" s="395"/>
      <c r="L7232" s="273"/>
      <c r="M7232" s="394" t="str">
        <f t="shared" si="987"/>
        <v/>
      </c>
      <c r="N7232" s="273"/>
    </row>
    <row r="7233" spans="1:14" ht="12.75" customHeight="1" x14ac:dyDescent="0.2">
      <c r="A7233" s="403"/>
      <c r="B7233" s="271"/>
      <c r="C7233" s="271"/>
      <c r="D7233" s="271"/>
      <c r="E7233" s="271"/>
      <c r="F7233" s="271"/>
      <c r="G7233" s="273"/>
      <c r="H7233" s="29" t="str">
        <f t="shared" si="985"/>
        <v/>
      </c>
      <c r="I7233" s="394" t="str">
        <f t="shared" si="986"/>
        <v/>
      </c>
      <c r="J7233" s="273"/>
      <c r="K7233" s="395"/>
      <c r="L7233" s="273"/>
      <c r="M7233" s="394" t="str">
        <f t="shared" si="987"/>
        <v/>
      </c>
      <c r="N7233" s="273"/>
    </row>
    <row r="7234" spans="1:14" ht="12.75" customHeight="1" x14ac:dyDescent="0.25">
      <c r="A7234" s="4"/>
      <c r="B7234" s="4"/>
      <c r="C7234" s="4"/>
      <c r="D7234" s="4"/>
      <c r="E7234" s="4"/>
      <c r="F7234" s="4"/>
      <c r="G7234" s="4"/>
      <c r="H7234" s="4"/>
      <c r="I7234" s="4"/>
      <c r="J7234" s="4"/>
      <c r="K7234" s="396" t="s">
        <v>444</v>
      </c>
      <c r="L7234" s="273"/>
      <c r="M7234" s="394">
        <f>SUM(M7227:N7233)</f>
        <v>4129039</v>
      </c>
      <c r="N7234" s="273"/>
    </row>
    <row r="7235" spans="1:14" ht="12.75" customHeight="1" x14ac:dyDescent="0.25">
      <c r="A7235" s="4"/>
      <c r="B7235" s="4"/>
      <c r="C7235" s="4"/>
      <c r="D7235" s="4"/>
      <c r="E7235" s="4"/>
      <c r="F7235" s="4"/>
      <c r="G7235" s="4"/>
      <c r="H7235" s="4"/>
      <c r="I7235" s="4"/>
      <c r="J7235" s="4"/>
      <c r="K7235" s="4"/>
      <c r="L7235" s="4"/>
      <c r="M7235" s="4"/>
      <c r="N7235" s="4"/>
    </row>
    <row r="7236" spans="1:14" ht="12.75" customHeight="1" x14ac:dyDescent="0.2">
      <c r="A7236" s="398" t="s">
        <v>926</v>
      </c>
      <c r="B7236" s="271"/>
      <c r="C7236" s="271"/>
      <c r="D7236" s="271"/>
      <c r="E7236" s="271"/>
      <c r="F7236" s="271"/>
      <c r="G7236" s="271"/>
      <c r="H7236" s="271"/>
      <c r="I7236" s="271"/>
      <c r="J7236" s="271"/>
      <c r="K7236" s="271"/>
      <c r="L7236" s="271"/>
      <c r="M7236" s="271"/>
      <c r="N7236" s="273"/>
    </row>
    <row r="7237" spans="1:14" ht="12.75" customHeight="1" x14ac:dyDescent="0.2">
      <c r="A7237" s="396" t="s">
        <v>76</v>
      </c>
      <c r="B7237" s="271"/>
      <c r="C7237" s="271"/>
      <c r="D7237" s="271"/>
      <c r="E7237" s="271"/>
      <c r="F7237" s="271"/>
      <c r="G7237" s="273"/>
      <c r="H7237" s="88" t="s">
        <v>77</v>
      </c>
      <c r="I7237" s="399" t="s">
        <v>920</v>
      </c>
      <c r="J7237" s="273"/>
      <c r="K7237" s="399" t="s">
        <v>453</v>
      </c>
      <c r="L7237" s="273"/>
      <c r="M7237" s="399" t="s">
        <v>921</v>
      </c>
      <c r="N7237" s="273"/>
    </row>
    <row r="7238" spans="1:14" ht="12.75" customHeight="1" x14ac:dyDescent="0.2">
      <c r="A7238" s="400" t="s">
        <v>927</v>
      </c>
      <c r="B7238" s="271"/>
      <c r="C7238" s="271"/>
      <c r="D7238" s="271"/>
      <c r="E7238" s="271"/>
      <c r="F7238" s="271"/>
      <c r="G7238" s="273"/>
      <c r="H7238" s="29" t="str">
        <f>IF(A7238="","",VLOOKUP(A7238,AA_Equipos,7,FALSE))</f>
        <v>% M.O.</v>
      </c>
      <c r="I7238" s="394">
        <f>+M7261</f>
        <v>175557.22</v>
      </c>
      <c r="J7238" s="273"/>
      <c r="K7238" s="404">
        <v>0.05</v>
      </c>
      <c r="L7238" s="273"/>
      <c r="M7238" s="394">
        <f t="shared" ref="M7238:M7242" si="988">IF(A7238="","",I7238*K7238)</f>
        <v>8777.8610000000008</v>
      </c>
      <c r="N7238" s="273"/>
    </row>
    <row r="7239" spans="1:14" ht="12.75" customHeight="1" x14ac:dyDescent="0.2">
      <c r="A7239" s="403"/>
      <c r="B7239" s="271"/>
      <c r="C7239" s="271"/>
      <c r="D7239" s="271"/>
      <c r="E7239" s="271"/>
      <c r="F7239" s="271"/>
      <c r="G7239" s="273"/>
      <c r="H7239" s="29" t="str">
        <f>IF(A7239="","",VLOOKUP(A7239,AA_Equipos,7,FALSE))</f>
        <v/>
      </c>
      <c r="I7239" s="394" t="str">
        <f>IF(A7239="","",VLOOKUP(A7239,AA_Equipos,8,FALSE))</f>
        <v/>
      </c>
      <c r="J7239" s="273"/>
      <c r="K7239" s="402"/>
      <c r="L7239" s="273"/>
      <c r="M7239" s="394" t="str">
        <f t="shared" si="988"/>
        <v/>
      </c>
      <c r="N7239" s="273"/>
    </row>
    <row r="7240" spans="1:14" ht="12.75" customHeight="1" x14ac:dyDescent="0.2">
      <c r="A7240" s="400"/>
      <c r="B7240" s="271"/>
      <c r="C7240" s="271"/>
      <c r="D7240" s="271"/>
      <c r="E7240" s="271"/>
      <c r="F7240" s="271"/>
      <c r="G7240" s="273"/>
      <c r="H7240" s="29" t="str">
        <f>IF(A7240="","",VLOOKUP(A7240,AA_Equipos,7,FALSE))</f>
        <v/>
      </c>
      <c r="I7240" s="394" t="str">
        <f>IF(A7240="","",VLOOKUP(A7240,AA_Equipos,8,FALSE))</f>
        <v/>
      </c>
      <c r="J7240" s="273"/>
      <c r="K7240" s="401"/>
      <c r="L7240" s="273"/>
      <c r="M7240" s="394" t="str">
        <f t="shared" si="988"/>
        <v/>
      </c>
      <c r="N7240" s="273"/>
    </row>
    <row r="7241" spans="1:14" ht="12.75" customHeight="1" x14ac:dyDescent="0.2">
      <c r="A7241" s="400"/>
      <c r="B7241" s="271"/>
      <c r="C7241" s="271"/>
      <c r="D7241" s="271"/>
      <c r="E7241" s="271"/>
      <c r="F7241" s="271"/>
      <c r="G7241" s="273"/>
      <c r="H7241" s="29" t="str">
        <f>IF(A7241="","",VLOOKUP(A7241,AA_Equipos,7,FALSE))</f>
        <v/>
      </c>
      <c r="I7241" s="394" t="str">
        <f>IF(A7241="","",VLOOKUP(A7241,AA_Equipos,8,FALSE))</f>
        <v/>
      </c>
      <c r="J7241" s="273"/>
      <c r="K7241" s="395"/>
      <c r="L7241" s="273"/>
      <c r="M7241" s="394" t="str">
        <f t="shared" si="988"/>
        <v/>
      </c>
      <c r="N7241" s="273"/>
    </row>
    <row r="7242" spans="1:14" ht="12.75" customHeight="1" x14ac:dyDescent="0.2">
      <c r="A7242" s="400"/>
      <c r="B7242" s="271"/>
      <c r="C7242" s="271"/>
      <c r="D7242" s="271"/>
      <c r="E7242" s="271"/>
      <c r="F7242" s="271"/>
      <c r="G7242" s="273"/>
      <c r="H7242" s="29" t="str">
        <f>IF(A7242="","",VLOOKUP(A7242,AA_Equipos,7,FALSE))</f>
        <v/>
      </c>
      <c r="I7242" s="394" t="str">
        <f>IF(A7242="","",VLOOKUP(A7242,AA_Equipos,8,FALSE))</f>
        <v/>
      </c>
      <c r="J7242" s="273"/>
      <c r="K7242" s="395"/>
      <c r="L7242" s="273"/>
      <c r="M7242" s="394" t="str">
        <f t="shared" si="988"/>
        <v/>
      </c>
      <c r="N7242" s="273"/>
    </row>
    <row r="7243" spans="1:14" ht="12.75" customHeight="1" x14ac:dyDescent="0.25">
      <c r="A7243" s="4"/>
      <c r="B7243" s="4"/>
      <c r="C7243" s="4"/>
      <c r="D7243" s="4"/>
      <c r="E7243" s="4"/>
      <c r="F7243" s="4"/>
      <c r="G7243" s="4"/>
      <c r="H7243" s="4"/>
      <c r="I7243" s="4"/>
      <c r="J7243" s="4"/>
      <c r="K7243" s="396" t="s">
        <v>444</v>
      </c>
      <c r="L7243" s="273"/>
      <c r="M7243" s="394">
        <f>SUM(M7238:N7242)</f>
        <v>8777.8610000000008</v>
      </c>
      <c r="N7243" s="273"/>
    </row>
    <row r="7244" spans="1:14" ht="12.75" customHeight="1" x14ac:dyDescent="0.25">
      <c r="A7244" s="4"/>
      <c r="B7244" s="4"/>
      <c r="C7244" s="4"/>
      <c r="D7244" s="4"/>
      <c r="E7244" s="4"/>
      <c r="F7244" s="4"/>
      <c r="G7244" s="4"/>
      <c r="H7244" s="4"/>
      <c r="I7244" s="4"/>
      <c r="J7244" s="4"/>
      <c r="K7244" s="4"/>
      <c r="L7244" s="4"/>
      <c r="M7244" s="4"/>
      <c r="N7244" s="4"/>
    </row>
    <row r="7245" spans="1:14" ht="12.75" customHeight="1" x14ac:dyDescent="0.2">
      <c r="A7245" s="398" t="s">
        <v>929</v>
      </c>
      <c r="B7245" s="271"/>
      <c r="C7245" s="271"/>
      <c r="D7245" s="271"/>
      <c r="E7245" s="271"/>
      <c r="F7245" s="271"/>
      <c r="G7245" s="271"/>
      <c r="H7245" s="271"/>
      <c r="I7245" s="271"/>
      <c r="J7245" s="271"/>
      <c r="K7245" s="271"/>
      <c r="L7245" s="271"/>
      <c r="M7245" s="271"/>
      <c r="N7245" s="273"/>
    </row>
    <row r="7246" spans="1:14" ht="12.75" customHeight="1" x14ac:dyDescent="0.2">
      <c r="A7246" s="396" t="s">
        <v>76</v>
      </c>
      <c r="B7246" s="271"/>
      <c r="C7246" s="271"/>
      <c r="D7246" s="271"/>
      <c r="E7246" s="271"/>
      <c r="F7246" s="271"/>
      <c r="G7246" s="273"/>
      <c r="H7246" s="88" t="s">
        <v>77</v>
      </c>
      <c r="I7246" s="399" t="s">
        <v>920</v>
      </c>
      <c r="J7246" s="273"/>
      <c r="K7246" s="399" t="s">
        <v>453</v>
      </c>
      <c r="L7246" s="273"/>
      <c r="M7246" s="399" t="s">
        <v>921</v>
      </c>
      <c r="N7246" s="273"/>
    </row>
    <row r="7247" spans="1:14" ht="12.75" customHeight="1" x14ac:dyDescent="0.2">
      <c r="A7247" s="400" t="s">
        <v>960</v>
      </c>
      <c r="B7247" s="271"/>
      <c r="C7247" s="271"/>
      <c r="D7247" s="271"/>
      <c r="E7247" s="271"/>
      <c r="F7247" s="271"/>
      <c r="G7247" s="273"/>
      <c r="H7247" s="29" t="s">
        <v>950</v>
      </c>
      <c r="I7247" s="394">
        <f>+M7234</f>
        <v>4129039</v>
      </c>
      <c r="J7247" s="273"/>
      <c r="K7247" s="404">
        <v>0.05</v>
      </c>
      <c r="L7247" s="273"/>
      <c r="M7247" s="394">
        <f t="shared" ref="M7247:M7251" si="989">IF(A7247="","",I7247*K7247)</f>
        <v>206451.95</v>
      </c>
      <c r="N7247" s="273"/>
    </row>
    <row r="7248" spans="1:14" ht="12.75" customHeight="1" x14ac:dyDescent="0.2">
      <c r="A7248" s="403"/>
      <c r="B7248" s="271"/>
      <c r="C7248" s="271"/>
      <c r="D7248" s="271"/>
      <c r="E7248" s="271"/>
      <c r="F7248" s="271"/>
      <c r="G7248" s="273"/>
      <c r="H7248" s="29"/>
      <c r="I7248" s="394"/>
      <c r="J7248" s="273"/>
      <c r="K7248" s="404"/>
      <c r="L7248" s="273"/>
      <c r="M7248" s="394" t="str">
        <f t="shared" si="989"/>
        <v/>
      </c>
      <c r="N7248" s="273"/>
    </row>
    <row r="7249" spans="1:14" ht="12.75" customHeight="1" x14ac:dyDescent="0.2">
      <c r="A7249" s="400"/>
      <c r="B7249" s="271"/>
      <c r="C7249" s="271"/>
      <c r="D7249" s="271"/>
      <c r="E7249" s="271"/>
      <c r="F7249" s="271"/>
      <c r="G7249" s="273"/>
      <c r="H7249" s="29"/>
      <c r="I7249" s="394"/>
      <c r="J7249" s="273"/>
      <c r="K7249" s="395"/>
      <c r="L7249" s="273"/>
      <c r="M7249" s="394" t="str">
        <f t="shared" si="989"/>
        <v/>
      </c>
      <c r="N7249" s="273"/>
    </row>
    <row r="7250" spans="1:14" ht="12.75" customHeight="1" x14ac:dyDescent="0.2">
      <c r="A7250" s="400"/>
      <c r="B7250" s="271"/>
      <c r="C7250" s="271"/>
      <c r="D7250" s="271"/>
      <c r="E7250" s="271"/>
      <c r="F7250" s="271"/>
      <c r="G7250" s="273"/>
      <c r="H7250" s="29"/>
      <c r="I7250" s="394"/>
      <c r="J7250" s="273"/>
      <c r="K7250" s="395"/>
      <c r="L7250" s="273"/>
      <c r="M7250" s="394" t="str">
        <f t="shared" si="989"/>
        <v/>
      </c>
      <c r="N7250" s="273"/>
    </row>
    <row r="7251" spans="1:14" ht="12.75" customHeight="1" x14ac:dyDescent="0.2">
      <c r="A7251" s="400"/>
      <c r="B7251" s="271"/>
      <c r="C7251" s="271"/>
      <c r="D7251" s="271"/>
      <c r="E7251" s="271"/>
      <c r="F7251" s="271"/>
      <c r="G7251" s="273"/>
      <c r="H7251" s="29"/>
      <c r="I7251" s="394"/>
      <c r="J7251" s="273"/>
      <c r="K7251" s="395"/>
      <c r="L7251" s="273"/>
      <c r="M7251" s="394" t="str">
        <f t="shared" si="989"/>
        <v/>
      </c>
      <c r="N7251" s="273"/>
    </row>
    <row r="7252" spans="1:14" ht="12.75" customHeight="1" x14ac:dyDescent="0.25">
      <c r="A7252" s="4"/>
      <c r="B7252" s="4"/>
      <c r="C7252" s="4"/>
      <c r="D7252" s="4"/>
      <c r="E7252" s="4"/>
      <c r="F7252" s="4"/>
      <c r="G7252" s="4"/>
      <c r="H7252" s="4"/>
      <c r="I7252" s="4"/>
      <c r="J7252" s="4"/>
      <c r="K7252" s="396" t="s">
        <v>444</v>
      </c>
      <c r="L7252" s="273"/>
      <c r="M7252" s="394">
        <f>SUM(M7247:N7251)</f>
        <v>206451.95</v>
      </c>
      <c r="N7252" s="273"/>
    </row>
    <row r="7253" spans="1:14" ht="12.75" customHeight="1" x14ac:dyDescent="0.25">
      <c r="A7253" s="4"/>
      <c r="B7253" s="4"/>
      <c r="C7253" s="4"/>
      <c r="D7253" s="4"/>
      <c r="E7253" s="4"/>
      <c r="F7253" s="4"/>
      <c r="G7253" s="4"/>
      <c r="H7253" s="4"/>
      <c r="I7253" s="4"/>
      <c r="J7253" s="4"/>
      <c r="K7253" s="4"/>
      <c r="L7253" s="4"/>
      <c r="M7253" s="4"/>
      <c r="N7253" s="4"/>
    </row>
    <row r="7254" spans="1:14" ht="12.75" customHeight="1" x14ac:dyDescent="0.2">
      <c r="A7254" s="398" t="s">
        <v>931</v>
      </c>
      <c r="B7254" s="271"/>
      <c r="C7254" s="271"/>
      <c r="D7254" s="271"/>
      <c r="E7254" s="271"/>
      <c r="F7254" s="271"/>
      <c r="G7254" s="271"/>
      <c r="H7254" s="271"/>
      <c r="I7254" s="271"/>
      <c r="J7254" s="271"/>
      <c r="K7254" s="271"/>
      <c r="L7254" s="271"/>
      <c r="M7254" s="271"/>
      <c r="N7254" s="273"/>
    </row>
    <row r="7255" spans="1:14" ht="12.75" customHeight="1" x14ac:dyDescent="0.2">
      <c r="A7255" s="396" t="s">
        <v>76</v>
      </c>
      <c r="B7255" s="271"/>
      <c r="C7255" s="271"/>
      <c r="D7255" s="271"/>
      <c r="E7255" s="271"/>
      <c r="F7255" s="271"/>
      <c r="G7255" s="273"/>
      <c r="H7255" s="88" t="s">
        <v>77</v>
      </c>
      <c r="I7255" s="399" t="s">
        <v>920</v>
      </c>
      <c r="J7255" s="273"/>
      <c r="K7255" s="90" t="s">
        <v>514</v>
      </c>
      <c r="L7255" s="91" t="s">
        <v>932</v>
      </c>
      <c r="M7255" s="399" t="s">
        <v>921</v>
      </c>
      <c r="N7255" s="273"/>
    </row>
    <row r="7256" spans="1:14" ht="12.75" customHeight="1" x14ac:dyDescent="0.25">
      <c r="A7256" s="393" t="s">
        <v>986</v>
      </c>
      <c r="B7256" s="271"/>
      <c r="C7256" s="271"/>
      <c r="D7256" s="271"/>
      <c r="E7256" s="271"/>
      <c r="F7256" s="271"/>
      <c r="G7256" s="273"/>
      <c r="H7256" s="29" t="str">
        <f>IF(A7256="","",VLOOKUP(A7256,AA_Cuadrillas,4,FALSE))</f>
        <v>Cuadrilla</v>
      </c>
      <c r="I7256" s="394">
        <f>IF(A7256="","",VLOOKUP(A7256,AA_Cuadrillas,5,FALSE))</f>
        <v>186763</v>
      </c>
      <c r="J7256" s="273"/>
      <c r="K7256" s="9">
        <f>IF(A7256="","",F.P!$I$2)</f>
        <v>1.88</v>
      </c>
      <c r="L7256" s="97">
        <v>0.5</v>
      </c>
      <c r="M7256" s="394">
        <f t="shared" ref="M7256:M7260" si="990">IF(A7256="","",I7256*K7256*L7256)</f>
        <v>175557.22</v>
      </c>
      <c r="N7256" s="273"/>
    </row>
    <row r="7257" spans="1:14" ht="12.75" customHeight="1" x14ac:dyDescent="0.25">
      <c r="A7257" s="393"/>
      <c r="B7257" s="271"/>
      <c r="C7257" s="271"/>
      <c r="D7257" s="271"/>
      <c r="E7257" s="271"/>
      <c r="F7257" s="271"/>
      <c r="G7257" s="273"/>
      <c r="H7257" s="29" t="str">
        <f>IF(A7257="","",VLOOKUP(A7257,AA_Cuadrillas,4,FALSE))</f>
        <v/>
      </c>
      <c r="I7257" s="394" t="str">
        <f>IF(A7257="","",VLOOKUP(A7257,AA_Cuadrillas,5,FALSE))</f>
        <v/>
      </c>
      <c r="J7257" s="273"/>
      <c r="K7257" s="9" t="str">
        <f>IF(A7257="","",F.P!$I$2)</f>
        <v/>
      </c>
      <c r="L7257" s="9"/>
      <c r="M7257" s="394" t="str">
        <f t="shared" si="990"/>
        <v/>
      </c>
      <c r="N7257" s="273"/>
    </row>
    <row r="7258" spans="1:14" ht="12.75" customHeight="1" x14ac:dyDescent="0.25">
      <c r="A7258" s="393"/>
      <c r="B7258" s="271"/>
      <c r="C7258" s="271"/>
      <c r="D7258" s="271"/>
      <c r="E7258" s="271"/>
      <c r="F7258" s="271"/>
      <c r="G7258" s="273"/>
      <c r="H7258" s="29" t="str">
        <f>IF(A7258="","",VLOOKUP(A7258,AA_Cuadrillas,4,FALSE))</f>
        <v/>
      </c>
      <c r="I7258" s="394" t="str">
        <f>IF(A7258="","",VLOOKUP(A7258,AA_Cuadrillas,5,FALSE))</f>
        <v/>
      </c>
      <c r="J7258" s="273"/>
      <c r="K7258" s="9" t="str">
        <f>IF(A7258="","",F.P!$I$2)</f>
        <v/>
      </c>
      <c r="L7258" s="37"/>
      <c r="M7258" s="394" t="str">
        <f t="shared" si="990"/>
        <v/>
      </c>
      <c r="N7258" s="273"/>
    </row>
    <row r="7259" spans="1:14" ht="12.75" customHeight="1" x14ac:dyDescent="0.25">
      <c r="A7259" s="393"/>
      <c r="B7259" s="271"/>
      <c r="C7259" s="271"/>
      <c r="D7259" s="271"/>
      <c r="E7259" s="271"/>
      <c r="F7259" s="271"/>
      <c r="G7259" s="273"/>
      <c r="H7259" s="29" t="str">
        <f>IF(A7259="","",VLOOKUP(A7259,AA_Cuadrillas,4,FALSE))</f>
        <v/>
      </c>
      <c r="I7259" s="394" t="str">
        <f>IF(A7259="","",VLOOKUP(A7259,AA_Cuadrillas,5,FALSE))</f>
        <v/>
      </c>
      <c r="J7259" s="273"/>
      <c r="K7259" s="9" t="str">
        <f>IF(A7259="","",F.P!$I$2)</f>
        <v/>
      </c>
      <c r="L7259" s="37"/>
      <c r="M7259" s="394" t="str">
        <f t="shared" si="990"/>
        <v/>
      </c>
      <c r="N7259" s="273"/>
    </row>
    <row r="7260" spans="1:14" ht="12.75" customHeight="1" x14ac:dyDescent="0.25">
      <c r="A7260" s="393"/>
      <c r="B7260" s="271"/>
      <c r="C7260" s="271"/>
      <c r="D7260" s="271"/>
      <c r="E7260" s="271"/>
      <c r="F7260" s="271"/>
      <c r="G7260" s="273"/>
      <c r="H7260" s="29" t="str">
        <f>IF(A7260="","",VLOOKUP(A7260,AA_Cuadrillas,4,FALSE))</f>
        <v/>
      </c>
      <c r="I7260" s="394" t="str">
        <f>IF(A7260="","",VLOOKUP(A7260,AA_Cuadrillas,5,FALSE))</f>
        <v/>
      </c>
      <c r="J7260" s="273"/>
      <c r="K7260" s="9" t="str">
        <f>IF(A7260="","",F.P!$I$2)</f>
        <v/>
      </c>
      <c r="L7260" s="37"/>
      <c r="M7260" s="394" t="str">
        <f t="shared" si="990"/>
        <v/>
      </c>
      <c r="N7260" s="273"/>
    </row>
    <row r="7261" spans="1:14" ht="12.75" customHeight="1" x14ac:dyDescent="0.25">
      <c r="A7261" s="4"/>
      <c r="B7261" s="4"/>
      <c r="C7261" s="4"/>
      <c r="D7261" s="4"/>
      <c r="E7261" s="4"/>
      <c r="F7261" s="4"/>
      <c r="G7261" s="4"/>
      <c r="H7261" s="4"/>
      <c r="I7261" s="4"/>
      <c r="J7261" s="4"/>
      <c r="K7261" s="396" t="s">
        <v>444</v>
      </c>
      <c r="L7261" s="273"/>
      <c r="M7261" s="394">
        <f>SUM(M7256:N7260)</f>
        <v>175557.22</v>
      </c>
      <c r="N7261" s="273"/>
    </row>
    <row r="7262" spans="1:14" ht="12.75" customHeight="1" x14ac:dyDescent="0.2"/>
    <row r="7263" spans="1:14" ht="12.75" customHeight="1" x14ac:dyDescent="0.2">
      <c r="A7263" s="407" t="s">
        <v>1306</v>
      </c>
      <c r="B7263" s="275"/>
      <c r="C7263" s="275"/>
      <c r="D7263" s="275"/>
      <c r="E7263" s="275"/>
      <c r="F7263" s="275"/>
      <c r="G7263" s="275"/>
      <c r="H7263" s="275"/>
      <c r="I7263" s="275"/>
      <c r="J7263" s="275"/>
      <c r="K7263" s="275"/>
      <c r="L7263" s="275"/>
      <c r="M7263" s="275"/>
      <c r="N7263" s="276"/>
    </row>
    <row r="7264" spans="1:14" ht="12.75" customHeight="1" x14ac:dyDescent="0.2">
      <c r="A7264" s="277"/>
      <c r="B7264" s="278"/>
      <c r="C7264" s="278"/>
      <c r="D7264" s="278"/>
      <c r="E7264" s="278"/>
      <c r="F7264" s="278"/>
      <c r="G7264" s="278"/>
      <c r="H7264" s="278"/>
      <c r="I7264" s="278"/>
      <c r="J7264" s="278"/>
      <c r="K7264" s="278"/>
      <c r="L7264" s="278"/>
      <c r="M7264" s="278"/>
      <c r="N7264" s="279"/>
    </row>
    <row r="7265" spans="1:14" ht="12.75" customHeight="1" x14ac:dyDescent="0.2">
      <c r="A7265" s="75"/>
      <c r="B7265" s="75"/>
      <c r="C7265" s="75"/>
      <c r="D7265" s="75"/>
      <c r="E7265" s="75"/>
      <c r="F7265" s="75"/>
      <c r="G7265" s="75"/>
      <c r="H7265" s="75"/>
      <c r="I7265" s="75"/>
      <c r="J7265" s="75"/>
      <c r="K7265" s="75"/>
      <c r="L7265" s="75"/>
      <c r="M7265" s="75"/>
      <c r="N7265" s="75"/>
    </row>
    <row r="7266" spans="1:14" ht="12.75" customHeight="1" x14ac:dyDescent="0.3">
      <c r="A7266" s="79" t="s">
        <v>781</v>
      </c>
      <c r="B7266" s="80" t="str">
        <f>A7263</f>
        <v>DISPOSICIÓN DE MATERIAL PROVENIENTE DE EXCAVACIÓN (NO INCLUYE TRANSPORTE)</v>
      </c>
      <c r="C7266" s="81" t="s">
        <v>916</v>
      </c>
      <c r="D7266" s="82" t="s">
        <v>258</v>
      </c>
      <c r="E7266" s="83" t="s">
        <v>445</v>
      </c>
      <c r="F7266" s="86">
        <f>H7266+J7266+L7266+N7266</f>
        <v>3325.846</v>
      </c>
      <c r="G7266" s="83" t="s">
        <v>607</v>
      </c>
      <c r="H7266" s="86">
        <f>M7276</f>
        <v>0</v>
      </c>
      <c r="I7266" s="83" t="s">
        <v>918</v>
      </c>
      <c r="J7266" s="86">
        <f>M7285</f>
        <v>1680</v>
      </c>
      <c r="K7266" s="83" t="s">
        <v>609</v>
      </c>
      <c r="L7266" s="86">
        <f>M7294</f>
        <v>0</v>
      </c>
      <c r="M7266" s="83" t="s">
        <v>610</v>
      </c>
      <c r="N7266" s="86">
        <f>M7303</f>
        <v>1645.846</v>
      </c>
    </row>
    <row r="7267" spans="1:14" ht="12.75" customHeight="1" x14ac:dyDescent="0.25">
      <c r="A7267" s="87"/>
      <c r="B7267" s="87"/>
      <c r="C7267" s="87"/>
      <c r="D7267" s="87"/>
      <c r="E7267" s="87"/>
      <c r="F7267" s="259">
        <f>F7266*1.3</f>
        <v>4323.5998</v>
      </c>
      <c r="G7267" s="87"/>
      <c r="J7267" s="87"/>
      <c r="K7267" s="215" t="s">
        <v>3217</v>
      </c>
      <c r="L7267" s="215">
        <f>+F7266*presup!$O$5</f>
        <v>4323.5998</v>
      </c>
      <c r="M7267" s="87"/>
      <c r="N7267" s="87"/>
    </row>
    <row r="7268" spans="1:14" ht="12.75" customHeight="1" x14ac:dyDescent="0.2">
      <c r="A7268" s="398" t="s">
        <v>919</v>
      </c>
      <c r="B7268" s="271"/>
      <c r="C7268" s="271"/>
      <c r="D7268" s="271"/>
      <c r="E7268" s="271"/>
      <c r="F7268" s="271"/>
      <c r="G7268" s="271"/>
      <c r="H7268" s="271"/>
      <c r="I7268" s="271"/>
      <c r="J7268" s="271"/>
      <c r="K7268" s="271"/>
      <c r="L7268" s="271"/>
      <c r="M7268" s="271"/>
      <c r="N7268" s="273"/>
    </row>
    <row r="7269" spans="1:14" ht="12.75" customHeight="1" x14ac:dyDescent="0.2">
      <c r="A7269" s="396" t="s">
        <v>76</v>
      </c>
      <c r="B7269" s="271"/>
      <c r="C7269" s="271"/>
      <c r="D7269" s="271"/>
      <c r="E7269" s="271"/>
      <c r="F7269" s="271"/>
      <c r="G7269" s="273"/>
      <c r="H7269" s="88" t="s">
        <v>77</v>
      </c>
      <c r="I7269" s="399" t="s">
        <v>920</v>
      </c>
      <c r="J7269" s="273"/>
      <c r="K7269" s="399" t="s">
        <v>453</v>
      </c>
      <c r="L7269" s="273"/>
      <c r="M7269" s="399" t="s">
        <v>921</v>
      </c>
      <c r="N7269" s="273"/>
    </row>
    <row r="7270" spans="1:14" ht="12.75" customHeight="1" x14ac:dyDescent="0.2">
      <c r="A7270" s="403"/>
      <c r="B7270" s="271"/>
      <c r="C7270" s="271"/>
      <c r="D7270" s="271"/>
      <c r="E7270" s="271"/>
      <c r="F7270" s="271"/>
      <c r="G7270" s="273"/>
      <c r="H7270" s="29" t="str">
        <f t="shared" ref="H7270:H7275" si="991">IF(A7270="","",VLOOKUP(A7270,AA_Materiales,7,FALSE))</f>
        <v/>
      </c>
      <c r="I7270" s="394" t="str">
        <f t="shared" ref="I7270:I7275" si="992">IF(A7270="","",VLOOKUP(A7270,AA_Materiales,8,FALSE))</f>
        <v/>
      </c>
      <c r="J7270" s="273"/>
      <c r="K7270" s="395"/>
      <c r="L7270" s="273"/>
      <c r="M7270" s="394" t="str">
        <f t="shared" ref="M7270:M7275" si="993">IF(A7270="","",I7270*K7270)</f>
        <v/>
      </c>
      <c r="N7270" s="273"/>
    </row>
    <row r="7271" spans="1:14" ht="12.75" customHeight="1" x14ac:dyDescent="0.2">
      <c r="A7271" s="400"/>
      <c r="B7271" s="271"/>
      <c r="C7271" s="271"/>
      <c r="D7271" s="271"/>
      <c r="E7271" s="271"/>
      <c r="F7271" s="271"/>
      <c r="G7271" s="273"/>
      <c r="H7271" s="29" t="str">
        <f t="shared" si="991"/>
        <v/>
      </c>
      <c r="I7271" s="394" t="str">
        <f t="shared" si="992"/>
        <v/>
      </c>
      <c r="J7271" s="273"/>
      <c r="K7271" s="395"/>
      <c r="L7271" s="273"/>
      <c r="M7271" s="394" t="str">
        <f t="shared" si="993"/>
        <v/>
      </c>
      <c r="N7271" s="273"/>
    </row>
    <row r="7272" spans="1:14" ht="12.75" customHeight="1" x14ac:dyDescent="0.2">
      <c r="A7272" s="400"/>
      <c r="B7272" s="271"/>
      <c r="C7272" s="271"/>
      <c r="D7272" s="271"/>
      <c r="E7272" s="271"/>
      <c r="F7272" s="271"/>
      <c r="G7272" s="273"/>
      <c r="H7272" s="29" t="str">
        <f t="shared" si="991"/>
        <v/>
      </c>
      <c r="I7272" s="394" t="str">
        <f t="shared" si="992"/>
        <v/>
      </c>
      <c r="J7272" s="273"/>
      <c r="K7272" s="395"/>
      <c r="L7272" s="273"/>
      <c r="M7272" s="394" t="str">
        <f t="shared" si="993"/>
        <v/>
      </c>
      <c r="N7272" s="273"/>
    </row>
    <row r="7273" spans="1:14" ht="12.75" customHeight="1" x14ac:dyDescent="0.2">
      <c r="A7273" s="400"/>
      <c r="B7273" s="271"/>
      <c r="C7273" s="271"/>
      <c r="D7273" s="271"/>
      <c r="E7273" s="271"/>
      <c r="F7273" s="271"/>
      <c r="G7273" s="273"/>
      <c r="H7273" s="29" t="str">
        <f t="shared" si="991"/>
        <v/>
      </c>
      <c r="I7273" s="394" t="str">
        <f t="shared" si="992"/>
        <v/>
      </c>
      <c r="J7273" s="273"/>
      <c r="K7273" s="395"/>
      <c r="L7273" s="273"/>
      <c r="M7273" s="394" t="str">
        <f t="shared" si="993"/>
        <v/>
      </c>
      <c r="N7273" s="273"/>
    </row>
    <row r="7274" spans="1:14" ht="12.75" customHeight="1" x14ac:dyDescent="0.2">
      <c r="A7274" s="400"/>
      <c r="B7274" s="271"/>
      <c r="C7274" s="271"/>
      <c r="D7274" s="271"/>
      <c r="E7274" s="271"/>
      <c r="F7274" s="271"/>
      <c r="G7274" s="273"/>
      <c r="H7274" s="29" t="str">
        <f t="shared" si="991"/>
        <v/>
      </c>
      <c r="I7274" s="394" t="str">
        <f t="shared" si="992"/>
        <v/>
      </c>
      <c r="J7274" s="273"/>
      <c r="K7274" s="395"/>
      <c r="L7274" s="273"/>
      <c r="M7274" s="394" t="str">
        <f t="shared" si="993"/>
        <v/>
      </c>
      <c r="N7274" s="273"/>
    </row>
    <row r="7275" spans="1:14" ht="12.75" customHeight="1" x14ac:dyDescent="0.2">
      <c r="A7275" s="400"/>
      <c r="B7275" s="271"/>
      <c r="C7275" s="271"/>
      <c r="D7275" s="271"/>
      <c r="E7275" s="271"/>
      <c r="F7275" s="271"/>
      <c r="G7275" s="273"/>
      <c r="H7275" s="29" t="str">
        <f t="shared" si="991"/>
        <v/>
      </c>
      <c r="I7275" s="394" t="str">
        <f t="shared" si="992"/>
        <v/>
      </c>
      <c r="J7275" s="273"/>
      <c r="K7275" s="395"/>
      <c r="L7275" s="273"/>
      <c r="M7275" s="394" t="str">
        <f t="shared" si="993"/>
        <v/>
      </c>
      <c r="N7275" s="273"/>
    </row>
    <row r="7276" spans="1:14" ht="12.75" customHeight="1" x14ac:dyDescent="0.25">
      <c r="A7276" s="4"/>
      <c r="B7276" s="4"/>
      <c r="C7276" s="4"/>
      <c r="D7276" s="4"/>
      <c r="E7276" s="4"/>
      <c r="F7276" s="4"/>
      <c r="G7276" s="4"/>
      <c r="H7276" s="4"/>
      <c r="I7276" s="4"/>
      <c r="J7276" s="4"/>
      <c r="K7276" s="396" t="s">
        <v>444</v>
      </c>
      <c r="L7276" s="273"/>
      <c r="M7276" s="394">
        <f>SUM(M7270:N7275)</f>
        <v>0</v>
      </c>
      <c r="N7276" s="273"/>
    </row>
    <row r="7277" spans="1:14" ht="12.75" customHeight="1" x14ac:dyDescent="0.25">
      <c r="A7277" s="4"/>
      <c r="B7277" s="4"/>
      <c r="C7277" s="4"/>
      <c r="D7277" s="4"/>
      <c r="E7277" s="4"/>
      <c r="F7277" s="4"/>
      <c r="G7277" s="4"/>
      <c r="H7277" s="4"/>
      <c r="I7277" s="4"/>
      <c r="J7277" s="4"/>
      <c r="K7277" s="4"/>
      <c r="L7277" s="4"/>
      <c r="M7277" s="4"/>
      <c r="N7277" s="4"/>
    </row>
    <row r="7278" spans="1:14" ht="12.75" customHeight="1" x14ac:dyDescent="0.2">
      <c r="A7278" s="398" t="s">
        <v>926</v>
      </c>
      <c r="B7278" s="271"/>
      <c r="C7278" s="271"/>
      <c r="D7278" s="271"/>
      <c r="E7278" s="271"/>
      <c r="F7278" s="271"/>
      <c r="G7278" s="271"/>
      <c r="H7278" s="271"/>
      <c r="I7278" s="271"/>
      <c r="J7278" s="271"/>
      <c r="K7278" s="271"/>
      <c r="L7278" s="271"/>
      <c r="M7278" s="271"/>
      <c r="N7278" s="273"/>
    </row>
    <row r="7279" spans="1:14" ht="12.75" customHeight="1" x14ac:dyDescent="0.2">
      <c r="A7279" s="396" t="s">
        <v>76</v>
      </c>
      <c r="B7279" s="271"/>
      <c r="C7279" s="271"/>
      <c r="D7279" s="271"/>
      <c r="E7279" s="271"/>
      <c r="F7279" s="271"/>
      <c r="G7279" s="273"/>
      <c r="H7279" s="88" t="s">
        <v>77</v>
      </c>
      <c r="I7279" s="399" t="s">
        <v>920</v>
      </c>
      <c r="J7279" s="273"/>
      <c r="K7279" s="399" t="s">
        <v>453</v>
      </c>
      <c r="L7279" s="273"/>
      <c r="M7279" s="399" t="s">
        <v>921</v>
      </c>
      <c r="N7279" s="273"/>
    </row>
    <row r="7280" spans="1:14" ht="12.75" customHeight="1" x14ac:dyDescent="0.2">
      <c r="A7280" s="400" t="s">
        <v>927</v>
      </c>
      <c r="B7280" s="271"/>
      <c r="C7280" s="271"/>
      <c r="D7280" s="271"/>
      <c r="E7280" s="271"/>
      <c r="F7280" s="271"/>
      <c r="G7280" s="273"/>
      <c r="H7280" s="29" t="str">
        <f>IF(A7280="","",VLOOKUP(A7280,AA_Equipos,7,FALSE))</f>
        <v>% M.O.</v>
      </c>
      <c r="I7280" s="394">
        <v>0</v>
      </c>
      <c r="J7280" s="273"/>
      <c r="K7280" s="404">
        <v>0.05</v>
      </c>
      <c r="L7280" s="273"/>
      <c r="M7280" s="394">
        <f t="shared" ref="M7280:M7284" si="994">IF(A7280="","",I7280*K7280)</f>
        <v>0</v>
      </c>
      <c r="N7280" s="273"/>
    </row>
    <row r="7281" spans="1:14" ht="12.75" customHeight="1" x14ac:dyDescent="0.2">
      <c r="A7281" s="403" t="s">
        <v>938</v>
      </c>
      <c r="B7281" s="271"/>
      <c r="C7281" s="271"/>
      <c r="D7281" s="271"/>
      <c r="E7281" s="271"/>
      <c r="F7281" s="271"/>
      <c r="G7281" s="273"/>
      <c r="H7281" s="29" t="str">
        <f>IF(A7281="","",VLOOKUP(A7281,AA_Equipos,7,FALSE))</f>
        <v>Hora</v>
      </c>
      <c r="I7281" s="394">
        <f>IF(A7281="","",VLOOKUP(A7281,AA_Equipos,8,FALSE))</f>
        <v>120000</v>
      </c>
      <c r="J7281" s="273"/>
      <c r="K7281" s="402">
        <v>1.4E-2</v>
      </c>
      <c r="L7281" s="273"/>
      <c r="M7281" s="394">
        <f t="shared" si="994"/>
        <v>1680</v>
      </c>
      <c r="N7281" s="273"/>
    </row>
    <row r="7282" spans="1:14" ht="12.75" customHeight="1" x14ac:dyDescent="0.2">
      <c r="A7282" s="400"/>
      <c r="B7282" s="271"/>
      <c r="C7282" s="271"/>
      <c r="D7282" s="271"/>
      <c r="E7282" s="271"/>
      <c r="F7282" s="271"/>
      <c r="G7282" s="273"/>
      <c r="H7282" s="29" t="str">
        <f>IF(A7282="","",VLOOKUP(A7282,AA_Equipos,7,FALSE))</f>
        <v/>
      </c>
      <c r="I7282" s="394" t="str">
        <f>IF(A7282="","",VLOOKUP(A7282,AA_Equipos,8,FALSE))</f>
        <v/>
      </c>
      <c r="J7282" s="273"/>
      <c r="K7282" s="401"/>
      <c r="L7282" s="273"/>
      <c r="M7282" s="394" t="str">
        <f t="shared" si="994"/>
        <v/>
      </c>
      <c r="N7282" s="273"/>
    </row>
    <row r="7283" spans="1:14" ht="12.75" customHeight="1" x14ac:dyDescent="0.2">
      <c r="A7283" s="400"/>
      <c r="B7283" s="271"/>
      <c r="C7283" s="271"/>
      <c r="D7283" s="271"/>
      <c r="E7283" s="271"/>
      <c r="F7283" s="271"/>
      <c r="G7283" s="273"/>
      <c r="H7283" s="29" t="str">
        <f>IF(A7283="","",VLOOKUP(A7283,AA_Equipos,7,FALSE))</f>
        <v/>
      </c>
      <c r="I7283" s="394" t="str">
        <f>IF(A7283="","",VLOOKUP(A7283,AA_Equipos,8,FALSE))</f>
        <v/>
      </c>
      <c r="J7283" s="273"/>
      <c r="K7283" s="395"/>
      <c r="L7283" s="273"/>
      <c r="M7283" s="394" t="str">
        <f t="shared" si="994"/>
        <v/>
      </c>
      <c r="N7283" s="273"/>
    </row>
    <row r="7284" spans="1:14" ht="12.75" customHeight="1" x14ac:dyDescent="0.2">
      <c r="A7284" s="400"/>
      <c r="B7284" s="271"/>
      <c r="C7284" s="271"/>
      <c r="D7284" s="271"/>
      <c r="E7284" s="271"/>
      <c r="F7284" s="271"/>
      <c r="G7284" s="273"/>
      <c r="H7284" s="29" t="str">
        <f>IF(A7284="","",VLOOKUP(A7284,AA_Equipos,7,FALSE))</f>
        <v/>
      </c>
      <c r="I7284" s="394" t="str">
        <f>IF(A7284="","",VLOOKUP(A7284,AA_Equipos,8,FALSE))</f>
        <v/>
      </c>
      <c r="J7284" s="273"/>
      <c r="K7284" s="395"/>
      <c r="L7284" s="273"/>
      <c r="M7284" s="394" t="str">
        <f t="shared" si="994"/>
        <v/>
      </c>
      <c r="N7284" s="273"/>
    </row>
    <row r="7285" spans="1:14" ht="12.75" customHeight="1" x14ac:dyDescent="0.25">
      <c r="A7285" s="4"/>
      <c r="B7285" s="4"/>
      <c r="C7285" s="4"/>
      <c r="D7285" s="4"/>
      <c r="E7285" s="4"/>
      <c r="F7285" s="4"/>
      <c r="G7285" s="4"/>
      <c r="H7285" s="4"/>
      <c r="I7285" s="4"/>
      <c r="J7285" s="4"/>
      <c r="K7285" s="396" t="s">
        <v>444</v>
      </c>
      <c r="L7285" s="273"/>
      <c r="M7285" s="394">
        <f>SUM(M7280:N7284)</f>
        <v>1680</v>
      </c>
      <c r="N7285" s="273"/>
    </row>
    <row r="7286" spans="1:14" ht="12.75" customHeight="1" x14ac:dyDescent="0.25">
      <c r="A7286" s="4"/>
      <c r="B7286" s="4"/>
      <c r="C7286" s="4"/>
      <c r="D7286" s="4"/>
      <c r="E7286" s="4"/>
      <c r="F7286" s="4"/>
      <c r="G7286" s="4"/>
      <c r="H7286" s="4"/>
      <c r="I7286" s="4"/>
      <c r="J7286" s="4"/>
      <c r="K7286" s="4"/>
      <c r="L7286" s="4"/>
      <c r="M7286" s="4"/>
      <c r="N7286" s="4"/>
    </row>
    <row r="7287" spans="1:14" ht="12.75" customHeight="1" x14ac:dyDescent="0.2">
      <c r="A7287" s="398" t="s">
        <v>929</v>
      </c>
      <c r="B7287" s="271"/>
      <c r="C7287" s="271"/>
      <c r="D7287" s="271"/>
      <c r="E7287" s="271"/>
      <c r="F7287" s="271"/>
      <c r="G7287" s="271"/>
      <c r="H7287" s="271"/>
      <c r="I7287" s="271"/>
      <c r="J7287" s="271"/>
      <c r="K7287" s="271"/>
      <c r="L7287" s="271"/>
      <c r="M7287" s="271"/>
      <c r="N7287" s="273"/>
    </row>
    <row r="7288" spans="1:14" ht="12.75" customHeight="1" x14ac:dyDescent="0.2">
      <c r="A7288" s="396" t="s">
        <v>76</v>
      </c>
      <c r="B7288" s="271"/>
      <c r="C7288" s="271"/>
      <c r="D7288" s="271"/>
      <c r="E7288" s="271"/>
      <c r="F7288" s="271"/>
      <c r="G7288" s="273"/>
      <c r="H7288" s="88" t="s">
        <v>77</v>
      </c>
      <c r="I7288" s="399" t="s">
        <v>920</v>
      </c>
      <c r="J7288" s="273"/>
      <c r="K7288" s="399" t="s">
        <v>453</v>
      </c>
      <c r="L7288" s="273"/>
      <c r="M7288" s="399" t="s">
        <v>921</v>
      </c>
      <c r="N7288" s="273"/>
    </row>
    <row r="7289" spans="1:14" ht="12.75" customHeight="1" x14ac:dyDescent="0.2">
      <c r="A7289" s="400"/>
      <c r="B7289" s="271"/>
      <c r="C7289" s="271"/>
      <c r="D7289" s="271"/>
      <c r="E7289" s="271"/>
      <c r="F7289" s="271"/>
      <c r="G7289" s="273"/>
      <c r="H7289" s="29"/>
      <c r="I7289" s="394"/>
      <c r="J7289" s="273"/>
      <c r="K7289" s="395"/>
      <c r="L7289" s="273"/>
      <c r="M7289" s="394" t="str">
        <f t="shared" ref="M7289:M7293" si="995">IF(A7289="","",I7289*K7289)</f>
        <v/>
      </c>
      <c r="N7289" s="273"/>
    </row>
    <row r="7290" spans="1:14" ht="12.75" customHeight="1" x14ac:dyDescent="0.2">
      <c r="A7290" s="403"/>
      <c r="B7290" s="271"/>
      <c r="C7290" s="271"/>
      <c r="D7290" s="271"/>
      <c r="E7290" s="271"/>
      <c r="F7290" s="271"/>
      <c r="G7290" s="273"/>
      <c r="H7290" s="29"/>
      <c r="I7290" s="394"/>
      <c r="J7290" s="273"/>
      <c r="K7290" s="404"/>
      <c r="L7290" s="273"/>
      <c r="M7290" s="394" t="str">
        <f t="shared" si="995"/>
        <v/>
      </c>
      <c r="N7290" s="273"/>
    </row>
    <row r="7291" spans="1:14" ht="12.75" customHeight="1" x14ac:dyDescent="0.2">
      <c r="A7291" s="400"/>
      <c r="B7291" s="271"/>
      <c r="C7291" s="271"/>
      <c r="D7291" s="271"/>
      <c r="E7291" s="271"/>
      <c r="F7291" s="271"/>
      <c r="G7291" s="273"/>
      <c r="H7291" s="29"/>
      <c r="I7291" s="394"/>
      <c r="J7291" s="273"/>
      <c r="K7291" s="395"/>
      <c r="L7291" s="273"/>
      <c r="M7291" s="394" t="str">
        <f t="shared" si="995"/>
        <v/>
      </c>
      <c r="N7291" s="273"/>
    </row>
    <row r="7292" spans="1:14" ht="12.75" customHeight="1" x14ac:dyDescent="0.2">
      <c r="A7292" s="400"/>
      <c r="B7292" s="271"/>
      <c r="C7292" s="271"/>
      <c r="D7292" s="271"/>
      <c r="E7292" s="271"/>
      <c r="F7292" s="271"/>
      <c r="G7292" s="273"/>
      <c r="H7292" s="29"/>
      <c r="I7292" s="394"/>
      <c r="J7292" s="273"/>
      <c r="K7292" s="395"/>
      <c r="L7292" s="273"/>
      <c r="M7292" s="394" t="str">
        <f t="shared" si="995"/>
        <v/>
      </c>
      <c r="N7292" s="273"/>
    </row>
    <row r="7293" spans="1:14" ht="12.75" customHeight="1" x14ac:dyDescent="0.2">
      <c r="A7293" s="400"/>
      <c r="B7293" s="271"/>
      <c r="C7293" s="271"/>
      <c r="D7293" s="271"/>
      <c r="E7293" s="271"/>
      <c r="F7293" s="271"/>
      <c r="G7293" s="273"/>
      <c r="H7293" s="29"/>
      <c r="I7293" s="394"/>
      <c r="J7293" s="273"/>
      <c r="K7293" s="395"/>
      <c r="L7293" s="273"/>
      <c r="M7293" s="394" t="str">
        <f t="shared" si="995"/>
        <v/>
      </c>
      <c r="N7293" s="273"/>
    </row>
    <row r="7294" spans="1:14" ht="12.75" customHeight="1" x14ac:dyDescent="0.25">
      <c r="A7294" s="4"/>
      <c r="B7294" s="4"/>
      <c r="C7294" s="4"/>
      <c r="D7294" s="4"/>
      <c r="E7294" s="4"/>
      <c r="F7294" s="4"/>
      <c r="G7294" s="4"/>
      <c r="H7294" s="4"/>
      <c r="I7294" s="4"/>
      <c r="J7294" s="4"/>
      <c r="K7294" s="396" t="s">
        <v>444</v>
      </c>
      <c r="L7294" s="273"/>
      <c r="M7294" s="394">
        <f>SUM(M7289:N7293)</f>
        <v>0</v>
      </c>
      <c r="N7294" s="273"/>
    </row>
    <row r="7295" spans="1:14" ht="12.75" customHeight="1" x14ac:dyDescent="0.25">
      <c r="A7295" s="4"/>
      <c r="B7295" s="4"/>
      <c r="C7295" s="4"/>
      <c r="D7295" s="4"/>
      <c r="E7295" s="4"/>
      <c r="F7295" s="4"/>
      <c r="G7295" s="4"/>
      <c r="H7295" s="4"/>
      <c r="I7295" s="4"/>
      <c r="J7295" s="4"/>
      <c r="K7295" s="4"/>
      <c r="L7295" s="4"/>
      <c r="M7295" s="4"/>
      <c r="N7295" s="4"/>
    </row>
    <row r="7296" spans="1:14" ht="12.75" customHeight="1" x14ac:dyDescent="0.2">
      <c r="A7296" s="398" t="s">
        <v>931</v>
      </c>
      <c r="B7296" s="271"/>
      <c r="C7296" s="271"/>
      <c r="D7296" s="271"/>
      <c r="E7296" s="271"/>
      <c r="F7296" s="271"/>
      <c r="G7296" s="271"/>
      <c r="H7296" s="271"/>
      <c r="I7296" s="271"/>
      <c r="J7296" s="271"/>
      <c r="K7296" s="271"/>
      <c r="L7296" s="271"/>
      <c r="M7296" s="271"/>
      <c r="N7296" s="273"/>
    </row>
    <row r="7297" spans="1:15" ht="12.75" customHeight="1" x14ac:dyDescent="0.2">
      <c r="A7297" s="396" t="s">
        <v>76</v>
      </c>
      <c r="B7297" s="271"/>
      <c r="C7297" s="271"/>
      <c r="D7297" s="271"/>
      <c r="E7297" s="271"/>
      <c r="F7297" s="271"/>
      <c r="G7297" s="273"/>
      <c r="H7297" s="88" t="s">
        <v>77</v>
      </c>
      <c r="I7297" s="399" t="s">
        <v>920</v>
      </c>
      <c r="J7297" s="273"/>
      <c r="K7297" s="90" t="s">
        <v>514</v>
      </c>
      <c r="L7297" s="91" t="s">
        <v>932</v>
      </c>
      <c r="M7297" s="399" t="s">
        <v>921</v>
      </c>
      <c r="N7297" s="273"/>
    </row>
    <row r="7298" spans="1:15" ht="12.75" customHeight="1" x14ac:dyDescent="0.25">
      <c r="A7298" s="393" t="s">
        <v>936</v>
      </c>
      <c r="B7298" s="271"/>
      <c r="C7298" s="271"/>
      <c r="D7298" s="271"/>
      <c r="E7298" s="271"/>
      <c r="F7298" s="271"/>
      <c r="G7298" s="273"/>
      <c r="H7298" s="29" t="str">
        <f>IF(A7298="","",VLOOKUP(A7298,AA_Cuadrillas,4,FALSE))</f>
        <v>Cuadrilla</v>
      </c>
      <c r="I7298" s="394">
        <f>IF(A7298="","",VLOOKUP(A7298,AA_Cuadrillas,5,FALSE))</f>
        <v>70036</v>
      </c>
      <c r="J7298" s="273"/>
      <c r="K7298" s="9">
        <f>IF(A7298="","",F.P!$I$2)</f>
        <v>1.88</v>
      </c>
      <c r="L7298" s="93">
        <v>1.2500000000000001E-2</v>
      </c>
      <c r="M7298" s="394">
        <f t="shared" ref="M7298:M7302" si="996">IF(A7298="","",I7298*K7298*L7298)</f>
        <v>1645.846</v>
      </c>
      <c r="N7298" s="273"/>
    </row>
    <row r="7299" spans="1:15" ht="12.75" customHeight="1" x14ac:dyDescent="0.25">
      <c r="A7299" s="393"/>
      <c r="B7299" s="271"/>
      <c r="C7299" s="271"/>
      <c r="D7299" s="271"/>
      <c r="E7299" s="271"/>
      <c r="F7299" s="271"/>
      <c r="G7299" s="273"/>
      <c r="H7299" s="29" t="str">
        <f>IF(A7299="","",VLOOKUP(A7299,AA_Cuadrillas,4,FALSE))</f>
        <v/>
      </c>
      <c r="I7299" s="394" t="str">
        <f>IF(A7299="","",VLOOKUP(A7299,AA_Cuadrillas,5,FALSE))</f>
        <v/>
      </c>
      <c r="J7299" s="273"/>
      <c r="K7299" s="9" t="str">
        <f>IF(A7299="","",F.P!$I$2)</f>
        <v/>
      </c>
      <c r="L7299" s="9"/>
      <c r="M7299" s="394" t="str">
        <f t="shared" si="996"/>
        <v/>
      </c>
      <c r="N7299" s="273"/>
    </row>
    <row r="7300" spans="1:15" ht="12.75" customHeight="1" x14ac:dyDescent="0.25">
      <c r="A7300" s="393"/>
      <c r="B7300" s="271"/>
      <c r="C7300" s="271"/>
      <c r="D7300" s="271"/>
      <c r="E7300" s="271"/>
      <c r="F7300" s="271"/>
      <c r="G7300" s="273"/>
      <c r="H7300" s="29" t="str">
        <f>IF(A7300="","",VLOOKUP(A7300,AA_Cuadrillas,4,FALSE))</f>
        <v/>
      </c>
      <c r="I7300" s="394" t="str">
        <f>IF(A7300="","",VLOOKUP(A7300,AA_Cuadrillas,5,FALSE))</f>
        <v/>
      </c>
      <c r="J7300" s="273"/>
      <c r="K7300" s="9" t="str">
        <f>IF(A7300="","",F.P!$I$2)</f>
        <v/>
      </c>
      <c r="L7300" s="37"/>
      <c r="M7300" s="394" t="str">
        <f t="shared" si="996"/>
        <v/>
      </c>
      <c r="N7300" s="273"/>
    </row>
    <row r="7301" spans="1:15" ht="12.75" customHeight="1" x14ac:dyDescent="0.25">
      <c r="A7301" s="393"/>
      <c r="B7301" s="271"/>
      <c r="C7301" s="271"/>
      <c r="D7301" s="271"/>
      <c r="E7301" s="271"/>
      <c r="F7301" s="271"/>
      <c r="G7301" s="273"/>
      <c r="H7301" s="29" t="str">
        <f>IF(A7301="","",VLOOKUP(A7301,AA_Cuadrillas,4,FALSE))</f>
        <v/>
      </c>
      <c r="I7301" s="394" t="str">
        <f>IF(A7301="","",VLOOKUP(A7301,AA_Cuadrillas,5,FALSE))</f>
        <v/>
      </c>
      <c r="J7301" s="273"/>
      <c r="K7301" s="9" t="str">
        <f>IF(A7301="","",F.P!$I$2)</f>
        <v/>
      </c>
      <c r="L7301" s="37"/>
      <c r="M7301" s="394" t="str">
        <f t="shared" si="996"/>
        <v/>
      </c>
      <c r="N7301" s="273"/>
    </row>
    <row r="7302" spans="1:15" ht="12.75" customHeight="1" x14ac:dyDescent="0.25">
      <c r="A7302" s="393"/>
      <c r="B7302" s="271"/>
      <c r="C7302" s="271"/>
      <c r="D7302" s="271"/>
      <c r="E7302" s="271"/>
      <c r="F7302" s="271"/>
      <c r="G7302" s="273"/>
      <c r="H7302" s="29" t="str">
        <f>IF(A7302="","",VLOOKUP(A7302,AA_Cuadrillas,4,FALSE))</f>
        <v/>
      </c>
      <c r="I7302" s="394" t="str">
        <f>IF(A7302="","",VLOOKUP(A7302,AA_Cuadrillas,5,FALSE))</f>
        <v/>
      </c>
      <c r="J7302" s="273"/>
      <c r="K7302" s="9" t="str">
        <f>IF(A7302="","",F.P!$I$2)</f>
        <v/>
      </c>
      <c r="L7302" s="37"/>
      <c r="M7302" s="394" t="str">
        <f t="shared" si="996"/>
        <v/>
      </c>
      <c r="N7302" s="273"/>
    </row>
    <row r="7303" spans="1:15" ht="12.75" customHeight="1" x14ac:dyDescent="0.25">
      <c r="A7303" s="4"/>
      <c r="B7303" s="4"/>
      <c r="C7303" s="4"/>
      <c r="D7303" s="4"/>
      <c r="E7303" s="4"/>
      <c r="F7303" s="4"/>
      <c r="G7303" s="4"/>
      <c r="H7303" s="4"/>
      <c r="I7303" s="4"/>
      <c r="J7303" s="4"/>
      <c r="K7303" s="396" t="s">
        <v>444</v>
      </c>
      <c r="L7303" s="273"/>
      <c r="M7303" s="394">
        <f>SUM(M7298:N7302)</f>
        <v>1645.846</v>
      </c>
      <c r="N7303" s="273"/>
    </row>
    <row r="7304" spans="1:15" ht="12.75" customHeight="1" x14ac:dyDescent="0.2"/>
    <row r="7305" spans="1:15" ht="12.75" customHeight="1" x14ac:dyDescent="0.2">
      <c r="A7305" s="407" t="s">
        <v>146</v>
      </c>
      <c r="B7305" s="275"/>
      <c r="C7305" s="275"/>
      <c r="D7305" s="275"/>
      <c r="E7305" s="275"/>
      <c r="F7305" s="275"/>
      <c r="G7305" s="275"/>
      <c r="H7305" s="275"/>
      <c r="I7305" s="275"/>
      <c r="J7305" s="275"/>
      <c r="K7305" s="275"/>
      <c r="L7305" s="275"/>
      <c r="M7305" s="275"/>
      <c r="N7305" s="276"/>
      <c r="O7305" s="166"/>
    </row>
    <row r="7306" spans="1:15" ht="12.75" customHeight="1" x14ac:dyDescent="0.2">
      <c r="A7306" s="277"/>
      <c r="B7306" s="278"/>
      <c r="C7306" s="278"/>
      <c r="D7306" s="278"/>
      <c r="E7306" s="278"/>
      <c r="F7306" s="278"/>
      <c r="G7306" s="278"/>
      <c r="H7306" s="278"/>
      <c r="I7306" s="278"/>
      <c r="J7306" s="278"/>
      <c r="K7306" s="278"/>
      <c r="L7306" s="278"/>
      <c r="M7306" s="278"/>
      <c r="N7306" s="279"/>
      <c r="O7306" s="166"/>
    </row>
    <row r="7307" spans="1:15" ht="12.75" customHeight="1" x14ac:dyDescent="0.2">
      <c r="A7307" s="75"/>
      <c r="B7307" s="75"/>
      <c r="C7307" s="75"/>
      <c r="D7307" s="75"/>
      <c r="E7307" s="75"/>
      <c r="F7307" s="75"/>
      <c r="G7307" s="75"/>
      <c r="H7307" s="75"/>
      <c r="I7307" s="75"/>
      <c r="J7307" s="75"/>
      <c r="K7307" s="75"/>
      <c r="L7307" s="75"/>
      <c r="M7307" s="75"/>
      <c r="N7307" s="75"/>
    </row>
    <row r="7308" spans="1:15" ht="12.75" customHeight="1" x14ac:dyDescent="0.3">
      <c r="A7308" s="79" t="s">
        <v>782</v>
      </c>
      <c r="B7308" s="80" t="str">
        <f>A7305</f>
        <v>EXTENDIDO MANUAL DE TIERRAS CON MATERIAL DE LA PROPIA EXCAVACÍON (INCLUYE HERRAMIENTA MENOR Y MANO DE OBRA)</v>
      </c>
      <c r="C7308" s="81" t="s">
        <v>916</v>
      </c>
      <c r="D7308" s="82" t="s">
        <v>258</v>
      </c>
      <c r="E7308" s="83" t="s">
        <v>445</v>
      </c>
      <c r="F7308" s="234">
        <f>(H7308+J7308+L7308+N7308)*1.3</f>
        <v>27023.145473999997</v>
      </c>
      <c r="G7308" s="83" t="s">
        <v>607</v>
      </c>
      <c r="H7308" s="86">
        <f>M7327</f>
        <v>987.50759999999991</v>
      </c>
      <c r="I7308" s="83" t="s">
        <v>918</v>
      </c>
      <c r="J7308" s="86">
        <f>M7318</f>
        <v>0</v>
      </c>
      <c r="K7308" s="83" t="s">
        <v>609</v>
      </c>
      <c r="L7308" s="86">
        <f>M7336</f>
        <v>49.37538</v>
      </c>
      <c r="M7308" s="83" t="s">
        <v>610</v>
      </c>
      <c r="N7308" s="86">
        <f>M7345</f>
        <v>19750.151999999998</v>
      </c>
    </row>
    <row r="7309" spans="1:15" ht="12.75" customHeight="1" x14ac:dyDescent="0.25">
      <c r="A7309" s="87"/>
      <c r="B7309" s="87"/>
      <c r="C7309" s="87"/>
      <c r="D7309" s="87"/>
      <c r="E7309" s="87"/>
      <c r="F7309" s="87"/>
      <c r="G7309" s="87"/>
      <c r="J7309" s="87"/>
      <c r="K7309" s="215" t="s">
        <v>3217</v>
      </c>
      <c r="L7309" s="215">
        <f>+F7308*presup!$O$5</f>
        <v>35130.089116199997</v>
      </c>
      <c r="M7309" s="87"/>
      <c r="N7309" s="87"/>
    </row>
    <row r="7310" spans="1:15" ht="12.75" customHeight="1" x14ac:dyDescent="0.2">
      <c r="A7310" s="398" t="s">
        <v>919</v>
      </c>
      <c r="B7310" s="271"/>
      <c r="C7310" s="271"/>
      <c r="D7310" s="271"/>
      <c r="E7310" s="271"/>
      <c r="F7310" s="271"/>
      <c r="G7310" s="271"/>
      <c r="H7310" s="271"/>
      <c r="I7310" s="271"/>
      <c r="J7310" s="271"/>
      <c r="K7310" s="271"/>
      <c r="L7310" s="271"/>
      <c r="M7310" s="271"/>
      <c r="N7310" s="273"/>
    </row>
    <row r="7311" spans="1:15" ht="12.75" customHeight="1" x14ac:dyDescent="0.2">
      <c r="A7311" s="396" t="s">
        <v>76</v>
      </c>
      <c r="B7311" s="271"/>
      <c r="C7311" s="271"/>
      <c r="D7311" s="271"/>
      <c r="E7311" s="271"/>
      <c r="F7311" s="271"/>
      <c r="G7311" s="273"/>
      <c r="H7311" s="88" t="s">
        <v>77</v>
      </c>
      <c r="I7311" s="399" t="s">
        <v>920</v>
      </c>
      <c r="J7311" s="273"/>
      <c r="K7311" s="399" t="s">
        <v>453</v>
      </c>
      <c r="L7311" s="273"/>
      <c r="M7311" s="399" t="s">
        <v>921</v>
      </c>
      <c r="N7311" s="273"/>
    </row>
    <row r="7312" spans="1:15" ht="12.75" customHeight="1" x14ac:dyDescent="0.2">
      <c r="A7312" s="403"/>
      <c r="B7312" s="271"/>
      <c r="C7312" s="271"/>
      <c r="D7312" s="271"/>
      <c r="E7312" s="271"/>
      <c r="F7312" s="271"/>
      <c r="G7312" s="273"/>
      <c r="H7312" s="29" t="str">
        <f t="shared" ref="H7312:H7317" si="997">IF(A7312="","",VLOOKUP(A7312,AA_Materiales,7,FALSE))</f>
        <v/>
      </c>
      <c r="I7312" s="394" t="str">
        <f t="shared" ref="I7312:I7317" si="998">IF(A7312="","",VLOOKUP(A7312,AA_Materiales,8,FALSE))</f>
        <v/>
      </c>
      <c r="J7312" s="273"/>
      <c r="K7312" s="395"/>
      <c r="L7312" s="273"/>
      <c r="M7312" s="394" t="str">
        <f t="shared" ref="M7312:M7317" si="999">IF(A7312="","",I7312*K7312)</f>
        <v/>
      </c>
      <c r="N7312" s="273"/>
    </row>
    <row r="7313" spans="1:14" ht="12.75" customHeight="1" x14ac:dyDescent="0.2">
      <c r="A7313" s="400"/>
      <c r="B7313" s="271"/>
      <c r="C7313" s="271"/>
      <c r="D7313" s="271"/>
      <c r="E7313" s="271"/>
      <c r="F7313" s="271"/>
      <c r="G7313" s="273"/>
      <c r="H7313" s="29" t="str">
        <f t="shared" si="997"/>
        <v/>
      </c>
      <c r="I7313" s="394" t="str">
        <f t="shared" si="998"/>
        <v/>
      </c>
      <c r="J7313" s="273"/>
      <c r="K7313" s="395"/>
      <c r="L7313" s="273"/>
      <c r="M7313" s="394" t="str">
        <f t="shared" si="999"/>
        <v/>
      </c>
      <c r="N7313" s="273"/>
    </row>
    <row r="7314" spans="1:14" ht="12.75" customHeight="1" x14ac:dyDescent="0.2">
      <c r="A7314" s="400"/>
      <c r="B7314" s="271"/>
      <c r="C7314" s="271"/>
      <c r="D7314" s="271"/>
      <c r="E7314" s="271"/>
      <c r="F7314" s="271"/>
      <c r="G7314" s="273"/>
      <c r="H7314" s="29" t="str">
        <f t="shared" si="997"/>
        <v/>
      </c>
      <c r="I7314" s="394" t="str">
        <f t="shared" si="998"/>
        <v/>
      </c>
      <c r="J7314" s="273"/>
      <c r="K7314" s="395"/>
      <c r="L7314" s="273"/>
      <c r="M7314" s="394" t="str">
        <f t="shared" si="999"/>
        <v/>
      </c>
      <c r="N7314" s="273"/>
    </row>
    <row r="7315" spans="1:14" ht="12.75" customHeight="1" x14ac:dyDescent="0.2">
      <c r="A7315" s="400"/>
      <c r="B7315" s="271"/>
      <c r="C7315" s="271"/>
      <c r="D7315" s="271"/>
      <c r="E7315" s="271"/>
      <c r="F7315" s="271"/>
      <c r="G7315" s="273"/>
      <c r="H7315" s="29" t="str">
        <f t="shared" si="997"/>
        <v/>
      </c>
      <c r="I7315" s="394" t="str">
        <f t="shared" si="998"/>
        <v/>
      </c>
      <c r="J7315" s="273"/>
      <c r="K7315" s="395"/>
      <c r="L7315" s="273"/>
      <c r="M7315" s="394" t="str">
        <f t="shared" si="999"/>
        <v/>
      </c>
      <c r="N7315" s="273"/>
    </row>
    <row r="7316" spans="1:14" ht="12.75" customHeight="1" x14ac:dyDescent="0.2">
      <c r="A7316" s="400"/>
      <c r="B7316" s="271"/>
      <c r="C7316" s="271"/>
      <c r="D7316" s="271"/>
      <c r="E7316" s="271"/>
      <c r="F7316" s="271"/>
      <c r="G7316" s="273"/>
      <c r="H7316" s="29" t="str">
        <f t="shared" si="997"/>
        <v/>
      </c>
      <c r="I7316" s="394" t="str">
        <f t="shared" si="998"/>
        <v/>
      </c>
      <c r="J7316" s="273"/>
      <c r="K7316" s="395"/>
      <c r="L7316" s="273"/>
      <c r="M7316" s="394" t="str">
        <f t="shared" si="999"/>
        <v/>
      </c>
      <c r="N7316" s="273"/>
    </row>
    <row r="7317" spans="1:14" ht="12.75" customHeight="1" x14ac:dyDescent="0.2">
      <c r="A7317" s="400"/>
      <c r="B7317" s="271"/>
      <c r="C7317" s="271"/>
      <c r="D7317" s="271"/>
      <c r="E7317" s="271"/>
      <c r="F7317" s="271"/>
      <c r="G7317" s="273"/>
      <c r="H7317" s="29" t="str">
        <f t="shared" si="997"/>
        <v/>
      </c>
      <c r="I7317" s="394" t="str">
        <f t="shared" si="998"/>
        <v/>
      </c>
      <c r="J7317" s="273"/>
      <c r="K7317" s="395"/>
      <c r="L7317" s="273"/>
      <c r="M7317" s="394" t="str">
        <f t="shared" si="999"/>
        <v/>
      </c>
      <c r="N7317" s="273"/>
    </row>
    <row r="7318" spans="1:14" ht="12.75" customHeight="1" x14ac:dyDescent="0.25">
      <c r="A7318" s="4"/>
      <c r="B7318" s="4"/>
      <c r="C7318" s="4"/>
      <c r="D7318" s="4"/>
      <c r="E7318" s="4"/>
      <c r="F7318" s="4"/>
      <c r="G7318" s="4"/>
      <c r="H7318" s="4"/>
      <c r="I7318" s="4"/>
      <c r="J7318" s="4"/>
      <c r="K7318" s="396" t="s">
        <v>444</v>
      </c>
      <c r="L7318" s="273"/>
      <c r="M7318" s="394">
        <f>SUM(M7312:N7317)</f>
        <v>0</v>
      </c>
      <c r="N7318" s="273"/>
    </row>
    <row r="7319" spans="1:14" ht="12.75" customHeight="1" x14ac:dyDescent="0.25">
      <c r="A7319" s="4"/>
      <c r="B7319" s="4"/>
      <c r="C7319" s="4"/>
      <c r="D7319" s="4"/>
      <c r="E7319" s="4"/>
      <c r="F7319" s="4"/>
      <c r="G7319" s="4"/>
      <c r="H7319" s="4"/>
      <c r="I7319" s="4"/>
      <c r="J7319" s="4"/>
      <c r="K7319" s="4"/>
      <c r="L7319" s="4"/>
      <c r="M7319" s="4"/>
      <c r="N7319" s="4"/>
    </row>
    <row r="7320" spans="1:14" ht="12.75" customHeight="1" x14ac:dyDescent="0.2">
      <c r="A7320" s="398" t="s">
        <v>926</v>
      </c>
      <c r="B7320" s="271"/>
      <c r="C7320" s="271"/>
      <c r="D7320" s="271"/>
      <c r="E7320" s="271"/>
      <c r="F7320" s="271"/>
      <c r="G7320" s="271"/>
      <c r="H7320" s="271"/>
      <c r="I7320" s="271"/>
      <c r="J7320" s="271"/>
      <c r="K7320" s="271"/>
      <c r="L7320" s="271"/>
      <c r="M7320" s="271"/>
      <c r="N7320" s="273"/>
    </row>
    <row r="7321" spans="1:14" ht="12.75" customHeight="1" x14ac:dyDescent="0.2">
      <c r="A7321" s="396" t="s">
        <v>76</v>
      </c>
      <c r="B7321" s="271"/>
      <c r="C7321" s="271"/>
      <c r="D7321" s="271"/>
      <c r="E7321" s="271"/>
      <c r="F7321" s="271"/>
      <c r="G7321" s="273"/>
      <c r="H7321" s="88" t="s">
        <v>77</v>
      </c>
      <c r="I7321" s="399" t="s">
        <v>920</v>
      </c>
      <c r="J7321" s="273"/>
      <c r="K7321" s="399" t="s">
        <v>453</v>
      </c>
      <c r="L7321" s="273"/>
      <c r="M7321" s="399" t="s">
        <v>921</v>
      </c>
      <c r="N7321" s="273"/>
    </row>
    <row r="7322" spans="1:14" ht="12.75" customHeight="1" x14ac:dyDescent="0.2">
      <c r="A7322" s="400" t="s">
        <v>927</v>
      </c>
      <c r="B7322" s="271"/>
      <c r="C7322" s="271"/>
      <c r="D7322" s="271"/>
      <c r="E7322" s="271"/>
      <c r="F7322" s="271"/>
      <c r="G7322" s="273"/>
      <c r="H7322" s="29" t="str">
        <f>IF(A7322="","",VLOOKUP(A7322,AA_Equipos,7,FALSE))</f>
        <v>% M.O.</v>
      </c>
      <c r="I7322" s="394">
        <f>+M7345</f>
        <v>19750.151999999998</v>
      </c>
      <c r="J7322" s="273"/>
      <c r="K7322" s="404">
        <v>0.05</v>
      </c>
      <c r="L7322" s="273"/>
      <c r="M7322" s="394">
        <f t="shared" ref="M7322:M7326" si="1000">IF(A7322="","",I7322*K7322)</f>
        <v>987.50759999999991</v>
      </c>
      <c r="N7322" s="273"/>
    </row>
    <row r="7323" spans="1:14" ht="12.75" customHeight="1" x14ac:dyDescent="0.2">
      <c r="A7323" s="403"/>
      <c r="B7323" s="271"/>
      <c r="C7323" s="271"/>
      <c r="D7323" s="271"/>
      <c r="E7323" s="271"/>
      <c r="F7323" s="271"/>
      <c r="G7323" s="273"/>
      <c r="H7323" s="29" t="str">
        <f>IF(A7323="","",VLOOKUP(A7323,AA_Equipos,7,FALSE))</f>
        <v/>
      </c>
      <c r="I7323" s="394" t="str">
        <f>IF(A7323="","",VLOOKUP(A7323,AA_Equipos,8,FALSE))</f>
        <v/>
      </c>
      <c r="J7323" s="273"/>
      <c r="K7323" s="402"/>
      <c r="L7323" s="273"/>
      <c r="M7323" s="394" t="str">
        <f t="shared" si="1000"/>
        <v/>
      </c>
      <c r="N7323" s="273"/>
    </row>
    <row r="7324" spans="1:14" ht="12.75" customHeight="1" x14ac:dyDescent="0.2">
      <c r="A7324" s="400"/>
      <c r="B7324" s="271"/>
      <c r="C7324" s="271"/>
      <c r="D7324" s="271"/>
      <c r="E7324" s="271"/>
      <c r="F7324" s="271"/>
      <c r="G7324" s="273"/>
      <c r="H7324" s="29" t="str">
        <f>IF(A7324="","",VLOOKUP(A7324,AA_Equipos,7,FALSE))</f>
        <v/>
      </c>
      <c r="I7324" s="394" t="str">
        <f>IF(A7324="","",VLOOKUP(A7324,AA_Equipos,8,FALSE))</f>
        <v/>
      </c>
      <c r="J7324" s="273"/>
      <c r="K7324" s="401"/>
      <c r="L7324" s="273"/>
      <c r="M7324" s="394" t="str">
        <f t="shared" si="1000"/>
        <v/>
      </c>
      <c r="N7324" s="273"/>
    </row>
    <row r="7325" spans="1:14" ht="12.75" customHeight="1" x14ac:dyDescent="0.2">
      <c r="A7325" s="400"/>
      <c r="B7325" s="271"/>
      <c r="C7325" s="271"/>
      <c r="D7325" s="271"/>
      <c r="E7325" s="271"/>
      <c r="F7325" s="271"/>
      <c r="G7325" s="273"/>
      <c r="H7325" s="29" t="str">
        <f>IF(A7325="","",VLOOKUP(A7325,AA_Equipos,7,FALSE))</f>
        <v/>
      </c>
      <c r="I7325" s="394" t="str">
        <f>IF(A7325="","",VLOOKUP(A7325,AA_Equipos,8,FALSE))</f>
        <v/>
      </c>
      <c r="J7325" s="273"/>
      <c r="K7325" s="395"/>
      <c r="L7325" s="273"/>
      <c r="M7325" s="394" t="str">
        <f t="shared" si="1000"/>
        <v/>
      </c>
      <c r="N7325" s="273"/>
    </row>
    <row r="7326" spans="1:14" ht="12.75" customHeight="1" x14ac:dyDescent="0.2">
      <c r="A7326" s="400"/>
      <c r="B7326" s="271"/>
      <c r="C7326" s="271"/>
      <c r="D7326" s="271"/>
      <c r="E7326" s="271"/>
      <c r="F7326" s="271"/>
      <c r="G7326" s="273"/>
      <c r="H7326" s="29" t="str">
        <f>IF(A7326="","",VLOOKUP(A7326,AA_Equipos,7,FALSE))</f>
        <v/>
      </c>
      <c r="I7326" s="394" t="str">
        <f>IF(A7326="","",VLOOKUP(A7326,AA_Equipos,8,FALSE))</f>
        <v/>
      </c>
      <c r="J7326" s="273"/>
      <c r="K7326" s="395"/>
      <c r="L7326" s="273"/>
      <c r="M7326" s="394" t="str">
        <f t="shared" si="1000"/>
        <v/>
      </c>
      <c r="N7326" s="273"/>
    </row>
    <row r="7327" spans="1:14" ht="12.75" customHeight="1" x14ac:dyDescent="0.25">
      <c r="A7327" s="4"/>
      <c r="B7327" s="4"/>
      <c r="C7327" s="4"/>
      <c r="D7327" s="4"/>
      <c r="E7327" s="4"/>
      <c r="F7327" s="4"/>
      <c r="G7327" s="4"/>
      <c r="H7327" s="4"/>
      <c r="I7327" s="4"/>
      <c r="J7327" s="4"/>
      <c r="K7327" s="396" t="s">
        <v>444</v>
      </c>
      <c r="L7327" s="273"/>
      <c r="M7327" s="394">
        <f>SUM(M7322:N7326)</f>
        <v>987.50759999999991</v>
      </c>
      <c r="N7327" s="273"/>
    </row>
    <row r="7328" spans="1:14" ht="12.75" customHeight="1" x14ac:dyDescent="0.25">
      <c r="A7328" s="4"/>
      <c r="B7328" s="4"/>
      <c r="C7328" s="4"/>
      <c r="D7328" s="4"/>
      <c r="E7328" s="4"/>
      <c r="F7328" s="4"/>
      <c r="G7328" s="4"/>
      <c r="H7328" s="4"/>
      <c r="I7328" s="4"/>
      <c r="J7328" s="4"/>
      <c r="K7328" s="4"/>
      <c r="L7328" s="4"/>
      <c r="M7328" s="4"/>
      <c r="N7328" s="4"/>
    </row>
    <row r="7329" spans="1:14" ht="12.75" customHeight="1" x14ac:dyDescent="0.2">
      <c r="A7329" s="398" t="s">
        <v>929</v>
      </c>
      <c r="B7329" s="271"/>
      <c r="C7329" s="271"/>
      <c r="D7329" s="271"/>
      <c r="E7329" s="271"/>
      <c r="F7329" s="271"/>
      <c r="G7329" s="271"/>
      <c r="H7329" s="271"/>
      <c r="I7329" s="271"/>
      <c r="J7329" s="271"/>
      <c r="K7329" s="271"/>
      <c r="L7329" s="271"/>
      <c r="M7329" s="271"/>
      <c r="N7329" s="273"/>
    </row>
    <row r="7330" spans="1:14" ht="12.75" customHeight="1" x14ac:dyDescent="0.2">
      <c r="A7330" s="396" t="s">
        <v>76</v>
      </c>
      <c r="B7330" s="271"/>
      <c r="C7330" s="271"/>
      <c r="D7330" s="271"/>
      <c r="E7330" s="271"/>
      <c r="F7330" s="271"/>
      <c r="G7330" s="273"/>
      <c r="H7330" s="88" t="s">
        <v>77</v>
      </c>
      <c r="I7330" s="399" t="s">
        <v>920</v>
      </c>
      <c r="J7330" s="273"/>
      <c r="K7330" s="399" t="s">
        <v>453</v>
      </c>
      <c r="L7330" s="273"/>
      <c r="M7330" s="399" t="s">
        <v>921</v>
      </c>
      <c r="N7330" s="273"/>
    </row>
    <row r="7331" spans="1:14" ht="12.75" customHeight="1" x14ac:dyDescent="0.2">
      <c r="A7331" s="400" t="s">
        <v>3174</v>
      </c>
      <c r="B7331" s="271"/>
      <c r="C7331" s="271"/>
      <c r="D7331" s="271"/>
      <c r="E7331" s="271"/>
      <c r="F7331" s="271"/>
      <c r="G7331" s="273"/>
      <c r="H7331" s="29" t="s">
        <v>24</v>
      </c>
      <c r="I7331" s="394">
        <f>+M7327</f>
        <v>987.50759999999991</v>
      </c>
      <c r="J7331" s="273"/>
      <c r="K7331" s="405">
        <v>0.05</v>
      </c>
      <c r="L7331" s="406"/>
      <c r="M7331" s="394">
        <f t="shared" ref="M7331:M7335" si="1001">IF(A7331="","",I7331*K7331)</f>
        <v>49.37538</v>
      </c>
      <c r="N7331" s="273"/>
    </row>
    <row r="7332" spans="1:14" ht="12.75" customHeight="1" x14ac:dyDescent="0.2">
      <c r="A7332" s="403"/>
      <c r="B7332" s="271"/>
      <c r="C7332" s="271"/>
      <c r="D7332" s="271"/>
      <c r="E7332" s="271"/>
      <c r="F7332" s="271"/>
      <c r="G7332" s="273"/>
      <c r="H7332" s="29"/>
      <c r="I7332" s="394"/>
      <c r="J7332" s="273"/>
      <c r="K7332" s="404"/>
      <c r="L7332" s="273"/>
      <c r="M7332" s="394" t="str">
        <f t="shared" si="1001"/>
        <v/>
      </c>
      <c r="N7332" s="273"/>
    </row>
    <row r="7333" spans="1:14" ht="12.75" customHeight="1" x14ac:dyDescent="0.2">
      <c r="A7333" s="400"/>
      <c r="B7333" s="271"/>
      <c r="C7333" s="271"/>
      <c r="D7333" s="271"/>
      <c r="E7333" s="271"/>
      <c r="F7333" s="271"/>
      <c r="G7333" s="273"/>
      <c r="H7333" s="29"/>
      <c r="I7333" s="394"/>
      <c r="J7333" s="273"/>
      <c r="K7333" s="395"/>
      <c r="L7333" s="273"/>
      <c r="M7333" s="394" t="str">
        <f t="shared" si="1001"/>
        <v/>
      </c>
      <c r="N7333" s="273"/>
    </row>
    <row r="7334" spans="1:14" ht="12.75" customHeight="1" x14ac:dyDescent="0.2">
      <c r="A7334" s="400"/>
      <c r="B7334" s="271"/>
      <c r="C7334" s="271"/>
      <c r="D7334" s="271"/>
      <c r="E7334" s="271"/>
      <c r="F7334" s="271"/>
      <c r="G7334" s="273"/>
      <c r="H7334" s="29"/>
      <c r="I7334" s="394"/>
      <c r="J7334" s="273"/>
      <c r="K7334" s="395"/>
      <c r="L7334" s="273"/>
      <c r="M7334" s="394" t="str">
        <f t="shared" si="1001"/>
        <v/>
      </c>
      <c r="N7334" s="273"/>
    </row>
    <row r="7335" spans="1:14" ht="12.75" customHeight="1" x14ac:dyDescent="0.2">
      <c r="A7335" s="400"/>
      <c r="B7335" s="271"/>
      <c r="C7335" s="271"/>
      <c r="D7335" s="271"/>
      <c r="E7335" s="271"/>
      <c r="F7335" s="271"/>
      <c r="G7335" s="273"/>
      <c r="H7335" s="29"/>
      <c r="I7335" s="394"/>
      <c r="J7335" s="273"/>
      <c r="K7335" s="395"/>
      <c r="L7335" s="273"/>
      <c r="M7335" s="394" t="str">
        <f t="shared" si="1001"/>
        <v/>
      </c>
      <c r="N7335" s="273"/>
    </row>
    <row r="7336" spans="1:14" ht="12.75" customHeight="1" x14ac:dyDescent="0.25">
      <c r="A7336" s="4"/>
      <c r="B7336" s="4"/>
      <c r="C7336" s="4"/>
      <c r="D7336" s="4"/>
      <c r="E7336" s="4"/>
      <c r="F7336" s="4"/>
      <c r="G7336" s="4"/>
      <c r="H7336" s="4"/>
      <c r="I7336" s="4"/>
      <c r="J7336" s="4"/>
      <c r="K7336" s="396" t="s">
        <v>444</v>
      </c>
      <c r="L7336" s="273"/>
      <c r="M7336" s="394">
        <f>SUM(M7331:N7335)</f>
        <v>49.37538</v>
      </c>
      <c r="N7336" s="273"/>
    </row>
    <row r="7337" spans="1:14" ht="12.75" customHeight="1" x14ac:dyDescent="0.25">
      <c r="A7337" s="4"/>
      <c r="B7337" s="4"/>
      <c r="C7337" s="4"/>
      <c r="D7337" s="4"/>
      <c r="E7337" s="4"/>
      <c r="F7337" s="4"/>
      <c r="G7337" s="4"/>
      <c r="H7337" s="4"/>
      <c r="I7337" s="4"/>
      <c r="J7337" s="4"/>
      <c r="K7337" s="4"/>
      <c r="L7337" s="4"/>
      <c r="M7337" s="4"/>
      <c r="N7337" s="4"/>
    </row>
    <row r="7338" spans="1:14" ht="12.75" customHeight="1" x14ac:dyDescent="0.2">
      <c r="A7338" s="398" t="s">
        <v>931</v>
      </c>
      <c r="B7338" s="271"/>
      <c r="C7338" s="271"/>
      <c r="D7338" s="271"/>
      <c r="E7338" s="271"/>
      <c r="F7338" s="271"/>
      <c r="G7338" s="271"/>
      <c r="H7338" s="271"/>
      <c r="I7338" s="271"/>
      <c r="J7338" s="271"/>
      <c r="K7338" s="271"/>
      <c r="L7338" s="271"/>
      <c r="M7338" s="271"/>
      <c r="N7338" s="273"/>
    </row>
    <row r="7339" spans="1:14" ht="12.75" customHeight="1" x14ac:dyDescent="0.2">
      <c r="A7339" s="396" t="s">
        <v>76</v>
      </c>
      <c r="B7339" s="271"/>
      <c r="C7339" s="271"/>
      <c r="D7339" s="271"/>
      <c r="E7339" s="271"/>
      <c r="F7339" s="271"/>
      <c r="G7339" s="273"/>
      <c r="H7339" s="88" t="s">
        <v>77</v>
      </c>
      <c r="I7339" s="399" t="s">
        <v>920</v>
      </c>
      <c r="J7339" s="273"/>
      <c r="K7339" s="90" t="s">
        <v>514</v>
      </c>
      <c r="L7339" s="91" t="s">
        <v>932</v>
      </c>
      <c r="M7339" s="399" t="s">
        <v>921</v>
      </c>
      <c r="N7339" s="273"/>
    </row>
    <row r="7340" spans="1:14" ht="12.75" customHeight="1" x14ac:dyDescent="0.25">
      <c r="A7340" s="393" t="s">
        <v>936</v>
      </c>
      <c r="B7340" s="271"/>
      <c r="C7340" s="271"/>
      <c r="D7340" s="271"/>
      <c r="E7340" s="271"/>
      <c r="F7340" s="271"/>
      <c r="G7340" s="273"/>
      <c r="H7340" s="29" t="str">
        <f>IF(A7340="","",VLOOKUP(A7340,AA_Cuadrillas,4,FALSE))</f>
        <v>Cuadrilla</v>
      </c>
      <c r="I7340" s="394">
        <f>IF(A7340="","",VLOOKUP(A7340,AA_Cuadrillas,5,FALSE))</f>
        <v>70036</v>
      </c>
      <c r="J7340" s="273"/>
      <c r="K7340" s="9">
        <f>IF(A7340="","",F.P!$I$2)</f>
        <v>1.88</v>
      </c>
      <c r="L7340" s="93">
        <v>0.15</v>
      </c>
      <c r="M7340" s="394">
        <f t="shared" ref="M7340:M7344" si="1002">IF(A7340="","",I7340*K7340*L7340)</f>
        <v>19750.151999999998</v>
      </c>
      <c r="N7340" s="273"/>
    </row>
    <row r="7341" spans="1:14" ht="12.75" customHeight="1" x14ac:dyDescent="0.25">
      <c r="A7341" s="393"/>
      <c r="B7341" s="271"/>
      <c r="C7341" s="271"/>
      <c r="D7341" s="271"/>
      <c r="E7341" s="271"/>
      <c r="F7341" s="271"/>
      <c r="G7341" s="273"/>
      <c r="H7341" s="29" t="str">
        <f>IF(A7341="","",VLOOKUP(A7341,AA_Cuadrillas,4,FALSE))</f>
        <v/>
      </c>
      <c r="I7341" s="394" t="str">
        <f>IF(A7341="","",VLOOKUP(A7341,AA_Cuadrillas,5,FALSE))</f>
        <v/>
      </c>
      <c r="J7341" s="273"/>
      <c r="K7341" s="9" t="str">
        <f>IF(A7341="","",F.P!$I$2)</f>
        <v/>
      </c>
      <c r="L7341" s="9"/>
      <c r="M7341" s="394" t="str">
        <f t="shared" si="1002"/>
        <v/>
      </c>
      <c r="N7341" s="273"/>
    </row>
    <row r="7342" spans="1:14" ht="12.75" customHeight="1" x14ac:dyDescent="0.25">
      <c r="A7342" s="393"/>
      <c r="B7342" s="271"/>
      <c r="C7342" s="271"/>
      <c r="D7342" s="271"/>
      <c r="E7342" s="271"/>
      <c r="F7342" s="271"/>
      <c r="G7342" s="273"/>
      <c r="H7342" s="29" t="str">
        <f>IF(A7342="","",VLOOKUP(A7342,AA_Cuadrillas,4,FALSE))</f>
        <v/>
      </c>
      <c r="I7342" s="394" t="str">
        <f>IF(A7342="","",VLOOKUP(A7342,AA_Cuadrillas,5,FALSE))</f>
        <v/>
      </c>
      <c r="J7342" s="273"/>
      <c r="K7342" s="9" t="str">
        <f>IF(A7342="","",F.P!$I$2)</f>
        <v/>
      </c>
      <c r="L7342" s="37"/>
      <c r="M7342" s="394" t="str">
        <f t="shared" si="1002"/>
        <v/>
      </c>
      <c r="N7342" s="273"/>
    </row>
    <row r="7343" spans="1:14" ht="12.75" customHeight="1" x14ac:dyDescent="0.25">
      <c r="A7343" s="393"/>
      <c r="B7343" s="271"/>
      <c r="C7343" s="271"/>
      <c r="D7343" s="271"/>
      <c r="E7343" s="271"/>
      <c r="F7343" s="271"/>
      <c r="G7343" s="273"/>
      <c r="H7343" s="29" t="str">
        <f>IF(A7343="","",VLOOKUP(A7343,AA_Cuadrillas,4,FALSE))</f>
        <v/>
      </c>
      <c r="I7343" s="394" t="str">
        <f>IF(A7343="","",VLOOKUP(A7343,AA_Cuadrillas,5,FALSE))</f>
        <v/>
      </c>
      <c r="J7343" s="273"/>
      <c r="K7343" s="9" t="str">
        <f>IF(A7343="","",F.P!$I$2)</f>
        <v/>
      </c>
      <c r="L7343" s="37"/>
      <c r="M7343" s="394" t="str">
        <f t="shared" si="1002"/>
        <v/>
      </c>
      <c r="N7343" s="273"/>
    </row>
    <row r="7344" spans="1:14" ht="12.75" customHeight="1" x14ac:dyDescent="0.25">
      <c r="A7344" s="393"/>
      <c r="B7344" s="271"/>
      <c r="C7344" s="271"/>
      <c r="D7344" s="271"/>
      <c r="E7344" s="271"/>
      <c r="F7344" s="271"/>
      <c r="G7344" s="273"/>
      <c r="H7344" s="29" t="str">
        <f>IF(A7344="","",VLOOKUP(A7344,AA_Cuadrillas,4,FALSE))</f>
        <v/>
      </c>
      <c r="I7344" s="394" t="str">
        <f>IF(A7344="","",VLOOKUP(A7344,AA_Cuadrillas,5,FALSE))</f>
        <v/>
      </c>
      <c r="J7344" s="273"/>
      <c r="K7344" s="9" t="str">
        <f>IF(A7344="","",F.P!$I$2)</f>
        <v/>
      </c>
      <c r="L7344" s="37"/>
      <c r="M7344" s="394" t="str">
        <f t="shared" si="1002"/>
        <v/>
      </c>
      <c r="N7344" s="273"/>
    </row>
    <row r="7345" spans="1:15" ht="12.75" customHeight="1" x14ac:dyDescent="0.25">
      <c r="A7345" s="4"/>
      <c r="B7345" s="4"/>
      <c r="C7345" s="4"/>
      <c r="D7345" s="4"/>
      <c r="E7345" s="4"/>
      <c r="F7345" s="4"/>
      <c r="G7345" s="4"/>
      <c r="H7345" s="4"/>
      <c r="I7345" s="4"/>
      <c r="J7345" s="4"/>
      <c r="K7345" s="396" t="s">
        <v>444</v>
      </c>
      <c r="L7345" s="273"/>
      <c r="M7345" s="394">
        <f>SUM(M7340:N7344)</f>
        <v>19750.151999999998</v>
      </c>
      <c r="N7345" s="273"/>
    </row>
    <row r="7346" spans="1:15" ht="12.75" customHeight="1" x14ac:dyDescent="0.2"/>
    <row r="7347" spans="1:15" ht="12.75" customHeight="1" x14ac:dyDescent="0.2">
      <c r="A7347" s="407" t="s">
        <v>172</v>
      </c>
      <c r="B7347" s="275"/>
      <c r="C7347" s="275"/>
      <c r="D7347" s="275"/>
      <c r="E7347" s="275"/>
      <c r="F7347" s="275"/>
      <c r="G7347" s="275"/>
      <c r="H7347" s="275"/>
      <c r="I7347" s="275"/>
      <c r="J7347" s="275"/>
      <c r="K7347" s="275"/>
      <c r="L7347" s="275"/>
      <c r="M7347" s="275"/>
      <c r="N7347" s="276"/>
      <c r="O7347" s="166"/>
    </row>
    <row r="7348" spans="1:15" ht="12.75" customHeight="1" x14ac:dyDescent="0.2">
      <c r="A7348" s="277"/>
      <c r="B7348" s="278"/>
      <c r="C7348" s="278"/>
      <c r="D7348" s="278"/>
      <c r="E7348" s="278"/>
      <c r="F7348" s="278"/>
      <c r="G7348" s="278"/>
      <c r="H7348" s="278"/>
      <c r="I7348" s="278"/>
      <c r="J7348" s="278"/>
      <c r="K7348" s="278"/>
      <c r="L7348" s="278"/>
      <c r="M7348" s="278"/>
      <c r="N7348" s="279"/>
      <c r="O7348" s="166"/>
    </row>
    <row r="7349" spans="1:15" ht="12.75" customHeight="1" x14ac:dyDescent="0.2">
      <c r="A7349" s="75"/>
      <c r="B7349" s="75"/>
      <c r="C7349" s="75"/>
      <c r="D7349" s="75"/>
      <c r="E7349" s="75"/>
      <c r="F7349" s="75"/>
      <c r="G7349" s="75"/>
      <c r="H7349" s="75"/>
      <c r="I7349" s="75"/>
      <c r="J7349" s="75"/>
      <c r="K7349" s="75"/>
      <c r="L7349" s="75"/>
      <c r="M7349" s="75"/>
      <c r="N7349" s="75"/>
    </row>
    <row r="7350" spans="1:15" ht="12.75" customHeight="1" x14ac:dyDescent="0.3">
      <c r="A7350" s="79" t="s">
        <v>783</v>
      </c>
      <c r="B7350" s="80" t="str">
        <f>A7347</f>
        <v>CONCRETO DE 3000 PSI A TODO COSTO (210 KG/CM2) PARA ENCOFRADO DE TUBERÍA DE PASOS FLUVIALES</v>
      </c>
      <c r="C7350" s="81" t="s">
        <v>916</v>
      </c>
      <c r="D7350" s="82" t="s">
        <v>258</v>
      </c>
      <c r="E7350" s="83" t="s">
        <v>445</v>
      </c>
      <c r="F7350" s="234">
        <f>(H7350+J7350+L7350+N7350)*1.3</f>
        <v>965054.12208278815</v>
      </c>
      <c r="G7350" s="83" t="s">
        <v>607</v>
      </c>
      <c r="H7350" s="86">
        <f>M7371</f>
        <v>48031.749777777775</v>
      </c>
      <c r="I7350" s="83" t="s">
        <v>918</v>
      </c>
      <c r="J7350" s="86">
        <f>M7362</f>
        <v>410065</v>
      </c>
      <c r="K7350" s="83" t="s">
        <v>609</v>
      </c>
      <c r="L7350" s="86">
        <f>M7380</f>
        <v>118448.69045684562</v>
      </c>
      <c r="M7350" s="83" t="s">
        <v>610</v>
      </c>
      <c r="N7350" s="86">
        <f>M7389</f>
        <v>165803.88444444444</v>
      </c>
    </row>
    <row r="7351" spans="1:15" ht="12.75" customHeight="1" x14ac:dyDescent="0.25">
      <c r="A7351" s="87"/>
      <c r="B7351" s="87"/>
      <c r="C7351" s="87"/>
      <c r="D7351" s="87"/>
      <c r="E7351" s="87"/>
      <c r="F7351" s="87"/>
      <c r="G7351" s="87"/>
      <c r="J7351" s="87"/>
      <c r="K7351" s="215" t="s">
        <v>3217</v>
      </c>
      <c r="L7351" s="215">
        <f>+F7350*presup!$O$5</f>
        <v>1254570.3587076247</v>
      </c>
      <c r="M7351" s="87"/>
      <c r="N7351" s="87"/>
    </row>
    <row r="7352" spans="1:15" ht="12.75" customHeight="1" x14ac:dyDescent="0.2">
      <c r="A7352" s="398" t="s">
        <v>919</v>
      </c>
      <c r="B7352" s="271"/>
      <c r="C7352" s="271"/>
      <c r="D7352" s="271"/>
      <c r="E7352" s="271"/>
      <c r="F7352" s="271"/>
      <c r="G7352" s="271"/>
      <c r="H7352" s="271"/>
      <c r="I7352" s="271"/>
      <c r="J7352" s="271"/>
      <c r="K7352" s="271"/>
      <c r="L7352" s="271"/>
      <c r="M7352" s="271"/>
      <c r="N7352" s="273"/>
    </row>
    <row r="7353" spans="1:15" ht="12.75" customHeight="1" x14ac:dyDescent="0.2">
      <c r="A7353" s="396" t="s">
        <v>76</v>
      </c>
      <c r="B7353" s="271"/>
      <c r="C7353" s="271"/>
      <c r="D7353" s="271"/>
      <c r="E7353" s="271"/>
      <c r="F7353" s="271"/>
      <c r="G7353" s="273"/>
      <c r="H7353" s="88" t="s">
        <v>77</v>
      </c>
      <c r="I7353" s="399" t="s">
        <v>920</v>
      </c>
      <c r="J7353" s="273"/>
      <c r="K7353" s="399" t="s">
        <v>453</v>
      </c>
      <c r="L7353" s="273"/>
      <c r="M7353" s="399" t="s">
        <v>921</v>
      </c>
      <c r="N7353" s="273"/>
    </row>
    <row r="7354" spans="1:15" ht="12.75" customHeight="1" x14ac:dyDescent="0.2">
      <c r="A7354" s="400" t="s">
        <v>953</v>
      </c>
      <c r="B7354" s="271"/>
      <c r="C7354" s="271"/>
      <c r="D7354" s="271"/>
      <c r="E7354" s="271"/>
      <c r="F7354" s="271"/>
      <c r="G7354" s="273"/>
      <c r="H7354" s="29" t="str">
        <f t="shared" ref="H7354:H7361" si="1003">IF(A7354="","",VLOOKUP(A7354,AA_Materiales,7,FALSE))</f>
        <v>Kg</v>
      </c>
      <c r="I7354" s="394">
        <f t="shared" ref="I7354:I7361" si="1004">IF(A7354="","",VLOOKUP(A7354,AA_Materiales,8,FALSE))</f>
        <v>800</v>
      </c>
      <c r="J7354" s="273"/>
      <c r="K7354" s="395">
        <v>350</v>
      </c>
      <c r="L7354" s="273"/>
      <c r="M7354" s="394">
        <f t="shared" ref="M7354:M7361" si="1005">IF(A7354="","",I7354*K7354)</f>
        <v>280000</v>
      </c>
      <c r="N7354" s="273"/>
    </row>
    <row r="7355" spans="1:15" ht="12.75" customHeight="1" x14ac:dyDescent="0.2">
      <c r="A7355" s="400" t="s">
        <v>954</v>
      </c>
      <c r="B7355" s="271"/>
      <c r="C7355" s="271"/>
      <c r="D7355" s="271"/>
      <c r="E7355" s="271"/>
      <c r="F7355" s="271"/>
      <c r="G7355" s="273"/>
      <c r="H7355" s="29" t="str">
        <f t="shared" si="1003"/>
        <v>m3</v>
      </c>
      <c r="I7355" s="394">
        <f t="shared" si="1004"/>
        <v>83000</v>
      </c>
      <c r="J7355" s="273"/>
      <c r="K7355" s="401">
        <v>0.55500000000000005</v>
      </c>
      <c r="L7355" s="273"/>
      <c r="M7355" s="394">
        <f t="shared" si="1005"/>
        <v>46065.000000000007</v>
      </c>
      <c r="N7355" s="273"/>
    </row>
    <row r="7356" spans="1:15" ht="12.75" customHeight="1" x14ac:dyDescent="0.2">
      <c r="A7356" s="400" t="s">
        <v>955</v>
      </c>
      <c r="B7356" s="271"/>
      <c r="C7356" s="271"/>
      <c r="D7356" s="271"/>
      <c r="E7356" s="271"/>
      <c r="F7356" s="271"/>
      <c r="G7356" s="273"/>
      <c r="H7356" s="29" t="str">
        <f t="shared" si="1003"/>
        <v>m3</v>
      </c>
      <c r="I7356" s="394">
        <f t="shared" si="1004"/>
        <v>90000</v>
      </c>
      <c r="J7356" s="273"/>
      <c r="K7356" s="401">
        <v>0.83499999999999996</v>
      </c>
      <c r="L7356" s="273"/>
      <c r="M7356" s="394">
        <f t="shared" si="1005"/>
        <v>75150</v>
      </c>
      <c r="N7356" s="273"/>
    </row>
    <row r="7357" spans="1:15" ht="12.75" customHeight="1" x14ac:dyDescent="0.2">
      <c r="A7357" s="400" t="s">
        <v>956</v>
      </c>
      <c r="B7357" s="271"/>
      <c r="C7357" s="271"/>
      <c r="D7357" s="271"/>
      <c r="E7357" s="271"/>
      <c r="F7357" s="271"/>
      <c r="G7357" s="273"/>
      <c r="H7357" s="29" t="str">
        <f t="shared" si="1003"/>
        <v>Lt</v>
      </c>
      <c r="I7357" s="394">
        <f t="shared" si="1004"/>
        <v>20</v>
      </c>
      <c r="J7357" s="273"/>
      <c r="K7357" s="395">
        <v>180</v>
      </c>
      <c r="L7357" s="273"/>
      <c r="M7357" s="394">
        <f t="shared" si="1005"/>
        <v>3600</v>
      </c>
      <c r="N7357" s="273"/>
    </row>
    <row r="7358" spans="1:15" ht="12.75" customHeight="1" x14ac:dyDescent="0.2">
      <c r="A7358" s="400" t="s">
        <v>963</v>
      </c>
      <c r="B7358" s="271"/>
      <c r="C7358" s="271"/>
      <c r="D7358" s="271"/>
      <c r="E7358" s="271"/>
      <c r="F7358" s="271"/>
      <c r="G7358" s="273"/>
      <c r="H7358" s="29" t="str">
        <f t="shared" si="1003"/>
        <v>m2</v>
      </c>
      <c r="I7358" s="394">
        <f t="shared" si="1004"/>
        <v>8750</v>
      </c>
      <c r="J7358" s="273"/>
      <c r="K7358" s="395">
        <v>0.6</v>
      </c>
      <c r="L7358" s="273"/>
      <c r="M7358" s="394">
        <f t="shared" si="1005"/>
        <v>5250</v>
      </c>
      <c r="N7358" s="273"/>
    </row>
    <row r="7359" spans="1:15" ht="12.75" customHeight="1" x14ac:dyDescent="0.2">
      <c r="A7359" s="400"/>
      <c r="B7359" s="271"/>
      <c r="C7359" s="271"/>
      <c r="D7359" s="271"/>
      <c r="E7359" s="271"/>
      <c r="F7359" s="271"/>
      <c r="G7359" s="273"/>
      <c r="H7359" s="29" t="str">
        <f t="shared" si="1003"/>
        <v/>
      </c>
      <c r="I7359" s="394" t="str">
        <f t="shared" si="1004"/>
        <v/>
      </c>
      <c r="J7359" s="273"/>
      <c r="K7359" s="395"/>
      <c r="L7359" s="273"/>
      <c r="M7359" s="394" t="str">
        <f t="shared" si="1005"/>
        <v/>
      </c>
      <c r="N7359" s="273"/>
    </row>
    <row r="7360" spans="1:15" ht="12.75" customHeight="1" x14ac:dyDescent="0.2">
      <c r="A7360" s="400"/>
      <c r="B7360" s="271"/>
      <c r="C7360" s="271"/>
      <c r="D7360" s="271"/>
      <c r="E7360" s="271"/>
      <c r="F7360" s="271"/>
      <c r="G7360" s="273"/>
      <c r="H7360" s="29" t="str">
        <f t="shared" si="1003"/>
        <v/>
      </c>
      <c r="I7360" s="394" t="str">
        <f t="shared" si="1004"/>
        <v/>
      </c>
      <c r="J7360" s="273"/>
      <c r="K7360" s="395"/>
      <c r="L7360" s="273"/>
      <c r="M7360" s="394" t="str">
        <f t="shared" si="1005"/>
        <v/>
      </c>
      <c r="N7360" s="273"/>
    </row>
    <row r="7361" spans="1:14" ht="12.75" customHeight="1" x14ac:dyDescent="0.2">
      <c r="A7361" s="400"/>
      <c r="B7361" s="271"/>
      <c r="C7361" s="271"/>
      <c r="D7361" s="271"/>
      <c r="E7361" s="271"/>
      <c r="F7361" s="271"/>
      <c r="G7361" s="273"/>
      <c r="H7361" s="29" t="str">
        <f t="shared" si="1003"/>
        <v/>
      </c>
      <c r="I7361" s="394" t="str">
        <f t="shared" si="1004"/>
        <v/>
      </c>
      <c r="J7361" s="273"/>
      <c r="K7361" s="395"/>
      <c r="L7361" s="273"/>
      <c r="M7361" s="394" t="str">
        <f t="shared" si="1005"/>
        <v/>
      </c>
      <c r="N7361" s="273"/>
    </row>
    <row r="7362" spans="1:14" ht="12.75" customHeight="1" x14ac:dyDescent="0.25">
      <c r="A7362" s="4"/>
      <c r="B7362" s="4"/>
      <c r="C7362" s="4"/>
      <c r="D7362" s="4"/>
      <c r="E7362" s="4"/>
      <c r="F7362" s="4"/>
      <c r="G7362" s="4"/>
      <c r="H7362" s="4"/>
      <c r="I7362" s="4"/>
      <c r="J7362" s="4"/>
      <c r="K7362" s="396" t="s">
        <v>444</v>
      </c>
      <c r="L7362" s="273"/>
      <c r="M7362" s="394">
        <f>SUM(M7354:N7361)</f>
        <v>410065</v>
      </c>
      <c r="N7362" s="273"/>
    </row>
    <row r="7363" spans="1:14" ht="12.75" customHeight="1" x14ac:dyDescent="0.25">
      <c r="A7363" s="4"/>
      <c r="B7363" s="4"/>
      <c r="C7363" s="4"/>
      <c r="D7363" s="4"/>
      <c r="E7363" s="4"/>
      <c r="F7363" s="4"/>
      <c r="G7363" s="4"/>
      <c r="H7363" s="4"/>
      <c r="I7363" s="4"/>
      <c r="J7363" s="4"/>
      <c r="K7363" s="4"/>
      <c r="L7363" s="4"/>
      <c r="M7363" s="4"/>
      <c r="N7363" s="4"/>
    </row>
    <row r="7364" spans="1:14" ht="12.75" customHeight="1" x14ac:dyDescent="0.2">
      <c r="A7364" s="398" t="s">
        <v>926</v>
      </c>
      <c r="B7364" s="271"/>
      <c r="C7364" s="271"/>
      <c r="D7364" s="271"/>
      <c r="E7364" s="271"/>
      <c r="F7364" s="271"/>
      <c r="G7364" s="271"/>
      <c r="H7364" s="271"/>
      <c r="I7364" s="271"/>
      <c r="J7364" s="271"/>
      <c r="K7364" s="271"/>
      <c r="L7364" s="271"/>
      <c r="M7364" s="271"/>
      <c r="N7364" s="273"/>
    </row>
    <row r="7365" spans="1:14" ht="12.75" customHeight="1" x14ac:dyDescent="0.2">
      <c r="A7365" s="396" t="s">
        <v>76</v>
      </c>
      <c r="B7365" s="271"/>
      <c r="C7365" s="271"/>
      <c r="D7365" s="271"/>
      <c r="E7365" s="271"/>
      <c r="F7365" s="271"/>
      <c r="G7365" s="273"/>
      <c r="H7365" s="88" t="s">
        <v>77</v>
      </c>
      <c r="I7365" s="399" t="s">
        <v>920</v>
      </c>
      <c r="J7365" s="273"/>
      <c r="K7365" s="399" t="s">
        <v>453</v>
      </c>
      <c r="L7365" s="273"/>
      <c r="M7365" s="399" t="s">
        <v>921</v>
      </c>
      <c r="N7365" s="273"/>
    </row>
    <row r="7366" spans="1:14" ht="12.75" customHeight="1" x14ac:dyDescent="0.2">
      <c r="A7366" s="400" t="s">
        <v>927</v>
      </c>
      <c r="B7366" s="271"/>
      <c r="C7366" s="271"/>
      <c r="D7366" s="271"/>
      <c r="E7366" s="271"/>
      <c r="F7366" s="271"/>
      <c r="G7366" s="273"/>
      <c r="H7366" s="29" t="str">
        <f>IF(A7366="","",VLOOKUP(A7366,AA_Equipos,7,FALSE))</f>
        <v>% M.O.</v>
      </c>
      <c r="I7366" s="394">
        <f>M7389</f>
        <v>165803.88444444444</v>
      </c>
      <c r="J7366" s="273"/>
      <c r="K7366" s="404">
        <v>0.05</v>
      </c>
      <c r="L7366" s="273"/>
      <c r="M7366" s="394">
        <f t="shared" ref="M7366:M7370" si="1006">IF(A7366="","",I7366*K7366)</f>
        <v>8290.1942222222224</v>
      </c>
      <c r="N7366" s="273"/>
    </row>
    <row r="7367" spans="1:14" ht="12.75" customHeight="1" x14ac:dyDescent="0.2">
      <c r="A7367" s="403" t="s">
        <v>957</v>
      </c>
      <c r="B7367" s="271"/>
      <c r="C7367" s="271"/>
      <c r="D7367" s="271"/>
      <c r="E7367" s="271"/>
      <c r="F7367" s="271"/>
      <c r="G7367" s="273"/>
      <c r="H7367" s="29" t="str">
        <f>IF(A7367="","",VLOOKUP(A7367,AA_Equipos,7,FALSE))</f>
        <v>Dia</v>
      </c>
      <c r="I7367" s="394">
        <f>IF(A7367="","",VLOOKUP(A7367,AA_Equipos,8,FALSE))</f>
        <v>107071</v>
      </c>
      <c r="J7367" s="273"/>
      <c r="K7367" s="402">
        <f t="shared" ref="K7367:K7368" si="1007">1/4.5</f>
        <v>0.22222222222222221</v>
      </c>
      <c r="L7367" s="273"/>
      <c r="M7367" s="394">
        <f t="shared" si="1006"/>
        <v>23793.555555555555</v>
      </c>
      <c r="N7367" s="273"/>
    </row>
    <row r="7368" spans="1:14" ht="12.75" customHeight="1" x14ac:dyDescent="0.2">
      <c r="A7368" s="400" t="s">
        <v>964</v>
      </c>
      <c r="B7368" s="271"/>
      <c r="C7368" s="271"/>
      <c r="D7368" s="271"/>
      <c r="E7368" s="271"/>
      <c r="F7368" s="271"/>
      <c r="G7368" s="273"/>
      <c r="H7368" s="29" t="str">
        <f>IF(A7368="","",VLOOKUP(A7368,AA_Equipos,7,FALSE))</f>
        <v>Dia</v>
      </c>
      <c r="I7368" s="394">
        <f>IF(A7368="","",VLOOKUP(A7368,AA_Equipos,8,FALSE))</f>
        <v>71766</v>
      </c>
      <c r="J7368" s="273"/>
      <c r="K7368" s="401">
        <f t="shared" si="1007"/>
        <v>0.22222222222222221</v>
      </c>
      <c r="L7368" s="273"/>
      <c r="M7368" s="394">
        <f t="shared" si="1006"/>
        <v>15948</v>
      </c>
      <c r="N7368" s="273"/>
    </row>
    <row r="7369" spans="1:14" ht="12.75" customHeight="1" x14ac:dyDescent="0.2">
      <c r="A7369" s="400"/>
      <c r="B7369" s="271"/>
      <c r="C7369" s="271"/>
      <c r="D7369" s="271"/>
      <c r="E7369" s="271"/>
      <c r="F7369" s="271"/>
      <c r="G7369" s="273"/>
      <c r="H7369" s="29" t="str">
        <f>IF(A7369="","",VLOOKUP(A7369,AA_Equipos,7,FALSE))</f>
        <v/>
      </c>
      <c r="I7369" s="394" t="str">
        <f>IF(A7369="","",VLOOKUP(A7369,AA_Equipos,8,FALSE))</f>
        <v/>
      </c>
      <c r="J7369" s="273"/>
      <c r="K7369" s="395"/>
      <c r="L7369" s="273"/>
      <c r="M7369" s="394" t="str">
        <f t="shared" si="1006"/>
        <v/>
      </c>
      <c r="N7369" s="273"/>
    </row>
    <row r="7370" spans="1:14" ht="12.75" customHeight="1" x14ac:dyDescent="0.2">
      <c r="A7370" s="400"/>
      <c r="B7370" s="271"/>
      <c r="C7370" s="271"/>
      <c r="D7370" s="271"/>
      <c r="E7370" s="271"/>
      <c r="F7370" s="271"/>
      <c r="G7370" s="273"/>
      <c r="H7370" s="29" t="str">
        <f>IF(A7370="","",VLOOKUP(A7370,AA_Equipos,7,FALSE))</f>
        <v/>
      </c>
      <c r="I7370" s="394" t="str">
        <f>IF(A7370="","",VLOOKUP(A7370,AA_Equipos,8,FALSE))</f>
        <v/>
      </c>
      <c r="J7370" s="273"/>
      <c r="K7370" s="395"/>
      <c r="L7370" s="273"/>
      <c r="M7370" s="394" t="str">
        <f t="shared" si="1006"/>
        <v/>
      </c>
      <c r="N7370" s="273"/>
    </row>
    <row r="7371" spans="1:14" ht="12.75" customHeight="1" x14ac:dyDescent="0.25">
      <c r="A7371" s="4"/>
      <c r="B7371" s="4"/>
      <c r="C7371" s="4"/>
      <c r="D7371" s="4"/>
      <c r="E7371" s="4"/>
      <c r="F7371" s="4"/>
      <c r="G7371" s="4"/>
      <c r="H7371" s="4"/>
      <c r="I7371" s="4"/>
      <c r="J7371" s="4"/>
      <c r="K7371" s="396" t="s">
        <v>444</v>
      </c>
      <c r="L7371" s="273"/>
      <c r="M7371" s="394">
        <f>SUM(M7366:N7370)</f>
        <v>48031.749777777775</v>
      </c>
      <c r="N7371" s="273"/>
    </row>
    <row r="7372" spans="1:14" ht="12.75" customHeight="1" x14ac:dyDescent="0.25">
      <c r="A7372" s="4"/>
      <c r="B7372" s="4"/>
      <c r="C7372" s="4"/>
      <c r="D7372" s="4"/>
      <c r="E7372" s="4"/>
      <c r="F7372" s="4"/>
      <c r="G7372" s="4"/>
      <c r="H7372" s="4"/>
      <c r="I7372" s="4"/>
      <c r="J7372" s="4"/>
      <c r="K7372" s="4"/>
      <c r="L7372" s="4"/>
      <c r="M7372" s="4"/>
      <c r="N7372" s="4"/>
    </row>
    <row r="7373" spans="1:14" ht="12.75" customHeight="1" x14ac:dyDescent="0.2">
      <c r="A7373" s="398" t="s">
        <v>929</v>
      </c>
      <c r="B7373" s="271"/>
      <c r="C7373" s="271"/>
      <c r="D7373" s="271"/>
      <c r="E7373" s="271"/>
      <c r="F7373" s="271"/>
      <c r="G7373" s="271"/>
      <c r="H7373" s="271"/>
      <c r="I7373" s="271"/>
      <c r="J7373" s="271"/>
      <c r="K7373" s="271"/>
      <c r="L7373" s="271"/>
      <c r="M7373" s="271"/>
      <c r="N7373" s="273"/>
    </row>
    <row r="7374" spans="1:14" ht="12.75" customHeight="1" x14ac:dyDescent="0.2">
      <c r="A7374" s="396" t="s">
        <v>76</v>
      </c>
      <c r="B7374" s="271"/>
      <c r="C7374" s="271"/>
      <c r="D7374" s="271"/>
      <c r="E7374" s="271"/>
      <c r="F7374" s="271"/>
      <c r="G7374" s="273"/>
      <c r="H7374" s="88" t="s">
        <v>77</v>
      </c>
      <c r="I7374" s="399" t="s">
        <v>920</v>
      </c>
      <c r="J7374" s="273"/>
      <c r="K7374" s="399" t="s">
        <v>453</v>
      </c>
      <c r="L7374" s="273"/>
      <c r="M7374" s="399" t="s">
        <v>921</v>
      </c>
      <c r="N7374" s="273"/>
    </row>
    <row r="7375" spans="1:14" ht="12.75" customHeight="1" x14ac:dyDescent="0.2">
      <c r="A7375" s="400" t="s">
        <v>965</v>
      </c>
      <c r="B7375" s="271"/>
      <c r="C7375" s="271"/>
      <c r="D7375" s="271"/>
      <c r="E7375" s="271"/>
      <c r="F7375" s="271"/>
      <c r="G7375" s="273"/>
      <c r="H7375" s="29" t="s">
        <v>959</v>
      </c>
      <c r="I7375" s="394">
        <f>+M7371</f>
        <v>48031.749777777775</v>
      </c>
      <c r="J7375" s="273"/>
      <c r="K7375" s="404">
        <v>0.05</v>
      </c>
      <c r="L7375" s="273"/>
      <c r="M7375" s="394">
        <f t="shared" ref="M7375:M7379" si="1008">IF(A7375="","",I7375*K7375)</f>
        <v>2401.5874888888889</v>
      </c>
      <c r="N7375" s="273"/>
    </row>
    <row r="7376" spans="1:14" ht="12.75" customHeight="1" x14ac:dyDescent="0.2">
      <c r="A7376" s="403" t="s">
        <v>3172</v>
      </c>
      <c r="B7376" s="271"/>
      <c r="C7376" s="271"/>
      <c r="D7376" s="271"/>
      <c r="E7376" s="271"/>
      <c r="F7376" s="271"/>
      <c r="G7376" s="273"/>
      <c r="H7376" s="29" t="s">
        <v>967</v>
      </c>
      <c r="I7376" s="394">
        <f>'precios '!$J$222</f>
        <v>2077.2367952644231</v>
      </c>
      <c r="J7376" s="273"/>
      <c r="K7376" s="408">
        <f>Indice!$L$21</f>
        <v>49</v>
      </c>
      <c r="L7376" s="273"/>
      <c r="M7376" s="394">
        <f t="shared" si="1008"/>
        <v>101784.60296795673</v>
      </c>
      <c r="N7376" s="273"/>
    </row>
    <row r="7377" spans="1:15" ht="12.75" customHeight="1" x14ac:dyDescent="0.2">
      <c r="A7377" s="400" t="s">
        <v>3173</v>
      </c>
      <c r="B7377" s="271"/>
      <c r="C7377" s="271"/>
      <c r="D7377" s="271"/>
      <c r="E7377" s="271"/>
      <c r="F7377" s="271"/>
      <c r="G7377" s="273"/>
      <c r="H7377" s="29" t="s">
        <v>24</v>
      </c>
      <c r="I7377" s="394">
        <f>+M7354+M7358</f>
        <v>285250</v>
      </c>
      <c r="J7377" s="273"/>
      <c r="K7377" s="404">
        <v>0.05</v>
      </c>
      <c r="L7377" s="273"/>
      <c r="M7377" s="394">
        <f t="shared" si="1008"/>
        <v>14262.5</v>
      </c>
      <c r="N7377" s="273"/>
    </row>
    <row r="7378" spans="1:15" ht="12.75" customHeight="1" x14ac:dyDescent="0.2">
      <c r="A7378" s="400"/>
      <c r="B7378" s="271"/>
      <c r="C7378" s="271"/>
      <c r="D7378" s="271"/>
      <c r="E7378" s="271"/>
      <c r="F7378" s="271"/>
      <c r="G7378" s="273"/>
      <c r="H7378" s="29"/>
      <c r="I7378" s="394"/>
      <c r="J7378" s="273"/>
      <c r="K7378" s="395"/>
      <c r="L7378" s="273"/>
      <c r="M7378" s="394" t="str">
        <f t="shared" si="1008"/>
        <v/>
      </c>
      <c r="N7378" s="273"/>
    </row>
    <row r="7379" spans="1:15" ht="12.75" customHeight="1" x14ac:dyDescent="0.2">
      <c r="A7379" s="400"/>
      <c r="B7379" s="271"/>
      <c r="C7379" s="271"/>
      <c r="D7379" s="271"/>
      <c r="E7379" s="271"/>
      <c r="F7379" s="271"/>
      <c r="G7379" s="273"/>
      <c r="H7379" s="29"/>
      <c r="I7379" s="394"/>
      <c r="J7379" s="273"/>
      <c r="K7379" s="395"/>
      <c r="L7379" s="273"/>
      <c r="M7379" s="394" t="str">
        <f t="shared" si="1008"/>
        <v/>
      </c>
      <c r="N7379" s="273"/>
    </row>
    <row r="7380" spans="1:15" ht="12.75" customHeight="1" x14ac:dyDescent="0.25">
      <c r="A7380" s="4"/>
      <c r="B7380" s="4"/>
      <c r="C7380" s="4"/>
      <c r="D7380" s="4"/>
      <c r="E7380" s="4"/>
      <c r="F7380" s="4"/>
      <c r="G7380" s="4"/>
      <c r="H7380" s="4"/>
      <c r="I7380" s="4"/>
      <c r="J7380" s="4"/>
      <c r="K7380" s="396" t="s">
        <v>444</v>
      </c>
      <c r="L7380" s="273"/>
      <c r="M7380" s="394">
        <f>SUM(M7375:N7379)</f>
        <v>118448.69045684562</v>
      </c>
      <c r="N7380" s="273"/>
    </row>
    <row r="7381" spans="1:15" ht="12.75" customHeight="1" x14ac:dyDescent="0.25">
      <c r="A7381" s="4"/>
      <c r="B7381" s="4"/>
      <c r="C7381" s="4"/>
      <c r="D7381" s="4"/>
      <c r="E7381" s="4"/>
      <c r="F7381" s="4"/>
      <c r="G7381" s="4"/>
      <c r="H7381" s="4"/>
      <c r="I7381" s="4"/>
      <c r="J7381" s="4"/>
      <c r="K7381" s="94"/>
      <c r="L7381" s="95"/>
      <c r="M7381" s="89"/>
      <c r="N7381" s="96"/>
    </row>
    <row r="7382" spans="1:15" ht="12.75" customHeight="1" x14ac:dyDescent="0.2">
      <c r="A7382" s="398" t="s">
        <v>931</v>
      </c>
      <c r="B7382" s="271"/>
      <c r="C7382" s="271"/>
      <c r="D7382" s="271"/>
      <c r="E7382" s="271"/>
      <c r="F7382" s="271"/>
      <c r="G7382" s="271"/>
      <c r="H7382" s="271"/>
      <c r="I7382" s="271"/>
      <c r="J7382" s="271"/>
      <c r="K7382" s="271"/>
      <c r="L7382" s="271"/>
      <c r="M7382" s="271"/>
      <c r="N7382" s="273"/>
    </row>
    <row r="7383" spans="1:15" ht="12.75" customHeight="1" x14ac:dyDescent="0.2">
      <c r="A7383" s="396" t="s">
        <v>76</v>
      </c>
      <c r="B7383" s="271"/>
      <c r="C7383" s="271"/>
      <c r="D7383" s="271"/>
      <c r="E7383" s="271"/>
      <c r="F7383" s="271"/>
      <c r="G7383" s="273"/>
      <c r="H7383" s="88" t="s">
        <v>77</v>
      </c>
      <c r="I7383" s="399" t="s">
        <v>920</v>
      </c>
      <c r="J7383" s="273"/>
      <c r="K7383" s="90" t="s">
        <v>514</v>
      </c>
      <c r="L7383" s="91" t="s">
        <v>932</v>
      </c>
      <c r="M7383" s="399" t="s">
        <v>921</v>
      </c>
      <c r="N7383" s="273"/>
    </row>
    <row r="7384" spans="1:15" ht="12.75" customHeight="1" x14ac:dyDescent="0.25">
      <c r="A7384" s="393" t="s">
        <v>962</v>
      </c>
      <c r="B7384" s="271"/>
      <c r="C7384" s="271"/>
      <c r="D7384" s="271"/>
      <c r="E7384" s="271"/>
      <c r="F7384" s="271"/>
      <c r="G7384" s="273"/>
      <c r="H7384" s="29" t="str">
        <f>IF(A7384="","",VLOOKUP(A7384,AA_Cuadrillas,4,FALSE))</f>
        <v>Cuadrilla</v>
      </c>
      <c r="I7384" s="394">
        <f>IF(A7384="","",VLOOKUP(A7384,AA_Cuadrillas,5,FALSE))</f>
        <v>396871</v>
      </c>
      <c r="J7384" s="273"/>
      <c r="K7384" s="9">
        <f>IF(A7384="","",F.P!$I$2)</f>
        <v>1.88</v>
      </c>
      <c r="L7384" s="93">
        <f>1/4.5</f>
        <v>0.22222222222222221</v>
      </c>
      <c r="M7384" s="394">
        <f t="shared" ref="M7384:M7388" si="1009">IF(A7384="","",I7384*K7384*L7384)</f>
        <v>165803.88444444444</v>
      </c>
      <c r="N7384" s="273"/>
    </row>
    <row r="7385" spans="1:15" ht="12.75" customHeight="1" x14ac:dyDescent="0.25">
      <c r="A7385" s="393"/>
      <c r="B7385" s="271"/>
      <c r="C7385" s="271"/>
      <c r="D7385" s="271"/>
      <c r="E7385" s="271"/>
      <c r="F7385" s="271"/>
      <c r="G7385" s="273"/>
      <c r="H7385" s="29" t="str">
        <f>IF(A7385="","",VLOOKUP(A7385,AA_Cuadrillas,4,FALSE))</f>
        <v/>
      </c>
      <c r="I7385" s="394" t="str">
        <f>IF(A7385="","",VLOOKUP(A7385,AA_Cuadrillas,5,FALSE))</f>
        <v/>
      </c>
      <c r="J7385" s="273"/>
      <c r="K7385" s="9" t="str">
        <f>IF(A7385="","",F.P!$I$2)</f>
        <v/>
      </c>
      <c r="L7385" s="9"/>
      <c r="M7385" s="394" t="str">
        <f t="shared" si="1009"/>
        <v/>
      </c>
      <c r="N7385" s="273"/>
    </row>
    <row r="7386" spans="1:15" ht="12.75" customHeight="1" x14ac:dyDescent="0.25">
      <c r="A7386" s="393"/>
      <c r="B7386" s="271"/>
      <c r="C7386" s="271"/>
      <c r="D7386" s="271"/>
      <c r="E7386" s="271"/>
      <c r="F7386" s="271"/>
      <c r="G7386" s="273"/>
      <c r="H7386" s="29" t="str">
        <f>IF(A7386="","",VLOOKUP(A7386,AA_Cuadrillas,4,FALSE))</f>
        <v/>
      </c>
      <c r="I7386" s="394" t="str">
        <f>IF(A7386="","",VLOOKUP(A7386,AA_Cuadrillas,5,FALSE))</f>
        <v/>
      </c>
      <c r="J7386" s="273"/>
      <c r="K7386" s="9" t="str">
        <f>IF(A7386="","",F.P!$I$2)</f>
        <v/>
      </c>
      <c r="L7386" s="37"/>
      <c r="M7386" s="394" t="str">
        <f t="shared" si="1009"/>
        <v/>
      </c>
      <c r="N7386" s="273"/>
    </row>
    <row r="7387" spans="1:15" ht="12.75" customHeight="1" x14ac:dyDescent="0.25">
      <c r="A7387" s="393"/>
      <c r="B7387" s="271"/>
      <c r="C7387" s="271"/>
      <c r="D7387" s="271"/>
      <c r="E7387" s="271"/>
      <c r="F7387" s="271"/>
      <c r="G7387" s="273"/>
      <c r="H7387" s="29" t="str">
        <f>IF(A7387="","",VLOOKUP(A7387,AA_Cuadrillas,4,FALSE))</f>
        <v/>
      </c>
      <c r="I7387" s="394" t="str">
        <f>IF(A7387="","",VLOOKUP(A7387,AA_Cuadrillas,5,FALSE))</f>
        <v/>
      </c>
      <c r="J7387" s="273"/>
      <c r="K7387" s="9" t="str">
        <f>IF(A7387="","",F.P!$I$2)</f>
        <v/>
      </c>
      <c r="L7387" s="37"/>
      <c r="M7387" s="394" t="str">
        <f t="shared" si="1009"/>
        <v/>
      </c>
      <c r="N7387" s="273"/>
    </row>
    <row r="7388" spans="1:15" ht="12.75" customHeight="1" x14ac:dyDescent="0.25">
      <c r="A7388" s="393"/>
      <c r="B7388" s="271"/>
      <c r="C7388" s="271"/>
      <c r="D7388" s="271"/>
      <c r="E7388" s="271"/>
      <c r="F7388" s="271"/>
      <c r="G7388" s="273"/>
      <c r="H7388" s="29" t="str">
        <f>IF(A7388="","",VLOOKUP(A7388,AA_Cuadrillas,4,FALSE))</f>
        <v/>
      </c>
      <c r="I7388" s="394" t="str">
        <f>IF(A7388="","",VLOOKUP(A7388,AA_Cuadrillas,5,FALSE))</f>
        <v/>
      </c>
      <c r="J7388" s="273"/>
      <c r="K7388" s="9" t="str">
        <f>IF(A7388="","",F.P!$I$2)</f>
        <v/>
      </c>
      <c r="L7388" s="37"/>
      <c r="M7388" s="394" t="str">
        <f t="shared" si="1009"/>
        <v/>
      </c>
      <c r="N7388" s="273"/>
    </row>
    <row r="7389" spans="1:15" ht="12.75" customHeight="1" x14ac:dyDescent="0.25">
      <c r="A7389" s="4"/>
      <c r="B7389" s="4"/>
      <c r="C7389" s="4"/>
      <c r="D7389" s="4"/>
      <c r="E7389" s="4"/>
      <c r="F7389" s="4"/>
      <c r="G7389" s="4"/>
      <c r="H7389" s="4"/>
      <c r="I7389" s="4"/>
      <c r="J7389" s="4"/>
      <c r="K7389" s="396" t="s">
        <v>444</v>
      </c>
      <c r="L7389" s="273"/>
      <c r="M7389" s="394">
        <f>SUM(M7384:N7388)</f>
        <v>165803.88444444444</v>
      </c>
      <c r="N7389" s="273"/>
    </row>
    <row r="7390" spans="1:15" ht="12.75" customHeight="1" x14ac:dyDescent="0.2"/>
    <row r="7391" spans="1:15" ht="12.75" customHeight="1" x14ac:dyDescent="0.2">
      <c r="A7391" s="397" t="s">
        <v>179</v>
      </c>
      <c r="B7391" s="275"/>
      <c r="C7391" s="275"/>
      <c r="D7391" s="275"/>
      <c r="E7391" s="275"/>
      <c r="F7391" s="275"/>
      <c r="G7391" s="275"/>
      <c r="H7391" s="275"/>
      <c r="I7391" s="275"/>
      <c r="J7391" s="275"/>
      <c r="K7391" s="275"/>
      <c r="L7391" s="275"/>
      <c r="M7391" s="275"/>
      <c r="N7391" s="276"/>
      <c r="O7391" s="166"/>
    </row>
    <row r="7392" spans="1:15" ht="12.75" customHeight="1" x14ac:dyDescent="0.2">
      <c r="A7392" s="277"/>
      <c r="B7392" s="278"/>
      <c r="C7392" s="278"/>
      <c r="D7392" s="278"/>
      <c r="E7392" s="278"/>
      <c r="F7392" s="278"/>
      <c r="G7392" s="278"/>
      <c r="H7392" s="278"/>
      <c r="I7392" s="278"/>
      <c r="J7392" s="278"/>
      <c r="K7392" s="278"/>
      <c r="L7392" s="278"/>
      <c r="M7392" s="278"/>
      <c r="N7392" s="279"/>
      <c r="O7392" s="166"/>
    </row>
    <row r="7393" spans="1:14" ht="12.75" customHeight="1" x14ac:dyDescent="0.2">
      <c r="A7393" s="75"/>
      <c r="B7393" s="75"/>
      <c r="C7393" s="75"/>
      <c r="D7393" s="75"/>
      <c r="E7393" s="75"/>
      <c r="F7393" s="75"/>
      <c r="G7393" s="75"/>
      <c r="H7393" s="75"/>
      <c r="I7393" s="75"/>
      <c r="J7393" s="75"/>
      <c r="K7393" s="75"/>
      <c r="L7393" s="75"/>
      <c r="M7393" s="75"/>
      <c r="N7393" s="75"/>
    </row>
    <row r="7394" spans="1:14" ht="12.75" customHeight="1" x14ac:dyDescent="0.3">
      <c r="A7394" s="79" t="s">
        <v>784</v>
      </c>
      <c r="B7394" s="80" t="str">
        <f>A7391</f>
        <v>SUMINISTRO E INSTALACIÓN DE VÁLVULA VENTOSA TRIPLE ACCIÓN DE Ø3" (INCLUYE CAJA EN CONCRETO REFORZADO, TUBERÍA DE LAVADO, VÁLVULAS, NIPLES, TAPAS, PELDAÑOS, ACCESORIOS EN HIERRO DÚCTIL)</v>
      </c>
      <c r="C7394" s="81" t="s">
        <v>916</v>
      </c>
      <c r="D7394" s="82" t="s">
        <v>999</v>
      </c>
      <c r="E7394" s="83" t="s">
        <v>445</v>
      </c>
      <c r="F7394" s="234">
        <f>(H7394+J7394+L7394+N7394)*1.3</f>
        <v>13609568.249185361</v>
      </c>
      <c r="G7394" s="83" t="s">
        <v>607</v>
      </c>
      <c r="H7394" s="86">
        <f>M7424</f>
        <v>0</v>
      </c>
      <c r="I7394" s="83" t="s">
        <v>918</v>
      </c>
      <c r="J7394" s="86">
        <f>M7415</f>
        <v>10468898.653219508</v>
      </c>
      <c r="K7394" s="83" t="s">
        <v>609</v>
      </c>
      <c r="L7394" s="86">
        <f>M7433</f>
        <v>0</v>
      </c>
      <c r="M7394" s="83" t="s">
        <v>610</v>
      </c>
      <c r="N7394" s="86">
        <f>M7442</f>
        <v>0</v>
      </c>
    </row>
    <row r="7395" spans="1:14" ht="12.75" customHeight="1" x14ac:dyDescent="0.25">
      <c r="A7395" s="87"/>
      <c r="B7395" s="87"/>
      <c r="C7395" s="87"/>
      <c r="D7395" s="87"/>
      <c r="E7395" s="87"/>
      <c r="F7395" s="87"/>
      <c r="G7395" s="87"/>
      <c r="J7395" s="87"/>
      <c r="K7395" s="215" t="s">
        <v>3217</v>
      </c>
      <c r="L7395" s="215">
        <f>+F7394*presup!$O$5</f>
        <v>17692438.723940969</v>
      </c>
      <c r="M7395" s="87"/>
      <c r="N7395" s="87"/>
    </row>
    <row r="7396" spans="1:14" ht="12.75" customHeight="1" x14ac:dyDescent="0.2">
      <c r="A7396" s="398" t="s">
        <v>919</v>
      </c>
      <c r="B7396" s="271"/>
      <c r="C7396" s="271"/>
      <c r="D7396" s="271"/>
      <c r="E7396" s="271"/>
      <c r="F7396" s="271"/>
      <c r="G7396" s="271"/>
      <c r="H7396" s="271"/>
      <c r="I7396" s="271"/>
      <c r="J7396" s="271"/>
      <c r="K7396" s="271"/>
      <c r="L7396" s="271"/>
      <c r="M7396" s="271"/>
      <c r="N7396" s="273"/>
    </row>
    <row r="7397" spans="1:14" ht="12.75" customHeight="1" x14ac:dyDescent="0.2">
      <c r="A7397" s="396" t="s">
        <v>76</v>
      </c>
      <c r="B7397" s="271"/>
      <c r="C7397" s="271"/>
      <c r="D7397" s="271"/>
      <c r="E7397" s="271"/>
      <c r="F7397" s="271"/>
      <c r="G7397" s="273"/>
      <c r="H7397" s="88" t="s">
        <v>77</v>
      </c>
      <c r="I7397" s="399" t="s">
        <v>920</v>
      </c>
      <c r="J7397" s="273"/>
      <c r="K7397" s="399" t="s">
        <v>453</v>
      </c>
      <c r="L7397" s="273"/>
      <c r="M7397" s="399" t="s">
        <v>921</v>
      </c>
      <c r="N7397" s="273"/>
    </row>
    <row r="7398" spans="1:14" ht="12.75" customHeight="1" x14ac:dyDescent="0.2">
      <c r="A7398" s="400" t="s">
        <v>1307</v>
      </c>
      <c r="B7398" s="271"/>
      <c r="C7398" s="271"/>
      <c r="D7398" s="271"/>
      <c r="E7398" s="271"/>
      <c r="F7398" s="271"/>
      <c r="G7398" s="273"/>
      <c r="H7398" s="29" t="str">
        <f t="shared" ref="H7398:H7414" si="1010">IF(A7398="","",VLOOKUP(A7398,AA_Materiales,7,FALSE))</f>
        <v>m2</v>
      </c>
      <c r="I7398" s="409">
        <f>'BASICOS SIN AIU '!F267</f>
        <v>4150.0217132000016</v>
      </c>
      <c r="J7398" s="410"/>
      <c r="K7398" s="395">
        <f>+VENTOSAS!F13</f>
        <v>3.7800000000000002</v>
      </c>
      <c r="L7398" s="273"/>
      <c r="M7398" s="394">
        <f t="shared" ref="M7398:M7399" si="1011">IF(A7398="","",I7398*K7398)</f>
        <v>15687.082075896007</v>
      </c>
      <c r="N7398" s="273"/>
    </row>
    <row r="7399" spans="1:14" ht="12.75" customHeight="1" x14ac:dyDescent="0.2">
      <c r="A7399" s="400" t="s">
        <v>1308</v>
      </c>
      <c r="B7399" s="271"/>
      <c r="C7399" s="271"/>
      <c r="D7399" s="271"/>
      <c r="E7399" s="271"/>
      <c r="F7399" s="271"/>
      <c r="G7399" s="273"/>
      <c r="H7399" s="29" t="str">
        <f t="shared" si="1010"/>
        <v>m3</v>
      </c>
      <c r="I7399" s="409">
        <f>'BASICOS SIN AIU '!F4</f>
        <v>52660.488615999995</v>
      </c>
      <c r="J7399" s="410"/>
      <c r="K7399" s="401">
        <f>+VENTOSAS!F24</f>
        <v>6.6150000000000002</v>
      </c>
      <c r="L7399" s="273"/>
      <c r="M7399" s="394">
        <f t="shared" si="1011"/>
        <v>348349.13219484</v>
      </c>
      <c r="N7399" s="273"/>
    </row>
    <row r="7400" spans="1:14" ht="27" customHeight="1" x14ac:dyDescent="0.2">
      <c r="A7400" s="403" t="s">
        <v>1309</v>
      </c>
      <c r="B7400" s="271"/>
      <c r="C7400" s="271"/>
      <c r="D7400" s="271"/>
      <c r="E7400" s="271"/>
      <c r="F7400" s="271"/>
      <c r="G7400" s="273"/>
      <c r="H7400" s="29" t="str">
        <f t="shared" si="1010"/>
        <v>m3</v>
      </c>
      <c r="I7400" s="409">
        <f>'BASICOS SIN AIU '!F47</f>
        <v>176301.78268129006</v>
      </c>
      <c r="J7400" s="410"/>
      <c r="K7400" s="395">
        <f>+VENTOSAS!F46</f>
        <v>0.75600000000000012</v>
      </c>
      <c r="L7400" s="273"/>
      <c r="M7400" s="394">
        <f>+I7400*K7400</f>
        <v>133284.14770705529</v>
      </c>
      <c r="N7400" s="273"/>
    </row>
    <row r="7401" spans="1:14" ht="12.75" customHeight="1" x14ac:dyDescent="0.2">
      <c r="A7401" s="400" t="s">
        <v>1310</v>
      </c>
      <c r="B7401" s="271"/>
      <c r="C7401" s="271"/>
      <c r="D7401" s="271"/>
      <c r="E7401" s="271"/>
      <c r="F7401" s="271"/>
      <c r="G7401" s="273"/>
      <c r="H7401" s="29" t="str">
        <f t="shared" si="1010"/>
        <v>m3</v>
      </c>
      <c r="I7401" s="409">
        <f t="shared" ref="I7401:I7414" si="1012">IF(A7401="","",VLOOKUP(A7401,AA_Materiales,8,FALSE))</f>
        <v>619876.4246790678</v>
      </c>
      <c r="J7401" s="410"/>
      <c r="K7401" s="395">
        <f>+VENTOSAS!F35</f>
        <v>0.18900000000000003</v>
      </c>
      <c r="L7401" s="273"/>
      <c r="M7401" s="394">
        <f t="shared" ref="M7401:M7414" si="1013">IF(A7401="","",I7401*K7401)</f>
        <v>117156.64426434383</v>
      </c>
      <c r="N7401" s="273"/>
    </row>
    <row r="7402" spans="1:14" ht="12.75" customHeight="1" x14ac:dyDescent="0.2">
      <c r="A7402" s="400" t="s">
        <v>1311</v>
      </c>
      <c r="B7402" s="271"/>
      <c r="C7402" s="271"/>
      <c r="D7402" s="271"/>
      <c r="E7402" s="271"/>
      <c r="F7402" s="271"/>
      <c r="G7402" s="273"/>
      <c r="H7402" s="29" t="str">
        <f t="shared" si="1010"/>
        <v>Kg</v>
      </c>
      <c r="I7402" s="409">
        <f>'BASICOS SIN AIU '!F309</f>
        <v>8006.0498787222223</v>
      </c>
      <c r="J7402" s="410"/>
      <c r="K7402" s="395">
        <f>+VENTOSAS!F57</f>
        <v>146.30000000000001</v>
      </c>
      <c r="L7402" s="273"/>
      <c r="M7402" s="394">
        <f t="shared" si="1013"/>
        <v>1171285.0972570612</v>
      </c>
      <c r="N7402" s="273"/>
    </row>
    <row r="7403" spans="1:14" ht="12.75" customHeight="1" x14ac:dyDescent="0.2">
      <c r="A7403" s="400" t="s">
        <v>1312</v>
      </c>
      <c r="B7403" s="271"/>
      <c r="C7403" s="271"/>
      <c r="D7403" s="271"/>
      <c r="E7403" s="271"/>
      <c r="F7403" s="271"/>
      <c r="G7403" s="273"/>
      <c r="H7403" s="29" t="str">
        <f t="shared" si="1010"/>
        <v>m3</v>
      </c>
      <c r="I7403" s="409">
        <f t="shared" si="1012"/>
        <v>790161.82467906782</v>
      </c>
      <c r="J7403" s="410"/>
      <c r="K7403" s="395">
        <f>+VENTOSAS!F68</f>
        <v>2.0099999999999998</v>
      </c>
      <c r="L7403" s="273"/>
      <c r="M7403" s="394">
        <f t="shared" si="1013"/>
        <v>1588225.2676049261</v>
      </c>
      <c r="N7403" s="273"/>
    </row>
    <row r="7404" spans="1:14" ht="12.75" customHeight="1" x14ac:dyDescent="0.2">
      <c r="A7404" s="400" t="s">
        <v>1313</v>
      </c>
      <c r="B7404" s="271"/>
      <c r="C7404" s="271"/>
      <c r="D7404" s="271"/>
      <c r="E7404" s="271"/>
      <c r="F7404" s="271"/>
      <c r="G7404" s="273"/>
      <c r="H7404" s="29" t="str">
        <f t="shared" si="1010"/>
        <v>m2</v>
      </c>
      <c r="I7404" s="409">
        <f t="shared" si="1012"/>
        <v>84116.633390000003</v>
      </c>
      <c r="J7404" s="410"/>
      <c r="K7404" s="395">
        <f>+VENTOSAS!F79</f>
        <v>18.199999999999996</v>
      </c>
      <c r="L7404" s="273"/>
      <c r="M7404" s="394">
        <f t="shared" si="1013"/>
        <v>1530922.7276979997</v>
      </c>
      <c r="N7404" s="273"/>
    </row>
    <row r="7405" spans="1:14" ht="12.75" customHeight="1" x14ac:dyDescent="0.2">
      <c r="A7405" s="400" t="s">
        <v>1314</v>
      </c>
      <c r="B7405" s="271"/>
      <c r="C7405" s="271"/>
      <c r="D7405" s="271"/>
      <c r="E7405" s="271"/>
      <c r="F7405" s="271"/>
      <c r="G7405" s="273"/>
      <c r="H7405" s="29" t="str">
        <f t="shared" si="1010"/>
        <v>m2</v>
      </c>
      <c r="I7405" s="409">
        <f t="shared" si="1012"/>
        <v>14730.7192215</v>
      </c>
      <c r="J7405" s="410"/>
      <c r="K7405" s="395">
        <f>+VENTOSAS!F90</f>
        <v>2.08</v>
      </c>
      <c r="L7405" s="273"/>
      <c r="M7405" s="394">
        <f t="shared" si="1013"/>
        <v>30639.895980720001</v>
      </c>
      <c r="N7405" s="273"/>
    </row>
    <row r="7406" spans="1:14" ht="40.5" customHeight="1" x14ac:dyDescent="0.2">
      <c r="A7406" s="403" t="s">
        <v>1315</v>
      </c>
      <c r="B7406" s="271"/>
      <c r="C7406" s="271"/>
      <c r="D7406" s="271"/>
      <c r="E7406" s="271"/>
      <c r="F7406" s="271"/>
      <c r="G7406" s="273"/>
      <c r="H7406" s="29" t="str">
        <f t="shared" si="1010"/>
        <v>Unidad</v>
      </c>
      <c r="I7406" s="409">
        <f>'BASICOS SIN AIU '!F133</f>
        <v>102940.44740500001</v>
      </c>
      <c r="J7406" s="410"/>
      <c r="K7406" s="395">
        <f>+VENTOSAS!F112</f>
        <v>4</v>
      </c>
      <c r="L7406" s="273"/>
      <c r="M7406" s="394">
        <f t="shared" si="1013"/>
        <v>411761.78962000005</v>
      </c>
      <c r="N7406" s="273"/>
    </row>
    <row r="7407" spans="1:14" ht="27" customHeight="1" x14ac:dyDescent="0.2">
      <c r="A7407" s="403" t="s">
        <v>1316</v>
      </c>
      <c r="B7407" s="271"/>
      <c r="C7407" s="271"/>
      <c r="D7407" s="271"/>
      <c r="E7407" s="271"/>
      <c r="F7407" s="271"/>
      <c r="G7407" s="273"/>
      <c r="H7407" s="29" t="str">
        <f t="shared" si="1010"/>
        <v>Unidad</v>
      </c>
      <c r="I7407" s="409">
        <f t="shared" si="1012"/>
        <v>833487.79</v>
      </c>
      <c r="J7407" s="410"/>
      <c r="K7407" s="395">
        <f>+VENTOSAS!F189</f>
        <v>1</v>
      </c>
      <c r="L7407" s="273"/>
      <c r="M7407" s="394">
        <f t="shared" si="1013"/>
        <v>833487.79</v>
      </c>
      <c r="N7407" s="273"/>
    </row>
    <row r="7408" spans="1:14" ht="27" customHeight="1" x14ac:dyDescent="0.2">
      <c r="A7408" s="403" t="s">
        <v>1317</v>
      </c>
      <c r="B7408" s="271"/>
      <c r="C7408" s="271"/>
      <c r="D7408" s="271"/>
      <c r="E7408" s="271"/>
      <c r="F7408" s="271"/>
      <c r="G7408" s="273"/>
      <c r="H7408" s="29" t="str">
        <f t="shared" si="1010"/>
        <v>Unidad</v>
      </c>
      <c r="I7408" s="409">
        <f t="shared" si="1012"/>
        <v>633135.17489999998</v>
      </c>
      <c r="J7408" s="410"/>
      <c r="K7408" s="395">
        <f>+VENTOSAS!F123</f>
        <v>1</v>
      </c>
      <c r="L7408" s="273"/>
      <c r="M7408" s="394">
        <f t="shared" si="1013"/>
        <v>633135.17489999998</v>
      </c>
      <c r="N7408" s="273"/>
    </row>
    <row r="7409" spans="1:14" ht="13.5" customHeight="1" x14ac:dyDescent="0.2">
      <c r="A7409" s="403" t="s">
        <v>1318</v>
      </c>
      <c r="B7409" s="271"/>
      <c r="C7409" s="271"/>
      <c r="D7409" s="271"/>
      <c r="E7409" s="271"/>
      <c r="F7409" s="271"/>
      <c r="G7409" s="273"/>
      <c r="H7409" s="29" t="str">
        <f t="shared" si="1010"/>
        <v>Unidad</v>
      </c>
      <c r="I7409" s="411">
        <f t="shared" si="1012"/>
        <v>172078.17</v>
      </c>
      <c r="J7409" s="368"/>
      <c r="K7409" s="395">
        <f>+VENTOSAS!F134</f>
        <v>2</v>
      </c>
      <c r="L7409" s="273"/>
      <c r="M7409" s="394">
        <f t="shared" si="1013"/>
        <v>344156.34</v>
      </c>
      <c r="N7409" s="273"/>
    </row>
    <row r="7410" spans="1:14" ht="12.75" customHeight="1" x14ac:dyDescent="0.2">
      <c r="A7410" s="400" t="s">
        <v>1319</v>
      </c>
      <c r="B7410" s="271"/>
      <c r="C7410" s="271"/>
      <c r="D7410" s="271"/>
      <c r="E7410" s="271"/>
      <c r="F7410" s="271"/>
      <c r="G7410" s="273"/>
      <c r="H7410" s="29" t="str">
        <f t="shared" si="1010"/>
        <v>Unidad</v>
      </c>
      <c r="I7410" s="411">
        <f t="shared" si="1012"/>
        <v>450049.64202499995</v>
      </c>
      <c r="J7410" s="368"/>
      <c r="K7410" s="395">
        <f>+VENTOSAS!F145</f>
        <v>1</v>
      </c>
      <c r="L7410" s="273"/>
      <c r="M7410" s="394">
        <f t="shared" si="1013"/>
        <v>450049.64202499995</v>
      </c>
      <c r="N7410" s="273"/>
    </row>
    <row r="7411" spans="1:14" ht="12.75" customHeight="1" x14ac:dyDescent="0.2">
      <c r="A7411" s="400" t="s">
        <v>1320</v>
      </c>
      <c r="B7411" s="271"/>
      <c r="C7411" s="271"/>
      <c r="D7411" s="271"/>
      <c r="E7411" s="271"/>
      <c r="F7411" s="271"/>
      <c r="G7411" s="273"/>
      <c r="H7411" s="29" t="str">
        <f t="shared" si="1010"/>
        <v>Unidad</v>
      </c>
      <c r="I7411" s="411">
        <f t="shared" si="1012"/>
        <v>392494.73202499998</v>
      </c>
      <c r="J7411" s="368"/>
      <c r="K7411" s="395">
        <f>+VENTOSAS!F156</f>
        <v>1</v>
      </c>
      <c r="L7411" s="273"/>
      <c r="M7411" s="394">
        <f t="shared" si="1013"/>
        <v>392494.73202499998</v>
      </c>
      <c r="N7411" s="273"/>
    </row>
    <row r="7412" spans="1:14" ht="12.75" customHeight="1" x14ac:dyDescent="0.2">
      <c r="A7412" s="400" t="s">
        <v>1321</v>
      </c>
      <c r="B7412" s="271"/>
      <c r="C7412" s="271"/>
      <c r="D7412" s="271"/>
      <c r="E7412" s="271"/>
      <c r="F7412" s="271"/>
      <c r="G7412" s="273"/>
      <c r="H7412" s="29" t="str">
        <f t="shared" si="1010"/>
        <v>Unidad</v>
      </c>
      <c r="I7412" s="411">
        <f t="shared" si="1012"/>
        <v>1873532.6493666666</v>
      </c>
      <c r="J7412" s="368"/>
      <c r="K7412" s="395">
        <f>+VENTOSAS!F178</f>
        <v>1</v>
      </c>
      <c r="L7412" s="273"/>
      <c r="M7412" s="394">
        <f t="shared" si="1013"/>
        <v>1873532.6493666666</v>
      </c>
      <c r="N7412" s="273"/>
    </row>
    <row r="7413" spans="1:14" ht="12.75" customHeight="1" x14ac:dyDescent="0.2">
      <c r="A7413" s="400" t="s">
        <v>1322</v>
      </c>
      <c r="B7413" s="271"/>
      <c r="C7413" s="271"/>
      <c r="D7413" s="271"/>
      <c r="E7413" s="271"/>
      <c r="F7413" s="271"/>
      <c r="G7413" s="273"/>
      <c r="H7413" s="29" t="str">
        <f t="shared" si="1010"/>
        <v>ml</v>
      </c>
      <c r="I7413" s="411">
        <f t="shared" si="1012"/>
        <v>79860</v>
      </c>
      <c r="J7413" s="368"/>
      <c r="K7413" s="395">
        <f>+VENTOSAS!F101</f>
        <v>5.8000000000000007</v>
      </c>
      <c r="L7413" s="273"/>
      <c r="M7413" s="394">
        <f t="shared" si="1013"/>
        <v>463188.00000000006</v>
      </c>
      <c r="N7413" s="273"/>
    </row>
    <row r="7414" spans="1:14" ht="12.75" customHeight="1" x14ac:dyDescent="0.2">
      <c r="A7414" s="400" t="s">
        <v>1323</v>
      </c>
      <c r="B7414" s="271"/>
      <c r="C7414" s="271"/>
      <c r="D7414" s="271"/>
      <c r="E7414" s="271"/>
      <c r="F7414" s="271"/>
      <c r="G7414" s="273"/>
      <c r="H7414" s="29" t="str">
        <f t="shared" si="1010"/>
        <v>Unidad</v>
      </c>
      <c r="I7414" s="411">
        <f t="shared" si="1012"/>
        <v>131542.5405</v>
      </c>
      <c r="J7414" s="368"/>
      <c r="K7414" s="395">
        <v>1</v>
      </c>
      <c r="L7414" s="273"/>
      <c r="M7414" s="394">
        <f t="shared" si="1013"/>
        <v>131542.5405</v>
      </c>
      <c r="N7414" s="273"/>
    </row>
    <row r="7415" spans="1:14" ht="12.75" customHeight="1" x14ac:dyDescent="0.25">
      <c r="A7415" s="4"/>
      <c r="B7415" s="4"/>
      <c r="C7415" s="4"/>
      <c r="D7415" s="4"/>
      <c r="E7415" s="4"/>
      <c r="F7415" s="4"/>
      <c r="G7415" s="4"/>
      <c r="H7415" s="4"/>
      <c r="I7415" s="4"/>
      <c r="J7415" s="4"/>
      <c r="K7415" s="396" t="s">
        <v>444</v>
      </c>
      <c r="L7415" s="273"/>
      <c r="M7415" s="394">
        <f>SUM(M7398:N7414)</f>
        <v>10468898.653219508</v>
      </c>
      <c r="N7415" s="273"/>
    </row>
    <row r="7416" spans="1:14" ht="12.75" customHeight="1" x14ac:dyDescent="0.2">
      <c r="A7416" s="12"/>
    </row>
    <row r="7417" spans="1:14" ht="12.75" customHeight="1" x14ac:dyDescent="0.2">
      <c r="A7417" s="398" t="s">
        <v>926</v>
      </c>
      <c r="B7417" s="271"/>
      <c r="C7417" s="271"/>
      <c r="D7417" s="271"/>
      <c r="E7417" s="271"/>
      <c r="F7417" s="271"/>
      <c r="G7417" s="271"/>
      <c r="H7417" s="271"/>
      <c r="I7417" s="271"/>
      <c r="J7417" s="271"/>
      <c r="K7417" s="271"/>
      <c r="L7417" s="271"/>
      <c r="M7417" s="271"/>
      <c r="N7417" s="273"/>
    </row>
    <row r="7418" spans="1:14" ht="12.75" customHeight="1" x14ac:dyDescent="0.2">
      <c r="A7418" s="396" t="s">
        <v>76</v>
      </c>
      <c r="B7418" s="271"/>
      <c r="C7418" s="271"/>
      <c r="D7418" s="271"/>
      <c r="E7418" s="271"/>
      <c r="F7418" s="271"/>
      <c r="G7418" s="273"/>
      <c r="H7418" s="88" t="s">
        <v>77</v>
      </c>
      <c r="I7418" s="399" t="s">
        <v>920</v>
      </c>
      <c r="J7418" s="273"/>
      <c r="K7418" s="399" t="s">
        <v>453</v>
      </c>
      <c r="L7418" s="273"/>
      <c r="M7418" s="399" t="s">
        <v>921</v>
      </c>
      <c r="N7418" s="273"/>
    </row>
    <row r="7419" spans="1:14" ht="12.75" customHeight="1" x14ac:dyDescent="0.2">
      <c r="A7419" s="400"/>
      <c r="B7419" s="271"/>
      <c r="C7419" s="271"/>
      <c r="D7419" s="271"/>
      <c r="E7419" s="271"/>
      <c r="F7419" s="271"/>
      <c r="G7419" s="273"/>
      <c r="H7419" s="29" t="str">
        <f>IF(A7419="","",VLOOKUP(A7419,AA_Equipos,7,FALSE))</f>
        <v/>
      </c>
      <c r="I7419" s="394"/>
      <c r="J7419" s="273"/>
      <c r="K7419" s="404"/>
      <c r="L7419" s="273"/>
      <c r="M7419" s="394" t="str">
        <f t="shared" ref="M7419:M7423" si="1014">IF(A7419="","",I7419*K7419)</f>
        <v/>
      </c>
      <c r="N7419" s="273"/>
    </row>
    <row r="7420" spans="1:14" ht="12.75" customHeight="1" x14ac:dyDescent="0.2">
      <c r="A7420" s="403"/>
      <c r="B7420" s="271"/>
      <c r="C7420" s="271"/>
      <c r="D7420" s="271"/>
      <c r="E7420" s="271"/>
      <c r="F7420" s="271"/>
      <c r="G7420" s="273"/>
      <c r="H7420" s="29" t="str">
        <f>IF(A7420="","",VLOOKUP(A7420,AA_Equipos,7,FALSE))</f>
        <v/>
      </c>
      <c r="I7420" s="394" t="str">
        <f>IF(A7420="","",VLOOKUP(A7420,AA_Equipos,8,FALSE))</f>
        <v/>
      </c>
      <c r="J7420" s="273"/>
      <c r="K7420" s="402"/>
      <c r="L7420" s="273"/>
      <c r="M7420" s="394" t="str">
        <f t="shared" si="1014"/>
        <v/>
      </c>
      <c r="N7420" s="273"/>
    </row>
    <row r="7421" spans="1:14" ht="12.75" customHeight="1" x14ac:dyDescent="0.2">
      <c r="A7421" s="400"/>
      <c r="B7421" s="271"/>
      <c r="C7421" s="271"/>
      <c r="D7421" s="271"/>
      <c r="E7421" s="271"/>
      <c r="F7421" s="271"/>
      <c r="G7421" s="273"/>
      <c r="H7421" s="29" t="str">
        <f>IF(A7421="","",VLOOKUP(A7421,AA_Equipos,7,FALSE))</f>
        <v/>
      </c>
      <c r="I7421" s="394" t="str">
        <f>IF(A7421="","",VLOOKUP(A7421,AA_Equipos,8,FALSE))</f>
        <v/>
      </c>
      <c r="J7421" s="273"/>
      <c r="K7421" s="401"/>
      <c r="L7421" s="273"/>
      <c r="M7421" s="394" t="str">
        <f t="shared" si="1014"/>
        <v/>
      </c>
      <c r="N7421" s="273"/>
    </row>
    <row r="7422" spans="1:14" ht="12.75" customHeight="1" x14ac:dyDescent="0.2">
      <c r="A7422" s="400"/>
      <c r="B7422" s="271"/>
      <c r="C7422" s="271"/>
      <c r="D7422" s="271"/>
      <c r="E7422" s="271"/>
      <c r="F7422" s="271"/>
      <c r="G7422" s="273"/>
      <c r="H7422" s="29" t="str">
        <f>IF(A7422="","",VLOOKUP(A7422,AA_Equipos,7,FALSE))</f>
        <v/>
      </c>
      <c r="I7422" s="394" t="str">
        <f>IF(A7422="","",VLOOKUP(A7422,AA_Equipos,8,FALSE))</f>
        <v/>
      </c>
      <c r="J7422" s="273"/>
      <c r="K7422" s="395"/>
      <c r="L7422" s="273"/>
      <c r="M7422" s="394" t="str">
        <f t="shared" si="1014"/>
        <v/>
      </c>
      <c r="N7422" s="273"/>
    </row>
    <row r="7423" spans="1:14" ht="12.75" customHeight="1" x14ac:dyDescent="0.2">
      <c r="A7423" s="400"/>
      <c r="B7423" s="271"/>
      <c r="C7423" s="271"/>
      <c r="D7423" s="271"/>
      <c r="E7423" s="271"/>
      <c r="F7423" s="271"/>
      <c r="G7423" s="273"/>
      <c r="H7423" s="29" t="str">
        <f>IF(A7423="","",VLOOKUP(A7423,AA_Equipos,7,FALSE))</f>
        <v/>
      </c>
      <c r="I7423" s="394" t="str">
        <f>IF(A7423="","",VLOOKUP(A7423,AA_Equipos,8,FALSE))</f>
        <v/>
      </c>
      <c r="J7423" s="273"/>
      <c r="K7423" s="395"/>
      <c r="L7423" s="273"/>
      <c r="M7423" s="394" t="str">
        <f t="shared" si="1014"/>
        <v/>
      </c>
      <c r="N7423" s="273"/>
    </row>
    <row r="7424" spans="1:14" ht="12.75" customHeight="1" x14ac:dyDescent="0.25">
      <c r="A7424" s="4"/>
      <c r="B7424" s="4"/>
      <c r="C7424" s="4"/>
      <c r="D7424" s="4"/>
      <c r="E7424" s="4"/>
      <c r="F7424" s="4"/>
      <c r="G7424" s="4"/>
      <c r="H7424" s="4"/>
      <c r="I7424" s="4"/>
      <c r="J7424" s="4"/>
      <c r="K7424" s="396" t="s">
        <v>444</v>
      </c>
      <c r="L7424" s="273"/>
      <c r="M7424" s="394">
        <f>SUM(M7419:N7423)</f>
        <v>0</v>
      </c>
      <c r="N7424" s="273"/>
    </row>
    <row r="7425" spans="1:14" ht="12.75" customHeight="1" x14ac:dyDescent="0.25">
      <c r="A7425" s="4"/>
      <c r="B7425" s="4"/>
      <c r="C7425" s="4"/>
      <c r="D7425" s="4"/>
      <c r="E7425" s="4"/>
      <c r="F7425" s="4"/>
      <c r="G7425" s="4"/>
      <c r="H7425" s="4"/>
      <c r="I7425" s="4"/>
      <c r="J7425" s="4"/>
      <c r="K7425" s="4"/>
      <c r="L7425" s="4"/>
      <c r="M7425" s="4"/>
      <c r="N7425" s="4"/>
    </row>
    <row r="7426" spans="1:14" ht="12.75" customHeight="1" x14ac:dyDescent="0.2">
      <c r="A7426" s="398" t="s">
        <v>929</v>
      </c>
      <c r="B7426" s="271"/>
      <c r="C7426" s="271"/>
      <c r="D7426" s="271"/>
      <c r="E7426" s="271"/>
      <c r="F7426" s="271"/>
      <c r="G7426" s="271"/>
      <c r="H7426" s="271"/>
      <c r="I7426" s="271"/>
      <c r="J7426" s="271"/>
      <c r="K7426" s="271"/>
      <c r="L7426" s="271"/>
      <c r="M7426" s="271"/>
      <c r="N7426" s="273"/>
    </row>
    <row r="7427" spans="1:14" ht="12.75" customHeight="1" x14ac:dyDescent="0.2">
      <c r="A7427" s="396" t="s">
        <v>76</v>
      </c>
      <c r="B7427" s="271"/>
      <c r="C7427" s="271"/>
      <c r="D7427" s="271"/>
      <c r="E7427" s="271"/>
      <c r="F7427" s="271"/>
      <c r="G7427" s="273"/>
      <c r="H7427" s="88" t="s">
        <v>77</v>
      </c>
      <c r="I7427" s="399" t="s">
        <v>920</v>
      </c>
      <c r="J7427" s="273"/>
      <c r="K7427" s="399" t="s">
        <v>453</v>
      </c>
      <c r="L7427" s="273"/>
      <c r="M7427" s="399" t="s">
        <v>921</v>
      </c>
      <c r="N7427" s="273"/>
    </row>
    <row r="7428" spans="1:14" ht="12.75" customHeight="1" x14ac:dyDescent="0.2">
      <c r="A7428" s="400"/>
      <c r="B7428" s="271"/>
      <c r="C7428" s="271"/>
      <c r="D7428" s="271"/>
      <c r="E7428" s="271"/>
      <c r="F7428" s="271"/>
      <c r="G7428" s="273"/>
      <c r="H7428" s="29"/>
      <c r="I7428" s="394"/>
      <c r="J7428" s="273"/>
      <c r="K7428" s="404"/>
      <c r="L7428" s="273"/>
      <c r="M7428" s="394" t="str">
        <f t="shared" ref="M7428:M7432" si="1015">IF(A7428="","",I7428*K7428)</f>
        <v/>
      </c>
      <c r="N7428" s="273"/>
    </row>
    <row r="7429" spans="1:14" ht="12.75" customHeight="1" x14ac:dyDescent="0.2">
      <c r="A7429" s="403"/>
      <c r="B7429" s="271"/>
      <c r="C7429" s="271"/>
      <c r="D7429" s="271"/>
      <c r="E7429" s="271"/>
      <c r="F7429" s="271"/>
      <c r="G7429" s="273"/>
      <c r="H7429" s="29"/>
      <c r="I7429" s="394"/>
      <c r="J7429" s="273"/>
      <c r="K7429" s="408"/>
      <c r="L7429" s="273"/>
      <c r="M7429" s="394" t="str">
        <f t="shared" si="1015"/>
        <v/>
      </c>
      <c r="N7429" s="273"/>
    </row>
    <row r="7430" spans="1:14" ht="12.75" customHeight="1" x14ac:dyDescent="0.2">
      <c r="A7430" s="400"/>
      <c r="B7430" s="271"/>
      <c r="C7430" s="271"/>
      <c r="D7430" s="271"/>
      <c r="E7430" s="271"/>
      <c r="F7430" s="271"/>
      <c r="G7430" s="273"/>
      <c r="H7430" s="29"/>
      <c r="I7430" s="394"/>
      <c r="J7430" s="273"/>
      <c r="K7430" s="395"/>
      <c r="L7430" s="273"/>
      <c r="M7430" s="394" t="str">
        <f t="shared" si="1015"/>
        <v/>
      </c>
      <c r="N7430" s="273"/>
    </row>
    <row r="7431" spans="1:14" ht="12.75" customHeight="1" x14ac:dyDescent="0.2">
      <c r="A7431" s="400"/>
      <c r="B7431" s="271"/>
      <c r="C7431" s="271"/>
      <c r="D7431" s="271"/>
      <c r="E7431" s="271"/>
      <c r="F7431" s="271"/>
      <c r="G7431" s="273"/>
      <c r="H7431" s="29"/>
      <c r="I7431" s="394"/>
      <c r="J7431" s="273"/>
      <c r="K7431" s="395"/>
      <c r="L7431" s="273"/>
      <c r="M7431" s="394" t="str">
        <f t="shared" si="1015"/>
        <v/>
      </c>
      <c r="N7431" s="273"/>
    </row>
    <row r="7432" spans="1:14" ht="12.75" customHeight="1" x14ac:dyDescent="0.2">
      <c r="A7432" s="400"/>
      <c r="B7432" s="271"/>
      <c r="C7432" s="271"/>
      <c r="D7432" s="271"/>
      <c r="E7432" s="271"/>
      <c r="F7432" s="271"/>
      <c r="G7432" s="273"/>
      <c r="H7432" s="29"/>
      <c r="I7432" s="394"/>
      <c r="J7432" s="273"/>
      <c r="K7432" s="395"/>
      <c r="L7432" s="273"/>
      <c r="M7432" s="394" t="str">
        <f t="shared" si="1015"/>
        <v/>
      </c>
      <c r="N7432" s="273"/>
    </row>
    <row r="7433" spans="1:14" ht="12.75" customHeight="1" x14ac:dyDescent="0.25">
      <c r="A7433" s="4"/>
      <c r="B7433" s="4"/>
      <c r="C7433" s="4"/>
      <c r="D7433" s="4"/>
      <c r="E7433" s="4"/>
      <c r="F7433" s="4"/>
      <c r="G7433" s="4"/>
      <c r="H7433" s="4"/>
      <c r="I7433" s="4"/>
      <c r="J7433" s="4"/>
      <c r="K7433" s="396" t="s">
        <v>444</v>
      </c>
      <c r="L7433" s="273"/>
      <c r="M7433" s="394">
        <f>SUM(M7428:N7432)</f>
        <v>0</v>
      </c>
      <c r="N7433" s="273"/>
    </row>
    <row r="7434" spans="1:14" ht="12.75" customHeight="1" x14ac:dyDescent="0.25">
      <c r="A7434" s="4"/>
      <c r="B7434" s="4"/>
      <c r="C7434" s="4"/>
      <c r="D7434" s="4"/>
      <c r="E7434" s="4"/>
      <c r="F7434" s="4"/>
      <c r="G7434" s="4"/>
      <c r="H7434" s="4"/>
      <c r="I7434" s="4"/>
      <c r="J7434" s="4"/>
      <c r="K7434" s="4"/>
      <c r="L7434" s="4"/>
      <c r="M7434" s="4"/>
      <c r="N7434" s="4"/>
    </row>
    <row r="7435" spans="1:14" ht="12.75" customHeight="1" x14ac:dyDescent="0.2">
      <c r="A7435" s="398" t="s">
        <v>931</v>
      </c>
      <c r="B7435" s="271"/>
      <c r="C7435" s="271"/>
      <c r="D7435" s="271"/>
      <c r="E7435" s="271"/>
      <c r="F7435" s="271"/>
      <c r="G7435" s="271"/>
      <c r="H7435" s="271"/>
      <c r="I7435" s="271"/>
      <c r="J7435" s="271"/>
      <c r="K7435" s="271"/>
      <c r="L7435" s="271"/>
      <c r="M7435" s="271"/>
      <c r="N7435" s="273"/>
    </row>
    <row r="7436" spans="1:14" ht="12.75" customHeight="1" x14ac:dyDescent="0.2">
      <c r="A7436" s="396" t="s">
        <v>76</v>
      </c>
      <c r="B7436" s="271"/>
      <c r="C7436" s="271"/>
      <c r="D7436" s="271"/>
      <c r="E7436" s="271"/>
      <c r="F7436" s="271"/>
      <c r="G7436" s="273"/>
      <c r="H7436" s="88" t="s">
        <v>77</v>
      </c>
      <c r="I7436" s="399" t="s">
        <v>920</v>
      </c>
      <c r="J7436" s="273"/>
      <c r="K7436" s="90" t="s">
        <v>514</v>
      </c>
      <c r="L7436" s="91" t="s">
        <v>932</v>
      </c>
      <c r="M7436" s="399" t="s">
        <v>921</v>
      </c>
      <c r="N7436" s="273"/>
    </row>
    <row r="7437" spans="1:14" ht="12.75" customHeight="1" x14ac:dyDescent="0.25">
      <c r="A7437" s="393"/>
      <c r="B7437" s="271"/>
      <c r="C7437" s="271"/>
      <c r="D7437" s="271"/>
      <c r="E7437" s="271"/>
      <c r="F7437" s="271"/>
      <c r="G7437" s="273"/>
      <c r="H7437" s="29" t="str">
        <f>IF(A7437="","",VLOOKUP(A7437,AA_Cuadrillas,4,FALSE))</f>
        <v/>
      </c>
      <c r="I7437" s="394" t="str">
        <f>IF(A7437="","",VLOOKUP(A7437,AA_Cuadrillas,5,FALSE))</f>
        <v/>
      </c>
      <c r="J7437" s="273"/>
      <c r="K7437" s="9" t="str">
        <f>IF(A7437="","",F.P!$I$2)</f>
        <v/>
      </c>
      <c r="L7437" s="93"/>
      <c r="M7437" s="394" t="str">
        <f t="shared" ref="M7437:M7441" si="1016">IF(A7437="","",I7437*K7437*L7437)</f>
        <v/>
      </c>
      <c r="N7437" s="273"/>
    </row>
    <row r="7438" spans="1:14" ht="12.75" customHeight="1" x14ac:dyDescent="0.25">
      <c r="A7438" s="393"/>
      <c r="B7438" s="271"/>
      <c r="C7438" s="271"/>
      <c r="D7438" s="271"/>
      <c r="E7438" s="271"/>
      <c r="F7438" s="271"/>
      <c r="G7438" s="273"/>
      <c r="H7438" s="29" t="str">
        <f>IF(A7438="","",VLOOKUP(A7438,AA_Cuadrillas,4,FALSE))</f>
        <v/>
      </c>
      <c r="I7438" s="394" t="str">
        <f>IF(A7438="","",VLOOKUP(A7438,AA_Cuadrillas,5,FALSE))</f>
        <v/>
      </c>
      <c r="J7438" s="273"/>
      <c r="K7438" s="9" t="str">
        <f>IF(A7438="","",F.P!$I$2)</f>
        <v/>
      </c>
      <c r="L7438" s="9"/>
      <c r="M7438" s="394" t="str">
        <f t="shared" si="1016"/>
        <v/>
      </c>
      <c r="N7438" s="273"/>
    </row>
    <row r="7439" spans="1:14" ht="12.75" customHeight="1" x14ac:dyDescent="0.25">
      <c r="A7439" s="393"/>
      <c r="B7439" s="271"/>
      <c r="C7439" s="271"/>
      <c r="D7439" s="271"/>
      <c r="E7439" s="271"/>
      <c r="F7439" s="271"/>
      <c r="G7439" s="273"/>
      <c r="H7439" s="29" t="str">
        <f>IF(A7439="","",VLOOKUP(A7439,AA_Cuadrillas,4,FALSE))</f>
        <v/>
      </c>
      <c r="I7439" s="394" t="str">
        <f>IF(A7439="","",VLOOKUP(A7439,AA_Cuadrillas,5,FALSE))</f>
        <v/>
      </c>
      <c r="J7439" s="273"/>
      <c r="K7439" s="9" t="str">
        <f>IF(A7439="","",F.P!$I$2)</f>
        <v/>
      </c>
      <c r="L7439" s="37"/>
      <c r="M7439" s="394" t="str">
        <f t="shared" si="1016"/>
        <v/>
      </c>
      <c r="N7439" s="273"/>
    </row>
    <row r="7440" spans="1:14" ht="12.75" customHeight="1" x14ac:dyDescent="0.25">
      <c r="A7440" s="393"/>
      <c r="B7440" s="271"/>
      <c r="C7440" s="271"/>
      <c r="D7440" s="271"/>
      <c r="E7440" s="271"/>
      <c r="F7440" s="271"/>
      <c r="G7440" s="273"/>
      <c r="H7440" s="29" t="str">
        <f>IF(A7440="","",VLOOKUP(A7440,AA_Cuadrillas,4,FALSE))</f>
        <v/>
      </c>
      <c r="I7440" s="394" t="str">
        <f>IF(A7440="","",VLOOKUP(A7440,AA_Cuadrillas,5,FALSE))</f>
        <v/>
      </c>
      <c r="J7440" s="273"/>
      <c r="K7440" s="9" t="str">
        <f>IF(A7440="","",F.P!$I$2)</f>
        <v/>
      </c>
      <c r="L7440" s="37"/>
      <c r="M7440" s="394" t="str">
        <f t="shared" si="1016"/>
        <v/>
      </c>
      <c r="N7440" s="273"/>
    </row>
    <row r="7441" spans="1:14" ht="12.75" customHeight="1" x14ac:dyDescent="0.25">
      <c r="A7441" s="393"/>
      <c r="B7441" s="271"/>
      <c r="C7441" s="271"/>
      <c r="D7441" s="271"/>
      <c r="E7441" s="271"/>
      <c r="F7441" s="271"/>
      <c r="G7441" s="273"/>
      <c r="H7441" s="29" t="str">
        <f>IF(A7441="","",VLOOKUP(A7441,AA_Cuadrillas,4,FALSE))</f>
        <v/>
      </c>
      <c r="I7441" s="394" t="str">
        <f>IF(A7441="","",VLOOKUP(A7441,AA_Cuadrillas,5,FALSE))</f>
        <v/>
      </c>
      <c r="J7441" s="273"/>
      <c r="K7441" s="9" t="str">
        <f>IF(A7441="","",F.P!$I$2)</f>
        <v/>
      </c>
      <c r="L7441" s="37"/>
      <c r="M7441" s="394" t="str">
        <f t="shared" si="1016"/>
        <v/>
      </c>
      <c r="N7441" s="273"/>
    </row>
    <row r="7442" spans="1:14" ht="12.75" customHeight="1" x14ac:dyDescent="0.25">
      <c r="A7442" s="4"/>
      <c r="B7442" s="4"/>
      <c r="C7442" s="4"/>
      <c r="D7442" s="4"/>
      <c r="E7442" s="4"/>
      <c r="F7442" s="4"/>
      <c r="G7442" s="4"/>
      <c r="H7442" s="4"/>
      <c r="I7442" s="4"/>
      <c r="J7442" s="4"/>
      <c r="K7442" s="396" t="s">
        <v>444</v>
      </c>
      <c r="L7442" s="273"/>
      <c r="M7442" s="394">
        <f>SUM(M7437:N7441)</f>
        <v>0</v>
      </c>
      <c r="N7442" s="273"/>
    </row>
    <row r="7443" spans="1:14" ht="12.75" customHeight="1" x14ac:dyDescent="0.2"/>
    <row r="7444" spans="1:14" ht="12.75" customHeight="1" x14ac:dyDescent="0.2">
      <c r="A7444" s="407" t="s">
        <v>1324</v>
      </c>
      <c r="B7444" s="275"/>
      <c r="C7444" s="275"/>
      <c r="D7444" s="275"/>
      <c r="E7444" s="275"/>
      <c r="F7444" s="275"/>
      <c r="G7444" s="275"/>
      <c r="H7444" s="275"/>
      <c r="I7444" s="275"/>
      <c r="J7444" s="275"/>
      <c r="K7444" s="275"/>
      <c r="L7444" s="275"/>
      <c r="M7444" s="275"/>
      <c r="N7444" s="276"/>
    </row>
    <row r="7445" spans="1:14" ht="12.75" customHeight="1" x14ac:dyDescent="0.2">
      <c r="A7445" s="277"/>
      <c r="B7445" s="278"/>
      <c r="C7445" s="278"/>
      <c r="D7445" s="278"/>
      <c r="E7445" s="278"/>
      <c r="F7445" s="278"/>
      <c r="G7445" s="278"/>
      <c r="H7445" s="278"/>
      <c r="I7445" s="278"/>
      <c r="J7445" s="278"/>
      <c r="K7445" s="278"/>
      <c r="L7445" s="278"/>
      <c r="M7445" s="278"/>
      <c r="N7445" s="279"/>
    </row>
    <row r="7446" spans="1:14" ht="12.75" customHeight="1" x14ac:dyDescent="0.2">
      <c r="A7446" s="75">
        <v>1</v>
      </c>
      <c r="B7446" s="75">
        <v>2</v>
      </c>
      <c r="C7446" s="75">
        <v>3</v>
      </c>
      <c r="D7446" s="75">
        <v>4</v>
      </c>
      <c r="E7446" s="75">
        <v>5</v>
      </c>
      <c r="F7446" s="75">
        <v>6</v>
      </c>
      <c r="G7446" s="75">
        <v>7</v>
      </c>
      <c r="H7446" s="75">
        <v>8</v>
      </c>
      <c r="I7446" s="75">
        <v>9</v>
      </c>
      <c r="J7446" s="75">
        <v>10</v>
      </c>
      <c r="K7446" s="75">
        <v>11</v>
      </c>
      <c r="L7446" s="75">
        <v>12</v>
      </c>
      <c r="M7446" s="75">
        <v>13</v>
      </c>
      <c r="N7446" s="75">
        <v>14</v>
      </c>
    </row>
    <row r="7447" spans="1:14" ht="12.75" customHeight="1" x14ac:dyDescent="0.3">
      <c r="A7447" s="79" t="s">
        <v>785</v>
      </c>
      <c r="B7447" s="80" t="str">
        <f>A7444</f>
        <v>LOCALIZACIÓN Y REPLANTEO DE ESTRUCTURAS DE ACUEDUCTOS (NO INCLUYE EQUIPO DE TOPOGRAFÍA)</v>
      </c>
      <c r="C7447" s="81" t="s">
        <v>916</v>
      </c>
      <c r="D7447" s="82" t="s">
        <v>934</v>
      </c>
      <c r="E7447" s="83" t="s">
        <v>445</v>
      </c>
      <c r="F7447" s="84">
        <f>H7447+J7447+L7447+N7447</f>
        <v>5920.6300427083333</v>
      </c>
      <c r="G7447" s="83" t="s">
        <v>607</v>
      </c>
      <c r="H7447" s="85">
        <f>M7456</f>
        <v>1972.5450000000001</v>
      </c>
      <c r="I7447" s="83" t="s">
        <v>918</v>
      </c>
      <c r="J7447" s="85">
        <f>M7465</f>
        <v>182.87210416666667</v>
      </c>
      <c r="K7447" s="83" t="s">
        <v>609</v>
      </c>
      <c r="L7447" s="85">
        <f>M7474</f>
        <v>107.77085520833334</v>
      </c>
      <c r="M7447" s="83" t="s">
        <v>610</v>
      </c>
      <c r="N7447" s="86">
        <f>M7483</f>
        <v>3657.4420833333334</v>
      </c>
    </row>
    <row r="7448" spans="1:14" ht="12.75" customHeight="1" x14ac:dyDescent="0.25">
      <c r="A7448" s="87"/>
      <c r="B7448" s="87"/>
      <c r="C7448" s="87"/>
      <c r="D7448" s="87"/>
      <c r="E7448" s="87"/>
      <c r="F7448" s="87"/>
      <c r="G7448" s="87"/>
      <c r="J7448" s="87"/>
      <c r="K7448" s="215" t="s">
        <v>3217</v>
      </c>
      <c r="L7448" s="215">
        <f>+F7447*presup!$O$5</f>
        <v>7696.8190555208339</v>
      </c>
      <c r="M7448" s="87"/>
      <c r="N7448" s="87"/>
    </row>
    <row r="7449" spans="1:14" ht="12.75" customHeight="1" x14ac:dyDescent="0.2">
      <c r="A7449" s="398" t="s">
        <v>919</v>
      </c>
      <c r="B7449" s="271"/>
      <c r="C7449" s="271"/>
      <c r="D7449" s="271"/>
      <c r="E7449" s="271"/>
      <c r="F7449" s="271"/>
      <c r="G7449" s="271"/>
      <c r="H7449" s="271"/>
      <c r="I7449" s="271"/>
      <c r="J7449" s="271"/>
      <c r="K7449" s="271"/>
      <c r="L7449" s="271"/>
      <c r="M7449" s="271"/>
      <c r="N7449" s="273"/>
    </row>
    <row r="7450" spans="1:14" ht="12.75" customHeight="1" x14ac:dyDescent="0.2">
      <c r="A7450" s="396" t="s">
        <v>76</v>
      </c>
      <c r="B7450" s="271"/>
      <c r="C7450" s="271"/>
      <c r="D7450" s="271"/>
      <c r="E7450" s="271"/>
      <c r="F7450" s="271"/>
      <c r="G7450" s="273"/>
      <c r="H7450" s="88" t="s">
        <v>77</v>
      </c>
      <c r="I7450" s="399" t="s">
        <v>920</v>
      </c>
      <c r="J7450" s="273"/>
      <c r="K7450" s="399" t="s">
        <v>453</v>
      </c>
      <c r="L7450" s="273"/>
      <c r="M7450" s="399" t="s">
        <v>921</v>
      </c>
      <c r="N7450" s="273"/>
    </row>
    <row r="7451" spans="1:14" ht="12.75" customHeight="1" x14ac:dyDescent="0.2">
      <c r="A7451" s="400" t="s">
        <v>922</v>
      </c>
      <c r="B7451" s="271"/>
      <c r="C7451" s="271"/>
      <c r="D7451" s="271"/>
      <c r="E7451" s="271"/>
      <c r="F7451" s="271"/>
      <c r="G7451" s="273"/>
      <c r="H7451" s="29" t="str">
        <f>IF(A7451="","",VLOOKUP(A7451,AA_Materiales,7,FALSE))</f>
        <v>Unidad</v>
      </c>
      <c r="I7451" s="394">
        <f>IF(A7451="","",VLOOKUP(A7451,AA_Materiales,8,FALSE))</f>
        <v>3741.67</v>
      </c>
      <c r="J7451" s="273"/>
      <c r="K7451" s="395">
        <v>0.3</v>
      </c>
      <c r="L7451" s="273"/>
      <c r="M7451" s="394">
        <f t="shared" ref="M7451:M7455" si="1017">IF(A7451="","",I7451*K7451)</f>
        <v>1122.501</v>
      </c>
      <c r="N7451" s="273"/>
    </row>
    <row r="7452" spans="1:14" ht="12.75" customHeight="1" x14ac:dyDescent="0.2">
      <c r="A7452" s="400" t="s">
        <v>923</v>
      </c>
      <c r="B7452" s="271"/>
      <c r="C7452" s="271"/>
      <c r="D7452" s="271"/>
      <c r="E7452" s="271"/>
      <c r="F7452" s="271"/>
      <c r="G7452" s="273"/>
      <c r="H7452" s="29" t="str">
        <f>IF(A7452="","",VLOOKUP(A7452,AA_Materiales,7,FALSE))</f>
        <v>Galón</v>
      </c>
      <c r="I7452" s="394">
        <f>IF(A7452="","",VLOOKUP(A7452,AA_Materiales,8,FALSE))</f>
        <v>75900</v>
      </c>
      <c r="J7452" s="273"/>
      <c r="K7452" s="395">
        <v>8.0000000000000002E-3</v>
      </c>
      <c r="L7452" s="273"/>
      <c r="M7452" s="394">
        <f t="shared" si="1017"/>
        <v>607.20000000000005</v>
      </c>
      <c r="N7452" s="273"/>
    </row>
    <row r="7453" spans="1:14" ht="12.75" customHeight="1" x14ac:dyDescent="0.2">
      <c r="A7453" s="400" t="s">
        <v>924</v>
      </c>
      <c r="B7453" s="271"/>
      <c r="C7453" s="271"/>
      <c r="D7453" s="271"/>
      <c r="E7453" s="271"/>
      <c r="F7453" s="271"/>
      <c r="G7453" s="273"/>
      <c r="H7453" s="29" t="str">
        <f>IF(A7453="","",VLOOKUP(A7453,AA_Materiales,7,FALSE))</f>
        <v>Libra</v>
      </c>
      <c r="I7453" s="394">
        <f>IF(A7453="","",VLOOKUP(A7453,AA_Materiales,8,FALSE))</f>
        <v>4487</v>
      </c>
      <c r="J7453" s="273"/>
      <c r="K7453" s="395">
        <v>1.2E-2</v>
      </c>
      <c r="L7453" s="273"/>
      <c r="M7453" s="394">
        <f t="shared" si="1017"/>
        <v>53.844000000000001</v>
      </c>
      <c r="N7453" s="273"/>
    </row>
    <row r="7454" spans="1:14" ht="12.75" customHeight="1" x14ac:dyDescent="0.2">
      <c r="A7454" s="400" t="s">
        <v>935</v>
      </c>
      <c r="B7454" s="271"/>
      <c r="C7454" s="271"/>
      <c r="D7454" s="271"/>
      <c r="E7454" s="271"/>
      <c r="F7454" s="271"/>
      <c r="G7454" s="273"/>
      <c r="H7454" s="29" t="str">
        <f>IF(A7454="","",VLOOKUP(A7454,AA_Materiales,7,FALSE))</f>
        <v>ml</v>
      </c>
      <c r="I7454" s="394">
        <f>IF(A7454="","",VLOOKUP(A7454,AA_Materiales,8,FALSE))</f>
        <v>189</v>
      </c>
      <c r="J7454" s="273"/>
      <c r="K7454" s="395">
        <v>1</v>
      </c>
      <c r="L7454" s="273"/>
      <c r="M7454" s="394">
        <f t="shared" si="1017"/>
        <v>189</v>
      </c>
      <c r="N7454" s="273"/>
    </row>
    <row r="7455" spans="1:14" ht="12.75" customHeight="1" x14ac:dyDescent="0.2">
      <c r="A7455" s="400"/>
      <c r="B7455" s="271"/>
      <c r="C7455" s="271"/>
      <c r="D7455" s="271"/>
      <c r="E7455" s="271"/>
      <c r="F7455" s="271"/>
      <c r="G7455" s="273"/>
      <c r="H7455" s="29" t="str">
        <f>IF(A7455="","",VLOOKUP(A7455,AA_Materiales,7,FALSE))</f>
        <v/>
      </c>
      <c r="I7455" s="394" t="str">
        <f>IF(A7455="","",VLOOKUP(A7455,AA_Materiales,8,FALSE))</f>
        <v/>
      </c>
      <c r="J7455" s="273"/>
      <c r="K7455" s="395"/>
      <c r="L7455" s="273"/>
      <c r="M7455" s="394" t="str">
        <f t="shared" si="1017"/>
        <v/>
      </c>
      <c r="N7455" s="273"/>
    </row>
    <row r="7456" spans="1:14" ht="12.75" customHeight="1" x14ac:dyDescent="0.25">
      <c r="A7456" s="4"/>
      <c r="B7456" s="4"/>
      <c r="C7456" s="4"/>
      <c r="D7456" s="4"/>
      <c r="E7456" s="4"/>
      <c r="F7456" s="4"/>
      <c r="G7456" s="4"/>
      <c r="H7456" s="4"/>
      <c r="I7456" s="4"/>
      <c r="J7456" s="4"/>
      <c r="K7456" s="396" t="s">
        <v>444</v>
      </c>
      <c r="L7456" s="273"/>
      <c r="M7456" s="394">
        <f>SUM(M7451:N7455)</f>
        <v>1972.5450000000001</v>
      </c>
      <c r="N7456" s="273"/>
    </row>
    <row r="7457" spans="1:14" ht="12.75" customHeight="1" x14ac:dyDescent="0.25">
      <c r="A7457" s="4"/>
      <c r="B7457" s="4"/>
      <c r="C7457" s="4"/>
      <c r="D7457" s="4"/>
      <c r="E7457" s="4"/>
      <c r="F7457" s="4"/>
      <c r="G7457" s="4"/>
      <c r="H7457" s="4"/>
      <c r="I7457" s="4"/>
      <c r="J7457" s="4"/>
      <c r="K7457" s="4"/>
      <c r="L7457" s="4"/>
      <c r="M7457" s="4"/>
      <c r="N7457" s="4"/>
    </row>
    <row r="7458" spans="1:14" ht="12.75" customHeight="1" x14ac:dyDescent="0.2">
      <c r="A7458" s="398" t="s">
        <v>926</v>
      </c>
      <c r="B7458" s="271"/>
      <c r="C7458" s="271"/>
      <c r="D7458" s="271"/>
      <c r="E7458" s="271"/>
      <c r="F7458" s="271"/>
      <c r="G7458" s="271"/>
      <c r="H7458" s="271"/>
      <c r="I7458" s="271"/>
      <c r="J7458" s="271"/>
      <c r="K7458" s="271"/>
      <c r="L7458" s="271"/>
      <c r="M7458" s="271"/>
      <c r="N7458" s="273"/>
    </row>
    <row r="7459" spans="1:14" ht="12.75" customHeight="1" x14ac:dyDescent="0.2">
      <c r="A7459" s="396" t="s">
        <v>76</v>
      </c>
      <c r="B7459" s="271"/>
      <c r="C7459" s="271"/>
      <c r="D7459" s="271"/>
      <c r="E7459" s="271"/>
      <c r="F7459" s="271"/>
      <c r="G7459" s="273"/>
      <c r="H7459" s="88" t="s">
        <v>77</v>
      </c>
      <c r="I7459" s="399" t="s">
        <v>920</v>
      </c>
      <c r="J7459" s="273"/>
      <c r="K7459" s="399" t="s">
        <v>453</v>
      </c>
      <c r="L7459" s="273"/>
      <c r="M7459" s="399" t="s">
        <v>921</v>
      </c>
      <c r="N7459" s="273"/>
    </row>
    <row r="7460" spans="1:14" ht="12.75" customHeight="1" x14ac:dyDescent="0.2">
      <c r="A7460" s="400" t="s">
        <v>927</v>
      </c>
      <c r="B7460" s="271"/>
      <c r="C7460" s="271"/>
      <c r="D7460" s="271"/>
      <c r="E7460" s="271"/>
      <c r="F7460" s="271"/>
      <c r="G7460" s="273"/>
      <c r="H7460" s="29" t="str">
        <f>IF(A7460="","",VLOOKUP(A7460,AA_Equipos,7,FALSE))</f>
        <v>% M.O.</v>
      </c>
      <c r="I7460" s="394">
        <f>M7483</f>
        <v>3657.4420833333334</v>
      </c>
      <c r="J7460" s="273"/>
      <c r="K7460" s="395">
        <v>0.05</v>
      </c>
      <c r="L7460" s="273"/>
      <c r="M7460" s="394">
        <f t="shared" ref="M7460:M7464" si="1018">IF(A7460="","",I7460*K7460)</f>
        <v>182.87210416666667</v>
      </c>
      <c r="N7460" s="273"/>
    </row>
    <row r="7461" spans="1:14" ht="12.75" customHeight="1" x14ac:dyDescent="0.2">
      <c r="A7461" s="403"/>
      <c r="B7461" s="271"/>
      <c r="C7461" s="271"/>
      <c r="D7461" s="271"/>
      <c r="E7461" s="271"/>
      <c r="F7461" s="271"/>
      <c r="G7461" s="273"/>
      <c r="H7461" s="29" t="str">
        <f>IF(A7461="","",VLOOKUP(A7461,AA_Equipos,7,FALSE))</f>
        <v/>
      </c>
      <c r="I7461" s="394" t="str">
        <f>IF(A7461="","",VLOOKUP(A7461,AA_Materiales,8,FALSE))</f>
        <v/>
      </c>
      <c r="J7461" s="273"/>
      <c r="K7461" s="402"/>
      <c r="L7461" s="273"/>
      <c r="M7461" s="394" t="str">
        <f t="shared" si="1018"/>
        <v/>
      </c>
      <c r="N7461" s="273"/>
    </row>
    <row r="7462" spans="1:14" ht="12.75" customHeight="1" x14ac:dyDescent="0.2">
      <c r="A7462" s="400"/>
      <c r="B7462" s="271"/>
      <c r="C7462" s="271"/>
      <c r="D7462" s="271"/>
      <c r="E7462" s="271"/>
      <c r="F7462" s="271"/>
      <c r="G7462" s="273"/>
      <c r="H7462" s="29" t="str">
        <f>IF(A7462="","",VLOOKUP(A7462,AA_Equipos,7,FALSE))</f>
        <v/>
      </c>
      <c r="I7462" s="394" t="str">
        <f>IF(A7462="","",VLOOKUP(A7462,AA_Materiales,8,FALSE))</f>
        <v/>
      </c>
      <c r="J7462" s="273"/>
      <c r="K7462" s="395"/>
      <c r="L7462" s="273"/>
      <c r="M7462" s="394" t="str">
        <f t="shared" si="1018"/>
        <v/>
      </c>
      <c r="N7462" s="273"/>
    </row>
    <row r="7463" spans="1:14" ht="12.75" customHeight="1" x14ac:dyDescent="0.2">
      <c r="A7463" s="400"/>
      <c r="B7463" s="271"/>
      <c r="C7463" s="271"/>
      <c r="D7463" s="271"/>
      <c r="E7463" s="271"/>
      <c r="F7463" s="271"/>
      <c r="G7463" s="273"/>
      <c r="H7463" s="29" t="str">
        <f>IF(A7463="","",VLOOKUP(A7463,AA_Equipos,7,FALSE))</f>
        <v/>
      </c>
      <c r="I7463" s="394" t="str">
        <f>IF(A7463="","",VLOOKUP(A7463,AA_Materiales,8,FALSE))</f>
        <v/>
      </c>
      <c r="J7463" s="273"/>
      <c r="K7463" s="395"/>
      <c r="L7463" s="273"/>
      <c r="M7463" s="394" t="str">
        <f t="shared" si="1018"/>
        <v/>
      </c>
      <c r="N7463" s="273"/>
    </row>
    <row r="7464" spans="1:14" ht="12.75" customHeight="1" x14ac:dyDescent="0.2">
      <c r="A7464" s="400"/>
      <c r="B7464" s="271"/>
      <c r="C7464" s="271"/>
      <c r="D7464" s="271"/>
      <c r="E7464" s="271"/>
      <c r="F7464" s="271"/>
      <c r="G7464" s="273"/>
      <c r="H7464" s="29" t="str">
        <f>IF(A7464="","",VLOOKUP(A7464,AA_Equipos,7,FALSE))</f>
        <v/>
      </c>
      <c r="I7464" s="394" t="str">
        <f>IF(A7464="","",VLOOKUP(A7464,AA_Materiales,8,FALSE))</f>
        <v/>
      </c>
      <c r="J7464" s="273"/>
      <c r="K7464" s="395"/>
      <c r="L7464" s="273"/>
      <c r="M7464" s="394" t="str">
        <f t="shared" si="1018"/>
        <v/>
      </c>
      <c r="N7464" s="273"/>
    </row>
    <row r="7465" spans="1:14" ht="12.75" customHeight="1" x14ac:dyDescent="0.25">
      <c r="A7465" s="4"/>
      <c r="B7465" s="4"/>
      <c r="C7465" s="4"/>
      <c r="D7465" s="4"/>
      <c r="E7465" s="4"/>
      <c r="F7465" s="4"/>
      <c r="G7465" s="4"/>
      <c r="H7465" s="4"/>
      <c r="I7465" s="4"/>
      <c r="J7465" s="4"/>
      <c r="K7465" s="396" t="s">
        <v>444</v>
      </c>
      <c r="L7465" s="273"/>
      <c r="M7465" s="394">
        <f>SUM(M7460:N7464)</f>
        <v>182.87210416666667</v>
      </c>
      <c r="N7465" s="273"/>
    </row>
    <row r="7466" spans="1:14" ht="12.75" customHeight="1" x14ac:dyDescent="0.25">
      <c r="A7466" s="4"/>
      <c r="B7466" s="4"/>
      <c r="C7466" s="4"/>
      <c r="D7466" s="4"/>
      <c r="E7466" s="4"/>
      <c r="F7466" s="4"/>
      <c r="G7466" s="4"/>
      <c r="H7466" s="4"/>
      <c r="I7466" s="4"/>
      <c r="J7466" s="4"/>
      <c r="K7466" s="4"/>
      <c r="L7466" s="4"/>
      <c r="M7466" s="4"/>
      <c r="N7466" s="4"/>
    </row>
    <row r="7467" spans="1:14" ht="12.75" customHeight="1" x14ac:dyDescent="0.2">
      <c r="A7467" s="398" t="s">
        <v>929</v>
      </c>
      <c r="B7467" s="271"/>
      <c r="C7467" s="271"/>
      <c r="D7467" s="271"/>
      <c r="E7467" s="271"/>
      <c r="F7467" s="271"/>
      <c r="G7467" s="271"/>
      <c r="H7467" s="271"/>
      <c r="I7467" s="271"/>
      <c r="J7467" s="271"/>
      <c r="K7467" s="271"/>
      <c r="L7467" s="271"/>
      <c r="M7467" s="271"/>
      <c r="N7467" s="273"/>
    </row>
    <row r="7468" spans="1:14" ht="12.75" customHeight="1" x14ac:dyDescent="0.2">
      <c r="A7468" s="396" t="s">
        <v>76</v>
      </c>
      <c r="B7468" s="271"/>
      <c r="C7468" s="271"/>
      <c r="D7468" s="271"/>
      <c r="E7468" s="271"/>
      <c r="F7468" s="271"/>
      <c r="G7468" s="273"/>
      <c r="H7468" s="88" t="s">
        <v>77</v>
      </c>
      <c r="I7468" s="399" t="s">
        <v>920</v>
      </c>
      <c r="J7468" s="273"/>
      <c r="K7468" s="399" t="s">
        <v>453</v>
      </c>
      <c r="L7468" s="273"/>
      <c r="M7468" s="399" t="s">
        <v>921</v>
      </c>
      <c r="N7468" s="273"/>
    </row>
    <row r="7469" spans="1:14" ht="12.75" customHeight="1" x14ac:dyDescent="0.2">
      <c r="A7469" s="400" t="s">
        <v>930</v>
      </c>
      <c r="B7469" s="271"/>
      <c r="C7469" s="271"/>
      <c r="D7469" s="271"/>
      <c r="E7469" s="271"/>
      <c r="F7469" s="271"/>
      <c r="G7469" s="273"/>
      <c r="H7469" s="29" t="s">
        <v>24</v>
      </c>
      <c r="I7469" s="394">
        <f>M7456+M7465</f>
        <v>2155.4171041666668</v>
      </c>
      <c r="J7469" s="273"/>
      <c r="K7469" s="395">
        <v>0.05</v>
      </c>
      <c r="L7469" s="273"/>
      <c r="M7469" s="394">
        <f t="shared" ref="M7469:M7473" si="1019">IF(A7469="","",I7469*K7469)</f>
        <v>107.77085520833334</v>
      </c>
      <c r="N7469" s="273"/>
    </row>
    <row r="7470" spans="1:14" ht="12.75" customHeight="1" x14ac:dyDescent="0.2">
      <c r="A7470" s="403"/>
      <c r="B7470" s="271"/>
      <c r="C7470" s="271"/>
      <c r="D7470" s="271"/>
      <c r="E7470" s="271"/>
      <c r="F7470" s="271"/>
      <c r="G7470" s="273"/>
      <c r="H7470" s="29"/>
      <c r="I7470" s="394"/>
      <c r="J7470" s="273"/>
      <c r="K7470" s="402"/>
      <c r="L7470" s="273"/>
      <c r="M7470" s="394" t="str">
        <f t="shared" si="1019"/>
        <v/>
      </c>
      <c r="N7470" s="273"/>
    </row>
    <row r="7471" spans="1:14" ht="12.75" customHeight="1" x14ac:dyDescent="0.2">
      <c r="A7471" s="400"/>
      <c r="B7471" s="271"/>
      <c r="C7471" s="271"/>
      <c r="D7471" s="271"/>
      <c r="E7471" s="271"/>
      <c r="F7471" s="271"/>
      <c r="G7471" s="273"/>
      <c r="H7471" s="29"/>
      <c r="I7471" s="394"/>
      <c r="J7471" s="273"/>
      <c r="K7471" s="395"/>
      <c r="L7471" s="273"/>
      <c r="M7471" s="394" t="str">
        <f t="shared" si="1019"/>
        <v/>
      </c>
      <c r="N7471" s="273"/>
    </row>
    <row r="7472" spans="1:14" ht="12.75" customHeight="1" x14ac:dyDescent="0.2">
      <c r="A7472" s="400"/>
      <c r="B7472" s="271"/>
      <c r="C7472" s="271"/>
      <c r="D7472" s="271"/>
      <c r="E7472" s="271"/>
      <c r="F7472" s="271"/>
      <c r="G7472" s="273"/>
      <c r="H7472" s="29"/>
      <c r="I7472" s="394"/>
      <c r="J7472" s="273"/>
      <c r="K7472" s="395"/>
      <c r="L7472" s="273"/>
      <c r="M7472" s="394" t="str">
        <f t="shared" si="1019"/>
        <v/>
      </c>
      <c r="N7472" s="273"/>
    </row>
    <row r="7473" spans="1:15" ht="12.75" customHeight="1" x14ac:dyDescent="0.2">
      <c r="A7473" s="400"/>
      <c r="B7473" s="271"/>
      <c r="C7473" s="271"/>
      <c r="D7473" s="271"/>
      <c r="E7473" s="271"/>
      <c r="F7473" s="271"/>
      <c r="G7473" s="273"/>
      <c r="H7473" s="29"/>
      <c r="I7473" s="394"/>
      <c r="J7473" s="273"/>
      <c r="K7473" s="395"/>
      <c r="L7473" s="273"/>
      <c r="M7473" s="394" t="str">
        <f t="shared" si="1019"/>
        <v/>
      </c>
      <c r="N7473" s="273"/>
    </row>
    <row r="7474" spans="1:15" ht="12.75" customHeight="1" x14ac:dyDescent="0.25">
      <c r="A7474" s="4"/>
      <c r="B7474" s="4"/>
      <c r="C7474" s="4"/>
      <c r="D7474" s="4"/>
      <c r="E7474" s="4"/>
      <c r="F7474" s="4"/>
      <c r="G7474" s="4"/>
      <c r="H7474" s="4"/>
      <c r="I7474" s="4"/>
      <c r="J7474" s="4"/>
      <c r="K7474" s="396" t="s">
        <v>444</v>
      </c>
      <c r="L7474" s="273"/>
      <c r="M7474" s="394">
        <f>SUM(M7469:N7473)</f>
        <v>107.77085520833334</v>
      </c>
      <c r="N7474" s="273"/>
    </row>
    <row r="7475" spans="1:15" ht="12.75" customHeight="1" x14ac:dyDescent="0.25">
      <c r="A7475" s="4"/>
      <c r="B7475" s="4"/>
      <c r="C7475" s="4"/>
      <c r="D7475" s="4"/>
      <c r="E7475" s="4"/>
      <c r="F7475" s="4"/>
      <c r="G7475" s="4"/>
      <c r="H7475" s="4"/>
      <c r="I7475" s="4"/>
      <c r="J7475" s="4"/>
      <c r="K7475" s="4"/>
      <c r="L7475" s="4"/>
      <c r="M7475" s="4"/>
      <c r="N7475" s="4"/>
    </row>
    <row r="7476" spans="1:15" ht="12.75" customHeight="1" x14ac:dyDescent="0.2">
      <c r="A7476" s="398" t="s">
        <v>931</v>
      </c>
      <c r="B7476" s="271"/>
      <c r="C7476" s="271"/>
      <c r="D7476" s="271"/>
      <c r="E7476" s="271"/>
      <c r="F7476" s="271"/>
      <c r="G7476" s="271"/>
      <c r="H7476" s="271"/>
      <c r="I7476" s="271"/>
      <c r="J7476" s="271"/>
      <c r="K7476" s="271"/>
      <c r="L7476" s="271"/>
      <c r="M7476" s="271"/>
      <c r="N7476" s="273"/>
    </row>
    <row r="7477" spans="1:15" ht="12.75" customHeight="1" x14ac:dyDescent="0.2">
      <c r="A7477" s="396" t="s">
        <v>76</v>
      </c>
      <c r="B7477" s="271"/>
      <c r="C7477" s="271"/>
      <c r="D7477" s="271"/>
      <c r="E7477" s="271"/>
      <c r="F7477" s="271"/>
      <c r="G7477" s="273"/>
      <c r="H7477" s="88" t="s">
        <v>77</v>
      </c>
      <c r="I7477" s="399" t="s">
        <v>920</v>
      </c>
      <c r="J7477" s="273"/>
      <c r="K7477" s="90" t="s">
        <v>514</v>
      </c>
      <c r="L7477" s="91" t="s">
        <v>932</v>
      </c>
      <c r="M7477" s="399" t="s">
        <v>921</v>
      </c>
      <c r="N7477" s="273"/>
    </row>
    <row r="7478" spans="1:15" ht="12.75" customHeight="1" x14ac:dyDescent="0.25">
      <c r="A7478" s="393" t="s">
        <v>951</v>
      </c>
      <c r="B7478" s="271"/>
      <c r="C7478" s="271"/>
      <c r="D7478" s="271"/>
      <c r="E7478" s="271"/>
      <c r="F7478" s="271"/>
      <c r="G7478" s="273"/>
      <c r="H7478" s="29" t="str">
        <f>IF(A7478="","",VLOOKUP(A7478,AA_Cuadrillas,4,FALSE))</f>
        <v>Cuadrilla</v>
      </c>
      <c r="I7478" s="394">
        <f>IF(A7478="","",VLOOKUP(A7478,AA_Cuadrillas,5,FALSE))</f>
        <v>186763</v>
      </c>
      <c r="J7478" s="273"/>
      <c r="K7478" s="9">
        <f>IF(A7478="","",F.P!$I$2)</f>
        <v>1.88</v>
      </c>
      <c r="L7478" s="93">
        <f>5/480</f>
        <v>1.0416666666666666E-2</v>
      </c>
      <c r="M7478" s="394">
        <f t="shared" ref="M7478:M7482" si="1020">IF(A7478="","",I7478*K7478*L7478)</f>
        <v>3657.4420833333334</v>
      </c>
      <c r="N7478" s="273"/>
    </row>
    <row r="7479" spans="1:15" ht="12.75" customHeight="1" x14ac:dyDescent="0.25">
      <c r="A7479" s="393"/>
      <c r="B7479" s="271"/>
      <c r="C7479" s="271"/>
      <c r="D7479" s="271"/>
      <c r="E7479" s="271"/>
      <c r="F7479" s="271"/>
      <c r="G7479" s="273"/>
      <c r="H7479" s="29" t="str">
        <f>IF(A7479="","",VLOOKUP(A7479,AA_Cuadrillas,4,FALSE))</f>
        <v/>
      </c>
      <c r="I7479" s="394" t="str">
        <f>IF(A7479="","",VLOOKUP(A7479,AA_Cuadrillas,5,FALSE))</f>
        <v/>
      </c>
      <c r="J7479" s="273"/>
      <c r="K7479" s="9" t="str">
        <f>IF(A7479="","",F.P!$I$2)</f>
        <v/>
      </c>
      <c r="L7479" s="9"/>
      <c r="M7479" s="394" t="str">
        <f t="shared" si="1020"/>
        <v/>
      </c>
      <c r="N7479" s="273"/>
    </row>
    <row r="7480" spans="1:15" ht="12.75" customHeight="1" x14ac:dyDescent="0.25">
      <c r="A7480" s="393"/>
      <c r="B7480" s="271"/>
      <c r="C7480" s="271"/>
      <c r="D7480" s="271"/>
      <c r="E7480" s="271"/>
      <c r="F7480" s="271"/>
      <c r="G7480" s="273"/>
      <c r="H7480" s="29" t="str">
        <f>IF(A7480="","",VLOOKUP(A7480,AA_Cuadrillas,4,FALSE))</f>
        <v/>
      </c>
      <c r="I7480" s="394" t="str">
        <f>IF(A7480="","",VLOOKUP(A7480,AA_Cuadrillas,5,FALSE))</f>
        <v/>
      </c>
      <c r="J7480" s="273"/>
      <c r="K7480" s="9" t="str">
        <f>IF(A7480="","",F.P!$I$2)</f>
        <v/>
      </c>
      <c r="L7480" s="37"/>
      <c r="M7480" s="394" t="str">
        <f t="shared" si="1020"/>
        <v/>
      </c>
      <c r="N7480" s="273"/>
    </row>
    <row r="7481" spans="1:15" ht="12.75" customHeight="1" x14ac:dyDescent="0.25">
      <c r="A7481" s="393"/>
      <c r="B7481" s="271"/>
      <c r="C7481" s="271"/>
      <c r="D7481" s="271"/>
      <c r="E7481" s="271"/>
      <c r="F7481" s="271"/>
      <c r="G7481" s="273"/>
      <c r="H7481" s="29" t="str">
        <f>IF(A7481="","",VLOOKUP(A7481,AA_Cuadrillas,4,FALSE))</f>
        <v/>
      </c>
      <c r="I7481" s="394" t="str">
        <f>IF(A7481="","",VLOOKUP(A7481,AA_Cuadrillas,5,FALSE))</f>
        <v/>
      </c>
      <c r="J7481" s="273"/>
      <c r="K7481" s="9" t="str">
        <f>IF(A7481="","",F.P!$I$2)</f>
        <v/>
      </c>
      <c r="L7481" s="37"/>
      <c r="M7481" s="394" t="str">
        <f t="shared" si="1020"/>
        <v/>
      </c>
      <c r="N7481" s="273"/>
    </row>
    <row r="7482" spans="1:15" ht="12.75" customHeight="1" x14ac:dyDescent="0.25">
      <c r="A7482" s="393"/>
      <c r="B7482" s="271"/>
      <c r="C7482" s="271"/>
      <c r="D7482" s="271"/>
      <c r="E7482" s="271"/>
      <c r="F7482" s="271"/>
      <c r="G7482" s="273"/>
      <c r="H7482" s="29" t="str">
        <f>IF(A7482="","",VLOOKUP(A7482,AA_Cuadrillas,4,FALSE))</f>
        <v/>
      </c>
      <c r="I7482" s="394" t="str">
        <f>IF(A7482="","",VLOOKUP(A7482,AA_Cuadrillas,5,FALSE))</f>
        <v/>
      </c>
      <c r="J7482" s="273"/>
      <c r="K7482" s="9" t="str">
        <f>IF(A7482="","",F.P!$I$2)</f>
        <v/>
      </c>
      <c r="L7482" s="37"/>
      <c r="M7482" s="394" t="str">
        <f t="shared" si="1020"/>
        <v/>
      </c>
      <c r="N7482" s="273"/>
    </row>
    <row r="7483" spans="1:15" ht="12.75" customHeight="1" x14ac:dyDescent="0.25">
      <c r="A7483" s="4"/>
      <c r="B7483" s="4"/>
      <c r="C7483" s="4"/>
      <c r="D7483" s="4"/>
      <c r="E7483" s="4"/>
      <c r="F7483" s="4"/>
      <c r="G7483" s="4"/>
      <c r="H7483" s="4"/>
      <c r="I7483" s="4"/>
      <c r="J7483" s="4"/>
      <c r="K7483" s="396" t="s">
        <v>444</v>
      </c>
      <c r="L7483" s="273"/>
      <c r="M7483" s="394">
        <f>SUM(M7478:N7482)</f>
        <v>3657.4420833333334</v>
      </c>
      <c r="N7483" s="273"/>
    </row>
    <row r="7484" spans="1:15" ht="12.75" customHeight="1" x14ac:dyDescent="0.2"/>
    <row r="7485" spans="1:15" ht="12.75" customHeight="1" x14ac:dyDescent="0.2">
      <c r="A7485" s="397" t="s">
        <v>1325</v>
      </c>
      <c r="B7485" s="418"/>
      <c r="C7485" s="418"/>
      <c r="D7485" s="418"/>
      <c r="E7485" s="418"/>
      <c r="F7485" s="418"/>
      <c r="G7485" s="418"/>
      <c r="H7485" s="418"/>
      <c r="I7485" s="418"/>
      <c r="J7485" s="418"/>
      <c r="K7485" s="418"/>
      <c r="L7485" s="418"/>
      <c r="M7485" s="418"/>
      <c r="N7485" s="419"/>
      <c r="O7485" s="166"/>
    </row>
    <row r="7486" spans="1:15" ht="12.75" customHeight="1" x14ac:dyDescent="0.2">
      <c r="A7486" s="420"/>
      <c r="B7486" s="421"/>
      <c r="C7486" s="421"/>
      <c r="D7486" s="421"/>
      <c r="E7486" s="421"/>
      <c r="F7486" s="421"/>
      <c r="G7486" s="421"/>
      <c r="H7486" s="421"/>
      <c r="I7486" s="421"/>
      <c r="J7486" s="421"/>
      <c r="K7486" s="421"/>
      <c r="L7486" s="421"/>
      <c r="M7486" s="421"/>
      <c r="N7486" s="422"/>
      <c r="O7486" s="166"/>
    </row>
    <row r="7487" spans="1:15" ht="12.75" customHeight="1" x14ac:dyDescent="0.2">
      <c r="A7487" s="75">
        <v>1</v>
      </c>
      <c r="B7487" s="75">
        <v>2</v>
      </c>
      <c r="C7487" s="75">
        <v>3</v>
      </c>
      <c r="D7487" s="75">
        <v>4</v>
      </c>
      <c r="E7487" s="75">
        <v>5</v>
      </c>
      <c r="F7487" s="75">
        <v>6</v>
      </c>
      <c r="G7487" s="75">
        <v>7</v>
      </c>
      <c r="H7487" s="75">
        <v>8</v>
      </c>
      <c r="I7487" s="75">
        <v>9</v>
      </c>
      <c r="J7487" s="75">
        <v>10</v>
      </c>
      <c r="K7487" s="75">
        <v>11</v>
      </c>
      <c r="L7487" s="75">
        <v>12</v>
      </c>
      <c r="M7487" s="75">
        <v>13</v>
      </c>
      <c r="N7487" s="75">
        <v>14</v>
      </c>
    </row>
    <row r="7488" spans="1:15" ht="12.75" customHeight="1" x14ac:dyDescent="0.3">
      <c r="A7488" s="79" t="s">
        <v>786</v>
      </c>
      <c r="B7488" s="80" t="str">
        <f>A7485</f>
        <v>SUMINISTRO E INSTALACIÓN DE TAPA Y ARO DE SEGURIDAD PARA POZOS DE INSPECCIÓN ASTM-536 CON RESISTENCIA D400 (INCLUYE MATERIALES, HERRAMIENTAS Y MANO DE OBRA)</v>
      </c>
      <c r="C7488" s="81" t="s">
        <v>916</v>
      </c>
      <c r="D7488" s="82" t="s">
        <v>934</v>
      </c>
      <c r="E7488" s="83" t="s">
        <v>445</v>
      </c>
      <c r="F7488" s="84">
        <f>H7488+J7488+L7488+N7488</f>
        <v>869480.98040500004</v>
      </c>
      <c r="G7488" s="83" t="s">
        <v>607</v>
      </c>
      <c r="H7488" s="85">
        <f>M7497</f>
        <v>785400</v>
      </c>
      <c r="I7488" s="83" t="s">
        <v>918</v>
      </c>
      <c r="J7488" s="85">
        <f>M7506</f>
        <v>877.78610000000003</v>
      </c>
      <c r="K7488" s="83" t="s">
        <v>609</v>
      </c>
      <c r="L7488" s="85">
        <f>M7515</f>
        <v>39313.889304999997</v>
      </c>
      <c r="M7488" s="83" t="s">
        <v>610</v>
      </c>
      <c r="N7488" s="86">
        <f>M7524</f>
        <v>43889.305</v>
      </c>
    </row>
    <row r="7489" spans="1:14" ht="12.75" customHeight="1" x14ac:dyDescent="0.25">
      <c r="A7489" s="87"/>
      <c r="B7489" s="87"/>
      <c r="C7489" s="87"/>
      <c r="D7489" s="87"/>
      <c r="E7489" s="87"/>
      <c r="F7489" s="87"/>
      <c r="G7489" s="87"/>
      <c r="J7489" s="87"/>
      <c r="K7489" s="215" t="s">
        <v>3217</v>
      </c>
      <c r="L7489" s="215">
        <f>+F7488*presup!$O$5</f>
        <v>1130325.2745265001</v>
      </c>
      <c r="M7489" s="87"/>
      <c r="N7489" s="87"/>
    </row>
    <row r="7490" spans="1:14" ht="12.75" customHeight="1" x14ac:dyDescent="0.2">
      <c r="A7490" s="398" t="s">
        <v>919</v>
      </c>
      <c r="B7490" s="271"/>
      <c r="C7490" s="271"/>
      <c r="D7490" s="271"/>
      <c r="E7490" s="271"/>
      <c r="F7490" s="271"/>
      <c r="G7490" s="271"/>
      <c r="H7490" s="271"/>
      <c r="I7490" s="271"/>
      <c r="J7490" s="271"/>
      <c r="K7490" s="271"/>
      <c r="L7490" s="271"/>
      <c r="M7490" s="271"/>
      <c r="N7490" s="273"/>
    </row>
    <row r="7491" spans="1:14" ht="12.75" customHeight="1" x14ac:dyDescent="0.2">
      <c r="A7491" s="396" t="s">
        <v>76</v>
      </c>
      <c r="B7491" s="271"/>
      <c r="C7491" s="271"/>
      <c r="D7491" s="271"/>
      <c r="E7491" s="271"/>
      <c r="F7491" s="271"/>
      <c r="G7491" s="273"/>
      <c r="H7491" s="88" t="s">
        <v>77</v>
      </c>
      <c r="I7491" s="399" t="s">
        <v>920</v>
      </c>
      <c r="J7491" s="273"/>
      <c r="K7491" s="399" t="s">
        <v>453</v>
      </c>
      <c r="L7491" s="273"/>
      <c r="M7491" s="399" t="s">
        <v>921</v>
      </c>
      <c r="N7491" s="273"/>
    </row>
    <row r="7492" spans="1:14" ht="27" customHeight="1" x14ac:dyDescent="0.2">
      <c r="A7492" s="403" t="s">
        <v>1326</v>
      </c>
      <c r="B7492" s="271"/>
      <c r="C7492" s="271"/>
      <c r="D7492" s="271"/>
      <c r="E7492" s="271"/>
      <c r="F7492" s="271"/>
      <c r="G7492" s="273"/>
      <c r="H7492" s="29" t="str">
        <f>IF(A7492="","",VLOOKUP(A7492,AA_Materiales,7,FALSE))</f>
        <v>Unidad</v>
      </c>
      <c r="I7492" s="394">
        <f>IF(A7492="","",VLOOKUP(A7492,AA_Materiales,8,FALSE))</f>
        <v>785400</v>
      </c>
      <c r="J7492" s="273"/>
      <c r="K7492" s="395">
        <v>1</v>
      </c>
      <c r="L7492" s="273"/>
      <c r="M7492" s="394">
        <f t="shared" ref="M7492:M7496" si="1021">IF(A7492="","",I7492*K7492)</f>
        <v>785400</v>
      </c>
      <c r="N7492" s="273"/>
    </row>
    <row r="7493" spans="1:14" ht="12.75" customHeight="1" x14ac:dyDescent="0.2">
      <c r="A7493" s="400"/>
      <c r="B7493" s="271"/>
      <c r="C7493" s="271"/>
      <c r="D7493" s="271"/>
      <c r="E7493" s="271"/>
      <c r="F7493" s="271"/>
      <c r="G7493" s="273"/>
      <c r="H7493" s="29" t="str">
        <f>IF(A7493="","",VLOOKUP(A7493,AA_Materiales,7,FALSE))</f>
        <v/>
      </c>
      <c r="I7493" s="394" t="str">
        <f>IF(A7493="","",VLOOKUP(A7493,AA_Materiales,8,FALSE))</f>
        <v/>
      </c>
      <c r="J7493" s="273"/>
      <c r="K7493" s="395"/>
      <c r="L7493" s="273"/>
      <c r="M7493" s="394" t="str">
        <f t="shared" si="1021"/>
        <v/>
      </c>
      <c r="N7493" s="273"/>
    </row>
    <row r="7494" spans="1:14" ht="12.75" customHeight="1" x14ac:dyDescent="0.2">
      <c r="A7494" s="400"/>
      <c r="B7494" s="271"/>
      <c r="C7494" s="271"/>
      <c r="D7494" s="271"/>
      <c r="E7494" s="271"/>
      <c r="F7494" s="271"/>
      <c r="G7494" s="273"/>
      <c r="H7494" s="29" t="str">
        <f>IF(A7494="","",VLOOKUP(A7494,AA_Materiales,7,FALSE))</f>
        <v/>
      </c>
      <c r="I7494" s="394" t="str">
        <f>IF(A7494="","",VLOOKUP(A7494,AA_Materiales,8,FALSE))</f>
        <v/>
      </c>
      <c r="J7494" s="273"/>
      <c r="K7494" s="395"/>
      <c r="L7494" s="273"/>
      <c r="M7494" s="394" t="str">
        <f t="shared" si="1021"/>
        <v/>
      </c>
      <c r="N7494" s="273"/>
    </row>
    <row r="7495" spans="1:14" ht="12.75" customHeight="1" x14ac:dyDescent="0.2">
      <c r="A7495" s="400"/>
      <c r="B7495" s="271"/>
      <c r="C7495" s="271"/>
      <c r="D7495" s="271"/>
      <c r="E7495" s="271"/>
      <c r="F7495" s="271"/>
      <c r="G7495" s="273"/>
      <c r="H7495" s="29" t="str">
        <f>IF(A7495="","",VLOOKUP(A7495,AA_Materiales,7,FALSE))</f>
        <v/>
      </c>
      <c r="I7495" s="394" t="str">
        <f>IF(A7495="","",VLOOKUP(A7495,AA_Materiales,8,FALSE))</f>
        <v/>
      </c>
      <c r="J7495" s="273"/>
      <c r="K7495" s="395"/>
      <c r="L7495" s="273"/>
      <c r="M7495" s="394" t="str">
        <f t="shared" si="1021"/>
        <v/>
      </c>
      <c r="N7495" s="273"/>
    </row>
    <row r="7496" spans="1:14" ht="12.75" customHeight="1" x14ac:dyDescent="0.2">
      <c r="A7496" s="400"/>
      <c r="B7496" s="271"/>
      <c r="C7496" s="271"/>
      <c r="D7496" s="271"/>
      <c r="E7496" s="271"/>
      <c r="F7496" s="271"/>
      <c r="G7496" s="273"/>
      <c r="H7496" s="29" t="str">
        <f>IF(A7496="","",VLOOKUP(A7496,AA_Materiales,7,FALSE))</f>
        <v/>
      </c>
      <c r="I7496" s="394" t="str">
        <f>IF(A7496="","",VLOOKUP(A7496,AA_Materiales,8,FALSE))</f>
        <v/>
      </c>
      <c r="J7496" s="273"/>
      <c r="K7496" s="395"/>
      <c r="L7496" s="273"/>
      <c r="M7496" s="394" t="str">
        <f t="shared" si="1021"/>
        <v/>
      </c>
      <c r="N7496" s="273"/>
    </row>
    <row r="7497" spans="1:14" ht="12.75" customHeight="1" x14ac:dyDescent="0.25">
      <c r="A7497" s="4"/>
      <c r="B7497" s="4"/>
      <c r="C7497" s="4"/>
      <c r="D7497" s="4"/>
      <c r="E7497" s="4"/>
      <c r="F7497" s="4"/>
      <c r="G7497" s="4"/>
      <c r="H7497" s="4"/>
      <c r="I7497" s="4"/>
      <c r="J7497" s="4"/>
      <c r="K7497" s="396" t="s">
        <v>444</v>
      </c>
      <c r="L7497" s="273"/>
      <c r="M7497" s="394">
        <f>SUM(M7492:N7496)</f>
        <v>785400</v>
      </c>
      <c r="N7497" s="273"/>
    </row>
    <row r="7498" spans="1:14" ht="12.75" customHeight="1" x14ac:dyDescent="0.25">
      <c r="A7498" s="4"/>
      <c r="B7498" s="4"/>
      <c r="C7498" s="4"/>
      <c r="D7498" s="4"/>
      <c r="E7498" s="4"/>
      <c r="F7498" s="4"/>
      <c r="G7498" s="4"/>
      <c r="H7498" s="4"/>
      <c r="I7498" s="4"/>
      <c r="J7498" s="4"/>
      <c r="K7498" s="4"/>
      <c r="L7498" s="4"/>
      <c r="M7498" s="4"/>
      <c r="N7498" s="4"/>
    </row>
    <row r="7499" spans="1:14" ht="12.75" customHeight="1" x14ac:dyDescent="0.2">
      <c r="A7499" s="398" t="s">
        <v>926</v>
      </c>
      <c r="B7499" s="271"/>
      <c r="C7499" s="271"/>
      <c r="D7499" s="271"/>
      <c r="E7499" s="271"/>
      <c r="F7499" s="271"/>
      <c r="G7499" s="271"/>
      <c r="H7499" s="271"/>
      <c r="I7499" s="271"/>
      <c r="J7499" s="271"/>
      <c r="K7499" s="271"/>
      <c r="L7499" s="271"/>
      <c r="M7499" s="271"/>
      <c r="N7499" s="273"/>
    </row>
    <row r="7500" spans="1:14" ht="12.75" customHeight="1" x14ac:dyDescent="0.2">
      <c r="A7500" s="396" t="s">
        <v>76</v>
      </c>
      <c r="B7500" s="271"/>
      <c r="C7500" s="271"/>
      <c r="D7500" s="271"/>
      <c r="E7500" s="271"/>
      <c r="F7500" s="271"/>
      <c r="G7500" s="273"/>
      <c r="H7500" s="88" t="s">
        <v>77</v>
      </c>
      <c r="I7500" s="399" t="s">
        <v>920</v>
      </c>
      <c r="J7500" s="273"/>
      <c r="K7500" s="399" t="s">
        <v>453</v>
      </c>
      <c r="L7500" s="273"/>
      <c r="M7500" s="399" t="s">
        <v>921</v>
      </c>
      <c r="N7500" s="273"/>
    </row>
    <row r="7501" spans="1:14" ht="12.75" customHeight="1" x14ac:dyDescent="0.2">
      <c r="A7501" s="400" t="s">
        <v>927</v>
      </c>
      <c r="B7501" s="271"/>
      <c r="C7501" s="271"/>
      <c r="D7501" s="271"/>
      <c r="E7501" s="271"/>
      <c r="F7501" s="271"/>
      <c r="G7501" s="273"/>
      <c r="H7501" s="29" t="str">
        <f>IF(A7501="","",VLOOKUP(A7501,AA_Equipos,7,FALSE))</f>
        <v>% M.O.</v>
      </c>
      <c r="I7501" s="394">
        <f>M7524</f>
        <v>43889.305</v>
      </c>
      <c r="J7501" s="273"/>
      <c r="K7501" s="404">
        <v>0.02</v>
      </c>
      <c r="L7501" s="273"/>
      <c r="M7501" s="394">
        <f t="shared" ref="M7501:M7505" si="1022">IF(A7501="","",I7501*K7501)</f>
        <v>877.78610000000003</v>
      </c>
      <c r="N7501" s="273"/>
    </row>
    <row r="7502" spans="1:14" ht="12.75" customHeight="1" x14ac:dyDescent="0.2">
      <c r="A7502" s="403"/>
      <c r="B7502" s="271"/>
      <c r="C7502" s="271"/>
      <c r="D7502" s="271"/>
      <c r="E7502" s="271"/>
      <c r="F7502" s="271"/>
      <c r="G7502" s="273"/>
      <c r="H7502" s="29" t="str">
        <f>IF(A7502="","",VLOOKUP(A7502,AA_Equipos,7,FALSE))</f>
        <v/>
      </c>
      <c r="I7502" s="394" t="str">
        <f>IF(A7502="","",VLOOKUP(A7502,AA_Materiales,8,FALSE))</f>
        <v/>
      </c>
      <c r="J7502" s="273"/>
      <c r="K7502" s="402"/>
      <c r="L7502" s="273"/>
      <c r="M7502" s="394" t="str">
        <f t="shared" si="1022"/>
        <v/>
      </c>
      <c r="N7502" s="273"/>
    </row>
    <row r="7503" spans="1:14" ht="12.75" customHeight="1" x14ac:dyDescent="0.2">
      <c r="A7503" s="400"/>
      <c r="B7503" s="271"/>
      <c r="C7503" s="271"/>
      <c r="D7503" s="271"/>
      <c r="E7503" s="271"/>
      <c r="F7503" s="271"/>
      <c r="G7503" s="273"/>
      <c r="H7503" s="29" t="str">
        <f>IF(A7503="","",VLOOKUP(A7503,AA_Equipos,7,FALSE))</f>
        <v/>
      </c>
      <c r="I7503" s="394" t="str">
        <f>IF(A7503="","",VLOOKUP(A7503,AA_Materiales,8,FALSE))</f>
        <v/>
      </c>
      <c r="J7503" s="273"/>
      <c r="K7503" s="395"/>
      <c r="L7503" s="273"/>
      <c r="M7503" s="394" t="str">
        <f t="shared" si="1022"/>
        <v/>
      </c>
      <c r="N7503" s="273"/>
    </row>
    <row r="7504" spans="1:14" ht="12.75" customHeight="1" x14ac:dyDescent="0.2">
      <c r="A7504" s="400"/>
      <c r="B7504" s="271"/>
      <c r="C7504" s="271"/>
      <c r="D7504" s="271"/>
      <c r="E7504" s="271"/>
      <c r="F7504" s="271"/>
      <c r="G7504" s="273"/>
      <c r="H7504" s="29" t="str">
        <f>IF(A7504="","",VLOOKUP(A7504,AA_Equipos,7,FALSE))</f>
        <v/>
      </c>
      <c r="I7504" s="394" t="str">
        <f>IF(A7504="","",VLOOKUP(A7504,AA_Materiales,8,FALSE))</f>
        <v/>
      </c>
      <c r="J7504" s="273"/>
      <c r="K7504" s="395"/>
      <c r="L7504" s="273"/>
      <c r="M7504" s="394" t="str">
        <f t="shared" si="1022"/>
        <v/>
      </c>
      <c r="N7504" s="273"/>
    </row>
    <row r="7505" spans="1:14" ht="12.75" customHeight="1" x14ac:dyDescent="0.2">
      <c r="A7505" s="400"/>
      <c r="B7505" s="271"/>
      <c r="C7505" s="271"/>
      <c r="D7505" s="271"/>
      <c r="E7505" s="271"/>
      <c r="F7505" s="271"/>
      <c r="G7505" s="273"/>
      <c r="H7505" s="29" t="str">
        <f>IF(A7505="","",VLOOKUP(A7505,AA_Equipos,7,FALSE))</f>
        <v/>
      </c>
      <c r="I7505" s="394" t="str">
        <f>IF(A7505="","",VLOOKUP(A7505,AA_Materiales,8,FALSE))</f>
        <v/>
      </c>
      <c r="J7505" s="273"/>
      <c r="K7505" s="395"/>
      <c r="L7505" s="273"/>
      <c r="M7505" s="394" t="str">
        <f t="shared" si="1022"/>
        <v/>
      </c>
      <c r="N7505" s="273"/>
    </row>
    <row r="7506" spans="1:14" ht="12.75" customHeight="1" x14ac:dyDescent="0.25">
      <c r="A7506" s="4"/>
      <c r="B7506" s="4"/>
      <c r="C7506" s="4"/>
      <c r="D7506" s="4"/>
      <c r="E7506" s="4"/>
      <c r="F7506" s="4"/>
      <c r="G7506" s="4"/>
      <c r="H7506" s="4"/>
      <c r="I7506" s="4"/>
      <c r="J7506" s="4"/>
      <c r="K7506" s="396" t="s">
        <v>444</v>
      </c>
      <c r="L7506" s="273"/>
      <c r="M7506" s="394">
        <f>SUM(M7501:N7505)</f>
        <v>877.78610000000003</v>
      </c>
      <c r="N7506" s="273"/>
    </row>
    <row r="7507" spans="1:14" ht="12.75" customHeight="1" x14ac:dyDescent="0.25">
      <c r="A7507" s="4"/>
      <c r="B7507" s="4"/>
      <c r="C7507" s="4"/>
      <c r="D7507" s="4"/>
      <c r="E7507" s="4"/>
      <c r="F7507" s="4"/>
      <c r="G7507" s="4"/>
      <c r="H7507" s="4"/>
      <c r="I7507" s="4"/>
      <c r="J7507" s="4"/>
      <c r="K7507" s="4"/>
      <c r="L7507" s="4"/>
      <c r="M7507" s="4"/>
      <c r="N7507" s="4"/>
    </row>
    <row r="7508" spans="1:14" ht="12.75" customHeight="1" x14ac:dyDescent="0.2">
      <c r="A7508" s="398" t="s">
        <v>929</v>
      </c>
      <c r="B7508" s="271"/>
      <c r="C7508" s="271"/>
      <c r="D7508" s="271"/>
      <c r="E7508" s="271"/>
      <c r="F7508" s="271"/>
      <c r="G7508" s="271"/>
      <c r="H7508" s="271"/>
      <c r="I7508" s="271"/>
      <c r="J7508" s="271"/>
      <c r="K7508" s="271"/>
      <c r="L7508" s="271"/>
      <c r="M7508" s="271"/>
      <c r="N7508" s="273"/>
    </row>
    <row r="7509" spans="1:14" ht="12.75" customHeight="1" x14ac:dyDescent="0.2">
      <c r="A7509" s="396" t="s">
        <v>76</v>
      </c>
      <c r="B7509" s="271"/>
      <c r="C7509" s="271"/>
      <c r="D7509" s="271"/>
      <c r="E7509" s="271"/>
      <c r="F7509" s="271"/>
      <c r="G7509" s="273"/>
      <c r="H7509" s="88" t="s">
        <v>77</v>
      </c>
      <c r="I7509" s="399" t="s">
        <v>920</v>
      </c>
      <c r="J7509" s="273"/>
      <c r="K7509" s="399" t="s">
        <v>453</v>
      </c>
      <c r="L7509" s="273"/>
      <c r="M7509" s="399" t="s">
        <v>921</v>
      </c>
      <c r="N7509" s="273"/>
    </row>
    <row r="7510" spans="1:14" ht="12.75" customHeight="1" x14ac:dyDescent="0.2">
      <c r="A7510" s="400" t="s">
        <v>966</v>
      </c>
      <c r="B7510" s="271"/>
      <c r="C7510" s="271"/>
      <c r="D7510" s="271"/>
      <c r="E7510" s="271"/>
      <c r="F7510" s="271"/>
      <c r="G7510" s="273"/>
      <c r="H7510" s="29" t="s">
        <v>950</v>
      </c>
      <c r="I7510" s="394">
        <f>+M7497</f>
        <v>785400</v>
      </c>
      <c r="J7510" s="273"/>
      <c r="K7510" s="404">
        <v>0.05</v>
      </c>
      <c r="L7510" s="273"/>
      <c r="M7510" s="394">
        <f t="shared" ref="M7510:M7514" si="1023">IF(A7510="","",I7510*K7510)</f>
        <v>39270</v>
      </c>
      <c r="N7510" s="273"/>
    </row>
    <row r="7511" spans="1:14" ht="12.75" customHeight="1" x14ac:dyDescent="0.2">
      <c r="A7511" s="403" t="s">
        <v>3174</v>
      </c>
      <c r="B7511" s="271"/>
      <c r="C7511" s="271"/>
      <c r="D7511" s="271"/>
      <c r="E7511" s="271"/>
      <c r="F7511" s="271"/>
      <c r="G7511" s="273"/>
      <c r="H7511" s="29" t="s">
        <v>24</v>
      </c>
      <c r="I7511" s="394">
        <f>+M7506</f>
        <v>877.78610000000003</v>
      </c>
      <c r="J7511" s="273"/>
      <c r="K7511" s="404">
        <v>0.05</v>
      </c>
      <c r="L7511" s="273"/>
      <c r="M7511" s="394">
        <f t="shared" si="1023"/>
        <v>43.889305000000007</v>
      </c>
      <c r="N7511" s="273"/>
    </row>
    <row r="7512" spans="1:14" ht="12.75" customHeight="1" x14ac:dyDescent="0.2">
      <c r="A7512" s="400"/>
      <c r="B7512" s="271"/>
      <c r="C7512" s="271"/>
      <c r="D7512" s="271"/>
      <c r="E7512" s="271"/>
      <c r="F7512" s="271"/>
      <c r="G7512" s="273"/>
      <c r="H7512" s="29"/>
      <c r="I7512" s="394"/>
      <c r="J7512" s="273"/>
      <c r="K7512" s="395"/>
      <c r="L7512" s="273"/>
      <c r="M7512" s="394" t="str">
        <f t="shared" si="1023"/>
        <v/>
      </c>
      <c r="N7512" s="273"/>
    </row>
    <row r="7513" spans="1:14" ht="12.75" customHeight="1" x14ac:dyDescent="0.2">
      <c r="A7513" s="400"/>
      <c r="B7513" s="271"/>
      <c r="C7513" s="271"/>
      <c r="D7513" s="271"/>
      <c r="E7513" s="271"/>
      <c r="F7513" s="271"/>
      <c r="G7513" s="273"/>
      <c r="H7513" s="29"/>
      <c r="I7513" s="394"/>
      <c r="J7513" s="273"/>
      <c r="K7513" s="395"/>
      <c r="L7513" s="273"/>
      <c r="M7513" s="394" t="str">
        <f t="shared" si="1023"/>
        <v/>
      </c>
      <c r="N7513" s="273"/>
    </row>
    <row r="7514" spans="1:14" ht="12.75" customHeight="1" x14ac:dyDescent="0.2">
      <c r="A7514" s="400"/>
      <c r="B7514" s="271"/>
      <c r="C7514" s="271"/>
      <c r="D7514" s="271"/>
      <c r="E7514" s="271"/>
      <c r="F7514" s="271"/>
      <c r="G7514" s="273"/>
      <c r="H7514" s="29"/>
      <c r="I7514" s="394"/>
      <c r="J7514" s="273"/>
      <c r="K7514" s="395"/>
      <c r="L7514" s="273"/>
      <c r="M7514" s="394" t="str">
        <f t="shared" si="1023"/>
        <v/>
      </c>
      <c r="N7514" s="273"/>
    </row>
    <row r="7515" spans="1:14" ht="12.75" customHeight="1" x14ac:dyDescent="0.25">
      <c r="A7515" s="4"/>
      <c r="B7515" s="4"/>
      <c r="C7515" s="4"/>
      <c r="D7515" s="4"/>
      <c r="E7515" s="4"/>
      <c r="F7515" s="4"/>
      <c r="G7515" s="4"/>
      <c r="H7515" s="4"/>
      <c r="I7515" s="4"/>
      <c r="J7515" s="4"/>
      <c r="K7515" s="396" t="s">
        <v>444</v>
      </c>
      <c r="L7515" s="273"/>
      <c r="M7515" s="394">
        <f>SUM(M7510:N7514)</f>
        <v>39313.889304999997</v>
      </c>
      <c r="N7515" s="273"/>
    </row>
    <row r="7516" spans="1:14" ht="12.75" customHeight="1" x14ac:dyDescent="0.25">
      <c r="A7516" s="4"/>
      <c r="B7516" s="4"/>
      <c r="C7516" s="4"/>
      <c r="D7516" s="4"/>
      <c r="E7516" s="4"/>
      <c r="F7516" s="4"/>
      <c r="G7516" s="4"/>
      <c r="H7516" s="4"/>
      <c r="I7516" s="4"/>
      <c r="J7516" s="4"/>
      <c r="K7516" s="4"/>
      <c r="L7516" s="4"/>
      <c r="M7516" s="4"/>
      <c r="N7516" s="4"/>
    </row>
    <row r="7517" spans="1:14" ht="12.75" customHeight="1" x14ac:dyDescent="0.2">
      <c r="A7517" s="398" t="s">
        <v>931</v>
      </c>
      <c r="B7517" s="271"/>
      <c r="C7517" s="271"/>
      <c r="D7517" s="271"/>
      <c r="E7517" s="271"/>
      <c r="F7517" s="271"/>
      <c r="G7517" s="271"/>
      <c r="H7517" s="271"/>
      <c r="I7517" s="271"/>
      <c r="J7517" s="271"/>
      <c r="K7517" s="271"/>
      <c r="L7517" s="271"/>
      <c r="M7517" s="271"/>
      <c r="N7517" s="273"/>
    </row>
    <row r="7518" spans="1:14" ht="12.75" customHeight="1" x14ac:dyDescent="0.2">
      <c r="A7518" s="396" t="s">
        <v>76</v>
      </c>
      <c r="B7518" s="271"/>
      <c r="C7518" s="271"/>
      <c r="D7518" s="271"/>
      <c r="E7518" s="271"/>
      <c r="F7518" s="271"/>
      <c r="G7518" s="273"/>
      <c r="H7518" s="88" t="s">
        <v>77</v>
      </c>
      <c r="I7518" s="399" t="s">
        <v>920</v>
      </c>
      <c r="J7518" s="273"/>
      <c r="K7518" s="90" t="s">
        <v>514</v>
      </c>
      <c r="L7518" s="91" t="s">
        <v>932</v>
      </c>
      <c r="M7518" s="399" t="s">
        <v>921</v>
      </c>
      <c r="N7518" s="273"/>
    </row>
    <row r="7519" spans="1:14" ht="12.75" customHeight="1" x14ac:dyDescent="0.25">
      <c r="A7519" s="393" t="s">
        <v>951</v>
      </c>
      <c r="B7519" s="271"/>
      <c r="C7519" s="271"/>
      <c r="D7519" s="271"/>
      <c r="E7519" s="271"/>
      <c r="F7519" s="271"/>
      <c r="G7519" s="273"/>
      <c r="H7519" s="29" t="str">
        <f>IF(A7519="","",VLOOKUP(A7519,AA_Cuadrillas,4,FALSE))</f>
        <v>Cuadrilla</v>
      </c>
      <c r="I7519" s="394">
        <f>IF(A7519="","",VLOOKUP(A7519,AA_Cuadrillas,5,FALSE))</f>
        <v>186763</v>
      </c>
      <c r="J7519" s="273"/>
      <c r="K7519" s="9">
        <f>IF(A7519="","",F.P!$I$2)</f>
        <v>1.88</v>
      </c>
      <c r="L7519" s="93">
        <f>1/8</f>
        <v>0.125</v>
      </c>
      <c r="M7519" s="394">
        <f t="shared" ref="M7519:M7523" si="1024">IF(A7519="","",I7519*K7519*L7519)</f>
        <v>43889.305</v>
      </c>
      <c r="N7519" s="273"/>
    </row>
    <row r="7520" spans="1:14" ht="12.75" customHeight="1" x14ac:dyDescent="0.25">
      <c r="A7520" s="393"/>
      <c r="B7520" s="271"/>
      <c r="C7520" s="271"/>
      <c r="D7520" s="271"/>
      <c r="E7520" s="271"/>
      <c r="F7520" s="271"/>
      <c r="G7520" s="273"/>
      <c r="H7520" s="29" t="str">
        <f>IF(A7520="","",VLOOKUP(A7520,AA_Cuadrillas,4,FALSE))</f>
        <v/>
      </c>
      <c r="I7520" s="394" t="str">
        <f>IF(A7520="","",VLOOKUP(A7520,AA_Cuadrillas,5,FALSE))</f>
        <v/>
      </c>
      <c r="J7520" s="273"/>
      <c r="K7520" s="9" t="str">
        <f>IF(A7520="","",F.P!$I$2)</f>
        <v/>
      </c>
      <c r="L7520" s="9"/>
      <c r="M7520" s="394" t="str">
        <f t="shared" si="1024"/>
        <v/>
      </c>
      <c r="N7520" s="273"/>
    </row>
    <row r="7521" spans="1:15" ht="12.75" customHeight="1" x14ac:dyDescent="0.25">
      <c r="A7521" s="393"/>
      <c r="B7521" s="271"/>
      <c r="C7521" s="271"/>
      <c r="D7521" s="271"/>
      <c r="E7521" s="271"/>
      <c r="F7521" s="271"/>
      <c r="G7521" s="273"/>
      <c r="H7521" s="29" t="str">
        <f>IF(A7521="","",VLOOKUP(A7521,AA_Cuadrillas,4,FALSE))</f>
        <v/>
      </c>
      <c r="I7521" s="394" t="str">
        <f>IF(A7521="","",VLOOKUP(A7521,AA_Cuadrillas,5,FALSE))</f>
        <v/>
      </c>
      <c r="J7521" s="273"/>
      <c r="K7521" s="9" t="str">
        <f>IF(A7521="","",F.P!$I$2)</f>
        <v/>
      </c>
      <c r="L7521" s="37"/>
      <c r="M7521" s="394" t="str">
        <f t="shared" si="1024"/>
        <v/>
      </c>
      <c r="N7521" s="273"/>
    </row>
    <row r="7522" spans="1:15" ht="12.75" customHeight="1" x14ac:dyDescent="0.25">
      <c r="A7522" s="393"/>
      <c r="B7522" s="271"/>
      <c r="C7522" s="271"/>
      <c r="D7522" s="271"/>
      <c r="E7522" s="271"/>
      <c r="F7522" s="271"/>
      <c r="G7522" s="273"/>
      <c r="H7522" s="29" t="str">
        <f>IF(A7522="","",VLOOKUP(A7522,AA_Cuadrillas,4,FALSE))</f>
        <v/>
      </c>
      <c r="I7522" s="394" t="str">
        <f>IF(A7522="","",VLOOKUP(A7522,AA_Cuadrillas,5,FALSE))</f>
        <v/>
      </c>
      <c r="J7522" s="273"/>
      <c r="K7522" s="9" t="str">
        <f>IF(A7522="","",F.P!$I$2)</f>
        <v/>
      </c>
      <c r="L7522" s="37"/>
      <c r="M7522" s="394" t="str">
        <f t="shared" si="1024"/>
        <v/>
      </c>
      <c r="N7522" s="273"/>
    </row>
    <row r="7523" spans="1:15" ht="12.75" customHeight="1" x14ac:dyDescent="0.25">
      <c r="A7523" s="393"/>
      <c r="B7523" s="271"/>
      <c r="C7523" s="271"/>
      <c r="D7523" s="271"/>
      <c r="E7523" s="271"/>
      <c r="F7523" s="271"/>
      <c r="G7523" s="273"/>
      <c r="H7523" s="29" t="str">
        <f>IF(A7523="","",VLOOKUP(A7523,AA_Cuadrillas,4,FALSE))</f>
        <v/>
      </c>
      <c r="I7523" s="394" t="str">
        <f>IF(A7523="","",VLOOKUP(A7523,AA_Cuadrillas,5,FALSE))</f>
        <v/>
      </c>
      <c r="J7523" s="273"/>
      <c r="K7523" s="9" t="str">
        <f>IF(A7523="","",F.P!$I$2)</f>
        <v/>
      </c>
      <c r="L7523" s="37"/>
      <c r="M7523" s="394" t="str">
        <f t="shared" si="1024"/>
        <v/>
      </c>
      <c r="N7523" s="273"/>
    </row>
    <row r="7524" spans="1:15" ht="12.75" customHeight="1" x14ac:dyDescent="0.25">
      <c r="A7524" s="4"/>
      <c r="B7524" s="4"/>
      <c r="C7524" s="4"/>
      <c r="D7524" s="4"/>
      <c r="E7524" s="4"/>
      <c r="F7524" s="4"/>
      <c r="G7524" s="4"/>
      <c r="H7524" s="4"/>
      <c r="I7524" s="4"/>
      <c r="J7524" s="4"/>
      <c r="K7524" s="396" t="s">
        <v>444</v>
      </c>
      <c r="L7524" s="273"/>
      <c r="M7524" s="394">
        <f>SUM(M7519:N7523)</f>
        <v>43889.305</v>
      </c>
      <c r="N7524" s="273"/>
    </row>
    <row r="7525" spans="1:15" ht="12.75" customHeight="1" x14ac:dyDescent="0.2"/>
    <row r="7526" spans="1:15" ht="12.75" customHeight="1" x14ac:dyDescent="0.2">
      <c r="A7526" s="407" t="s">
        <v>1327</v>
      </c>
      <c r="B7526" s="275"/>
      <c r="C7526" s="275"/>
      <c r="D7526" s="275"/>
      <c r="E7526" s="275"/>
      <c r="F7526" s="275"/>
      <c r="G7526" s="275"/>
      <c r="H7526" s="275"/>
      <c r="I7526" s="275"/>
      <c r="J7526" s="275"/>
      <c r="K7526" s="275"/>
      <c r="L7526" s="275"/>
      <c r="M7526" s="275"/>
      <c r="N7526" s="276"/>
      <c r="O7526" s="166"/>
    </row>
    <row r="7527" spans="1:15" ht="12.75" customHeight="1" x14ac:dyDescent="0.2">
      <c r="A7527" s="277"/>
      <c r="B7527" s="278"/>
      <c r="C7527" s="278"/>
      <c r="D7527" s="278"/>
      <c r="E7527" s="278"/>
      <c r="F7527" s="278"/>
      <c r="G7527" s="278"/>
      <c r="H7527" s="278"/>
      <c r="I7527" s="278"/>
      <c r="J7527" s="278"/>
      <c r="K7527" s="278"/>
      <c r="L7527" s="278"/>
      <c r="M7527" s="278"/>
      <c r="N7527" s="279"/>
      <c r="O7527" s="166"/>
    </row>
    <row r="7528" spans="1:15" ht="12.75" customHeight="1" x14ac:dyDescent="0.2">
      <c r="A7528" s="75"/>
      <c r="B7528" s="75"/>
      <c r="C7528" s="75"/>
      <c r="D7528" s="75"/>
      <c r="E7528" s="75"/>
      <c r="F7528" s="75"/>
      <c r="G7528" s="75"/>
      <c r="H7528" s="75"/>
      <c r="I7528" s="75"/>
      <c r="J7528" s="75"/>
      <c r="K7528" s="75"/>
      <c r="L7528" s="75"/>
      <c r="M7528" s="75"/>
      <c r="N7528" s="75"/>
    </row>
    <row r="7529" spans="1:15" ht="12.75" customHeight="1" x14ac:dyDescent="0.3">
      <c r="A7529" s="79" t="s">
        <v>787</v>
      </c>
      <c r="B7529" s="80" t="str">
        <f>A7526</f>
        <v>SUMINISTRO E INSTALACIÓN DE NIPLE PASAMURO EBxEB DE Ø3" L=0,87 M EN HIERRO DUCTIL</v>
      </c>
      <c r="C7529" s="81" t="s">
        <v>916</v>
      </c>
      <c r="D7529" s="82" t="s">
        <v>999</v>
      </c>
      <c r="E7529" s="83" t="s">
        <v>445</v>
      </c>
      <c r="F7529" s="240">
        <f>H7529+J7529+L7529+N7529</f>
        <v>450049.64202499995</v>
      </c>
      <c r="G7529" s="83" t="s">
        <v>607</v>
      </c>
      <c r="H7529" s="86">
        <f>M7539</f>
        <v>340631.1</v>
      </c>
      <c r="I7529" s="83" t="s">
        <v>918</v>
      </c>
      <c r="J7529" s="86">
        <f>M7548</f>
        <v>4388.9305000000004</v>
      </c>
      <c r="K7529" s="83" t="s">
        <v>609</v>
      </c>
      <c r="L7529" s="86">
        <f>M7557</f>
        <v>17251.001525</v>
      </c>
      <c r="M7529" s="83" t="s">
        <v>610</v>
      </c>
      <c r="N7529" s="86">
        <f>M7566</f>
        <v>87778.61</v>
      </c>
      <c r="O7529" t="s">
        <v>3222</v>
      </c>
    </row>
    <row r="7530" spans="1:15" ht="12.75" customHeight="1" x14ac:dyDescent="0.25">
      <c r="A7530" s="87"/>
      <c r="B7530" s="87"/>
      <c r="C7530" s="87"/>
      <c r="D7530" s="87"/>
      <c r="E7530" s="87"/>
      <c r="F7530" s="87"/>
      <c r="G7530" s="87"/>
      <c r="J7530" s="87"/>
      <c r="K7530" s="215" t="s">
        <v>3217</v>
      </c>
      <c r="L7530" s="215">
        <f>+F7529*presup!$O$5</f>
        <v>585064.53463249991</v>
      </c>
      <c r="M7530" s="87"/>
      <c r="N7530" s="87"/>
    </row>
    <row r="7531" spans="1:15" ht="12.75" customHeight="1" x14ac:dyDescent="0.2">
      <c r="A7531" s="398" t="s">
        <v>919</v>
      </c>
      <c r="B7531" s="271"/>
      <c r="C7531" s="271"/>
      <c r="D7531" s="271"/>
      <c r="E7531" s="271"/>
      <c r="F7531" s="271"/>
      <c r="G7531" s="271"/>
      <c r="H7531" s="271"/>
      <c r="I7531" s="271"/>
      <c r="J7531" s="271"/>
      <c r="K7531" s="271"/>
      <c r="L7531" s="271"/>
      <c r="M7531" s="271"/>
      <c r="N7531" s="273"/>
    </row>
    <row r="7532" spans="1:15" ht="12.75" customHeight="1" x14ac:dyDescent="0.2">
      <c r="A7532" s="396" t="s">
        <v>76</v>
      </c>
      <c r="B7532" s="271"/>
      <c r="C7532" s="271"/>
      <c r="D7532" s="271"/>
      <c r="E7532" s="271"/>
      <c r="F7532" s="271"/>
      <c r="G7532" s="273"/>
      <c r="H7532" s="88" t="s">
        <v>77</v>
      </c>
      <c r="I7532" s="399" t="s">
        <v>920</v>
      </c>
      <c r="J7532" s="273"/>
      <c r="K7532" s="399" t="s">
        <v>453</v>
      </c>
      <c r="L7532" s="273"/>
      <c r="M7532" s="399" t="s">
        <v>921</v>
      </c>
      <c r="N7532" s="273"/>
    </row>
    <row r="7533" spans="1:15" ht="12.75" customHeight="1" x14ac:dyDescent="0.2">
      <c r="A7533" s="403" t="s">
        <v>1126</v>
      </c>
      <c r="B7533" s="271"/>
      <c r="C7533" s="271"/>
      <c r="D7533" s="271"/>
      <c r="E7533" s="271"/>
      <c r="F7533" s="271"/>
      <c r="G7533" s="273"/>
      <c r="H7533" s="29" t="str">
        <f t="shared" ref="H7533:H7538" si="1025">IF(A7533="","",VLOOKUP(A7533,AA_Materiales,7,FALSE))</f>
        <v>Unidad</v>
      </c>
      <c r="I7533" s="394">
        <f t="shared" ref="I7533:I7538" si="1026">IF(A7533="","",VLOOKUP(A7533,AA_Materiales,8,FALSE))</f>
        <v>391530</v>
      </c>
      <c r="J7533" s="273"/>
      <c r="K7533" s="395">
        <v>0.87</v>
      </c>
      <c r="L7533" s="273"/>
      <c r="M7533" s="394">
        <f t="shared" ref="M7533:M7538" si="1027">IF(A7533="","",I7533*K7533)</f>
        <v>340631.1</v>
      </c>
      <c r="N7533" s="273"/>
    </row>
    <row r="7534" spans="1:15" ht="12.75" customHeight="1" x14ac:dyDescent="0.2">
      <c r="A7534" s="403"/>
      <c r="B7534" s="271"/>
      <c r="C7534" s="271"/>
      <c r="D7534" s="271"/>
      <c r="E7534" s="271"/>
      <c r="F7534" s="271"/>
      <c r="G7534" s="273"/>
      <c r="H7534" s="29" t="str">
        <f t="shared" si="1025"/>
        <v/>
      </c>
      <c r="I7534" s="394" t="str">
        <f t="shared" si="1026"/>
        <v/>
      </c>
      <c r="J7534" s="273"/>
      <c r="K7534" s="395"/>
      <c r="L7534" s="273"/>
      <c r="M7534" s="394" t="str">
        <f t="shared" si="1027"/>
        <v/>
      </c>
      <c r="N7534" s="273"/>
    </row>
    <row r="7535" spans="1:15" ht="12.75" customHeight="1" x14ac:dyDescent="0.2">
      <c r="A7535" s="403"/>
      <c r="B7535" s="271"/>
      <c r="C7535" s="271"/>
      <c r="D7535" s="271"/>
      <c r="E7535" s="271"/>
      <c r="F7535" s="271"/>
      <c r="G7535" s="273"/>
      <c r="H7535" s="29" t="str">
        <f t="shared" si="1025"/>
        <v/>
      </c>
      <c r="I7535" s="394" t="str">
        <f t="shared" si="1026"/>
        <v/>
      </c>
      <c r="J7535" s="273"/>
      <c r="K7535" s="395"/>
      <c r="L7535" s="273"/>
      <c r="M7535" s="394" t="str">
        <f t="shared" si="1027"/>
        <v/>
      </c>
      <c r="N7535" s="273"/>
    </row>
    <row r="7536" spans="1:15" ht="12.75" customHeight="1" x14ac:dyDescent="0.2">
      <c r="A7536" s="403"/>
      <c r="B7536" s="271"/>
      <c r="C7536" s="271"/>
      <c r="D7536" s="271"/>
      <c r="E7536" s="271"/>
      <c r="F7536" s="271"/>
      <c r="G7536" s="273"/>
      <c r="H7536" s="29" t="str">
        <f t="shared" si="1025"/>
        <v/>
      </c>
      <c r="I7536" s="394" t="str">
        <f t="shared" si="1026"/>
        <v/>
      </c>
      <c r="J7536" s="273"/>
      <c r="K7536" s="395"/>
      <c r="L7536" s="273"/>
      <c r="M7536" s="394" t="str">
        <f t="shared" si="1027"/>
        <v/>
      </c>
      <c r="N7536" s="273"/>
    </row>
    <row r="7537" spans="1:14" ht="12.75" customHeight="1" x14ac:dyDescent="0.2">
      <c r="A7537" s="403"/>
      <c r="B7537" s="271"/>
      <c r="C7537" s="271"/>
      <c r="D7537" s="271"/>
      <c r="E7537" s="271"/>
      <c r="F7537" s="271"/>
      <c r="G7537" s="273"/>
      <c r="H7537" s="29" t="str">
        <f t="shared" si="1025"/>
        <v/>
      </c>
      <c r="I7537" s="394" t="str">
        <f t="shared" si="1026"/>
        <v/>
      </c>
      <c r="J7537" s="273"/>
      <c r="K7537" s="395"/>
      <c r="L7537" s="273"/>
      <c r="M7537" s="394" t="str">
        <f t="shared" si="1027"/>
        <v/>
      </c>
      <c r="N7537" s="273"/>
    </row>
    <row r="7538" spans="1:14" ht="12.75" customHeight="1" x14ac:dyDescent="0.2">
      <c r="A7538" s="403"/>
      <c r="B7538" s="271"/>
      <c r="C7538" s="271"/>
      <c r="D7538" s="271"/>
      <c r="E7538" s="271"/>
      <c r="F7538" s="271"/>
      <c r="G7538" s="273"/>
      <c r="H7538" s="29" t="str">
        <f t="shared" si="1025"/>
        <v/>
      </c>
      <c r="I7538" s="394" t="str">
        <f t="shared" si="1026"/>
        <v/>
      </c>
      <c r="J7538" s="273"/>
      <c r="K7538" s="395"/>
      <c r="L7538" s="273"/>
      <c r="M7538" s="394" t="str">
        <f t="shared" si="1027"/>
        <v/>
      </c>
      <c r="N7538" s="273"/>
    </row>
    <row r="7539" spans="1:14" ht="12.75" customHeight="1" x14ac:dyDescent="0.25">
      <c r="A7539" s="4"/>
      <c r="B7539" s="4"/>
      <c r="C7539" s="4"/>
      <c r="D7539" s="4"/>
      <c r="E7539" s="4"/>
      <c r="F7539" s="4"/>
      <c r="G7539" s="4"/>
      <c r="H7539" s="4"/>
      <c r="I7539" s="4"/>
      <c r="J7539" s="4"/>
      <c r="K7539" s="396" t="s">
        <v>444</v>
      </c>
      <c r="L7539" s="273"/>
      <c r="M7539" s="394">
        <f>SUM(M7533:N7538)</f>
        <v>340631.1</v>
      </c>
      <c r="N7539" s="273"/>
    </row>
    <row r="7540" spans="1:14" ht="12.75" customHeight="1" x14ac:dyDescent="0.25">
      <c r="A7540" s="4"/>
      <c r="B7540" s="4"/>
      <c r="C7540" s="4"/>
      <c r="D7540" s="4"/>
      <c r="E7540" s="4"/>
      <c r="F7540" s="4"/>
      <c r="G7540" s="4"/>
      <c r="H7540" s="4"/>
      <c r="I7540" s="4"/>
      <c r="J7540" s="4"/>
      <c r="K7540" s="4"/>
      <c r="L7540" s="4"/>
      <c r="M7540" s="4"/>
      <c r="N7540" s="4"/>
    </row>
    <row r="7541" spans="1:14" ht="12.75" customHeight="1" x14ac:dyDescent="0.2">
      <c r="A7541" s="398" t="s">
        <v>926</v>
      </c>
      <c r="B7541" s="271"/>
      <c r="C7541" s="271"/>
      <c r="D7541" s="271"/>
      <c r="E7541" s="271"/>
      <c r="F7541" s="271"/>
      <c r="G7541" s="271"/>
      <c r="H7541" s="271"/>
      <c r="I7541" s="271"/>
      <c r="J7541" s="271"/>
      <c r="K7541" s="271"/>
      <c r="L7541" s="271"/>
      <c r="M7541" s="271"/>
      <c r="N7541" s="273"/>
    </row>
    <row r="7542" spans="1:14" ht="12.75" customHeight="1" x14ac:dyDescent="0.2">
      <c r="A7542" s="396" t="s">
        <v>76</v>
      </c>
      <c r="B7542" s="271"/>
      <c r="C7542" s="271"/>
      <c r="D7542" s="271"/>
      <c r="E7542" s="271"/>
      <c r="F7542" s="271"/>
      <c r="G7542" s="273"/>
      <c r="H7542" s="88" t="s">
        <v>77</v>
      </c>
      <c r="I7542" s="399" t="s">
        <v>920</v>
      </c>
      <c r="J7542" s="273"/>
      <c r="K7542" s="399" t="s">
        <v>453</v>
      </c>
      <c r="L7542" s="273"/>
      <c r="M7542" s="399" t="s">
        <v>921</v>
      </c>
      <c r="N7542" s="273"/>
    </row>
    <row r="7543" spans="1:14" ht="12.75" customHeight="1" x14ac:dyDescent="0.2">
      <c r="A7543" s="400" t="s">
        <v>927</v>
      </c>
      <c r="B7543" s="271"/>
      <c r="C7543" s="271"/>
      <c r="D7543" s="271"/>
      <c r="E7543" s="271"/>
      <c r="F7543" s="271"/>
      <c r="G7543" s="273"/>
      <c r="H7543" s="29" t="str">
        <f>IF(A7543="","",VLOOKUP(A7543,AA_Equipos,7,FALSE))</f>
        <v>% M.O.</v>
      </c>
      <c r="I7543" s="394">
        <f>+M7566</f>
        <v>87778.61</v>
      </c>
      <c r="J7543" s="273"/>
      <c r="K7543" s="404">
        <v>0.05</v>
      </c>
      <c r="L7543" s="273"/>
      <c r="M7543" s="394">
        <f t="shared" ref="M7543:M7547" si="1028">IF(A7543="","",I7543*K7543)</f>
        <v>4388.9305000000004</v>
      </c>
      <c r="N7543" s="273"/>
    </row>
    <row r="7544" spans="1:14" ht="12.75" customHeight="1" x14ac:dyDescent="0.2">
      <c r="A7544" s="403"/>
      <c r="B7544" s="271"/>
      <c r="C7544" s="271"/>
      <c r="D7544" s="271"/>
      <c r="E7544" s="271"/>
      <c r="F7544" s="271"/>
      <c r="G7544" s="273"/>
      <c r="H7544" s="29" t="str">
        <f>IF(A7544="","",VLOOKUP(A7544,AA_Equipos,7,FALSE))</f>
        <v/>
      </c>
      <c r="I7544" s="394" t="str">
        <f>IF(A7544="","",VLOOKUP(A7544,AA_Equipos,8,FALSE))</f>
        <v/>
      </c>
      <c r="J7544" s="273"/>
      <c r="K7544" s="402"/>
      <c r="L7544" s="273"/>
      <c r="M7544" s="394" t="str">
        <f t="shared" si="1028"/>
        <v/>
      </c>
      <c r="N7544" s="273"/>
    </row>
    <row r="7545" spans="1:14" ht="12.75" customHeight="1" x14ac:dyDescent="0.2">
      <c r="A7545" s="400"/>
      <c r="B7545" s="271"/>
      <c r="C7545" s="271"/>
      <c r="D7545" s="271"/>
      <c r="E7545" s="271"/>
      <c r="F7545" s="271"/>
      <c r="G7545" s="273"/>
      <c r="H7545" s="29" t="str">
        <f>IF(A7545="","",VLOOKUP(A7545,AA_Equipos,7,FALSE))</f>
        <v/>
      </c>
      <c r="I7545" s="394" t="str">
        <f>IF(A7545="","",VLOOKUP(A7545,AA_Equipos,8,FALSE))</f>
        <v/>
      </c>
      <c r="J7545" s="273"/>
      <c r="K7545" s="401"/>
      <c r="L7545" s="273"/>
      <c r="M7545" s="394" t="str">
        <f t="shared" si="1028"/>
        <v/>
      </c>
      <c r="N7545" s="273"/>
    </row>
    <row r="7546" spans="1:14" ht="12.75" customHeight="1" x14ac:dyDescent="0.2">
      <c r="A7546" s="400"/>
      <c r="B7546" s="271"/>
      <c r="C7546" s="271"/>
      <c r="D7546" s="271"/>
      <c r="E7546" s="271"/>
      <c r="F7546" s="271"/>
      <c r="G7546" s="273"/>
      <c r="H7546" s="29" t="str">
        <f>IF(A7546="","",VLOOKUP(A7546,AA_Equipos,7,FALSE))</f>
        <v/>
      </c>
      <c r="I7546" s="394" t="str">
        <f>IF(A7546="","",VLOOKUP(A7546,AA_Equipos,8,FALSE))</f>
        <v/>
      </c>
      <c r="J7546" s="273"/>
      <c r="K7546" s="395"/>
      <c r="L7546" s="273"/>
      <c r="M7546" s="394" t="str">
        <f t="shared" si="1028"/>
        <v/>
      </c>
      <c r="N7546" s="273"/>
    </row>
    <row r="7547" spans="1:14" ht="12.75" customHeight="1" x14ac:dyDescent="0.2">
      <c r="A7547" s="400"/>
      <c r="B7547" s="271"/>
      <c r="C7547" s="271"/>
      <c r="D7547" s="271"/>
      <c r="E7547" s="271"/>
      <c r="F7547" s="271"/>
      <c r="G7547" s="273"/>
      <c r="H7547" s="29" t="str">
        <f>IF(A7547="","",VLOOKUP(A7547,AA_Equipos,7,FALSE))</f>
        <v/>
      </c>
      <c r="I7547" s="394" t="str">
        <f>IF(A7547="","",VLOOKUP(A7547,AA_Equipos,8,FALSE))</f>
        <v/>
      </c>
      <c r="J7547" s="273"/>
      <c r="K7547" s="395"/>
      <c r="L7547" s="273"/>
      <c r="M7547" s="394" t="str">
        <f t="shared" si="1028"/>
        <v/>
      </c>
      <c r="N7547" s="273"/>
    </row>
    <row r="7548" spans="1:14" ht="12.75" customHeight="1" x14ac:dyDescent="0.25">
      <c r="A7548" s="4"/>
      <c r="B7548" s="4"/>
      <c r="C7548" s="4"/>
      <c r="D7548" s="4"/>
      <c r="E7548" s="4"/>
      <c r="F7548" s="4"/>
      <c r="G7548" s="4"/>
      <c r="H7548" s="4"/>
      <c r="I7548" s="4"/>
      <c r="J7548" s="4"/>
      <c r="K7548" s="396" t="s">
        <v>444</v>
      </c>
      <c r="L7548" s="273"/>
      <c r="M7548" s="394">
        <f>SUM(M7543:N7547)</f>
        <v>4388.9305000000004</v>
      </c>
      <c r="N7548" s="273"/>
    </row>
    <row r="7549" spans="1:14" ht="12.75" customHeight="1" x14ac:dyDescent="0.25">
      <c r="A7549" s="4"/>
      <c r="B7549" s="4"/>
      <c r="C7549" s="4"/>
      <c r="D7549" s="4"/>
      <c r="E7549" s="4"/>
      <c r="F7549" s="4"/>
      <c r="G7549" s="4"/>
      <c r="H7549" s="4"/>
      <c r="I7549" s="4"/>
      <c r="J7549" s="4"/>
      <c r="K7549" s="4"/>
      <c r="L7549" s="4"/>
      <c r="M7549" s="4"/>
      <c r="N7549" s="4"/>
    </row>
    <row r="7550" spans="1:14" ht="12.75" customHeight="1" x14ac:dyDescent="0.2">
      <c r="A7550" s="398" t="s">
        <v>929</v>
      </c>
      <c r="B7550" s="271"/>
      <c r="C7550" s="271"/>
      <c r="D7550" s="271"/>
      <c r="E7550" s="271"/>
      <c r="F7550" s="271"/>
      <c r="G7550" s="271"/>
      <c r="H7550" s="271"/>
      <c r="I7550" s="271"/>
      <c r="J7550" s="271"/>
      <c r="K7550" s="271"/>
      <c r="L7550" s="271"/>
      <c r="M7550" s="271"/>
      <c r="N7550" s="273"/>
    </row>
    <row r="7551" spans="1:14" ht="12.75" customHeight="1" x14ac:dyDescent="0.2">
      <c r="A7551" s="396" t="s">
        <v>76</v>
      </c>
      <c r="B7551" s="271"/>
      <c r="C7551" s="271"/>
      <c r="D7551" s="271"/>
      <c r="E7551" s="271"/>
      <c r="F7551" s="271"/>
      <c r="G7551" s="273"/>
      <c r="H7551" s="88" t="s">
        <v>77</v>
      </c>
      <c r="I7551" s="399" t="s">
        <v>920</v>
      </c>
      <c r="J7551" s="273"/>
      <c r="K7551" s="399" t="s">
        <v>453</v>
      </c>
      <c r="L7551" s="273"/>
      <c r="M7551" s="399" t="s">
        <v>921</v>
      </c>
      <c r="N7551" s="273"/>
    </row>
    <row r="7552" spans="1:14" ht="12.75" customHeight="1" x14ac:dyDescent="0.2">
      <c r="A7552" s="400" t="s">
        <v>966</v>
      </c>
      <c r="B7552" s="271"/>
      <c r="C7552" s="271"/>
      <c r="D7552" s="271"/>
      <c r="E7552" s="271"/>
      <c r="F7552" s="271"/>
      <c r="G7552" s="273"/>
      <c r="H7552" s="29" t="s">
        <v>950</v>
      </c>
      <c r="I7552" s="394">
        <f>+M7539</f>
        <v>340631.1</v>
      </c>
      <c r="J7552" s="273"/>
      <c r="K7552" s="404">
        <v>0.05</v>
      </c>
      <c r="L7552" s="273"/>
      <c r="M7552" s="394">
        <f t="shared" ref="M7552:M7556" si="1029">IF(A7552="","",I7552*K7552)</f>
        <v>17031.555</v>
      </c>
      <c r="N7552" s="273"/>
    </row>
    <row r="7553" spans="1:15" ht="12.75" customHeight="1" x14ac:dyDescent="0.2">
      <c r="A7553" s="403" t="s">
        <v>3182</v>
      </c>
      <c r="B7553" s="271"/>
      <c r="C7553" s="271"/>
      <c r="D7553" s="271"/>
      <c r="E7553" s="271"/>
      <c r="F7553" s="271"/>
      <c r="G7553" s="273"/>
      <c r="H7553" s="29" t="s">
        <v>24</v>
      </c>
      <c r="I7553" s="394">
        <f>+M7548</f>
        <v>4388.9305000000004</v>
      </c>
      <c r="J7553" s="273"/>
      <c r="K7553" s="404">
        <v>0.05</v>
      </c>
      <c r="L7553" s="273"/>
      <c r="M7553" s="394">
        <f t="shared" si="1029"/>
        <v>219.44652500000004</v>
      </c>
      <c r="N7553" s="273"/>
    </row>
    <row r="7554" spans="1:15" ht="12.75" customHeight="1" x14ac:dyDescent="0.2">
      <c r="A7554" s="400"/>
      <c r="B7554" s="271"/>
      <c r="C7554" s="271"/>
      <c r="D7554" s="271"/>
      <c r="E7554" s="271"/>
      <c r="F7554" s="271"/>
      <c r="G7554" s="273"/>
      <c r="H7554" s="29"/>
      <c r="I7554" s="394"/>
      <c r="J7554" s="273"/>
      <c r="K7554" s="395"/>
      <c r="L7554" s="273"/>
      <c r="M7554" s="394" t="str">
        <f t="shared" si="1029"/>
        <v/>
      </c>
      <c r="N7554" s="273"/>
    </row>
    <row r="7555" spans="1:15" ht="12.75" customHeight="1" x14ac:dyDescent="0.2">
      <c r="A7555" s="400"/>
      <c r="B7555" s="271"/>
      <c r="C7555" s="271"/>
      <c r="D7555" s="271"/>
      <c r="E7555" s="271"/>
      <c r="F7555" s="271"/>
      <c r="G7555" s="273"/>
      <c r="H7555" s="29"/>
      <c r="I7555" s="394"/>
      <c r="J7555" s="273"/>
      <c r="K7555" s="395"/>
      <c r="L7555" s="273"/>
      <c r="M7555" s="394" t="str">
        <f t="shared" si="1029"/>
        <v/>
      </c>
      <c r="N7555" s="273"/>
    </row>
    <row r="7556" spans="1:15" ht="12.75" customHeight="1" x14ac:dyDescent="0.2">
      <c r="A7556" s="400"/>
      <c r="B7556" s="271"/>
      <c r="C7556" s="271"/>
      <c r="D7556" s="271"/>
      <c r="E7556" s="271"/>
      <c r="F7556" s="271"/>
      <c r="G7556" s="273"/>
      <c r="H7556" s="29"/>
      <c r="I7556" s="394"/>
      <c r="J7556" s="273"/>
      <c r="K7556" s="395"/>
      <c r="L7556" s="273"/>
      <c r="M7556" s="394" t="str">
        <f t="shared" si="1029"/>
        <v/>
      </c>
      <c r="N7556" s="273"/>
    </row>
    <row r="7557" spans="1:15" ht="12.75" customHeight="1" x14ac:dyDescent="0.25">
      <c r="A7557" s="4"/>
      <c r="B7557" s="4"/>
      <c r="C7557" s="4"/>
      <c r="D7557" s="4"/>
      <c r="E7557" s="4"/>
      <c r="F7557" s="4"/>
      <c r="G7557" s="4"/>
      <c r="H7557" s="4"/>
      <c r="I7557" s="4"/>
      <c r="J7557" s="4"/>
      <c r="K7557" s="396" t="s">
        <v>444</v>
      </c>
      <c r="L7557" s="273"/>
      <c r="M7557" s="394">
        <f>SUM(M7552:N7556)</f>
        <v>17251.001525</v>
      </c>
      <c r="N7557" s="273"/>
    </row>
    <row r="7558" spans="1:15" ht="12.75" customHeight="1" x14ac:dyDescent="0.25">
      <c r="A7558" s="4"/>
      <c r="B7558" s="4"/>
      <c r="C7558" s="4"/>
      <c r="D7558" s="4"/>
      <c r="E7558" s="4"/>
      <c r="F7558" s="4"/>
      <c r="G7558" s="4"/>
      <c r="H7558" s="4"/>
      <c r="I7558" s="4"/>
      <c r="J7558" s="4"/>
      <c r="K7558" s="4"/>
      <c r="L7558" s="4"/>
      <c r="M7558" s="4"/>
      <c r="N7558" s="4"/>
    </row>
    <row r="7559" spans="1:15" ht="12.75" customHeight="1" x14ac:dyDescent="0.2">
      <c r="A7559" s="398" t="s">
        <v>931</v>
      </c>
      <c r="B7559" s="271"/>
      <c r="C7559" s="271"/>
      <c r="D7559" s="271"/>
      <c r="E7559" s="271"/>
      <c r="F7559" s="271"/>
      <c r="G7559" s="271"/>
      <c r="H7559" s="271"/>
      <c r="I7559" s="271"/>
      <c r="J7559" s="271"/>
      <c r="K7559" s="271"/>
      <c r="L7559" s="271"/>
      <c r="M7559" s="271"/>
      <c r="N7559" s="273"/>
    </row>
    <row r="7560" spans="1:15" ht="12.75" customHeight="1" x14ac:dyDescent="0.2">
      <c r="A7560" s="396" t="s">
        <v>76</v>
      </c>
      <c r="B7560" s="271"/>
      <c r="C7560" s="271"/>
      <c r="D7560" s="271"/>
      <c r="E7560" s="271"/>
      <c r="F7560" s="271"/>
      <c r="G7560" s="273"/>
      <c r="H7560" s="88" t="s">
        <v>77</v>
      </c>
      <c r="I7560" s="399" t="s">
        <v>920</v>
      </c>
      <c r="J7560" s="273"/>
      <c r="K7560" s="90" t="s">
        <v>514</v>
      </c>
      <c r="L7560" s="91" t="s">
        <v>932</v>
      </c>
      <c r="M7560" s="399" t="s">
        <v>921</v>
      </c>
      <c r="N7560" s="273"/>
    </row>
    <row r="7561" spans="1:15" ht="12.75" customHeight="1" x14ac:dyDescent="0.25">
      <c r="A7561" s="393" t="s">
        <v>986</v>
      </c>
      <c r="B7561" s="271"/>
      <c r="C7561" s="271"/>
      <c r="D7561" s="271"/>
      <c r="E7561" s="271"/>
      <c r="F7561" s="271"/>
      <c r="G7561" s="273"/>
      <c r="H7561" s="29" t="str">
        <f>IF(A7561="","",VLOOKUP(A7561,AA_Cuadrillas,4,FALSE))</f>
        <v>Cuadrilla</v>
      </c>
      <c r="I7561" s="394">
        <f>IF(A7561="","",VLOOKUP(A7561,AA_Cuadrillas,5,FALSE))</f>
        <v>186763</v>
      </c>
      <c r="J7561" s="273"/>
      <c r="K7561" s="9">
        <f>IF(A7561="","",F.P!$I$2)</f>
        <v>1.88</v>
      </c>
      <c r="L7561" s="97">
        <v>0.25</v>
      </c>
      <c r="M7561" s="394">
        <f t="shared" ref="M7561:M7565" si="1030">IF(A7561="","",I7561*K7561*L7561)</f>
        <v>87778.61</v>
      </c>
      <c r="N7561" s="273"/>
    </row>
    <row r="7562" spans="1:15" ht="12.75" customHeight="1" x14ac:dyDescent="0.25">
      <c r="A7562" s="393"/>
      <c r="B7562" s="271"/>
      <c r="C7562" s="271"/>
      <c r="D7562" s="271"/>
      <c r="E7562" s="271"/>
      <c r="F7562" s="271"/>
      <c r="G7562" s="273"/>
      <c r="H7562" s="29" t="str">
        <f>IF(A7562="","",VLOOKUP(A7562,AA_Cuadrillas,4,FALSE))</f>
        <v/>
      </c>
      <c r="I7562" s="394" t="str">
        <f>IF(A7562="","",VLOOKUP(A7562,AA_Cuadrillas,5,FALSE))</f>
        <v/>
      </c>
      <c r="J7562" s="273"/>
      <c r="K7562" s="9" t="str">
        <f>IF(A7562="","",F.P!$I$2)</f>
        <v/>
      </c>
      <c r="L7562" s="9"/>
      <c r="M7562" s="394" t="str">
        <f t="shared" si="1030"/>
        <v/>
      </c>
      <c r="N7562" s="273"/>
    </row>
    <row r="7563" spans="1:15" ht="12.75" customHeight="1" x14ac:dyDescent="0.25">
      <c r="A7563" s="393"/>
      <c r="B7563" s="271"/>
      <c r="C7563" s="271"/>
      <c r="D7563" s="271"/>
      <c r="E7563" s="271"/>
      <c r="F7563" s="271"/>
      <c r="G7563" s="273"/>
      <c r="H7563" s="29" t="str">
        <f>IF(A7563="","",VLOOKUP(A7563,AA_Cuadrillas,4,FALSE))</f>
        <v/>
      </c>
      <c r="I7563" s="394" t="str">
        <f>IF(A7563="","",VLOOKUP(A7563,AA_Cuadrillas,5,FALSE))</f>
        <v/>
      </c>
      <c r="J7563" s="273"/>
      <c r="K7563" s="9" t="str">
        <f>IF(A7563="","",F.P!$I$2)</f>
        <v/>
      </c>
      <c r="L7563" s="37"/>
      <c r="M7563" s="394" t="str">
        <f t="shared" si="1030"/>
        <v/>
      </c>
      <c r="N7563" s="273"/>
    </row>
    <row r="7564" spans="1:15" ht="12.75" customHeight="1" x14ac:dyDescent="0.25">
      <c r="A7564" s="393"/>
      <c r="B7564" s="271"/>
      <c r="C7564" s="271"/>
      <c r="D7564" s="271"/>
      <c r="E7564" s="271"/>
      <c r="F7564" s="271"/>
      <c r="G7564" s="273"/>
      <c r="H7564" s="29" t="str">
        <f>IF(A7564="","",VLOOKUP(A7564,AA_Cuadrillas,4,FALSE))</f>
        <v/>
      </c>
      <c r="I7564" s="394" t="str">
        <f>IF(A7564="","",VLOOKUP(A7564,AA_Cuadrillas,5,FALSE))</f>
        <v/>
      </c>
      <c r="J7564" s="273"/>
      <c r="K7564" s="9" t="str">
        <f>IF(A7564="","",F.P!$I$2)</f>
        <v/>
      </c>
      <c r="L7564" s="37"/>
      <c r="M7564" s="394" t="str">
        <f t="shared" si="1030"/>
        <v/>
      </c>
      <c r="N7564" s="273"/>
    </row>
    <row r="7565" spans="1:15" ht="12.75" customHeight="1" x14ac:dyDescent="0.25">
      <c r="A7565" s="393"/>
      <c r="B7565" s="271"/>
      <c r="C7565" s="271"/>
      <c r="D7565" s="271"/>
      <c r="E7565" s="271"/>
      <c r="F7565" s="271"/>
      <c r="G7565" s="273"/>
      <c r="H7565" s="29" t="str">
        <f>IF(A7565="","",VLOOKUP(A7565,AA_Cuadrillas,4,FALSE))</f>
        <v/>
      </c>
      <c r="I7565" s="394" t="str">
        <f>IF(A7565="","",VLOOKUP(A7565,AA_Cuadrillas,5,FALSE))</f>
        <v/>
      </c>
      <c r="J7565" s="273"/>
      <c r="K7565" s="9" t="str">
        <f>IF(A7565="","",F.P!$I$2)</f>
        <v/>
      </c>
      <c r="L7565" s="37"/>
      <c r="M7565" s="394" t="str">
        <f t="shared" si="1030"/>
        <v/>
      </c>
      <c r="N7565" s="273"/>
    </row>
    <row r="7566" spans="1:15" ht="12.75" customHeight="1" x14ac:dyDescent="0.25">
      <c r="A7566" s="4"/>
      <c r="B7566" s="4"/>
      <c r="C7566" s="4"/>
      <c r="D7566" s="4"/>
      <c r="E7566" s="4"/>
      <c r="F7566" s="4"/>
      <c r="G7566" s="4"/>
      <c r="H7566" s="4"/>
      <c r="I7566" s="4"/>
      <c r="J7566" s="4"/>
      <c r="K7566" s="396" t="s">
        <v>444</v>
      </c>
      <c r="L7566" s="273"/>
      <c r="M7566" s="394">
        <f>SUM(M7561:N7565)</f>
        <v>87778.61</v>
      </c>
      <c r="N7566" s="273"/>
    </row>
    <row r="7567" spans="1:15" ht="12.75" customHeight="1" x14ac:dyDescent="0.2"/>
    <row r="7568" spans="1:15" ht="12.75" customHeight="1" x14ac:dyDescent="0.2">
      <c r="A7568" s="407" t="s">
        <v>1328</v>
      </c>
      <c r="B7568" s="275"/>
      <c r="C7568" s="275"/>
      <c r="D7568" s="275"/>
      <c r="E7568" s="275"/>
      <c r="F7568" s="275"/>
      <c r="G7568" s="275"/>
      <c r="H7568" s="275"/>
      <c r="I7568" s="275"/>
      <c r="J7568" s="275"/>
      <c r="K7568" s="275"/>
      <c r="L7568" s="275"/>
      <c r="M7568" s="275"/>
      <c r="N7568" s="276"/>
      <c r="O7568" s="166"/>
    </row>
    <row r="7569" spans="1:15" ht="12.75" customHeight="1" x14ac:dyDescent="0.2">
      <c r="A7569" s="277"/>
      <c r="B7569" s="278"/>
      <c r="C7569" s="278"/>
      <c r="D7569" s="278"/>
      <c r="E7569" s="278"/>
      <c r="F7569" s="278"/>
      <c r="G7569" s="278"/>
      <c r="H7569" s="278"/>
      <c r="I7569" s="278"/>
      <c r="J7569" s="278"/>
      <c r="K7569" s="278"/>
      <c r="L7569" s="278"/>
      <c r="M7569" s="278"/>
      <c r="N7569" s="279"/>
      <c r="O7569" s="166"/>
    </row>
    <row r="7570" spans="1:15" ht="12.75" customHeight="1" x14ac:dyDescent="0.2">
      <c r="A7570" s="75"/>
      <c r="B7570" s="75"/>
      <c r="C7570" s="75"/>
      <c r="D7570" s="75"/>
      <c r="E7570" s="75"/>
      <c r="F7570" s="75"/>
      <c r="G7570" s="75"/>
      <c r="H7570" s="75"/>
      <c r="I7570" s="75"/>
      <c r="J7570" s="75"/>
      <c r="K7570" s="75"/>
      <c r="L7570" s="75"/>
      <c r="M7570" s="75"/>
      <c r="N7570" s="75"/>
    </row>
    <row r="7571" spans="1:15" ht="12.75" customHeight="1" x14ac:dyDescent="0.3">
      <c r="A7571" s="79" t="s">
        <v>788</v>
      </c>
      <c r="B7571" s="80" t="str">
        <f>A7568</f>
        <v>SUMINISTRO E INSTALACIÓN DE NIPLE EBxEB Ø4" L=0,15 M EN HIERRO DUCTIL</v>
      </c>
      <c r="C7571" s="81" t="s">
        <v>916</v>
      </c>
      <c r="D7571" s="82" t="s">
        <v>999</v>
      </c>
      <c r="E7571" s="83" t="s">
        <v>445</v>
      </c>
      <c r="F7571" s="240">
        <f>H7571+J7571+L7571+N7571</f>
        <v>238499.42202499998</v>
      </c>
      <c r="G7571" s="83" t="s">
        <v>607</v>
      </c>
      <c r="H7571" s="86">
        <f>M7581</f>
        <v>139154.69999999998</v>
      </c>
      <c r="I7571" s="83" t="s">
        <v>918</v>
      </c>
      <c r="J7571" s="86">
        <f>M7590</f>
        <v>4388.9305000000004</v>
      </c>
      <c r="K7571" s="83" t="s">
        <v>609</v>
      </c>
      <c r="L7571" s="86">
        <f>M7599</f>
        <v>7177.181525</v>
      </c>
      <c r="M7571" s="83" t="s">
        <v>610</v>
      </c>
      <c r="N7571" s="86">
        <f>M7608</f>
        <v>87778.61</v>
      </c>
      <c r="O7571" t="s">
        <v>3222</v>
      </c>
    </row>
    <row r="7572" spans="1:15" ht="12.75" customHeight="1" x14ac:dyDescent="0.25">
      <c r="A7572" s="87"/>
      <c r="B7572" s="87"/>
      <c r="C7572" s="87"/>
      <c r="D7572" s="87"/>
      <c r="E7572" s="87"/>
      <c r="F7572" s="87"/>
      <c r="G7572" s="87"/>
      <c r="J7572" s="87"/>
      <c r="K7572" s="215" t="s">
        <v>3217</v>
      </c>
      <c r="L7572" s="215">
        <f>+F7571*presup!$O$5</f>
        <v>310049.24863250001</v>
      </c>
      <c r="M7572" s="87"/>
      <c r="N7572" s="87"/>
    </row>
    <row r="7573" spans="1:15" ht="12.75" customHeight="1" x14ac:dyDescent="0.2">
      <c r="A7573" s="398" t="s">
        <v>919</v>
      </c>
      <c r="B7573" s="271"/>
      <c r="C7573" s="271"/>
      <c r="D7573" s="271"/>
      <c r="E7573" s="271"/>
      <c r="F7573" s="271"/>
      <c r="G7573" s="271"/>
      <c r="H7573" s="271"/>
      <c r="I7573" s="271"/>
      <c r="J7573" s="271"/>
      <c r="K7573" s="271"/>
      <c r="L7573" s="271"/>
      <c r="M7573" s="271"/>
      <c r="N7573" s="273"/>
    </row>
    <row r="7574" spans="1:15" ht="12.75" customHeight="1" x14ac:dyDescent="0.2">
      <c r="A7574" s="396" t="s">
        <v>76</v>
      </c>
      <c r="B7574" s="271"/>
      <c r="C7574" s="271"/>
      <c r="D7574" s="271"/>
      <c r="E7574" s="271"/>
      <c r="F7574" s="271"/>
      <c r="G7574" s="273"/>
      <c r="H7574" s="88" t="s">
        <v>77</v>
      </c>
      <c r="I7574" s="399" t="s">
        <v>920</v>
      </c>
      <c r="J7574" s="273"/>
      <c r="K7574" s="399" t="s">
        <v>453</v>
      </c>
      <c r="L7574" s="273"/>
      <c r="M7574" s="399" t="s">
        <v>921</v>
      </c>
      <c r="N7574" s="273"/>
    </row>
    <row r="7575" spans="1:15" ht="12.75" customHeight="1" x14ac:dyDescent="0.2">
      <c r="A7575" s="403" t="s">
        <v>1149</v>
      </c>
      <c r="B7575" s="271"/>
      <c r="C7575" s="271"/>
      <c r="D7575" s="271"/>
      <c r="E7575" s="271"/>
      <c r="F7575" s="271"/>
      <c r="G7575" s="273"/>
      <c r="H7575" s="29" t="str">
        <f t="shared" ref="H7575:H7580" si="1031">IF(A7575="","",VLOOKUP(A7575,AA_Materiales,7,FALSE))</f>
        <v>Unidad</v>
      </c>
      <c r="I7575" s="394">
        <f t="shared" ref="I7575:I7580" si="1032">IF(A7575="","",VLOOKUP(A7575,AA_Materiales,8,FALSE))</f>
        <v>927698</v>
      </c>
      <c r="J7575" s="273"/>
      <c r="K7575" s="395">
        <v>0.15</v>
      </c>
      <c r="L7575" s="273"/>
      <c r="M7575" s="394">
        <f t="shared" ref="M7575:M7580" si="1033">IF(A7575="","",I7575*K7575)</f>
        <v>139154.69999999998</v>
      </c>
      <c r="N7575" s="273"/>
    </row>
    <row r="7576" spans="1:15" ht="12.75" customHeight="1" x14ac:dyDescent="0.2">
      <c r="A7576" s="403"/>
      <c r="B7576" s="271"/>
      <c r="C7576" s="271"/>
      <c r="D7576" s="271"/>
      <c r="E7576" s="271"/>
      <c r="F7576" s="271"/>
      <c r="G7576" s="273"/>
      <c r="H7576" s="29" t="str">
        <f t="shared" si="1031"/>
        <v/>
      </c>
      <c r="I7576" s="394" t="str">
        <f t="shared" si="1032"/>
        <v/>
      </c>
      <c r="J7576" s="273"/>
      <c r="K7576" s="395"/>
      <c r="L7576" s="273"/>
      <c r="M7576" s="394" t="str">
        <f t="shared" si="1033"/>
        <v/>
      </c>
      <c r="N7576" s="273"/>
    </row>
    <row r="7577" spans="1:15" ht="12.75" customHeight="1" x14ac:dyDescent="0.2">
      <c r="A7577" s="403"/>
      <c r="B7577" s="271"/>
      <c r="C7577" s="271"/>
      <c r="D7577" s="271"/>
      <c r="E7577" s="271"/>
      <c r="F7577" s="271"/>
      <c r="G7577" s="273"/>
      <c r="H7577" s="29" t="str">
        <f t="shared" si="1031"/>
        <v/>
      </c>
      <c r="I7577" s="394" t="str">
        <f t="shared" si="1032"/>
        <v/>
      </c>
      <c r="J7577" s="273"/>
      <c r="K7577" s="395"/>
      <c r="L7577" s="273"/>
      <c r="M7577" s="394" t="str">
        <f t="shared" si="1033"/>
        <v/>
      </c>
      <c r="N7577" s="273"/>
    </row>
    <row r="7578" spans="1:15" ht="12.75" customHeight="1" x14ac:dyDescent="0.2">
      <c r="A7578" s="403"/>
      <c r="B7578" s="271"/>
      <c r="C7578" s="271"/>
      <c r="D7578" s="271"/>
      <c r="E7578" s="271"/>
      <c r="F7578" s="271"/>
      <c r="G7578" s="273"/>
      <c r="H7578" s="29" t="str">
        <f t="shared" si="1031"/>
        <v/>
      </c>
      <c r="I7578" s="394" t="str">
        <f t="shared" si="1032"/>
        <v/>
      </c>
      <c r="J7578" s="273"/>
      <c r="K7578" s="395"/>
      <c r="L7578" s="273"/>
      <c r="M7578" s="394" t="str">
        <f t="shared" si="1033"/>
        <v/>
      </c>
      <c r="N7578" s="273"/>
    </row>
    <row r="7579" spans="1:15" ht="12.75" customHeight="1" x14ac:dyDescent="0.2">
      <c r="A7579" s="403"/>
      <c r="B7579" s="271"/>
      <c r="C7579" s="271"/>
      <c r="D7579" s="271"/>
      <c r="E7579" s="271"/>
      <c r="F7579" s="271"/>
      <c r="G7579" s="273"/>
      <c r="H7579" s="29" t="str">
        <f t="shared" si="1031"/>
        <v/>
      </c>
      <c r="I7579" s="394" t="str">
        <f t="shared" si="1032"/>
        <v/>
      </c>
      <c r="J7579" s="273"/>
      <c r="K7579" s="395"/>
      <c r="L7579" s="273"/>
      <c r="M7579" s="394" t="str">
        <f t="shared" si="1033"/>
        <v/>
      </c>
      <c r="N7579" s="273"/>
    </row>
    <row r="7580" spans="1:15" ht="12.75" customHeight="1" x14ac:dyDescent="0.2">
      <c r="A7580" s="403"/>
      <c r="B7580" s="271"/>
      <c r="C7580" s="271"/>
      <c r="D7580" s="271"/>
      <c r="E7580" s="271"/>
      <c r="F7580" s="271"/>
      <c r="G7580" s="273"/>
      <c r="H7580" s="29" t="str">
        <f t="shared" si="1031"/>
        <v/>
      </c>
      <c r="I7580" s="394" t="str">
        <f t="shared" si="1032"/>
        <v/>
      </c>
      <c r="J7580" s="273"/>
      <c r="K7580" s="395"/>
      <c r="L7580" s="273"/>
      <c r="M7580" s="394" t="str">
        <f t="shared" si="1033"/>
        <v/>
      </c>
      <c r="N7580" s="273"/>
    </row>
    <row r="7581" spans="1:15" ht="12.75" customHeight="1" x14ac:dyDescent="0.25">
      <c r="A7581" s="4"/>
      <c r="B7581" s="4"/>
      <c r="C7581" s="4"/>
      <c r="D7581" s="4"/>
      <c r="E7581" s="4"/>
      <c r="F7581" s="4"/>
      <c r="G7581" s="4"/>
      <c r="H7581" s="4"/>
      <c r="I7581" s="4"/>
      <c r="J7581" s="4"/>
      <c r="K7581" s="396" t="s">
        <v>444</v>
      </c>
      <c r="L7581" s="273"/>
      <c r="M7581" s="394">
        <f>SUM(M7575:N7580)</f>
        <v>139154.69999999998</v>
      </c>
      <c r="N7581" s="273"/>
    </row>
    <row r="7582" spans="1:15" ht="12.75" customHeight="1" x14ac:dyDescent="0.25">
      <c r="A7582" s="4"/>
      <c r="B7582" s="4"/>
      <c r="C7582" s="4"/>
      <c r="D7582" s="4"/>
      <c r="E7582" s="4"/>
      <c r="F7582" s="4"/>
      <c r="G7582" s="4"/>
      <c r="H7582" s="4"/>
      <c r="I7582" s="4"/>
      <c r="J7582" s="4"/>
      <c r="K7582" s="4"/>
      <c r="L7582" s="4"/>
      <c r="M7582" s="4"/>
      <c r="N7582" s="4"/>
    </row>
    <row r="7583" spans="1:15" ht="12.75" customHeight="1" x14ac:dyDescent="0.2">
      <c r="A7583" s="398" t="s">
        <v>926</v>
      </c>
      <c r="B7583" s="271"/>
      <c r="C7583" s="271"/>
      <c r="D7583" s="271"/>
      <c r="E7583" s="271"/>
      <c r="F7583" s="271"/>
      <c r="G7583" s="271"/>
      <c r="H7583" s="271"/>
      <c r="I7583" s="271"/>
      <c r="J7583" s="271"/>
      <c r="K7583" s="271"/>
      <c r="L7583" s="271"/>
      <c r="M7583" s="271"/>
      <c r="N7583" s="273"/>
    </row>
    <row r="7584" spans="1:15" ht="12.75" customHeight="1" x14ac:dyDescent="0.2">
      <c r="A7584" s="396" t="s">
        <v>76</v>
      </c>
      <c r="B7584" s="271"/>
      <c r="C7584" s="271"/>
      <c r="D7584" s="271"/>
      <c r="E7584" s="271"/>
      <c r="F7584" s="271"/>
      <c r="G7584" s="273"/>
      <c r="H7584" s="88" t="s">
        <v>77</v>
      </c>
      <c r="I7584" s="399" t="s">
        <v>920</v>
      </c>
      <c r="J7584" s="273"/>
      <c r="K7584" s="399" t="s">
        <v>453</v>
      </c>
      <c r="L7584" s="273"/>
      <c r="M7584" s="399" t="s">
        <v>921</v>
      </c>
      <c r="N7584" s="273"/>
    </row>
    <row r="7585" spans="1:14" ht="12.75" customHeight="1" x14ac:dyDescent="0.2">
      <c r="A7585" s="400" t="s">
        <v>927</v>
      </c>
      <c r="B7585" s="271"/>
      <c r="C7585" s="271"/>
      <c r="D7585" s="271"/>
      <c r="E7585" s="271"/>
      <c r="F7585" s="271"/>
      <c r="G7585" s="273"/>
      <c r="H7585" s="29" t="str">
        <f>IF(A7585="","",VLOOKUP(A7585,AA_Equipos,7,FALSE))</f>
        <v>% M.O.</v>
      </c>
      <c r="I7585" s="394">
        <f>+M7608</f>
        <v>87778.61</v>
      </c>
      <c r="J7585" s="273"/>
      <c r="K7585" s="404">
        <v>0.05</v>
      </c>
      <c r="L7585" s="273"/>
      <c r="M7585" s="394">
        <f t="shared" ref="M7585:M7589" si="1034">IF(A7585="","",I7585*K7585)</f>
        <v>4388.9305000000004</v>
      </c>
      <c r="N7585" s="273"/>
    </row>
    <row r="7586" spans="1:14" ht="12.75" customHeight="1" x14ac:dyDescent="0.2">
      <c r="A7586" s="403"/>
      <c r="B7586" s="271"/>
      <c r="C7586" s="271"/>
      <c r="D7586" s="271"/>
      <c r="E7586" s="271"/>
      <c r="F7586" s="271"/>
      <c r="G7586" s="273"/>
      <c r="H7586" s="29" t="str">
        <f>IF(A7586="","",VLOOKUP(A7586,AA_Equipos,7,FALSE))</f>
        <v/>
      </c>
      <c r="I7586" s="394" t="str">
        <f>IF(A7586="","",VLOOKUP(A7586,AA_Equipos,8,FALSE))</f>
        <v/>
      </c>
      <c r="J7586" s="273"/>
      <c r="K7586" s="402"/>
      <c r="L7586" s="273"/>
      <c r="M7586" s="394" t="str">
        <f t="shared" si="1034"/>
        <v/>
      </c>
      <c r="N7586" s="273"/>
    </row>
    <row r="7587" spans="1:14" ht="12.75" customHeight="1" x14ac:dyDescent="0.2">
      <c r="A7587" s="400"/>
      <c r="B7587" s="271"/>
      <c r="C7587" s="271"/>
      <c r="D7587" s="271"/>
      <c r="E7587" s="271"/>
      <c r="F7587" s="271"/>
      <c r="G7587" s="273"/>
      <c r="H7587" s="29" t="str">
        <f>IF(A7587="","",VLOOKUP(A7587,AA_Equipos,7,FALSE))</f>
        <v/>
      </c>
      <c r="I7587" s="394" t="str">
        <f>IF(A7587="","",VLOOKUP(A7587,AA_Equipos,8,FALSE))</f>
        <v/>
      </c>
      <c r="J7587" s="273"/>
      <c r="K7587" s="401"/>
      <c r="L7587" s="273"/>
      <c r="M7587" s="394" t="str">
        <f t="shared" si="1034"/>
        <v/>
      </c>
      <c r="N7587" s="273"/>
    </row>
    <row r="7588" spans="1:14" ht="12.75" customHeight="1" x14ac:dyDescent="0.2">
      <c r="A7588" s="400"/>
      <c r="B7588" s="271"/>
      <c r="C7588" s="271"/>
      <c r="D7588" s="271"/>
      <c r="E7588" s="271"/>
      <c r="F7588" s="271"/>
      <c r="G7588" s="273"/>
      <c r="H7588" s="29" t="str">
        <f>IF(A7588="","",VLOOKUP(A7588,AA_Equipos,7,FALSE))</f>
        <v/>
      </c>
      <c r="I7588" s="394" t="str">
        <f>IF(A7588="","",VLOOKUP(A7588,AA_Equipos,8,FALSE))</f>
        <v/>
      </c>
      <c r="J7588" s="273"/>
      <c r="K7588" s="395"/>
      <c r="L7588" s="273"/>
      <c r="M7588" s="394" t="str">
        <f t="shared" si="1034"/>
        <v/>
      </c>
      <c r="N7588" s="273"/>
    </row>
    <row r="7589" spans="1:14" ht="12.75" customHeight="1" x14ac:dyDescent="0.2">
      <c r="A7589" s="400"/>
      <c r="B7589" s="271"/>
      <c r="C7589" s="271"/>
      <c r="D7589" s="271"/>
      <c r="E7589" s="271"/>
      <c r="F7589" s="271"/>
      <c r="G7589" s="273"/>
      <c r="H7589" s="29" t="str">
        <f>IF(A7589="","",VLOOKUP(A7589,AA_Equipos,7,FALSE))</f>
        <v/>
      </c>
      <c r="I7589" s="394" t="str">
        <f>IF(A7589="","",VLOOKUP(A7589,AA_Equipos,8,FALSE))</f>
        <v/>
      </c>
      <c r="J7589" s="273"/>
      <c r="K7589" s="395"/>
      <c r="L7589" s="273"/>
      <c r="M7589" s="394" t="str">
        <f t="shared" si="1034"/>
        <v/>
      </c>
      <c r="N7589" s="273"/>
    </row>
    <row r="7590" spans="1:14" ht="12.75" customHeight="1" x14ac:dyDescent="0.25">
      <c r="A7590" s="4"/>
      <c r="B7590" s="4"/>
      <c r="C7590" s="4"/>
      <c r="D7590" s="4"/>
      <c r="E7590" s="4"/>
      <c r="F7590" s="4"/>
      <c r="G7590" s="4"/>
      <c r="H7590" s="4"/>
      <c r="I7590" s="4"/>
      <c r="J7590" s="4"/>
      <c r="K7590" s="396" t="s">
        <v>444</v>
      </c>
      <c r="L7590" s="273"/>
      <c r="M7590" s="394">
        <f>SUM(M7585:N7589)</f>
        <v>4388.9305000000004</v>
      </c>
      <c r="N7590" s="273"/>
    </row>
    <row r="7591" spans="1:14" ht="12.75" customHeight="1" x14ac:dyDescent="0.25">
      <c r="A7591" s="4"/>
      <c r="B7591" s="4"/>
      <c r="C7591" s="4"/>
      <c r="D7591" s="4"/>
      <c r="E7591" s="4"/>
      <c r="F7591" s="4"/>
      <c r="G7591" s="4"/>
      <c r="H7591" s="4"/>
      <c r="I7591" s="4"/>
      <c r="J7591" s="4"/>
      <c r="K7591" s="4"/>
      <c r="L7591" s="4"/>
      <c r="M7591" s="4"/>
      <c r="N7591" s="4"/>
    </row>
    <row r="7592" spans="1:14" ht="12.75" customHeight="1" x14ac:dyDescent="0.2">
      <c r="A7592" s="398" t="s">
        <v>929</v>
      </c>
      <c r="B7592" s="271"/>
      <c r="C7592" s="271"/>
      <c r="D7592" s="271"/>
      <c r="E7592" s="271"/>
      <c r="F7592" s="271"/>
      <c r="G7592" s="271"/>
      <c r="H7592" s="271"/>
      <c r="I7592" s="271"/>
      <c r="J7592" s="271"/>
      <c r="K7592" s="271"/>
      <c r="L7592" s="271"/>
      <c r="M7592" s="271"/>
      <c r="N7592" s="273"/>
    </row>
    <row r="7593" spans="1:14" ht="12.75" customHeight="1" x14ac:dyDescent="0.2">
      <c r="A7593" s="396" t="s">
        <v>76</v>
      </c>
      <c r="B7593" s="271"/>
      <c r="C7593" s="271"/>
      <c r="D7593" s="271"/>
      <c r="E7593" s="271"/>
      <c r="F7593" s="271"/>
      <c r="G7593" s="273"/>
      <c r="H7593" s="88" t="s">
        <v>77</v>
      </c>
      <c r="I7593" s="399" t="s">
        <v>920</v>
      </c>
      <c r="J7593" s="273"/>
      <c r="K7593" s="399" t="s">
        <v>453</v>
      </c>
      <c r="L7593" s="273"/>
      <c r="M7593" s="399" t="s">
        <v>921</v>
      </c>
      <c r="N7593" s="273"/>
    </row>
    <row r="7594" spans="1:14" ht="12.75" customHeight="1" x14ac:dyDescent="0.2">
      <c r="A7594" s="400" t="s">
        <v>966</v>
      </c>
      <c r="B7594" s="271"/>
      <c r="C7594" s="271"/>
      <c r="D7594" s="271"/>
      <c r="E7594" s="271"/>
      <c r="F7594" s="271"/>
      <c r="G7594" s="273"/>
      <c r="H7594" s="29" t="s">
        <v>950</v>
      </c>
      <c r="I7594" s="394">
        <f>+M7581</f>
        <v>139154.69999999998</v>
      </c>
      <c r="J7594" s="273"/>
      <c r="K7594" s="404">
        <v>0.05</v>
      </c>
      <c r="L7594" s="273"/>
      <c r="M7594" s="394">
        <f t="shared" ref="M7594:M7598" si="1035">IF(A7594="","",I7594*K7594)</f>
        <v>6957.7349999999997</v>
      </c>
      <c r="N7594" s="273"/>
    </row>
    <row r="7595" spans="1:14" ht="12.75" customHeight="1" x14ac:dyDescent="0.2">
      <c r="A7595" s="403" t="s">
        <v>3183</v>
      </c>
      <c r="B7595" s="271"/>
      <c r="C7595" s="271"/>
      <c r="D7595" s="271"/>
      <c r="E7595" s="271"/>
      <c r="F7595" s="271"/>
      <c r="G7595" s="273"/>
      <c r="H7595" s="29" t="s">
        <v>24</v>
      </c>
      <c r="I7595" s="394">
        <f>+M7590</f>
        <v>4388.9305000000004</v>
      </c>
      <c r="J7595" s="273"/>
      <c r="K7595" s="404">
        <v>0.05</v>
      </c>
      <c r="L7595" s="273"/>
      <c r="M7595" s="394">
        <f t="shared" si="1035"/>
        <v>219.44652500000004</v>
      </c>
      <c r="N7595" s="273"/>
    </row>
    <row r="7596" spans="1:14" ht="12.75" customHeight="1" x14ac:dyDescent="0.2">
      <c r="A7596" s="400"/>
      <c r="B7596" s="271"/>
      <c r="C7596" s="271"/>
      <c r="D7596" s="271"/>
      <c r="E7596" s="271"/>
      <c r="F7596" s="271"/>
      <c r="G7596" s="273"/>
      <c r="H7596" s="29"/>
      <c r="I7596" s="394"/>
      <c r="J7596" s="273"/>
      <c r="K7596" s="395"/>
      <c r="L7596" s="273"/>
      <c r="M7596" s="394" t="str">
        <f t="shared" si="1035"/>
        <v/>
      </c>
      <c r="N7596" s="273"/>
    </row>
    <row r="7597" spans="1:14" ht="12.75" customHeight="1" x14ac:dyDescent="0.2">
      <c r="A7597" s="400"/>
      <c r="B7597" s="271"/>
      <c r="C7597" s="271"/>
      <c r="D7597" s="271"/>
      <c r="E7597" s="271"/>
      <c r="F7597" s="271"/>
      <c r="G7597" s="273"/>
      <c r="H7597" s="29"/>
      <c r="I7597" s="394"/>
      <c r="J7597" s="273"/>
      <c r="K7597" s="395"/>
      <c r="L7597" s="273"/>
      <c r="M7597" s="394" t="str">
        <f t="shared" si="1035"/>
        <v/>
      </c>
      <c r="N7597" s="273"/>
    </row>
    <row r="7598" spans="1:14" ht="12.75" customHeight="1" x14ac:dyDescent="0.2">
      <c r="A7598" s="400"/>
      <c r="B7598" s="271"/>
      <c r="C7598" s="271"/>
      <c r="D7598" s="271"/>
      <c r="E7598" s="271"/>
      <c r="F7598" s="271"/>
      <c r="G7598" s="273"/>
      <c r="H7598" s="29"/>
      <c r="I7598" s="394"/>
      <c r="J7598" s="273"/>
      <c r="K7598" s="395"/>
      <c r="L7598" s="273"/>
      <c r="M7598" s="394" t="str">
        <f t="shared" si="1035"/>
        <v/>
      </c>
      <c r="N7598" s="273"/>
    </row>
    <row r="7599" spans="1:14" ht="12.75" customHeight="1" x14ac:dyDescent="0.25">
      <c r="A7599" s="4"/>
      <c r="B7599" s="4"/>
      <c r="C7599" s="4"/>
      <c r="D7599" s="4"/>
      <c r="E7599" s="4"/>
      <c r="F7599" s="4"/>
      <c r="G7599" s="4"/>
      <c r="H7599" s="4"/>
      <c r="I7599" s="4"/>
      <c r="J7599" s="4"/>
      <c r="K7599" s="396" t="s">
        <v>444</v>
      </c>
      <c r="L7599" s="273"/>
      <c r="M7599" s="394">
        <f>SUM(M7594:N7598)</f>
        <v>7177.181525</v>
      </c>
      <c r="N7599" s="273"/>
    </row>
    <row r="7600" spans="1:14" ht="12.75" customHeight="1" x14ac:dyDescent="0.25">
      <c r="A7600" s="4"/>
      <c r="B7600" s="4"/>
      <c r="C7600" s="4"/>
      <c r="D7600" s="4"/>
      <c r="E7600" s="4"/>
      <c r="F7600" s="4"/>
      <c r="G7600" s="4"/>
      <c r="H7600" s="4"/>
      <c r="I7600" s="4"/>
      <c r="J7600" s="4"/>
      <c r="K7600" s="4"/>
      <c r="L7600" s="4"/>
      <c r="M7600" s="4"/>
      <c r="N7600" s="4"/>
    </row>
    <row r="7601" spans="1:15" ht="12.75" customHeight="1" x14ac:dyDescent="0.2">
      <c r="A7601" s="398" t="s">
        <v>931</v>
      </c>
      <c r="B7601" s="271"/>
      <c r="C7601" s="271"/>
      <c r="D7601" s="271"/>
      <c r="E7601" s="271"/>
      <c r="F7601" s="271"/>
      <c r="G7601" s="271"/>
      <c r="H7601" s="271"/>
      <c r="I7601" s="271"/>
      <c r="J7601" s="271"/>
      <c r="K7601" s="271"/>
      <c r="L7601" s="271"/>
      <c r="M7601" s="271"/>
      <c r="N7601" s="273"/>
    </row>
    <row r="7602" spans="1:15" ht="12.75" customHeight="1" x14ac:dyDescent="0.2">
      <c r="A7602" s="396" t="s">
        <v>76</v>
      </c>
      <c r="B7602" s="271"/>
      <c r="C7602" s="271"/>
      <c r="D7602" s="271"/>
      <c r="E7602" s="271"/>
      <c r="F7602" s="271"/>
      <c r="G7602" s="273"/>
      <c r="H7602" s="88" t="s">
        <v>77</v>
      </c>
      <c r="I7602" s="399" t="s">
        <v>920</v>
      </c>
      <c r="J7602" s="273"/>
      <c r="K7602" s="90" t="s">
        <v>514</v>
      </c>
      <c r="L7602" s="91" t="s">
        <v>932</v>
      </c>
      <c r="M7602" s="399" t="s">
        <v>921</v>
      </c>
      <c r="N7602" s="273"/>
    </row>
    <row r="7603" spans="1:15" ht="12.75" customHeight="1" x14ac:dyDescent="0.25">
      <c r="A7603" s="393" t="s">
        <v>986</v>
      </c>
      <c r="B7603" s="271"/>
      <c r="C7603" s="271"/>
      <c r="D7603" s="271"/>
      <c r="E7603" s="271"/>
      <c r="F7603" s="271"/>
      <c r="G7603" s="273"/>
      <c r="H7603" s="29" t="str">
        <f>IF(A7603="","",VLOOKUP(A7603,AA_Cuadrillas,4,FALSE))</f>
        <v>Cuadrilla</v>
      </c>
      <c r="I7603" s="394">
        <f>IF(A7603="","",VLOOKUP(A7603,AA_Cuadrillas,5,FALSE))</f>
        <v>186763</v>
      </c>
      <c r="J7603" s="273"/>
      <c r="K7603" s="9">
        <f>IF(A7603="","",F.P!$I$2)</f>
        <v>1.88</v>
      </c>
      <c r="L7603" s="97">
        <v>0.25</v>
      </c>
      <c r="M7603" s="394">
        <f t="shared" ref="M7603:M7607" si="1036">IF(A7603="","",I7603*K7603*L7603)</f>
        <v>87778.61</v>
      </c>
      <c r="N7603" s="273"/>
    </row>
    <row r="7604" spans="1:15" ht="12.75" customHeight="1" x14ac:dyDescent="0.25">
      <c r="A7604" s="393"/>
      <c r="B7604" s="271"/>
      <c r="C7604" s="271"/>
      <c r="D7604" s="271"/>
      <c r="E7604" s="271"/>
      <c r="F7604" s="271"/>
      <c r="G7604" s="273"/>
      <c r="H7604" s="29" t="str">
        <f>IF(A7604="","",VLOOKUP(A7604,AA_Cuadrillas,4,FALSE))</f>
        <v/>
      </c>
      <c r="I7604" s="394" t="str">
        <f>IF(A7604="","",VLOOKUP(A7604,AA_Cuadrillas,5,FALSE))</f>
        <v/>
      </c>
      <c r="J7604" s="273"/>
      <c r="K7604" s="9" t="str">
        <f>IF(A7604="","",F.P!$I$2)</f>
        <v/>
      </c>
      <c r="L7604" s="9"/>
      <c r="M7604" s="394" t="str">
        <f t="shared" si="1036"/>
        <v/>
      </c>
      <c r="N7604" s="273"/>
    </row>
    <row r="7605" spans="1:15" ht="12.75" customHeight="1" x14ac:dyDescent="0.25">
      <c r="A7605" s="393"/>
      <c r="B7605" s="271"/>
      <c r="C7605" s="271"/>
      <c r="D7605" s="271"/>
      <c r="E7605" s="271"/>
      <c r="F7605" s="271"/>
      <c r="G7605" s="273"/>
      <c r="H7605" s="29" t="str">
        <f>IF(A7605="","",VLOOKUP(A7605,AA_Cuadrillas,4,FALSE))</f>
        <v/>
      </c>
      <c r="I7605" s="394" t="str">
        <f>IF(A7605="","",VLOOKUP(A7605,AA_Cuadrillas,5,FALSE))</f>
        <v/>
      </c>
      <c r="J7605" s="273"/>
      <c r="K7605" s="9" t="str">
        <f>IF(A7605="","",F.P!$I$2)</f>
        <v/>
      </c>
      <c r="L7605" s="37"/>
      <c r="M7605" s="394" t="str">
        <f t="shared" si="1036"/>
        <v/>
      </c>
      <c r="N7605" s="273"/>
    </row>
    <row r="7606" spans="1:15" ht="12.75" customHeight="1" x14ac:dyDescent="0.25">
      <c r="A7606" s="393"/>
      <c r="B7606" s="271"/>
      <c r="C7606" s="271"/>
      <c r="D7606" s="271"/>
      <c r="E7606" s="271"/>
      <c r="F7606" s="271"/>
      <c r="G7606" s="273"/>
      <c r="H7606" s="29" t="str">
        <f>IF(A7606="","",VLOOKUP(A7606,AA_Cuadrillas,4,FALSE))</f>
        <v/>
      </c>
      <c r="I7606" s="394" t="str">
        <f>IF(A7606="","",VLOOKUP(A7606,AA_Cuadrillas,5,FALSE))</f>
        <v/>
      </c>
      <c r="J7606" s="273"/>
      <c r="K7606" s="9" t="str">
        <f>IF(A7606="","",F.P!$I$2)</f>
        <v/>
      </c>
      <c r="L7606" s="37"/>
      <c r="M7606" s="394" t="str">
        <f t="shared" si="1036"/>
        <v/>
      </c>
      <c r="N7606" s="273"/>
    </row>
    <row r="7607" spans="1:15" ht="12.75" customHeight="1" x14ac:dyDescent="0.25">
      <c r="A7607" s="393"/>
      <c r="B7607" s="271"/>
      <c r="C7607" s="271"/>
      <c r="D7607" s="271"/>
      <c r="E7607" s="271"/>
      <c r="F7607" s="271"/>
      <c r="G7607" s="273"/>
      <c r="H7607" s="29" t="str">
        <f>IF(A7607="","",VLOOKUP(A7607,AA_Cuadrillas,4,FALSE))</f>
        <v/>
      </c>
      <c r="I7607" s="394" t="str">
        <f>IF(A7607="","",VLOOKUP(A7607,AA_Cuadrillas,5,FALSE))</f>
        <v/>
      </c>
      <c r="J7607" s="273"/>
      <c r="K7607" s="9" t="str">
        <f>IF(A7607="","",F.P!$I$2)</f>
        <v/>
      </c>
      <c r="L7607" s="37"/>
      <c r="M7607" s="394" t="str">
        <f t="shared" si="1036"/>
        <v/>
      </c>
      <c r="N7607" s="273"/>
    </row>
    <row r="7608" spans="1:15" ht="12.75" customHeight="1" x14ac:dyDescent="0.25">
      <c r="A7608" s="4"/>
      <c r="B7608" s="4"/>
      <c r="C7608" s="4"/>
      <c r="D7608" s="4"/>
      <c r="E7608" s="4"/>
      <c r="F7608" s="4"/>
      <c r="G7608" s="4"/>
      <c r="H7608" s="4"/>
      <c r="I7608" s="4"/>
      <c r="J7608" s="4"/>
      <c r="K7608" s="396" t="s">
        <v>444</v>
      </c>
      <c r="L7608" s="273"/>
      <c r="M7608" s="394">
        <f>SUM(M7603:N7607)</f>
        <v>87778.61</v>
      </c>
      <c r="N7608" s="273"/>
    </row>
    <row r="7609" spans="1:15" ht="12.75" customHeight="1" x14ac:dyDescent="0.2"/>
    <row r="7610" spans="1:15" ht="12.75" customHeight="1" x14ac:dyDescent="0.2">
      <c r="A7610" s="407" t="s">
        <v>1329</v>
      </c>
      <c r="B7610" s="275"/>
      <c r="C7610" s="275"/>
      <c r="D7610" s="275"/>
      <c r="E7610" s="275"/>
      <c r="F7610" s="275"/>
      <c r="G7610" s="275"/>
      <c r="H7610" s="275"/>
      <c r="I7610" s="275"/>
      <c r="J7610" s="275"/>
      <c r="K7610" s="275"/>
      <c r="L7610" s="275"/>
      <c r="M7610" s="275"/>
      <c r="N7610" s="276"/>
      <c r="O7610" s="166"/>
    </row>
    <row r="7611" spans="1:15" ht="12.75" customHeight="1" x14ac:dyDescent="0.2">
      <c r="A7611" s="277"/>
      <c r="B7611" s="278"/>
      <c r="C7611" s="278"/>
      <c r="D7611" s="278"/>
      <c r="E7611" s="278"/>
      <c r="F7611" s="278"/>
      <c r="G7611" s="278"/>
      <c r="H7611" s="278"/>
      <c r="I7611" s="278"/>
      <c r="J7611" s="278"/>
      <c r="K7611" s="278"/>
      <c r="L7611" s="278"/>
      <c r="M7611" s="278"/>
      <c r="N7611" s="279"/>
      <c r="O7611" s="166"/>
    </row>
    <row r="7612" spans="1:15" ht="12.75" customHeight="1" x14ac:dyDescent="0.2">
      <c r="A7612" s="75"/>
      <c r="B7612" s="75"/>
      <c r="C7612" s="75"/>
      <c r="D7612" s="75"/>
      <c r="E7612" s="75"/>
      <c r="F7612" s="75"/>
      <c r="G7612" s="75"/>
      <c r="H7612" s="75"/>
      <c r="I7612" s="75"/>
      <c r="J7612" s="75"/>
      <c r="K7612" s="75"/>
      <c r="L7612" s="75"/>
      <c r="M7612" s="75"/>
      <c r="N7612" s="75"/>
    </row>
    <row r="7613" spans="1:15" ht="12.75" customHeight="1" x14ac:dyDescent="0.3">
      <c r="A7613" s="79" t="s">
        <v>789</v>
      </c>
      <c r="B7613" s="80" t="str">
        <f>A7610</f>
        <v>SUMINISTRO E INSTALACIÓN DE NIPLE PASAMURO EBxEB DE Ø3" L=0,73 M EN HIERRO DUCTIL</v>
      </c>
      <c r="C7613" s="81" t="s">
        <v>916</v>
      </c>
      <c r="D7613" s="82" t="s">
        <v>999</v>
      </c>
      <c r="E7613" s="83" t="s">
        <v>445</v>
      </c>
      <c r="F7613" s="240">
        <f>H7613+J7613+L7613+N7613</f>
        <v>392494.73202499998</v>
      </c>
      <c r="G7613" s="83" t="s">
        <v>607</v>
      </c>
      <c r="H7613" s="86">
        <f>M7623</f>
        <v>285816.89999999997</v>
      </c>
      <c r="I7613" s="83" t="s">
        <v>918</v>
      </c>
      <c r="J7613" s="86">
        <f>M7632</f>
        <v>4388.9305000000004</v>
      </c>
      <c r="K7613" s="83" t="s">
        <v>609</v>
      </c>
      <c r="L7613" s="86">
        <f>M7641</f>
        <v>14510.291524999999</v>
      </c>
      <c r="M7613" s="83" t="s">
        <v>610</v>
      </c>
      <c r="N7613" s="86">
        <f>M7650</f>
        <v>87778.61</v>
      </c>
      <c r="O7613" t="s">
        <v>3222</v>
      </c>
    </row>
    <row r="7614" spans="1:15" ht="12.75" customHeight="1" x14ac:dyDescent="0.25">
      <c r="A7614" s="87"/>
      <c r="B7614" s="87"/>
      <c r="C7614" s="87"/>
      <c r="D7614" s="87"/>
      <c r="E7614" s="87"/>
      <c r="F7614" s="87"/>
      <c r="G7614" s="87"/>
      <c r="J7614" s="87"/>
      <c r="K7614" s="215" t="s">
        <v>3217</v>
      </c>
      <c r="L7614" s="215">
        <f>+F7613*presup!$O$5</f>
        <v>510243.1516325</v>
      </c>
      <c r="M7614" s="87"/>
      <c r="N7614" s="87"/>
    </row>
    <row r="7615" spans="1:15" ht="12.75" customHeight="1" x14ac:dyDescent="0.2">
      <c r="A7615" s="398" t="s">
        <v>919</v>
      </c>
      <c r="B7615" s="271"/>
      <c r="C7615" s="271"/>
      <c r="D7615" s="271"/>
      <c r="E7615" s="271"/>
      <c r="F7615" s="271"/>
      <c r="G7615" s="271"/>
      <c r="H7615" s="271"/>
      <c r="I7615" s="271"/>
      <c r="J7615" s="271"/>
      <c r="K7615" s="271"/>
      <c r="L7615" s="271"/>
      <c r="M7615" s="271"/>
      <c r="N7615" s="273"/>
    </row>
    <row r="7616" spans="1:15" ht="12.75" customHeight="1" x14ac:dyDescent="0.2">
      <c r="A7616" s="396" t="s">
        <v>76</v>
      </c>
      <c r="B7616" s="271"/>
      <c r="C7616" s="271"/>
      <c r="D7616" s="271"/>
      <c r="E7616" s="271"/>
      <c r="F7616" s="271"/>
      <c r="G7616" s="273"/>
      <c r="H7616" s="88" t="s">
        <v>77</v>
      </c>
      <c r="I7616" s="399" t="s">
        <v>920</v>
      </c>
      <c r="J7616" s="273"/>
      <c r="K7616" s="399" t="s">
        <v>453</v>
      </c>
      <c r="L7616" s="273"/>
      <c r="M7616" s="399" t="s">
        <v>921</v>
      </c>
      <c r="N7616" s="273"/>
    </row>
    <row r="7617" spans="1:14" ht="12.75" customHeight="1" x14ac:dyDescent="0.2">
      <c r="A7617" s="403" t="s">
        <v>1126</v>
      </c>
      <c r="B7617" s="271"/>
      <c r="C7617" s="271"/>
      <c r="D7617" s="271"/>
      <c r="E7617" s="271"/>
      <c r="F7617" s="271"/>
      <c r="G7617" s="273"/>
      <c r="H7617" s="29" t="str">
        <f t="shared" ref="H7617:H7622" si="1037">IF(A7617="","",VLOOKUP(A7617,AA_Materiales,7,FALSE))</f>
        <v>Unidad</v>
      </c>
      <c r="I7617" s="394">
        <f t="shared" ref="I7617:I7622" si="1038">IF(A7617="","",VLOOKUP(A7617,AA_Materiales,8,FALSE))</f>
        <v>391530</v>
      </c>
      <c r="J7617" s="273"/>
      <c r="K7617" s="395">
        <v>0.73</v>
      </c>
      <c r="L7617" s="273"/>
      <c r="M7617" s="394">
        <f t="shared" ref="M7617:M7622" si="1039">IF(A7617="","",I7617*K7617)</f>
        <v>285816.89999999997</v>
      </c>
      <c r="N7617" s="273"/>
    </row>
    <row r="7618" spans="1:14" ht="12.75" customHeight="1" x14ac:dyDescent="0.2">
      <c r="A7618" s="403"/>
      <c r="B7618" s="271"/>
      <c r="C7618" s="271"/>
      <c r="D7618" s="271"/>
      <c r="E7618" s="271"/>
      <c r="F7618" s="271"/>
      <c r="G7618" s="273"/>
      <c r="H7618" s="29" t="str">
        <f t="shared" si="1037"/>
        <v/>
      </c>
      <c r="I7618" s="394" t="str">
        <f t="shared" si="1038"/>
        <v/>
      </c>
      <c r="J7618" s="273"/>
      <c r="K7618" s="395"/>
      <c r="L7618" s="273"/>
      <c r="M7618" s="394" t="str">
        <f t="shared" si="1039"/>
        <v/>
      </c>
      <c r="N7618" s="273"/>
    </row>
    <row r="7619" spans="1:14" ht="12.75" customHeight="1" x14ac:dyDescent="0.2">
      <c r="A7619" s="403"/>
      <c r="B7619" s="271"/>
      <c r="C7619" s="271"/>
      <c r="D7619" s="271"/>
      <c r="E7619" s="271"/>
      <c r="F7619" s="271"/>
      <c r="G7619" s="273"/>
      <c r="H7619" s="29" t="str">
        <f t="shared" si="1037"/>
        <v/>
      </c>
      <c r="I7619" s="394" t="str">
        <f t="shared" si="1038"/>
        <v/>
      </c>
      <c r="J7619" s="273"/>
      <c r="K7619" s="395"/>
      <c r="L7619" s="273"/>
      <c r="M7619" s="394" t="str">
        <f t="shared" si="1039"/>
        <v/>
      </c>
      <c r="N7619" s="273"/>
    </row>
    <row r="7620" spans="1:14" ht="12.75" customHeight="1" x14ac:dyDescent="0.2">
      <c r="A7620" s="403"/>
      <c r="B7620" s="271"/>
      <c r="C7620" s="271"/>
      <c r="D7620" s="271"/>
      <c r="E7620" s="271"/>
      <c r="F7620" s="271"/>
      <c r="G7620" s="273"/>
      <c r="H7620" s="29" t="str">
        <f t="shared" si="1037"/>
        <v/>
      </c>
      <c r="I7620" s="394" t="str">
        <f t="shared" si="1038"/>
        <v/>
      </c>
      <c r="J7620" s="273"/>
      <c r="K7620" s="395"/>
      <c r="L7620" s="273"/>
      <c r="M7620" s="394" t="str">
        <f t="shared" si="1039"/>
        <v/>
      </c>
      <c r="N7620" s="273"/>
    </row>
    <row r="7621" spans="1:14" ht="12.75" customHeight="1" x14ac:dyDescent="0.2">
      <c r="A7621" s="403"/>
      <c r="B7621" s="271"/>
      <c r="C7621" s="271"/>
      <c r="D7621" s="271"/>
      <c r="E7621" s="271"/>
      <c r="F7621" s="271"/>
      <c r="G7621" s="273"/>
      <c r="H7621" s="29" t="str">
        <f t="shared" si="1037"/>
        <v/>
      </c>
      <c r="I7621" s="394" t="str">
        <f t="shared" si="1038"/>
        <v/>
      </c>
      <c r="J7621" s="273"/>
      <c r="K7621" s="395"/>
      <c r="L7621" s="273"/>
      <c r="M7621" s="394" t="str">
        <f t="shared" si="1039"/>
        <v/>
      </c>
      <c r="N7621" s="273"/>
    </row>
    <row r="7622" spans="1:14" ht="12.75" customHeight="1" x14ac:dyDescent="0.2">
      <c r="A7622" s="403"/>
      <c r="B7622" s="271"/>
      <c r="C7622" s="271"/>
      <c r="D7622" s="271"/>
      <c r="E7622" s="271"/>
      <c r="F7622" s="271"/>
      <c r="G7622" s="273"/>
      <c r="H7622" s="29" t="str">
        <f t="shared" si="1037"/>
        <v/>
      </c>
      <c r="I7622" s="394" t="str">
        <f t="shared" si="1038"/>
        <v/>
      </c>
      <c r="J7622" s="273"/>
      <c r="K7622" s="395"/>
      <c r="L7622" s="273"/>
      <c r="M7622" s="394" t="str">
        <f t="shared" si="1039"/>
        <v/>
      </c>
      <c r="N7622" s="273"/>
    </row>
    <row r="7623" spans="1:14" ht="12.75" customHeight="1" x14ac:dyDescent="0.25">
      <c r="A7623" s="4"/>
      <c r="B7623" s="4"/>
      <c r="C7623" s="4"/>
      <c r="D7623" s="4"/>
      <c r="E7623" s="4"/>
      <c r="F7623" s="4"/>
      <c r="G7623" s="4"/>
      <c r="H7623" s="4"/>
      <c r="I7623" s="4"/>
      <c r="J7623" s="4"/>
      <c r="K7623" s="396" t="s">
        <v>444</v>
      </c>
      <c r="L7623" s="273"/>
      <c r="M7623" s="394">
        <f>SUM(M7617:N7622)</f>
        <v>285816.89999999997</v>
      </c>
      <c r="N7623" s="273"/>
    </row>
    <row r="7624" spans="1:14" ht="12.75" customHeight="1" x14ac:dyDescent="0.25">
      <c r="A7624" s="4"/>
      <c r="B7624" s="4"/>
      <c r="C7624" s="4"/>
      <c r="D7624" s="4"/>
      <c r="E7624" s="4"/>
      <c r="F7624" s="4"/>
      <c r="G7624" s="4"/>
      <c r="H7624" s="4"/>
      <c r="I7624" s="4"/>
      <c r="J7624" s="4"/>
      <c r="K7624" s="4"/>
      <c r="L7624" s="4"/>
      <c r="M7624" s="4"/>
      <c r="N7624" s="4"/>
    </row>
    <row r="7625" spans="1:14" ht="12.75" customHeight="1" x14ac:dyDescent="0.2">
      <c r="A7625" s="398" t="s">
        <v>926</v>
      </c>
      <c r="B7625" s="271"/>
      <c r="C7625" s="271"/>
      <c r="D7625" s="271"/>
      <c r="E7625" s="271"/>
      <c r="F7625" s="271"/>
      <c r="G7625" s="271"/>
      <c r="H7625" s="271"/>
      <c r="I7625" s="271"/>
      <c r="J7625" s="271"/>
      <c r="K7625" s="271"/>
      <c r="L7625" s="271"/>
      <c r="M7625" s="271"/>
      <c r="N7625" s="273"/>
    </row>
    <row r="7626" spans="1:14" ht="12.75" customHeight="1" x14ac:dyDescent="0.2">
      <c r="A7626" s="396" t="s">
        <v>76</v>
      </c>
      <c r="B7626" s="271"/>
      <c r="C7626" s="271"/>
      <c r="D7626" s="271"/>
      <c r="E7626" s="271"/>
      <c r="F7626" s="271"/>
      <c r="G7626" s="273"/>
      <c r="H7626" s="88" t="s">
        <v>77</v>
      </c>
      <c r="I7626" s="399" t="s">
        <v>920</v>
      </c>
      <c r="J7626" s="273"/>
      <c r="K7626" s="399" t="s">
        <v>453</v>
      </c>
      <c r="L7626" s="273"/>
      <c r="M7626" s="399" t="s">
        <v>921</v>
      </c>
      <c r="N7626" s="273"/>
    </row>
    <row r="7627" spans="1:14" ht="12.75" customHeight="1" x14ac:dyDescent="0.2">
      <c r="A7627" s="400" t="s">
        <v>927</v>
      </c>
      <c r="B7627" s="271"/>
      <c r="C7627" s="271"/>
      <c r="D7627" s="271"/>
      <c r="E7627" s="271"/>
      <c r="F7627" s="271"/>
      <c r="G7627" s="273"/>
      <c r="H7627" s="29" t="str">
        <f>IF(A7627="","",VLOOKUP(A7627,AA_Equipos,7,FALSE))</f>
        <v>% M.O.</v>
      </c>
      <c r="I7627" s="394">
        <f>+M7650</f>
        <v>87778.61</v>
      </c>
      <c r="J7627" s="273"/>
      <c r="K7627" s="404">
        <v>0.05</v>
      </c>
      <c r="L7627" s="273"/>
      <c r="M7627" s="394">
        <f t="shared" ref="M7627:M7631" si="1040">IF(A7627="","",I7627*K7627)</f>
        <v>4388.9305000000004</v>
      </c>
      <c r="N7627" s="273"/>
    </row>
    <row r="7628" spans="1:14" ht="12.75" customHeight="1" x14ac:dyDescent="0.2">
      <c r="A7628" s="403"/>
      <c r="B7628" s="271"/>
      <c r="C7628" s="271"/>
      <c r="D7628" s="271"/>
      <c r="E7628" s="271"/>
      <c r="F7628" s="271"/>
      <c r="G7628" s="273"/>
      <c r="H7628" s="29" t="str">
        <f>IF(A7628="","",VLOOKUP(A7628,AA_Equipos,7,FALSE))</f>
        <v/>
      </c>
      <c r="I7628" s="394" t="str">
        <f>IF(A7628="","",VLOOKUP(A7628,AA_Equipos,8,FALSE))</f>
        <v/>
      </c>
      <c r="J7628" s="273"/>
      <c r="K7628" s="402"/>
      <c r="L7628" s="273"/>
      <c r="M7628" s="394" t="str">
        <f t="shared" si="1040"/>
        <v/>
      </c>
      <c r="N7628" s="273"/>
    </row>
    <row r="7629" spans="1:14" ht="12.75" customHeight="1" x14ac:dyDescent="0.2">
      <c r="A7629" s="400"/>
      <c r="B7629" s="271"/>
      <c r="C7629" s="271"/>
      <c r="D7629" s="271"/>
      <c r="E7629" s="271"/>
      <c r="F7629" s="271"/>
      <c r="G7629" s="273"/>
      <c r="H7629" s="29" t="str">
        <f>IF(A7629="","",VLOOKUP(A7629,AA_Equipos,7,FALSE))</f>
        <v/>
      </c>
      <c r="I7629" s="394" t="str">
        <f>IF(A7629="","",VLOOKUP(A7629,AA_Equipos,8,FALSE))</f>
        <v/>
      </c>
      <c r="J7629" s="273"/>
      <c r="K7629" s="401"/>
      <c r="L7629" s="273"/>
      <c r="M7629" s="394" t="str">
        <f t="shared" si="1040"/>
        <v/>
      </c>
      <c r="N7629" s="273"/>
    </row>
    <row r="7630" spans="1:14" ht="12.75" customHeight="1" x14ac:dyDescent="0.2">
      <c r="A7630" s="400"/>
      <c r="B7630" s="271"/>
      <c r="C7630" s="271"/>
      <c r="D7630" s="271"/>
      <c r="E7630" s="271"/>
      <c r="F7630" s="271"/>
      <c r="G7630" s="273"/>
      <c r="H7630" s="29" t="str">
        <f>IF(A7630="","",VLOOKUP(A7630,AA_Equipos,7,FALSE))</f>
        <v/>
      </c>
      <c r="I7630" s="394" t="str">
        <f>IF(A7630="","",VLOOKUP(A7630,AA_Equipos,8,FALSE))</f>
        <v/>
      </c>
      <c r="J7630" s="273"/>
      <c r="K7630" s="395"/>
      <c r="L7630" s="273"/>
      <c r="M7630" s="394" t="str">
        <f t="shared" si="1040"/>
        <v/>
      </c>
      <c r="N7630" s="273"/>
    </row>
    <row r="7631" spans="1:14" ht="12.75" customHeight="1" x14ac:dyDescent="0.2">
      <c r="A7631" s="400"/>
      <c r="B7631" s="271"/>
      <c r="C7631" s="271"/>
      <c r="D7631" s="271"/>
      <c r="E7631" s="271"/>
      <c r="F7631" s="271"/>
      <c r="G7631" s="273"/>
      <c r="H7631" s="29" t="str">
        <f>IF(A7631="","",VLOOKUP(A7631,AA_Equipos,7,FALSE))</f>
        <v/>
      </c>
      <c r="I7631" s="394" t="str">
        <f>IF(A7631="","",VLOOKUP(A7631,AA_Equipos,8,FALSE))</f>
        <v/>
      </c>
      <c r="J7631" s="273"/>
      <c r="K7631" s="395"/>
      <c r="L7631" s="273"/>
      <c r="M7631" s="394" t="str">
        <f t="shared" si="1040"/>
        <v/>
      </c>
      <c r="N7631" s="273"/>
    </row>
    <row r="7632" spans="1:14" ht="12.75" customHeight="1" x14ac:dyDescent="0.25">
      <c r="A7632" s="4"/>
      <c r="B7632" s="4"/>
      <c r="C7632" s="4"/>
      <c r="D7632" s="4"/>
      <c r="E7632" s="4"/>
      <c r="F7632" s="4"/>
      <c r="G7632" s="4"/>
      <c r="H7632" s="4"/>
      <c r="I7632" s="4"/>
      <c r="J7632" s="4"/>
      <c r="K7632" s="396" t="s">
        <v>444</v>
      </c>
      <c r="L7632" s="273"/>
      <c r="M7632" s="394">
        <f>SUM(M7627:N7631)</f>
        <v>4388.9305000000004</v>
      </c>
      <c r="N7632" s="273"/>
    </row>
    <row r="7633" spans="1:14" ht="12.75" customHeight="1" x14ac:dyDescent="0.25">
      <c r="A7633" s="4"/>
      <c r="B7633" s="4"/>
      <c r="C7633" s="4"/>
      <c r="D7633" s="4"/>
      <c r="E7633" s="4"/>
      <c r="F7633" s="4"/>
      <c r="G7633" s="4"/>
      <c r="H7633" s="4"/>
      <c r="I7633" s="4"/>
      <c r="J7633" s="4"/>
      <c r="K7633" s="4"/>
      <c r="L7633" s="4"/>
      <c r="M7633" s="4"/>
      <c r="N7633" s="4"/>
    </row>
    <row r="7634" spans="1:14" ht="12.75" customHeight="1" x14ac:dyDescent="0.2">
      <c r="A7634" s="398" t="s">
        <v>929</v>
      </c>
      <c r="B7634" s="271"/>
      <c r="C7634" s="271"/>
      <c r="D7634" s="271"/>
      <c r="E7634" s="271"/>
      <c r="F7634" s="271"/>
      <c r="G7634" s="271"/>
      <c r="H7634" s="271"/>
      <c r="I7634" s="271"/>
      <c r="J7634" s="271"/>
      <c r="K7634" s="271"/>
      <c r="L7634" s="271"/>
      <c r="M7634" s="271"/>
      <c r="N7634" s="273"/>
    </row>
    <row r="7635" spans="1:14" ht="12.75" customHeight="1" x14ac:dyDescent="0.2">
      <c r="A7635" s="396" t="s">
        <v>76</v>
      </c>
      <c r="B7635" s="271"/>
      <c r="C7635" s="271"/>
      <c r="D7635" s="271"/>
      <c r="E7635" s="271"/>
      <c r="F7635" s="271"/>
      <c r="G7635" s="273"/>
      <c r="H7635" s="88" t="s">
        <v>77</v>
      </c>
      <c r="I7635" s="399" t="s">
        <v>920</v>
      </c>
      <c r="J7635" s="273"/>
      <c r="K7635" s="399" t="s">
        <v>453</v>
      </c>
      <c r="L7635" s="273"/>
      <c r="M7635" s="399" t="s">
        <v>921</v>
      </c>
      <c r="N7635" s="273"/>
    </row>
    <row r="7636" spans="1:14" ht="12.75" customHeight="1" x14ac:dyDescent="0.2">
      <c r="A7636" s="400" t="s">
        <v>966</v>
      </c>
      <c r="B7636" s="271"/>
      <c r="C7636" s="271"/>
      <c r="D7636" s="271"/>
      <c r="E7636" s="271"/>
      <c r="F7636" s="271"/>
      <c r="G7636" s="273"/>
      <c r="H7636" s="29" t="s">
        <v>950</v>
      </c>
      <c r="I7636" s="394">
        <f>+M7623</f>
        <v>285816.89999999997</v>
      </c>
      <c r="J7636" s="273"/>
      <c r="K7636" s="404">
        <v>0.05</v>
      </c>
      <c r="L7636" s="273"/>
      <c r="M7636" s="394">
        <f t="shared" ref="M7636:M7640" si="1041">IF(A7636="","",I7636*K7636)</f>
        <v>14290.844999999999</v>
      </c>
      <c r="N7636" s="273"/>
    </row>
    <row r="7637" spans="1:14" ht="12.75" customHeight="1" x14ac:dyDescent="0.2">
      <c r="A7637" s="403" t="s">
        <v>3174</v>
      </c>
      <c r="B7637" s="271"/>
      <c r="C7637" s="271"/>
      <c r="D7637" s="271"/>
      <c r="E7637" s="271"/>
      <c r="F7637" s="271"/>
      <c r="G7637" s="273"/>
      <c r="H7637" s="29" t="s">
        <v>24</v>
      </c>
      <c r="I7637" s="394">
        <f>+M7632</f>
        <v>4388.9305000000004</v>
      </c>
      <c r="J7637" s="273"/>
      <c r="K7637" s="404">
        <v>0.05</v>
      </c>
      <c r="L7637" s="273"/>
      <c r="M7637" s="394">
        <f t="shared" si="1041"/>
        <v>219.44652500000004</v>
      </c>
      <c r="N7637" s="273"/>
    </row>
    <row r="7638" spans="1:14" ht="12.75" customHeight="1" x14ac:dyDescent="0.2">
      <c r="A7638" s="400"/>
      <c r="B7638" s="271"/>
      <c r="C7638" s="271"/>
      <c r="D7638" s="271"/>
      <c r="E7638" s="271"/>
      <c r="F7638" s="271"/>
      <c r="G7638" s="273"/>
      <c r="H7638" s="29"/>
      <c r="I7638" s="394"/>
      <c r="J7638" s="273"/>
      <c r="K7638" s="395"/>
      <c r="L7638" s="273"/>
      <c r="M7638" s="394" t="str">
        <f t="shared" si="1041"/>
        <v/>
      </c>
      <c r="N7638" s="273"/>
    </row>
    <row r="7639" spans="1:14" ht="12.75" customHeight="1" x14ac:dyDescent="0.2">
      <c r="A7639" s="400"/>
      <c r="B7639" s="271"/>
      <c r="C7639" s="271"/>
      <c r="D7639" s="271"/>
      <c r="E7639" s="271"/>
      <c r="F7639" s="271"/>
      <c r="G7639" s="273"/>
      <c r="H7639" s="29"/>
      <c r="I7639" s="394"/>
      <c r="J7639" s="273"/>
      <c r="K7639" s="395"/>
      <c r="L7639" s="273"/>
      <c r="M7639" s="394" t="str">
        <f t="shared" si="1041"/>
        <v/>
      </c>
      <c r="N7639" s="273"/>
    </row>
    <row r="7640" spans="1:14" ht="12.75" customHeight="1" x14ac:dyDescent="0.2">
      <c r="A7640" s="400"/>
      <c r="B7640" s="271"/>
      <c r="C7640" s="271"/>
      <c r="D7640" s="271"/>
      <c r="E7640" s="271"/>
      <c r="F7640" s="271"/>
      <c r="G7640" s="273"/>
      <c r="H7640" s="29"/>
      <c r="I7640" s="394"/>
      <c r="J7640" s="273"/>
      <c r="K7640" s="395"/>
      <c r="L7640" s="273"/>
      <c r="M7640" s="394" t="str">
        <f t="shared" si="1041"/>
        <v/>
      </c>
      <c r="N7640" s="273"/>
    </row>
    <row r="7641" spans="1:14" ht="12.75" customHeight="1" x14ac:dyDescent="0.25">
      <c r="A7641" s="4"/>
      <c r="B7641" s="4"/>
      <c r="C7641" s="4"/>
      <c r="D7641" s="4"/>
      <c r="E7641" s="4"/>
      <c r="F7641" s="4"/>
      <c r="G7641" s="4"/>
      <c r="H7641" s="4"/>
      <c r="I7641" s="4"/>
      <c r="J7641" s="4"/>
      <c r="K7641" s="396" t="s">
        <v>444</v>
      </c>
      <c r="L7641" s="273"/>
      <c r="M7641" s="394">
        <f>SUM(M7636:N7640)</f>
        <v>14510.291524999999</v>
      </c>
      <c r="N7641" s="273"/>
    </row>
    <row r="7642" spans="1:14" ht="12.75" customHeight="1" x14ac:dyDescent="0.25">
      <c r="A7642" s="4"/>
      <c r="B7642" s="4"/>
      <c r="C7642" s="4"/>
      <c r="D7642" s="4"/>
      <c r="E7642" s="4"/>
      <c r="F7642" s="4"/>
      <c r="G7642" s="4"/>
      <c r="H7642" s="4"/>
      <c r="I7642" s="4"/>
      <c r="J7642" s="4"/>
      <c r="K7642" s="4"/>
      <c r="L7642" s="4"/>
      <c r="M7642" s="4"/>
      <c r="N7642" s="4"/>
    </row>
    <row r="7643" spans="1:14" ht="12.75" customHeight="1" x14ac:dyDescent="0.2">
      <c r="A7643" s="398" t="s">
        <v>931</v>
      </c>
      <c r="B7643" s="271"/>
      <c r="C7643" s="271"/>
      <c r="D7643" s="271"/>
      <c r="E7643" s="271"/>
      <c r="F7643" s="271"/>
      <c r="G7643" s="271"/>
      <c r="H7643" s="271"/>
      <c r="I7643" s="271"/>
      <c r="J7643" s="271"/>
      <c r="K7643" s="271"/>
      <c r="L7643" s="271"/>
      <c r="M7643" s="271"/>
      <c r="N7643" s="273"/>
    </row>
    <row r="7644" spans="1:14" ht="12.75" customHeight="1" x14ac:dyDescent="0.2">
      <c r="A7644" s="396" t="s">
        <v>76</v>
      </c>
      <c r="B7644" s="271"/>
      <c r="C7644" s="271"/>
      <c r="D7644" s="271"/>
      <c r="E7644" s="271"/>
      <c r="F7644" s="271"/>
      <c r="G7644" s="273"/>
      <c r="H7644" s="88" t="s">
        <v>77</v>
      </c>
      <c r="I7644" s="399" t="s">
        <v>920</v>
      </c>
      <c r="J7644" s="273"/>
      <c r="K7644" s="90" t="s">
        <v>514</v>
      </c>
      <c r="L7644" s="91" t="s">
        <v>932</v>
      </c>
      <c r="M7644" s="399" t="s">
        <v>921</v>
      </c>
      <c r="N7644" s="273"/>
    </row>
    <row r="7645" spans="1:14" ht="12.75" customHeight="1" x14ac:dyDescent="0.25">
      <c r="A7645" s="393" t="s">
        <v>986</v>
      </c>
      <c r="B7645" s="271"/>
      <c r="C7645" s="271"/>
      <c r="D7645" s="271"/>
      <c r="E7645" s="271"/>
      <c r="F7645" s="271"/>
      <c r="G7645" s="273"/>
      <c r="H7645" s="29" t="str">
        <f>IF(A7645="","",VLOOKUP(A7645,AA_Cuadrillas,4,FALSE))</f>
        <v>Cuadrilla</v>
      </c>
      <c r="I7645" s="394">
        <f>IF(A7645="","",VLOOKUP(A7645,AA_Cuadrillas,5,FALSE))</f>
        <v>186763</v>
      </c>
      <c r="J7645" s="273"/>
      <c r="K7645" s="9">
        <f>IF(A7645="","",F.P!$I$2)</f>
        <v>1.88</v>
      </c>
      <c r="L7645" s="97">
        <v>0.25</v>
      </c>
      <c r="M7645" s="394">
        <f t="shared" ref="M7645:M7649" si="1042">IF(A7645="","",I7645*K7645*L7645)</f>
        <v>87778.61</v>
      </c>
      <c r="N7645" s="273"/>
    </row>
    <row r="7646" spans="1:14" ht="12.75" customHeight="1" x14ac:dyDescent="0.25">
      <c r="A7646" s="393"/>
      <c r="B7646" s="271"/>
      <c r="C7646" s="271"/>
      <c r="D7646" s="271"/>
      <c r="E7646" s="271"/>
      <c r="F7646" s="271"/>
      <c r="G7646" s="273"/>
      <c r="H7646" s="29" t="str">
        <f>IF(A7646="","",VLOOKUP(A7646,AA_Cuadrillas,4,FALSE))</f>
        <v/>
      </c>
      <c r="I7646" s="394" t="str">
        <f>IF(A7646="","",VLOOKUP(A7646,AA_Cuadrillas,5,FALSE))</f>
        <v/>
      </c>
      <c r="J7646" s="273"/>
      <c r="K7646" s="9" t="str">
        <f>IF(A7646="","",F.P!$I$2)</f>
        <v/>
      </c>
      <c r="L7646" s="9"/>
      <c r="M7646" s="394" t="str">
        <f t="shared" si="1042"/>
        <v/>
      </c>
      <c r="N7646" s="273"/>
    </row>
    <row r="7647" spans="1:14" ht="12.75" customHeight="1" x14ac:dyDescent="0.25">
      <c r="A7647" s="393"/>
      <c r="B7647" s="271"/>
      <c r="C7647" s="271"/>
      <c r="D7647" s="271"/>
      <c r="E7647" s="271"/>
      <c r="F7647" s="271"/>
      <c r="G7647" s="273"/>
      <c r="H7647" s="29" t="str">
        <f>IF(A7647="","",VLOOKUP(A7647,AA_Cuadrillas,4,FALSE))</f>
        <v/>
      </c>
      <c r="I7647" s="394" t="str">
        <f>IF(A7647="","",VLOOKUP(A7647,AA_Cuadrillas,5,FALSE))</f>
        <v/>
      </c>
      <c r="J7647" s="273"/>
      <c r="K7647" s="9" t="str">
        <f>IF(A7647="","",F.P!$I$2)</f>
        <v/>
      </c>
      <c r="L7647" s="37"/>
      <c r="M7647" s="394" t="str">
        <f t="shared" si="1042"/>
        <v/>
      </c>
      <c r="N7647" s="273"/>
    </row>
    <row r="7648" spans="1:14" ht="12.75" customHeight="1" x14ac:dyDescent="0.25">
      <c r="A7648" s="393"/>
      <c r="B7648" s="271"/>
      <c r="C7648" s="271"/>
      <c r="D7648" s="271"/>
      <c r="E7648" s="271"/>
      <c r="F7648" s="271"/>
      <c r="G7648" s="273"/>
      <c r="H7648" s="29" t="str">
        <f>IF(A7648="","",VLOOKUP(A7648,AA_Cuadrillas,4,FALSE))</f>
        <v/>
      </c>
      <c r="I7648" s="394" t="str">
        <f>IF(A7648="","",VLOOKUP(A7648,AA_Cuadrillas,5,FALSE))</f>
        <v/>
      </c>
      <c r="J7648" s="273"/>
      <c r="K7648" s="9" t="str">
        <f>IF(A7648="","",F.P!$I$2)</f>
        <v/>
      </c>
      <c r="L7648" s="37"/>
      <c r="M7648" s="394" t="str">
        <f t="shared" si="1042"/>
        <v/>
      </c>
      <c r="N7648" s="273"/>
    </row>
    <row r="7649" spans="1:14" ht="12.75" customHeight="1" x14ac:dyDescent="0.25">
      <c r="A7649" s="393"/>
      <c r="B7649" s="271"/>
      <c r="C7649" s="271"/>
      <c r="D7649" s="271"/>
      <c r="E7649" s="271"/>
      <c r="F7649" s="271"/>
      <c r="G7649" s="273"/>
      <c r="H7649" s="29" t="str">
        <f>IF(A7649="","",VLOOKUP(A7649,AA_Cuadrillas,4,FALSE))</f>
        <v/>
      </c>
      <c r="I7649" s="394" t="str">
        <f>IF(A7649="","",VLOOKUP(A7649,AA_Cuadrillas,5,FALSE))</f>
        <v/>
      </c>
      <c r="J7649" s="273"/>
      <c r="K7649" s="9" t="str">
        <f>IF(A7649="","",F.P!$I$2)</f>
        <v/>
      </c>
      <c r="L7649" s="37"/>
      <c r="M7649" s="394" t="str">
        <f t="shared" si="1042"/>
        <v/>
      </c>
      <c r="N7649" s="273"/>
    </row>
    <row r="7650" spans="1:14" ht="12.75" customHeight="1" x14ac:dyDescent="0.25">
      <c r="A7650" s="4"/>
      <c r="B7650" s="4"/>
      <c r="C7650" s="4"/>
      <c r="D7650" s="4"/>
      <c r="E7650" s="4"/>
      <c r="F7650" s="4"/>
      <c r="G7650" s="4"/>
      <c r="H7650" s="4"/>
      <c r="I7650" s="4"/>
      <c r="J7650" s="4"/>
      <c r="K7650" s="396" t="s">
        <v>444</v>
      </c>
      <c r="L7650" s="273"/>
      <c r="M7650" s="394">
        <f>SUM(M7645:N7649)</f>
        <v>87778.61</v>
      </c>
      <c r="N7650" s="273"/>
    </row>
    <row r="7651" spans="1:14" ht="12.75" customHeight="1" x14ac:dyDescent="0.2"/>
    <row r="7652" spans="1:14" ht="12.75" customHeight="1" x14ac:dyDescent="0.2">
      <c r="A7652" s="407" t="s">
        <v>1330</v>
      </c>
      <c r="B7652" s="275"/>
      <c r="C7652" s="275"/>
      <c r="D7652" s="275"/>
      <c r="E7652" s="275"/>
      <c r="F7652" s="275"/>
      <c r="G7652" s="275"/>
      <c r="H7652" s="275"/>
      <c r="I7652" s="275"/>
      <c r="J7652" s="275"/>
      <c r="K7652" s="275"/>
      <c r="L7652" s="275"/>
      <c r="M7652" s="275"/>
      <c r="N7652" s="276"/>
    </row>
    <row r="7653" spans="1:14" ht="12.75" customHeight="1" x14ac:dyDescent="0.2">
      <c r="A7653" s="277"/>
      <c r="B7653" s="278"/>
      <c r="C7653" s="278"/>
      <c r="D7653" s="278"/>
      <c r="E7653" s="278"/>
      <c r="F7653" s="278"/>
      <c r="G7653" s="278"/>
      <c r="H7653" s="278"/>
      <c r="I7653" s="278"/>
      <c r="J7653" s="278"/>
      <c r="K7653" s="278"/>
      <c r="L7653" s="278"/>
      <c r="M7653" s="278"/>
      <c r="N7653" s="279"/>
    </row>
    <row r="7654" spans="1:14" s="217" customFormat="1" ht="12.75" customHeight="1" x14ac:dyDescent="0.2">
      <c r="A7654" s="216"/>
      <c r="B7654" s="216"/>
      <c r="C7654" s="216"/>
      <c r="D7654" s="216"/>
      <c r="E7654" s="216"/>
      <c r="F7654" s="216"/>
      <c r="G7654" s="216"/>
      <c r="H7654" s="216"/>
      <c r="I7654" s="216"/>
      <c r="J7654" s="216"/>
      <c r="K7654" s="216"/>
      <c r="L7654" s="216"/>
      <c r="M7654" s="216"/>
      <c r="N7654" s="216"/>
    </row>
    <row r="7655" spans="1:14" ht="12.75" customHeight="1" x14ac:dyDescent="0.3">
      <c r="A7655" s="79" t="s">
        <v>790</v>
      </c>
      <c r="B7655" s="80" t="str">
        <f>A7652</f>
        <v>CONCRETO DE 4000 PSI A TODO COSTO (280/CM2) (NO INCLUYE FORMALETA)</v>
      </c>
      <c r="C7655" s="81" t="s">
        <v>916</v>
      </c>
      <c r="D7655" s="82" t="s">
        <v>258</v>
      </c>
      <c r="E7655" s="83" t="s">
        <v>445</v>
      </c>
      <c r="F7655" s="86" t="e">
        <f>H7655+J7655+L7655+N7655</f>
        <v>#REF!</v>
      </c>
      <c r="G7655" s="83" t="s">
        <v>607</v>
      </c>
      <c r="H7655" s="86">
        <f>M7667</f>
        <v>507159.32860000001</v>
      </c>
      <c r="I7655" s="83" t="s">
        <v>918</v>
      </c>
      <c r="J7655" s="86">
        <f>M7676</f>
        <v>48031.749777777775</v>
      </c>
      <c r="K7655" s="83" t="s">
        <v>609</v>
      </c>
      <c r="L7655" s="86" t="e">
        <f>M7685</f>
        <v>#REF!</v>
      </c>
      <c r="M7655" s="83" t="s">
        <v>610</v>
      </c>
      <c r="N7655" s="86">
        <f>M7694</f>
        <v>165803.88444444444</v>
      </c>
    </row>
    <row r="7656" spans="1:14" ht="12.75" customHeight="1" x14ac:dyDescent="0.25">
      <c r="A7656" s="87"/>
      <c r="B7656" s="87"/>
      <c r="C7656" s="87"/>
      <c r="D7656" s="87"/>
      <c r="E7656" s="87"/>
      <c r="F7656" s="87"/>
      <c r="G7656" s="87"/>
      <c r="J7656" s="87"/>
      <c r="K7656" s="215" t="s">
        <v>3217</v>
      </c>
      <c r="L7656" s="215" t="e">
        <f>+F7655*presup!$O$5</f>
        <v>#REF!</v>
      </c>
      <c r="M7656" s="87"/>
      <c r="N7656" s="87"/>
    </row>
    <row r="7657" spans="1:14" ht="12.75" customHeight="1" x14ac:dyDescent="0.2">
      <c r="A7657" s="398" t="s">
        <v>919</v>
      </c>
      <c r="B7657" s="271"/>
      <c r="C7657" s="271"/>
      <c r="D7657" s="271"/>
      <c r="E7657" s="271"/>
      <c r="F7657" s="271"/>
      <c r="G7657" s="271"/>
      <c r="H7657" s="271"/>
      <c r="I7657" s="271"/>
      <c r="J7657" s="271"/>
      <c r="K7657" s="271"/>
      <c r="L7657" s="271"/>
      <c r="M7657" s="271"/>
      <c r="N7657" s="273"/>
    </row>
    <row r="7658" spans="1:14" ht="12.75" customHeight="1" x14ac:dyDescent="0.2">
      <c r="A7658" s="396" t="s">
        <v>76</v>
      </c>
      <c r="B7658" s="271"/>
      <c r="C7658" s="271"/>
      <c r="D7658" s="271"/>
      <c r="E7658" s="271"/>
      <c r="F7658" s="271"/>
      <c r="G7658" s="273"/>
      <c r="H7658" s="88" t="s">
        <v>77</v>
      </c>
      <c r="I7658" s="399" t="s">
        <v>920</v>
      </c>
      <c r="J7658" s="273"/>
      <c r="K7658" s="399" t="s">
        <v>453</v>
      </c>
      <c r="L7658" s="273"/>
      <c r="M7658" s="399" t="s">
        <v>921</v>
      </c>
      <c r="N7658" s="273"/>
    </row>
    <row r="7659" spans="1:14" ht="12.75" customHeight="1" x14ac:dyDescent="0.2">
      <c r="A7659" s="400" t="s">
        <v>953</v>
      </c>
      <c r="B7659" s="271"/>
      <c r="C7659" s="271"/>
      <c r="D7659" s="271"/>
      <c r="E7659" s="271"/>
      <c r="F7659" s="271"/>
      <c r="G7659" s="273"/>
      <c r="H7659" s="29" t="str">
        <f t="shared" ref="H7659:H7666" si="1043">IF(A7659="","",VLOOKUP(A7659,AA_Materiales,7,FALSE))</f>
        <v>Kg</v>
      </c>
      <c r="I7659" s="394">
        <f t="shared" ref="I7659:I7666" si="1044">IF(A7659="","",VLOOKUP(A7659,AA_Materiales,8,FALSE))</f>
        <v>800</v>
      </c>
      <c r="J7659" s="273"/>
      <c r="K7659" s="395">
        <v>425</v>
      </c>
      <c r="L7659" s="273"/>
      <c r="M7659" s="394">
        <f t="shared" ref="M7659:M7666" si="1045">IF(A7659="","",I7659*K7659)</f>
        <v>340000</v>
      </c>
      <c r="N7659" s="273"/>
    </row>
    <row r="7660" spans="1:14" ht="12.75" customHeight="1" x14ac:dyDescent="0.2">
      <c r="A7660" s="400" t="s">
        <v>954</v>
      </c>
      <c r="B7660" s="271"/>
      <c r="C7660" s="271"/>
      <c r="D7660" s="271"/>
      <c r="E7660" s="271"/>
      <c r="F7660" s="271"/>
      <c r="G7660" s="273"/>
      <c r="H7660" s="29" t="str">
        <f t="shared" si="1043"/>
        <v>m3</v>
      </c>
      <c r="I7660" s="394">
        <f t="shared" si="1044"/>
        <v>83000</v>
      </c>
      <c r="J7660" s="273"/>
      <c r="K7660" s="395">
        <v>0.57999999999999996</v>
      </c>
      <c r="L7660" s="273"/>
      <c r="M7660" s="394">
        <f t="shared" si="1045"/>
        <v>48140</v>
      </c>
      <c r="N7660" s="273"/>
    </row>
    <row r="7661" spans="1:14" ht="12.75" customHeight="1" x14ac:dyDescent="0.2">
      <c r="A7661" s="400" t="s">
        <v>955</v>
      </c>
      <c r="B7661" s="271"/>
      <c r="C7661" s="271"/>
      <c r="D7661" s="271"/>
      <c r="E7661" s="271"/>
      <c r="F7661" s="271"/>
      <c r="G7661" s="273"/>
      <c r="H7661" s="29" t="str">
        <f t="shared" si="1043"/>
        <v>m3</v>
      </c>
      <c r="I7661" s="394">
        <f t="shared" si="1044"/>
        <v>90000</v>
      </c>
      <c r="J7661" s="273"/>
      <c r="K7661" s="395">
        <v>0.7</v>
      </c>
      <c r="L7661" s="273"/>
      <c r="M7661" s="394">
        <f t="shared" si="1045"/>
        <v>62999.999999999993</v>
      </c>
      <c r="N7661" s="273"/>
    </row>
    <row r="7662" spans="1:14" ht="12.75" customHeight="1" x14ac:dyDescent="0.2">
      <c r="A7662" s="400" t="s">
        <v>956</v>
      </c>
      <c r="B7662" s="271"/>
      <c r="C7662" s="271"/>
      <c r="D7662" s="271"/>
      <c r="E7662" s="271"/>
      <c r="F7662" s="271"/>
      <c r="G7662" s="273"/>
      <c r="H7662" s="29" t="str">
        <f t="shared" si="1043"/>
        <v>Lt</v>
      </c>
      <c r="I7662" s="394">
        <f t="shared" si="1044"/>
        <v>20</v>
      </c>
      <c r="J7662" s="273"/>
      <c r="K7662" s="395">
        <v>200</v>
      </c>
      <c r="L7662" s="273"/>
      <c r="M7662" s="394">
        <f t="shared" si="1045"/>
        <v>4000</v>
      </c>
      <c r="N7662" s="273"/>
    </row>
    <row r="7663" spans="1:14" ht="12.75" customHeight="1" x14ac:dyDescent="0.2">
      <c r="A7663" s="400" t="s">
        <v>1164</v>
      </c>
      <c r="B7663" s="271"/>
      <c r="C7663" s="271"/>
      <c r="D7663" s="271"/>
      <c r="E7663" s="271"/>
      <c r="F7663" s="271"/>
      <c r="G7663" s="273"/>
      <c r="H7663" s="29" t="str">
        <f t="shared" si="1043"/>
        <v>Kg</v>
      </c>
      <c r="I7663" s="394">
        <f t="shared" si="1044"/>
        <v>24422.22</v>
      </c>
      <c r="J7663" s="273"/>
      <c r="K7663" s="395">
        <v>2.13</v>
      </c>
      <c r="L7663" s="273"/>
      <c r="M7663" s="394">
        <f t="shared" si="1045"/>
        <v>52019.328600000001</v>
      </c>
      <c r="N7663" s="273"/>
    </row>
    <row r="7664" spans="1:14" ht="12.75" customHeight="1" x14ac:dyDescent="0.2">
      <c r="A7664" s="400"/>
      <c r="B7664" s="271"/>
      <c r="C7664" s="271"/>
      <c r="D7664" s="271"/>
      <c r="E7664" s="271"/>
      <c r="F7664" s="271"/>
      <c r="G7664" s="273"/>
      <c r="H7664" s="29" t="str">
        <f t="shared" si="1043"/>
        <v/>
      </c>
      <c r="I7664" s="394" t="str">
        <f t="shared" si="1044"/>
        <v/>
      </c>
      <c r="J7664" s="273"/>
      <c r="K7664" s="395"/>
      <c r="L7664" s="273"/>
      <c r="M7664" s="394" t="str">
        <f t="shared" si="1045"/>
        <v/>
      </c>
      <c r="N7664" s="273"/>
    </row>
    <row r="7665" spans="1:14" ht="12.75" customHeight="1" x14ac:dyDescent="0.2">
      <c r="A7665" s="400"/>
      <c r="B7665" s="271"/>
      <c r="C7665" s="271"/>
      <c r="D7665" s="271"/>
      <c r="E7665" s="271"/>
      <c r="F7665" s="271"/>
      <c r="G7665" s="273"/>
      <c r="H7665" s="29" t="str">
        <f t="shared" si="1043"/>
        <v/>
      </c>
      <c r="I7665" s="394" t="str">
        <f t="shared" si="1044"/>
        <v/>
      </c>
      <c r="J7665" s="273"/>
      <c r="K7665" s="395"/>
      <c r="L7665" s="273"/>
      <c r="M7665" s="394" t="str">
        <f t="shared" si="1045"/>
        <v/>
      </c>
      <c r="N7665" s="273"/>
    </row>
    <row r="7666" spans="1:14" ht="12.75" customHeight="1" x14ac:dyDescent="0.2">
      <c r="A7666" s="400"/>
      <c r="B7666" s="271"/>
      <c r="C7666" s="271"/>
      <c r="D7666" s="271"/>
      <c r="E7666" s="271"/>
      <c r="F7666" s="271"/>
      <c r="G7666" s="273"/>
      <c r="H7666" s="29" t="str">
        <f t="shared" si="1043"/>
        <v/>
      </c>
      <c r="I7666" s="394" t="str">
        <f t="shared" si="1044"/>
        <v/>
      </c>
      <c r="J7666" s="273"/>
      <c r="K7666" s="395"/>
      <c r="L7666" s="273"/>
      <c r="M7666" s="394" t="str">
        <f t="shared" si="1045"/>
        <v/>
      </c>
      <c r="N7666" s="273"/>
    </row>
    <row r="7667" spans="1:14" ht="12.75" customHeight="1" x14ac:dyDescent="0.25">
      <c r="A7667" s="4"/>
      <c r="B7667" s="4"/>
      <c r="C7667" s="4"/>
      <c r="D7667" s="4"/>
      <c r="E7667" s="4"/>
      <c r="F7667" s="4"/>
      <c r="G7667" s="4"/>
      <c r="H7667" s="4"/>
      <c r="I7667" s="4"/>
      <c r="J7667" s="4"/>
      <c r="K7667" s="396" t="s">
        <v>444</v>
      </c>
      <c r="L7667" s="273"/>
      <c r="M7667" s="394">
        <f>SUM(M7659:N7666)</f>
        <v>507159.32860000001</v>
      </c>
      <c r="N7667" s="273"/>
    </row>
    <row r="7668" spans="1:14" ht="12.75" customHeight="1" x14ac:dyDescent="0.25">
      <c r="A7668" s="4"/>
      <c r="B7668" s="4"/>
      <c r="C7668" s="4"/>
      <c r="D7668" s="4"/>
      <c r="E7668" s="4"/>
      <c r="F7668" s="4"/>
      <c r="G7668" s="4"/>
      <c r="H7668" s="4"/>
      <c r="I7668" s="4"/>
      <c r="J7668" s="4"/>
      <c r="K7668" s="4"/>
      <c r="L7668" s="4"/>
      <c r="M7668" s="4"/>
      <c r="N7668" s="4"/>
    </row>
    <row r="7669" spans="1:14" ht="12.75" customHeight="1" x14ac:dyDescent="0.2">
      <c r="A7669" s="398" t="s">
        <v>926</v>
      </c>
      <c r="B7669" s="271"/>
      <c r="C7669" s="271"/>
      <c r="D7669" s="271"/>
      <c r="E7669" s="271"/>
      <c r="F7669" s="271"/>
      <c r="G7669" s="271"/>
      <c r="H7669" s="271"/>
      <c r="I7669" s="271"/>
      <c r="J7669" s="271"/>
      <c r="K7669" s="271"/>
      <c r="L7669" s="271"/>
      <c r="M7669" s="271"/>
      <c r="N7669" s="273"/>
    </row>
    <row r="7670" spans="1:14" ht="12.75" customHeight="1" x14ac:dyDescent="0.2">
      <c r="A7670" s="396" t="s">
        <v>76</v>
      </c>
      <c r="B7670" s="271"/>
      <c r="C7670" s="271"/>
      <c r="D7670" s="271"/>
      <c r="E7670" s="271"/>
      <c r="F7670" s="271"/>
      <c r="G7670" s="273"/>
      <c r="H7670" s="88" t="s">
        <v>77</v>
      </c>
      <c r="I7670" s="399" t="s">
        <v>920</v>
      </c>
      <c r="J7670" s="273"/>
      <c r="K7670" s="399" t="s">
        <v>453</v>
      </c>
      <c r="L7670" s="273"/>
      <c r="M7670" s="399" t="s">
        <v>921</v>
      </c>
      <c r="N7670" s="273"/>
    </row>
    <row r="7671" spans="1:14" ht="12.75" customHeight="1" x14ac:dyDescent="0.2">
      <c r="A7671" s="400" t="s">
        <v>927</v>
      </c>
      <c r="B7671" s="271"/>
      <c r="C7671" s="271"/>
      <c r="D7671" s="271"/>
      <c r="E7671" s="271"/>
      <c r="F7671" s="271"/>
      <c r="G7671" s="273"/>
      <c r="H7671" s="29" t="str">
        <f>IF(A7671="","",VLOOKUP(A7671,AA_Equipos,7,FALSE))</f>
        <v>% M.O.</v>
      </c>
      <c r="I7671" s="394">
        <f>M7694</f>
        <v>165803.88444444444</v>
      </c>
      <c r="J7671" s="273"/>
      <c r="K7671" s="395">
        <v>0.05</v>
      </c>
      <c r="L7671" s="273"/>
      <c r="M7671" s="394">
        <f t="shared" ref="M7671:M7675" si="1046">IF(A7671="","",I7671*K7671)</f>
        <v>8290.1942222222224</v>
      </c>
      <c r="N7671" s="273"/>
    </row>
    <row r="7672" spans="1:14" ht="12.75" customHeight="1" x14ac:dyDescent="0.2">
      <c r="A7672" s="403" t="s">
        <v>957</v>
      </c>
      <c r="B7672" s="271"/>
      <c r="C7672" s="271"/>
      <c r="D7672" s="271"/>
      <c r="E7672" s="271"/>
      <c r="F7672" s="271"/>
      <c r="G7672" s="273"/>
      <c r="H7672" s="29" t="str">
        <f>IF(A7672="","",VLOOKUP(A7672,AA_Equipos,7,FALSE))</f>
        <v>Dia</v>
      </c>
      <c r="I7672" s="394">
        <f>IF(A7672="","",VLOOKUP(A7672,AA_Equipos,8,FALSE))</f>
        <v>107071</v>
      </c>
      <c r="J7672" s="273"/>
      <c r="K7672" s="402">
        <f t="shared" ref="K7672:K7673" si="1047">1/4.5</f>
        <v>0.22222222222222221</v>
      </c>
      <c r="L7672" s="273"/>
      <c r="M7672" s="394">
        <f t="shared" si="1046"/>
        <v>23793.555555555555</v>
      </c>
      <c r="N7672" s="273"/>
    </row>
    <row r="7673" spans="1:14" ht="12.75" customHeight="1" x14ac:dyDescent="0.2">
      <c r="A7673" s="400" t="s">
        <v>964</v>
      </c>
      <c r="B7673" s="271"/>
      <c r="C7673" s="271"/>
      <c r="D7673" s="271"/>
      <c r="E7673" s="271"/>
      <c r="F7673" s="271"/>
      <c r="G7673" s="273"/>
      <c r="H7673" s="29" t="str">
        <f>IF(A7673="","",VLOOKUP(A7673,AA_Equipos,7,FALSE))</f>
        <v>Dia</v>
      </c>
      <c r="I7673" s="394">
        <f>IF(A7673="","",VLOOKUP(A7673,AA_Equipos,8,FALSE))</f>
        <v>71766</v>
      </c>
      <c r="J7673" s="273"/>
      <c r="K7673" s="395">
        <f t="shared" si="1047"/>
        <v>0.22222222222222221</v>
      </c>
      <c r="L7673" s="273"/>
      <c r="M7673" s="394">
        <f t="shared" si="1046"/>
        <v>15948</v>
      </c>
      <c r="N7673" s="273"/>
    </row>
    <row r="7674" spans="1:14" ht="12.75" customHeight="1" x14ac:dyDescent="0.2">
      <c r="A7674" s="400"/>
      <c r="B7674" s="271"/>
      <c r="C7674" s="271"/>
      <c r="D7674" s="271"/>
      <c r="E7674" s="271"/>
      <c r="F7674" s="271"/>
      <c r="G7674" s="273"/>
      <c r="H7674" s="29" t="str">
        <f>IF(A7674="","",VLOOKUP(A7674,AA_Equipos,7,FALSE))</f>
        <v/>
      </c>
      <c r="I7674" s="394" t="str">
        <f>IF(A7674="","",VLOOKUP(A7674,AA_Equipos,8,FALSE))</f>
        <v/>
      </c>
      <c r="J7674" s="273"/>
      <c r="K7674" s="395"/>
      <c r="L7674" s="273"/>
      <c r="M7674" s="394" t="str">
        <f t="shared" si="1046"/>
        <v/>
      </c>
      <c r="N7674" s="273"/>
    </row>
    <row r="7675" spans="1:14" ht="12.75" customHeight="1" x14ac:dyDescent="0.2">
      <c r="A7675" s="400"/>
      <c r="B7675" s="271"/>
      <c r="C7675" s="271"/>
      <c r="D7675" s="271"/>
      <c r="E7675" s="271"/>
      <c r="F7675" s="271"/>
      <c r="G7675" s="273"/>
      <c r="H7675" s="29" t="str">
        <f>IF(A7675="","",VLOOKUP(A7675,AA_Equipos,7,FALSE))</f>
        <v/>
      </c>
      <c r="I7675" s="394" t="str">
        <f>IF(A7675="","",VLOOKUP(A7675,AA_Equipos,8,FALSE))</f>
        <v/>
      </c>
      <c r="J7675" s="273"/>
      <c r="K7675" s="395"/>
      <c r="L7675" s="273"/>
      <c r="M7675" s="394" t="str">
        <f t="shared" si="1046"/>
        <v/>
      </c>
      <c r="N7675" s="273"/>
    </row>
    <row r="7676" spans="1:14" ht="12.75" customHeight="1" x14ac:dyDescent="0.25">
      <c r="A7676" s="4"/>
      <c r="B7676" s="4"/>
      <c r="C7676" s="4"/>
      <c r="D7676" s="4"/>
      <c r="E7676" s="4"/>
      <c r="F7676" s="4"/>
      <c r="G7676" s="4"/>
      <c r="H7676" s="4"/>
      <c r="I7676" s="4"/>
      <c r="J7676" s="4"/>
      <c r="K7676" s="396" t="s">
        <v>444</v>
      </c>
      <c r="L7676" s="273"/>
      <c r="M7676" s="394">
        <f>SUM(M7671:N7675)</f>
        <v>48031.749777777775</v>
      </c>
      <c r="N7676" s="273"/>
    </row>
    <row r="7677" spans="1:14" ht="12.75" customHeight="1" x14ac:dyDescent="0.25">
      <c r="A7677" s="4"/>
      <c r="B7677" s="4"/>
      <c r="C7677" s="4"/>
      <c r="D7677" s="4"/>
      <c r="E7677" s="4"/>
      <c r="F7677" s="4"/>
      <c r="G7677" s="4"/>
      <c r="H7677" s="4"/>
      <c r="I7677" s="4"/>
      <c r="J7677" s="4"/>
      <c r="K7677" s="4"/>
      <c r="L7677" s="4"/>
      <c r="M7677" s="4"/>
      <c r="N7677" s="4"/>
    </row>
    <row r="7678" spans="1:14" ht="12.75" customHeight="1" x14ac:dyDescent="0.2">
      <c r="A7678" s="398" t="s">
        <v>929</v>
      </c>
      <c r="B7678" s="271"/>
      <c r="C7678" s="271"/>
      <c r="D7678" s="271"/>
      <c r="E7678" s="271"/>
      <c r="F7678" s="271"/>
      <c r="G7678" s="271"/>
      <c r="H7678" s="271"/>
      <c r="I7678" s="271"/>
      <c r="J7678" s="271"/>
      <c r="K7678" s="271"/>
      <c r="L7678" s="271"/>
      <c r="M7678" s="271"/>
      <c r="N7678" s="273"/>
    </row>
    <row r="7679" spans="1:14" ht="12.75" customHeight="1" x14ac:dyDescent="0.2">
      <c r="A7679" s="396" t="s">
        <v>76</v>
      </c>
      <c r="B7679" s="271"/>
      <c r="C7679" s="271"/>
      <c r="D7679" s="271"/>
      <c r="E7679" s="271"/>
      <c r="F7679" s="271"/>
      <c r="G7679" s="273"/>
      <c r="H7679" s="88" t="s">
        <v>77</v>
      </c>
      <c r="I7679" s="399" t="s">
        <v>920</v>
      </c>
      <c r="J7679" s="273"/>
      <c r="K7679" s="399" t="s">
        <v>453</v>
      </c>
      <c r="L7679" s="273"/>
      <c r="M7679" s="399" t="s">
        <v>921</v>
      </c>
      <c r="N7679" s="273"/>
    </row>
    <row r="7680" spans="1:14" ht="12.75" customHeight="1" x14ac:dyDescent="0.2">
      <c r="A7680" s="400" t="s">
        <v>965</v>
      </c>
      <c r="B7680" s="271"/>
      <c r="C7680" s="271"/>
      <c r="D7680" s="271"/>
      <c r="E7680" s="271"/>
      <c r="F7680" s="271"/>
      <c r="G7680" s="273"/>
      <c r="H7680" s="29" t="s">
        <v>959</v>
      </c>
      <c r="I7680" s="394">
        <f>+M7676</f>
        <v>48031.749777777775</v>
      </c>
      <c r="J7680" s="273"/>
      <c r="K7680" s="404">
        <v>0.05</v>
      </c>
      <c r="L7680" s="273"/>
      <c r="M7680" s="394">
        <f t="shared" ref="M7680:M7684" si="1048">IF(A7680="","",I7680*K7680)</f>
        <v>2401.5874888888889</v>
      </c>
      <c r="N7680" s="273"/>
    </row>
    <row r="7681" spans="1:15" ht="12.75" customHeight="1" x14ac:dyDescent="0.2">
      <c r="A7681" s="403" t="s">
        <v>966</v>
      </c>
      <c r="B7681" s="271"/>
      <c r="C7681" s="271"/>
      <c r="D7681" s="271"/>
      <c r="E7681" s="271"/>
      <c r="F7681" s="271"/>
      <c r="G7681" s="273"/>
      <c r="H7681" s="29" t="s">
        <v>968</v>
      </c>
      <c r="I7681" s="394" t="e">
        <f>'precios '!#REF!</f>
        <v>#REF!</v>
      </c>
      <c r="J7681" s="273"/>
      <c r="K7681" s="417">
        <f>+Indice!$L$21</f>
        <v>49</v>
      </c>
      <c r="L7681" s="273"/>
      <c r="M7681" s="394" t="e">
        <f t="shared" si="1048"/>
        <v>#REF!</v>
      </c>
      <c r="N7681" s="273"/>
    </row>
    <row r="7682" spans="1:15" ht="12.75" customHeight="1" x14ac:dyDescent="0.2">
      <c r="A7682" s="400"/>
      <c r="B7682" s="271"/>
      <c r="C7682" s="271"/>
      <c r="D7682" s="271"/>
      <c r="E7682" s="271"/>
      <c r="F7682" s="271"/>
      <c r="G7682" s="273"/>
      <c r="H7682" s="29"/>
      <c r="I7682" s="394"/>
      <c r="J7682" s="273"/>
      <c r="K7682" s="395"/>
      <c r="L7682" s="273"/>
      <c r="M7682" s="394" t="str">
        <f t="shared" si="1048"/>
        <v/>
      </c>
      <c r="N7682" s="273"/>
    </row>
    <row r="7683" spans="1:15" ht="12.75" customHeight="1" x14ac:dyDescent="0.2">
      <c r="A7683" s="400"/>
      <c r="B7683" s="271"/>
      <c r="C7683" s="271"/>
      <c r="D7683" s="271"/>
      <c r="E7683" s="271"/>
      <c r="F7683" s="271"/>
      <c r="G7683" s="273"/>
      <c r="H7683" s="29"/>
      <c r="I7683" s="394"/>
      <c r="J7683" s="273"/>
      <c r="K7683" s="395"/>
      <c r="L7683" s="273"/>
      <c r="M7683" s="394" t="str">
        <f t="shared" si="1048"/>
        <v/>
      </c>
      <c r="N7683" s="273"/>
    </row>
    <row r="7684" spans="1:15" ht="12.75" customHeight="1" x14ac:dyDescent="0.2">
      <c r="A7684" s="400"/>
      <c r="B7684" s="271"/>
      <c r="C7684" s="271"/>
      <c r="D7684" s="271"/>
      <c r="E7684" s="271"/>
      <c r="F7684" s="271"/>
      <c r="G7684" s="273"/>
      <c r="H7684" s="29"/>
      <c r="I7684" s="394"/>
      <c r="J7684" s="273"/>
      <c r="K7684" s="395"/>
      <c r="L7684" s="273"/>
      <c r="M7684" s="394" t="str">
        <f t="shared" si="1048"/>
        <v/>
      </c>
      <c r="N7684" s="273"/>
    </row>
    <row r="7685" spans="1:15" ht="12.75" customHeight="1" x14ac:dyDescent="0.25">
      <c r="A7685" s="4"/>
      <c r="B7685" s="4"/>
      <c r="C7685" s="4"/>
      <c r="D7685" s="4"/>
      <c r="E7685" s="4"/>
      <c r="F7685" s="4"/>
      <c r="G7685" s="4"/>
      <c r="H7685" s="4"/>
      <c r="I7685" s="4"/>
      <c r="J7685" s="4"/>
      <c r="K7685" s="396" t="s">
        <v>444</v>
      </c>
      <c r="L7685" s="273"/>
      <c r="M7685" s="394" t="e">
        <f>SUM(M7680:N7684)</f>
        <v>#REF!</v>
      </c>
      <c r="N7685" s="273"/>
    </row>
    <row r="7686" spans="1:15" ht="12.75" customHeight="1" x14ac:dyDescent="0.25">
      <c r="A7686" s="4"/>
      <c r="B7686" s="4"/>
      <c r="C7686" s="4"/>
      <c r="D7686" s="4"/>
      <c r="E7686" s="4"/>
      <c r="F7686" s="4"/>
      <c r="G7686" s="4"/>
      <c r="H7686" s="4"/>
      <c r="I7686" s="4"/>
      <c r="J7686" s="4"/>
      <c r="K7686" s="4"/>
      <c r="L7686" s="4"/>
      <c r="M7686" s="4"/>
      <c r="N7686" s="4"/>
    </row>
    <row r="7687" spans="1:15" ht="12.75" customHeight="1" x14ac:dyDescent="0.2">
      <c r="A7687" s="398" t="s">
        <v>931</v>
      </c>
      <c r="B7687" s="271"/>
      <c r="C7687" s="271"/>
      <c r="D7687" s="271"/>
      <c r="E7687" s="271"/>
      <c r="F7687" s="271"/>
      <c r="G7687" s="271"/>
      <c r="H7687" s="271"/>
      <c r="I7687" s="271"/>
      <c r="J7687" s="271"/>
      <c r="K7687" s="271"/>
      <c r="L7687" s="271"/>
      <c r="M7687" s="271"/>
      <c r="N7687" s="273"/>
    </row>
    <row r="7688" spans="1:15" ht="12.75" customHeight="1" x14ac:dyDescent="0.2">
      <c r="A7688" s="396" t="s">
        <v>76</v>
      </c>
      <c r="B7688" s="271"/>
      <c r="C7688" s="271"/>
      <c r="D7688" s="271"/>
      <c r="E7688" s="271"/>
      <c r="F7688" s="271"/>
      <c r="G7688" s="273"/>
      <c r="H7688" s="88" t="s">
        <v>77</v>
      </c>
      <c r="I7688" s="399" t="s">
        <v>920</v>
      </c>
      <c r="J7688" s="273"/>
      <c r="K7688" s="90" t="s">
        <v>514</v>
      </c>
      <c r="L7688" s="91" t="s">
        <v>932</v>
      </c>
      <c r="M7688" s="399" t="s">
        <v>921</v>
      </c>
      <c r="N7688" s="273"/>
    </row>
    <row r="7689" spans="1:15" ht="12.75" customHeight="1" x14ac:dyDescent="0.25">
      <c r="A7689" s="393" t="s">
        <v>962</v>
      </c>
      <c r="B7689" s="271"/>
      <c r="C7689" s="271"/>
      <c r="D7689" s="271"/>
      <c r="E7689" s="271"/>
      <c r="F7689" s="271"/>
      <c r="G7689" s="273"/>
      <c r="H7689" s="29" t="str">
        <f>IF(A7689="","",VLOOKUP(A7689,AA_Cuadrillas,4,FALSE))</f>
        <v>Cuadrilla</v>
      </c>
      <c r="I7689" s="394">
        <f>IF(A7689="","",VLOOKUP(A7689,AA_Cuadrillas,5,FALSE))</f>
        <v>396871</v>
      </c>
      <c r="J7689" s="273"/>
      <c r="K7689" s="9">
        <f>IF(A7689="","",F.P!$I$2)</f>
        <v>1.88</v>
      </c>
      <c r="L7689" s="93">
        <f>1/4.5</f>
        <v>0.22222222222222221</v>
      </c>
      <c r="M7689" s="394">
        <f t="shared" ref="M7689:M7693" si="1049">IF(A7689="","",I7689*K7689*L7689)</f>
        <v>165803.88444444444</v>
      </c>
      <c r="N7689" s="273"/>
    </row>
    <row r="7690" spans="1:15" ht="12.75" customHeight="1" x14ac:dyDescent="0.25">
      <c r="A7690" s="393"/>
      <c r="B7690" s="271"/>
      <c r="C7690" s="271"/>
      <c r="D7690" s="271"/>
      <c r="E7690" s="271"/>
      <c r="F7690" s="271"/>
      <c r="G7690" s="273"/>
      <c r="H7690" s="29" t="str">
        <f>IF(A7690="","",VLOOKUP(A7690,AA_Cuadrillas,4,FALSE))</f>
        <v/>
      </c>
      <c r="I7690" s="394" t="str">
        <f>IF(A7690="","",VLOOKUP(A7690,AA_Cuadrillas,5,FALSE))</f>
        <v/>
      </c>
      <c r="J7690" s="273"/>
      <c r="K7690" s="9" t="str">
        <f>IF(A7690="","",F.P!$I$2)</f>
        <v/>
      </c>
      <c r="L7690" s="9"/>
      <c r="M7690" s="394" t="str">
        <f t="shared" si="1049"/>
        <v/>
      </c>
      <c r="N7690" s="273"/>
    </row>
    <row r="7691" spans="1:15" ht="12.75" customHeight="1" x14ac:dyDescent="0.25">
      <c r="A7691" s="393"/>
      <c r="B7691" s="271"/>
      <c r="C7691" s="271"/>
      <c r="D7691" s="271"/>
      <c r="E7691" s="271"/>
      <c r="F7691" s="271"/>
      <c r="G7691" s="273"/>
      <c r="H7691" s="29" t="str">
        <f>IF(A7691="","",VLOOKUP(A7691,AA_Cuadrillas,4,FALSE))</f>
        <v/>
      </c>
      <c r="I7691" s="394" t="str">
        <f>IF(A7691="","",VLOOKUP(A7691,AA_Cuadrillas,5,FALSE))</f>
        <v/>
      </c>
      <c r="J7691" s="273"/>
      <c r="K7691" s="9" t="str">
        <f>IF(A7691="","",F.P!$I$2)</f>
        <v/>
      </c>
      <c r="L7691" s="37"/>
      <c r="M7691" s="394" t="str">
        <f t="shared" si="1049"/>
        <v/>
      </c>
      <c r="N7691" s="273"/>
    </row>
    <row r="7692" spans="1:15" ht="12.75" customHeight="1" x14ac:dyDescent="0.25">
      <c r="A7692" s="393"/>
      <c r="B7692" s="271"/>
      <c r="C7692" s="271"/>
      <c r="D7692" s="271"/>
      <c r="E7692" s="271"/>
      <c r="F7692" s="271"/>
      <c r="G7692" s="273"/>
      <c r="H7692" s="29" t="str">
        <f>IF(A7692="","",VLOOKUP(A7692,AA_Cuadrillas,4,FALSE))</f>
        <v/>
      </c>
      <c r="I7692" s="394" t="str">
        <f>IF(A7692="","",VLOOKUP(A7692,AA_Cuadrillas,5,FALSE))</f>
        <v/>
      </c>
      <c r="J7692" s="273"/>
      <c r="K7692" s="9" t="str">
        <f>IF(A7692="","",F.P!$I$2)</f>
        <v/>
      </c>
      <c r="L7692" s="37"/>
      <c r="M7692" s="394" t="str">
        <f t="shared" si="1049"/>
        <v/>
      </c>
      <c r="N7692" s="273"/>
    </row>
    <row r="7693" spans="1:15" ht="12.75" customHeight="1" x14ac:dyDescent="0.25">
      <c r="A7693" s="393"/>
      <c r="B7693" s="271"/>
      <c r="C7693" s="271"/>
      <c r="D7693" s="271"/>
      <c r="E7693" s="271"/>
      <c r="F7693" s="271"/>
      <c r="G7693" s="273"/>
      <c r="H7693" s="29" t="str">
        <f>IF(A7693="","",VLOOKUP(A7693,AA_Cuadrillas,4,FALSE))</f>
        <v/>
      </c>
      <c r="I7693" s="394" t="str">
        <f>IF(A7693="","",VLOOKUP(A7693,AA_Cuadrillas,5,FALSE))</f>
        <v/>
      </c>
      <c r="J7693" s="273"/>
      <c r="K7693" s="9" t="str">
        <f>IF(A7693="","",F.P!$I$2)</f>
        <v/>
      </c>
      <c r="L7693" s="37"/>
      <c r="M7693" s="394" t="str">
        <f t="shared" si="1049"/>
        <v/>
      </c>
      <c r="N7693" s="273"/>
    </row>
    <row r="7694" spans="1:15" ht="12.75" customHeight="1" x14ac:dyDescent="0.25">
      <c r="A7694" s="4"/>
      <c r="B7694" s="4"/>
      <c r="C7694" s="4"/>
      <c r="D7694" s="4"/>
      <c r="E7694" s="4"/>
      <c r="F7694" s="4"/>
      <c r="G7694" s="4"/>
      <c r="H7694" s="4"/>
      <c r="I7694" s="4"/>
      <c r="J7694" s="4"/>
      <c r="K7694" s="396" t="s">
        <v>444</v>
      </c>
      <c r="L7694" s="273"/>
      <c r="M7694" s="394">
        <f>SUM(M7689:N7693)</f>
        <v>165803.88444444444</v>
      </c>
      <c r="N7694" s="273"/>
    </row>
    <row r="7695" spans="1:15" ht="12.75" customHeight="1" x14ac:dyDescent="0.2"/>
    <row r="7696" spans="1:15" ht="12.75" customHeight="1" x14ac:dyDescent="0.2">
      <c r="A7696" s="407" t="s">
        <v>1331</v>
      </c>
      <c r="B7696" s="275"/>
      <c r="C7696" s="275"/>
      <c r="D7696" s="275"/>
      <c r="E7696" s="275"/>
      <c r="F7696" s="275"/>
      <c r="G7696" s="275"/>
      <c r="H7696" s="275"/>
      <c r="I7696" s="275"/>
      <c r="J7696" s="275"/>
      <c r="K7696" s="275"/>
      <c r="L7696" s="275"/>
      <c r="M7696" s="275"/>
      <c r="N7696" s="276"/>
      <c r="O7696" s="166"/>
    </row>
    <row r="7697" spans="1:15" ht="12.75" customHeight="1" x14ac:dyDescent="0.2">
      <c r="A7697" s="277"/>
      <c r="B7697" s="278"/>
      <c r="C7697" s="278"/>
      <c r="D7697" s="278"/>
      <c r="E7697" s="278"/>
      <c r="F7697" s="278"/>
      <c r="G7697" s="278"/>
      <c r="H7697" s="278"/>
      <c r="I7697" s="278"/>
      <c r="J7697" s="278"/>
      <c r="K7697" s="278"/>
      <c r="L7697" s="278"/>
      <c r="M7697" s="278"/>
      <c r="N7697" s="279"/>
      <c r="O7697" s="166"/>
    </row>
    <row r="7698" spans="1:15" ht="12.75" customHeight="1" x14ac:dyDescent="0.2">
      <c r="A7698" s="75"/>
      <c r="B7698" s="75"/>
      <c r="C7698" s="75"/>
      <c r="D7698" s="75"/>
      <c r="E7698" s="75"/>
      <c r="F7698" s="75"/>
      <c r="G7698" s="75"/>
      <c r="H7698" s="75"/>
      <c r="I7698" s="75"/>
      <c r="J7698" s="75"/>
      <c r="K7698" s="75"/>
      <c r="L7698" s="75"/>
      <c r="M7698" s="75"/>
      <c r="N7698" s="75"/>
    </row>
    <row r="7699" spans="1:15" ht="12.75" customHeight="1" x14ac:dyDescent="0.3">
      <c r="A7699" s="79" t="s">
        <v>791</v>
      </c>
      <c r="B7699" s="80" t="str">
        <f>A7696</f>
        <v>FORMALETA EN MADERA PARA ESTUCTURA HIDRÁULICA (INCLUYE MATERIALES, HERRAMIENTAS Y MANO DE OBRA)</v>
      </c>
      <c r="C7699" s="81" t="s">
        <v>916</v>
      </c>
      <c r="D7699" s="82" t="s">
        <v>934</v>
      </c>
      <c r="E7699" s="83" t="s">
        <v>445</v>
      </c>
      <c r="F7699" s="240">
        <f>H7699+J7699+L7699+N7699</f>
        <v>14730.7192215</v>
      </c>
      <c r="G7699" s="83" t="s">
        <v>607</v>
      </c>
      <c r="H7699" s="86">
        <f>M7711</f>
        <v>8750</v>
      </c>
      <c r="I7699" s="83" t="s">
        <v>918</v>
      </c>
      <c r="J7699" s="86">
        <f>M7720</f>
        <v>263.33582999999999</v>
      </c>
      <c r="K7699" s="83" t="s">
        <v>609</v>
      </c>
      <c r="L7699" s="86">
        <f>M7728</f>
        <v>450.66679149999999</v>
      </c>
      <c r="M7699" s="83" t="s">
        <v>610</v>
      </c>
      <c r="N7699" s="86">
        <f>M7737</f>
        <v>5266.7165999999997</v>
      </c>
      <c r="O7699" s="221" t="s">
        <v>3222</v>
      </c>
    </row>
    <row r="7700" spans="1:15" ht="12.75" customHeight="1" x14ac:dyDescent="0.25">
      <c r="A7700" s="87"/>
      <c r="B7700" s="87"/>
      <c r="C7700" s="87"/>
      <c r="D7700" s="87"/>
      <c r="E7700" s="87"/>
      <c r="F7700" s="87"/>
      <c r="G7700" s="87"/>
      <c r="J7700" s="87"/>
      <c r="K7700" s="215" t="s">
        <v>3217</v>
      </c>
      <c r="L7700" s="215">
        <f>+F7699*presup!$O$5</f>
        <v>19149.934987950001</v>
      </c>
      <c r="M7700" s="87"/>
      <c r="N7700" s="87"/>
    </row>
    <row r="7701" spans="1:15" ht="12.75" customHeight="1" x14ac:dyDescent="0.2">
      <c r="A7701" s="398" t="s">
        <v>919</v>
      </c>
      <c r="B7701" s="271"/>
      <c r="C7701" s="271"/>
      <c r="D7701" s="271"/>
      <c r="E7701" s="271"/>
      <c r="F7701" s="271"/>
      <c r="G7701" s="271"/>
      <c r="H7701" s="271"/>
      <c r="I7701" s="271"/>
      <c r="J7701" s="271"/>
      <c r="K7701" s="271"/>
      <c r="L7701" s="271"/>
      <c r="M7701" s="271"/>
      <c r="N7701" s="273"/>
    </row>
    <row r="7702" spans="1:15" ht="12.75" customHeight="1" x14ac:dyDescent="0.2">
      <c r="A7702" s="396" t="s">
        <v>76</v>
      </c>
      <c r="B7702" s="271"/>
      <c r="C7702" s="271"/>
      <c r="D7702" s="271"/>
      <c r="E7702" s="271"/>
      <c r="F7702" s="271"/>
      <c r="G7702" s="273"/>
      <c r="H7702" s="88" t="s">
        <v>77</v>
      </c>
      <c r="I7702" s="399" t="s">
        <v>920</v>
      </c>
      <c r="J7702" s="273"/>
      <c r="K7702" s="399" t="s">
        <v>453</v>
      </c>
      <c r="L7702" s="273"/>
      <c r="M7702" s="399" t="s">
        <v>921</v>
      </c>
      <c r="N7702" s="273"/>
    </row>
    <row r="7703" spans="1:15" ht="12.75" customHeight="1" x14ac:dyDescent="0.2">
      <c r="A7703" s="400" t="s">
        <v>963</v>
      </c>
      <c r="B7703" s="271"/>
      <c r="C7703" s="271"/>
      <c r="D7703" s="271"/>
      <c r="E7703" s="271"/>
      <c r="F7703" s="271"/>
      <c r="G7703" s="273"/>
      <c r="H7703" s="29" t="str">
        <f t="shared" ref="H7703:H7710" si="1050">IF(A7703="","",VLOOKUP(A7703,AA_Materiales,7,FALSE))</f>
        <v>m2</v>
      </c>
      <c r="I7703" s="394">
        <f t="shared" ref="I7703:I7710" si="1051">IF(A7703="","",VLOOKUP(A7703,AA_Materiales,8,FALSE))</f>
        <v>8750</v>
      </c>
      <c r="J7703" s="273"/>
      <c r="K7703" s="395">
        <v>1</v>
      </c>
      <c r="L7703" s="273"/>
      <c r="M7703" s="394">
        <f t="shared" ref="M7703:M7710" si="1052">IF(A7703="","",I7703*K7703)</f>
        <v>8750</v>
      </c>
      <c r="N7703" s="273"/>
    </row>
    <row r="7704" spans="1:15" ht="12.75" customHeight="1" x14ac:dyDescent="0.2">
      <c r="A7704" s="400"/>
      <c r="B7704" s="271"/>
      <c r="C7704" s="271"/>
      <c r="D7704" s="271"/>
      <c r="E7704" s="271"/>
      <c r="F7704" s="271"/>
      <c r="G7704" s="273"/>
      <c r="H7704" s="29" t="str">
        <f t="shared" si="1050"/>
        <v/>
      </c>
      <c r="I7704" s="394" t="str">
        <f t="shared" si="1051"/>
        <v/>
      </c>
      <c r="J7704" s="273"/>
      <c r="K7704" s="395"/>
      <c r="L7704" s="273"/>
      <c r="M7704" s="394" t="str">
        <f t="shared" si="1052"/>
        <v/>
      </c>
      <c r="N7704" s="273"/>
    </row>
    <row r="7705" spans="1:15" ht="12.75" customHeight="1" x14ac:dyDescent="0.2">
      <c r="A7705" s="400"/>
      <c r="B7705" s="271"/>
      <c r="C7705" s="271"/>
      <c r="D7705" s="271"/>
      <c r="E7705" s="271"/>
      <c r="F7705" s="271"/>
      <c r="G7705" s="273"/>
      <c r="H7705" s="29" t="str">
        <f t="shared" si="1050"/>
        <v/>
      </c>
      <c r="I7705" s="394" t="str">
        <f t="shared" si="1051"/>
        <v/>
      </c>
      <c r="J7705" s="273"/>
      <c r="K7705" s="395"/>
      <c r="L7705" s="273"/>
      <c r="M7705" s="394" t="str">
        <f t="shared" si="1052"/>
        <v/>
      </c>
      <c r="N7705" s="273"/>
    </row>
    <row r="7706" spans="1:15" ht="12.75" customHeight="1" x14ac:dyDescent="0.2">
      <c r="A7706" s="400"/>
      <c r="B7706" s="271"/>
      <c r="C7706" s="271"/>
      <c r="D7706" s="271"/>
      <c r="E7706" s="271"/>
      <c r="F7706" s="271"/>
      <c r="G7706" s="273"/>
      <c r="H7706" s="29" t="str">
        <f t="shared" si="1050"/>
        <v/>
      </c>
      <c r="I7706" s="394" t="str">
        <f t="shared" si="1051"/>
        <v/>
      </c>
      <c r="J7706" s="273"/>
      <c r="K7706" s="395"/>
      <c r="L7706" s="273"/>
      <c r="M7706" s="394" t="str">
        <f t="shared" si="1052"/>
        <v/>
      </c>
      <c r="N7706" s="273"/>
    </row>
    <row r="7707" spans="1:15" ht="12.75" customHeight="1" x14ac:dyDescent="0.2">
      <c r="A7707" s="400"/>
      <c r="B7707" s="271"/>
      <c r="C7707" s="271"/>
      <c r="D7707" s="271"/>
      <c r="E7707" s="271"/>
      <c r="F7707" s="271"/>
      <c r="G7707" s="273"/>
      <c r="H7707" s="29" t="str">
        <f t="shared" si="1050"/>
        <v/>
      </c>
      <c r="I7707" s="394" t="str">
        <f t="shared" si="1051"/>
        <v/>
      </c>
      <c r="J7707" s="273"/>
      <c r="K7707" s="395"/>
      <c r="L7707" s="273"/>
      <c r="M7707" s="394" t="str">
        <f t="shared" si="1052"/>
        <v/>
      </c>
      <c r="N7707" s="273"/>
    </row>
    <row r="7708" spans="1:15" ht="12.75" customHeight="1" x14ac:dyDescent="0.2">
      <c r="A7708" s="400"/>
      <c r="B7708" s="271"/>
      <c r="C7708" s="271"/>
      <c r="D7708" s="271"/>
      <c r="E7708" s="271"/>
      <c r="F7708" s="271"/>
      <c r="G7708" s="273"/>
      <c r="H7708" s="29" t="str">
        <f t="shared" si="1050"/>
        <v/>
      </c>
      <c r="I7708" s="394" t="str">
        <f t="shared" si="1051"/>
        <v/>
      </c>
      <c r="J7708" s="273"/>
      <c r="K7708" s="395"/>
      <c r="L7708" s="273"/>
      <c r="M7708" s="394" t="str">
        <f t="shared" si="1052"/>
        <v/>
      </c>
      <c r="N7708" s="273"/>
    </row>
    <row r="7709" spans="1:15" ht="12.75" customHeight="1" x14ac:dyDescent="0.2">
      <c r="A7709" s="400"/>
      <c r="B7709" s="271"/>
      <c r="C7709" s="271"/>
      <c r="D7709" s="271"/>
      <c r="E7709" s="271"/>
      <c r="F7709" s="271"/>
      <c r="G7709" s="273"/>
      <c r="H7709" s="29" t="str">
        <f t="shared" si="1050"/>
        <v/>
      </c>
      <c r="I7709" s="394" t="str">
        <f t="shared" si="1051"/>
        <v/>
      </c>
      <c r="J7709" s="273"/>
      <c r="K7709" s="395"/>
      <c r="L7709" s="273"/>
      <c r="M7709" s="394" t="str">
        <f t="shared" si="1052"/>
        <v/>
      </c>
      <c r="N7709" s="273"/>
    </row>
    <row r="7710" spans="1:15" ht="12.75" customHeight="1" x14ac:dyDescent="0.2">
      <c r="A7710" s="400"/>
      <c r="B7710" s="271"/>
      <c r="C7710" s="271"/>
      <c r="D7710" s="271"/>
      <c r="E7710" s="271"/>
      <c r="F7710" s="271"/>
      <c r="G7710" s="273"/>
      <c r="H7710" s="29" t="str">
        <f t="shared" si="1050"/>
        <v/>
      </c>
      <c r="I7710" s="394" t="str">
        <f t="shared" si="1051"/>
        <v/>
      </c>
      <c r="J7710" s="273"/>
      <c r="K7710" s="395"/>
      <c r="L7710" s="273"/>
      <c r="M7710" s="394" t="str">
        <f t="shared" si="1052"/>
        <v/>
      </c>
      <c r="N7710" s="273"/>
    </row>
    <row r="7711" spans="1:15" ht="12.75" customHeight="1" x14ac:dyDescent="0.25">
      <c r="A7711" s="4"/>
      <c r="B7711" s="4"/>
      <c r="C7711" s="4"/>
      <c r="D7711" s="4"/>
      <c r="E7711" s="4"/>
      <c r="F7711" s="4"/>
      <c r="G7711" s="4"/>
      <c r="H7711" s="4"/>
      <c r="I7711" s="4"/>
      <c r="J7711" s="4"/>
      <c r="K7711" s="396" t="s">
        <v>444</v>
      </c>
      <c r="L7711" s="273"/>
      <c r="M7711" s="394">
        <f>SUM(M7703:N7710)</f>
        <v>8750</v>
      </c>
      <c r="N7711" s="273"/>
    </row>
    <row r="7712" spans="1:15" ht="12.75" customHeight="1" x14ac:dyDescent="0.25">
      <c r="A7712" s="4"/>
      <c r="B7712" s="4"/>
      <c r="C7712" s="4"/>
      <c r="D7712" s="4"/>
      <c r="E7712" s="4"/>
      <c r="F7712" s="4"/>
      <c r="G7712" s="4"/>
      <c r="H7712" s="4"/>
      <c r="I7712" s="4"/>
      <c r="J7712" s="4"/>
      <c r="K7712" s="4"/>
      <c r="L7712" s="4"/>
      <c r="M7712" s="4"/>
      <c r="N7712" s="4"/>
    </row>
    <row r="7713" spans="1:14" ht="12.75" customHeight="1" x14ac:dyDescent="0.2">
      <c r="A7713" s="398" t="s">
        <v>926</v>
      </c>
      <c r="B7713" s="271"/>
      <c r="C7713" s="271"/>
      <c r="D7713" s="271"/>
      <c r="E7713" s="271"/>
      <c r="F7713" s="271"/>
      <c r="G7713" s="271"/>
      <c r="H7713" s="271"/>
      <c r="I7713" s="271"/>
      <c r="J7713" s="271"/>
      <c r="K7713" s="271"/>
      <c r="L7713" s="271"/>
      <c r="M7713" s="271"/>
      <c r="N7713" s="273"/>
    </row>
    <row r="7714" spans="1:14" ht="12.75" customHeight="1" x14ac:dyDescent="0.2">
      <c r="A7714" s="396" t="s">
        <v>76</v>
      </c>
      <c r="B7714" s="271"/>
      <c r="C7714" s="271"/>
      <c r="D7714" s="271"/>
      <c r="E7714" s="271"/>
      <c r="F7714" s="271"/>
      <c r="G7714" s="273"/>
      <c r="H7714" s="88" t="s">
        <v>77</v>
      </c>
      <c r="I7714" s="399" t="s">
        <v>920</v>
      </c>
      <c r="J7714" s="273"/>
      <c r="K7714" s="399" t="s">
        <v>453</v>
      </c>
      <c r="L7714" s="273"/>
      <c r="M7714" s="399" t="s">
        <v>921</v>
      </c>
      <c r="N7714" s="273"/>
    </row>
    <row r="7715" spans="1:14" ht="12.75" customHeight="1" x14ac:dyDescent="0.2">
      <c r="A7715" s="400" t="s">
        <v>927</v>
      </c>
      <c r="B7715" s="271"/>
      <c r="C7715" s="271"/>
      <c r="D7715" s="271"/>
      <c r="E7715" s="271"/>
      <c r="F7715" s="271"/>
      <c r="G7715" s="273"/>
      <c r="H7715" s="29" t="str">
        <f>IF(A7715="","",VLOOKUP(A7715,AA_Equipos,7,FALSE))</f>
        <v>% M.O.</v>
      </c>
      <c r="I7715" s="394">
        <f>M7737</f>
        <v>5266.7165999999997</v>
      </c>
      <c r="J7715" s="273"/>
      <c r="K7715" s="395">
        <v>0.05</v>
      </c>
      <c r="L7715" s="273"/>
      <c r="M7715" s="394">
        <f t="shared" ref="M7715:M7719" si="1053">IF(A7715="","",I7715*K7715)</f>
        <v>263.33582999999999</v>
      </c>
      <c r="N7715" s="273"/>
    </row>
    <row r="7716" spans="1:14" ht="12.75" customHeight="1" x14ac:dyDescent="0.2">
      <c r="A7716" s="403"/>
      <c r="B7716" s="271"/>
      <c r="C7716" s="271"/>
      <c r="D7716" s="271"/>
      <c r="E7716" s="271"/>
      <c r="F7716" s="271"/>
      <c r="G7716" s="273"/>
      <c r="H7716" s="29" t="str">
        <f>IF(A7716="","",VLOOKUP(A7716,AA_Equipos,7,FALSE))</f>
        <v/>
      </c>
      <c r="I7716" s="394" t="str">
        <f>IF(A7716="","",VLOOKUP(A7716,AA_Equipos,8,FALSE))</f>
        <v/>
      </c>
      <c r="J7716" s="273"/>
      <c r="K7716" s="402"/>
      <c r="L7716" s="273"/>
      <c r="M7716" s="394" t="str">
        <f t="shared" si="1053"/>
        <v/>
      </c>
      <c r="N7716" s="273"/>
    </row>
    <row r="7717" spans="1:14" ht="12.75" customHeight="1" x14ac:dyDescent="0.2">
      <c r="A7717" s="400"/>
      <c r="B7717" s="271"/>
      <c r="C7717" s="271"/>
      <c r="D7717" s="271"/>
      <c r="E7717" s="271"/>
      <c r="F7717" s="271"/>
      <c r="G7717" s="273"/>
      <c r="H7717" s="29" t="str">
        <f>IF(A7717="","",VLOOKUP(A7717,AA_Equipos,7,FALSE))</f>
        <v/>
      </c>
      <c r="I7717" s="394" t="str">
        <f>IF(A7717="","",VLOOKUP(A7717,AA_Equipos,8,FALSE))</f>
        <v/>
      </c>
      <c r="J7717" s="273"/>
      <c r="K7717" s="395"/>
      <c r="L7717" s="273"/>
      <c r="M7717" s="394" t="str">
        <f t="shared" si="1053"/>
        <v/>
      </c>
      <c r="N7717" s="273"/>
    </row>
    <row r="7718" spans="1:14" ht="12.75" customHeight="1" x14ac:dyDescent="0.2">
      <c r="A7718" s="400"/>
      <c r="B7718" s="271"/>
      <c r="C7718" s="271"/>
      <c r="D7718" s="271"/>
      <c r="E7718" s="271"/>
      <c r="F7718" s="271"/>
      <c r="G7718" s="273"/>
      <c r="H7718" s="29" t="str">
        <f>IF(A7718="","",VLOOKUP(A7718,AA_Equipos,7,FALSE))</f>
        <v/>
      </c>
      <c r="I7718" s="394" t="str">
        <f>IF(A7718="","",VLOOKUP(A7718,AA_Equipos,8,FALSE))</f>
        <v/>
      </c>
      <c r="J7718" s="273"/>
      <c r="K7718" s="395"/>
      <c r="L7718" s="273"/>
      <c r="M7718" s="394" t="str">
        <f t="shared" si="1053"/>
        <v/>
      </c>
      <c r="N7718" s="273"/>
    </row>
    <row r="7719" spans="1:14" ht="12.75" customHeight="1" x14ac:dyDescent="0.2">
      <c r="A7719" s="400"/>
      <c r="B7719" s="271"/>
      <c r="C7719" s="271"/>
      <c r="D7719" s="271"/>
      <c r="E7719" s="271"/>
      <c r="F7719" s="271"/>
      <c r="G7719" s="273"/>
      <c r="H7719" s="29" t="str">
        <f>IF(A7719="","",VLOOKUP(A7719,AA_Equipos,7,FALSE))</f>
        <v/>
      </c>
      <c r="I7719" s="394" t="str">
        <f>IF(A7719="","",VLOOKUP(A7719,AA_Equipos,8,FALSE))</f>
        <v/>
      </c>
      <c r="J7719" s="273"/>
      <c r="K7719" s="395"/>
      <c r="L7719" s="273"/>
      <c r="M7719" s="394" t="str">
        <f t="shared" si="1053"/>
        <v/>
      </c>
      <c r="N7719" s="273"/>
    </row>
    <row r="7720" spans="1:14" ht="12.75" customHeight="1" x14ac:dyDescent="0.25">
      <c r="A7720" s="4"/>
      <c r="B7720" s="4"/>
      <c r="C7720" s="4"/>
      <c r="D7720" s="4"/>
      <c r="E7720" s="4"/>
      <c r="F7720" s="4"/>
      <c r="G7720" s="4"/>
      <c r="H7720" s="4"/>
      <c r="I7720" s="4"/>
      <c r="J7720" s="4"/>
      <c r="K7720" s="396" t="s">
        <v>444</v>
      </c>
      <c r="L7720" s="273"/>
      <c r="M7720" s="394">
        <f>SUM(M7715:N7719)</f>
        <v>263.33582999999999</v>
      </c>
      <c r="N7720" s="273"/>
    </row>
    <row r="7721" spans="1:14" ht="12.75" customHeight="1" x14ac:dyDescent="0.25">
      <c r="A7721" s="4"/>
      <c r="B7721" s="4"/>
      <c r="C7721" s="4"/>
      <c r="D7721" s="4"/>
      <c r="E7721" s="4"/>
      <c r="F7721" s="4"/>
      <c r="G7721" s="4"/>
      <c r="H7721" s="4"/>
      <c r="I7721" s="4"/>
      <c r="J7721" s="4"/>
      <c r="K7721" s="4"/>
      <c r="L7721" s="4"/>
      <c r="M7721" s="4"/>
      <c r="N7721" s="4"/>
    </row>
    <row r="7722" spans="1:14" ht="12.75" customHeight="1" x14ac:dyDescent="0.2">
      <c r="A7722" s="398" t="s">
        <v>929</v>
      </c>
      <c r="B7722" s="271"/>
      <c r="C7722" s="271"/>
      <c r="D7722" s="271"/>
      <c r="E7722" s="271"/>
      <c r="F7722" s="271"/>
      <c r="G7722" s="271"/>
      <c r="H7722" s="271"/>
      <c r="I7722" s="271"/>
      <c r="J7722" s="271"/>
      <c r="K7722" s="271"/>
      <c r="L7722" s="271"/>
      <c r="M7722" s="271"/>
      <c r="N7722" s="273"/>
    </row>
    <row r="7723" spans="1:14" ht="12.75" customHeight="1" x14ac:dyDescent="0.2">
      <c r="A7723" s="396" t="s">
        <v>76</v>
      </c>
      <c r="B7723" s="271"/>
      <c r="C7723" s="271"/>
      <c r="D7723" s="271"/>
      <c r="E7723" s="271"/>
      <c r="F7723" s="271"/>
      <c r="G7723" s="273"/>
      <c r="H7723" s="88" t="s">
        <v>77</v>
      </c>
      <c r="I7723" s="399" t="s">
        <v>920</v>
      </c>
      <c r="J7723" s="273"/>
      <c r="K7723" s="399" t="s">
        <v>453</v>
      </c>
      <c r="L7723" s="273"/>
      <c r="M7723" s="399" t="s">
        <v>921</v>
      </c>
      <c r="N7723" s="273"/>
    </row>
    <row r="7724" spans="1:14" ht="12.75" customHeight="1" x14ac:dyDescent="0.2">
      <c r="A7724" s="403" t="s">
        <v>966</v>
      </c>
      <c r="B7724" s="271"/>
      <c r="C7724" s="271"/>
      <c r="D7724" s="271"/>
      <c r="E7724" s="271"/>
      <c r="F7724" s="271"/>
      <c r="G7724" s="273"/>
      <c r="H7724" s="29" t="s">
        <v>968</v>
      </c>
      <c r="I7724" s="394">
        <f>+M7711</f>
        <v>8750</v>
      </c>
      <c r="J7724" s="273"/>
      <c r="K7724" s="404">
        <v>0.05</v>
      </c>
      <c r="L7724" s="273"/>
      <c r="M7724" s="394">
        <f t="shared" ref="M7724:M7727" si="1054">IF(A7724="","",I7724*K7724)</f>
        <v>437.5</v>
      </c>
      <c r="N7724" s="273"/>
    </row>
    <row r="7725" spans="1:14" ht="12.75" customHeight="1" x14ac:dyDescent="0.2">
      <c r="A7725" s="400" t="s">
        <v>3174</v>
      </c>
      <c r="B7725" s="271"/>
      <c r="C7725" s="271"/>
      <c r="D7725" s="271"/>
      <c r="E7725" s="271"/>
      <c r="F7725" s="271"/>
      <c r="G7725" s="273"/>
      <c r="H7725" s="29" t="s">
        <v>24</v>
      </c>
      <c r="I7725" s="394">
        <f>+M7720</f>
        <v>263.33582999999999</v>
      </c>
      <c r="J7725" s="273"/>
      <c r="K7725" s="404">
        <v>0.05</v>
      </c>
      <c r="L7725" s="273"/>
      <c r="M7725" s="394">
        <f t="shared" si="1054"/>
        <v>13.1667915</v>
      </c>
      <c r="N7725" s="273"/>
    </row>
    <row r="7726" spans="1:14" ht="12.75" customHeight="1" x14ac:dyDescent="0.2">
      <c r="A7726" s="400"/>
      <c r="B7726" s="271"/>
      <c r="C7726" s="271"/>
      <c r="D7726" s="271"/>
      <c r="E7726" s="271"/>
      <c r="F7726" s="271"/>
      <c r="G7726" s="273"/>
      <c r="H7726" s="29"/>
      <c r="I7726" s="394"/>
      <c r="J7726" s="273"/>
      <c r="K7726" s="395"/>
      <c r="L7726" s="273"/>
      <c r="M7726" s="394" t="str">
        <f t="shared" si="1054"/>
        <v/>
      </c>
      <c r="N7726" s="273"/>
    </row>
    <row r="7727" spans="1:14" ht="12.75" customHeight="1" x14ac:dyDescent="0.2">
      <c r="A7727" s="400"/>
      <c r="B7727" s="271"/>
      <c r="C7727" s="271"/>
      <c r="D7727" s="271"/>
      <c r="E7727" s="271"/>
      <c r="F7727" s="271"/>
      <c r="G7727" s="273"/>
      <c r="H7727" s="29"/>
      <c r="I7727" s="394"/>
      <c r="J7727" s="273"/>
      <c r="K7727" s="395"/>
      <c r="L7727" s="273"/>
      <c r="M7727" s="394" t="str">
        <f t="shared" si="1054"/>
        <v/>
      </c>
      <c r="N7727" s="273"/>
    </row>
    <row r="7728" spans="1:14" ht="12.75" customHeight="1" x14ac:dyDescent="0.25">
      <c r="A7728" s="4"/>
      <c r="B7728" s="4"/>
      <c r="C7728" s="4"/>
      <c r="D7728" s="4"/>
      <c r="E7728" s="4"/>
      <c r="F7728" s="4"/>
      <c r="G7728" s="4"/>
      <c r="H7728" s="4"/>
      <c r="I7728" s="4"/>
      <c r="J7728" s="4"/>
      <c r="K7728" s="396" t="s">
        <v>444</v>
      </c>
      <c r="L7728" s="273"/>
      <c r="M7728" s="394">
        <f>SUM(M7724:N7727)</f>
        <v>450.66679149999999</v>
      </c>
      <c r="N7728" s="273"/>
    </row>
    <row r="7729" spans="1:15" ht="12.75" customHeight="1" x14ac:dyDescent="0.25">
      <c r="A7729" s="4"/>
      <c r="B7729" s="4"/>
      <c r="C7729" s="4"/>
      <c r="D7729" s="4"/>
      <c r="E7729" s="4"/>
      <c r="F7729" s="4"/>
      <c r="G7729" s="4"/>
      <c r="H7729" s="4"/>
      <c r="I7729" s="4"/>
      <c r="J7729" s="4"/>
      <c r="K7729" s="4"/>
      <c r="L7729" s="4"/>
      <c r="M7729" s="4"/>
      <c r="N7729" s="4"/>
    </row>
    <row r="7730" spans="1:15" ht="12.75" customHeight="1" x14ac:dyDescent="0.2">
      <c r="A7730" s="398" t="s">
        <v>931</v>
      </c>
      <c r="B7730" s="271"/>
      <c r="C7730" s="271"/>
      <c r="D7730" s="271"/>
      <c r="E7730" s="271"/>
      <c r="F7730" s="271"/>
      <c r="G7730" s="271"/>
      <c r="H7730" s="271"/>
      <c r="I7730" s="271"/>
      <c r="J7730" s="271"/>
      <c r="K7730" s="271"/>
      <c r="L7730" s="271"/>
      <c r="M7730" s="271"/>
      <c r="N7730" s="273"/>
    </row>
    <row r="7731" spans="1:15" ht="12.75" customHeight="1" x14ac:dyDescent="0.2">
      <c r="A7731" s="396" t="s">
        <v>76</v>
      </c>
      <c r="B7731" s="271"/>
      <c r="C7731" s="271"/>
      <c r="D7731" s="271"/>
      <c r="E7731" s="271"/>
      <c r="F7731" s="271"/>
      <c r="G7731" s="273"/>
      <c r="H7731" s="88" t="s">
        <v>77</v>
      </c>
      <c r="I7731" s="399" t="s">
        <v>920</v>
      </c>
      <c r="J7731" s="273"/>
      <c r="K7731" s="90" t="s">
        <v>514</v>
      </c>
      <c r="L7731" s="91" t="s">
        <v>932</v>
      </c>
      <c r="M7731" s="399" t="s">
        <v>921</v>
      </c>
      <c r="N7731" s="273"/>
    </row>
    <row r="7732" spans="1:15" ht="12.75" customHeight="1" x14ac:dyDescent="0.25">
      <c r="A7732" s="393" t="s">
        <v>951</v>
      </c>
      <c r="B7732" s="271"/>
      <c r="C7732" s="271"/>
      <c r="D7732" s="271"/>
      <c r="E7732" s="271"/>
      <c r="F7732" s="271"/>
      <c r="G7732" s="273"/>
      <c r="H7732" s="29" t="str">
        <f>IF(A7732="","",VLOOKUP(A7732,AA_Cuadrillas,4,FALSE))</f>
        <v>Cuadrilla</v>
      </c>
      <c r="I7732" s="394">
        <f>IF(A7732="","",VLOOKUP(A7732,AA_Cuadrillas,5,FALSE))</f>
        <v>186763</v>
      </c>
      <c r="J7732" s="273"/>
      <c r="K7732" s="9">
        <f>IF(A7732="","",F.P!$I$2)</f>
        <v>1.88</v>
      </c>
      <c r="L7732" s="93">
        <v>1.4999999999999999E-2</v>
      </c>
      <c r="M7732" s="394">
        <f t="shared" ref="M7732:M7736" si="1055">IF(A7732="","",I7732*K7732*L7732)</f>
        <v>5266.7165999999997</v>
      </c>
      <c r="N7732" s="273"/>
    </row>
    <row r="7733" spans="1:15" ht="12.75" customHeight="1" x14ac:dyDescent="0.25">
      <c r="A7733" s="393"/>
      <c r="B7733" s="271"/>
      <c r="C7733" s="271"/>
      <c r="D7733" s="271"/>
      <c r="E7733" s="271"/>
      <c r="F7733" s="271"/>
      <c r="G7733" s="273"/>
      <c r="H7733" s="29" t="str">
        <f>IF(A7733="","",VLOOKUP(A7733,AA_Cuadrillas,4,FALSE))</f>
        <v/>
      </c>
      <c r="I7733" s="394" t="str">
        <f>IF(A7733="","",VLOOKUP(A7733,AA_Cuadrillas,5,FALSE))</f>
        <v/>
      </c>
      <c r="J7733" s="273"/>
      <c r="K7733" s="9" t="str">
        <f>IF(A7733="","",F.P!$I$2)</f>
        <v/>
      </c>
      <c r="L7733" s="9"/>
      <c r="M7733" s="394" t="str">
        <f t="shared" si="1055"/>
        <v/>
      </c>
      <c r="N7733" s="273"/>
    </row>
    <row r="7734" spans="1:15" ht="12.75" customHeight="1" x14ac:dyDescent="0.25">
      <c r="A7734" s="393"/>
      <c r="B7734" s="271"/>
      <c r="C7734" s="271"/>
      <c r="D7734" s="271"/>
      <c r="E7734" s="271"/>
      <c r="F7734" s="271"/>
      <c r="G7734" s="273"/>
      <c r="H7734" s="29" t="str">
        <f>IF(A7734="","",VLOOKUP(A7734,AA_Cuadrillas,4,FALSE))</f>
        <v/>
      </c>
      <c r="I7734" s="394" t="str">
        <f>IF(A7734="","",VLOOKUP(A7734,AA_Cuadrillas,5,FALSE))</f>
        <v/>
      </c>
      <c r="J7734" s="273"/>
      <c r="K7734" s="9" t="str">
        <f>IF(A7734="","",F.P!$I$2)</f>
        <v/>
      </c>
      <c r="L7734" s="37"/>
      <c r="M7734" s="394" t="str">
        <f t="shared" si="1055"/>
        <v/>
      </c>
      <c r="N7734" s="273"/>
    </row>
    <row r="7735" spans="1:15" ht="12.75" customHeight="1" x14ac:dyDescent="0.25">
      <c r="A7735" s="393"/>
      <c r="B7735" s="271"/>
      <c r="C7735" s="271"/>
      <c r="D7735" s="271"/>
      <c r="E7735" s="271"/>
      <c r="F7735" s="271"/>
      <c r="G7735" s="273"/>
      <c r="H7735" s="29" t="str">
        <f>IF(A7735="","",VLOOKUP(A7735,AA_Cuadrillas,4,FALSE))</f>
        <v/>
      </c>
      <c r="I7735" s="394" t="str">
        <f>IF(A7735="","",VLOOKUP(A7735,AA_Cuadrillas,5,FALSE))</f>
        <v/>
      </c>
      <c r="J7735" s="273"/>
      <c r="K7735" s="9" t="str">
        <f>IF(A7735="","",F.P!$I$2)</f>
        <v/>
      </c>
      <c r="L7735" s="37"/>
      <c r="M7735" s="394" t="str">
        <f t="shared" si="1055"/>
        <v/>
      </c>
      <c r="N7735" s="273"/>
    </row>
    <row r="7736" spans="1:15" ht="12.75" customHeight="1" x14ac:dyDescent="0.25">
      <c r="A7736" s="393"/>
      <c r="B7736" s="271"/>
      <c r="C7736" s="271"/>
      <c r="D7736" s="271"/>
      <c r="E7736" s="271"/>
      <c r="F7736" s="271"/>
      <c r="G7736" s="273"/>
      <c r="H7736" s="29" t="str">
        <f>IF(A7736="","",VLOOKUP(A7736,AA_Cuadrillas,4,FALSE))</f>
        <v/>
      </c>
      <c r="I7736" s="394" t="str">
        <f>IF(A7736="","",VLOOKUP(A7736,AA_Cuadrillas,5,FALSE))</f>
        <v/>
      </c>
      <c r="J7736" s="273"/>
      <c r="K7736" s="9" t="str">
        <f>IF(A7736="","",F.P!$I$2)</f>
        <v/>
      </c>
      <c r="L7736" s="37"/>
      <c r="M7736" s="394" t="str">
        <f t="shared" si="1055"/>
        <v/>
      </c>
      <c r="N7736" s="273"/>
    </row>
    <row r="7737" spans="1:15" ht="12.75" customHeight="1" x14ac:dyDescent="0.25">
      <c r="A7737" s="4"/>
      <c r="B7737" s="4"/>
      <c r="C7737" s="4"/>
      <c r="D7737" s="4"/>
      <c r="E7737" s="4"/>
      <c r="F7737" s="4"/>
      <c r="G7737" s="4"/>
      <c r="H7737" s="4"/>
      <c r="I7737" s="4"/>
      <c r="J7737" s="4"/>
      <c r="K7737" s="396" t="s">
        <v>444</v>
      </c>
      <c r="L7737" s="273"/>
      <c r="M7737" s="394">
        <f>SUM(M7732:N7736)</f>
        <v>5266.7165999999997</v>
      </c>
      <c r="N7737" s="273"/>
    </row>
    <row r="7738" spans="1:15" ht="12.75" customHeight="1" x14ac:dyDescent="0.2"/>
    <row r="7739" spans="1:15" ht="12.75" customHeight="1" x14ac:dyDescent="0.2">
      <c r="A7739" s="397" t="s">
        <v>181</v>
      </c>
      <c r="B7739" s="275"/>
      <c r="C7739" s="275"/>
      <c r="D7739" s="275"/>
      <c r="E7739" s="275"/>
      <c r="F7739" s="275"/>
      <c r="G7739" s="275"/>
      <c r="H7739" s="275"/>
      <c r="I7739" s="275"/>
      <c r="J7739" s="275"/>
      <c r="K7739" s="275"/>
      <c r="L7739" s="275"/>
      <c r="M7739" s="275"/>
      <c r="N7739" s="276"/>
      <c r="O7739" s="166"/>
    </row>
    <row r="7740" spans="1:15" ht="12.75" customHeight="1" x14ac:dyDescent="0.2">
      <c r="A7740" s="277"/>
      <c r="B7740" s="278"/>
      <c r="C7740" s="278"/>
      <c r="D7740" s="278"/>
      <c r="E7740" s="278"/>
      <c r="F7740" s="278"/>
      <c r="G7740" s="278"/>
      <c r="H7740" s="278"/>
      <c r="I7740" s="278"/>
      <c r="J7740" s="278"/>
      <c r="K7740" s="278"/>
      <c r="L7740" s="278"/>
      <c r="M7740" s="278"/>
      <c r="N7740" s="279"/>
      <c r="O7740" s="166"/>
    </row>
    <row r="7741" spans="1:15" ht="12.75" customHeight="1" x14ac:dyDescent="0.2">
      <c r="A7741" s="75"/>
      <c r="B7741" s="75"/>
      <c r="C7741" s="75"/>
      <c r="D7741" s="75"/>
      <c r="E7741" s="75"/>
      <c r="F7741" s="75"/>
      <c r="G7741" s="75"/>
      <c r="H7741" s="75"/>
      <c r="I7741" s="75"/>
      <c r="J7741" s="75"/>
      <c r="K7741" s="75"/>
      <c r="L7741" s="75"/>
      <c r="M7741" s="75"/>
      <c r="N7741" s="75"/>
    </row>
    <row r="7742" spans="1:15" ht="12.75" customHeight="1" x14ac:dyDescent="0.3">
      <c r="A7742" s="79" t="s">
        <v>792</v>
      </c>
      <c r="B7742" s="80" t="str">
        <f>A7739</f>
        <v>SUMINISTRO E INSTALACIÓN DE PURGA DE Ø4" (INCLUYE CAJA EN CONCRETO REFORZADO, CABEZAL DE DESCARGA, TUBERÍA DE LAVADO, VÁLVULAS, NIPLES, TAPAS, PELDAÑOS, ACCESORIOS EN HIERRO DÚCTIL)</v>
      </c>
      <c r="C7742" s="81" t="s">
        <v>916</v>
      </c>
      <c r="D7742" s="82" t="s">
        <v>999</v>
      </c>
      <c r="E7742" s="83" t="s">
        <v>445</v>
      </c>
      <c r="F7742" s="234">
        <f>(H7742+J7742+L7742+N7742)*1.3</f>
        <v>15332184.997981517</v>
      </c>
      <c r="G7742" s="83" t="s">
        <v>607</v>
      </c>
      <c r="H7742" s="86">
        <f>M7777</f>
        <v>0</v>
      </c>
      <c r="I7742" s="83" t="s">
        <v>918</v>
      </c>
      <c r="J7742" s="86">
        <f>M7768</f>
        <v>11793988.459985781</v>
      </c>
      <c r="K7742" s="83" t="s">
        <v>609</v>
      </c>
      <c r="L7742" s="86">
        <f>M7786</f>
        <v>0</v>
      </c>
      <c r="M7742" s="83" t="s">
        <v>610</v>
      </c>
      <c r="N7742" s="86">
        <f>M7795</f>
        <v>0</v>
      </c>
    </row>
    <row r="7743" spans="1:15" ht="12.75" customHeight="1" x14ac:dyDescent="0.25">
      <c r="A7743" s="87"/>
      <c r="B7743" s="87"/>
      <c r="C7743" s="87"/>
      <c r="D7743" s="87"/>
      <c r="E7743" s="87"/>
      <c r="F7743" s="87"/>
      <c r="G7743" s="87"/>
      <c r="J7743" s="87"/>
      <c r="K7743" s="215" t="s">
        <v>3217</v>
      </c>
      <c r="L7743" s="215">
        <f>+F7742*presup!$O$5</f>
        <v>19931840.497375973</v>
      </c>
      <c r="M7743" s="87"/>
      <c r="N7743" s="87"/>
    </row>
    <row r="7744" spans="1:15" ht="12.75" customHeight="1" x14ac:dyDescent="0.2">
      <c r="A7744" s="398" t="s">
        <v>919</v>
      </c>
      <c r="B7744" s="271"/>
      <c r="C7744" s="271"/>
      <c r="D7744" s="271"/>
      <c r="E7744" s="271"/>
      <c r="F7744" s="271"/>
      <c r="G7744" s="271"/>
      <c r="H7744" s="271"/>
      <c r="I7744" s="271"/>
      <c r="J7744" s="271"/>
      <c r="K7744" s="271"/>
      <c r="L7744" s="271"/>
      <c r="M7744" s="271"/>
      <c r="N7744" s="273"/>
    </row>
    <row r="7745" spans="1:14" ht="12.75" customHeight="1" x14ac:dyDescent="0.2">
      <c r="A7745" s="396" t="s">
        <v>76</v>
      </c>
      <c r="B7745" s="271"/>
      <c r="C7745" s="271"/>
      <c r="D7745" s="271"/>
      <c r="E7745" s="271"/>
      <c r="F7745" s="271"/>
      <c r="G7745" s="273"/>
      <c r="H7745" s="88" t="s">
        <v>77</v>
      </c>
      <c r="I7745" s="399" t="s">
        <v>920</v>
      </c>
      <c r="J7745" s="273"/>
      <c r="K7745" s="399" t="s">
        <v>453</v>
      </c>
      <c r="L7745" s="273"/>
      <c r="M7745" s="399" t="s">
        <v>921</v>
      </c>
      <c r="N7745" s="273"/>
    </row>
    <row r="7746" spans="1:14" ht="12.75" customHeight="1" x14ac:dyDescent="0.2">
      <c r="A7746" s="400" t="s">
        <v>1307</v>
      </c>
      <c r="B7746" s="271"/>
      <c r="C7746" s="271"/>
      <c r="D7746" s="271"/>
      <c r="E7746" s="271"/>
      <c r="F7746" s="271"/>
      <c r="G7746" s="273"/>
      <c r="H7746" s="29" t="str">
        <f t="shared" ref="H7746:H7767" si="1056">IF(A7746="","",VLOOKUP(A7746,AA_Materiales,7,FALSE))</f>
        <v>m2</v>
      </c>
      <c r="I7746" s="409">
        <f>'BASICOS SIN AIU '!F267</f>
        <v>4150.0217132000016</v>
      </c>
      <c r="J7746" s="410"/>
      <c r="K7746" s="395">
        <f>+VENTOSAS!F203</f>
        <v>2.9250000000000003</v>
      </c>
      <c r="L7746" s="273"/>
      <c r="M7746" s="394">
        <f t="shared" ref="M7746:M7767" si="1057">IF(A7746="","",I7746*K7746)</f>
        <v>12138.813511110005</v>
      </c>
      <c r="N7746" s="273"/>
    </row>
    <row r="7747" spans="1:14" ht="12.75" customHeight="1" x14ac:dyDescent="0.2">
      <c r="A7747" s="400" t="s">
        <v>1308</v>
      </c>
      <c r="B7747" s="271"/>
      <c r="C7747" s="271"/>
      <c r="D7747" s="271"/>
      <c r="E7747" s="271"/>
      <c r="F7747" s="271"/>
      <c r="G7747" s="273"/>
      <c r="H7747" s="29" t="str">
        <f t="shared" si="1056"/>
        <v>m3</v>
      </c>
      <c r="I7747" s="409">
        <f>'BASICOS SIN AIU '!F4</f>
        <v>52660.488615999995</v>
      </c>
      <c r="J7747" s="410"/>
      <c r="K7747" s="401">
        <f>+VENTOSAS!F214</f>
        <v>6.2009999999999996</v>
      </c>
      <c r="L7747" s="273"/>
      <c r="M7747" s="394">
        <f t="shared" si="1057"/>
        <v>326547.68990781595</v>
      </c>
      <c r="N7747" s="273"/>
    </row>
    <row r="7748" spans="1:14" ht="27" customHeight="1" x14ac:dyDescent="0.2">
      <c r="A7748" s="403" t="s">
        <v>1309</v>
      </c>
      <c r="B7748" s="271"/>
      <c r="C7748" s="271"/>
      <c r="D7748" s="271"/>
      <c r="E7748" s="271"/>
      <c r="F7748" s="271"/>
      <c r="G7748" s="273"/>
      <c r="H7748" s="29" t="str">
        <f t="shared" si="1056"/>
        <v>m3</v>
      </c>
      <c r="I7748" s="409">
        <f>'BASICOS SIN AIU '!F47</f>
        <v>176301.78268129006</v>
      </c>
      <c r="J7748" s="410"/>
      <c r="K7748" s="401">
        <f>+VENTOSAS!F236</f>
        <v>0.58500000000000008</v>
      </c>
      <c r="L7748" s="273"/>
      <c r="M7748" s="394">
        <f t="shared" si="1057"/>
        <v>103136.54286855469</v>
      </c>
      <c r="N7748" s="273"/>
    </row>
    <row r="7749" spans="1:14" ht="27" customHeight="1" x14ac:dyDescent="0.2">
      <c r="A7749" s="403" t="s">
        <v>1332</v>
      </c>
      <c r="B7749" s="271"/>
      <c r="C7749" s="271"/>
      <c r="D7749" s="271"/>
      <c r="E7749" s="271"/>
      <c r="F7749" s="271"/>
      <c r="G7749" s="273"/>
      <c r="H7749" s="29" t="str">
        <f t="shared" si="1056"/>
        <v>m3</v>
      </c>
      <c r="I7749" s="409">
        <f t="shared" ref="I7749:I7767" si="1058">IF(A7749="","",VLOOKUP(A7749,AA_Materiales,8,FALSE))</f>
        <v>18218.939999999999</v>
      </c>
      <c r="J7749" s="410"/>
      <c r="K7749" s="423">
        <f>+VENTOSAS!F247</f>
        <v>0.93599999999999905</v>
      </c>
      <c r="L7749" s="273"/>
      <c r="M7749" s="394">
        <f t="shared" si="1057"/>
        <v>17052.927839999982</v>
      </c>
      <c r="N7749" s="273"/>
    </row>
    <row r="7750" spans="1:14" ht="12.75" customHeight="1" x14ac:dyDescent="0.2">
      <c r="A7750" s="403" t="s">
        <v>1333</v>
      </c>
      <c r="B7750" s="271"/>
      <c r="C7750" s="271"/>
      <c r="D7750" s="271"/>
      <c r="E7750" s="271"/>
      <c r="F7750" s="271"/>
      <c r="G7750" s="273"/>
      <c r="H7750" s="29" t="str">
        <f t="shared" si="1056"/>
        <v>m3</v>
      </c>
      <c r="I7750" s="409">
        <f>'BASICOS SIN AIU '!F574</f>
        <v>5573.4897102644227</v>
      </c>
      <c r="J7750" s="410"/>
      <c r="K7750" s="401">
        <f>+K7747-K7749</f>
        <v>5.2650000000000006</v>
      </c>
      <c r="L7750" s="273"/>
      <c r="M7750" s="394">
        <f t="shared" si="1057"/>
        <v>29344.423324542189</v>
      </c>
      <c r="N7750" s="273"/>
    </row>
    <row r="7751" spans="1:14" ht="12.75" customHeight="1" x14ac:dyDescent="0.2">
      <c r="A7751" s="400" t="s">
        <v>1310</v>
      </c>
      <c r="B7751" s="271"/>
      <c r="C7751" s="271"/>
      <c r="D7751" s="271"/>
      <c r="E7751" s="271"/>
      <c r="F7751" s="271"/>
      <c r="G7751" s="273"/>
      <c r="H7751" s="29" t="str">
        <f t="shared" si="1056"/>
        <v>m3</v>
      </c>
      <c r="I7751" s="409">
        <f t="shared" si="1058"/>
        <v>619876.4246790678</v>
      </c>
      <c r="J7751" s="410"/>
      <c r="K7751" s="395">
        <f>+VENTOSAS!F225</f>
        <v>0.14625000000000002</v>
      </c>
      <c r="L7751" s="273"/>
      <c r="M7751" s="394">
        <f t="shared" si="1057"/>
        <v>90656.927109313678</v>
      </c>
      <c r="N7751" s="273"/>
    </row>
    <row r="7752" spans="1:14" ht="12.75" customHeight="1" x14ac:dyDescent="0.2">
      <c r="A7752" s="400" t="s">
        <v>1311</v>
      </c>
      <c r="B7752" s="271"/>
      <c r="C7752" s="271"/>
      <c r="D7752" s="271"/>
      <c r="E7752" s="271"/>
      <c r="F7752" s="271"/>
      <c r="G7752" s="273"/>
      <c r="H7752" s="29" t="str">
        <f t="shared" si="1056"/>
        <v>Kg</v>
      </c>
      <c r="I7752" s="409">
        <f>'BASICOS SIN AIU '!F309</f>
        <v>8006.0498787222223</v>
      </c>
      <c r="J7752" s="410"/>
      <c r="K7752" s="395">
        <f>+VENTOSAS!F291</f>
        <v>165.46</v>
      </c>
      <c r="L7752" s="273"/>
      <c r="M7752" s="394">
        <f t="shared" si="1057"/>
        <v>1324681.012933379</v>
      </c>
      <c r="N7752" s="273"/>
    </row>
    <row r="7753" spans="1:14" ht="12.75" customHeight="1" x14ac:dyDescent="0.2">
      <c r="A7753" s="400" t="s">
        <v>1312</v>
      </c>
      <c r="B7753" s="271"/>
      <c r="C7753" s="271"/>
      <c r="D7753" s="271"/>
      <c r="E7753" s="271"/>
      <c r="F7753" s="271"/>
      <c r="G7753" s="273"/>
      <c r="H7753" s="29" t="str">
        <f t="shared" si="1056"/>
        <v>m3</v>
      </c>
      <c r="I7753" s="409">
        <f t="shared" si="1058"/>
        <v>790161.82467906782</v>
      </c>
      <c r="J7753" s="410"/>
      <c r="K7753" s="395">
        <f>+VENTOSAS!F258</f>
        <v>2.19</v>
      </c>
      <c r="L7753" s="273"/>
      <c r="M7753" s="394">
        <f t="shared" si="1057"/>
        <v>1730454.3960471584</v>
      </c>
      <c r="N7753" s="273"/>
    </row>
    <row r="7754" spans="1:14" ht="12.75" customHeight="1" x14ac:dyDescent="0.2">
      <c r="A7754" s="400" t="s">
        <v>1313</v>
      </c>
      <c r="B7754" s="271"/>
      <c r="C7754" s="271"/>
      <c r="D7754" s="271"/>
      <c r="E7754" s="271"/>
      <c r="F7754" s="271"/>
      <c r="G7754" s="273"/>
      <c r="H7754" s="29" t="str">
        <f t="shared" si="1056"/>
        <v>m2</v>
      </c>
      <c r="I7754" s="409">
        <f t="shared" si="1058"/>
        <v>84116.633390000003</v>
      </c>
      <c r="J7754" s="410"/>
      <c r="K7754" s="395">
        <f>+VENTOSAS!F269</f>
        <v>23.584000000000003</v>
      </c>
      <c r="L7754" s="273"/>
      <c r="M7754" s="394">
        <f t="shared" si="1057"/>
        <v>1983806.6818697604</v>
      </c>
      <c r="N7754" s="273"/>
    </row>
    <row r="7755" spans="1:14" ht="13.5" customHeight="1" x14ac:dyDescent="0.2">
      <c r="A7755" s="403" t="s">
        <v>1314</v>
      </c>
      <c r="B7755" s="271"/>
      <c r="C7755" s="271"/>
      <c r="D7755" s="271"/>
      <c r="E7755" s="271"/>
      <c r="F7755" s="271"/>
      <c r="G7755" s="273"/>
      <c r="H7755" s="29" t="str">
        <f t="shared" si="1056"/>
        <v>m2</v>
      </c>
      <c r="I7755" s="409">
        <f t="shared" si="1058"/>
        <v>14730.7192215</v>
      </c>
      <c r="J7755" s="410"/>
      <c r="K7755" s="395">
        <f>+VENTOSAS!F280</f>
        <v>2.9250000000000003</v>
      </c>
      <c r="L7755" s="273"/>
      <c r="M7755" s="394">
        <f t="shared" si="1057"/>
        <v>43087.353722887499</v>
      </c>
      <c r="N7755" s="273"/>
    </row>
    <row r="7756" spans="1:14" ht="40.5" customHeight="1" x14ac:dyDescent="0.2">
      <c r="A7756" s="403" t="s">
        <v>1315</v>
      </c>
      <c r="B7756" s="271"/>
      <c r="C7756" s="271"/>
      <c r="D7756" s="271"/>
      <c r="E7756" s="271"/>
      <c r="F7756" s="271"/>
      <c r="G7756" s="273"/>
      <c r="H7756" s="29" t="str">
        <f t="shared" si="1056"/>
        <v>Unidad</v>
      </c>
      <c r="I7756" s="409">
        <f>'BASICOS SIN AIU '!F133</f>
        <v>102940.44740500001</v>
      </c>
      <c r="J7756" s="410"/>
      <c r="K7756" s="395">
        <f>+VENTOSAS!F313</f>
        <v>4</v>
      </c>
      <c r="L7756" s="273"/>
      <c r="M7756" s="394">
        <f t="shared" si="1057"/>
        <v>411761.78962000005</v>
      </c>
      <c r="N7756" s="273"/>
    </row>
    <row r="7757" spans="1:14" ht="27" customHeight="1" x14ac:dyDescent="0.2">
      <c r="A7757" s="403" t="s">
        <v>1316</v>
      </c>
      <c r="B7757" s="271"/>
      <c r="C7757" s="271"/>
      <c r="D7757" s="271"/>
      <c r="E7757" s="271"/>
      <c r="F7757" s="271"/>
      <c r="G7757" s="273"/>
      <c r="H7757" s="29" t="str">
        <f t="shared" si="1056"/>
        <v>Unidad</v>
      </c>
      <c r="I7757" s="409">
        <f t="shared" si="1058"/>
        <v>833487.79</v>
      </c>
      <c r="J7757" s="410"/>
      <c r="K7757" s="395">
        <f>+VENTOSAS!F401</f>
        <v>1</v>
      </c>
      <c r="L7757" s="273"/>
      <c r="M7757" s="394">
        <f t="shared" si="1057"/>
        <v>833487.79</v>
      </c>
      <c r="N7757" s="273"/>
    </row>
    <row r="7758" spans="1:14" ht="27" customHeight="1" x14ac:dyDescent="0.2">
      <c r="A7758" s="403" t="s">
        <v>1334</v>
      </c>
      <c r="B7758" s="271"/>
      <c r="C7758" s="271"/>
      <c r="D7758" s="271"/>
      <c r="E7758" s="271"/>
      <c r="F7758" s="271"/>
      <c r="G7758" s="273"/>
      <c r="H7758" s="29" t="str">
        <f t="shared" si="1056"/>
        <v>Unidad</v>
      </c>
      <c r="I7758" s="409">
        <f t="shared" si="1058"/>
        <v>825285.17489999998</v>
      </c>
      <c r="J7758" s="410"/>
      <c r="K7758" s="395">
        <f>+VENTOSAS!F324</f>
        <v>1</v>
      </c>
      <c r="L7758" s="273"/>
      <c r="M7758" s="394">
        <f t="shared" si="1057"/>
        <v>825285.17489999998</v>
      </c>
      <c r="N7758" s="273"/>
    </row>
    <row r="7759" spans="1:14" ht="12.75" customHeight="1" x14ac:dyDescent="0.2">
      <c r="A7759" s="400" t="s">
        <v>1335</v>
      </c>
      <c r="B7759" s="271"/>
      <c r="C7759" s="271"/>
      <c r="D7759" s="271"/>
      <c r="E7759" s="271"/>
      <c r="F7759" s="271"/>
      <c r="G7759" s="273"/>
      <c r="H7759" s="29" t="str">
        <f t="shared" si="1056"/>
        <v>Unidad</v>
      </c>
      <c r="I7759" s="409">
        <f t="shared" si="1058"/>
        <v>248407.5405</v>
      </c>
      <c r="J7759" s="410"/>
      <c r="K7759" s="395">
        <f>+VENTOSAS!F335</f>
        <v>1</v>
      </c>
      <c r="L7759" s="273"/>
      <c r="M7759" s="394">
        <f t="shared" si="1057"/>
        <v>248407.5405</v>
      </c>
      <c r="N7759" s="273"/>
    </row>
    <row r="7760" spans="1:14" ht="12.75" customHeight="1" x14ac:dyDescent="0.2">
      <c r="A7760" s="400" t="s">
        <v>1336</v>
      </c>
      <c r="B7760" s="271"/>
      <c r="C7760" s="271"/>
      <c r="D7760" s="271"/>
      <c r="E7760" s="271"/>
      <c r="F7760" s="271"/>
      <c r="G7760" s="273"/>
      <c r="H7760" s="29" t="str">
        <f t="shared" si="1056"/>
        <v>Unidad</v>
      </c>
      <c r="I7760" s="409">
        <f t="shared" si="1058"/>
        <v>238499.42202499998</v>
      </c>
      <c r="J7760" s="410"/>
      <c r="K7760" s="395">
        <f>+VENTOSAS!F346</f>
        <v>1</v>
      </c>
      <c r="L7760" s="273"/>
      <c r="M7760" s="394">
        <f t="shared" si="1057"/>
        <v>238499.42202499998</v>
      </c>
      <c r="N7760" s="273"/>
    </row>
    <row r="7761" spans="1:14" ht="12.75" customHeight="1" x14ac:dyDescent="0.2">
      <c r="A7761" s="400" t="s">
        <v>1337</v>
      </c>
      <c r="B7761" s="271"/>
      <c r="C7761" s="271"/>
      <c r="D7761" s="271"/>
      <c r="E7761" s="271"/>
      <c r="F7761" s="271"/>
      <c r="G7761" s="273"/>
      <c r="H7761" s="29" t="str">
        <f t="shared" si="1056"/>
        <v>Unidad</v>
      </c>
      <c r="I7761" s="409">
        <f t="shared" si="1058"/>
        <v>277788.09000000003</v>
      </c>
      <c r="J7761" s="410"/>
      <c r="K7761" s="395">
        <f>+VENTOSAS!F357</f>
        <v>1</v>
      </c>
      <c r="L7761" s="273"/>
      <c r="M7761" s="394">
        <f t="shared" si="1057"/>
        <v>277788.09000000003</v>
      </c>
      <c r="N7761" s="273"/>
    </row>
    <row r="7762" spans="1:14" ht="12.75" customHeight="1" x14ac:dyDescent="0.2">
      <c r="A7762" s="400" t="s">
        <v>1338</v>
      </c>
      <c r="B7762" s="271"/>
      <c r="C7762" s="271"/>
      <c r="D7762" s="271"/>
      <c r="E7762" s="271"/>
      <c r="F7762" s="271"/>
      <c r="G7762" s="273"/>
      <c r="H7762" s="29" t="str">
        <f t="shared" si="1056"/>
        <v>Unidad</v>
      </c>
      <c r="I7762" s="409">
        <f>F9199</f>
        <v>501433.50810000004</v>
      </c>
      <c r="J7762" s="410"/>
      <c r="K7762" s="395">
        <f>+VENTOSAS!F368</f>
        <v>1</v>
      </c>
      <c r="L7762" s="273"/>
      <c r="M7762" s="394">
        <f t="shared" si="1057"/>
        <v>501433.50810000004</v>
      </c>
      <c r="N7762" s="273"/>
    </row>
    <row r="7763" spans="1:14" ht="12.75" customHeight="1" x14ac:dyDescent="0.2">
      <c r="A7763" s="400" t="s">
        <v>1339</v>
      </c>
      <c r="B7763" s="271"/>
      <c r="C7763" s="271"/>
      <c r="D7763" s="271"/>
      <c r="E7763" s="271"/>
      <c r="F7763" s="271"/>
      <c r="G7763" s="273"/>
      <c r="H7763" s="29" t="str">
        <f t="shared" si="1056"/>
        <v>Unidad</v>
      </c>
      <c r="I7763" s="409">
        <f>F2314</f>
        <v>1339082.6493666666</v>
      </c>
      <c r="J7763" s="410"/>
      <c r="K7763" s="395">
        <f>+VENTOSAS!F379</f>
        <v>1</v>
      </c>
      <c r="L7763" s="273"/>
      <c r="M7763" s="394">
        <f t="shared" si="1057"/>
        <v>1339082.6493666666</v>
      </c>
      <c r="N7763" s="273"/>
    </row>
    <row r="7764" spans="1:14" ht="12.75" customHeight="1" x14ac:dyDescent="0.2">
      <c r="A7764" s="400" t="s">
        <v>1340</v>
      </c>
      <c r="B7764" s="271"/>
      <c r="C7764" s="271"/>
      <c r="D7764" s="271"/>
      <c r="E7764" s="271"/>
      <c r="F7764" s="271"/>
      <c r="G7764" s="273"/>
      <c r="H7764" s="29" t="str">
        <f t="shared" si="1056"/>
        <v>ml</v>
      </c>
      <c r="I7764" s="409">
        <f t="shared" si="1058"/>
        <v>36032.115585416672</v>
      </c>
      <c r="J7764" s="410"/>
      <c r="K7764" s="395">
        <v>12</v>
      </c>
      <c r="L7764" s="273"/>
      <c r="M7764" s="394">
        <f t="shared" si="1057"/>
        <v>432385.38702500006</v>
      </c>
      <c r="N7764" s="273"/>
    </row>
    <row r="7765" spans="1:14" ht="12.75" customHeight="1" x14ac:dyDescent="0.2">
      <c r="A7765" s="400" t="s">
        <v>1341</v>
      </c>
      <c r="B7765" s="271"/>
      <c r="C7765" s="271"/>
      <c r="D7765" s="271"/>
      <c r="E7765" s="271"/>
      <c r="F7765" s="271"/>
      <c r="G7765" s="273"/>
      <c r="H7765" s="29" t="str">
        <f t="shared" si="1056"/>
        <v>Unidad</v>
      </c>
      <c r="I7765" s="409">
        <f t="shared" si="1058"/>
        <v>289509.73813000001</v>
      </c>
      <c r="J7765" s="410"/>
      <c r="K7765" s="395">
        <f>+VENTOSAS!F390</f>
        <v>1</v>
      </c>
      <c r="L7765" s="273"/>
      <c r="M7765" s="394">
        <f t="shared" si="1057"/>
        <v>289509.73813000001</v>
      </c>
      <c r="N7765" s="273"/>
    </row>
    <row r="7766" spans="1:14" ht="13.5" customHeight="1" x14ac:dyDescent="0.2">
      <c r="A7766" s="400" t="s">
        <v>1342</v>
      </c>
      <c r="B7766" s="271"/>
      <c r="C7766" s="271"/>
      <c r="D7766" s="271"/>
      <c r="E7766" s="271"/>
      <c r="F7766" s="271"/>
      <c r="G7766" s="273"/>
      <c r="H7766" s="29" t="str">
        <f t="shared" si="1056"/>
        <v>Unidad</v>
      </c>
      <c r="I7766" s="409">
        <f t="shared" si="1058"/>
        <v>735440.60118459305</v>
      </c>
      <c r="J7766" s="410"/>
      <c r="K7766" s="395">
        <v>1</v>
      </c>
      <c r="L7766" s="273"/>
      <c r="M7766" s="394">
        <f t="shared" si="1057"/>
        <v>735440.60118459305</v>
      </c>
      <c r="N7766" s="273"/>
    </row>
    <row r="7767" spans="1:14" ht="12.75" customHeight="1" x14ac:dyDescent="0.2">
      <c r="A7767" s="400"/>
      <c r="B7767" s="271"/>
      <c r="C7767" s="271"/>
      <c r="D7767" s="271"/>
      <c r="E7767" s="271"/>
      <c r="F7767" s="271"/>
      <c r="G7767" s="273"/>
      <c r="H7767" s="29" t="str">
        <f t="shared" si="1056"/>
        <v/>
      </c>
      <c r="I7767" s="394" t="str">
        <f t="shared" si="1058"/>
        <v/>
      </c>
      <c r="J7767" s="273"/>
      <c r="K7767" s="395"/>
      <c r="L7767" s="273"/>
      <c r="M7767" s="394" t="str">
        <f t="shared" si="1057"/>
        <v/>
      </c>
      <c r="N7767" s="273"/>
    </row>
    <row r="7768" spans="1:14" ht="12.75" customHeight="1" x14ac:dyDescent="0.25">
      <c r="A7768" s="4"/>
      <c r="B7768" s="4"/>
      <c r="C7768" s="4"/>
      <c r="D7768" s="4"/>
      <c r="E7768" s="4"/>
      <c r="F7768" s="4"/>
      <c r="G7768" s="4"/>
      <c r="H7768" s="4"/>
      <c r="I7768" s="4"/>
      <c r="J7768" s="4"/>
      <c r="K7768" s="396" t="s">
        <v>444</v>
      </c>
      <c r="L7768" s="273"/>
      <c r="M7768" s="394">
        <f>SUM(M7746:N7767)</f>
        <v>11793988.459985781</v>
      </c>
      <c r="N7768" s="273"/>
    </row>
    <row r="7769" spans="1:14" ht="12.75" customHeight="1" x14ac:dyDescent="0.25">
      <c r="A7769" s="4"/>
      <c r="B7769" s="4"/>
      <c r="C7769" s="4"/>
      <c r="D7769" s="4"/>
      <c r="E7769" s="4"/>
      <c r="F7769" s="4"/>
      <c r="G7769" s="4"/>
      <c r="H7769" s="4"/>
      <c r="I7769" s="4"/>
      <c r="J7769" s="4"/>
      <c r="K7769" s="4"/>
      <c r="L7769" s="4"/>
      <c r="M7769" s="4"/>
      <c r="N7769" s="4"/>
    </row>
    <row r="7770" spans="1:14" ht="12.75" customHeight="1" x14ac:dyDescent="0.2">
      <c r="A7770" s="398" t="s">
        <v>926</v>
      </c>
      <c r="B7770" s="271"/>
      <c r="C7770" s="271"/>
      <c r="D7770" s="271"/>
      <c r="E7770" s="271"/>
      <c r="F7770" s="271"/>
      <c r="G7770" s="271"/>
      <c r="H7770" s="271"/>
      <c r="I7770" s="271"/>
      <c r="J7770" s="271"/>
      <c r="K7770" s="271"/>
      <c r="L7770" s="271"/>
      <c r="M7770" s="271"/>
      <c r="N7770" s="273"/>
    </row>
    <row r="7771" spans="1:14" ht="12.75" customHeight="1" x14ac:dyDescent="0.2">
      <c r="A7771" s="396" t="s">
        <v>76</v>
      </c>
      <c r="B7771" s="271"/>
      <c r="C7771" s="271"/>
      <c r="D7771" s="271"/>
      <c r="E7771" s="271"/>
      <c r="F7771" s="271"/>
      <c r="G7771" s="273"/>
      <c r="H7771" s="88" t="s">
        <v>77</v>
      </c>
      <c r="I7771" s="399" t="s">
        <v>920</v>
      </c>
      <c r="J7771" s="273"/>
      <c r="K7771" s="399" t="s">
        <v>453</v>
      </c>
      <c r="L7771" s="273"/>
      <c r="M7771" s="399" t="s">
        <v>921</v>
      </c>
      <c r="N7771" s="273"/>
    </row>
    <row r="7772" spans="1:14" ht="12.75" customHeight="1" x14ac:dyDescent="0.2">
      <c r="A7772" s="400"/>
      <c r="B7772" s="271"/>
      <c r="C7772" s="271"/>
      <c r="D7772" s="271"/>
      <c r="E7772" s="271"/>
      <c r="F7772" s="271"/>
      <c r="G7772" s="273"/>
      <c r="H7772" s="29" t="str">
        <f>IF(A7772="","",VLOOKUP(A7772,AA_Equipos,7,FALSE))</f>
        <v/>
      </c>
      <c r="I7772" s="394"/>
      <c r="J7772" s="273"/>
      <c r="K7772" s="404"/>
      <c r="L7772" s="273"/>
      <c r="M7772" s="394" t="str">
        <f t="shared" ref="M7772:M7776" si="1059">IF(A7772="","",I7772*K7772)</f>
        <v/>
      </c>
      <c r="N7772" s="273"/>
    </row>
    <row r="7773" spans="1:14" ht="12.75" customHeight="1" x14ac:dyDescent="0.2">
      <c r="A7773" s="403"/>
      <c r="B7773" s="271"/>
      <c r="C7773" s="271"/>
      <c r="D7773" s="271"/>
      <c r="E7773" s="271"/>
      <c r="F7773" s="271"/>
      <c r="G7773" s="273"/>
      <c r="H7773" s="29" t="str">
        <f>IF(A7773="","",VLOOKUP(A7773,AA_Equipos,7,FALSE))</f>
        <v/>
      </c>
      <c r="I7773" s="394" t="str">
        <f>IF(A7773="","",VLOOKUP(A7773,AA_Equipos,8,FALSE))</f>
        <v/>
      </c>
      <c r="J7773" s="273"/>
      <c r="K7773" s="402"/>
      <c r="L7773" s="273"/>
      <c r="M7773" s="394" t="str">
        <f t="shared" si="1059"/>
        <v/>
      </c>
      <c r="N7773" s="273"/>
    </row>
    <row r="7774" spans="1:14" ht="12.75" customHeight="1" x14ac:dyDescent="0.2">
      <c r="A7774" s="400"/>
      <c r="B7774" s="271"/>
      <c r="C7774" s="271"/>
      <c r="D7774" s="271"/>
      <c r="E7774" s="271"/>
      <c r="F7774" s="271"/>
      <c r="G7774" s="273"/>
      <c r="H7774" s="29" t="str">
        <f>IF(A7774="","",VLOOKUP(A7774,AA_Equipos,7,FALSE))</f>
        <v/>
      </c>
      <c r="I7774" s="394" t="str">
        <f>IF(A7774="","",VLOOKUP(A7774,AA_Equipos,8,FALSE))</f>
        <v/>
      </c>
      <c r="J7774" s="273"/>
      <c r="K7774" s="401"/>
      <c r="L7774" s="273"/>
      <c r="M7774" s="394" t="str">
        <f t="shared" si="1059"/>
        <v/>
      </c>
      <c r="N7774" s="273"/>
    </row>
    <row r="7775" spans="1:14" ht="12.75" customHeight="1" x14ac:dyDescent="0.2">
      <c r="A7775" s="400"/>
      <c r="B7775" s="271"/>
      <c r="C7775" s="271"/>
      <c r="D7775" s="271"/>
      <c r="E7775" s="271"/>
      <c r="F7775" s="271"/>
      <c r="G7775" s="273"/>
      <c r="H7775" s="29" t="str">
        <f>IF(A7775="","",VLOOKUP(A7775,AA_Equipos,7,FALSE))</f>
        <v/>
      </c>
      <c r="I7775" s="394" t="str">
        <f>IF(A7775="","",VLOOKUP(A7775,AA_Equipos,8,FALSE))</f>
        <v/>
      </c>
      <c r="J7775" s="273"/>
      <c r="K7775" s="395"/>
      <c r="L7775" s="273"/>
      <c r="M7775" s="394" t="str">
        <f t="shared" si="1059"/>
        <v/>
      </c>
      <c r="N7775" s="273"/>
    </row>
    <row r="7776" spans="1:14" ht="12.75" customHeight="1" x14ac:dyDescent="0.2">
      <c r="A7776" s="400"/>
      <c r="B7776" s="271"/>
      <c r="C7776" s="271"/>
      <c r="D7776" s="271"/>
      <c r="E7776" s="271"/>
      <c r="F7776" s="271"/>
      <c r="G7776" s="273"/>
      <c r="H7776" s="29" t="str">
        <f>IF(A7776="","",VLOOKUP(A7776,AA_Equipos,7,FALSE))</f>
        <v/>
      </c>
      <c r="I7776" s="394" t="str">
        <f>IF(A7776="","",VLOOKUP(A7776,AA_Equipos,8,FALSE))</f>
        <v/>
      </c>
      <c r="J7776" s="273"/>
      <c r="K7776" s="395"/>
      <c r="L7776" s="273"/>
      <c r="M7776" s="394" t="str">
        <f t="shared" si="1059"/>
        <v/>
      </c>
      <c r="N7776" s="273"/>
    </row>
    <row r="7777" spans="1:14" ht="12.75" customHeight="1" x14ac:dyDescent="0.25">
      <c r="A7777" s="4"/>
      <c r="B7777" s="4"/>
      <c r="C7777" s="4"/>
      <c r="D7777" s="4"/>
      <c r="E7777" s="4"/>
      <c r="F7777" s="4"/>
      <c r="G7777" s="4"/>
      <c r="H7777" s="4"/>
      <c r="I7777" s="4"/>
      <c r="J7777" s="4"/>
      <c r="K7777" s="396" t="s">
        <v>444</v>
      </c>
      <c r="L7777" s="273"/>
      <c r="M7777" s="394">
        <f>SUM(M7772:N7776)</f>
        <v>0</v>
      </c>
      <c r="N7777" s="273"/>
    </row>
    <row r="7778" spans="1:14" ht="12.75" customHeight="1" x14ac:dyDescent="0.25">
      <c r="A7778" s="4"/>
      <c r="B7778" s="4"/>
      <c r="C7778" s="4"/>
      <c r="D7778" s="4"/>
      <c r="E7778" s="4"/>
      <c r="F7778" s="4"/>
      <c r="G7778" s="4"/>
      <c r="H7778" s="4"/>
      <c r="I7778" s="4"/>
      <c r="J7778" s="4"/>
      <c r="K7778" s="4"/>
      <c r="L7778" s="4"/>
      <c r="M7778" s="4"/>
      <c r="N7778" s="4"/>
    </row>
    <row r="7779" spans="1:14" ht="12.75" customHeight="1" x14ac:dyDescent="0.2">
      <c r="A7779" s="398" t="s">
        <v>929</v>
      </c>
      <c r="B7779" s="271"/>
      <c r="C7779" s="271"/>
      <c r="D7779" s="271"/>
      <c r="E7779" s="271"/>
      <c r="F7779" s="271"/>
      <c r="G7779" s="271"/>
      <c r="H7779" s="271"/>
      <c r="I7779" s="271"/>
      <c r="J7779" s="271"/>
      <c r="K7779" s="271"/>
      <c r="L7779" s="271"/>
      <c r="M7779" s="271"/>
      <c r="N7779" s="273"/>
    </row>
    <row r="7780" spans="1:14" ht="12.75" customHeight="1" x14ac:dyDescent="0.2">
      <c r="A7780" s="396" t="s">
        <v>76</v>
      </c>
      <c r="B7780" s="271"/>
      <c r="C7780" s="271"/>
      <c r="D7780" s="271"/>
      <c r="E7780" s="271"/>
      <c r="F7780" s="271"/>
      <c r="G7780" s="273"/>
      <c r="H7780" s="88" t="s">
        <v>77</v>
      </c>
      <c r="I7780" s="399" t="s">
        <v>920</v>
      </c>
      <c r="J7780" s="273"/>
      <c r="K7780" s="399" t="s">
        <v>453</v>
      </c>
      <c r="L7780" s="273"/>
      <c r="M7780" s="399" t="s">
        <v>921</v>
      </c>
      <c r="N7780" s="273"/>
    </row>
    <row r="7781" spans="1:14" ht="12.75" customHeight="1" x14ac:dyDescent="0.2">
      <c r="A7781" s="400"/>
      <c r="B7781" s="271"/>
      <c r="C7781" s="271"/>
      <c r="D7781" s="271"/>
      <c r="E7781" s="271"/>
      <c r="F7781" s="271"/>
      <c r="G7781" s="273"/>
      <c r="H7781" s="29"/>
      <c r="I7781" s="394"/>
      <c r="J7781" s="273"/>
      <c r="K7781" s="404"/>
      <c r="L7781" s="273"/>
      <c r="M7781" s="394" t="str">
        <f t="shared" ref="M7781:M7785" si="1060">IF(A7781="","",I7781*K7781)</f>
        <v/>
      </c>
      <c r="N7781" s="273"/>
    </row>
    <row r="7782" spans="1:14" ht="12.75" customHeight="1" x14ac:dyDescent="0.2">
      <c r="A7782" s="403"/>
      <c r="B7782" s="271"/>
      <c r="C7782" s="271"/>
      <c r="D7782" s="271"/>
      <c r="E7782" s="271"/>
      <c r="F7782" s="271"/>
      <c r="G7782" s="273"/>
      <c r="H7782" s="29"/>
      <c r="I7782" s="394"/>
      <c r="J7782" s="273"/>
      <c r="K7782" s="408"/>
      <c r="L7782" s="273"/>
      <c r="M7782" s="394" t="str">
        <f t="shared" si="1060"/>
        <v/>
      </c>
      <c r="N7782" s="273"/>
    </row>
    <row r="7783" spans="1:14" ht="12.75" customHeight="1" x14ac:dyDescent="0.2">
      <c r="A7783" s="400"/>
      <c r="B7783" s="271"/>
      <c r="C7783" s="271"/>
      <c r="D7783" s="271"/>
      <c r="E7783" s="271"/>
      <c r="F7783" s="271"/>
      <c r="G7783" s="273"/>
      <c r="H7783" s="29"/>
      <c r="I7783" s="394"/>
      <c r="J7783" s="273"/>
      <c r="K7783" s="395"/>
      <c r="L7783" s="273"/>
      <c r="M7783" s="394" t="str">
        <f t="shared" si="1060"/>
        <v/>
      </c>
      <c r="N7783" s="273"/>
    </row>
    <row r="7784" spans="1:14" ht="12.75" customHeight="1" x14ac:dyDescent="0.2">
      <c r="A7784" s="400"/>
      <c r="B7784" s="271"/>
      <c r="C7784" s="271"/>
      <c r="D7784" s="271"/>
      <c r="E7784" s="271"/>
      <c r="F7784" s="271"/>
      <c r="G7784" s="273"/>
      <c r="H7784" s="29"/>
      <c r="I7784" s="394"/>
      <c r="J7784" s="273"/>
      <c r="K7784" s="395"/>
      <c r="L7784" s="273"/>
      <c r="M7784" s="394" t="str">
        <f t="shared" si="1060"/>
        <v/>
      </c>
      <c r="N7784" s="273"/>
    </row>
    <row r="7785" spans="1:14" ht="12.75" customHeight="1" x14ac:dyDescent="0.2">
      <c r="A7785" s="400"/>
      <c r="B7785" s="271"/>
      <c r="C7785" s="271"/>
      <c r="D7785" s="271"/>
      <c r="E7785" s="271"/>
      <c r="F7785" s="271"/>
      <c r="G7785" s="273"/>
      <c r="H7785" s="29"/>
      <c r="I7785" s="394"/>
      <c r="J7785" s="273"/>
      <c r="K7785" s="395"/>
      <c r="L7785" s="273"/>
      <c r="M7785" s="394" t="str">
        <f t="shared" si="1060"/>
        <v/>
      </c>
      <c r="N7785" s="273"/>
    </row>
    <row r="7786" spans="1:14" ht="12.75" customHeight="1" x14ac:dyDescent="0.25">
      <c r="A7786" s="4"/>
      <c r="B7786" s="4"/>
      <c r="C7786" s="4"/>
      <c r="D7786" s="4"/>
      <c r="E7786" s="4"/>
      <c r="F7786" s="4"/>
      <c r="G7786" s="4"/>
      <c r="H7786" s="4"/>
      <c r="I7786" s="4"/>
      <c r="J7786" s="4"/>
      <c r="K7786" s="396" t="s">
        <v>444</v>
      </c>
      <c r="L7786" s="273"/>
      <c r="M7786" s="394">
        <f>SUM(M7781:N7785)</f>
        <v>0</v>
      </c>
      <c r="N7786" s="273"/>
    </row>
    <row r="7787" spans="1:14" ht="12.75" customHeight="1" x14ac:dyDescent="0.25">
      <c r="A7787" s="4"/>
      <c r="B7787" s="4"/>
      <c r="C7787" s="4"/>
      <c r="D7787" s="4"/>
      <c r="E7787" s="4"/>
      <c r="F7787" s="4"/>
      <c r="G7787" s="4"/>
      <c r="H7787" s="4"/>
      <c r="I7787" s="4"/>
      <c r="J7787" s="4"/>
      <c r="K7787" s="4"/>
      <c r="L7787" s="4"/>
      <c r="M7787" s="4"/>
      <c r="N7787" s="4"/>
    </row>
    <row r="7788" spans="1:14" ht="12.75" customHeight="1" x14ac:dyDescent="0.2">
      <c r="A7788" s="398" t="s">
        <v>931</v>
      </c>
      <c r="B7788" s="271"/>
      <c r="C7788" s="271"/>
      <c r="D7788" s="271"/>
      <c r="E7788" s="271"/>
      <c r="F7788" s="271"/>
      <c r="G7788" s="271"/>
      <c r="H7788" s="271"/>
      <c r="I7788" s="271"/>
      <c r="J7788" s="271"/>
      <c r="K7788" s="271"/>
      <c r="L7788" s="271"/>
      <c r="M7788" s="271"/>
      <c r="N7788" s="273"/>
    </row>
    <row r="7789" spans="1:14" ht="12.75" customHeight="1" x14ac:dyDescent="0.2">
      <c r="A7789" s="396" t="s">
        <v>76</v>
      </c>
      <c r="B7789" s="271"/>
      <c r="C7789" s="271"/>
      <c r="D7789" s="271"/>
      <c r="E7789" s="271"/>
      <c r="F7789" s="271"/>
      <c r="G7789" s="273"/>
      <c r="H7789" s="88" t="s">
        <v>77</v>
      </c>
      <c r="I7789" s="399" t="s">
        <v>920</v>
      </c>
      <c r="J7789" s="273"/>
      <c r="K7789" s="90" t="s">
        <v>514</v>
      </c>
      <c r="L7789" s="91" t="s">
        <v>932</v>
      </c>
      <c r="M7789" s="399" t="s">
        <v>921</v>
      </c>
      <c r="N7789" s="273"/>
    </row>
    <row r="7790" spans="1:14" ht="12.75" customHeight="1" x14ac:dyDescent="0.25">
      <c r="A7790" s="393"/>
      <c r="B7790" s="271"/>
      <c r="C7790" s="271"/>
      <c r="D7790" s="271"/>
      <c r="E7790" s="271"/>
      <c r="F7790" s="271"/>
      <c r="G7790" s="273"/>
      <c r="H7790" s="29" t="str">
        <f>IF(A7790="","",VLOOKUP(A7790,AA_Cuadrillas,4,FALSE))</f>
        <v/>
      </c>
      <c r="I7790" s="394" t="str">
        <f>IF(A7790="","",VLOOKUP(A7790,AA_Cuadrillas,5,FALSE))</f>
        <v/>
      </c>
      <c r="J7790" s="273"/>
      <c r="K7790" s="9" t="str">
        <f>IF(A7790="","",F.P!$I$2)</f>
        <v/>
      </c>
      <c r="L7790" s="93"/>
      <c r="M7790" s="394" t="str">
        <f t="shared" ref="M7790:M7794" si="1061">IF(A7790="","",I7790*K7790*L7790)</f>
        <v/>
      </c>
      <c r="N7790" s="273"/>
    </row>
    <row r="7791" spans="1:14" ht="12.75" customHeight="1" x14ac:dyDescent="0.25">
      <c r="A7791" s="393"/>
      <c r="B7791" s="271"/>
      <c r="C7791" s="271"/>
      <c r="D7791" s="271"/>
      <c r="E7791" s="271"/>
      <c r="F7791" s="271"/>
      <c r="G7791" s="273"/>
      <c r="H7791" s="29" t="str">
        <f>IF(A7791="","",VLOOKUP(A7791,AA_Cuadrillas,4,FALSE))</f>
        <v/>
      </c>
      <c r="I7791" s="394" t="str">
        <f>IF(A7791="","",VLOOKUP(A7791,AA_Cuadrillas,5,FALSE))</f>
        <v/>
      </c>
      <c r="J7791" s="273"/>
      <c r="K7791" s="9" t="str">
        <f>IF(A7791="","",F.P!$I$2)</f>
        <v/>
      </c>
      <c r="L7791" s="9"/>
      <c r="M7791" s="394" t="str">
        <f t="shared" si="1061"/>
        <v/>
      </c>
      <c r="N7791" s="273"/>
    </row>
    <row r="7792" spans="1:14" ht="12.75" customHeight="1" x14ac:dyDescent="0.25">
      <c r="A7792" s="393"/>
      <c r="B7792" s="271"/>
      <c r="C7792" s="271"/>
      <c r="D7792" s="271"/>
      <c r="E7792" s="271"/>
      <c r="F7792" s="271"/>
      <c r="G7792" s="273"/>
      <c r="H7792" s="29" t="str">
        <f>IF(A7792="","",VLOOKUP(A7792,AA_Cuadrillas,4,FALSE))</f>
        <v/>
      </c>
      <c r="I7792" s="394" t="str">
        <f>IF(A7792="","",VLOOKUP(A7792,AA_Cuadrillas,5,FALSE))</f>
        <v/>
      </c>
      <c r="J7792" s="273"/>
      <c r="K7792" s="9" t="str">
        <f>IF(A7792="","",F.P!$I$2)</f>
        <v/>
      </c>
      <c r="L7792" s="37"/>
      <c r="M7792" s="394" t="str">
        <f t="shared" si="1061"/>
        <v/>
      </c>
      <c r="N7792" s="273"/>
    </row>
    <row r="7793" spans="1:15" ht="12.75" customHeight="1" x14ac:dyDescent="0.25">
      <c r="A7793" s="393"/>
      <c r="B7793" s="271"/>
      <c r="C7793" s="271"/>
      <c r="D7793" s="271"/>
      <c r="E7793" s="271"/>
      <c r="F7793" s="271"/>
      <c r="G7793" s="273"/>
      <c r="H7793" s="29" t="str">
        <f>IF(A7793="","",VLOOKUP(A7793,AA_Cuadrillas,4,FALSE))</f>
        <v/>
      </c>
      <c r="I7793" s="394" t="str">
        <f>IF(A7793="","",VLOOKUP(A7793,AA_Cuadrillas,5,FALSE))</f>
        <v/>
      </c>
      <c r="J7793" s="273"/>
      <c r="K7793" s="9" t="str">
        <f>IF(A7793="","",F.P!$I$2)</f>
        <v/>
      </c>
      <c r="L7793" s="37"/>
      <c r="M7793" s="394" t="str">
        <f t="shared" si="1061"/>
        <v/>
      </c>
      <c r="N7793" s="273"/>
    </row>
    <row r="7794" spans="1:15" ht="12.75" customHeight="1" x14ac:dyDescent="0.25">
      <c r="A7794" s="393"/>
      <c r="B7794" s="271"/>
      <c r="C7794" s="271"/>
      <c r="D7794" s="271"/>
      <c r="E7794" s="271"/>
      <c r="F7794" s="271"/>
      <c r="G7794" s="273"/>
      <c r="H7794" s="29" t="str">
        <f>IF(A7794="","",VLOOKUP(A7794,AA_Cuadrillas,4,FALSE))</f>
        <v/>
      </c>
      <c r="I7794" s="394" t="str">
        <f>IF(A7794="","",VLOOKUP(A7794,AA_Cuadrillas,5,FALSE))</f>
        <v/>
      </c>
      <c r="J7794" s="273"/>
      <c r="K7794" s="9" t="str">
        <f>IF(A7794="","",F.P!$I$2)</f>
        <v/>
      </c>
      <c r="L7794" s="37"/>
      <c r="M7794" s="394" t="str">
        <f t="shared" si="1061"/>
        <v/>
      </c>
      <c r="N7794" s="273"/>
    </row>
    <row r="7795" spans="1:15" ht="12.75" customHeight="1" x14ac:dyDescent="0.25">
      <c r="A7795" s="4"/>
      <c r="B7795" s="4"/>
      <c r="C7795" s="4"/>
      <c r="D7795" s="4"/>
      <c r="E7795" s="4"/>
      <c r="F7795" s="4"/>
      <c r="G7795" s="4"/>
      <c r="H7795" s="4"/>
      <c r="I7795" s="4"/>
      <c r="J7795" s="4"/>
      <c r="K7795" s="396" t="s">
        <v>444</v>
      </c>
      <c r="L7795" s="273"/>
      <c r="M7795" s="394">
        <f>SUM(M7790:N7794)</f>
        <v>0</v>
      </c>
      <c r="N7795" s="273"/>
    </row>
    <row r="7796" spans="1:15" ht="12.75" customHeight="1" x14ac:dyDescent="0.2"/>
    <row r="7797" spans="1:15" ht="12.75" customHeight="1" x14ac:dyDescent="0.2">
      <c r="A7797" s="407" t="s">
        <v>1343</v>
      </c>
      <c r="B7797" s="275"/>
      <c r="C7797" s="275"/>
      <c r="D7797" s="275"/>
      <c r="E7797" s="275"/>
      <c r="F7797" s="275"/>
      <c r="G7797" s="275"/>
      <c r="H7797" s="275"/>
      <c r="I7797" s="275"/>
      <c r="J7797" s="275"/>
      <c r="K7797" s="275"/>
      <c r="L7797" s="275"/>
      <c r="M7797" s="275"/>
      <c r="N7797" s="276"/>
    </row>
    <row r="7798" spans="1:15" ht="12.75" customHeight="1" x14ac:dyDescent="0.2">
      <c r="A7798" s="277"/>
      <c r="B7798" s="278"/>
      <c r="C7798" s="278"/>
      <c r="D7798" s="278"/>
      <c r="E7798" s="278"/>
      <c r="F7798" s="278"/>
      <c r="G7798" s="278"/>
      <c r="H7798" s="278"/>
      <c r="I7798" s="278"/>
      <c r="J7798" s="278"/>
      <c r="K7798" s="278"/>
      <c r="L7798" s="278"/>
      <c r="M7798" s="278"/>
      <c r="N7798" s="279"/>
    </row>
    <row r="7799" spans="1:15" ht="12.75" customHeight="1" x14ac:dyDescent="0.2">
      <c r="A7799" s="75"/>
      <c r="B7799" s="75"/>
      <c r="C7799" s="75"/>
      <c r="D7799" s="75"/>
      <c r="E7799" s="75"/>
      <c r="F7799" s="75"/>
      <c r="G7799" s="75"/>
      <c r="H7799" s="75"/>
      <c r="I7799" s="75"/>
      <c r="J7799" s="75"/>
      <c r="K7799" s="75"/>
      <c r="L7799" s="75"/>
      <c r="M7799" s="75"/>
      <c r="N7799" s="75"/>
    </row>
    <row r="7800" spans="1:15" ht="12.75" customHeight="1" x14ac:dyDescent="0.3">
      <c r="A7800" s="79" t="s">
        <v>793</v>
      </c>
      <c r="B7800" s="80" t="str">
        <f>A7797</f>
        <v>SUMINISTRO E INSTALACIÓN DE NIPLE PASAMURO EBxEB DE Ø3" L=0,31 M EN HIERRO DUCTIL</v>
      </c>
      <c r="C7800" s="81" t="s">
        <v>916</v>
      </c>
      <c r="D7800" s="82" t="s">
        <v>999</v>
      </c>
      <c r="E7800" s="83" t="s">
        <v>445</v>
      </c>
      <c r="F7800" s="240">
        <f>H7800+J7800+L7800+N7800</f>
        <v>219610.55550000002</v>
      </c>
      <c r="G7800" s="83" t="s">
        <v>607</v>
      </c>
      <c r="H7800" s="86">
        <f>M7810</f>
        <v>121374.3</v>
      </c>
      <c r="I7800" s="83" t="s">
        <v>918</v>
      </c>
      <c r="J7800" s="86">
        <f>M7819</f>
        <v>4388.9305000000004</v>
      </c>
      <c r="K7800" s="83" t="s">
        <v>609</v>
      </c>
      <c r="L7800" s="86">
        <f>M7828</f>
        <v>6068.7150000000001</v>
      </c>
      <c r="M7800" s="83" t="s">
        <v>610</v>
      </c>
      <c r="N7800" s="86">
        <f>M7837</f>
        <v>87778.61</v>
      </c>
      <c r="O7800" t="s">
        <v>3222</v>
      </c>
    </row>
    <row r="7801" spans="1:15" ht="12.75" customHeight="1" x14ac:dyDescent="0.25">
      <c r="A7801" s="87"/>
      <c r="B7801" s="87"/>
      <c r="C7801" s="87"/>
      <c r="D7801" s="87"/>
      <c r="E7801" s="87"/>
      <c r="F7801" s="87"/>
      <c r="G7801" s="87"/>
      <c r="J7801" s="87"/>
      <c r="K7801" s="215" t="s">
        <v>3217</v>
      </c>
      <c r="L7801" s="215">
        <f>+F7800*presup!$O$5</f>
        <v>285493.72215000005</v>
      </c>
      <c r="M7801" s="87"/>
      <c r="N7801" s="87"/>
    </row>
    <row r="7802" spans="1:15" ht="12.75" customHeight="1" x14ac:dyDescent="0.2">
      <c r="A7802" s="398" t="s">
        <v>919</v>
      </c>
      <c r="B7802" s="271"/>
      <c r="C7802" s="271"/>
      <c r="D7802" s="271"/>
      <c r="E7802" s="271"/>
      <c r="F7802" s="271"/>
      <c r="G7802" s="271"/>
      <c r="H7802" s="271"/>
      <c r="I7802" s="271"/>
      <c r="J7802" s="271"/>
      <c r="K7802" s="271"/>
      <c r="L7802" s="271"/>
      <c r="M7802" s="271"/>
      <c r="N7802" s="273"/>
    </row>
    <row r="7803" spans="1:15" ht="12.75" customHeight="1" x14ac:dyDescent="0.2">
      <c r="A7803" s="396" t="s">
        <v>76</v>
      </c>
      <c r="B7803" s="271"/>
      <c r="C7803" s="271"/>
      <c r="D7803" s="271"/>
      <c r="E7803" s="271"/>
      <c r="F7803" s="271"/>
      <c r="G7803" s="273"/>
      <c r="H7803" s="88" t="s">
        <v>77</v>
      </c>
      <c r="I7803" s="399" t="s">
        <v>920</v>
      </c>
      <c r="J7803" s="273"/>
      <c r="K7803" s="399" t="s">
        <v>453</v>
      </c>
      <c r="L7803" s="273"/>
      <c r="M7803" s="399" t="s">
        <v>921</v>
      </c>
      <c r="N7803" s="273"/>
    </row>
    <row r="7804" spans="1:15" ht="12.75" customHeight="1" x14ac:dyDescent="0.2">
      <c r="A7804" s="403" t="s">
        <v>1126</v>
      </c>
      <c r="B7804" s="271"/>
      <c r="C7804" s="271"/>
      <c r="D7804" s="271"/>
      <c r="E7804" s="271"/>
      <c r="F7804" s="271"/>
      <c r="G7804" s="273"/>
      <c r="H7804" s="29" t="str">
        <f t="shared" ref="H7804:H7809" si="1062">IF(A7804="","",VLOOKUP(A7804,AA_Materiales,7,FALSE))</f>
        <v>Unidad</v>
      </c>
      <c r="I7804" s="394">
        <f t="shared" ref="I7804:I7809" si="1063">IF(A7804="","",VLOOKUP(A7804,AA_Materiales,8,FALSE))</f>
        <v>391530</v>
      </c>
      <c r="J7804" s="273"/>
      <c r="K7804" s="395">
        <v>0.31</v>
      </c>
      <c r="L7804" s="273"/>
      <c r="M7804" s="394">
        <f t="shared" ref="M7804:M7809" si="1064">IF(A7804="","",I7804*K7804)</f>
        <v>121374.3</v>
      </c>
      <c r="N7804" s="273"/>
    </row>
    <row r="7805" spans="1:15" ht="12.75" customHeight="1" x14ac:dyDescent="0.2">
      <c r="A7805" s="403"/>
      <c r="B7805" s="271"/>
      <c r="C7805" s="271"/>
      <c r="D7805" s="271"/>
      <c r="E7805" s="271"/>
      <c r="F7805" s="271"/>
      <c r="G7805" s="273"/>
      <c r="H7805" s="29" t="str">
        <f t="shared" si="1062"/>
        <v/>
      </c>
      <c r="I7805" s="394" t="str">
        <f t="shared" si="1063"/>
        <v/>
      </c>
      <c r="J7805" s="273"/>
      <c r="K7805" s="395"/>
      <c r="L7805" s="273"/>
      <c r="M7805" s="394" t="str">
        <f t="shared" si="1064"/>
        <v/>
      </c>
      <c r="N7805" s="273"/>
    </row>
    <row r="7806" spans="1:15" ht="12.75" customHeight="1" x14ac:dyDescent="0.2">
      <c r="A7806" s="403"/>
      <c r="B7806" s="271"/>
      <c r="C7806" s="271"/>
      <c r="D7806" s="271"/>
      <c r="E7806" s="271"/>
      <c r="F7806" s="271"/>
      <c r="G7806" s="273"/>
      <c r="H7806" s="29" t="str">
        <f t="shared" si="1062"/>
        <v/>
      </c>
      <c r="I7806" s="394" t="str">
        <f t="shared" si="1063"/>
        <v/>
      </c>
      <c r="J7806" s="273"/>
      <c r="K7806" s="395"/>
      <c r="L7806" s="273"/>
      <c r="M7806" s="394" t="str">
        <f t="shared" si="1064"/>
        <v/>
      </c>
      <c r="N7806" s="273"/>
    </row>
    <row r="7807" spans="1:15" ht="12.75" customHeight="1" x14ac:dyDescent="0.2">
      <c r="A7807" s="403"/>
      <c r="B7807" s="271"/>
      <c r="C7807" s="271"/>
      <c r="D7807" s="271"/>
      <c r="E7807" s="271"/>
      <c r="F7807" s="271"/>
      <c r="G7807" s="273"/>
      <c r="H7807" s="29" t="str">
        <f t="shared" si="1062"/>
        <v/>
      </c>
      <c r="I7807" s="394" t="str">
        <f t="shared" si="1063"/>
        <v/>
      </c>
      <c r="J7807" s="273"/>
      <c r="K7807" s="395"/>
      <c r="L7807" s="273"/>
      <c r="M7807" s="394" t="str">
        <f t="shared" si="1064"/>
        <v/>
      </c>
      <c r="N7807" s="273"/>
    </row>
    <row r="7808" spans="1:15" ht="12.75" customHeight="1" x14ac:dyDescent="0.2">
      <c r="A7808" s="403"/>
      <c r="B7808" s="271"/>
      <c r="C7808" s="271"/>
      <c r="D7808" s="271"/>
      <c r="E7808" s="271"/>
      <c r="F7808" s="271"/>
      <c r="G7808" s="273"/>
      <c r="H7808" s="29" t="str">
        <f t="shared" si="1062"/>
        <v/>
      </c>
      <c r="I7808" s="394" t="str">
        <f t="shared" si="1063"/>
        <v/>
      </c>
      <c r="J7808" s="273"/>
      <c r="K7808" s="395"/>
      <c r="L7808" s="273"/>
      <c r="M7808" s="394" t="str">
        <f t="shared" si="1064"/>
        <v/>
      </c>
      <c r="N7808" s="273"/>
    </row>
    <row r="7809" spans="1:14" ht="12.75" customHeight="1" x14ac:dyDescent="0.2">
      <c r="A7809" s="403"/>
      <c r="B7809" s="271"/>
      <c r="C7809" s="271"/>
      <c r="D7809" s="271"/>
      <c r="E7809" s="271"/>
      <c r="F7809" s="271"/>
      <c r="G7809" s="273"/>
      <c r="H7809" s="29" t="str">
        <f t="shared" si="1062"/>
        <v/>
      </c>
      <c r="I7809" s="394" t="str">
        <f t="shared" si="1063"/>
        <v/>
      </c>
      <c r="J7809" s="273"/>
      <c r="K7809" s="395"/>
      <c r="L7809" s="273"/>
      <c r="M7809" s="394" t="str">
        <f t="shared" si="1064"/>
        <v/>
      </c>
      <c r="N7809" s="273"/>
    </row>
    <row r="7810" spans="1:14" ht="12.75" customHeight="1" x14ac:dyDescent="0.25">
      <c r="A7810" s="4"/>
      <c r="B7810" s="4"/>
      <c r="C7810" s="4"/>
      <c r="D7810" s="4"/>
      <c r="E7810" s="4"/>
      <c r="F7810" s="4"/>
      <c r="G7810" s="4"/>
      <c r="H7810" s="4"/>
      <c r="I7810" s="4"/>
      <c r="J7810" s="4"/>
      <c r="K7810" s="396" t="s">
        <v>444</v>
      </c>
      <c r="L7810" s="273"/>
      <c r="M7810" s="394">
        <f>SUM(M7804:N7809)</f>
        <v>121374.3</v>
      </c>
      <c r="N7810" s="273"/>
    </row>
    <row r="7811" spans="1:14" ht="12.75" customHeight="1" x14ac:dyDescent="0.25">
      <c r="A7811" s="4"/>
      <c r="B7811" s="4"/>
      <c r="C7811" s="4"/>
      <c r="D7811" s="4"/>
      <c r="E7811" s="4"/>
      <c r="F7811" s="4"/>
      <c r="G7811" s="4"/>
      <c r="H7811" s="4"/>
      <c r="I7811" s="4"/>
      <c r="J7811" s="4"/>
      <c r="K7811" s="4"/>
      <c r="L7811" s="4"/>
      <c r="M7811" s="4"/>
      <c r="N7811" s="4"/>
    </row>
    <row r="7812" spans="1:14" ht="12.75" customHeight="1" x14ac:dyDescent="0.2">
      <c r="A7812" s="398" t="s">
        <v>926</v>
      </c>
      <c r="B7812" s="271"/>
      <c r="C7812" s="271"/>
      <c r="D7812" s="271"/>
      <c r="E7812" s="271"/>
      <c r="F7812" s="271"/>
      <c r="G7812" s="271"/>
      <c r="H7812" s="271"/>
      <c r="I7812" s="271"/>
      <c r="J7812" s="271"/>
      <c r="K7812" s="271"/>
      <c r="L7812" s="271"/>
      <c r="M7812" s="271"/>
      <c r="N7812" s="273"/>
    </row>
    <row r="7813" spans="1:14" ht="12.75" customHeight="1" x14ac:dyDescent="0.2">
      <c r="A7813" s="396" t="s">
        <v>76</v>
      </c>
      <c r="B7813" s="271"/>
      <c r="C7813" s="271"/>
      <c r="D7813" s="271"/>
      <c r="E7813" s="271"/>
      <c r="F7813" s="271"/>
      <c r="G7813" s="273"/>
      <c r="H7813" s="88" t="s">
        <v>77</v>
      </c>
      <c r="I7813" s="399" t="s">
        <v>920</v>
      </c>
      <c r="J7813" s="273"/>
      <c r="K7813" s="399" t="s">
        <v>453</v>
      </c>
      <c r="L7813" s="273"/>
      <c r="M7813" s="399" t="s">
        <v>921</v>
      </c>
      <c r="N7813" s="273"/>
    </row>
    <row r="7814" spans="1:14" ht="12.75" customHeight="1" x14ac:dyDescent="0.2">
      <c r="A7814" s="400" t="s">
        <v>927</v>
      </c>
      <c r="B7814" s="271"/>
      <c r="C7814" s="271"/>
      <c r="D7814" s="271"/>
      <c r="E7814" s="271"/>
      <c r="F7814" s="271"/>
      <c r="G7814" s="273"/>
      <c r="H7814" s="29" t="str">
        <f>IF(A7814="","",VLOOKUP(A7814,AA_Equipos,7,FALSE))</f>
        <v>% M.O.</v>
      </c>
      <c r="I7814" s="394">
        <f>+M7837</f>
        <v>87778.61</v>
      </c>
      <c r="J7814" s="273"/>
      <c r="K7814" s="404">
        <v>0.05</v>
      </c>
      <c r="L7814" s="273"/>
      <c r="M7814" s="394">
        <f t="shared" ref="M7814:M7818" si="1065">IF(A7814="","",I7814*K7814)</f>
        <v>4388.9305000000004</v>
      </c>
      <c r="N7814" s="273"/>
    </row>
    <row r="7815" spans="1:14" ht="12.75" customHeight="1" x14ac:dyDescent="0.2">
      <c r="A7815" s="403"/>
      <c r="B7815" s="271"/>
      <c r="C7815" s="271"/>
      <c r="D7815" s="271"/>
      <c r="E7815" s="271"/>
      <c r="F7815" s="271"/>
      <c r="G7815" s="273"/>
      <c r="H7815" s="29" t="str">
        <f>IF(A7815="","",VLOOKUP(A7815,AA_Equipos,7,FALSE))</f>
        <v/>
      </c>
      <c r="I7815" s="394" t="str">
        <f>IF(A7815="","",VLOOKUP(A7815,AA_Equipos,8,FALSE))</f>
        <v/>
      </c>
      <c r="J7815" s="273"/>
      <c r="K7815" s="402"/>
      <c r="L7815" s="273"/>
      <c r="M7815" s="394" t="str">
        <f t="shared" si="1065"/>
        <v/>
      </c>
      <c r="N7815" s="273"/>
    </row>
    <row r="7816" spans="1:14" ht="12.75" customHeight="1" x14ac:dyDescent="0.2">
      <c r="A7816" s="400"/>
      <c r="B7816" s="271"/>
      <c r="C7816" s="271"/>
      <c r="D7816" s="271"/>
      <c r="E7816" s="271"/>
      <c r="F7816" s="271"/>
      <c r="G7816" s="273"/>
      <c r="H7816" s="29" t="str">
        <f>IF(A7816="","",VLOOKUP(A7816,AA_Equipos,7,FALSE))</f>
        <v/>
      </c>
      <c r="I7816" s="394" t="str">
        <f>IF(A7816="","",VLOOKUP(A7816,AA_Equipos,8,FALSE))</f>
        <v/>
      </c>
      <c r="J7816" s="273"/>
      <c r="K7816" s="401"/>
      <c r="L7816" s="273"/>
      <c r="M7816" s="394" t="str">
        <f t="shared" si="1065"/>
        <v/>
      </c>
      <c r="N7816" s="273"/>
    </row>
    <row r="7817" spans="1:14" ht="12.75" customHeight="1" x14ac:dyDescent="0.2">
      <c r="A7817" s="400"/>
      <c r="B7817" s="271"/>
      <c r="C7817" s="271"/>
      <c r="D7817" s="271"/>
      <c r="E7817" s="271"/>
      <c r="F7817" s="271"/>
      <c r="G7817" s="273"/>
      <c r="H7817" s="29" t="str">
        <f>IF(A7817="","",VLOOKUP(A7817,AA_Equipos,7,FALSE))</f>
        <v/>
      </c>
      <c r="I7817" s="394" t="str">
        <f>IF(A7817="","",VLOOKUP(A7817,AA_Equipos,8,FALSE))</f>
        <v/>
      </c>
      <c r="J7817" s="273"/>
      <c r="K7817" s="395"/>
      <c r="L7817" s="273"/>
      <c r="M7817" s="394" t="str">
        <f t="shared" si="1065"/>
        <v/>
      </c>
      <c r="N7817" s="273"/>
    </row>
    <row r="7818" spans="1:14" ht="12.75" customHeight="1" x14ac:dyDescent="0.2">
      <c r="A7818" s="400"/>
      <c r="B7818" s="271"/>
      <c r="C7818" s="271"/>
      <c r="D7818" s="271"/>
      <c r="E7818" s="271"/>
      <c r="F7818" s="271"/>
      <c r="G7818" s="273"/>
      <c r="H7818" s="29" t="str">
        <f>IF(A7818="","",VLOOKUP(A7818,AA_Equipos,7,FALSE))</f>
        <v/>
      </c>
      <c r="I7818" s="394" t="str">
        <f>IF(A7818="","",VLOOKUP(A7818,AA_Equipos,8,FALSE))</f>
        <v/>
      </c>
      <c r="J7818" s="273"/>
      <c r="K7818" s="395"/>
      <c r="L7818" s="273"/>
      <c r="M7818" s="394" t="str">
        <f t="shared" si="1065"/>
        <v/>
      </c>
      <c r="N7818" s="273"/>
    </row>
    <row r="7819" spans="1:14" ht="12.75" customHeight="1" x14ac:dyDescent="0.25">
      <c r="A7819" s="4"/>
      <c r="B7819" s="4"/>
      <c r="C7819" s="4"/>
      <c r="D7819" s="4"/>
      <c r="E7819" s="4"/>
      <c r="F7819" s="4"/>
      <c r="G7819" s="4"/>
      <c r="H7819" s="4"/>
      <c r="I7819" s="4"/>
      <c r="J7819" s="4"/>
      <c r="K7819" s="396" t="s">
        <v>444</v>
      </c>
      <c r="L7819" s="273"/>
      <c r="M7819" s="394">
        <f>SUM(M7814:N7818)</f>
        <v>4388.9305000000004</v>
      </c>
      <c r="N7819" s="273"/>
    </row>
    <row r="7820" spans="1:14" ht="12.75" customHeight="1" x14ac:dyDescent="0.25">
      <c r="A7820" s="4"/>
      <c r="B7820" s="4"/>
      <c r="C7820" s="4"/>
      <c r="D7820" s="4"/>
      <c r="E7820" s="4"/>
      <c r="F7820" s="4"/>
      <c r="G7820" s="4"/>
      <c r="H7820" s="4"/>
      <c r="I7820" s="4"/>
      <c r="J7820" s="4"/>
      <c r="K7820" s="4"/>
      <c r="L7820" s="4"/>
      <c r="M7820" s="4"/>
      <c r="N7820" s="4"/>
    </row>
    <row r="7821" spans="1:14" ht="12.75" customHeight="1" x14ac:dyDescent="0.2">
      <c r="A7821" s="398" t="s">
        <v>929</v>
      </c>
      <c r="B7821" s="271"/>
      <c r="C7821" s="271"/>
      <c r="D7821" s="271"/>
      <c r="E7821" s="271"/>
      <c r="F7821" s="271"/>
      <c r="G7821" s="271"/>
      <c r="H7821" s="271"/>
      <c r="I7821" s="271"/>
      <c r="J7821" s="271"/>
      <c r="K7821" s="271"/>
      <c r="L7821" s="271"/>
      <c r="M7821" s="271"/>
      <c r="N7821" s="273"/>
    </row>
    <row r="7822" spans="1:14" ht="12.75" customHeight="1" x14ac:dyDescent="0.2">
      <c r="A7822" s="396" t="s">
        <v>76</v>
      </c>
      <c r="B7822" s="271"/>
      <c r="C7822" s="271"/>
      <c r="D7822" s="271"/>
      <c r="E7822" s="271"/>
      <c r="F7822" s="271"/>
      <c r="G7822" s="273"/>
      <c r="H7822" s="88" t="s">
        <v>77</v>
      </c>
      <c r="I7822" s="399" t="s">
        <v>920</v>
      </c>
      <c r="J7822" s="273"/>
      <c r="K7822" s="399" t="s">
        <v>453</v>
      </c>
      <c r="L7822" s="273"/>
      <c r="M7822" s="399" t="s">
        <v>921</v>
      </c>
      <c r="N7822" s="273"/>
    </row>
    <row r="7823" spans="1:14" ht="12.75" customHeight="1" x14ac:dyDescent="0.2">
      <c r="A7823" s="400" t="s">
        <v>966</v>
      </c>
      <c r="B7823" s="271"/>
      <c r="C7823" s="271"/>
      <c r="D7823" s="271"/>
      <c r="E7823" s="271"/>
      <c r="F7823" s="271"/>
      <c r="G7823" s="273"/>
      <c r="H7823" s="29" t="s">
        <v>950</v>
      </c>
      <c r="I7823" s="394">
        <f>+M7810</f>
        <v>121374.3</v>
      </c>
      <c r="J7823" s="273"/>
      <c r="K7823" s="404">
        <v>0.05</v>
      </c>
      <c r="L7823" s="273"/>
      <c r="M7823" s="394">
        <f t="shared" ref="M7823:M7827" si="1066">IF(A7823="","",I7823*K7823)</f>
        <v>6068.7150000000001</v>
      </c>
      <c r="N7823" s="273"/>
    </row>
    <row r="7824" spans="1:14" ht="12.75" customHeight="1" x14ac:dyDescent="0.2">
      <c r="A7824" s="403"/>
      <c r="B7824" s="271"/>
      <c r="C7824" s="271"/>
      <c r="D7824" s="271"/>
      <c r="E7824" s="271"/>
      <c r="F7824" s="271"/>
      <c r="G7824" s="273"/>
      <c r="H7824" s="29"/>
      <c r="I7824" s="394"/>
      <c r="J7824" s="273"/>
      <c r="K7824" s="404"/>
      <c r="L7824" s="273"/>
      <c r="M7824" s="394" t="str">
        <f t="shared" si="1066"/>
        <v/>
      </c>
      <c r="N7824" s="273"/>
    </row>
    <row r="7825" spans="1:14" ht="12.75" customHeight="1" x14ac:dyDescent="0.2">
      <c r="A7825" s="400"/>
      <c r="B7825" s="271"/>
      <c r="C7825" s="271"/>
      <c r="D7825" s="271"/>
      <c r="E7825" s="271"/>
      <c r="F7825" s="271"/>
      <c r="G7825" s="273"/>
      <c r="H7825" s="29"/>
      <c r="I7825" s="394"/>
      <c r="J7825" s="273"/>
      <c r="K7825" s="395"/>
      <c r="L7825" s="273"/>
      <c r="M7825" s="394" t="str">
        <f t="shared" si="1066"/>
        <v/>
      </c>
      <c r="N7825" s="273"/>
    </row>
    <row r="7826" spans="1:14" ht="12.75" customHeight="1" x14ac:dyDescent="0.2">
      <c r="A7826" s="400"/>
      <c r="B7826" s="271"/>
      <c r="C7826" s="271"/>
      <c r="D7826" s="271"/>
      <c r="E7826" s="271"/>
      <c r="F7826" s="271"/>
      <c r="G7826" s="273"/>
      <c r="H7826" s="29"/>
      <c r="I7826" s="394"/>
      <c r="J7826" s="273"/>
      <c r="K7826" s="395"/>
      <c r="L7826" s="273"/>
      <c r="M7826" s="394" t="str">
        <f t="shared" si="1066"/>
        <v/>
      </c>
      <c r="N7826" s="273"/>
    </row>
    <row r="7827" spans="1:14" ht="12.75" customHeight="1" x14ac:dyDescent="0.2">
      <c r="A7827" s="400"/>
      <c r="B7827" s="271"/>
      <c r="C7827" s="271"/>
      <c r="D7827" s="271"/>
      <c r="E7827" s="271"/>
      <c r="F7827" s="271"/>
      <c r="G7827" s="273"/>
      <c r="H7827" s="29"/>
      <c r="I7827" s="394"/>
      <c r="J7827" s="273"/>
      <c r="K7827" s="395"/>
      <c r="L7827" s="273"/>
      <c r="M7827" s="394" t="str">
        <f t="shared" si="1066"/>
        <v/>
      </c>
      <c r="N7827" s="273"/>
    </row>
    <row r="7828" spans="1:14" ht="12.75" customHeight="1" x14ac:dyDescent="0.25">
      <c r="A7828" s="4"/>
      <c r="B7828" s="4"/>
      <c r="C7828" s="4"/>
      <c r="D7828" s="4"/>
      <c r="E7828" s="4"/>
      <c r="F7828" s="4"/>
      <c r="G7828" s="4"/>
      <c r="H7828" s="4"/>
      <c r="I7828" s="4"/>
      <c r="J7828" s="4"/>
      <c r="K7828" s="396" t="s">
        <v>444</v>
      </c>
      <c r="L7828" s="273"/>
      <c r="M7828" s="394">
        <f>SUM(M7823:N7827)</f>
        <v>6068.7150000000001</v>
      </c>
      <c r="N7828" s="273"/>
    </row>
    <row r="7829" spans="1:14" ht="12.75" customHeight="1" x14ac:dyDescent="0.25">
      <c r="A7829" s="4"/>
      <c r="B7829" s="4"/>
      <c r="C7829" s="4"/>
      <c r="D7829" s="4"/>
      <c r="E7829" s="4"/>
      <c r="F7829" s="4"/>
      <c r="G7829" s="4"/>
      <c r="H7829" s="4"/>
      <c r="I7829" s="4"/>
      <c r="J7829" s="4"/>
      <c r="K7829" s="4"/>
      <c r="L7829" s="4"/>
      <c r="M7829" s="4"/>
      <c r="N7829" s="4"/>
    </row>
    <row r="7830" spans="1:14" ht="12.75" customHeight="1" x14ac:dyDescent="0.2">
      <c r="A7830" s="398" t="s">
        <v>931</v>
      </c>
      <c r="B7830" s="271"/>
      <c r="C7830" s="271"/>
      <c r="D7830" s="271"/>
      <c r="E7830" s="271"/>
      <c r="F7830" s="271"/>
      <c r="G7830" s="271"/>
      <c r="H7830" s="271"/>
      <c r="I7830" s="271"/>
      <c r="J7830" s="271"/>
      <c r="K7830" s="271"/>
      <c r="L7830" s="271"/>
      <c r="M7830" s="271"/>
      <c r="N7830" s="273"/>
    </row>
    <row r="7831" spans="1:14" ht="12.75" customHeight="1" x14ac:dyDescent="0.2">
      <c r="A7831" s="396" t="s">
        <v>76</v>
      </c>
      <c r="B7831" s="271"/>
      <c r="C7831" s="271"/>
      <c r="D7831" s="271"/>
      <c r="E7831" s="271"/>
      <c r="F7831" s="271"/>
      <c r="G7831" s="273"/>
      <c r="H7831" s="88" t="s">
        <v>77</v>
      </c>
      <c r="I7831" s="399" t="s">
        <v>920</v>
      </c>
      <c r="J7831" s="273"/>
      <c r="K7831" s="90" t="s">
        <v>514</v>
      </c>
      <c r="L7831" s="91" t="s">
        <v>932</v>
      </c>
      <c r="M7831" s="399" t="s">
        <v>921</v>
      </c>
      <c r="N7831" s="273"/>
    </row>
    <row r="7832" spans="1:14" ht="12.75" customHeight="1" x14ac:dyDescent="0.25">
      <c r="A7832" s="393" t="s">
        <v>986</v>
      </c>
      <c r="B7832" s="271"/>
      <c r="C7832" s="271"/>
      <c r="D7832" s="271"/>
      <c r="E7832" s="271"/>
      <c r="F7832" s="271"/>
      <c r="G7832" s="273"/>
      <c r="H7832" s="29" t="str">
        <f>IF(A7832="","",VLOOKUP(A7832,AA_Cuadrillas,4,FALSE))</f>
        <v>Cuadrilla</v>
      </c>
      <c r="I7832" s="394">
        <f>IF(A7832="","",VLOOKUP(A7832,AA_Cuadrillas,5,FALSE))</f>
        <v>186763</v>
      </c>
      <c r="J7832" s="273"/>
      <c r="K7832" s="9">
        <f>IF(A7832="","",F.P!$I$2)</f>
        <v>1.88</v>
      </c>
      <c r="L7832" s="97">
        <v>0.25</v>
      </c>
      <c r="M7832" s="394">
        <f t="shared" ref="M7832:M7836" si="1067">IF(A7832="","",I7832*K7832*L7832)</f>
        <v>87778.61</v>
      </c>
      <c r="N7832" s="273"/>
    </row>
    <row r="7833" spans="1:14" ht="12.75" customHeight="1" x14ac:dyDescent="0.25">
      <c r="A7833" s="393"/>
      <c r="B7833" s="271"/>
      <c r="C7833" s="271"/>
      <c r="D7833" s="271"/>
      <c r="E7833" s="271"/>
      <c r="F7833" s="271"/>
      <c r="G7833" s="273"/>
      <c r="H7833" s="29" t="str">
        <f>IF(A7833="","",VLOOKUP(A7833,AA_Cuadrillas,4,FALSE))</f>
        <v/>
      </c>
      <c r="I7833" s="394" t="str">
        <f>IF(A7833="","",VLOOKUP(A7833,AA_Cuadrillas,5,FALSE))</f>
        <v/>
      </c>
      <c r="J7833" s="273"/>
      <c r="K7833" s="9" t="str">
        <f>IF(A7833="","",F.P!$I$2)</f>
        <v/>
      </c>
      <c r="L7833" s="9"/>
      <c r="M7833" s="394" t="str">
        <f t="shared" si="1067"/>
        <v/>
      </c>
      <c r="N7833" s="273"/>
    </row>
    <row r="7834" spans="1:14" ht="12.75" customHeight="1" x14ac:dyDescent="0.25">
      <c r="A7834" s="393"/>
      <c r="B7834" s="271"/>
      <c r="C7834" s="271"/>
      <c r="D7834" s="271"/>
      <c r="E7834" s="271"/>
      <c r="F7834" s="271"/>
      <c r="G7834" s="273"/>
      <c r="H7834" s="29" t="str">
        <f>IF(A7834="","",VLOOKUP(A7834,AA_Cuadrillas,4,FALSE))</f>
        <v/>
      </c>
      <c r="I7834" s="394" t="str">
        <f>IF(A7834="","",VLOOKUP(A7834,AA_Cuadrillas,5,FALSE))</f>
        <v/>
      </c>
      <c r="J7834" s="273"/>
      <c r="K7834" s="9" t="str">
        <f>IF(A7834="","",F.P!$I$2)</f>
        <v/>
      </c>
      <c r="L7834" s="37"/>
      <c r="M7834" s="394" t="str">
        <f t="shared" si="1067"/>
        <v/>
      </c>
      <c r="N7834" s="273"/>
    </row>
    <row r="7835" spans="1:14" ht="12.75" customHeight="1" x14ac:dyDescent="0.25">
      <c r="A7835" s="393"/>
      <c r="B7835" s="271"/>
      <c r="C7835" s="271"/>
      <c r="D7835" s="271"/>
      <c r="E7835" s="271"/>
      <c r="F7835" s="271"/>
      <c r="G7835" s="273"/>
      <c r="H7835" s="29" t="str">
        <f>IF(A7835="","",VLOOKUP(A7835,AA_Cuadrillas,4,FALSE))</f>
        <v/>
      </c>
      <c r="I7835" s="394" t="str">
        <f>IF(A7835="","",VLOOKUP(A7835,AA_Cuadrillas,5,FALSE))</f>
        <v/>
      </c>
      <c r="J7835" s="273"/>
      <c r="K7835" s="9" t="str">
        <f>IF(A7835="","",F.P!$I$2)</f>
        <v/>
      </c>
      <c r="L7835" s="37"/>
      <c r="M7835" s="394" t="str">
        <f t="shared" si="1067"/>
        <v/>
      </c>
      <c r="N7835" s="273"/>
    </row>
    <row r="7836" spans="1:14" ht="12.75" customHeight="1" x14ac:dyDescent="0.25">
      <c r="A7836" s="393"/>
      <c r="B7836" s="271"/>
      <c r="C7836" s="271"/>
      <c r="D7836" s="271"/>
      <c r="E7836" s="271"/>
      <c r="F7836" s="271"/>
      <c r="G7836" s="273"/>
      <c r="H7836" s="29" t="str">
        <f>IF(A7836="","",VLOOKUP(A7836,AA_Cuadrillas,4,FALSE))</f>
        <v/>
      </c>
      <c r="I7836" s="394" t="str">
        <f>IF(A7836="","",VLOOKUP(A7836,AA_Cuadrillas,5,FALSE))</f>
        <v/>
      </c>
      <c r="J7836" s="273"/>
      <c r="K7836" s="9" t="str">
        <f>IF(A7836="","",F.P!$I$2)</f>
        <v/>
      </c>
      <c r="L7836" s="37"/>
      <c r="M7836" s="394" t="str">
        <f t="shared" si="1067"/>
        <v/>
      </c>
      <c r="N7836" s="273"/>
    </row>
    <row r="7837" spans="1:14" ht="12.75" customHeight="1" x14ac:dyDescent="0.25">
      <c r="A7837" s="4"/>
      <c r="B7837" s="4"/>
      <c r="C7837" s="4"/>
      <c r="D7837" s="4"/>
      <c r="E7837" s="4"/>
      <c r="F7837" s="4"/>
      <c r="G7837" s="4"/>
      <c r="H7837" s="4"/>
      <c r="I7837" s="4"/>
      <c r="J7837" s="4"/>
      <c r="K7837" s="396" t="s">
        <v>444</v>
      </c>
      <c r="L7837" s="273"/>
      <c r="M7837" s="394">
        <f>SUM(M7832:N7836)</f>
        <v>87778.61</v>
      </c>
      <c r="N7837" s="273"/>
    </row>
    <row r="7838" spans="1:14" ht="12.75" customHeight="1" x14ac:dyDescent="0.2"/>
    <row r="7839" spans="1:14" ht="12.75" customHeight="1" x14ac:dyDescent="0.2">
      <c r="A7839" s="407" t="s">
        <v>1344</v>
      </c>
      <c r="B7839" s="275"/>
      <c r="C7839" s="275"/>
      <c r="D7839" s="275"/>
      <c r="E7839" s="275"/>
      <c r="F7839" s="275"/>
      <c r="G7839" s="275"/>
      <c r="H7839" s="275"/>
      <c r="I7839" s="275"/>
      <c r="J7839" s="275"/>
      <c r="K7839" s="275"/>
      <c r="L7839" s="275"/>
      <c r="M7839" s="275"/>
      <c r="N7839" s="276"/>
    </row>
    <row r="7840" spans="1:14" ht="12.75" customHeight="1" x14ac:dyDescent="0.2">
      <c r="A7840" s="277"/>
      <c r="B7840" s="278"/>
      <c r="C7840" s="278"/>
      <c r="D7840" s="278"/>
      <c r="E7840" s="278"/>
      <c r="F7840" s="278"/>
      <c r="G7840" s="278"/>
      <c r="H7840" s="278"/>
      <c r="I7840" s="278"/>
      <c r="J7840" s="278"/>
      <c r="K7840" s="278"/>
      <c r="L7840" s="278"/>
      <c r="M7840" s="278"/>
      <c r="N7840" s="279"/>
    </row>
    <row r="7841" spans="1:14" ht="12.75" customHeight="1" x14ac:dyDescent="0.2">
      <c r="A7841" s="75"/>
      <c r="B7841" s="75"/>
      <c r="C7841" s="75"/>
      <c r="D7841" s="75"/>
      <c r="E7841" s="75"/>
      <c r="F7841" s="75"/>
      <c r="G7841" s="75"/>
      <c r="H7841" s="75"/>
      <c r="I7841" s="75"/>
      <c r="J7841" s="75"/>
      <c r="K7841" s="75"/>
      <c r="L7841" s="75"/>
      <c r="M7841" s="75"/>
      <c r="N7841" s="75"/>
    </row>
    <row r="7842" spans="1:14" ht="12.75" customHeight="1" x14ac:dyDescent="0.3">
      <c r="A7842" s="79" t="s">
        <v>794</v>
      </c>
      <c r="B7842" s="80" t="str">
        <f>A7839</f>
        <v>SUMINISTRO E INSTALACIÓN DE NIPLE PASAMURO EBxEB DE Ø3" L=0,15 M EN HIERRO DUCTIL</v>
      </c>
      <c r="C7842" s="81" t="s">
        <v>916</v>
      </c>
      <c r="D7842" s="82" t="s">
        <v>999</v>
      </c>
      <c r="E7842" s="83" t="s">
        <v>445</v>
      </c>
      <c r="F7842" s="86">
        <f>H7842+J7842+L7842+N7842</f>
        <v>153833.51550000001</v>
      </c>
      <c r="G7842" s="83" t="s">
        <v>607</v>
      </c>
      <c r="H7842" s="86">
        <f>M7852</f>
        <v>58729.5</v>
      </c>
      <c r="I7842" s="83" t="s">
        <v>918</v>
      </c>
      <c r="J7842" s="86">
        <f>M7861</f>
        <v>4388.9305000000004</v>
      </c>
      <c r="K7842" s="83" t="s">
        <v>609</v>
      </c>
      <c r="L7842" s="86">
        <f>M7870</f>
        <v>2936.4750000000004</v>
      </c>
      <c r="M7842" s="83" t="s">
        <v>610</v>
      </c>
      <c r="N7842" s="86">
        <f>M7879</f>
        <v>87778.61</v>
      </c>
    </row>
    <row r="7843" spans="1:14" ht="12.75" customHeight="1" x14ac:dyDescent="0.25">
      <c r="A7843" s="87"/>
      <c r="B7843" s="87"/>
      <c r="C7843" s="87"/>
      <c r="D7843" s="87"/>
      <c r="E7843" s="87"/>
      <c r="F7843" s="87"/>
      <c r="G7843" s="87"/>
      <c r="J7843" s="87"/>
      <c r="K7843" s="215" t="s">
        <v>3217</v>
      </c>
      <c r="L7843" s="215">
        <f>+F7842*presup!$O$5</f>
        <v>199983.57015000001</v>
      </c>
      <c r="M7843" s="87"/>
      <c r="N7843" s="87"/>
    </row>
    <row r="7844" spans="1:14" ht="12.75" customHeight="1" x14ac:dyDescent="0.2">
      <c r="A7844" s="398" t="s">
        <v>919</v>
      </c>
      <c r="B7844" s="271"/>
      <c r="C7844" s="271"/>
      <c r="D7844" s="271"/>
      <c r="E7844" s="271"/>
      <c r="F7844" s="271"/>
      <c r="G7844" s="271"/>
      <c r="H7844" s="271"/>
      <c r="I7844" s="271"/>
      <c r="J7844" s="271"/>
      <c r="K7844" s="271"/>
      <c r="L7844" s="271"/>
      <c r="M7844" s="271"/>
      <c r="N7844" s="273"/>
    </row>
    <row r="7845" spans="1:14" ht="12.75" customHeight="1" x14ac:dyDescent="0.2">
      <c r="A7845" s="396" t="s">
        <v>76</v>
      </c>
      <c r="B7845" s="271"/>
      <c r="C7845" s="271"/>
      <c r="D7845" s="271"/>
      <c r="E7845" s="271"/>
      <c r="F7845" s="271"/>
      <c r="G7845" s="273"/>
      <c r="H7845" s="88" t="s">
        <v>77</v>
      </c>
      <c r="I7845" s="399" t="s">
        <v>920</v>
      </c>
      <c r="J7845" s="273"/>
      <c r="K7845" s="399" t="s">
        <v>453</v>
      </c>
      <c r="L7845" s="273"/>
      <c r="M7845" s="399" t="s">
        <v>921</v>
      </c>
      <c r="N7845" s="273"/>
    </row>
    <row r="7846" spans="1:14" ht="12.75" customHeight="1" x14ac:dyDescent="0.2">
      <c r="A7846" s="403" t="s">
        <v>1126</v>
      </c>
      <c r="B7846" s="271"/>
      <c r="C7846" s="271"/>
      <c r="D7846" s="271"/>
      <c r="E7846" s="271"/>
      <c r="F7846" s="271"/>
      <c r="G7846" s="273"/>
      <c r="H7846" s="29" t="str">
        <f t="shared" ref="H7846:H7851" si="1068">IF(A7846="","",VLOOKUP(A7846,AA_Materiales,7,FALSE))</f>
        <v>Unidad</v>
      </c>
      <c r="I7846" s="394">
        <f t="shared" ref="I7846:I7851" si="1069">IF(A7846="","",VLOOKUP(A7846,AA_Materiales,8,FALSE))</f>
        <v>391530</v>
      </c>
      <c r="J7846" s="273"/>
      <c r="K7846" s="395">
        <v>0.15</v>
      </c>
      <c r="L7846" s="273"/>
      <c r="M7846" s="394">
        <f t="shared" ref="M7846:M7851" si="1070">IF(A7846="","",I7846*K7846)</f>
        <v>58729.5</v>
      </c>
      <c r="N7846" s="273"/>
    </row>
    <row r="7847" spans="1:14" ht="12.75" customHeight="1" x14ac:dyDescent="0.2">
      <c r="A7847" s="403"/>
      <c r="B7847" s="271"/>
      <c r="C7847" s="271"/>
      <c r="D7847" s="271"/>
      <c r="E7847" s="271"/>
      <c r="F7847" s="271"/>
      <c r="G7847" s="273"/>
      <c r="H7847" s="29" t="str">
        <f t="shared" si="1068"/>
        <v/>
      </c>
      <c r="I7847" s="394" t="str">
        <f t="shared" si="1069"/>
        <v/>
      </c>
      <c r="J7847" s="273"/>
      <c r="K7847" s="395"/>
      <c r="L7847" s="273"/>
      <c r="M7847" s="394" t="str">
        <f t="shared" si="1070"/>
        <v/>
      </c>
      <c r="N7847" s="273"/>
    </row>
    <row r="7848" spans="1:14" ht="12.75" customHeight="1" x14ac:dyDescent="0.2">
      <c r="A7848" s="403"/>
      <c r="B7848" s="271"/>
      <c r="C7848" s="271"/>
      <c r="D7848" s="271"/>
      <c r="E7848" s="271"/>
      <c r="F7848" s="271"/>
      <c r="G7848" s="273"/>
      <c r="H7848" s="29" t="str">
        <f t="shared" si="1068"/>
        <v/>
      </c>
      <c r="I7848" s="394" t="str">
        <f t="shared" si="1069"/>
        <v/>
      </c>
      <c r="J7848" s="273"/>
      <c r="K7848" s="395"/>
      <c r="L7848" s="273"/>
      <c r="M7848" s="394" t="str">
        <f t="shared" si="1070"/>
        <v/>
      </c>
      <c r="N7848" s="273"/>
    </row>
    <row r="7849" spans="1:14" ht="12.75" customHeight="1" x14ac:dyDescent="0.2">
      <c r="A7849" s="403"/>
      <c r="B7849" s="271"/>
      <c r="C7849" s="271"/>
      <c r="D7849" s="271"/>
      <c r="E7849" s="271"/>
      <c r="F7849" s="271"/>
      <c r="G7849" s="273"/>
      <c r="H7849" s="29" t="str">
        <f t="shared" si="1068"/>
        <v/>
      </c>
      <c r="I7849" s="394" t="str">
        <f t="shared" si="1069"/>
        <v/>
      </c>
      <c r="J7849" s="273"/>
      <c r="K7849" s="395"/>
      <c r="L7849" s="273"/>
      <c r="M7849" s="394" t="str">
        <f t="shared" si="1070"/>
        <v/>
      </c>
      <c r="N7849" s="273"/>
    </row>
    <row r="7850" spans="1:14" ht="12.75" customHeight="1" x14ac:dyDescent="0.2">
      <c r="A7850" s="403"/>
      <c r="B7850" s="271"/>
      <c r="C7850" s="271"/>
      <c r="D7850" s="271"/>
      <c r="E7850" s="271"/>
      <c r="F7850" s="271"/>
      <c r="G7850" s="273"/>
      <c r="H7850" s="29" t="str">
        <f t="shared" si="1068"/>
        <v/>
      </c>
      <c r="I7850" s="394" t="str">
        <f t="shared" si="1069"/>
        <v/>
      </c>
      <c r="J7850" s="273"/>
      <c r="K7850" s="395"/>
      <c r="L7850" s="273"/>
      <c r="M7850" s="394" t="str">
        <f t="shared" si="1070"/>
        <v/>
      </c>
      <c r="N7850" s="273"/>
    </row>
    <row r="7851" spans="1:14" ht="12.75" customHeight="1" x14ac:dyDescent="0.2">
      <c r="A7851" s="403"/>
      <c r="B7851" s="271"/>
      <c r="C7851" s="271"/>
      <c r="D7851" s="271"/>
      <c r="E7851" s="271"/>
      <c r="F7851" s="271"/>
      <c r="G7851" s="273"/>
      <c r="H7851" s="29" t="str">
        <f t="shared" si="1068"/>
        <v/>
      </c>
      <c r="I7851" s="394" t="str">
        <f t="shared" si="1069"/>
        <v/>
      </c>
      <c r="J7851" s="273"/>
      <c r="K7851" s="395"/>
      <c r="L7851" s="273"/>
      <c r="M7851" s="394" t="str">
        <f t="shared" si="1070"/>
        <v/>
      </c>
      <c r="N7851" s="273"/>
    </row>
    <row r="7852" spans="1:14" ht="12.75" customHeight="1" x14ac:dyDescent="0.25">
      <c r="A7852" s="4"/>
      <c r="B7852" s="4"/>
      <c r="C7852" s="4"/>
      <c r="D7852" s="4"/>
      <c r="E7852" s="4"/>
      <c r="F7852" s="4"/>
      <c r="G7852" s="4"/>
      <c r="H7852" s="4"/>
      <c r="I7852" s="4"/>
      <c r="J7852" s="4"/>
      <c r="K7852" s="396" t="s">
        <v>444</v>
      </c>
      <c r="L7852" s="273"/>
      <c r="M7852" s="394">
        <f>SUM(M7846:N7851)</f>
        <v>58729.5</v>
      </c>
      <c r="N7852" s="273"/>
    </row>
    <row r="7853" spans="1:14" ht="12.75" customHeight="1" x14ac:dyDescent="0.25">
      <c r="A7853" s="4"/>
      <c r="B7853" s="4"/>
      <c r="C7853" s="4"/>
      <c r="D7853" s="4"/>
      <c r="E7853" s="4"/>
      <c r="F7853" s="4"/>
      <c r="G7853" s="4"/>
      <c r="H7853" s="4"/>
      <c r="I7853" s="4"/>
      <c r="J7853" s="4"/>
      <c r="K7853" s="4"/>
      <c r="L7853" s="4"/>
      <c r="M7853" s="4"/>
      <c r="N7853" s="4"/>
    </row>
    <row r="7854" spans="1:14" ht="12.75" customHeight="1" x14ac:dyDescent="0.2">
      <c r="A7854" s="398" t="s">
        <v>926</v>
      </c>
      <c r="B7854" s="271"/>
      <c r="C7854" s="271"/>
      <c r="D7854" s="271"/>
      <c r="E7854" s="271"/>
      <c r="F7854" s="271"/>
      <c r="G7854" s="271"/>
      <c r="H7854" s="271"/>
      <c r="I7854" s="271"/>
      <c r="J7854" s="271"/>
      <c r="K7854" s="271"/>
      <c r="L7854" s="271"/>
      <c r="M7854" s="271"/>
      <c r="N7854" s="273"/>
    </row>
    <row r="7855" spans="1:14" ht="12.75" customHeight="1" x14ac:dyDescent="0.2">
      <c r="A7855" s="396" t="s">
        <v>76</v>
      </c>
      <c r="B7855" s="271"/>
      <c r="C7855" s="271"/>
      <c r="D7855" s="271"/>
      <c r="E7855" s="271"/>
      <c r="F7855" s="271"/>
      <c r="G7855" s="273"/>
      <c r="H7855" s="88" t="s">
        <v>77</v>
      </c>
      <c r="I7855" s="399" t="s">
        <v>920</v>
      </c>
      <c r="J7855" s="273"/>
      <c r="K7855" s="399" t="s">
        <v>453</v>
      </c>
      <c r="L7855" s="273"/>
      <c r="M7855" s="399" t="s">
        <v>921</v>
      </c>
      <c r="N7855" s="273"/>
    </row>
    <row r="7856" spans="1:14" ht="12.75" customHeight="1" x14ac:dyDescent="0.2">
      <c r="A7856" s="400" t="s">
        <v>927</v>
      </c>
      <c r="B7856" s="271"/>
      <c r="C7856" s="271"/>
      <c r="D7856" s="271"/>
      <c r="E7856" s="271"/>
      <c r="F7856" s="271"/>
      <c r="G7856" s="273"/>
      <c r="H7856" s="29" t="str">
        <f>IF(A7856="","",VLOOKUP(A7856,AA_Equipos,7,FALSE))</f>
        <v>% M.O.</v>
      </c>
      <c r="I7856" s="394">
        <f>+M7879</f>
        <v>87778.61</v>
      </c>
      <c r="J7856" s="273"/>
      <c r="K7856" s="404">
        <v>0.05</v>
      </c>
      <c r="L7856" s="273"/>
      <c r="M7856" s="394">
        <f t="shared" ref="M7856:M7860" si="1071">IF(A7856="","",I7856*K7856)</f>
        <v>4388.9305000000004</v>
      </c>
      <c r="N7856" s="273"/>
    </row>
    <row r="7857" spans="1:14" ht="12.75" customHeight="1" x14ac:dyDescent="0.2">
      <c r="A7857" s="403"/>
      <c r="B7857" s="271"/>
      <c r="C7857" s="271"/>
      <c r="D7857" s="271"/>
      <c r="E7857" s="271"/>
      <c r="F7857" s="271"/>
      <c r="G7857" s="273"/>
      <c r="H7857" s="29" t="str">
        <f>IF(A7857="","",VLOOKUP(A7857,AA_Equipos,7,FALSE))</f>
        <v/>
      </c>
      <c r="I7857" s="394" t="str">
        <f>IF(A7857="","",VLOOKUP(A7857,AA_Equipos,8,FALSE))</f>
        <v/>
      </c>
      <c r="J7857" s="273"/>
      <c r="K7857" s="402"/>
      <c r="L7857" s="273"/>
      <c r="M7857" s="394" t="str">
        <f t="shared" si="1071"/>
        <v/>
      </c>
      <c r="N7857" s="273"/>
    </row>
    <row r="7858" spans="1:14" ht="12.75" customHeight="1" x14ac:dyDescent="0.2">
      <c r="A7858" s="400"/>
      <c r="B7858" s="271"/>
      <c r="C7858" s="271"/>
      <c r="D7858" s="271"/>
      <c r="E7858" s="271"/>
      <c r="F7858" s="271"/>
      <c r="G7858" s="273"/>
      <c r="H7858" s="29" t="str">
        <f>IF(A7858="","",VLOOKUP(A7858,AA_Equipos,7,FALSE))</f>
        <v/>
      </c>
      <c r="I7858" s="394" t="str">
        <f>IF(A7858="","",VLOOKUP(A7858,AA_Equipos,8,FALSE))</f>
        <v/>
      </c>
      <c r="J7858" s="273"/>
      <c r="K7858" s="401"/>
      <c r="L7858" s="273"/>
      <c r="M7858" s="394" t="str">
        <f t="shared" si="1071"/>
        <v/>
      </c>
      <c r="N7858" s="273"/>
    </row>
    <row r="7859" spans="1:14" ht="12.75" customHeight="1" x14ac:dyDescent="0.2">
      <c r="A7859" s="400"/>
      <c r="B7859" s="271"/>
      <c r="C7859" s="271"/>
      <c r="D7859" s="271"/>
      <c r="E7859" s="271"/>
      <c r="F7859" s="271"/>
      <c r="G7859" s="273"/>
      <c r="H7859" s="29" t="str">
        <f>IF(A7859="","",VLOOKUP(A7859,AA_Equipos,7,FALSE))</f>
        <v/>
      </c>
      <c r="I7859" s="394" t="str">
        <f>IF(A7859="","",VLOOKUP(A7859,AA_Equipos,8,FALSE))</f>
        <v/>
      </c>
      <c r="J7859" s="273"/>
      <c r="K7859" s="395"/>
      <c r="L7859" s="273"/>
      <c r="M7859" s="394" t="str">
        <f t="shared" si="1071"/>
        <v/>
      </c>
      <c r="N7859" s="273"/>
    </row>
    <row r="7860" spans="1:14" ht="12.75" customHeight="1" x14ac:dyDescent="0.2">
      <c r="A7860" s="400"/>
      <c r="B7860" s="271"/>
      <c r="C7860" s="271"/>
      <c r="D7860" s="271"/>
      <c r="E7860" s="271"/>
      <c r="F7860" s="271"/>
      <c r="G7860" s="273"/>
      <c r="H7860" s="29" t="str">
        <f>IF(A7860="","",VLOOKUP(A7860,AA_Equipos,7,FALSE))</f>
        <v/>
      </c>
      <c r="I7860" s="394" t="str">
        <f>IF(A7860="","",VLOOKUP(A7860,AA_Equipos,8,FALSE))</f>
        <v/>
      </c>
      <c r="J7860" s="273"/>
      <c r="K7860" s="395"/>
      <c r="L7860" s="273"/>
      <c r="M7860" s="394" t="str">
        <f t="shared" si="1071"/>
        <v/>
      </c>
      <c r="N7860" s="273"/>
    </row>
    <row r="7861" spans="1:14" ht="12.75" customHeight="1" x14ac:dyDescent="0.25">
      <c r="A7861" s="4"/>
      <c r="B7861" s="4"/>
      <c r="C7861" s="4"/>
      <c r="D7861" s="4"/>
      <c r="E7861" s="4"/>
      <c r="F7861" s="4"/>
      <c r="G7861" s="4"/>
      <c r="H7861" s="4"/>
      <c r="I7861" s="4"/>
      <c r="J7861" s="4"/>
      <c r="K7861" s="396" t="s">
        <v>444</v>
      </c>
      <c r="L7861" s="273"/>
      <c r="M7861" s="394">
        <f>SUM(M7856:N7860)</f>
        <v>4388.9305000000004</v>
      </c>
      <c r="N7861" s="273"/>
    </row>
    <row r="7862" spans="1:14" ht="12.75" customHeight="1" x14ac:dyDescent="0.25">
      <c r="A7862" s="4"/>
      <c r="B7862" s="4"/>
      <c r="C7862" s="4"/>
      <c r="D7862" s="4"/>
      <c r="E7862" s="4"/>
      <c r="F7862" s="4"/>
      <c r="G7862" s="4"/>
      <c r="H7862" s="4"/>
      <c r="I7862" s="4"/>
      <c r="J7862" s="4"/>
      <c r="K7862" s="4"/>
      <c r="L7862" s="4"/>
      <c r="M7862" s="4"/>
      <c r="N7862" s="4"/>
    </row>
    <row r="7863" spans="1:14" ht="12.75" customHeight="1" x14ac:dyDescent="0.2">
      <c r="A7863" s="398" t="s">
        <v>929</v>
      </c>
      <c r="B7863" s="271"/>
      <c r="C7863" s="271"/>
      <c r="D7863" s="271"/>
      <c r="E7863" s="271"/>
      <c r="F7863" s="271"/>
      <c r="G7863" s="271"/>
      <c r="H7863" s="271"/>
      <c r="I7863" s="271"/>
      <c r="J7863" s="271"/>
      <c r="K7863" s="271"/>
      <c r="L7863" s="271"/>
      <c r="M7863" s="271"/>
      <c r="N7863" s="273"/>
    </row>
    <row r="7864" spans="1:14" ht="12.75" customHeight="1" x14ac:dyDescent="0.2">
      <c r="A7864" s="396" t="s">
        <v>76</v>
      </c>
      <c r="B7864" s="271"/>
      <c r="C7864" s="271"/>
      <c r="D7864" s="271"/>
      <c r="E7864" s="271"/>
      <c r="F7864" s="271"/>
      <c r="G7864" s="273"/>
      <c r="H7864" s="88" t="s">
        <v>77</v>
      </c>
      <c r="I7864" s="399" t="s">
        <v>920</v>
      </c>
      <c r="J7864" s="273"/>
      <c r="K7864" s="399" t="s">
        <v>453</v>
      </c>
      <c r="L7864" s="273"/>
      <c r="M7864" s="399" t="s">
        <v>921</v>
      </c>
      <c r="N7864" s="273"/>
    </row>
    <row r="7865" spans="1:14" ht="12.75" customHeight="1" x14ac:dyDescent="0.2">
      <c r="A7865" s="400" t="s">
        <v>966</v>
      </c>
      <c r="B7865" s="271"/>
      <c r="C7865" s="271"/>
      <c r="D7865" s="271"/>
      <c r="E7865" s="271"/>
      <c r="F7865" s="271"/>
      <c r="G7865" s="273"/>
      <c r="H7865" s="29" t="s">
        <v>950</v>
      </c>
      <c r="I7865" s="394">
        <f>+M7852</f>
        <v>58729.5</v>
      </c>
      <c r="J7865" s="273"/>
      <c r="K7865" s="404">
        <v>0.05</v>
      </c>
      <c r="L7865" s="273"/>
      <c r="M7865" s="394">
        <f t="shared" ref="M7865:M7869" si="1072">IF(A7865="","",I7865*K7865)</f>
        <v>2936.4750000000004</v>
      </c>
      <c r="N7865" s="273"/>
    </row>
    <row r="7866" spans="1:14" ht="12.75" customHeight="1" x14ac:dyDescent="0.2">
      <c r="A7866" s="403"/>
      <c r="B7866" s="271"/>
      <c r="C7866" s="271"/>
      <c r="D7866" s="271"/>
      <c r="E7866" s="271"/>
      <c r="F7866" s="271"/>
      <c r="G7866" s="273"/>
      <c r="H7866" s="29"/>
      <c r="I7866" s="394"/>
      <c r="J7866" s="273"/>
      <c r="K7866" s="404"/>
      <c r="L7866" s="273"/>
      <c r="M7866" s="394" t="str">
        <f t="shared" si="1072"/>
        <v/>
      </c>
      <c r="N7866" s="273"/>
    </row>
    <row r="7867" spans="1:14" ht="12.75" customHeight="1" x14ac:dyDescent="0.2">
      <c r="A7867" s="400"/>
      <c r="B7867" s="271"/>
      <c r="C7867" s="271"/>
      <c r="D7867" s="271"/>
      <c r="E7867" s="271"/>
      <c r="F7867" s="271"/>
      <c r="G7867" s="273"/>
      <c r="H7867" s="29"/>
      <c r="I7867" s="394"/>
      <c r="J7867" s="273"/>
      <c r="K7867" s="395"/>
      <c r="L7867" s="273"/>
      <c r="M7867" s="394" t="str">
        <f t="shared" si="1072"/>
        <v/>
      </c>
      <c r="N7867" s="273"/>
    </row>
    <row r="7868" spans="1:14" ht="12.75" customHeight="1" x14ac:dyDescent="0.2">
      <c r="A7868" s="400"/>
      <c r="B7868" s="271"/>
      <c r="C7868" s="271"/>
      <c r="D7868" s="271"/>
      <c r="E7868" s="271"/>
      <c r="F7868" s="271"/>
      <c r="G7868" s="273"/>
      <c r="H7868" s="29"/>
      <c r="I7868" s="394"/>
      <c r="J7868" s="273"/>
      <c r="K7868" s="395"/>
      <c r="L7868" s="273"/>
      <c r="M7868" s="394" t="str">
        <f t="shared" si="1072"/>
        <v/>
      </c>
      <c r="N7868" s="273"/>
    </row>
    <row r="7869" spans="1:14" ht="12.75" customHeight="1" x14ac:dyDescent="0.2">
      <c r="A7869" s="400"/>
      <c r="B7869" s="271"/>
      <c r="C7869" s="271"/>
      <c r="D7869" s="271"/>
      <c r="E7869" s="271"/>
      <c r="F7869" s="271"/>
      <c r="G7869" s="273"/>
      <c r="H7869" s="29"/>
      <c r="I7869" s="394"/>
      <c r="J7869" s="273"/>
      <c r="K7869" s="395"/>
      <c r="L7869" s="273"/>
      <c r="M7869" s="394" t="str">
        <f t="shared" si="1072"/>
        <v/>
      </c>
      <c r="N7869" s="273"/>
    </row>
    <row r="7870" spans="1:14" ht="12.75" customHeight="1" x14ac:dyDescent="0.25">
      <c r="A7870" s="4"/>
      <c r="B7870" s="4"/>
      <c r="C7870" s="4"/>
      <c r="D7870" s="4"/>
      <c r="E7870" s="4"/>
      <c r="F7870" s="4"/>
      <c r="G7870" s="4"/>
      <c r="H7870" s="4"/>
      <c r="I7870" s="4"/>
      <c r="J7870" s="4"/>
      <c r="K7870" s="396" t="s">
        <v>444</v>
      </c>
      <c r="L7870" s="273"/>
      <c r="M7870" s="394">
        <f>SUM(M7865:N7869)</f>
        <v>2936.4750000000004</v>
      </c>
      <c r="N7870" s="273"/>
    </row>
    <row r="7871" spans="1:14" ht="12.75" customHeight="1" x14ac:dyDescent="0.25">
      <c r="A7871" s="4"/>
      <c r="B7871" s="4"/>
      <c r="C7871" s="4"/>
      <c r="D7871" s="4"/>
      <c r="E7871" s="4"/>
      <c r="F7871" s="4"/>
      <c r="G7871" s="4"/>
      <c r="H7871" s="4"/>
      <c r="I7871" s="4"/>
      <c r="J7871" s="4"/>
      <c r="K7871" s="4"/>
      <c r="L7871" s="4"/>
      <c r="M7871" s="4"/>
      <c r="N7871" s="4"/>
    </row>
    <row r="7872" spans="1:14" ht="12.75" customHeight="1" x14ac:dyDescent="0.2">
      <c r="A7872" s="398" t="s">
        <v>931</v>
      </c>
      <c r="B7872" s="271"/>
      <c r="C7872" s="271"/>
      <c r="D7872" s="271"/>
      <c r="E7872" s="271"/>
      <c r="F7872" s="271"/>
      <c r="G7872" s="271"/>
      <c r="H7872" s="271"/>
      <c r="I7872" s="271"/>
      <c r="J7872" s="271"/>
      <c r="K7872" s="271"/>
      <c r="L7872" s="271"/>
      <c r="M7872" s="271"/>
      <c r="N7872" s="273"/>
    </row>
    <row r="7873" spans="1:14" ht="12.75" customHeight="1" x14ac:dyDescent="0.2">
      <c r="A7873" s="396" t="s">
        <v>76</v>
      </c>
      <c r="B7873" s="271"/>
      <c r="C7873" s="271"/>
      <c r="D7873" s="271"/>
      <c r="E7873" s="271"/>
      <c r="F7873" s="271"/>
      <c r="G7873" s="273"/>
      <c r="H7873" s="88" t="s">
        <v>77</v>
      </c>
      <c r="I7873" s="399" t="s">
        <v>920</v>
      </c>
      <c r="J7873" s="273"/>
      <c r="K7873" s="90" t="s">
        <v>514</v>
      </c>
      <c r="L7873" s="91" t="s">
        <v>932</v>
      </c>
      <c r="M7873" s="399" t="s">
        <v>921</v>
      </c>
      <c r="N7873" s="273"/>
    </row>
    <row r="7874" spans="1:14" ht="12.75" customHeight="1" x14ac:dyDescent="0.25">
      <c r="A7874" s="393" t="s">
        <v>986</v>
      </c>
      <c r="B7874" s="271"/>
      <c r="C7874" s="271"/>
      <c r="D7874" s="271"/>
      <c r="E7874" s="271"/>
      <c r="F7874" s="271"/>
      <c r="G7874" s="273"/>
      <c r="H7874" s="29" t="str">
        <f>IF(A7874="","",VLOOKUP(A7874,AA_Cuadrillas,4,FALSE))</f>
        <v>Cuadrilla</v>
      </c>
      <c r="I7874" s="394">
        <f>IF(A7874="","",VLOOKUP(A7874,AA_Cuadrillas,5,FALSE))</f>
        <v>186763</v>
      </c>
      <c r="J7874" s="273"/>
      <c r="K7874" s="9">
        <f>IF(A7874="","",F.P!$I$2)</f>
        <v>1.88</v>
      </c>
      <c r="L7874" s="97">
        <v>0.25</v>
      </c>
      <c r="M7874" s="394">
        <f t="shared" ref="M7874:M7878" si="1073">IF(A7874="","",I7874*K7874*L7874)</f>
        <v>87778.61</v>
      </c>
      <c r="N7874" s="273"/>
    </row>
    <row r="7875" spans="1:14" ht="12.75" customHeight="1" x14ac:dyDescent="0.25">
      <c r="A7875" s="393"/>
      <c r="B7875" s="271"/>
      <c r="C7875" s="271"/>
      <c r="D7875" s="271"/>
      <c r="E7875" s="271"/>
      <c r="F7875" s="271"/>
      <c r="G7875" s="273"/>
      <c r="H7875" s="29" t="str">
        <f>IF(A7875="","",VLOOKUP(A7875,AA_Cuadrillas,4,FALSE))</f>
        <v/>
      </c>
      <c r="I7875" s="394" t="str">
        <f>IF(A7875="","",VLOOKUP(A7875,AA_Cuadrillas,5,FALSE))</f>
        <v/>
      </c>
      <c r="J7875" s="273"/>
      <c r="K7875" s="9" t="str">
        <f>IF(A7875="","",F.P!$I$2)</f>
        <v/>
      </c>
      <c r="L7875" s="9"/>
      <c r="M7875" s="394" t="str">
        <f t="shared" si="1073"/>
        <v/>
      </c>
      <c r="N7875" s="273"/>
    </row>
    <row r="7876" spans="1:14" ht="12.75" customHeight="1" x14ac:dyDescent="0.25">
      <c r="A7876" s="393"/>
      <c r="B7876" s="271"/>
      <c r="C7876" s="271"/>
      <c r="D7876" s="271"/>
      <c r="E7876" s="271"/>
      <c r="F7876" s="271"/>
      <c r="G7876" s="273"/>
      <c r="H7876" s="29" t="str">
        <f>IF(A7876="","",VLOOKUP(A7876,AA_Cuadrillas,4,FALSE))</f>
        <v/>
      </c>
      <c r="I7876" s="394" t="str">
        <f>IF(A7876="","",VLOOKUP(A7876,AA_Cuadrillas,5,FALSE))</f>
        <v/>
      </c>
      <c r="J7876" s="273"/>
      <c r="K7876" s="9" t="str">
        <f>IF(A7876="","",F.P!$I$2)</f>
        <v/>
      </c>
      <c r="L7876" s="37"/>
      <c r="M7876" s="394" t="str">
        <f t="shared" si="1073"/>
        <v/>
      </c>
      <c r="N7876" s="273"/>
    </row>
    <row r="7877" spans="1:14" ht="12.75" customHeight="1" x14ac:dyDescent="0.25">
      <c r="A7877" s="393"/>
      <c r="B7877" s="271"/>
      <c r="C7877" s="271"/>
      <c r="D7877" s="271"/>
      <c r="E7877" s="271"/>
      <c r="F7877" s="271"/>
      <c r="G7877" s="273"/>
      <c r="H7877" s="29" t="str">
        <f>IF(A7877="","",VLOOKUP(A7877,AA_Cuadrillas,4,FALSE))</f>
        <v/>
      </c>
      <c r="I7877" s="394" t="str">
        <f>IF(A7877="","",VLOOKUP(A7877,AA_Cuadrillas,5,FALSE))</f>
        <v/>
      </c>
      <c r="J7877" s="273"/>
      <c r="K7877" s="9" t="str">
        <f>IF(A7877="","",F.P!$I$2)</f>
        <v/>
      </c>
      <c r="L7877" s="37"/>
      <c r="M7877" s="394" t="str">
        <f t="shared" si="1073"/>
        <v/>
      </c>
      <c r="N7877" s="273"/>
    </row>
    <row r="7878" spans="1:14" ht="12.75" customHeight="1" x14ac:dyDescent="0.25">
      <c r="A7878" s="393"/>
      <c r="B7878" s="271"/>
      <c r="C7878" s="271"/>
      <c r="D7878" s="271"/>
      <c r="E7878" s="271"/>
      <c r="F7878" s="271"/>
      <c r="G7878" s="273"/>
      <c r="H7878" s="29" t="str">
        <f>IF(A7878="","",VLOOKUP(A7878,AA_Cuadrillas,4,FALSE))</f>
        <v/>
      </c>
      <c r="I7878" s="394" t="str">
        <f>IF(A7878="","",VLOOKUP(A7878,AA_Cuadrillas,5,FALSE))</f>
        <v/>
      </c>
      <c r="J7878" s="273"/>
      <c r="K7878" s="9" t="str">
        <f>IF(A7878="","",F.P!$I$2)</f>
        <v/>
      </c>
      <c r="L7878" s="37"/>
      <c r="M7878" s="394" t="str">
        <f t="shared" si="1073"/>
        <v/>
      </c>
      <c r="N7878" s="273"/>
    </row>
    <row r="7879" spans="1:14" ht="12.75" customHeight="1" x14ac:dyDescent="0.25">
      <c r="A7879" s="4"/>
      <c r="B7879" s="4"/>
      <c r="C7879" s="4"/>
      <c r="D7879" s="4"/>
      <c r="E7879" s="4"/>
      <c r="F7879" s="4"/>
      <c r="G7879" s="4"/>
      <c r="H7879" s="4"/>
      <c r="I7879" s="4"/>
      <c r="J7879" s="4"/>
      <c r="K7879" s="396" t="s">
        <v>444</v>
      </c>
      <c r="L7879" s="273"/>
      <c r="M7879" s="394">
        <f>SUM(M7874:N7878)</f>
        <v>87778.61</v>
      </c>
      <c r="N7879" s="273"/>
    </row>
    <row r="7880" spans="1:14" ht="12.75" customHeight="1" x14ac:dyDescent="0.2"/>
    <row r="7881" spans="1:14" ht="12.75" customHeight="1" x14ac:dyDescent="0.2">
      <c r="A7881" s="407" t="s">
        <v>1345</v>
      </c>
      <c r="B7881" s="275"/>
      <c r="C7881" s="275"/>
      <c r="D7881" s="275"/>
      <c r="E7881" s="275"/>
      <c r="F7881" s="275"/>
      <c r="G7881" s="275"/>
      <c r="H7881" s="275"/>
      <c r="I7881" s="275"/>
      <c r="J7881" s="275"/>
      <c r="K7881" s="275"/>
      <c r="L7881" s="275"/>
      <c r="M7881" s="275"/>
      <c r="N7881" s="276"/>
    </row>
    <row r="7882" spans="1:14" ht="12.75" customHeight="1" x14ac:dyDescent="0.2">
      <c r="A7882" s="277"/>
      <c r="B7882" s="278"/>
      <c r="C7882" s="278"/>
      <c r="D7882" s="278"/>
      <c r="E7882" s="278"/>
      <c r="F7882" s="278"/>
      <c r="G7882" s="278"/>
      <c r="H7882" s="278"/>
      <c r="I7882" s="278"/>
      <c r="J7882" s="278"/>
      <c r="K7882" s="278"/>
      <c r="L7882" s="278"/>
      <c r="M7882" s="278"/>
      <c r="N7882" s="279"/>
    </row>
    <row r="7883" spans="1:14" ht="12.75" customHeight="1" x14ac:dyDescent="0.2">
      <c r="A7883" s="75"/>
      <c r="B7883" s="75"/>
      <c r="C7883" s="75"/>
      <c r="D7883" s="75"/>
      <c r="E7883" s="75"/>
      <c r="F7883" s="75"/>
      <c r="G7883" s="75"/>
      <c r="H7883" s="75"/>
      <c r="I7883" s="75"/>
      <c r="J7883" s="75"/>
      <c r="K7883" s="75"/>
      <c r="L7883" s="75"/>
      <c r="M7883" s="75"/>
      <c r="N7883" s="75"/>
    </row>
    <row r="7884" spans="1:14" ht="12.75" customHeight="1" x14ac:dyDescent="0.3">
      <c r="A7884" s="79" t="s">
        <v>793</v>
      </c>
      <c r="B7884" s="80" t="str">
        <f>A7881</f>
        <v>SUMINISTRO E INSTALACIÓN DE NIPLE PASAMURO EBxEB DE Ø3" L=0,40 M EN HIERRO DUCTIL</v>
      </c>
      <c r="C7884" s="81" t="s">
        <v>916</v>
      </c>
      <c r="D7884" s="82" t="s">
        <v>999</v>
      </c>
      <c r="E7884" s="83" t="s">
        <v>445</v>
      </c>
      <c r="F7884" s="86">
        <f>H7884+J7884+L7884+N7884</f>
        <v>256610.14049999998</v>
      </c>
      <c r="G7884" s="83" t="s">
        <v>607</v>
      </c>
      <c r="H7884" s="86">
        <f>M7894</f>
        <v>156612</v>
      </c>
      <c r="I7884" s="83" t="s">
        <v>918</v>
      </c>
      <c r="J7884" s="86">
        <f>M7903</f>
        <v>4388.9305000000004</v>
      </c>
      <c r="K7884" s="83" t="s">
        <v>609</v>
      </c>
      <c r="L7884" s="86">
        <f>M7912</f>
        <v>7830.6</v>
      </c>
      <c r="M7884" s="83" t="s">
        <v>610</v>
      </c>
      <c r="N7884" s="86">
        <f>M7921</f>
        <v>87778.61</v>
      </c>
    </row>
    <row r="7885" spans="1:14" ht="12.75" customHeight="1" x14ac:dyDescent="0.25">
      <c r="A7885" s="87"/>
      <c r="B7885" s="87"/>
      <c r="C7885" s="87"/>
      <c r="D7885" s="87"/>
      <c r="E7885" s="87"/>
      <c r="F7885" s="87"/>
      <c r="G7885" s="87"/>
      <c r="J7885" s="87"/>
      <c r="K7885" s="215" t="s">
        <v>3217</v>
      </c>
      <c r="L7885" s="215">
        <f>+F7884*presup!$O$5</f>
        <v>333593.18264999997</v>
      </c>
      <c r="M7885" s="87"/>
      <c r="N7885" s="87"/>
    </row>
    <row r="7886" spans="1:14" ht="12.75" customHeight="1" x14ac:dyDescent="0.2">
      <c r="A7886" s="398" t="s">
        <v>919</v>
      </c>
      <c r="B7886" s="271"/>
      <c r="C7886" s="271"/>
      <c r="D7886" s="271"/>
      <c r="E7886" s="271"/>
      <c r="F7886" s="271"/>
      <c r="G7886" s="271"/>
      <c r="H7886" s="271"/>
      <c r="I7886" s="271"/>
      <c r="J7886" s="271"/>
      <c r="K7886" s="271"/>
      <c r="L7886" s="271"/>
      <c r="M7886" s="271"/>
      <c r="N7886" s="273"/>
    </row>
    <row r="7887" spans="1:14" ht="12.75" customHeight="1" x14ac:dyDescent="0.2">
      <c r="A7887" s="396" t="s">
        <v>76</v>
      </c>
      <c r="B7887" s="271"/>
      <c r="C7887" s="271"/>
      <c r="D7887" s="271"/>
      <c r="E7887" s="271"/>
      <c r="F7887" s="271"/>
      <c r="G7887" s="273"/>
      <c r="H7887" s="88" t="s">
        <v>77</v>
      </c>
      <c r="I7887" s="399" t="s">
        <v>920</v>
      </c>
      <c r="J7887" s="273"/>
      <c r="K7887" s="399" t="s">
        <v>453</v>
      </c>
      <c r="L7887" s="273"/>
      <c r="M7887" s="399" t="s">
        <v>921</v>
      </c>
      <c r="N7887" s="273"/>
    </row>
    <row r="7888" spans="1:14" ht="12.75" customHeight="1" x14ac:dyDescent="0.2">
      <c r="A7888" s="403" t="s">
        <v>1126</v>
      </c>
      <c r="B7888" s="271"/>
      <c r="C7888" s="271"/>
      <c r="D7888" s="271"/>
      <c r="E7888" s="271"/>
      <c r="F7888" s="271"/>
      <c r="G7888" s="273"/>
      <c r="H7888" s="29" t="str">
        <f t="shared" ref="H7888:H7893" si="1074">IF(A7888="","",VLOOKUP(A7888,AA_Materiales,7,FALSE))</f>
        <v>Unidad</v>
      </c>
      <c r="I7888" s="394">
        <f t="shared" ref="I7888:I7893" si="1075">IF(A7888="","",VLOOKUP(A7888,AA_Materiales,8,FALSE))</f>
        <v>391530</v>
      </c>
      <c r="J7888" s="273"/>
      <c r="K7888" s="395">
        <v>0.4</v>
      </c>
      <c r="L7888" s="273"/>
      <c r="M7888" s="394">
        <f t="shared" ref="M7888:M7893" si="1076">IF(A7888="","",I7888*K7888)</f>
        <v>156612</v>
      </c>
      <c r="N7888" s="273"/>
    </row>
    <row r="7889" spans="1:14" ht="12.75" customHeight="1" x14ac:dyDescent="0.2">
      <c r="A7889" s="403"/>
      <c r="B7889" s="271"/>
      <c r="C7889" s="271"/>
      <c r="D7889" s="271"/>
      <c r="E7889" s="271"/>
      <c r="F7889" s="271"/>
      <c r="G7889" s="273"/>
      <c r="H7889" s="29" t="str">
        <f t="shared" si="1074"/>
        <v/>
      </c>
      <c r="I7889" s="394" t="str">
        <f t="shared" si="1075"/>
        <v/>
      </c>
      <c r="J7889" s="273"/>
      <c r="K7889" s="395"/>
      <c r="L7889" s="273"/>
      <c r="M7889" s="394" t="str">
        <f t="shared" si="1076"/>
        <v/>
      </c>
      <c r="N7889" s="273"/>
    </row>
    <row r="7890" spans="1:14" ht="12.75" customHeight="1" x14ac:dyDescent="0.2">
      <c r="A7890" s="403"/>
      <c r="B7890" s="271"/>
      <c r="C7890" s="271"/>
      <c r="D7890" s="271"/>
      <c r="E7890" s="271"/>
      <c r="F7890" s="271"/>
      <c r="G7890" s="273"/>
      <c r="H7890" s="29" t="str">
        <f t="shared" si="1074"/>
        <v/>
      </c>
      <c r="I7890" s="394" t="str">
        <f t="shared" si="1075"/>
        <v/>
      </c>
      <c r="J7890" s="273"/>
      <c r="K7890" s="395"/>
      <c r="L7890" s="273"/>
      <c r="M7890" s="394" t="str">
        <f t="shared" si="1076"/>
        <v/>
      </c>
      <c r="N7890" s="273"/>
    </row>
    <row r="7891" spans="1:14" ht="12.75" customHeight="1" x14ac:dyDescent="0.2">
      <c r="A7891" s="403"/>
      <c r="B7891" s="271"/>
      <c r="C7891" s="271"/>
      <c r="D7891" s="271"/>
      <c r="E7891" s="271"/>
      <c r="F7891" s="271"/>
      <c r="G7891" s="273"/>
      <c r="H7891" s="29" t="str">
        <f t="shared" si="1074"/>
        <v/>
      </c>
      <c r="I7891" s="394" t="str">
        <f t="shared" si="1075"/>
        <v/>
      </c>
      <c r="J7891" s="273"/>
      <c r="K7891" s="395"/>
      <c r="L7891" s="273"/>
      <c r="M7891" s="394" t="str">
        <f t="shared" si="1076"/>
        <v/>
      </c>
      <c r="N7891" s="273"/>
    </row>
    <row r="7892" spans="1:14" ht="12.75" customHeight="1" x14ac:dyDescent="0.2">
      <c r="A7892" s="403"/>
      <c r="B7892" s="271"/>
      <c r="C7892" s="271"/>
      <c r="D7892" s="271"/>
      <c r="E7892" s="271"/>
      <c r="F7892" s="271"/>
      <c r="G7892" s="273"/>
      <c r="H7892" s="29" t="str">
        <f t="shared" si="1074"/>
        <v/>
      </c>
      <c r="I7892" s="394" t="str">
        <f t="shared" si="1075"/>
        <v/>
      </c>
      <c r="J7892" s="273"/>
      <c r="K7892" s="395"/>
      <c r="L7892" s="273"/>
      <c r="M7892" s="394" t="str">
        <f t="shared" si="1076"/>
        <v/>
      </c>
      <c r="N7892" s="273"/>
    </row>
    <row r="7893" spans="1:14" ht="12.75" customHeight="1" x14ac:dyDescent="0.2">
      <c r="A7893" s="403"/>
      <c r="B7893" s="271"/>
      <c r="C7893" s="271"/>
      <c r="D7893" s="271"/>
      <c r="E7893" s="271"/>
      <c r="F7893" s="271"/>
      <c r="G7893" s="273"/>
      <c r="H7893" s="29" t="str">
        <f t="shared" si="1074"/>
        <v/>
      </c>
      <c r="I7893" s="394" t="str">
        <f t="shared" si="1075"/>
        <v/>
      </c>
      <c r="J7893" s="273"/>
      <c r="K7893" s="395"/>
      <c r="L7893" s="273"/>
      <c r="M7893" s="394" t="str">
        <f t="shared" si="1076"/>
        <v/>
      </c>
      <c r="N7893" s="273"/>
    </row>
    <row r="7894" spans="1:14" ht="12.75" customHeight="1" x14ac:dyDescent="0.25">
      <c r="A7894" s="4"/>
      <c r="B7894" s="4"/>
      <c r="C7894" s="4"/>
      <c r="D7894" s="4"/>
      <c r="E7894" s="4"/>
      <c r="F7894" s="4"/>
      <c r="G7894" s="4"/>
      <c r="H7894" s="4"/>
      <c r="I7894" s="4"/>
      <c r="J7894" s="4"/>
      <c r="K7894" s="396" t="s">
        <v>444</v>
      </c>
      <c r="L7894" s="273"/>
      <c r="M7894" s="394">
        <f>SUM(M7888:N7893)</f>
        <v>156612</v>
      </c>
      <c r="N7894" s="273"/>
    </row>
    <row r="7895" spans="1:14" ht="12.75" customHeight="1" x14ac:dyDescent="0.25">
      <c r="A7895" s="4"/>
      <c r="B7895" s="4"/>
      <c r="C7895" s="4"/>
      <c r="D7895" s="4"/>
      <c r="E7895" s="4"/>
      <c r="F7895" s="4"/>
      <c r="G7895" s="4"/>
      <c r="H7895" s="4"/>
      <c r="I7895" s="4"/>
      <c r="J7895" s="4"/>
      <c r="K7895" s="4"/>
      <c r="L7895" s="4"/>
      <c r="M7895" s="4"/>
      <c r="N7895" s="4"/>
    </row>
    <row r="7896" spans="1:14" ht="12.75" customHeight="1" x14ac:dyDescent="0.2">
      <c r="A7896" s="398" t="s">
        <v>926</v>
      </c>
      <c r="B7896" s="271"/>
      <c r="C7896" s="271"/>
      <c r="D7896" s="271"/>
      <c r="E7896" s="271"/>
      <c r="F7896" s="271"/>
      <c r="G7896" s="271"/>
      <c r="H7896" s="271"/>
      <c r="I7896" s="271"/>
      <c r="J7896" s="271"/>
      <c r="K7896" s="271"/>
      <c r="L7896" s="271"/>
      <c r="M7896" s="271"/>
      <c r="N7896" s="273"/>
    </row>
    <row r="7897" spans="1:14" ht="12.75" customHeight="1" x14ac:dyDescent="0.2">
      <c r="A7897" s="396" t="s">
        <v>76</v>
      </c>
      <c r="B7897" s="271"/>
      <c r="C7897" s="271"/>
      <c r="D7897" s="271"/>
      <c r="E7897" s="271"/>
      <c r="F7897" s="271"/>
      <c r="G7897" s="273"/>
      <c r="H7897" s="88" t="s">
        <v>77</v>
      </c>
      <c r="I7897" s="399" t="s">
        <v>920</v>
      </c>
      <c r="J7897" s="273"/>
      <c r="K7897" s="399" t="s">
        <v>453</v>
      </c>
      <c r="L7897" s="273"/>
      <c r="M7897" s="399" t="s">
        <v>921</v>
      </c>
      <c r="N7897" s="273"/>
    </row>
    <row r="7898" spans="1:14" ht="12.75" customHeight="1" x14ac:dyDescent="0.2">
      <c r="A7898" s="400" t="s">
        <v>927</v>
      </c>
      <c r="B7898" s="271"/>
      <c r="C7898" s="271"/>
      <c r="D7898" s="271"/>
      <c r="E7898" s="271"/>
      <c r="F7898" s="271"/>
      <c r="G7898" s="273"/>
      <c r="H7898" s="29" t="str">
        <f>IF(A7898="","",VLOOKUP(A7898,AA_Equipos,7,FALSE))</f>
        <v>% M.O.</v>
      </c>
      <c r="I7898" s="394">
        <f>+M7921</f>
        <v>87778.61</v>
      </c>
      <c r="J7898" s="273"/>
      <c r="K7898" s="404">
        <v>0.05</v>
      </c>
      <c r="L7898" s="273"/>
      <c r="M7898" s="394">
        <f t="shared" ref="M7898:M7902" si="1077">IF(A7898="","",I7898*K7898)</f>
        <v>4388.9305000000004</v>
      </c>
      <c r="N7898" s="273"/>
    </row>
    <row r="7899" spans="1:14" ht="12.75" customHeight="1" x14ac:dyDescent="0.2">
      <c r="A7899" s="403"/>
      <c r="B7899" s="271"/>
      <c r="C7899" s="271"/>
      <c r="D7899" s="271"/>
      <c r="E7899" s="271"/>
      <c r="F7899" s="271"/>
      <c r="G7899" s="273"/>
      <c r="H7899" s="29" t="str">
        <f>IF(A7899="","",VLOOKUP(A7899,AA_Equipos,7,FALSE))</f>
        <v/>
      </c>
      <c r="I7899" s="394" t="str">
        <f>IF(A7899="","",VLOOKUP(A7899,AA_Equipos,8,FALSE))</f>
        <v/>
      </c>
      <c r="J7899" s="273"/>
      <c r="K7899" s="402"/>
      <c r="L7899" s="273"/>
      <c r="M7899" s="394" t="str">
        <f t="shared" si="1077"/>
        <v/>
      </c>
      <c r="N7899" s="273"/>
    </row>
    <row r="7900" spans="1:14" ht="12.75" customHeight="1" x14ac:dyDescent="0.2">
      <c r="A7900" s="400"/>
      <c r="B7900" s="271"/>
      <c r="C7900" s="271"/>
      <c r="D7900" s="271"/>
      <c r="E7900" s="271"/>
      <c r="F7900" s="271"/>
      <c r="G7900" s="273"/>
      <c r="H7900" s="29" t="str">
        <f>IF(A7900="","",VLOOKUP(A7900,AA_Equipos,7,FALSE))</f>
        <v/>
      </c>
      <c r="I7900" s="394" t="str">
        <f>IF(A7900="","",VLOOKUP(A7900,AA_Equipos,8,FALSE))</f>
        <v/>
      </c>
      <c r="J7900" s="273"/>
      <c r="K7900" s="401"/>
      <c r="L7900" s="273"/>
      <c r="M7900" s="394" t="str">
        <f t="shared" si="1077"/>
        <v/>
      </c>
      <c r="N7900" s="273"/>
    </row>
    <row r="7901" spans="1:14" ht="12.75" customHeight="1" x14ac:dyDescent="0.2">
      <c r="A7901" s="400"/>
      <c r="B7901" s="271"/>
      <c r="C7901" s="271"/>
      <c r="D7901" s="271"/>
      <c r="E7901" s="271"/>
      <c r="F7901" s="271"/>
      <c r="G7901" s="273"/>
      <c r="H7901" s="29" t="str">
        <f>IF(A7901="","",VLOOKUP(A7901,AA_Equipos,7,FALSE))</f>
        <v/>
      </c>
      <c r="I7901" s="394" t="str">
        <f>IF(A7901="","",VLOOKUP(A7901,AA_Equipos,8,FALSE))</f>
        <v/>
      </c>
      <c r="J7901" s="273"/>
      <c r="K7901" s="395"/>
      <c r="L7901" s="273"/>
      <c r="M7901" s="394" t="str">
        <f t="shared" si="1077"/>
        <v/>
      </c>
      <c r="N7901" s="273"/>
    </row>
    <row r="7902" spans="1:14" ht="12.75" customHeight="1" x14ac:dyDescent="0.2">
      <c r="A7902" s="400"/>
      <c r="B7902" s="271"/>
      <c r="C7902" s="271"/>
      <c r="D7902" s="271"/>
      <c r="E7902" s="271"/>
      <c r="F7902" s="271"/>
      <c r="G7902" s="273"/>
      <c r="H7902" s="29" t="str">
        <f>IF(A7902="","",VLOOKUP(A7902,AA_Equipos,7,FALSE))</f>
        <v/>
      </c>
      <c r="I7902" s="394" t="str">
        <f>IF(A7902="","",VLOOKUP(A7902,AA_Equipos,8,FALSE))</f>
        <v/>
      </c>
      <c r="J7902" s="273"/>
      <c r="K7902" s="395"/>
      <c r="L7902" s="273"/>
      <c r="M7902" s="394" t="str">
        <f t="shared" si="1077"/>
        <v/>
      </c>
      <c r="N7902" s="273"/>
    </row>
    <row r="7903" spans="1:14" ht="12.75" customHeight="1" x14ac:dyDescent="0.25">
      <c r="A7903" s="4"/>
      <c r="B7903" s="4"/>
      <c r="C7903" s="4"/>
      <c r="D7903" s="4"/>
      <c r="E7903" s="4"/>
      <c r="F7903" s="4"/>
      <c r="G7903" s="4"/>
      <c r="H7903" s="4"/>
      <c r="I7903" s="4"/>
      <c r="J7903" s="4"/>
      <c r="K7903" s="396" t="s">
        <v>444</v>
      </c>
      <c r="L7903" s="273"/>
      <c r="M7903" s="394">
        <f>SUM(M7898:N7902)</f>
        <v>4388.9305000000004</v>
      </c>
      <c r="N7903" s="273"/>
    </row>
    <row r="7904" spans="1:14" ht="12.75" customHeight="1" x14ac:dyDescent="0.25">
      <c r="A7904" s="4"/>
      <c r="B7904" s="4"/>
      <c r="C7904" s="4"/>
      <c r="D7904" s="4"/>
      <c r="E7904" s="4"/>
      <c r="F7904" s="4"/>
      <c r="G7904" s="4"/>
      <c r="H7904" s="4"/>
      <c r="I7904" s="4"/>
      <c r="J7904" s="4"/>
      <c r="K7904" s="4"/>
      <c r="L7904" s="4"/>
      <c r="M7904" s="4"/>
      <c r="N7904" s="4"/>
    </row>
    <row r="7905" spans="1:14" ht="12.75" customHeight="1" x14ac:dyDescent="0.2">
      <c r="A7905" s="398" t="s">
        <v>929</v>
      </c>
      <c r="B7905" s="271"/>
      <c r="C7905" s="271"/>
      <c r="D7905" s="271"/>
      <c r="E7905" s="271"/>
      <c r="F7905" s="271"/>
      <c r="G7905" s="271"/>
      <c r="H7905" s="271"/>
      <c r="I7905" s="271"/>
      <c r="J7905" s="271"/>
      <c r="K7905" s="271"/>
      <c r="L7905" s="271"/>
      <c r="M7905" s="271"/>
      <c r="N7905" s="273"/>
    </row>
    <row r="7906" spans="1:14" ht="12.75" customHeight="1" x14ac:dyDescent="0.2">
      <c r="A7906" s="396" t="s">
        <v>76</v>
      </c>
      <c r="B7906" s="271"/>
      <c r="C7906" s="271"/>
      <c r="D7906" s="271"/>
      <c r="E7906" s="271"/>
      <c r="F7906" s="271"/>
      <c r="G7906" s="273"/>
      <c r="H7906" s="88" t="s">
        <v>77</v>
      </c>
      <c r="I7906" s="399" t="s">
        <v>920</v>
      </c>
      <c r="J7906" s="273"/>
      <c r="K7906" s="399" t="s">
        <v>453</v>
      </c>
      <c r="L7906" s="273"/>
      <c r="M7906" s="399" t="s">
        <v>921</v>
      </c>
      <c r="N7906" s="273"/>
    </row>
    <row r="7907" spans="1:14" ht="12.75" customHeight="1" x14ac:dyDescent="0.2">
      <c r="A7907" s="400" t="s">
        <v>966</v>
      </c>
      <c r="B7907" s="271"/>
      <c r="C7907" s="271"/>
      <c r="D7907" s="271"/>
      <c r="E7907" s="271"/>
      <c r="F7907" s="271"/>
      <c r="G7907" s="273"/>
      <c r="H7907" s="29" t="s">
        <v>950</v>
      </c>
      <c r="I7907" s="394">
        <f>+M7894</f>
        <v>156612</v>
      </c>
      <c r="J7907" s="273"/>
      <c r="K7907" s="404">
        <v>0.05</v>
      </c>
      <c r="L7907" s="273"/>
      <c r="M7907" s="394">
        <f t="shared" ref="M7907:M7911" si="1078">IF(A7907="","",I7907*K7907)</f>
        <v>7830.6</v>
      </c>
      <c r="N7907" s="273"/>
    </row>
    <row r="7908" spans="1:14" ht="12.75" customHeight="1" x14ac:dyDescent="0.2">
      <c r="A7908" s="403"/>
      <c r="B7908" s="271"/>
      <c r="C7908" s="271"/>
      <c r="D7908" s="271"/>
      <c r="E7908" s="271"/>
      <c r="F7908" s="271"/>
      <c r="G7908" s="273"/>
      <c r="H7908" s="29"/>
      <c r="I7908" s="394"/>
      <c r="J7908" s="273"/>
      <c r="K7908" s="404"/>
      <c r="L7908" s="273"/>
      <c r="M7908" s="394" t="str">
        <f t="shared" si="1078"/>
        <v/>
      </c>
      <c r="N7908" s="273"/>
    </row>
    <row r="7909" spans="1:14" ht="12.75" customHeight="1" x14ac:dyDescent="0.2">
      <c r="A7909" s="400"/>
      <c r="B7909" s="271"/>
      <c r="C7909" s="271"/>
      <c r="D7909" s="271"/>
      <c r="E7909" s="271"/>
      <c r="F7909" s="271"/>
      <c r="G7909" s="273"/>
      <c r="H7909" s="29"/>
      <c r="I7909" s="394"/>
      <c r="J7909" s="273"/>
      <c r="K7909" s="395"/>
      <c r="L7909" s="273"/>
      <c r="M7909" s="394" t="str">
        <f t="shared" si="1078"/>
        <v/>
      </c>
      <c r="N7909" s="273"/>
    </row>
    <row r="7910" spans="1:14" ht="12.75" customHeight="1" x14ac:dyDescent="0.2">
      <c r="A7910" s="400"/>
      <c r="B7910" s="271"/>
      <c r="C7910" s="271"/>
      <c r="D7910" s="271"/>
      <c r="E7910" s="271"/>
      <c r="F7910" s="271"/>
      <c r="G7910" s="273"/>
      <c r="H7910" s="29"/>
      <c r="I7910" s="394"/>
      <c r="J7910" s="273"/>
      <c r="K7910" s="395"/>
      <c r="L7910" s="273"/>
      <c r="M7910" s="394" t="str">
        <f t="shared" si="1078"/>
        <v/>
      </c>
      <c r="N7910" s="273"/>
    </row>
    <row r="7911" spans="1:14" ht="12.75" customHeight="1" x14ac:dyDescent="0.2">
      <c r="A7911" s="400"/>
      <c r="B7911" s="271"/>
      <c r="C7911" s="271"/>
      <c r="D7911" s="271"/>
      <c r="E7911" s="271"/>
      <c r="F7911" s="271"/>
      <c r="G7911" s="273"/>
      <c r="H7911" s="29"/>
      <c r="I7911" s="394"/>
      <c r="J7911" s="273"/>
      <c r="K7911" s="395"/>
      <c r="L7911" s="273"/>
      <c r="M7911" s="394" t="str">
        <f t="shared" si="1078"/>
        <v/>
      </c>
      <c r="N7911" s="273"/>
    </row>
    <row r="7912" spans="1:14" ht="12.75" customHeight="1" x14ac:dyDescent="0.25">
      <c r="A7912" s="4"/>
      <c r="B7912" s="4"/>
      <c r="C7912" s="4"/>
      <c r="D7912" s="4"/>
      <c r="E7912" s="4"/>
      <c r="F7912" s="4"/>
      <c r="G7912" s="4"/>
      <c r="H7912" s="4"/>
      <c r="I7912" s="4"/>
      <c r="J7912" s="4"/>
      <c r="K7912" s="396" t="s">
        <v>444</v>
      </c>
      <c r="L7912" s="273"/>
      <c r="M7912" s="394">
        <f>SUM(M7907:N7911)</f>
        <v>7830.6</v>
      </c>
      <c r="N7912" s="273"/>
    </row>
    <row r="7913" spans="1:14" ht="12.75" customHeight="1" x14ac:dyDescent="0.25">
      <c r="A7913" s="4"/>
      <c r="B7913" s="4"/>
      <c r="C7913" s="4"/>
      <c r="D7913" s="4"/>
      <c r="E7913" s="4"/>
      <c r="F7913" s="4"/>
      <c r="G7913" s="4"/>
      <c r="H7913" s="4"/>
      <c r="I7913" s="4"/>
      <c r="J7913" s="4"/>
      <c r="K7913" s="4"/>
      <c r="L7913" s="4"/>
      <c r="M7913" s="4"/>
      <c r="N7913" s="4"/>
    </row>
    <row r="7914" spans="1:14" ht="12.75" customHeight="1" x14ac:dyDescent="0.2">
      <c r="A7914" s="398" t="s">
        <v>931</v>
      </c>
      <c r="B7914" s="271"/>
      <c r="C7914" s="271"/>
      <c r="D7914" s="271"/>
      <c r="E7914" s="271"/>
      <c r="F7914" s="271"/>
      <c r="G7914" s="271"/>
      <c r="H7914" s="271"/>
      <c r="I7914" s="271"/>
      <c r="J7914" s="271"/>
      <c r="K7914" s="271"/>
      <c r="L7914" s="271"/>
      <c r="M7914" s="271"/>
      <c r="N7914" s="273"/>
    </row>
    <row r="7915" spans="1:14" ht="12.75" customHeight="1" x14ac:dyDescent="0.2">
      <c r="A7915" s="396" t="s">
        <v>76</v>
      </c>
      <c r="B7915" s="271"/>
      <c r="C7915" s="271"/>
      <c r="D7915" s="271"/>
      <c r="E7915" s="271"/>
      <c r="F7915" s="271"/>
      <c r="G7915" s="273"/>
      <c r="H7915" s="88" t="s">
        <v>77</v>
      </c>
      <c r="I7915" s="399" t="s">
        <v>920</v>
      </c>
      <c r="J7915" s="273"/>
      <c r="K7915" s="90" t="s">
        <v>514</v>
      </c>
      <c r="L7915" s="91" t="s">
        <v>932</v>
      </c>
      <c r="M7915" s="399" t="s">
        <v>921</v>
      </c>
      <c r="N7915" s="273"/>
    </row>
    <row r="7916" spans="1:14" ht="12.75" customHeight="1" x14ac:dyDescent="0.25">
      <c r="A7916" s="393" t="s">
        <v>986</v>
      </c>
      <c r="B7916" s="271"/>
      <c r="C7916" s="271"/>
      <c r="D7916" s="271"/>
      <c r="E7916" s="271"/>
      <c r="F7916" s="271"/>
      <c r="G7916" s="273"/>
      <c r="H7916" s="29" t="str">
        <f>IF(A7916="","",VLOOKUP(A7916,AA_Cuadrillas,4,FALSE))</f>
        <v>Cuadrilla</v>
      </c>
      <c r="I7916" s="394">
        <f>IF(A7916="","",VLOOKUP(A7916,AA_Cuadrillas,5,FALSE))</f>
        <v>186763</v>
      </c>
      <c r="J7916" s="273"/>
      <c r="K7916" s="9">
        <f>IF(A7916="","",F.P!$I$2)</f>
        <v>1.88</v>
      </c>
      <c r="L7916" s="97">
        <v>0.25</v>
      </c>
      <c r="M7916" s="394">
        <f t="shared" ref="M7916:M7920" si="1079">IF(A7916="","",I7916*K7916*L7916)</f>
        <v>87778.61</v>
      </c>
      <c r="N7916" s="273"/>
    </row>
    <row r="7917" spans="1:14" ht="12.75" customHeight="1" x14ac:dyDescent="0.25">
      <c r="A7917" s="393"/>
      <c r="B7917" s="271"/>
      <c r="C7917" s="271"/>
      <c r="D7917" s="271"/>
      <c r="E7917" s="271"/>
      <c r="F7917" s="271"/>
      <c r="G7917" s="273"/>
      <c r="H7917" s="29" t="str">
        <f>IF(A7917="","",VLOOKUP(A7917,AA_Cuadrillas,4,FALSE))</f>
        <v/>
      </c>
      <c r="I7917" s="394" t="str">
        <f>IF(A7917="","",VLOOKUP(A7917,AA_Cuadrillas,5,FALSE))</f>
        <v/>
      </c>
      <c r="J7917" s="273"/>
      <c r="K7917" s="9" t="str">
        <f>IF(A7917="","",F.P!$I$2)</f>
        <v/>
      </c>
      <c r="L7917" s="9"/>
      <c r="M7917" s="394" t="str">
        <f t="shared" si="1079"/>
        <v/>
      </c>
      <c r="N7917" s="273"/>
    </row>
    <row r="7918" spans="1:14" ht="12.75" customHeight="1" x14ac:dyDescent="0.25">
      <c r="A7918" s="393"/>
      <c r="B7918" s="271"/>
      <c r="C7918" s="271"/>
      <c r="D7918" s="271"/>
      <c r="E7918" s="271"/>
      <c r="F7918" s="271"/>
      <c r="G7918" s="273"/>
      <c r="H7918" s="29" t="str">
        <f>IF(A7918="","",VLOOKUP(A7918,AA_Cuadrillas,4,FALSE))</f>
        <v/>
      </c>
      <c r="I7918" s="394" t="str">
        <f>IF(A7918="","",VLOOKUP(A7918,AA_Cuadrillas,5,FALSE))</f>
        <v/>
      </c>
      <c r="J7918" s="273"/>
      <c r="K7918" s="9" t="str">
        <f>IF(A7918="","",F.P!$I$2)</f>
        <v/>
      </c>
      <c r="L7918" s="37"/>
      <c r="M7918" s="394" t="str">
        <f t="shared" si="1079"/>
        <v/>
      </c>
      <c r="N7918" s="273"/>
    </row>
    <row r="7919" spans="1:14" ht="12.75" customHeight="1" x14ac:dyDescent="0.25">
      <c r="A7919" s="393"/>
      <c r="B7919" s="271"/>
      <c r="C7919" s="271"/>
      <c r="D7919" s="271"/>
      <c r="E7919" s="271"/>
      <c r="F7919" s="271"/>
      <c r="G7919" s="273"/>
      <c r="H7919" s="29" t="str">
        <f>IF(A7919="","",VLOOKUP(A7919,AA_Cuadrillas,4,FALSE))</f>
        <v/>
      </c>
      <c r="I7919" s="394" t="str">
        <f>IF(A7919="","",VLOOKUP(A7919,AA_Cuadrillas,5,FALSE))</f>
        <v/>
      </c>
      <c r="J7919" s="273"/>
      <c r="K7919" s="9" t="str">
        <f>IF(A7919="","",F.P!$I$2)</f>
        <v/>
      </c>
      <c r="L7919" s="37"/>
      <c r="M7919" s="394" t="str">
        <f t="shared" si="1079"/>
        <v/>
      </c>
      <c r="N7919" s="273"/>
    </row>
    <row r="7920" spans="1:14" ht="12.75" customHeight="1" x14ac:dyDescent="0.25">
      <c r="A7920" s="393"/>
      <c r="B7920" s="271"/>
      <c r="C7920" s="271"/>
      <c r="D7920" s="271"/>
      <c r="E7920" s="271"/>
      <c r="F7920" s="271"/>
      <c r="G7920" s="273"/>
      <c r="H7920" s="29" t="str">
        <f>IF(A7920="","",VLOOKUP(A7920,AA_Cuadrillas,4,FALSE))</f>
        <v/>
      </c>
      <c r="I7920" s="394" t="str">
        <f>IF(A7920="","",VLOOKUP(A7920,AA_Cuadrillas,5,FALSE))</f>
        <v/>
      </c>
      <c r="J7920" s="273"/>
      <c r="K7920" s="9" t="str">
        <f>IF(A7920="","",F.P!$I$2)</f>
        <v/>
      </c>
      <c r="L7920" s="37"/>
      <c r="M7920" s="394" t="str">
        <f t="shared" si="1079"/>
        <v/>
      </c>
      <c r="N7920" s="273"/>
    </row>
    <row r="7921" spans="1:15" ht="12.75" customHeight="1" x14ac:dyDescent="0.25">
      <c r="A7921" s="4"/>
      <c r="B7921" s="4"/>
      <c r="C7921" s="4"/>
      <c r="D7921" s="4"/>
      <c r="E7921" s="4"/>
      <c r="F7921" s="4"/>
      <c r="G7921" s="4"/>
      <c r="H7921" s="4"/>
      <c r="I7921" s="4"/>
      <c r="J7921" s="4"/>
      <c r="K7921" s="396" t="s">
        <v>444</v>
      </c>
      <c r="L7921" s="273"/>
      <c r="M7921" s="394">
        <f>SUM(M7916:N7920)</f>
        <v>87778.61</v>
      </c>
      <c r="N7921" s="273"/>
    </row>
    <row r="7922" spans="1:15" ht="12.75" customHeight="1" x14ac:dyDescent="0.2"/>
    <row r="7923" spans="1:15" ht="12.75" customHeight="1" x14ac:dyDescent="0.2">
      <c r="A7923" s="407" t="s">
        <v>1346</v>
      </c>
      <c r="B7923" s="275"/>
      <c r="C7923" s="275"/>
      <c r="D7923" s="275"/>
      <c r="E7923" s="275"/>
      <c r="F7923" s="275"/>
      <c r="G7923" s="275"/>
      <c r="H7923" s="275"/>
      <c r="I7923" s="275"/>
      <c r="J7923" s="275"/>
      <c r="K7923" s="275"/>
      <c r="L7923" s="275"/>
      <c r="M7923" s="275"/>
      <c r="N7923" s="276"/>
      <c r="O7923" s="166"/>
    </row>
    <row r="7924" spans="1:15" ht="12.75" customHeight="1" x14ac:dyDescent="0.2">
      <c r="A7924" s="277"/>
      <c r="B7924" s="278"/>
      <c r="C7924" s="278"/>
      <c r="D7924" s="278"/>
      <c r="E7924" s="278"/>
      <c r="F7924" s="278"/>
      <c r="G7924" s="278"/>
      <c r="H7924" s="278"/>
      <c r="I7924" s="278"/>
      <c r="J7924" s="278"/>
      <c r="K7924" s="278"/>
      <c r="L7924" s="278"/>
      <c r="M7924" s="278"/>
      <c r="N7924" s="279"/>
      <c r="O7924" s="166"/>
    </row>
    <row r="7925" spans="1:15" ht="12.75" customHeight="1" x14ac:dyDescent="0.2">
      <c r="A7925" s="75"/>
      <c r="B7925" s="75"/>
      <c r="C7925" s="75"/>
      <c r="D7925" s="75"/>
      <c r="E7925" s="75"/>
      <c r="F7925" s="75"/>
      <c r="G7925" s="75"/>
      <c r="H7925" s="75"/>
      <c r="I7925" s="75"/>
      <c r="J7925" s="75"/>
      <c r="K7925" s="75"/>
      <c r="L7925" s="75"/>
      <c r="M7925" s="75"/>
      <c r="N7925" s="75"/>
    </row>
    <row r="7926" spans="1:15" ht="12.75" customHeight="1" x14ac:dyDescent="0.3">
      <c r="A7926" s="79" t="s">
        <v>794</v>
      </c>
      <c r="B7926" s="80" t="str">
        <f>A7923</f>
        <v>SUMINISTRO E INSTALACIÓN DE TUBERÍA NOVAFORT Ø6" PARA ALCANTARILLADO</v>
      </c>
      <c r="C7926" s="81" t="s">
        <v>916</v>
      </c>
      <c r="D7926" s="82" t="s">
        <v>917</v>
      </c>
      <c r="E7926" s="83" t="s">
        <v>445</v>
      </c>
      <c r="F7926" s="86">
        <f>H7926+J7926+L7926+N7926</f>
        <v>36032.115585416672</v>
      </c>
      <c r="G7926" s="83" t="s">
        <v>607</v>
      </c>
      <c r="H7926" s="86">
        <f>M7936</f>
        <v>26984</v>
      </c>
      <c r="I7926" s="83" t="s">
        <v>918</v>
      </c>
      <c r="J7926" s="86">
        <f>M7945</f>
        <v>365.74420833333335</v>
      </c>
      <c r="K7926" s="83" t="s">
        <v>609</v>
      </c>
      <c r="L7926" s="86">
        <f>M7954</f>
        <v>1367.4872104166668</v>
      </c>
      <c r="M7926" s="83" t="s">
        <v>610</v>
      </c>
      <c r="N7926" s="86">
        <f>M7963</f>
        <v>7314.8841666666667</v>
      </c>
    </row>
    <row r="7927" spans="1:15" ht="12.75" customHeight="1" x14ac:dyDescent="0.25">
      <c r="A7927" s="87"/>
      <c r="B7927" s="87"/>
      <c r="C7927" s="87"/>
      <c r="D7927" s="87"/>
      <c r="E7927" s="87"/>
      <c r="F7927" s="87"/>
      <c r="G7927" s="87"/>
      <c r="J7927" s="87"/>
      <c r="K7927" s="215" t="s">
        <v>3217</v>
      </c>
      <c r="L7927" s="215">
        <f>+F7926*presup!$O$5</f>
        <v>46841.750261041678</v>
      </c>
      <c r="M7927" s="87"/>
      <c r="N7927" s="87"/>
    </row>
    <row r="7928" spans="1:15" ht="12.75" customHeight="1" x14ac:dyDescent="0.2">
      <c r="A7928" s="398" t="s">
        <v>919</v>
      </c>
      <c r="B7928" s="271"/>
      <c r="C7928" s="271"/>
      <c r="D7928" s="271"/>
      <c r="E7928" s="271"/>
      <c r="F7928" s="271"/>
      <c r="G7928" s="271"/>
      <c r="H7928" s="271"/>
      <c r="I7928" s="271"/>
      <c r="J7928" s="271"/>
      <c r="K7928" s="271"/>
      <c r="L7928" s="271"/>
      <c r="M7928" s="271"/>
      <c r="N7928" s="273"/>
    </row>
    <row r="7929" spans="1:15" ht="12.75" customHeight="1" x14ac:dyDescent="0.2">
      <c r="A7929" s="396" t="s">
        <v>76</v>
      </c>
      <c r="B7929" s="271"/>
      <c r="C7929" s="271"/>
      <c r="D7929" s="271"/>
      <c r="E7929" s="271"/>
      <c r="F7929" s="271"/>
      <c r="G7929" s="273"/>
      <c r="H7929" s="88" t="s">
        <v>77</v>
      </c>
      <c r="I7929" s="399" t="s">
        <v>920</v>
      </c>
      <c r="J7929" s="273"/>
      <c r="K7929" s="399" t="s">
        <v>453</v>
      </c>
      <c r="L7929" s="273"/>
      <c r="M7929" s="399" t="s">
        <v>921</v>
      </c>
      <c r="N7929" s="273"/>
    </row>
    <row r="7930" spans="1:15" ht="12.75" customHeight="1" x14ac:dyDescent="0.2">
      <c r="A7930" s="403" t="s">
        <v>1347</v>
      </c>
      <c r="B7930" s="271"/>
      <c r="C7930" s="271"/>
      <c r="D7930" s="271"/>
      <c r="E7930" s="271"/>
      <c r="F7930" s="271"/>
      <c r="G7930" s="273"/>
      <c r="H7930" s="29" t="str">
        <f t="shared" ref="H7930:H7935" si="1080">IF(A7930="","",VLOOKUP(A7930,AA_Materiales,7,FALSE))</f>
        <v>ml</v>
      </c>
      <c r="I7930" s="394">
        <f t="shared" ref="I7930:I7935" si="1081">IF(A7930="","",VLOOKUP(A7930,AA_Materiales,8,FALSE))</f>
        <v>26984</v>
      </c>
      <c r="J7930" s="273"/>
      <c r="K7930" s="395">
        <v>1</v>
      </c>
      <c r="L7930" s="273"/>
      <c r="M7930" s="394">
        <f t="shared" ref="M7930:M7935" si="1082">IF(A7930="","",I7930*K7930)</f>
        <v>26984</v>
      </c>
      <c r="N7930" s="273"/>
    </row>
    <row r="7931" spans="1:15" ht="12.75" customHeight="1" x14ac:dyDescent="0.2">
      <c r="A7931" s="403"/>
      <c r="B7931" s="271"/>
      <c r="C7931" s="271"/>
      <c r="D7931" s="271"/>
      <c r="E7931" s="271"/>
      <c r="F7931" s="271"/>
      <c r="G7931" s="273"/>
      <c r="H7931" s="29" t="str">
        <f t="shared" si="1080"/>
        <v/>
      </c>
      <c r="I7931" s="394" t="str">
        <f t="shared" si="1081"/>
        <v/>
      </c>
      <c r="J7931" s="273"/>
      <c r="K7931" s="395"/>
      <c r="L7931" s="273"/>
      <c r="M7931" s="394" t="str">
        <f t="shared" si="1082"/>
        <v/>
      </c>
      <c r="N7931" s="273"/>
    </row>
    <row r="7932" spans="1:15" ht="12.75" customHeight="1" x14ac:dyDescent="0.2">
      <c r="A7932" s="403"/>
      <c r="B7932" s="271"/>
      <c r="C7932" s="271"/>
      <c r="D7932" s="271"/>
      <c r="E7932" s="271"/>
      <c r="F7932" s="271"/>
      <c r="G7932" s="273"/>
      <c r="H7932" s="29" t="str">
        <f t="shared" si="1080"/>
        <v/>
      </c>
      <c r="I7932" s="394" t="str">
        <f t="shared" si="1081"/>
        <v/>
      </c>
      <c r="J7932" s="273"/>
      <c r="K7932" s="395"/>
      <c r="L7932" s="273"/>
      <c r="M7932" s="394" t="str">
        <f t="shared" si="1082"/>
        <v/>
      </c>
      <c r="N7932" s="273"/>
    </row>
    <row r="7933" spans="1:15" ht="12.75" customHeight="1" x14ac:dyDescent="0.2">
      <c r="A7933" s="403"/>
      <c r="B7933" s="271"/>
      <c r="C7933" s="271"/>
      <c r="D7933" s="271"/>
      <c r="E7933" s="271"/>
      <c r="F7933" s="271"/>
      <c r="G7933" s="273"/>
      <c r="H7933" s="29" t="str">
        <f t="shared" si="1080"/>
        <v/>
      </c>
      <c r="I7933" s="394" t="str">
        <f t="shared" si="1081"/>
        <v/>
      </c>
      <c r="J7933" s="273"/>
      <c r="K7933" s="395"/>
      <c r="L7933" s="273"/>
      <c r="M7933" s="394" t="str">
        <f t="shared" si="1082"/>
        <v/>
      </c>
      <c r="N7933" s="273"/>
    </row>
    <row r="7934" spans="1:15" ht="12.75" customHeight="1" x14ac:dyDescent="0.2">
      <c r="A7934" s="403"/>
      <c r="B7934" s="271"/>
      <c r="C7934" s="271"/>
      <c r="D7934" s="271"/>
      <c r="E7934" s="271"/>
      <c r="F7934" s="271"/>
      <c r="G7934" s="273"/>
      <c r="H7934" s="29" t="str">
        <f t="shared" si="1080"/>
        <v/>
      </c>
      <c r="I7934" s="394" t="str">
        <f t="shared" si="1081"/>
        <v/>
      </c>
      <c r="J7934" s="273"/>
      <c r="K7934" s="395"/>
      <c r="L7934" s="273"/>
      <c r="M7934" s="394" t="str">
        <f t="shared" si="1082"/>
        <v/>
      </c>
      <c r="N7934" s="273"/>
    </row>
    <row r="7935" spans="1:15" ht="12.75" customHeight="1" x14ac:dyDescent="0.2">
      <c r="A7935" s="403"/>
      <c r="B7935" s="271"/>
      <c r="C7935" s="271"/>
      <c r="D7935" s="271"/>
      <c r="E7935" s="271"/>
      <c r="F7935" s="271"/>
      <c r="G7935" s="273"/>
      <c r="H7935" s="29" t="str">
        <f t="shared" si="1080"/>
        <v/>
      </c>
      <c r="I7935" s="394" t="str">
        <f t="shared" si="1081"/>
        <v/>
      </c>
      <c r="J7935" s="273"/>
      <c r="K7935" s="395"/>
      <c r="L7935" s="273"/>
      <c r="M7935" s="394" t="str">
        <f t="shared" si="1082"/>
        <v/>
      </c>
      <c r="N7935" s="273"/>
    </row>
    <row r="7936" spans="1:15" ht="12.75" customHeight="1" x14ac:dyDescent="0.25">
      <c r="A7936" s="4"/>
      <c r="B7936" s="4"/>
      <c r="C7936" s="4"/>
      <c r="D7936" s="4"/>
      <c r="E7936" s="4"/>
      <c r="F7936" s="4"/>
      <c r="G7936" s="4"/>
      <c r="H7936" s="4"/>
      <c r="I7936" s="4"/>
      <c r="J7936" s="4"/>
      <c r="K7936" s="396" t="s">
        <v>444</v>
      </c>
      <c r="L7936" s="273"/>
      <c r="M7936" s="394">
        <f>SUM(M7930:N7935)</f>
        <v>26984</v>
      </c>
      <c r="N7936" s="273"/>
    </row>
    <row r="7937" spans="1:14" ht="12.75" customHeight="1" x14ac:dyDescent="0.25">
      <c r="A7937" s="4"/>
      <c r="B7937" s="4"/>
      <c r="C7937" s="4"/>
      <c r="D7937" s="4"/>
      <c r="E7937" s="4"/>
      <c r="F7937" s="4"/>
      <c r="G7937" s="4"/>
      <c r="H7937" s="4"/>
      <c r="I7937" s="4"/>
      <c r="J7937" s="4"/>
      <c r="K7937" s="4"/>
      <c r="L7937" s="4"/>
      <c r="M7937" s="4"/>
      <c r="N7937" s="4"/>
    </row>
    <row r="7938" spans="1:14" ht="12.75" customHeight="1" x14ac:dyDescent="0.2">
      <c r="A7938" s="398" t="s">
        <v>926</v>
      </c>
      <c r="B7938" s="271"/>
      <c r="C7938" s="271"/>
      <c r="D7938" s="271"/>
      <c r="E7938" s="271"/>
      <c r="F7938" s="271"/>
      <c r="G7938" s="271"/>
      <c r="H7938" s="271"/>
      <c r="I7938" s="271"/>
      <c r="J7938" s="271"/>
      <c r="K7938" s="271"/>
      <c r="L7938" s="271"/>
      <c r="M7938" s="271"/>
      <c r="N7938" s="273"/>
    </row>
    <row r="7939" spans="1:14" ht="12.75" customHeight="1" x14ac:dyDescent="0.2">
      <c r="A7939" s="396" t="s">
        <v>76</v>
      </c>
      <c r="B7939" s="271"/>
      <c r="C7939" s="271"/>
      <c r="D7939" s="271"/>
      <c r="E7939" s="271"/>
      <c r="F7939" s="271"/>
      <c r="G7939" s="273"/>
      <c r="H7939" s="88" t="s">
        <v>77</v>
      </c>
      <c r="I7939" s="399" t="s">
        <v>920</v>
      </c>
      <c r="J7939" s="273"/>
      <c r="K7939" s="399" t="s">
        <v>453</v>
      </c>
      <c r="L7939" s="273"/>
      <c r="M7939" s="399" t="s">
        <v>921</v>
      </c>
      <c r="N7939" s="273"/>
    </row>
    <row r="7940" spans="1:14" ht="12.75" customHeight="1" x14ac:dyDescent="0.2">
      <c r="A7940" s="400" t="s">
        <v>927</v>
      </c>
      <c r="B7940" s="271"/>
      <c r="C7940" s="271"/>
      <c r="D7940" s="271"/>
      <c r="E7940" s="271"/>
      <c r="F7940" s="271"/>
      <c r="G7940" s="273"/>
      <c r="H7940" s="29" t="str">
        <f>IF(A7940="","",VLOOKUP(A7940,AA_Equipos,7,FALSE))</f>
        <v>% M.O.</v>
      </c>
      <c r="I7940" s="394">
        <f>+M7963</f>
        <v>7314.8841666666667</v>
      </c>
      <c r="J7940" s="273"/>
      <c r="K7940" s="404">
        <v>0.05</v>
      </c>
      <c r="L7940" s="273"/>
      <c r="M7940" s="394">
        <f t="shared" ref="M7940:M7944" si="1083">IF(A7940="","",I7940*K7940)</f>
        <v>365.74420833333335</v>
      </c>
      <c r="N7940" s="273"/>
    </row>
    <row r="7941" spans="1:14" ht="12.75" customHeight="1" x14ac:dyDescent="0.2">
      <c r="A7941" s="403"/>
      <c r="B7941" s="271"/>
      <c r="C7941" s="271"/>
      <c r="D7941" s="271"/>
      <c r="E7941" s="271"/>
      <c r="F7941" s="271"/>
      <c r="G7941" s="273"/>
      <c r="H7941" s="29" t="str">
        <f>IF(A7941="","",VLOOKUP(A7941,AA_Equipos,7,FALSE))</f>
        <v/>
      </c>
      <c r="I7941" s="394" t="str">
        <f>IF(A7941="","",VLOOKUP(A7941,AA_Equipos,8,FALSE))</f>
        <v/>
      </c>
      <c r="J7941" s="273"/>
      <c r="K7941" s="402"/>
      <c r="L7941" s="273"/>
      <c r="M7941" s="394" t="str">
        <f t="shared" si="1083"/>
        <v/>
      </c>
      <c r="N7941" s="273"/>
    </row>
    <row r="7942" spans="1:14" ht="12.75" customHeight="1" x14ac:dyDescent="0.2">
      <c r="A7942" s="400"/>
      <c r="B7942" s="271"/>
      <c r="C7942" s="271"/>
      <c r="D7942" s="271"/>
      <c r="E7942" s="271"/>
      <c r="F7942" s="271"/>
      <c r="G7942" s="273"/>
      <c r="H7942" s="29" t="str">
        <f>IF(A7942="","",VLOOKUP(A7942,AA_Equipos,7,FALSE))</f>
        <v/>
      </c>
      <c r="I7942" s="394" t="str">
        <f>IF(A7942="","",VLOOKUP(A7942,AA_Equipos,8,FALSE))</f>
        <v/>
      </c>
      <c r="J7942" s="273"/>
      <c r="K7942" s="401"/>
      <c r="L7942" s="273"/>
      <c r="M7942" s="394" t="str">
        <f t="shared" si="1083"/>
        <v/>
      </c>
      <c r="N7942" s="273"/>
    </row>
    <row r="7943" spans="1:14" ht="12.75" customHeight="1" x14ac:dyDescent="0.2">
      <c r="A7943" s="400"/>
      <c r="B7943" s="271"/>
      <c r="C7943" s="271"/>
      <c r="D7943" s="271"/>
      <c r="E7943" s="271"/>
      <c r="F7943" s="271"/>
      <c r="G7943" s="273"/>
      <c r="H7943" s="29" t="str">
        <f>IF(A7943="","",VLOOKUP(A7943,AA_Equipos,7,FALSE))</f>
        <v/>
      </c>
      <c r="I7943" s="394" t="str">
        <f>IF(A7943="","",VLOOKUP(A7943,AA_Equipos,8,FALSE))</f>
        <v/>
      </c>
      <c r="J7943" s="273"/>
      <c r="K7943" s="395"/>
      <c r="L7943" s="273"/>
      <c r="M7943" s="394" t="str">
        <f t="shared" si="1083"/>
        <v/>
      </c>
      <c r="N7943" s="273"/>
    </row>
    <row r="7944" spans="1:14" ht="12.75" customHeight="1" x14ac:dyDescent="0.2">
      <c r="A7944" s="400"/>
      <c r="B7944" s="271"/>
      <c r="C7944" s="271"/>
      <c r="D7944" s="271"/>
      <c r="E7944" s="271"/>
      <c r="F7944" s="271"/>
      <c r="G7944" s="273"/>
      <c r="H7944" s="29" t="str">
        <f>IF(A7944="","",VLOOKUP(A7944,AA_Equipos,7,FALSE))</f>
        <v/>
      </c>
      <c r="I7944" s="394" t="str">
        <f>IF(A7944="","",VLOOKUP(A7944,AA_Equipos,8,FALSE))</f>
        <v/>
      </c>
      <c r="J7944" s="273"/>
      <c r="K7944" s="395"/>
      <c r="L7944" s="273"/>
      <c r="M7944" s="394" t="str">
        <f t="shared" si="1083"/>
        <v/>
      </c>
      <c r="N7944" s="273"/>
    </row>
    <row r="7945" spans="1:14" ht="12.75" customHeight="1" x14ac:dyDescent="0.25">
      <c r="A7945" s="4"/>
      <c r="B7945" s="4"/>
      <c r="C7945" s="4"/>
      <c r="D7945" s="4"/>
      <c r="E7945" s="4"/>
      <c r="F7945" s="4"/>
      <c r="G7945" s="4"/>
      <c r="H7945" s="4"/>
      <c r="I7945" s="4"/>
      <c r="J7945" s="4"/>
      <c r="K7945" s="396" t="s">
        <v>444</v>
      </c>
      <c r="L7945" s="273"/>
      <c r="M7945" s="394">
        <f>SUM(M7940:N7944)</f>
        <v>365.74420833333335</v>
      </c>
      <c r="N7945" s="273"/>
    </row>
    <row r="7946" spans="1:14" ht="12.75" customHeight="1" x14ac:dyDescent="0.25">
      <c r="A7946" s="4"/>
      <c r="B7946" s="4"/>
      <c r="C7946" s="4"/>
      <c r="D7946" s="4"/>
      <c r="E7946" s="4"/>
      <c r="F7946" s="4"/>
      <c r="G7946" s="4"/>
      <c r="H7946" s="4"/>
      <c r="I7946" s="4"/>
      <c r="J7946" s="4"/>
      <c r="K7946" s="4"/>
      <c r="L7946" s="4"/>
      <c r="M7946" s="4"/>
      <c r="N7946" s="4"/>
    </row>
    <row r="7947" spans="1:14" ht="12.75" customHeight="1" x14ac:dyDescent="0.2">
      <c r="A7947" s="398" t="s">
        <v>929</v>
      </c>
      <c r="B7947" s="271"/>
      <c r="C7947" s="271"/>
      <c r="D7947" s="271"/>
      <c r="E7947" s="271"/>
      <c r="F7947" s="271"/>
      <c r="G7947" s="271"/>
      <c r="H7947" s="271"/>
      <c r="I7947" s="271"/>
      <c r="J7947" s="271"/>
      <c r="K7947" s="271"/>
      <c r="L7947" s="271"/>
      <c r="M7947" s="271"/>
      <c r="N7947" s="273"/>
    </row>
    <row r="7948" spans="1:14" ht="12.75" customHeight="1" x14ac:dyDescent="0.2">
      <c r="A7948" s="396" t="s">
        <v>76</v>
      </c>
      <c r="B7948" s="271"/>
      <c r="C7948" s="271"/>
      <c r="D7948" s="271"/>
      <c r="E7948" s="271"/>
      <c r="F7948" s="271"/>
      <c r="G7948" s="273"/>
      <c r="H7948" s="88" t="s">
        <v>77</v>
      </c>
      <c r="I7948" s="399" t="s">
        <v>920</v>
      </c>
      <c r="J7948" s="273"/>
      <c r="K7948" s="399" t="s">
        <v>453</v>
      </c>
      <c r="L7948" s="273"/>
      <c r="M7948" s="399" t="s">
        <v>921</v>
      </c>
      <c r="N7948" s="273"/>
    </row>
    <row r="7949" spans="1:14" ht="12.75" customHeight="1" x14ac:dyDescent="0.2">
      <c r="A7949" s="400" t="s">
        <v>966</v>
      </c>
      <c r="B7949" s="271"/>
      <c r="C7949" s="271"/>
      <c r="D7949" s="271"/>
      <c r="E7949" s="271"/>
      <c r="F7949" s="271"/>
      <c r="G7949" s="273"/>
      <c r="H7949" s="29" t="s">
        <v>950</v>
      </c>
      <c r="I7949" s="394">
        <f>+M7936</f>
        <v>26984</v>
      </c>
      <c r="J7949" s="273"/>
      <c r="K7949" s="404">
        <v>0.05</v>
      </c>
      <c r="L7949" s="273"/>
      <c r="M7949" s="394">
        <f t="shared" ref="M7949:M7953" si="1084">IF(A7949="","",I7949*K7949)</f>
        <v>1349.2</v>
      </c>
      <c r="N7949" s="273"/>
    </row>
    <row r="7950" spans="1:14" ht="12.75" customHeight="1" x14ac:dyDescent="0.2">
      <c r="A7950" s="403" t="s">
        <v>3174</v>
      </c>
      <c r="B7950" s="271"/>
      <c r="C7950" s="271"/>
      <c r="D7950" s="271"/>
      <c r="E7950" s="271"/>
      <c r="F7950" s="271"/>
      <c r="G7950" s="273"/>
      <c r="H7950" s="29" t="s">
        <v>24</v>
      </c>
      <c r="I7950" s="394">
        <f>+M7945</f>
        <v>365.74420833333335</v>
      </c>
      <c r="J7950" s="273"/>
      <c r="K7950" s="404">
        <v>0.05</v>
      </c>
      <c r="L7950" s="273"/>
      <c r="M7950" s="394">
        <f t="shared" si="1084"/>
        <v>18.287210416666667</v>
      </c>
      <c r="N7950" s="273"/>
    </row>
    <row r="7951" spans="1:14" ht="12.75" customHeight="1" x14ac:dyDescent="0.2">
      <c r="A7951" s="400"/>
      <c r="B7951" s="271"/>
      <c r="C7951" s="271"/>
      <c r="D7951" s="271"/>
      <c r="E7951" s="271"/>
      <c r="F7951" s="271"/>
      <c r="G7951" s="273"/>
      <c r="H7951" s="29"/>
      <c r="I7951" s="394"/>
      <c r="J7951" s="273"/>
      <c r="K7951" s="395"/>
      <c r="L7951" s="273"/>
      <c r="M7951" s="394" t="str">
        <f t="shared" si="1084"/>
        <v/>
      </c>
      <c r="N7951" s="273"/>
    </row>
    <row r="7952" spans="1:14" ht="12.75" customHeight="1" x14ac:dyDescent="0.2">
      <c r="A7952" s="400"/>
      <c r="B7952" s="271"/>
      <c r="C7952" s="271"/>
      <c r="D7952" s="271"/>
      <c r="E7952" s="271"/>
      <c r="F7952" s="271"/>
      <c r="G7952" s="273"/>
      <c r="H7952" s="29"/>
      <c r="I7952" s="394"/>
      <c r="J7952" s="273"/>
      <c r="K7952" s="395"/>
      <c r="L7952" s="273"/>
      <c r="M7952" s="394" t="str">
        <f t="shared" si="1084"/>
        <v/>
      </c>
      <c r="N7952" s="273"/>
    </row>
    <row r="7953" spans="1:15" ht="12.75" customHeight="1" x14ac:dyDescent="0.2">
      <c r="A7953" s="400"/>
      <c r="B7953" s="271"/>
      <c r="C7953" s="271"/>
      <c r="D7953" s="271"/>
      <c r="E7953" s="271"/>
      <c r="F7953" s="271"/>
      <c r="G7953" s="273"/>
      <c r="H7953" s="29"/>
      <c r="I7953" s="394"/>
      <c r="J7953" s="273"/>
      <c r="K7953" s="395"/>
      <c r="L7953" s="273"/>
      <c r="M7953" s="394" t="str">
        <f t="shared" si="1084"/>
        <v/>
      </c>
      <c r="N7953" s="273"/>
    </row>
    <row r="7954" spans="1:15" ht="12.75" customHeight="1" x14ac:dyDescent="0.25">
      <c r="A7954" s="4"/>
      <c r="B7954" s="4"/>
      <c r="C7954" s="4"/>
      <c r="D7954" s="4"/>
      <c r="E7954" s="4"/>
      <c r="F7954" s="4"/>
      <c r="G7954" s="4"/>
      <c r="H7954" s="4"/>
      <c r="I7954" s="4"/>
      <c r="J7954" s="4"/>
      <c r="K7954" s="396" t="s">
        <v>444</v>
      </c>
      <c r="L7954" s="273"/>
      <c r="M7954" s="394">
        <f>SUM(M7949:N7953)</f>
        <v>1367.4872104166668</v>
      </c>
      <c r="N7954" s="273"/>
    </row>
    <row r="7955" spans="1:15" ht="12.75" customHeight="1" x14ac:dyDescent="0.25">
      <c r="A7955" s="4"/>
      <c r="B7955" s="4"/>
      <c r="C7955" s="4"/>
      <c r="D7955" s="4"/>
      <c r="E7955" s="4"/>
      <c r="F7955" s="4"/>
      <c r="G7955" s="4"/>
      <c r="H7955" s="4"/>
      <c r="I7955" s="4"/>
      <c r="J7955" s="4"/>
      <c r="K7955" s="4"/>
      <c r="L7955" s="4"/>
      <c r="M7955" s="4"/>
      <c r="N7955" s="4"/>
    </row>
    <row r="7956" spans="1:15" ht="12.75" customHeight="1" x14ac:dyDescent="0.2">
      <c r="A7956" s="398" t="s">
        <v>931</v>
      </c>
      <c r="B7956" s="271"/>
      <c r="C7956" s="271"/>
      <c r="D7956" s="271"/>
      <c r="E7956" s="271"/>
      <c r="F7956" s="271"/>
      <c r="G7956" s="271"/>
      <c r="H7956" s="271"/>
      <c r="I7956" s="271"/>
      <c r="J7956" s="271"/>
      <c r="K7956" s="271"/>
      <c r="L7956" s="271"/>
      <c r="M7956" s="271"/>
      <c r="N7956" s="273"/>
    </row>
    <row r="7957" spans="1:15" ht="12.75" customHeight="1" x14ac:dyDescent="0.2">
      <c r="A7957" s="396" t="s">
        <v>76</v>
      </c>
      <c r="B7957" s="271"/>
      <c r="C7957" s="271"/>
      <c r="D7957" s="271"/>
      <c r="E7957" s="271"/>
      <c r="F7957" s="271"/>
      <c r="G7957" s="273"/>
      <c r="H7957" s="88" t="s">
        <v>77</v>
      </c>
      <c r="I7957" s="399" t="s">
        <v>920</v>
      </c>
      <c r="J7957" s="273"/>
      <c r="K7957" s="90" t="s">
        <v>514</v>
      </c>
      <c r="L7957" s="91" t="s">
        <v>932</v>
      </c>
      <c r="M7957" s="399" t="s">
        <v>921</v>
      </c>
      <c r="N7957" s="273"/>
    </row>
    <row r="7958" spans="1:15" ht="12.75" customHeight="1" x14ac:dyDescent="0.25">
      <c r="A7958" s="393" t="s">
        <v>986</v>
      </c>
      <c r="B7958" s="271"/>
      <c r="C7958" s="271"/>
      <c r="D7958" s="271"/>
      <c r="E7958" s="271"/>
      <c r="F7958" s="271"/>
      <c r="G7958" s="273"/>
      <c r="H7958" s="29" t="str">
        <f>IF(A7958="","",VLOOKUP(A7958,AA_Cuadrillas,4,FALSE))</f>
        <v>Cuadrilla</v>
      </c>
      <c r="I7958" s="394">
        <f>IF(A7958="","",VLOOKUP(A7958,AA_Cuadrillas,5,FALSE))</f>
        <v>186763</v>
      </c>
      <c r="J7958" s="273"/>
      <c r="K7958" s="9">
        <f>IF(A7958="","",F.P!$I$2)</f>
        <v>1.88</v>
      </c>
      <c r="L7958" s="97">
        <v>2.0833333333333332E-2</v>
      </c>
      <c r="M7958" s="394">
        <f t="shared" ref="M7958:M7962" si="1085">IF(A7958="","",I7958*K7958*L7958)</f>
        <v>7314.8841666666667</v>
      </c>
      <c r="N7958" s="273"/>
    </row>
    <row r="7959" spans="1:15" ht="12.75" customHeight="1" x14ac:dyDescent="0.25">
      <c r="A7959" s="393"/>
      <c r="B7959" s="271"/>
      <c r="C7959" s="271"/>
      <c r="D7959" s="271"/>
      <c r="E7959" s="271"/>
      <c r="F7959" s="271"/>
      <c r="G7959" s="273"/>
      <c r="H7959" s="29" t="str">
        <f>IF(A7959="","",VLOOKUP(A7959,AA_Cuadrillas,4,FALSE))</f>
        <v/>
      </c>
      <c r="I7959" s="394" t="str">
        <f>IF(A7959="","",VLOOKUP(A7959,AA_Cuadrillas,5,FALSE))</f>
        <v/>
      </c>
      <c r="J7959" s="273"/>
      <c r="K7959" s="9" t="str">
        <f>IF(A7959="","",F.P!$I$2)</f>
        <v/>
      </c>
      <c r="L7959" s="9"/>
      <c r="M7959" s="394" t="str">
        <f t="shared" si="1085"/>
        <v/>
      </c>
      <c r="N7959" s="273"/>
    </row>
    <row r="7960" spans="1:15" ht="12.75" customHeight="1" x14ac:dyDescent="0.25">
      <c r="A7960" s="393"/>
      <c r="B7960" s="271"/>
      <c r="C7960" s="271"/>
      <c r="D7960" s="271"/>
      <c r="E7960" s="271"/>
      <c r="F7960" s="271"/>
      <c r="G7960" s="273"/>
      <c r="H7960" s="29" t="str">
        <f>IF(A7960="","",VLOOKUP(A7960,AA_Cuadrillas,4,FALSE))</f>
        <v/>
      </c>
      <c r="I7960" s="394" t="str">
        <f>IF(A7960="","",VLOOKUP(A7960,AA_Cuadrillas,5,FALSE))</f>
        <v/>
      </c>
      <c r="J7960" s="273"/>
      <c r="K7960" s="9" t="str">
        <f>IF(A7960="","",F.P!$I$2)</f>
        <v/>
      </c>
      <c r="L7960" s="37"/>
      <c r="M7960" s="394" t="str">
        <f t="shared" si="1085"/>
        <v/>
      </c>
      <c r="N7960" s="273"/>
    </row>
    <row r="7961" spans="1:15" ht="12.75" customHeight="1" x14ac:dyDescent="0.25">
      <c r="A7961" s="393"/>
      <c r="B7961" s="271"/>
      <c r="C7961" s="271"/>
      <c r="D7961" s="271"/>
      <c r="E7961" s="271"/>
      <c r="F7961" s="271"/>
      <c r="G7961" s="273"/>
      <c r="H7961" s="29" t="str">
        <f>IF(A7961="","",VLOOKUP(A7961,AA_Cuadrillas,4,FALSE))</f>
        <v/>
      </c>
      <c r="I7961" s="394" t="str">
        <f>IF(A7961="","",VLOOKUP(A7961,AA_Cuadrillas,5,FALSE))</f>
        <v/>
      </c>
      <c r="J7961" s="273"/>
      <c r="K7961" s="9" t="str">
        <f>IF(A7961="","",F.P!$I$2)</f>
        <v/>
      </c>
      <c r="L7961" s="37"/>
      <c r="M7961" s="394" t="str">
        <f t="shared" si="1085"/>
        <v/>
      </c>
      <c r="N7961" s="273"/>
    </row>
    <row r="7962" spans="1:15" ht="12.75" customHeight="1" x14ac:dyDescent="0.25">
      <c r="A7962" s="393"/>
      <c r="B7962" s="271"/>
      <c r="C7962" s="271"/>
      <c r="D7962" s="271"/>
      <c r="E7962" s="271"/>
      <c r="F7962" s="271"/>
      <c r="G7962" s="273"/>
      <c r="H7962" s="29" t="str">
        <f>IF(A7962="","",VLOOKUP(A7962,AA_Cuadrillas,4,FALSE))</f>
        <v/>
      </c>
      <c r="I7962" s="394" t="str">
        <f>IF(A7962="","",VLOOKUP(A7962,AA_Cuadrillas,5,FALSE))</f>
        <v/>
      </c>
      <c r="J7962" s="273"/>
      <c r="K7962" s="9" t="str">
        <f>IF(A7962="","",F.P!$I$2)</f>
        <v/>
      </c>
      <c r="L7962" s="37"/>
      <c r="M7962" s="394" t="str">
        <f t="shared" si="1085"/>
        <v/>
      </c>
      <c r="N7962" s="273"/>
    </row>
    <row r="7963" spans="1:15" ht="12.75" customHeight="1" x14ac:dyDescent="0.25">
      <c r="A7963" s="4"/>
      <c r="B7963" s="4"/>
      <c r="C7963" s="4"/>
      <c r="D7963" s="4"/>
      <c r="E7963" s="4"/>
      <c r="F7963" s="4"/>
      <c r="G7963" s="4"/>
      <c r="H7963" s="4"/>
      <c r="I7963" s="4"/>
      <c r="J7963" s="4"/>
      <c r="K7963" s="396" t="s">
        <v>444</v>
      </c>
      <c r="L7963" s="273"/>
      <c r="M7963" s="394">
        <f>SUM(M7958:N7962)</f>
        <v>7314.8841666666667</v>
      </c>
      <c r="N7963" s="273"/>
    </row>
    <row r="7964" spans="1:15" ht="12.75" customHeight="1" x14ac:dyDescent="0.2"/>
    <row r="7965" spans="1:15" ht="12.75" customHeight="1" x14ac:dyDescent="0.2">
      <c r="A7965" s="407" t="s">
        <v>182</v>
      </c>
      <c r="B7965" s="275"/>
      <c r="C7965" s="275"/>
      <c r="D7965" s="275"/>
      <c r="E7965" s="275"/>
      <c r="F7965" s="275"/>
      <c r="G7965" s="275"/>
      <c r="H7965" s="275"/>
      <c r="I7965" s="275"/>
      <c r="J7965" s="275"/>
      <c r="K7965" s="275"/>
      <c r="L7965" s="275"/>
      <c r="M7965" s="275"/>
      <c r="N7965" s="276"/>
      <c r="O7965" s="166"/>
    </row>
    <row r="7966" spans="1:15" ht="12.75" customHeight="1" x14ac:dyDescent="0.2">
      <c r="A7966" s="277"/>
      <c r="B7966" s="278"/>
      <c r="C7966" s="278"/>
      <c r="D7966" s="278"/>
      <c r="E7966" s="278"/>
      <c r="F7966" s="278"/>
      <c r="G7966" s="278"/>
      <c r="H7966" s="278"/>
      <c r="I7966" s="278"/>
      <c r="J7966" s="278"/>
      <c r="K7966" s="278"/>
      <c r="L7966" s="278"/>
      <c r="M7966" s="278"/>
      <c r="N7966" s="279"/>
      <c r="O7966" s="166"/>
    </row>
    <row r="7967" spans="1:15" s="217" customFormat="1" ht="12.75" customHeight="1" x14ac:dyDescent="0.2">
      <c r="A7967" s="216"/>
      <c r="B7967" s="216"/>
      <c r="C7967" s="216"/>
      <c r="D7967" s="216"/>
      <c r="E7967" s="216"/>
      <c r="F7967" s="216"/>
      <c r="G7967" s="216"/>
      <c r="H7967" s="216"/>
      <c r="I7967" s="216"/>
      <c r="J7967" s="216"/>
      <c r="K7967" s="216"/>
      <c r="L7967" s="216"/>
      <c r="M7967" s="216"/>
      <c r="N7967" s="216"/>
    </row>
    <row r="7968" spans="1:15" ht="12.75" customHeight="1" x14ac:dyDescent="0.3">
      <c r="A7968" s="79" t="s">
        <v>795</v>
      </c>
      <c r="B7968" s="80" t="str">
        <f>A7965</f>
        <v>CONSTRUCCIÓN DE VIADUCTO DE HASTA 10 M (INCLUYE MATERIALES, EQUIPOS, HERRAMIENTAS Y MANO DE OBRA)</v>
      </c>
      <c r="C7968" s="81" t="s">
        <v>916</v>
      </c>
      <c r="D7968" s="82" t="s">
        <v>999</v>
      </c>
      <c r="E7968" s="83" t="s">
        <v>445</v>
      </c>
      <c r="F7968" s="86" t="e">
        <f>H7968+J7968+L7968+N7968</f>
        <v>#REF!</v>
      </c>
      <c r="G7968" s="83" t="s">
        <v>607</v>
      </c>
      <c r="H7968" s="86">
        <f>M7994</f>
        <v>134638.44209999999</v>
      </c>
      <c r="I7968" s="83" t="s">
        <v>918</v>
      </c>
      <c r="J7968" s="86" t="e">
        <f>M7985</f>
        <v>#REF!</v>
      </c>
      <c r="K7968" s="83" t="s">
        <v>609</v>
      </c>
      <c r="L7968" s="86" t="e">
        <f>M8003</f>
        <v>#REF!</v>
      </c>
      <c r="M7968" s="83" t="s">
        <v>610</v>
      </c>
      <c r="N7968" s="86">
        <f>M8012</f>
        <v>607168.84200000006</v>
      </c>
    </row>
    <row r="7969" spans="1:14" ht="12.75" customHeight="1" x14ac:dyDescent="0.25">
      <c r="A7969" s="87"/>
      <c r="B7969" s="87"/>
      <c r="C7969" s="87"/>
      <c r="D7969" s="87"/>
      <c r="E7969" s="87"/>
      <c r="F7969" s="87"/>
      <c r="G7969" s="87"/>
      <c r="J7969" s="87"/>
      <c r="K7969" s="215" t="s">
        <v>3217</v>
      </c>
      <c r="L7969" s="215" t="e">
        <f>+F7968*presup!$O$5</f>
        <v>#REF!</v>
      </c>
      <c r="M7969" s="87"/>
      <c r="N7969" s="87"/>
    </row>
    <row r="7970" spans="1:14" ht="12.75" customHeight="1" x14ac:dyDescent="0.2">
      <c r="A7970" s="398" t="s">
        <v>919</v>
      </c>
      <c r="B7970" s="271"/>
      <c r="C7970" s="271"/>
      <c r="D7970" s="271"/>
      <c r="E7970" s="271"/>
      <c r="F7970" s="271"/>
      <c r="G7970" s="271"/>
      <c r="H7970" s="271"/>
      <c r="I7970" s="271"/>
      <c r="J7970" s="271"/>
      <c r="K7970" s="271"/>
      <c r="L7970" s="271"/>
      <c r="M7970" s="271"/>
      <c r="N7970" s="273"/>
    </row>
    <row r="7971" spans="1:14" ht="12.75" customHeight="1" x14ac:dyDescent="0.2">
      <c r="A7971" s="396" t="s">
        <v>76</v>
      </c>
      <c r="B7971" s="271"/>
      <c r="C7971" s="271"/>
      <c r="D7971" s="271"/>
      <c r="E7971" s="271"/>
      <c r="F7971" s="271"/>
      <c r="G7971" s="273"/>
      <c r="H7971" s="88" t="s">
        <v>77</v>
      </c>
      <c r="I7971" s="399" t="s">
        <v>920</v>
      </c>
      <c r="J7971" s="273"/>
      <c r="K7971" s="399" t="s">
        <v>453</v>
      </c>
      <c r="L7971" s="273"/>
      <c r="M7971" s="399" t="s">
        <v>921</v>
      </c>
      <c r="N7971" s="273"/>
    </row>
    <row r="7972" spans="1:14" ht="12.75" customHeight="1" x14ac:dyDescent="0.2">
      <c r="A7972" s="403" t="s">
        <v>1348</v>
      </c>
      <c r="B7972" s="271"/>
      <c r="C7972" s="271"/>
      <c r="D7972" s="271"/>
      <c r="E7972" s="271"/>
      <c r="F7972" s="271"/>
      <c r="G7972" s="273"/>
      <c r="H7972" s="29" t="str">
        <f t="shared" ref="H7972:H7984" si="1086">IF(A7972="","",VLOOKUP(A7972,AA_Materiales,7,FALSE))</f>
        <v>m2</v>
      </c>
      <c r="I7972" s="394">
        <f t="shared" ref="I7972:I7984" si="1087">IF(A7972="","",VLOOKUP(A7972,AA_Materiales,8,FALSE))</f>
        <v>5395.0282271600026</v>
      </c>
      <c r="J7972" s="273"/>
      <c r="K7972" s="395" t="e">
        <f>+#REF!</f>
        <v>#REF!</v>
      </c>
      <c r="L7972" s="273"/>
      <c r="M7972" s="394" t="e">
        <f t="shared" ref="M7972:M7984" si="1088">IF(A7972="","",I7972*K7972)</f>
        <v>#REF!</v>
      </c>
      <c r="N7972" s="273"/>
    </row>
    <row r="7973" spans="1:14" ht="12.75" customHeight="1" x14ac:dyDescent="0.2">
      <c r="A7973" s="403" t="s">
        <v>1308</v>
      </c>
      <c r="B7973" s="271"/>
      <c r="C7973" s="271"/>
      <c r="D7973" s="271"/>
      <c r="E7973" s="271"/>
      <c r="F7973" s="271"/>
      <c r="G7973" s="273"/>
      <c r="H7973" s="29" t="str">
        <f t="shared" si="1086"/>
        <v>m3</v>
      </c>
      <c r="I7973" s="394">
        <f t="shared" si="1087"/>
        <v>68458.635200799996</v>
      </c>
      <c r="J7973" s="273"/>
      <c r="K7973" s="395" t="e">
        <f>+#REF!</f>
        <v>#REF!</v>
      </c>
      <c r="L7973" s="273"/>
      <c r="M7973" s="394" t="e">
        <f t="shared" si="1088"/>
        <v>#REF!</v>
      </c>
      <c r="N7973" s="273"/>
    </row>
    <row r="7974" spans="1:14" ht="27" customHeight="1" x14ac:dyDescent="0.2">
      <c r="A7974" s="403" t="s">
        <v>1309</v>
      </c>
      <c r="B7974" s="271"/>
      <c r="C7974" s="271"/>
      <c r="D7974" s="271"/>
      <c r="E7974" s="271"/>
      <c r="F7974" s="271"/>
      <c r="G7974" s="273"/>
      <c r="H7974" s="29" t="str">
        <f t="shared" si="1086"/>
        <v>m3</v>
      </c>
      <c r="I7974" s="394">
        <f t="shared" si="1087"/>
        <v>229192.31748567708</v>
      </c>
      <c r="J7974" s="273"/>
      <c r="K7974" s="395" t="e">
        <f>+#REF!</f>
        <v>#REF!</v>
      </c>
      <c r="L7974" s="273"/>
      <c r="M7974" s="394" t="e">
        <f t="shared" si="1088"/>
        <v>#REF!</v>
      </c>
      <c r="N7974" s="273"/>
    </row>
    <row r="7975" spans="1:14" ht="12.75" customHeight="1" x14ac:dyDescent="0.2">
      <c r="A7975" s="403" t="s">
        <v>1310</v>
      </c>
      <c r="B7975" s="271"/>
      <c r="C7975" s="271"/>
      <c r="D7975" s="271"/>
      <c r="E7975" s="271"/>
      <c r="F7975" s="271"/>
      <c r="G7975" s="273"/>
      <c r="H7975" s="29" t="str">
        <f t="shared" si="1086"/>
        <v>m3</v>
      </c>
      <c r="I7975" s="394">
        <f t="shared" si="1087"/>
        <v>619876.4246790678</v>
      </c>
      <c r="J7975" s="273"/>
      <c r="K7975" s="395" t="e">
        <f>+#REF!</f>
        <v>#REF!</v>
      </c>
      <c r="L7975" s="273"/>
      <c r="M7975" s="394" t="e">
        <f t="shared" si="1088"/>
        <v>#REF!</v>
      </c>
      <c r="N7975" s="273"/>
    </row>
    <row r="7976" spans="1:14" ht="27" customHeight="1" x14ac:dyDescent="0.2">
      <c r="A7976" s="403" t="s">
        <v>1349</v>
      </c>
      <c r="B7976" s="271"/>
      <c r="C7976" s="271"/>
      <c r="D7976" s="271"/>
      <c r="E7976" s="271"/>
      <c r="F7976" s="271"/>
      <c r="G7976" s="273"/>
      <c r="H7976" s="29" t="str">
        <f t="shared" si="1086"/>
        <v>Kg</v>
      </c>
      <c r="I7976" s="394">
        <f t="shared" si="1087"/>
        <v>28758.641138999999</v>
      </c>
      <c r="J7976" s="273"/>
      <c r="K7976" s="395" t="e">
        <f>+#REF!</f>
        <v>#REF!</v>
      </c>
      <c r="L7976" s="273"/>
      <c r="M7976" s="394" t="e">
        <f t="shared" si="1088"/>
        <v>#REF!</v>
      </c>
      <c r="N7976" s="273"/>
    </row>
    <row r="7977" spans="1:14" ht="27" customHeight="1" x14ac:dyDescent="0.2">
      <c r="A7977" s="403" t="s">
        <v>1350</v>
      </c>
      <c r="B7977" s="271"/>
      <c r="C7977" s="271"/>
      <c r="D7977" s="271"/>
      <c r="E7977" s="271"/>
      <c r="F7977" s="271"/>
      <c r="G7977" s="273"/>
      <c r="H7977" s="29" t="str">
        <f t="shared" si="1086"/>
        <v>m3</v>
      </c>
      <c r="I7977" s="394">
        <f t="shared" si="1087"/>
        <v>956390.75</v>
      </c>
      <c r="J7977" s="273"/>
      <c r="K7977" s="395" t="e">
        <f>+#REF!</f>
        <v>#REF!</v>
      </c>
      <c r="L7977" s="273"/>
      <c r="M7977" s="394" t="e">
        <f t="shared" si="1088"/>
        <v>#REF!</v>
      </c>
      <c r="N7977" s="273"/>
    </row>
    <row r="7978" spans="1:14" ht="27" customHeight="1" x14ac:dyDescent="0.2">
      <c r="A7978" s="403" t="s">
        <v>1351</v>
      </c>
      <c r="B7978" s="271"/>
      <c r="C7978" s="271"/>
      <c r="D7978" s="271"/>
      <c r="E7978" s="271"/>
      <c r="F7978" s="271"/>
      <c r="G7978" s="273"/>
      <c r="H7978" s="29" t="str">
        <f t="shared" si="1086"/>
        <v>Kg</v>
      </c>
      <c r="I7978" s="394">
        <f t="shared" si="1087"/>
        <v>7475.4120000000003</v>
      </c>
      <c r="J7978" s="273"/>
      <c r="K7978" s="395" t="e">
        <f>+#REF!</f>
        <v>#REF!</v>
      </c>
      <c r="L7978" s="273"/>
      <c r="M7978" s="394" t="e">
        <f t="shared" si="1088"/>
        <v>#REF!</v>
      </c>
      <c r="N7978" s="273"/>
    </row>
    <row r="7979" spans="1:14" ht="13.5" customHeight="1" x14ac:dyDescent="0.2">
      <c r="A7979" s="403" t="s">
        <v>1352</v>
      </c>
      <c r="B7979" s="271"/>
      <c r="C7979" s="271"/>
      <c r="D7979" s="271"/>
      <c r="E7979" s="271"/>
      <c r="F7979" s="271"/>
      <c r="G7979" s="273"/>
      <c r="H7979" s="29" t="str">
        <f t="shared" si="1086"/>
        <v>m2</v>
      </c>
      <c r="I7979" s="394">
        <f t="shared" si="1087"/>
        <v>28126.05</v>
      </c>
      <c r="J7979" s="273"/>
      <c r="K7979" s="395" t="e">
        <f>+#REF!</f>
        <v>#REF!</v>
      </c>
      <c r="L7979" s="273"/>
      <c r="M7979" s="394" t="e">
        <f t="shared" si="1088"/>
        <v>#REF!</v>
      </c>
      <c r="N7979" s="273"/>
    </row>
    <row r="7980" spans="1:14" ht="13.5" customHeight="1" x14ac:dyDescent="0.2">
      <c r="A7980" s="403" t="s">
        <v>1353</v>
      </c>
      <c r="B7980" s="271"/>
      <c r="C7980" s="271"/>
      <c r="D7980" s="271"/>
      <c r="E7980" s="271"/>
      <c r="F7980" s="271"/>
      <c r="G7980" s="273"/>
      <c r="H7980" s="29" t="str">
        <f t="shared" si="1086"/>
        <v>Unidad</v>
      </c>
      <c r="I7980" s="394">
        <f t="shared" si="1087"/>
        <v>24472.486979166668</v>
      </c>
      <c r="J7980" s="273"/>
      <c r="K7980" s="395" t="e">
        <f>+#REF!</f>
        <v>#REF!</v>
      </c>
      <c r="L7980" s="273"/>
      <c r="M7980" s="394" t="e">
        <f t="shared" si="1088"/>
        <v>#REF!</v>
      </c>
      <c r="N7980" s="273"/>
    </row>
    <row r="7981" spans="1:14" ht="13.5" customHeight="1" x14ac:dyDescent="0.2">
      <c r="A7981" s="403" t="s">
        <v>1354</v>
      </c>
      <c r="B7981" s="271"/>
      <c r="C7981" s="271"/>
      <c r="D7981" s="271"/>
      <c r="E7981" s="271"/>
      <c r="F7981" s="271"/>
      <c r="G7981" s="273"/>
      <c r="H7981" s="29" t="str">
        <f t="shared" si="1086"/>
        <v>Unidad</v>
      </c>
      <c r="I7981" s="394">
        <f t="shared" si="1087"/>
        <v>289509.73813000001</v>
      </c>
      <c r="J7981" s="273"/>
      <c r="K7981" s="395" t="e">
        <f>+#REF!</f>
        <v>#REF!</v>
      </c>
      <c r="L7981" s="273"/>
      <c r="M7981" s="394" t="e">
        <f t="shared" si="1088"/>
        <v>#REF!</v>
      </c>
      <c r="N7981" s="273"/>
    </row>
    <row r="7982" spans="1:14" ht="13.5" customHeight="1" x14ac:dyDescent="0.2">
      <c r="A7982" s="403" t="s">
        <v>1355</v>
      </c>
      <c r="B7982" s="271"/>
      <c r="C7982" s="271"/>
      <c r="D7982" s="271"/>
      <c r="E7982" s="271"/>
      <c r="F7982" s="271"/>
      <c r="G7982" s="273"/>
      <c r="H7982" s="29" t="str">
        <f t="shared" si="1086"/>
        <v>Unidad</v>
      </c>
      <c r="I7982" s="394">
        <f t="shared" si="1087"/>
        <v>31952</v>
      </c>
      <c r="J7982" s="273"/>
      <c r="K7982" s="395" t="e">
        <f>+#REF!</f>
        <v>#REF!</v>
      </c>
      <c r="L7982" s="273"/>
      <c r="M7982" s="394" t="e">
        <f t="shared" si="1088"/>
        <v>#REF!</v>
      </c>
      <c r="N7982" s="273"/>
    </row>
    <row r="7983" spans="1:14" ht="13.5" customHeight="1" x14ac:dyDescent="0.2">
      <c r="A7983" s="403" t="s">
        <v>1356</v>
      </c>
      <c r="B7983" s="271"/>
      <c r="C7983" s="271"/>
      <c r="D7983" s="271"/>
      <c r="E7983" s="271"/>
      <c r="F7983" s="271"/>
      <c r="G7983" s="273"/>
      <c r="H7983" s="29" t="str">
        <f t="shared" si="1086"/>
        <v>Unidad</v>
      </c>
      <c r="I7983" s="394">
        <f t="shared" si="1087"/>
        <v>12360</v>
      </c>
      <c r="J7983" s="273"/>
      <c r="K7983" s="395" t="e">
        <f>+#REF!</f>
        <v>#REF!</v>
      </c>
      <c r="L7983" s="273"/>
      <c r="M7983" s="394" t="e">
        <f t="shared" si="1088"/>
        <v>#REF!</v>
      </c>
      <c r="N7983" s="273"/>
    </row>
    <row r="7984" spans="1:14" ht="12.75" customHeight="1" x14ac:dyDescent="0.2">
      <c r="A7984" s="403" t="s">
        <v>1357</v>
      </c>
      <c r="B7984" s="271"/>
      <c r="C7984" s="271"/>
      <c r="D7984" s="271"/>
      <c r="E7984" s="271"/>
      <c r="F7984" s="271"/>
      <c r="G7984" s="273"/>
      <c r="H7984" s="29" t="str">
        <f t="shared" si="1086"/>
        <v>Unidad</v>
      </c>
      <c r="I7984" s="394">
        <f t="shared" si="1087"/>
        <v>14900</v>
      </c>
      <c r="J7984" s="273"/>
      <c r="K7984" s="395">
        <v>0.1</v>
      </c>
      <c r="L7984" s="273"/>
      <c r="M7984" s="394">
        <f t="shared" si="1088"/>
        <v>1490</v>
      </c>
      <c r="N7984" s="273"/>
    </row>
    <row r="7985" spans="1:14" ht="12.75" customHeight="1" x14ac:dyDescent="0.25">
      <c r="A7985" s="4"/>
      <c r="B7985" s="4"/>
      <c r="C7985" s="4"/>
      <c r="D7985" s="4"/>
      <c r="E7985" s="4"/>
      <c r="F7985" s="4"/>
      <c r="G7985" s="4"/>
      <c r="H7985" s="4"/>
      <c r="I7985" s="4"/>
      <c r="J7985" s="4"/>
      <c r="K7985" s="396" t="s">
        <v>444</v>
      </c>
      <c r="L7985" s="273"/>
      <c r="M7985" s="394" t="e">
        <f>SUM(M7972:N7984)</f>
        <v>#REF!</v>
      </c>
      <c r="N7985" s="273"/>
    </row>
    <row r="7986" spans="1:14" ht="12.75" customHeight="1" x14ac:dyDescent="0.25">
      <c r="A7986" s="4"/>
      <c r="B7986" s="4"/>
      <c r="C7986" s="4"/>
      <c r="D7986" s="4"/>
      <c r="E7986" s="4"/>
      <c r="F7986" s="4"/>
      <c r="G7986" s="4"/>
      <c r="H7986" s="4"/>
      <c r="I7986" s="4"/>
      <c r="J7986" s="4"/>
      <c r="K7986" s="4"/>
      <c r="L7986" s="4"/>
      <c r="M7986" s="4"/>
      <c r="N7986" s="4"/>
    </row>
    <row r="7987" spans="1:14" ht="12.75" customHeight="1" x14ac:dyDescent="0.2">
      <c r="A7987" s="398" t="s">
        <v>926</v>
      </c>
      <c r="B7987" s="271"/>
      <c r="C7987" s="271"/>
      <c r="D7987" s="271"/>
      <c r="E7987" s="271"/>
      <c r="F7987" s="271"/>
      <c r="G7987" s="271"/>
      <c r="H7987" s="271"/>
      <c r="I7987" s="271"/>
      <c r="J7987" s="271"/>
      <c r="K7987" s="271"/>
      <c r="L7987" s="271"/>
      <c r="M7987" s="271"/>
      <c r="N7987" s="273"/>
    </row>
    <row r="7988" spans="1:14" ht="12.75" customHeight="1" x14ac:dyDescent="0.2">
      <c r="A7988" s="396" t="s">
        <v>76</v>
      </c>
      <c r="B7988" s="271"/>
      <c r="C7988" s="271"/>
      <c r="D7988" s="271"/>
      <c r="E7988" s="271"/>
      <c r="F7988" s="271"/>
      <c r="G7988" s="273"/>
      <c r="H7988" s="88" t="s">
        <v>77</v>
      </c>
      <c r="I7988" s="399" t="s">
        <v>920</v>
      </c>
      <c r="J7988" s="273"/>
      <c r="K7988" s="399" t="s">
        <v>453</v>
      </c>
      <c r="L7988" s="273"/>
      <c r="M7988" s="399" t="s">
        <v>921</v>
      </c>
      <c r="N7988" s="273"/>
    </row>
    <row r="7989" spans="1:14" ht="12.75" customHeight="1" x14ac:dyDescent="0.2">
      <c r="A7989" s="400" t="s">
        <v>927</v>
      </c>
      <c r="B7989" s="271"/>
      <c r="C7989" s="271"/>
      <c r="D7989" s="271"/>
      <c r="E7989" s="271"/>
      <c r="F7989" s="271"/>
      <c r="G7989" s="273"/>
      <c r="H7989" s="29" t="str">
        <f>IF(A7989="","",VLOOKUP(A7989,AA_Equipos,7,FALSE))</f>
        <v>% M.O.</v>
      </c>
      <c r="I7989" s="394">
        <f>+M8012</f>
        <v>607168.84200000006</v>
      </c>
      <c r="J7989" s="273"/>
      <c r="K7989" s="404">
        <v>0.05</v>
      </c>
      <c r="L7989" s="273"/>
      <c r="M7989" s="394">
        <f t="shared" ref="M7989:M7993" si="1089">IF(A7989="","",I7989*K7989)</f>
        <v>30358.442100000004</v>
      </c>
      <c r="N7989" s="273"/>
    </row>
    <row r="7990" spans="1:14" ht="12.75" customHeight="1" x14ac:dyDescent="0.2">
      <c r="A7990" s="403" t="s">
        <v>1032</v>
      </c>
      <c r="B7990" s="271"/>
      <c r="C7990" s="271"/>
      <c r="D7990" s="271"/>
      <c r="E7990" s="271"/>
      <c r="F7990" s="271"/>
      <c r="G7990" s="273"/>
      <c r="H7990" s="29" t="str">
        <f>IF(A7990="","",VLOOKUP(A7990,AA_Equipos,7,FALSE))</f>
        <v>Dia</v>
      </c>
      <c r="I7990" s="394">
        <f>IF(A7990="","",VLOOKUP(A7990,AA_Equipos,8,FALSE))</f>
        <v>50000</v>
      </c>
      <c r="J7990" s="273"/>
      <c r="K7990" s="402">
        <v>0.5</v>
      </c>
      <c r="L7990" s="273"/>
      <c r="M7990" s="394">
        <f t="shared" si="1089"/>
        <v>25000</v>
      </c>
      <c r="N7990" s="273"/>
    </row>
    <row r="7991" spans="1:14" ht="12.75" customHeight="1" x14ac:dyDescent="0.2">
      <c r="A7991" s="400" t="s">
        <v>1092</v>
      </c>
      <c r="B7991" s="271"/>
      <c r="C7991" s="271"/>
      <c r="D7991" s="271"/>
      <c r="E7991" s="271"/>
      <c r="F7991" s="271"/>
      <c r="G7991" s="273"/>
      <c r="H7991" s="29" t="str">
        <f>IF(A7991="","",VLOOKUP(A7991,AA_Equipos,7,FALSE))</f>
        <v>Dia</v>
      </c>
      <c r="I7991" s="394">
        <f>IF(A7991="","",VLOOKUP(A7991,AA_Equipos,8,FALSE))</f>
        <v>84000</v>
      </c>
      <c r="J7991" s="273"/>
      <c r="K7991" s="401">
        <v>0.8</v>
      </c>
      <c r="L7991" s="273"/>
      <c r="M7991" s="394">
        <f t="shared" si="1089"/>
        <v>67200</v>
      </c>
      <c r="N7991" s="273"/>
    </row>
    <row r="7992" spans="1:14" ht="12.75" customHeight="1" x14ac:dyDescent="0.2">
      <c r="A7992" s="400" t="s">
        <v>1285</v>
      </c>
      <c r="B7992" s="271"/>
      <c r="C7992" s="271"/>
      <c r="D7992" s="271"/>
      <c r="E7992" s="271"/>
      <c r="F7992" s="271"/>
      <c r="G7992" s="273"/>
      <c r="H7992" s="29" t="str">
        <f>IF(A7992="","",VLOOKUP(A7992,AA_Equipos,7,FALSE))</f>
        <v>Dia</v>
      </c>
      <c r="I7992" s="394">
        <f>IF(A7992="","",VLOOKUP(A7992,AA_Equipos,8,FALSE))</f>
        <v>15100</v>
      </c>
      <c r="J7992" s="273"/>
      <c r="K7992" s="395">
        <v>0.8</v>
      </c>
      <c r="L7992" s="273"/>
      <c r="M7992" s="394">
        <f t="shared" si="1089"/>
        <v>12080</v>
      </c>
      <c r="N7992" s="273"/>
    </row>
    <row r="7993" spans="1:14" ht="12.75" customHeight="1" x14ac:dyDescent="0.2">
      <c r="A7993" s="400"/>
      <c r="B7993" s="271"/>
      <c r="C7993" s="271"/>
      <c r="D7993" s="271"/>
      <c r="E7993" s="271"/>
      <c r="F7993" s="271"/>
      <c r="G7993" s="273"/>
      <c r="H7993" s="29" t="str">
        <f>IF(A7993="","",VLOOKUP(A7993,AA_Equipos,7,FALSE))</f>
        <v/>
      </c>
      <c r="I7993" s="394" t="str">
        <f>IF(A7993="","",VLOOKUP(A7993,AA_Equipos,8,FALSE))</f>
        <v/>
      </c>
      <c r="J7993" s="273"/>
      <c r="K7993" s="395"/>
      <c r="L7993" s="273"/>
      <c r="M7993" s="394" t="str">
        <f t="shared" si="1089"/>
        <v/>
      </c>
      <c r="N7993" s="273"/>
    </row>
    <row r="7994" spans="1:14" ht="12.75" customHeight="1" x14ac:dyDescent="0.25">
      <c r="A7994" s="4"/>
      <c r="B7994" s="4"/>
      <c r="C7994" s="4"/>
      <c r="D7994" s="4"/>
      <c r="E7994" s="4"/>
      <c r="F7994" s="4"/>
      <c r="G7994" s="4"/>
      <c r="H7994" s="4"/>
      <c r="I7994" s="4"/>
      <c r="J7994" s="4"/>
      <c r="K7994" s="396" t="s">
        <v>444</v>
      </c>
      <c r="L7994" s="273"/>
      <c r="M7994" s="394">
        <f>SUM(M7989:N7993)</f>
        <v>134638.44209999999</v>
      </c>
      <c r="N7994" s="273"/>
    </row>
    <row r="7995" spans="1:14" ht="12.75" customHeight="1" x14ac:dyDescent="0.25">
      <c r="A7995" s="4"/>
      <c r="B7995" s="4"/>
      <c r="C7995" s="4"/>
      <c r="D7995" s="4"/>
      <c r="E7995" s="4"/>
      <c r="F7995" s="4"/>
      <c r="G7995" s="4"/>
      <c r="H7995" s="4"/>
      <c r="I7995" s="4"/>
      <c r="J7995" s="4"/>
      <c r="K7995" s="4"/>
      <c r="L7995" s="4"/>
      <c r="M7995" s="4"/>
      <c r="N7995" s="4"/>
    </row>
    <row r="7996" spans="1:14" ht="12.75" customHeight="1" x14ac:dyDescent="0.2">
      <c r="A7996" s="398" t="s">
        <v>929</v>
      </c>
      <c r="B7996" s="271"/>
      <c r="C7996" s="271"/>
      <c r="D7996" s="271"/>
      <c r="E7996" s="271"/>
      <c r="F7996" s="271"/>
      <c r="G7996" s="271"/>
      <c r="H7996" s="271"/>
      <c r="I7996" s="271"/>
      <c r="J7996" s="271"/>
      <c r="K7996" s="271"/>
      <c r="L7996" s="271"/>
      <c r="M7996" s="271"/>
      <c r="N7996" s="273"/>
    </row>
    <row r="7997" spans="1:14" ht="12.75" customHeight="1" x14ac:dyDescent="0.2">
      <c r="A7997" s="396" t="s">
        <v>76</v>
      </c>
      <c r="B7997" s="271"/>
      <c r="C7997" s="271"/>
      <c r="D7997" s="271"/>
      <c r="E7997" s="271"/>
      <c r="F7997" s="271"/>
      <c r="G7997" s="273"/>
      <c r="H7997" s="88" t="s">
        <v>77</v>
      </c>
      <c r="I7997" s="399" t="s">
        <v>920</v>
      </c>
      <c r="J7997" s="273"/>
      <c r="K7997" s="399" t="s">
        <v>453</v>
      </c>
      <c r="L7997" s="273"/>
      <c r="M7997" s="399" t="s">
        <v>921</v>
      </c>
      <c r="N7997" s="273"/>
    </row>
    <row r="7998" spans="1:14" ht="12.75" customHeight="1" x14ac:dyDescent="0.2">
      <c r="A7998" s="400" t="s">
        <v>966</v>
      </c>
      <c r="B7998" s="271"/>
      <c r="C7998" s="271"/>
      <c r="D7998" s="271"/>
      <c r="E7998" s="271"/>
      <c r="F7998" s="271"/>
      <c r="G7998" s="273"/>
      <c r="H7998" s="29" t="s">
        <v>950</v>
      </c>
      <c r="I7998" s="394" t="e">
        <f>+M7985-M7972-M7973-M7974-M7975-M7976-M7979-M7980-M7981</f>
        <v>#REF!</v>
      </c>
      <c r="J7998" s="273"/>
      <c r="K7998" s="404">
        <v>0.05</v>
      </c>
      <c r="L7998" s="273"/>
      <c r="M7998" s="394" t="e">
        <f t="shared" ref="M7998:M8002" si="1090">IF(A7998="","",I7998*K7998)</f>
        <v>#REF!</v>
      </c>
      <c r="N7998" s="273"/>
    </row>
    <row r="7999" spans="1:14" ht="12.75" customHeight="1" x14ac:dyDescent="0.2">
      <c r="A7999" s="403"/>
      <c r="B7999" s="271"/>
      <c r="C7999" s="271"/>
      <c r="D7999" s="271"/>
      <c r="E7999" s="271"/>
      <c r="F7999" s="271"/>
      <c r="G7999" s="273"/>
      <c r="H7999" s="29"/>
      <c r="I7999" s="394"/>
      <c r="J7999" s="273"/>
      <c r="K7999" s="404"/>
      <c r="L7999" s="273"/>
      <c r="M7999" s="394" t="str">
        <f t="shared" si="1090"/>
        <v/>
      </c>
      <c r="N7999" s="273"/>
    </row>
    <row r="8000" spans="1:14" ht="12.75" customHeight="1" x14ac:dyDescent="0.2">
      <c r="A8000" s="400"/>
      <c r="B8000" s="271"/>
      <c r="C8000" s="271"/>
      <c r="D8000" s="271"/>
      <c r="E8000" s="271"/>
      <c r="F8000" s="271"/>
      <c r="G8000" s="273"/>
      <c r="H8000" s="29"/>
      <c r="I8000" s="394"/>
      <c r="J8000" s="273"/>
      <c r="K8000" s="395"/>
      <c r="L8000" s="273"/>
      <c r="M8000" s="394" t="str">
        <f t="shared" si="1090"/>
        <v/>
      </c>
      <c r="N8000" s="273"/>
    </row>
    <row r="8001" spans="1:15" ht="12.75" customHeight="1" x14ac:dyDescent="0.2">
      <c r="A8001" s="400"/>
      <c r="B8001" s="271"/>
      <c r="C8001" s="271"/>
      <c r="D8001" s="271"/>
      <c r="E8001" s="271"/>
      <c r="F8001" s="271"/>
      <c r="G8001" s="273"/>
      <c r="H8001" s="29"/>
      <c r="I8001" s="394"/>
      <c r="J8001" s="273"/>
      <c r="K8001" s="395"/>
      <c r="L8001" s="273"/>
      <c r="M8001" s="394" t="str">
        <f t="shared" si="1090"/>
        <v/>
      </c>
      <c r="N8001" s="273"/>
    </row>
    <row r="8002" spans="1:15" ht="12.75" customHeight="1" x14ac:dyDescent="0.2">
      <c r="A8002" s="400"/>
      <c r="B8002" s="271"/>
      <c r="C8002" s="271"/>
      <c r="D8002" s="271"/>
      <c r="E8002" s="271"/>
      <c r="F8002" s="271"/>
      <c r="G8002" s="273"/>
      <c r="H8002" s="29"/>
      <c r="I8002" s="394"/>
      <c r="J8002" s="273"/>
      <c r="K8002" s="395"/>
      <c r="L8002" s="273"/>
      <c r="M8002" s="394" t="str">
        <f t="shared" si="1090"/>
        <v/>
      </c>
      <c r="N8002" s="273"/>
    </row>
    <row r="8003" spans="1:15" ht="12.75" customHeight="1" x14ac:dyDescent="0.25">
      <c r="A8003" s="4"/>
      <c r="B8003" s="4"/>
      <c r="C8003" s="4"/>
      <c r="D8003" s="4"/>
      <c r="E8003" s="4"/>
      <c r="F8003" s="4"/>
      <c r="G8003" s="4"/>
      <c r="H8003" s="4"/>
      <c r="I8003" s="4"/>
      <c r="J8003" s="4"/>
      <c r="K8003" s="396" t="s">
        <v>444</v>
      </c>
      <c r="L8003" s="273"/>
      <c r="M8003" s="394" t="e">
        <f>SUM(M7998:N8002)</f>
        <v>#REF!</v>
      </c>
      <c r="N8003" s="273"/>
    </row>
    <row r="8004" spans="1:15" ht="12.75" customHeight="1" x14ac:dyDescent="0.25">
      <c r="A8004" s="4"/>
      <c r="B8004" s="4"/>
      <c r="C8004" s="4"/>
      <c r="D8004" s="4"/>
      <c r="E8004" s="4"/>
      <c r="F8004" s="4"/>
      <c r="G8004" s="4"/>
      <c r="H8004" s="4"/>
      <c r="I8004" s="4"/>
      <c r="J8004" s="4"/>
      <c r="K8004" s="4"/>
      <c r="L8004" s="4"/>
      <c r="M8004" s="4"/>
      <c r="N8004" s="4"/>
    </row>
    <row r="8005" spans="1:15" ht="12.75" customHeight="1" x14ac:dyDescent="0.2">
      <c r="A8005" s="398" t="s">
        <v>931</v>
      </c>
      <c r="B8005" s="271"/>
      <c r="C8005" s="271"/>
      <c r="D8005" s="271"/>
      <c r="E8005" s="271"/>
      <c r="F8005" s="271"/>
      <c r="G8005" s="271"/>
      <c r="H8005" s="271"/>
      <c r="I8005" s="271"/>
      <c r="J8005" s="271"/>
      <c r="K8005" s="271"/>
      <c r="L8005" s="271"/>
      <c r="M8005" s="271"/>
      <c r="N8005" s="273"/>
    </row>
    <row r="8006" spans="1:15" ht="12.75" customHeight="1" x14ac:dyDescent="0.2">
      <c r="A8006" s="396" t="s">
        <v>76</v>
      </c>
      <c r="B8006" s="271"/>
      <c r="C8006" s="271"/>
      <c r="D8006" s="271"/>
      <c r="E8006" s="271"/>
      <c r="F8006" s="271"/>
      <c r="G8006" s="273"/>
      <c r="H8006" s="88" t="s">
        <v>77</v>
      </c>
      <c r="I8006" s="399" t="s">
        <v>920</v>
      </c>
      <c r="J8006" s="273"/>
      <c r="K8006" s="90" t="s">
        <v>514</v>
      </c>
      <c r="L8006" s="91" t="s">
        <v>932</v>
      </c>
      <c r="M8006" s="399" t="s">
        <v>921</v>
      </c>
      <c r="N8006" s="273"/>
    </row>
    <row r="8007" spans="1:15" ht="12.75" customHeight="1" x14ac:dyDescent="0.25">
      <c r="A8007" s="393" t="s">
        <v>951</v>
      </c>
      <c r="B8007" s="271"/>
      <c r="C8007" s="271"/>
      <c r="D8007" s="271"/>
      <c r="E8007" s="271"/>
      <c r="F8007" s="271"/>
      <c r="G8007" s="273"/>
      <c r="H8007" s="29" t="str">
        <f>IF(A8007="","",VLOOKUP(A8007,AA_Cuadrillas,4,FALSE))</f>
        <v>Cuadrilla</v>
      </c>
      <c r="I8007" s="394">
        <f>IF(A8007="","",VLOOKUP(A8007,AA_Cuadrillas,5,FALSE))</f>
        <v>186763</v>
      </c>
      <c r="J8007" s="273"/>
      <c r="K8007" s="9">
        <f>IF(A8007="","",F.P!$I$2)</f>
        <v>1.88</v>
      </c>
      <c r="L8007" s="97">
        <f>3/8</f>
        <v>0.375</v>
      </c>
      <c r="M8007" s="394">
        <f t="shared" ref="M8007:M8011" si="1091">IF(A8007="","",I8007*K8007*L8007)</f>
        <v>131667.91500000001</v>
      </c>
      <c r="N8007" s="273"/>
    </row>
    <row r="8008" spans="1:15" ht="12.75" customHeight="1" x14ac:dyDescent="0.25">
      <c r="A8008" s="393" t="s">
        <v>1034</v>
      </c>
      <c r="B8008" s="271"/>
      <c r="C8008" s="271"/>
      <c r="D8008" s="271"/>
      <c r="E8008" s="271"/>
      <c r="F8008" s="271"/>
      <c r="G8008" s="273"/>
      <c r="H8008" s="29" t="str">
        <f>IF(A8008="","",VLOOKUP(A8008,AA_Cuadrillas,4,FALSE))</f>
        <v>Cuadrilla</v>
      </c>
      <c r="I8008" s="394">
        <f>IF(A8008="","",VLOOKUP(A8008,AA_Cuadrillas,5,FALSE))</f>
        <v>207031.25</v>
      </c>
      <c r="J8008" s="273"/>
      <c r="K8008" s="9">
        <f>IF(A8008="","",F.P!$I$2)</f>
        <v>1.88</v>
      </c>
      <c r="L8008" s="9">
        <v>0.5</v>
      </c>
      <c r="M8008" s="394">
        <f t="shared" si="1091"/>
        <v>194609.375</v>
      </c>
      <c r="N8008" s="273"/>
    </row>
    <row r="8009" spans="1:15" ht="12.75" customHeight="1" x14ac:dyDescent="0.25">
      <c r="A8009" s="393" t="s">
        <v>1041</v>
      </c>
      <c r="B8009" s="271"/>
      <c r="C8009" s="271"/>
      <c r="D8009" s="271"/>
      <c r="E8009" s="271"/>
      <c r="F8009" s="271"/>
      <c r="G8009" s="273"/>
      <c r="H8009" s="29" t="str">
        <f>IF(A8009="","",VLOOKUP(A8009,AA_Cuadrillas,4,FALSE))</f>
        <v>Cuadrilla</v>
      </c>
      <c r="I8009" s="394">
        <f>IF(A8009="","",VLOOKUP(A8009,AA_Cuadrillas,5,FALSE))</f>
        <v>186763</v>
      </c>
      <c r="J8009" s="273"/>
      <c r="K8009" s="9">
        <f>IF(A8009="","",F.P!$I$2)</f>
        <v>1.88</v>
      </c>
      <c r="L8009" s="37">
        <v>0.8</v>
      </c>
      <c r="M8009" s="394">
        <f t="shared" si="1091"/>
        <v>280891.55200000003</v>
      </c>
      <c r="N8009" s="273"/>
    </row>
    <row r="8010" spans="1:15" ht="12.75" customHeight="1" x14ac:dyDescent="0.25">
      <c r="A8010" s="393"/>
      <c r="B8010" s="271"/>
      <c r="C8010" s="271"/>
      <c r="D8010" s="271"/>
      <c r="E8010" s="271"/>
      <c r="F8010" s="271"/>
      <c r="G8010" s="273"/>
      <c r="H8010" s="29" t="str">
        <f>IF(A8010="","",VLOOKUP(A8010,AA_Cuadrillas,4,FALSE))</f>
        <v/>
      </c>
      <c r="I8010" s="394" t="str">
        <f>IF(A8010="","",VLOOKUP(A8010,AA_Cuadrillas,5,FALSE))</f>
        <v/>
      </c>
      <c r="J8010" s="273"/>
      <c r="K8010" s="9" t="str">
        <f>IF(A8010="","",F.P!$I$2)</f>
        <v/>
      </c>
      <c r="L8010" s="37"/>
      <c r="M8010" s="394" t="str">
        <f t="shared" si="1091"/>
        <v/>
      </c>
      <c r="N8010" s="273"/>
    </row>
    <row r="8011" spans="1:15" ht="12.75" customHeight="1" x14ac:dyDescent="0.25">
      <c r="A8011" s="393"/>
      <c r="B8011" s="271"/>
      <c r="C8011" s="271"/>
      <c r="D8011" s="271"/>
      <c r="E8011" s="271"/>
      <c r="F8011" s="271"/>
      <c r="G8011" s="273"/>
      <c r="H8011" s="29" t="str">
        <f>IF(A8011="","",VLOOKUP(A8011,AA_Cuadrillas,4,FALSE))</f>
        <v/>
      </c>
      <c r="I8011" s="394" t="str">
        <f>IF(A8011="","",VLOOKUP(A8011,AA_Cuadrillas,5,FALSE))</f>
        <v/>
      </c>
      <c r="J8011" s="273"/>
      <c r="K8011" s="9" t="str">
        <f>IF(A8011="","",F.P!$I$2)</f>
        <v/>
      </c>
      <c r="L8011" s="37"/>
      <c r="M8011" s="394" t="str">
        <f t="shared" si="1091"/>
        <v/>
      </c>
      <c r="N8011" s="273"/>
    </row>
    <row r="8012" spans="1:15" ht="12.75" customHeight="1" x14ac:dyDescent="0.25">
      <c r="A8012" s="4"/>
      <c r="B8012" s="4"/>
      <c r="C8012" s="4"/>
      <c r="D8012" s="4"/>
      <c r="E8012" s="4"/>
      <c r="F8012" s="4"/>
      <c r="G8012" s="4"/>
      <c r="H8012" s="4"/>
      <c r="I8012" s="4"/>
      <c r="J8012" s="4"/>
      <c r="K8012" s="396" t="s">
        <v>444</v>
      </c>
      <c r="L8012" s="273"/>
      <c r="M8012" s="394">
        <f>SUM(M8007:N8011)</f>
        <v>607168.84200000006</v>
      </c>
      <c r="N8012" s="273"/>
    </row>
    <row r="8013" spans="1:15" ht="12.75" customHeight="1" x14ac:dyDescent="0.2"/>
    <row r="8014" spans="1:15" ht="12.75" customHeight="1" x14ac:dyDescent="0.2">
      <c r="A8014" s="407" t="s">
        <v>1358</v>
      </c>
      <c r="B8014" s="275"/>
      <c r="C8014" s="275"/>
      <c r="D8014" s="275"/>
      <c r="E8014" s="275"/>
      <c r="F8014" s="275"/>
      <c r="G8014" s="275"/>
      <c r="H8014" s="275"/>
      <c r="I8014" s="275"/>
      <c r="J8014" s="275"/>
      <c r="K8014" s="275"/>
      <c r="L8014" s="275"/>
      <c r="M8014" s="275"/>
      <c r="N8014" s="276"/>
      <c r="O8014" s="166"/>
    </row>
    <row r="8015" spans="1:15" ht="12.75" customHeight="1" x14ac:dyDescent="0.2">
      <c r="A8015" s="277"/>
      <c r="B8015" s="278"/>
      <c r="C8015" s="278"/>
      <c r="D8015" s="278"/>
      <c r="E8015" s="278"/>
      <c r="F8015" s="278"/>
      <c r="G8015" s="278"/>
      <c r="H8015" s="278"/>
      <c r="I8015" s="278"/>
      <c r="J8015" s="278"/>
      <c r="K8015" s="278"/>
      <c r="L8015" s="278"/>
      <c r="M8015" s="278"/>
      <c r="N8015" s="279"/>
      <c r="O8015" s="166"/>
    </row>
    <row r="8016" spans="1:15" ht="12.75" customHeight="1" x14ac:dyDescent="0.2">
      <c r="A8016" s="75"/>
      <c r="B8016" s="75"/>
      <c r="C8016" s="75"/>
      <c r="D8016" s="75"/>
      <c r="E8016" s="75"/>
      <c r="F8016" s="75"/>
      <c r="G8016" s="75"/>
      <c r="H8016" s="75"/>
      <c r="I8016" s="75"/>
      <c r="J8016" s="75"/>
      <c r="K8016" s="75"/>
      <c r="L8016" s="75"/>
      <c r="M8016" s="75"/>
      <c r="N8016" s="75"/>
    </row>
    <row r="8017" spans="1:15" ht="12.75" customHeight="1" x14ac:dyDescent="0.3">
      <c r="A8017" s="79" t="s">
        <v>796</v>
      </c>
      <c r="B8017" s="80" t="str">
        <f>A8014</f>
        <v>ACERO DE ANCLAJE PARA ESTRUCTURAS DE VIADUCTO A-36 (INCLUYE MATERIALES, HERRAMIENTA MENOR Y MANO DE OBRA)</v>
      </c>
      <c r="C8017" s="81" t="s">
        <v>916</v>
      </c>
      <c r="D8017" s="82" t="s">
        <v>969</v>
      </c>
      <c r="E8017" s="83" t="s">
        <v>445</v>
      </c>
      <c r="F8017" s="240">
        <f>H8017+J8017+L8017+N8017</f>
        <v>28758.641138999999</v>
      </c>
      <c r="G8017" s="83" t="s">
        <v>607</v>
      </c>
      <c r="H8017" s="86">
        <f>M8027</f>
        <v>11298</v>
      </c>
      <c r="I8017" s="83" t="s">
        <v>918</v>
      </c>
      <c r="J8017" s="86">
        <f>M8036</f>
        <v>2297.4071800000002</v>
      </c>
      <c r="K8017" s="83" t="s">
        <v>609</v>
      </c>
      <c r="L8017" s="86">
        <f>M8045</f>
        <v>679.77035899999998</v>
      </c>
      <c r="M8017" s="83" t="s">
        <v>610</v>
      </c>
      <c r="N8017" s="86">
        <f>M8054</f>
        <v>14483.463599999999</v>
      </c>
      <c r="O8017" t="s">
        <v>3222</v>
      </c>
    </row>
    <row r="8018" spans="1:15" ht="12.75" customHeight="1" x14ac:dyDescent="0.25">
      <c r="A8018" s="87"/>
      <c r="B8018" s="87"/>
      <c r="C8018" s="87"/>
      <c r="D8018" s="87"/>
      <c r="E8018" s="87"/>
      <c r="F8018" s="87"/>
      <c r="G8018" s="87"/>
      <c r="J8018" s="87"/>
      <c r="K8018" s="215" t="s">
        <v>3217</v>
      </c>
      <c r="L8018" s="215">
        <f>+F8017*presup!$O$5</f>
        <v>37386.233480700001</v>
      </c>
      <c r="M8018" s="87"/>
      <c r="N8018" s="87"/>
    </row>
    <row r="8019" spans="1:15" ht="12.75" customHeight="1" x14ac:dyDescent="0.2">
      <c r="A8019" s="398" t="s">
        <v>919</v>
      </c>
      <c r="B8019" s="271"/>
      <c r="C8019" s="271"/>
      <c r="D8019" s="271"/>
      <c r="E8019" s="271"/>
      <c r="F8019" s="271"/>
      <c r="G8019" s="271"/>
      <c r="H8019" s="271"/>
      <c r="I8019" s="271"/>
      <c r="J8019" s="271"/>
      <c r="K8019" s="271"/>
      <c r="L8019" s="271"/>
      <c r="M8019" s="271"/>
      <c r="N8019" s="273"/>
    </row>
    <row r="8020" spans="1:15" ht="12.75" customHeight="1" x14ac:dyDescent="0.2">
      <c r="A8020" s="396" t="s">
        <v>76</v>
      </c>
      <c r="B8020" s="271"/>
      <c r="C8020" s="271"/>
      <c r="D8020" s="271"/>
      <c r="E8020" s="271"/>
      <c r="F8020" s="271"/>
      <c r="G8020" s="273"/>
      <c r="H8020" s="88" t="s">
        <v>77</v>
      </c>
      <c r="I8020" s="399" t="s">
        <v>920</v>
      </c>
      <c r="J8020" s="273"/>
      <c r="K8020" s="399" t="s">
        <v>453</v>
      </c>
      <c r="L8020" s="273"/>
      <c r="M8020" s="399" t="s">
        <v>921</v>
      </c>
      <c r="N8020" s="273"/>
    </row>
    <row r="8021" spans="1:15" ht="12.75" customHeight="1" x14ac:dyDescent="0.2">
      <c r="A8021" s="403" t="s">
        <v>1359</v>
      </c>
      <c r="B8021" s="271"/>
      <c r="C8021" s="271"/>
      <c r="D8021" s="271"/>
      <c r="E8021" s="271"/>
      <c r="F8021" s="271"/>
      <c r="G8021" s="273"/>
      <c r="H8021" s="29" t="str">
        <f t="shared" ref="H8021:H8026" si="1092">IF(A8021="","",VLOOKUP(A8021,AA_Materiales,7,FALSE))</f>
        <v>Kg</v>
      </c>
      <c r="I8021" s="394">
        <f t="shared" ref="I8021:I8026" si="1093">IF(A8021="","",VLOOKUP(A8021,AA_Materiales,8,FALSE))</f>
        <v>10760</v>
      </c>
      <c r="J8021" s="273"/>
      <c r="K8021" s="395">
        <v>1.05</v>
      </c>
      <c r="L8021" s="273"/>
      <c r="M8021" s="394">
        <f t="shared" ref="M8021:M8026" si="1094">IF(A8021="","",I8021*K8021)</f>
        <v>11298</v>
      </c>
      <c r="N8021" s="273"/>
    </row>
    <row r="8022" spans="1:15" ht="12.75" customHeight="1" x14ac:dyDescent="0.2">
      <c r="A8022" s="403"/>
      <c r="B8022" s="271"/>
      <c r="C8022" s="271"/>
      <c r="D8022" s="271"/>
      <c r="E8022" s="271"/>
      <c r="F8022" s="271"/>
      <c r="G8022" s="273"/>
      <c r="H8022" s="29" t="str">
        <f t="shared" si="1092"/>
        <v/>
      </c>
      <c r="I8022" s="394" t="str">
        <f t="shared" si="1093"/>
        <v/>
      </c>
      <c r="J8022" s="273"/>
      <c r="K8022" s="395"/>
      <c r="L8022" s="273"/>
      <c r="M8022" s="394" t="str">
        <f t="shared" si="1094"/>
        <v/>
      </c>
      <c r="N8022" s="273"/>
    </row>
    <row r="8023" spans="1:15" ht="12.75" customHeight="1" x14ac:dyDescent="0.2">
      <c r="A8023" s="403"/>
      <c r="B8023" s="271"/>
      <c r="C8023" s="271"/>
      <c r="D8023" s="271"/>
      <c r="E8023" s="271"/>
      <c r="F8023" s="271"/>
      <c r="G8023" s="273"/>
      <c r="H8023" s="29" t="str">
        <f t="shared" si="1092"/>
        <v/>
      </c>
      <c r="I8023" s="394" t="str">
        <f t="shared" si="1093"/>
        <v/>
      </c>
      <c r="J8023" s="273"/>
      <c r="K8023" s="395"/>
      <c r="L8023" s="273"/>
      <c r="M8023" s="394" t="str">
        <f t="shared" si="1094"/>
        <v/>
      </c>
      <c r="N8023" s="273"/>
    </row>
    <row r="8024" spans="1:15" ht="12.75" customHeight="1" x14ac:dyDescent="0.2">
      <c r="A8024" s="403"/>
      <c r="B8024" s="271"/>
      <c r="C8024" s="271"/>
      <c r="D8024" s="271"/>
      <c r="E8024" s="271"/>
      <c r="F8024" s="271"/>
      <c r="G8024" s="273"/>
      <c r="H8024" s="29" t="str">
        <f t="shared" si="1092"/>
        <v/>
      </c>
      <c r="I8024" s="394" t="str">
        <f t="shared" si="1093"/>
        <v/>
      </c>
      <c r="J8024" s="273"/>
      <c r="K8024" s="395"/>
      <c r="L8024" s="273"/>
      <c r="M8024" s="394" t="str">
        <f t="shared" si="1094"/>
        <v/>
      </c>
      <c r="N8024" s="273"/>
    </row>
    <row r="8025" spans="1:15" ht="12.75" customHeight="1" x14ac:dyDescent="0.2">
      <c r="A8025" s="403"/>
      <c r="B8025" s="271"/>
      <c r="C8025" s="271"/>
      <c r="D8025" s="271"/>
      <c r="E8025" s="271"/>
      <c r="F8025" s="271"/>
      <c r="G8025" s="273"/>
      <c r="H8025" s="29" t="str">
        <f t="shared" si="1092"/>
        <v/>
      </c>
      <c r="I8025" s="394" t="str">
        <f t="shared" si="1093"/>
        <v/>
      </c>
      <c r="J8025" s="273"/>
      <c r="K8025" s="395"/>
      <c r="L8025" s="273"/>
      <c r="M8025" s="394" t="str">
        <f t="shared" si="1094"/>
        <v/>
      </c>
      <c r="N8025" s="273"/>
    </row>
    <row r="8026" spans="1:15" ht="12.75" customHeight="1" x14ac:dyDescent="0.2">
      <c r="A8026" s="403"/>
      <c r="B8026" s="271"/>
      <c r="C8026" s="271"/>
      <c r="D8026" s="271"/>
      <c r="E8026" s="271"/>
      <c r="F8026" s="271"/>
      <c r="G8026" s="273"/>
      <c r="H8026" s="29" t="str">
        <f t="shared" si="1092"/>
        <v/>
      </c>
      <c r="I8026" s="394" t="str">
        <f t="shared" si="1093"/>
        <v/>
      </c>
      <c r="J8026" s="273"/>
      <c r="K8026" s="395"/>
      <c r="L8026" s="273"/>
      <c r="M8026" s="394" t="str">
        <f t="shared" si="1094"/>
        <v/>
      </c>
      <c r="N8026" s="273"/>
    </row>
    <row r="8027" spans="1:15" ht="12.75" customHeight="1" x14ac:dyDescent="0.25">
      <c r="A8027" s="4"/>
      <c r="B8027" s="4"/>
      <c r="C8027" s="4"/>
      <c r="D8027" s="4"/>
      <c r="E8027" s="4"/>
      <c r="F8027" s="4"/>
      <c r="G8027" s="4"/>
      <c r="H8027" s="4"/>
      <c r="I8027" s="4"/>
      <c r="J8027" s="4"/>
      <c r="K8027" s="396" t="s">
        <v>444</v>
      </c>
      <c r="L8027" s="273"/>
      <c r="M8027" s="394">
        <f>SUM(M8021:N8026)</f>
        <v>11298</v>
      </c>
      <c r="N8027" s="273"/>
    </row>
    <row r="8028" spans="1:15" ht="12.75" customHeight="1" x14ac:dyDescent="0.25">
      <c r="A8028" s="4"/>
      <c r="B8028" s="4"/>
      <c r="C8028" s="4"/>
      <c r="D8028" s="4"/>
      <c r="E8028" s="4"/>
      <c r="F8028" s="4"/>
      <c r="G8028" s="4"/>
      <c r="H8028" s="4"/>
      <c r="I8028" s="4"/>
      <c r="J8028" s="4"/>
      <c r="K8028" s="4"/>
      <c r="L8028" s="4"/>
      <c r="M8028" s="4"/>
      <c r="N8028" s="4"/>
    </row>
    <row r="8029" spans="1:15" ht="12.75" customHeight="1" x14ac:dyDescent="0.2">
      <c r="A8029" s="398" t="s">
        <v>926</v>
      </c>
      <c r="B8029" s="271"/>
      <c r="C8029" s="271"/>
      <c r="D8029" s="271"/>
      <c r="E8029" s="271"/>
      <c r="F8029" s="271"/>
      <c r="G8029" s="271"/>
      <c r="H8029" s="271"/>
      <c r="I8029" s="271"/>
      <c r="J8029" s="271"/>
      <c r="K8029" s="271"/>
      <c r="L8029" s="271"/>
      <c r="M8029" s="271"/>
      <c r="N8029" s="273"/>
    </row>
    <row r="8030" spans="1:15" ht="12.75" customHeight="1" x14ac:dyDescent="0.2">
      <c r="A8030" s="396" t="s">
        <v>76</v>
      </c>
      <c r="B8030" s="271"/>
      <c r="C8030" s="271"/>
      <c r="D8030" s="271"/>
      <c r="E8030" s="271"/>
      <c r="F8030" s="271"/>
      <c r="G8030" s="273"/>
      <c r="H8030" s="88" t="s">
        <v>77</v>
      </c>
      <c r="I8030" s="399" t="s">
        <v>920</v>
      </c>
      <c r="J8030" s="273"/>
      <c r="K8030" s="399" t="s">
        <v>453</v>
      </c>
      <c r="L8030" s="273"/>
      <c r="M8030" s="399" t="s">
        <v>921</v>
      </c>
      <c r="N8030" s="273"/>
    </row>
    <row r="8031" spans="1:15" ht="12.75" customHeight="1" x14ac:dyDescent="0.2">
      <c r="A8031" s="400" t="s">
        <v>927</v>
      </c>
      <c r="B8031" s="271"/>
      <c r="C8031" s="271"/>
      <c r="D8031" s="271"/>
      <c r="E8031" s="271"/>
      <c r="F8031" s="271"/>
      <c r="G8031" s="273"/>
      <c r="H8031" s="29" t="str">
        <f>IF(A8031="","",VLOOKUP(A8031,AA_Equipos,7,FALSE))</f>
        <v>% M.O.</v>
      </c>
      <c r="I8031" s="394">
        <f>+M8054</f>
        <v>14483.463599999999</v>
      </c>
      <c r="J8031" s="273"/>
      <c r="K8031" s="404">
        <v>0.05</v>
      </c>
      <c r="L8031" s="273"/>
      <c r="M8031" s="394">
        <f t="shared" ref="M8031:M8035" si="1095">IF(A8031="","",I8031*K8031)</f>
        <v>724.17318</v>
      </c>
      <c r="N8031" s="273"/>
    </row>
    <row r="8032" spans="1:15" ht="12.75" customHeight="1" x14ac:dyDescent="0.2">
      <c r="A8032" s="403" t="s">
        <v>1360</v>
      </c>
      <c r="B8032" s="271"/>
      <c r="C8032" s="271"/>
      <c r="D8032" s="271"/>
      <c r="E8032" s="271"/>
      <c r="F8032" s="271"/>
      <c r="G8032" s="273"/>
      <c r="H8032" s="29" t="str">
        <f>IF(A8032="","",VLOOKUP(A8032,AA_Equipos,7,FALSE))</f>
        <v>Día</v>
      </c>
      <c r="I8032" s="394">
        <f>IF(A8032="","",VLOOKUP(A8032,AA_Equipos,8,FALSE))</f>
        <v>174571</v>
      </c>
      <c r="J8032" s="273"/>
      <c r="K8032" s="402">
        <v>4.0000000000000001E-3</v>
      </c>
      <c r="L8032" s="273"/>
      <c r="M8032" s="394">
        <f t="shared" si="1095"/>
        <v>698.28399999999999</v>
      </c>
      <c r="N8032" s="273"/>
    </row>
    <row r="8033" spans="1:14" ht="12.75" customHeight="1" x14ac:dyDescent="0.2">
      <c r="A8033" s="400" t="s">
        <v>1361</v>
      </c>
      <c r="B8033" s="271"/>
      <c r="C8033" s="271"/>
      <c r="D8033" s="271"/>
      <c r="E8033" s="271"/>
      <c r="F8033" s="271"/>
      <c r="G8033" s="273"/>
      <c r="H8033" s="29" t="str">
        <f>IF(A8033="","",VLOOKUP(A8033,AA_Equipos,7,FALSE))</f>
        <v>Día</v>
      </c>
      <c r="I8033" s="394">
        <f>IF(A8033="","",VLOOKUP(A8033,AA_Equipos,8,FALSE))</f>
        <v>87495</v>
      </c>
      <c r="J8033" s="273"/>
      <c r="K8033" s="401">
        <v>0.01</v>
      </c>
      <c r="L8033" s="273"/>
      <c r="M8033" s="394">
        <f t="shared" si="1095"/>
        <v>874.95</v>
      </c>
      <c r="N8033" s="273"/>
    </row>
    <row r="8034" spans="1:14" ht="12.75" customHeight="1" x14ac:dyDescent="0.2">
      <c r="A8034" s="400"/>
      <c r="B8034" s="271"/>
      <c r="C8034" s="271"/>
      <c r="D8034" s="271"/>
      <c r="E8034" s="271"/>
      <c r="F8034" s="271"/>
      <c r="G8034" s="273"/>
      <c r="H8034" s="29" t="str">
        <f>IF(A8034="","",VLOOKUP(A8034,AA_Equipos,7,FALSE))</f>
        <v/>
      </c>
      <c r="I8034" s="394" t="str">
        <f>IF(A8034="","",VLOOKUP(A8034,AA_Equipos,8,FALSE))</f>
        <v/>
      </c>
      <c r="J8034" s="273"/>
      <c r="K8034" s="395"/>
      <c r="L8034" s="273"/>
      <c r="M8034" s="394" t="str">
        <f t="shared" si="1095"/>
        <v/>
      </c>
      <c r="N8034" s="273"/>
    </row>
    <row r="8035" spans="1:14" ht="12.75" customHeight="1" x14ac:dyDescent="0.2">
      <c r="A8035" s="400"/>
      <c r="B8035" s="271"/>
      <c r="C8035" s="271"/>
      <c r="D8035" s="271"/>
      <c r="E8035" s="271"/>
      <c r="F8035" s="271"/>
      <c r="G8035" s="273"/>
      <c r="H8035" s="29" t="str">
        <f>IF(A8035="","",VLOOKUP(A8035,AA_Equipos,7,FALSE))</f>
        <v/>
      </c>
      <c r="I8035" s="394" t="str">
        <f>IF(A8035="","",VLOOKUP(A8035,AA_Equipos,8,FALSE))</f>
        <v/>
      </c>
      <c r="J8035" s="273"/>
      <c r="K8035" s="395"/>
      <c r="L8035" s="273"/>
      <c r="M8035" s="394" t="str">
        <f t="shared" si="1095"/>
        <v/>
      </c>
      <c r="N8035" s="273"/>
    </row>
    <row r="8036" spans="1:14" ht="12.75" customHeight="1" x14ac:dyDescent="0.25">
      <c r="A8036" s="4"/>
      <c r="B8036" s="4"/>
      <c r="C8036" s="4"/>
      <c r="D8036" s="4"/>
      <c r="E8036" s="4"/>
      <c r="F8036" s="4"/>
      <c r="G8036" s="4"/>
      <c r="H8036" s="4"/>
      <c r="I8036" s="4"/>
      <c r="J8036" s="4"/>
      <c r="K8036" s="396" t="s">
        <v>444</v>
      </c>
      <c r="L8036" s="273"/>
      <c r="M8036" s="394">
        <f>SUM(M8031:N8035)</f>
        <v>2297.4071800000002</v>
      </c>
      <c r="N8036" s="273"/>
    </row>
    <row r="8037" spans="1:14" ht="12.75" customHeight="1" x14ac:dyDescent="0.25">
      <c r="A8037" s="4"/>
      <c r="B8037" s="4"/>
      <c r="C8037" s="4"/>
      <c r="D8037" s="4"/>
      <c r="E8037" s="4"/>
      <c r="F8037" s="4"/>
      <c r="G8037" s="4"/>
      <c r="H8037" s="4"/>
      <c r="I8037" s="4"/>
      <c r="J8037" s="4"/>
      <c r="K8037" s="4"/>
      <c r="L8037" s="4"/>
      <c r="M8037" s="4"/>
      <c r="N8037" s="4"/>
    </row>
    <row r="8038" spans="1:14" ht="12.75" customHeight="1" x14ac:dyDescent="0.2">
      <c r="A8038" s="398" t="s">
        <v>929</v>
      </c>
      <c r="B8038" s="271"/>
      <c r="C8038" s="271"/>
      <c r="D8038" s="271"/>
      <c r="E8038" s="271"/>
      <c r="F8038" s="271"/>
      <c r="G8038" s="271"/>
      <c r="H8038" s="271"/>
      <c r="I8038" s="271"/>
      <c r="J8038" s="271"/>
      <c r="K8038" s="271"/>
      <c r="L8038" s="271"/>
      <c r="M8038" s="271"/>
      <c r="N8038" s="273"/>
    </row>
    <row r="8039" spans="1:14" ht="12.75" customHeight="1" x14ac:dyDescent="0.2">
      <c r="A8039" s="396" t="s">
        <v>76</v>
      </c>
      <c r="B8039" s="271"/>
      <c r="C8039" s="271"/>
      <c r="D8039" s="271"/>
      <c r="E8039" s="271"/>
      <c r="F8039" s="271"/>
      <c r="G8039" s="273"/>
      <c r="H8039" s="88" t="s">
        <v>77</v>
      </c>
      <c r="I8039" s="399" t="s">
        <v>920</v>
      </c>
      <c r="J8039" s="273"/>
      <c r="K8039" s="399" t="s">
        <v>453</v>
      </c>
      <c r="L8039" s="273"/>
      <c r="M8039" s="399" t="s">
        <v>921</v>
      </c>
      <c r="N8039" s="273"/>
    </row>
    <row r="8040" spans="1:14" ht="12.75" customHeight="1" x14ac:dyDescent="0.2">
      <c r="A8040" s="400" t="s">
        <v>966</v>
      </c>
      <c r="B8040" s="271"/>
      <c r="C8040" s="271"/>
      <c r="D8040" s="271"/>
      <c r="E8040" s="271"/>
      <c r="F8040" s="271"/>
      <c r="G8040" s="273"/>
      <c r="H8040" s="29" t="s">
        <v>24</v>
      </c>
      <c r="I8040" s="394">
        <f>+M8027</f>
        <v>11298</v>
      </c>
      <c r="J8040" s="273"/>
      <c r="K8040" s="404">
        <v>0.05</v>
      </c>
      <c r="L8040" s="273"/>
      <c r="M8040" s="394">
        <f t="shared" ref="M8040:M8044" si="1096">IF(A8040="","",I8040*K8040)</f>
        <v>564.9</v>
      </c>
      <c r="N8040" s="273"/>
    </row>
    <row r="8041" spans="1:14" ht="12.75" customHeight="1" x14ac:dyDescent="0.2">
      <c r="A8041" s="403" t="s">
        <v>3174</v>
      </c>
      <c r="B8041" s="271"/>
      <c r="C8041" s="271"/>
      <c r="D8041" s="271"/>
      <c r="E8041" s="271"/>
      <c r="F8041" s="271"/>
      <c r="G8041" s="273"/>
      <c r="H8041" s="29" t="s">
        <v>24</v>
      </c>
      <c r="I8041" s="394">
        <f>+M8036</f>
        <v>2297.4071800000002</v>
      </c>
      <c r="J8041" s="273"/>
      <c r="K8041" s="404">
        <v>0.05</v>
      </c>
      <c r="L8041" s="273"/>
      <c r="M8041" s="394">
        <f t="shared" si="1096"/>
        <v>114.87035900000001</v>
      </c>
      <c r="N8041" s="273"/>
    </row>
    <row r="8042" spans="1:14" ht="12.75" customHeight="1" x14ac:dyDescent="0.2">
      <c r="A8042" s="400"/>
      <c r="B8042" s="271"/>
      <c r="C8042" s="271"/>
      <c r="D8042" s="271"/>
      <c r="E8042" s="271"/>
      <c r="F8042" s="271"/>
      <c r="G8042" s="273"/>
      <c r="H8042" s="29"/>
      <c r="I8042" s="394"/>
      <c r="J8042" s="273"/>
      <c r="K8042" s="395"/>
      <c r="L8042" s="273"/>
      <c r="M8042" s="394" t="str">
        <f t="shared" si="1096"/>
        <v/>
      </c>
      <c r="N8042" s="273"/>
    </row>
    <row r="8043" spans="1:14" ht="12.75" customHeight="1" x14ac:dyDescent="0.2">
      <c r="A8043" s="400"/>
      <c r="B8043" s="271"/>
      <c r="C8043" s="271"/>
      <c r="D8043" s="271"/>
      <c r="E8043" s="271"/>
      <c r="F8043" s="271"/>
      <c r="G8043" s="273"/>
      <c r="H8043" s="29"/>
      <c r="I8043" s="394"/>
      <c r="J8043" s="273"/>
      <c r="K8043" s="395"/>
      <c r="L8043" s="273"/>
      <c r="M8043" s="394" t="str">
        <f t="shared" si="1096"/>
        <v/>
      </c>
      <c r="N8043" s="273"/>
    </row>
    <row r="8044" spans="1:14" ht="12.75" customHeight="1" x14ac:dyDescent="0.2">
      <c r="A8044" s="400"/>
      <c r="B8044" s="271"/>
      <c r="C8044" s="271"/>
      <c r="D8044" s="271"/>
      <c r="E8044" s="271"/>
      <c r="F8044" s="271"/>
      <c r="G8044" s="273"/>
      <c r="H8044" s="29"/>
      <c r="I8044" s="394"/>
      <c r="J8044" s="273"/>
      <c r="K8044" s="395"/>
      <c r="L8044" s="273"/>
      <c r="M8044" s="394" t="str">
        <f t="shared" si="1096"/>
        <v/>
      </c>
      <c r="N8044" s="273"/>
    </row>
    <row r="8045" spans="1:14" ht="12.75" customHeight="1" x14ac:dyDescent="0.25">
      <c r="A8045" s="4"/>
      <c r="B8045" s="4"/>
      <c r="C8045" s="4"/>
      <c r="D8045" s="4"/>
      <c r="E8045" s="4"/>
      <c r="F8045" s="4"/>
      <c r="G8045" s="4"/>
      <c r="H8045" s="4"/>
      <c r="I8045" s="4"/>
      <c r="J8045" s="4"/>
      <c r="K8045" s="396" t="s">
        <v>444</v>
      </c>
      <c r="L8045" s="273"/>
      <c r="M8045" s="394">
        <f>SUM(M8040:N8044)</f>
        <v>679.77035899999998</v>
      </c>
      <c r="N8045" s="273"/>
    </row>
    <row r="8046" spans="1:14" ht="12.75" customHeight="1" x14ac:dyDescent="0.25">
      <c r="A8046" s="4"/>
      <c r="B8046" s="4"/>
      <c r="C8046" s="4"/>
      <c r="D8046" s="4"/>
      <c r="E8046" s="4"/>
      <c r="F8046" s="4"/>
      <c r="G8046" s="4"/>
      <c r="H8046" s="4"/>
      <c r="I8046" s="4"/>
      <c r="J8046" s="4"/>
      <c r="K8046" s="4"/>
      <c r="L8046" s="4"/>
      <c r="M8046" s="4"/>
      <c r="N8046" s="4"/>
    </row>
    <row r="8047" spans="1:14" ht="12.75" customHeight="1" x14ac:dyDescent="0.2">
      <c r="A8047" s="398" t="s">
        <v>931</v>
      </c>
      <c r="B8047" s="271"/>
      <c r="C8047" s="271"/>
      <c r="D8047" s="271"/>
      <c r="E8047" s="271"/>
      <c r="F8047" s="271"/>
      <c r="G8047" s="271"/>
      <c r="H8047" s="271"/>
      <c r="I8047" s="271"/>
      <c r="J8047" s="271"/>
      <c r="K8047" s="271"/>
      <c r="L8047" s="271"/>
      <c r="M8047" s="271"/>
      <c r="N8047" s="273"/>
    </row>
    <row r="8048" spans="1:14" ht="12.75" customHeight="1" x14ac:dyDescent="0.2">
      <c r="A8048" s="396" t="s">
        <v>76</v>
      </c>
      <c r="B8048" s="271"/>
      <c r="C8048" s="271"/>
      <c r="D8048" s="271"/>
      <c r="E8048" s="271"/>
      <c r="F8048" s="271"/>
      <c r="G8048" s="273"/>
      <c r="H8048" s="88" t="s">
        <v>77</v>
      </c>
      <c r="I8048" s="399" t="s">
        <v>920</v>
      </c>
      <c r="J8048" s="273"/>
      <c r="K8048" s="90" t="s">
        <v>514</v>
      </c>
      <c r="L8048" s="91" t="s">
        <v>932</v>
      </c>
      <c r="M8048" s="399" t="s">
        <v>921</v>
      </c>
      <c r="N8048" s="273"/>
    </row>
    <row r="8049" spans="1:15" ht="12.75" customHeight="1" x14ac:dyDescent="0.25">
      <c r="A8049" s="393" t="s">
        <v>973</v>
      </c>
      <c r="B8049" s="271"/>
      <c r="C8049" s="271"/>
      <c r="D8049" s="271"/>
      <c r="E8049" s="271"/>
      <c r="F8049" s="271"/>
      <c r="G8049" s="273"/>
      <c r="H8049" s="29" t="str">
        <f>IF(A8049="","",VLOOKUP(A8049,AA_Cuadrillas,4,FALSE))</f>
        <v>Cuadrilla</v>
      </c>
      <c r="I8049" s="394">
        <f>IF(A8049="","",VLOOKUP(A8049,AA_Cuadrillas,5,FALSE))</f>
        <v>256799</v>
      </c>
      <c r="J8049" s="273"/>
      <c r="K8049" s="9">
        <f>IF(A8049="","",F.P!$I$2)</f>
        <v>1.88</v>
      </c>
      <c r="L8049" s="97">
        <v>0.03</v>
      </c>
      <c r="M8049" s="394">
        <f t="shared" ref="M8049:M8053" si="1097">IF(A8049="","",I8049*K8049*L8049)</f>
        <v>14483.463599999999</v>
      </c>
      <c r="N8049" s="273"/>
    </row>
    <row r="8050" spans="1:15" ht="12.75" customHeight="1" x14ac:dyDescent="0.25">
      <c r="A8050" s="393"/>
      <c r="B8050" s="271"/>
      <c r="C8050" s="271"/>
      <c r="D8050" s="271"/>
      <c r="E8050" s="271"/>
      <c r="F8050" s="271"/>
      <c r="G8050" s="273"/>
      <c r="H8050" s="29" t="str">
        <f>IF(A8050="","",VLOOKUP(A8050,AA_Cuadrillas,4,FALSE))</f>
        <v/>
      </c>
      <c r="I8050" s="394" t="str">
        <f>IF(A8050="","",VLOOKUP(A8050,AA_Cuadrillas,5,FALSE))</f>
        <v/>
      </c>
      <c r="J8050" s="273"/>
      <c r="K8050" s="9" t="str">
        <f>IF(A8050="","",F.P!$I$2)</f>
        <v/>
      </c>
      <c r="L8050" s="9"/>
      <c r="M8050" s="394" t="str">
        <f t="shared" si="1097"/>
        <v/>
      </c>
      <c r="N8050" s="273"/>
    </row>
    <row r="8051" spans="1:15" ht="12.75" customHeight="1" x14ac:dyDescent="0.25">
      <c r="A8051" s="393"/>
      <c r="B8051" s="271"/>
      <c r="C8051" s="271"/>
      <c r="D8051" s="271"/>
      <c r="E8051" s="271"/>
      <c r="F8051" s="271"/>
      <c r="G8051" s="273"/>
      <c r="H8051" s="29" t="str">
        <f>IF(A8051="","",VLOOKUP(A8051,AA_Cuadrillas,4,FALSE))</f>
        <v/>
      </c>
      <c r="I8051" s="394" t="str">
        <f>IF(A8051="","",VLOOKUP(A8051,AA_Cuadrillas,5,FALSE))</f>
        <v/>
      </c>
      <c r="J8051" s="273"/>
      <c r="K8051" s="9" t="str">
        <f>IF(A8051="","",F.P!$I$2)</f>
        <v/>
      </c>
      <c r="L8051" s="37"/>
      <c r="M8051" s="394" t="str">
        <f t="shared" si="1097"/>
        <v/>
      </c>
      <c r="N8051" s="273"/>
    </row>
    <row r="8052" spans="1:15" ht="12.75" customHeight="1" x14ac:dyDescent="0.25">
      <c r="A8052" s="393"/>
      <c r="B8052" s="271"/>
      <c r="C8052" s="271"/>
      <c r="D8052" s="271"/>
      <c r="E8052" s="271"/>
      <c r="F8052" s="271"/>
      <c r="G8052" s="273"/>
      <c r="H8052" s="29" t="str">
        <f>IF(A8052="","",VLOOKUP(A8052,AA_Cuadrillas,4,FALSE))</f>
        <v/>
      </c>
      <c r="I8052" s="394" t="str">
        <f>IF(A8052="","",VLOOKUP(A8052,AA_Cuadrillas,5,FALSE))</f>
        <v/>
      </c>
      <c r="J8052" s="273"/>
      <c r="K8052" s="9" t="str">
        <f>IF(A8052="","",F.P!$I$2)</f>
        <v/>
      </c>
      <c r="L8052" s="37"/>
      <c r="M8052" s="394" t="str">
        <f t="shared" si="1097"/>
        <v/>
      </c>
      <c r="N8052" s="273"/>
    </row>
    <row r="8053" spans="1:15" ht="12.75" customHeight="1" x14ac:dyDescent="0.25">
      <c r="A8053" s="393"/>
      <c r="B8053" s="271"/>
      <c r="C8053" s="271"/>
      <c r="D8053" s="271"/>
      <c r="E8053" s="271"/>
      <c r="F8053" s="271"/>
      <c r="G8053" s="273"/>
      <c r="H8053" s="29" t="str">
        <f>IF(A8053="","",VLOOKUP(A8053,AA_Cuadrillas,4,FALSE))</f>
        <v/>
      </c>
      <c r="I8053" s="394" t="str">
        <f>IF(A8053="","",VLOOKUP(A8053,AA_Cuadrillas,5,FALSE))</f>
        <v/>
      </c>
      <c r="J8053" s="273"/>
      <c r="K8053" s="9" t="str">
        <f>IF(A8053="","",F.P!$I$2)</f>
        <v/>
      </c>
      <c r="L8053" s="37"/>
      <c r="M8053" s="394" t="str">
        <f t="shared" si="1097"/>
        <v/>
      </c>
      <c r="N8053" s="273"/>
    </row>
    <row r="8054" spans="1:15" ht="12.75" customHeight="1" x14ac:dyDescent="0.25">
      <c r="A8054" s="4"/>
      <c r="B8054" s="4"/>
      <c r="C8054" s="4"/>
      <c r="D8054" s="4"/>
      <c r="E8054" s="4"/>
      <c r="F8054" s="4"/>
      <c r="G8054" s="4"/>
      <c r="H8054" s="4"/>
      <c r="I8054" s="4"/>
      <c r="J8054" s="4"/>
      <c r="K8054" s="396" t="s">
        <v>444</v>
      </c>
      <c r="L8054" s="273"/>
      <c r="M8054" s="394">
        <f>SUM(M8049:N8053)</f>
        <v>14483.463599999999</v>
      </c>
      <c r="N8054" s="273"/>
    </row>
    <row r="8055" spans="1:15" ht="12.75" customHeight="1" x14ac:dyDescent="0.2"/>
    <row r="8056" spans="1:15" ht="12.75" customHeight="1" x14ac:dyDescent="0.2">
      <c r="A8056" s="407" t="s">
        <v>1362</v>
      </c>
      <c r="B8056" s="275"/>
      <c r="C8056" s="275"/>
      <c r="D8056" s="275"/>
      <c r="E8056" s="275"/>
      <c r="F8056" s="275"/>
      <c r="G8056" s="275"/>
      <c r="H8056" s="275"/>
      <c r="I8056" s="275"/>
      <c r="J8056" s="275"/>
      <c r="K8056" s="275"/>
      <c r="L8056" s="275"/>
      <c r="M8056" s="275"/>
      <c r="N8056" s="276"/>
      <c r="O8056" s="166"/>
    </row>
    <row r="8057" spans="1:15" ht="12.75" customHeight="1" x14ac:dyDescent="0.2">
      <c r="A8057" s="277"/>
      <c r="B8057" s="278"/>
      <c r="C8057" s="278"/>
      <c r="D8057" s="278"/>
      <c r="E8057" s="278"/>
      <c r="F8057" s="278"/>
      <c r="G8057" s="278"/>
      <c r="H8057" s="278"/>
      <c r="I8057" s="278"/>
      <c r="J8057" s="278"/>
      <c r="K8057" s="278"/>
      <c r="L8057" s="278"/>
      <c r="M8057" s="278"/>
      <c r="N8057" s="279"/>
      <c r="O8057" s="166"/>
    </row>
    <row r="8058" spans="1:15" ht="12.75" customHeight="1" x14ac:dyDescent="0.2">
      <c r="A8058" s="75"/>
      <c r="B8058" s="75"/>
      <c r="C8058" s="75"/>
      <c r="D8058" s="75"/>
      <c r="E8058" s="75"/>
      <c r="F8058" s="75"/>
      <c r="G8058" s="75"/>
      <c r="H8058" s="75"/>
      <c r="I8058" s="75"/>
      <c r="J8058" s="75"/>
      <c r="K8058" s="75"/>
      <c r="L8058" s="75"/>
      <c r="M8058" s="75"/>
      <c r="N8058" s="75"/>
    </row>
    <row r="8059" spans="1:15" ht="12.75" customHeight="1" x14ac:dyDescent="0.3">
      <c r="A8059" s="79" t="s">
        <v>797</v>
      </c>
      <c r="B8059" s="80" t="str">
        <f>A8056</f>
        <v>SUMINISTRO E INSTALACIÓN DE UNION UNIVERSAL Ø3" EN HIERRO DUCTIL</v>
      </c>
      <c r="C8059" s="81" t="s">
        <v>916</v>
      </c>
      <c r="D8059" s="82" t="s">
        <v>969</v>
      </c>
      <c r="E8059" s="83" t="s">
        <v>445</v>
      </c>
      <c r="F8059" s="86">
        <f>H8059+J8059+L8059+N8059</f>
        <v>175893.845439</v>
      </c>
      <c r="G8059" s="83" t="s">
        <v>607</v>
      </c>
      <c r="H8059" s="86">
        <f>M8069</f>
        <v>153000</v>
      </c>
      <c r="I8059" s="83" t="s">
        <v>918</v>
      </c>
      <c r="J8059" s="86">
        <f>M8078</f>
        <v>724.17318</v>
      </c>
      <c r="K8059" s="83" t="s">
        <v>609</v>
      </c>
      <c r="L8059" s="86">
        <f>M8087</f>
        <v>7686.2086589999999</v>
      </c>
      <c r="M8059" s="83" t="s">
        <v>610</v>
      </c>
      <c r="N8059" s="86">
        <f>M8096</f>
        <v>14483.463599999999</v>
      </c>
    </row>
    <row r="8060" spans="1:15" ht="12.75" customHeight="1" x14ac:dyDescent="0.25">
      <c r="A8060" s="87"/>
      <c r="B8060" s="87"/>
      <c r="C8060" s="87"/>
      <c r="D8060" s="87"/>
      <c r="E8060" s="87"/>
      <c r="F8060" s="87"/>
      <c r="G8060" s="87"/>
      <c r="J8060" s="87"/>
      <c r="K8060" s="215" t="s">
        <v>3217</v>
      </c>
      <c r="L8060" s="215">
        <f>+F8059*presup!$O$5</f>
        <v>228661.9990707</v>
      </c>
      <c r="M8060" s="87"/>
      <c r="N8060" s="87"/>
    </row>
    <row r="8061" spans="1:15" ht="12.75" customHeight="1" x14ac:dyDescent="0.2">
      <c r="A8061" s="398" t="s">
        <v>919</v>
      </c>
      <c r="B8061" s="271"/>
      <c r="C8061" s="271"/>
      <c r="D8061" s="271"/>
      <c r="E8061" s="271"/>
      <c r="F8061" s="271"/>
      <c r="G8061" s="271"/>
      <c r="H8061" s="271"/>
      <c r="I8061" s="271"/>
      <c r="J8061" s="271"/>
      <c r="K8061" s="271"/>
      <c r="L8061" s="271"/>
      <c r="M8061" s="271"/>
      <c r="N8061" s="273"/>
    </row>
    <row r="8062" spans="1:15" ht="12.75" customHeight="1" x14ac:dyDescent="0.2">
      <c r="A8062" s="396" t="s">
        <v>76</v>
      </c>
      <c r="B8062" s="271"/>
      <c r="C8062" s="271"/>
      <c r="D8062" s="271"/>
      <c r="E8062" s="271"/>
      <c r="F8062" s="271"/>
      <c r="G8062" s="273"/>
      <c r="H8062" s="88" t="s">
        <v>77</v>
      </c>
      <c r="I8062" s="399" t="s">
        <v>920</v>
      </c>
      <c r="J8062" s="273"/>
      <c r="K8062" s="399" t="s">
        <v>453</v>
      </c>
      <c r="L8062" s="273"/>
      <c r="M8062" s="399" t="s">
        <v>921</v>
      </c>
      <c r="N8062" s="273"/>
    </row>
    <row r="8063" spans="1:15" ht="12.75" customHeight="1" x14ac:dyDescent="0.2">
      <c r="A8063" s="403" t="s">
        <v>1363</v>
      </c>
      <c r="B8063" s="271"/>
      <c r="C8063" s="271"/>
      <c r="D8063" s="271"/>
      <c r="E8063" s="271"/>
      <c r="F8063" s="271"/>
      <c r="G8063" s="273"/>
      <c r="H8063" s="29" t="str">
        <f t="shared" ref="H8063:H8068" si="1098">IF(A8063="","",VLOOKUP(A8063,AA_Materiales,7,FALSE))</f>
        <v>Unidad</v>
      </c>
      <c r="I8063" s="394">
        <f t="shared" ref="I8063:I8068" si="1099">IF(A8063="","",VLOOKUP(A8063,AA_Materiales,8,FALSE))</f>
        <v>153000</v>
      </c>
      <c r="J8063" s="273"/>
      <c r="K8063" s="395">
        <v>1</v>
      </c>
      <c r="L8063" s="273"/>
      <c r="M8063" s="394">
        <f t="shared" ref="M8063:M8068" si="1100">IF(A8063="","",I8063*K8063)</f>
        <v>153000</v>
      </c>
      <c r="N8063" s="273"/>
    </row>
    <row r="8064" spans="1:15" ht="12.75" customHeight="1" x14ac:dyDescent="0.2">
      <c r="A8064" s="403"/>
      <c r="B8064" s="271"/>
      <c r="C8064" s="271"/>
      <c r="D8064" s="271"/>
      <c r="E8064" s="271"/>
      <c r="F8064" s="271"/>
      <c r="G8064" s="273"/>
      <c r="H8064" s="29" t="str">
        <f t="shared" si="1098"/>
        <v/>
      </c>
      <c r="I8064" s="394" t="str">
        <f t="shared" si="1099"/>
        <v/>
      </c>
      <c r="J8064" s="273"/>
      <c r="K8064" s="395"/>
      <c r="L8064" s="273"/>
      <c r="M8064" s="394" t="str">
        <f t="shared" si="1100"/>
        <v/>
      </c>
      <c r="N8064" s="273"/>
    </row>
    <row r="8065" spans="1:14" ht="12.75" customHeight="1" x14ac:dyDescent="0.2">
      <c r="A8065" s="403"/>
      <c r="B8065" s="271"/>
      <c r="C8065" s="271"/>
      <c r="D8065" s="271"/>
      <c r="E8065" s="271"/>
      <c r="F8065" s="271"/>
      <c r="G8065" s="273"/>
      <c r="H8065" s="29" t="str">
        <f t="shared" si="1098"/>
        <v/>
      </c>
      <c r="I8065" s="394" t="str">
        <f t="shared" si="1099"/>
        <v/>
      </c>
      <c r="J8065" s="273"/>
      <c r="K8065" s="395"/>
      <c r="L8065" s="273"/>
      <c r="M8065" s="394" t="str">
        <f t="shared" si="1100"/>
        <v/>
      </c>
      <c r="N8065" s="273"/>
    </row>
    <row r="8066" spans="1:14" ht="12.75" customHeight="1" x14ac:dyDescent="0.2">
      <c r="A8066" s="403"/>
      <c r="B8066" s="271"/>
      <c r="C8066" s="271"/>
      <c r="D8066" s="271"/>
      <c r="E8066" s="271"/>
      <c r="F8066" s="271"/>
      <c r="G8066" s="273"/>
      <c r="H8066" s="29" t="str">
        <f t="shared" si="1098"/>
        <v/>
      </c>
      <c r="I8066" s="394" t="str">
        <f t="shared" si="1099"/>
        <v/>
      </c>
      <c r="J8066" s="273"/>
      <c r="K8066" s="395"/>
      <c r="L8066" s="273"/>
      <c r="M8066" s="394" t="str">
        <f t="shared" si="1100"/>
        <v/>
      </c>
      <c r="N8066" s="273"/>
    </row>
    <row r="8067" spans="1:14" ht="12.75" customHeight="1" x14ac:dyDescent="0.2">
      <c r="A8067" s="403"/>
      <c r="B8067" s="271"/>
      <c r="C8067" s="271"/>
      <c r="D8067" s="271"/>
      <c r="E8067" s="271"/>
      <c r="F8067" s="271"/>
      <c r="G8067" s="273"/>
      <c r="H8067" s="29" t="str">
        <f t="shared" si="1098"/>
        <v/>
      </c>
      <c r="I8067" s="394" t="str">
        <f t="shared" si="1099"/>
        <v/>
      </c>
      <c r="J8067" s="273"/>
      <c r="K8067" s="395"/>
      <c r="L8067" s="273"/>
      <c r="M8067" s="394" t="str">
        <f t="shared" si="1100"/>
        <v/>
      </c>
      <c r="N8067" s="273"/>
    </row>
    <row r="8068" spans="1:14" ht="12.75" customHeight="1" x14ac:dyDescent="0.2">
      <c r="A8068" s="403"/>
      <c r="B8068" s="271"/>
      <c r="C8068" s="271"/>
      <c r="D8068" s="271"/>
      <c r="E8068" s="271"/>
      <c r="F8068" s="271"/>
      <c r="G8068" s="273"/>
      <c r="H8068" s="29" t="str">
        <f t="shared" si="1098"/>
        <v/>
      </c>
      <c r="I8068" s="394" t="str">
        <f t="shared" si="1099"/>
        <v/>
      </c>
      <c r="J8068" s="273"/>
      <c r="K8068" s="395"/>
      <c r="L8068" s="273"/>
      <c r="M8068" s="394" t="str">
        <f t="shared" si="1100"/>
        <v/>
      </c>
      <c r="N8068" s="273"/>
    </row>
    <row r="8069" spans="1:14" ht="12.75" customHeight="1" x14ac:dyDescent="0.25">
      <c r="A8069" s="4"/>
      <c r="B8069" s="4"/>
      <c r="C8069" s="4"/>
      <c r="D8069" s="4"/>
      <c r="E8069" s="4"/>
      <c r="F8069" s="4"/>
      <c r="G8069" s="4"/>
      <c r="H8069" s="4"/>
      <c r="I8069" s="4"/>
      <c r="J8069" s="4"/>
      <c r="K8069" s="396" t="s">
        <v>444</v>
      </c>
      <c r="L8069" s="273"/>
      <c r="M8069" s="394">
        <f>SUM(M8063:N8068)</f>
        <v>153000</v>
      </c>
      <c r="N8069" s="273"/>
    </row>
    <row r="8070" spans="1:14" ht="12.75" customHeight="1" x14ac:dyDescent="0.25">
      <c r="A8070" s="4"/>
      <c r="B8070" s="4"/>
      <c r="C8070" s="4"/>
      <c r="D8070" s="4"/>
      <c r="E8070" s="4"/>
      <c r="F8070" s="4"/>
      <c r="G8070" s="4"/>
      <c r="H8070" s="4"/>
      <c r="I8070" s="4"/>
      <c r="J8070" s="4"/>
      <c r="K8070" s="4"/>
      <c r="L8070" s="4"/>
      <c r="M8070" s="4"/>
      <c r="N8070" s="4"/>
    </row>
    <row r="8071" spans="1:14" ht="12.75" customHeight="1" x14ac:dyDescent="0.2">
      <c r="A8071" s="398" t="s">
        <v>926</v>
      </c>
      <c r="B8071" s="271"/>
      <c r="C8071" s="271"/>
      <c r="D8071" s="271"/>
      <c r="E8071" s="271"/>
      <c r="F8071" s="271"/>
      <c r="G8071" s="271"/>
      <c r="H8071" s="271"/>
      <c r="I8071" s="271"/>
      <c r="J8071" s="271"/>
      <c r="K8071" s="271"/>
      <c r="L8071" s="271"/>
      <c r="M8071" s="271"/>
      <c r="N8071" s="273"/>
    </row>
    <row r="8072" spans="1:14" ht="12.75" customHeight="1" x14ac:dyDescent="0.2">
      <c r="A8072" s="396" t="s">
        <v>76</v>
      </c>
      <c r="B8072" s="271"/>
      <c r="C8072" s="271"/>
      <c r="D8072" s="271"/>
      <c r="E8072" s="271"/>
      <c r="F8072" s="271"/>
      <c r="G8072" s="273"/>
      <c r="H8072" s="88" t="s">
        <v>77</v>
      </c>
      <c r="I8072" s="399" t="s">
        <v>920</v>
      </c>
      <c r="J8072" s="273"/>
      <c r="K8072" s="399" t="s">
        <v>453</v>
      </c>
      <c r="L8072" s="273"/>
      <c r="M8072" s="399" t="s">
        <v>921</v>
      </c>
      <c r="N8072" s="273"/>
    </row>
    <row r="8073" spans="1:14" ht="12.75" customHeight="1" x14ac:dyDescent="0.2">
      <c r="A8073" s="400" t="s">
        <v>927</v>
      </c>
      <c r="B8073" s="271"/>
      <c r="C8073" s="271"/>
      <c r="D8073" s="271"/>
      <c r="E8073" s="271"/>
      <c r="F8073" s="271"/>
      <c r="G8073" s="273"/>
      <c r="H8073" s="29" t="str">
        <f>IF(A8073="","",VLOOKUP(A8073,AA_Equipos,7,FALSE))</f>
        <v>% M.O.</v>
      </c>
      <c r="I8073" s="394">
        <f>+M8096</f>
        <v>14483.463599999999</v>
      </c>
      <c r="J8073" s="273"/>
      <c r="K8073" s="404">
        <v>0.05</v>
      </c>
      <c r="L8073" s="273"/>
      <c r="M8073" s="394">
        <f t="shared" ref="M8073:M8077" si="1101">IF(A8073="","",I8073*K8073)</f>
        <v>724.17318</v>
      </c>
      <c r="N8073" s="273"/>
    </row>
    <row r="8074" spans="1:14" ht="12.75" customHeight="1" x14ac:dyDescent="0.2">
      <c r="A8074" s="403"/>
      <c r="B8074" s="271"/>
      <c r="C8074" s="271"/>
      <c r="D8074" s="271"/>
      <c r="E8074" s="271"/>
      <c r="F8074" s="271"/>
      <c r="G8074" s="273"/>
      <c r="H8074" s="29" t="str">
        <f>IF(A8074="","",VLOOKUP(A8074,AA_Equipos,7,FALSE))</f>
        <v/>
      </c>
      <c r="I8074" s="394" t="str">
        <f>IF(A8074="","",VLOOKUP(A8074,AA_Equipos,8,FALSE))</f>
        <v/>
      </c>
      <c r="J8074" s="273"/>
      <c r="K8074" s="402"/>
      <c r="L8074" s="273"/>
      <c r="M8074" s="394" t="str">
        <f t="shared" si="1101"/>
        <v/>
      </c>
      <c r="N8074" s="273"/>
    </row>
    <row r="8075" spans="1:14" ht="12.75" customHeight="1" x14ac:dyDescent="0.2">
      <c r="A8075" s="400"/>
      <c r="B8075" s="271"/>
      <c r="C8075" s="271"/>
      <c r="D8075" s="271"/>
      <c r="E8075" s="271"/>
      <c r="F8075" s="271"/>
      <c r="G8075" s="273"/>
      <c r="H8075" s="29" t="str">
        <f>IF(A8075="","",VLOOKUP(A8075,AA_Equipos,7,FALSE))</f>
        <v/>
      </c>
      <c r="I8075" s="394" t="str">
        <f>IF(A8075="","",VLOOKUP(A8075,AA_Equipos,8,FALSE))</f>
        <v/>
      </c>
      <c r="J8075" s="273"/>
      <c r="K8075" s="401"/>
      <c r="L8075" s="273"/>
      <c r="M8075" s="394" t="str">
        <f t="shared" si="1101"/>
        <v/>
      </c>
      <c r="N8075" s="273"/>
    </row>
    <row r="8076" spans="1:14" ht="12.75" customHeight="1" x14ac:dyDescent="0.2">
      <c r="A8076" s="400"/>
      <c r="B8076" s="271"/>
      <c r="C8076" s="271"/>
      <c r="D8076" s="271"/>
      <c r="E8076" s="271"/>
      <c r="F8076" s="271"/>
      <c r="G8076" s="273"/>
      <c r="H8076" s="29" t="str">
        <f>IF(A8076="","",VLOOKUP(A8076,AA_Equipos,7,FALSE))</f>
        <v/>
      </c>
      <c r="I8076" s="394" t="str">
        <f>IF(A8076="","",VLOOKUP(A8076,AA_Equipos,8,FALSE))</f>
        <v/>
      </c>
      <c r="J8076" s="273"/>
      <c r="K8076" s="395"/>
      <c r="L8076" s="273"/>
      <c r="M8076" s="394" t="str">
        <f t="shared" si="1101"/>
        <v/>
      </c>
      <c r="N8076" s="273"/>
    </row>
    <row r="8077" spans="1:14" ht="12.75" customHeight="1" x14ac:dyDescent="0.2">
      <c r="A8077" s="400"/>
      <c r="B8077" s="271"/>
      <c r="C8077" s="271"/>
      <c r="D8077" s="271"/>
      <c r="E8077" s="271"/>
      <c r="F8077" s="271"/>
      <c r="G8077" s="273"/>
      <c r="H8077" s="29" t="str">
        <f>IF(A8077="","",VLOOKUP(A8077,AA_Equipos,7,FALSE))</f>
        <v/>
      </c>
      <c r="I8077" s="394" t="str">
        <f>IF(A8077="","",VLOOKUP(A8077,AA_Equipos,8,FALSE))</f>
        <v/>
      </c>
      <c r="J8077" s="273"/>
      <c r="K8077" s="395"/>
      <c r="L8077" s="273"/>
      <c r="M8077" s="394" t="str">
        <f t="shared" si="1101"/>
        <v/>
      </c>
      <c r="N8077" s="273"/>
    </row>
    <row r="8078" spans="1:14" ht="12.75" customHeight="1" x14ac:dyDescent="0.25">
      <c r="A8078" s="4"/>
      <c r="B8078" s="4"/>
      <c r="C8078" s="4"/>
      <c r="D8078" s="4"/>
      <c r="E8078" s="4"/>
      <c r="F8078" s="4"/>
      <c r="G8078" s="4"/>
      <c r="H8078" s="4"/>
      <c r="I8078" s="4"/>
      <c r="J8078" s="4"/>
      <c r="K8078" s="396" t="s">
        <v>444</v>
      </c>
      <c r="L8078" s="273"/>
      <c r="M8078" s="394">
        <f>SUM(M8073:N8077)</f>
        <v>724.17318</v>
      </c>
      <c r="N8078" s="273"/>
    </row>
    <row r="8079" spans="1:14" ht="12.75" customHeight="1" x14ac:dyDescent="0.25">
      <c r="A8079" s="4"/>
      <c r="B8079" s="4"/>
      <c r="C8079" s="4"/>
      <c r="D8079" s="4"/>
      <c r="E8079" s="4"/>
      <c r="F8079" s="4"/>
      <c r="G8079" s="4"/>
      <c r="H8079" s="4"/>
      <c r="I8079" s="4"/>
      <c r="J8079" s="4"/>
      <c r="K8079" s="4"/>
      <c r="L8079" s="4"/>
      <c r="M8079" s="4"/>
      <c r="N8079" s="4"/>
    </row>
    <row r="8080" spans="1:14" ht="12.75" customHeight="1" x14ac:dyDescent="0.2">
      <c r="A8080" s="398" t="s">
        <v>929</v>
      </c>
      <c r="B8080" s="271"/>
      <c r="C8080" s="271"/>
      <c r="D8080" s="271"/>
      <c r="E8080" s="271"/>
      <c r="F8080" s="271"/>
      <c r="G8080" s="271"/>
      <c r="H8080" s="271"/>
      <c r="I8080" s="271"/>
      <c r="J8080" s="271"/>
      <c r="K8080" s="271"/>
      <c r="L8080" s="271"/>
      <c r="M8080" s="271"/>
      <c r="N8080" s="273"/>
    </row>
    <row r="8081" spans="1:14" ht="12.75" customHeight="1" x14ac:dyDescent="0.2">
      <c r="A8081" s="396" t="s">
        <v>76</v>
      </c>
      <c r="B8081" s="271"/>
      <c r="C8081" s="271"/>
      <c r="D8081" s="271"/>
      <c r="E8081" s="271"/>
      <c r="F8081" s="271"/>
      <c r="G8081" s="273"/>
      <c r="H8081" s="88" t="s">
        <v>77</v>
      </c>
      <c r="I8081" s="399" t="s">
        <v>920</v>
      </c>
      <c r="J8081" s="273"/>
      <c r="K8081" s="399" t="s">
        <v>453</v>
      </c>
      <c r="L8081" s="273"/>
      <c r="M8081" s="399" t="s">
        <v>921</v>
      </c>
      <c r="N8081" s="273"/>
    </row>
    <row r="8082" spans="1:14" ht="12.75" customHeight="1" x14ac:dyDescent="0.2">
      <c r="A8082" s="400" t="s">
        <v>960</v>
      </c>
      <c r="B8082" s="271"/>
      <c r="C8082" s="271"/>
      <c r="D8082" s="271"/>
      <c r="E8082" s="271"/>
      <c r="F8082" s="271"/>
      <c r="G8082" s="273"/>
      <c r="H8082" s="29" t="s">
        <v>950</v>
      </c>
      <c r="I8082" s="394">
        <f>+M8069</f>
        <v>153000</v>
      </c>
      <c r="J8082" s="273"/>
      <c r="K8082" s="404">
        <v>0.05</v>
      </c>
      <c r="L8082" s="273"/>
      <c r="M8082" s="394">
        <f t="shared" ref="M8082:M8086" si="1102">IF(A8082="","",I8082*K8082)</f>
        <v>7650</v>
      </c>
      <c r="N8082" s="273"/>
    </row>
    <row r="8083" spans="1:14" ht="12.75" customHeight="1" x14ac:dyDescent="0.2">
      <c r="A8083" s="403" t="s">
        <v>3174</v>
      </c>
      <c r="B8083" s="271"/>
      <c r="C8083" s="271"/>
      <c r="D8083" s="271"/>
      <c r="E8083" s="271"/>
      <c r="F8083" s="271"/>
      <c r="G8083" s="273"/>
      <c r="H8083" s="29" t="s">
        <v>24</v>
      </c>
      <c r="I8083" s="394">
        <f>+M8078</f>
        <v>724.17318</v>
      </c>
      <c r="J8083" s="273"/>
      <c r="K8083" s="404">
        <v>0.05</v>
      </c>
      <c r="L8083" s="273"/>
      <c r="M8083" s="394">
        <f t="shared" si="1102"/>
        <v>36.208659000000004</v>
      </c>
      <c r="N8083" s="273"/>
    </row>
    <row r="8084" spans="1:14" ht="12.75" customHeight="1" x14ac:dyDescent="0.2">
      <c r="A8084" s="400"/>
      <c r="B8084" s="271"/>
      <c r="C8084" s="271"/>
      <c r="D8084" s="271"/>
      <c r="E8084" s="271"/>
      <c r="F8084" s="271"/>
      <c r="G8084" s="273"/>
      <c r="H8084" s="29"/>
      <c r="I8084" s="394"/>
      <c r="J8084" s="273"/>
      <c r="K8084" s="395"/>
      <c r="L8084" s="273"/>
      <c r="M8084" s="394" t="str">
        <f t="shared" si="1102"/>
        <v/>
      </c>
      <c r="N8084" s="273"/>
    </row>
    <row r="8085" spans="1:14" ht="12.75" customHeight="1" x14ac:dyDescent="0.2">
      <c r="A8085" s="400"/>
      <c r="B8085" s="271"/>
      <c r="C8085" s="271"/>
      <c r="D8085" s="271"/>
      <c r="E8085" s="271"/>
      <c r="F8085" s="271"/>
      <c r="G8085" s="273"/>
      <c r="H8085" s="29"/>
      <c r="I8085" s="394"/>
      <c r="J8085" s="273"/>
      <c r="K8085" s="395"/>
      <c r="L8085" s="273"/>
      <c r="M8085" s="394" t="str">
        <f t="shared" si="1102"/>
        <v/>
      </c>
      <c r="N8085" s="273"/>
    </row>
    <row r="8086" spans="1:14" ht="12.75" customHeight="1" x14ac:dyDescent="0.2">
      <c r="A8086" s="400"/>
      <c r="B8086" s="271"/>
      <c r="C8086" s="271"/>
      <c r="D8086" s="271"/>
      <c r="E8086" s="271"/>
      <c r="F8086" s="271"/>
      <c r="G8086" s="273"/>
      <c r="H8086" s="29"/>
      <c r="I8086" s="394"/>
      <c r="J8086" s="273"/>
      <c r="K8086" s="395"/>
      <c r="L8086" s="273"/>
      <c r="M8086" s="394" t="str">
        <f t="shared" si="1102"/>
        <v/>
      </c>
      <c r="N8086" s="273"/>
    </row>
    <row r="8087" spans="1:14" ht="12.75" customHeight="1" x14ac:dyDescent="0.25">
      <c r="A8087" s="4"/>
      <c r="B8087" s="4"/>
      <c r="C8087" s="4"/>
      <c r="D8087" s="4"/>
      <c r="E8087" s="4"/>
      <c r="F8087" s="4"/>
      <c r="G8087" s="4"/>
      <c r="H8087" s="4"/>
      <c r="I8087" s="4"/>
      <c r="J8087" s="4"/>
      <c r="K8087" s="396" t="s">
        <v>444</v>
      </c>
      <c r="L8087" s="273"/>
      <c r="M8087" s="394">
        <f>SUM(M8082:N8086)</f>
        <v>7686.2086589999999</v>
      </c>
      <c r="N8087" s="273"/>
    </row>
    <row r="8088" spans="1:14" ht="12.75" customHeight="1" x14ac:dyDescent="0.25">
      <c r="A8088" s="4"/>
      <c r="B8088" s="4"/>
      <c r="C8088" s="4"/>
      <c r="D8088" s="4"/>
      <c r="E8088" s="4"/>
      <c r="F8088" s="4"/>
      <c r="G8088" s="4"/>
      <c r="H8088" s="4"/>
      <c r="I8088" s="4"/>
      <c r="J8088" s="4"/>
      <c r="K8088" s="4"/>
      <c r="L8088" s="4"/>
      <c r="M8088" s="4"/>
      <c r="N8088" s="4"/>
    </row>
    <row r="8089" spans="1:14" ht="12.75" customHeight="1" x14ac:dyDescent="0.2">
      <c r="A8089" s="398" t="s">
        <v>931</v>
      </c>
      <c r="B8089" s="271"/>
      <c r="C8089" s="271"/>
      <c r="D8089" s="271"/>
      <c r="E8089" s="271"/>
      <c r="F8089" s="271"/>
      <c r="G8089" s="271"/>
      <c r="H8089" s="271"/>
      <c r="I8089" s="271"/>
      <c r="J8089" s="271"/>
      <c r="K8089" s="271"/>
      <c r="L8089" s="271"/>
      <c r="M8089" s="271"/>
      <c r="N8089" s="273"/>
    </row>
    <row r="8090" spans="1:14" ht="12.75" customHeight="1" x14ac:dyDescent="0.2">
      <c r="A8090" s="396" t="s">
        <v>76</v>
      </c>
      <c r="B8090" s="271"/>
      <c r="C8090" s="271"/>
      <c r="D8090" s="271"/>
      <c r="E8090" s="271"/>
      <c r="F8090" s="271"/>
      <c r="G8090" s="273"/>
      <c r="H8090" s="88" t="s">
        <v>77</v>
      </c>
      <c r="I8090" s="399" t="s">
        <v>920</v>
      </c>
      <c r="J8090" s="273"/>
      <c r="K8090" s="90" t="s">
        <v>514</v>
      </c>
      <c r="L8090" s="91" t="s">
        <v>932</v>
      </c>
      <c r="M8090" s="399" t="s">
        <v>921</v>
      </c>
      <c r="N8090" s="273"/>
    </row>
    <row r="8091" spans="1:14" ht="12.75" customHeight="1" x14ac:dyDescent="0.25">
      <c r="A8091" s="393" t="s">
        <v>973</v>
      </c>
      <c r="B8091" s="271"/>
      <c r="C8091" s="271"/>
      <c r="D8091" s="271"/>
      <c r="E8091" s="271"/>
      <c r="F8091" s="271"/>
      <c r="G8091" s="273"/>
      <c r="H8091" s="29" t="str">
        <f>IF(A8091="","",VLOOKUP(A8091,AA_Cuadrillas,4,FALSE))</f>
        <v>Cuadrilla</v>
      </c>
      <c r="I8091" s="394">
        <f>IF(A8091="","",VLOOKUP(A8091,AA_Cuadrillas,5,FALSE))</f>
        <v>256799</v>
      </c>
      <c r="J8091" s="273"/>
      <c r="K8091" s="9">
        <f>IF(A8091="","",F.P!$I$2)</f>
        <v>1.88</v>
      </c>
      <c r="L8091" s="97">
        <v>0.03</v>
      </c>
      <c r="M8091" s="394">
        <f t="shared" ref="M8091:M8095" si="1103">IF(A8091="","",I8091*K8091*L8091)</f>
        <v>14483.463599999999</v>
      </c>
      <c r="N8091" s="273"/>
    </row>
    <row r="8092" spans="1:14" ht="12.75" customHeight="1" x14ac:dyDescent="0.25">
      <c r="A8092" s="393"/>
      <c r="B8092" s="271"/>
      <c r="C8092" s="271"/>
      <c r="D8092" s="271"/>
      <c r="E8092" s="271"/>
      <c r="F8092" s="271"/>
      <c r="G8092" s="273"/>
      <c r="H8092" s="29" t="str">
        <f>IF(A8092="","",VLOOKUP(A8092,AA_Cuadrillas,4,FALSE))</f>
        <v/>
      </c>
      <c r="I8092" s="394" t="str">
        <f>IF(A8092="","",VLOOKUP(A8092,AA_Cuadrillas,5,FALSE))</f>
        <v/>
      </c>
      <c r="J8092" s="273"/>
      <c r="K8092" s="9" t="str">
        <f>IF(A8092="","",F.P!$I$2)</f>
        <v/>
      </c>
      <c r="L8092" s="9"/>
      <c r="M8092" s="394" t="str">
        <f t="shared" si="1103"/>
        <v/>
      </c>
      <c r="N8092" s="273"/>
    </row>
    <row r="8093" spans="1:14" ht="12.75" customHeight="1" x14ac:dyDescent="0.25">
      <c r="A8093" s="393"/>
      <c r="B8093" s="271"/>
      <c r="C8093" s="271"/>
      <c r="D8093" s="271"/>
      <c r="E8093" s="271"/>
      <c r="F8093" s="271"/>
      <c r="G8093" s="273"/>
      <c r="H8093" s="29" t="str">
        <f>IF(A8093="","",VLOOKUP(A8093,AA_Cuadrillas,4,FALSE))</f>
        <v/>
      </c>
      <c r="I8093" s="394" t="str">
        <f>IF(A8093="","",VLOOKUP(A8093,AA_Cuadrillas,5,FALSE))</f>
        <v/>
      </c>
      <c r="J8093" s="273"/>
      <c r="K8093" s="9" t="str">
        <f>IF(A8093="","",F.P!$I$2)</f>
        <v/>
      </c>
      <c r="L8093" s="37"/>
      <c r="M8093" s="394" t="str">
        <f t="shared" si="1103"/>
        <v/>
      </c>
      <c r="N8093" s="273"/>
    </row>
    <row r="8094" spans="1:14" ht="12.75" customHeight="1" x14ac:dyDescent="0.25">
      <c r="A8094" s="393"/>
      <c r="B8094" s="271"/>
      <c r="C8094" s="271"/>
      <c r="D8094" s="271"/>
      <c r="E8094" s="271"/>
      <c r="F8094" s="271"/>
      <c r="G8094" s="273"/>
      <c r="H8094" s="29" t="str">
        <f>IF(A8094="","",VLOOKUP(A8094,AA_Cuadrillas,4,FALSE))</f>
        <v/>
      </c>
      <c r="I8094" s="394" t="str">
        <f>IF(A8094="","",VLOOKUP(A8094,AA_Cuadrillas,5,FALSE))</f>
        <v/>
      </c>
      <c r="J8094" s="273"/>
      <c r="K8094" s="9" t="str">
        <f>IF(A8094="","",F.P!$I$2)</f>
        <v/>
      </c>
      <c r="L8094" s="37"/>
      <c r="M8094" s="394" t="str">
        <f t="shared" si="1103"/>
        <v/>
      </c>
      <c r="N8094" s="273"/>
    </row>
    <row r="8095" spans="1:14" ht="12.75" customHeight="1" x14ac:dyDescent="0.25">
      <c r="A8095" s="393"/>
      <c r="B8095" s="271"/>
      <c r="C8095" s="271"/>
      <c r="D8095" s="271"/>
      <c r="E8095" s="271"/>
      <c r="F8095" s="271"/>
      <c r="G8095" s="273"/>
      <c r="H8095" s="29" t="str">
        <f>IF(A8095="","",VLOOKUP(A8095,AA_Cuadrillas,4,FALSE))</f>
        <v/>
      </c>
      <c r="I8095" s="394" t="str">
        <f>IF(A8095="","",VLOOKUP(A8095,AA_Cuadrillas,5,FALSE))</f>
        <v/>
      </c>
      <c r="J8095" s="273"/>
      <c r="K8095" s="9" t="str">
        <f>IF(A8095="","",F.P!$I$2)</f>
        <v/>
      </c>
      <c r="L8095" s="37"/>
      <c r="M8095" s="394" t="str">
        <f t="shared" si="1103"/>
        <v/>
      </c>
      <c r="N8095" s="273"/>
    </row>
    <row r="8096" spans="1:14" ht="12.75" customHeight="1" x14ac:dyDescent="0.25">
      <c r="A8096" s="4"/>
      <c r="B8096" s="4"/>
      <c r="C8096" s="4"/>
      <c r="D8096" s="4"/>
      <c r="E8096" s="4"/>
      <c r="F8096" s="4"/>
      <c r="G8096" s="4"/>
      <c r="H8096" s="4"/>
      <c r="I8096" s="4"/>
      <c r="J8096" s="4"/>
      <c r="K8096" s="396" t="s">
        <v>444</v>
      </c>
      <c r="L8096" s="273"/>
      <c r="M8096" s="394">
        <f>SUM(M8091:N8095)</f>
        <v>14483.463599999999</v>
      </c>
      <c r="N8096" s="273"/>
    </row>
    <row r="8097" spans="1:15" ht="12.75" customHeight="1" x14ac:dyDescent="0.2"/>
    <row r="8098" spans="1:15" ht="12.75" customHeight="1" x14ac:dyDescent="0.2">
      <c r="A8098" s="407" t="s">
        <v>1364</v>
      </c>
      <c r="B8098" s="275"/>
      <c r="C8098" s="275"/>
      <c r="D8098" s="275"/>
      <c r="E8098" s="275"/>
      <c r="F8098" s="275"/>
      <c r="G8098" s="275"/>
      <c r="H8098" s="275"/>
      <c r="I8098" s="275"/>
      <c r="J8098" s="275"/>
      <c r="K8098" s="275"/>
      <c r="L8098" s="275"/>
      <c r="M8098" s="275"/>
      <c r="N8098" s="276"/>
      <c r="O8098" s="166"/>
    </row>
    <row r="8099" spans="1:15" ht="12.75" customHeight="1" x14ac:dyDescent="0.2">
      <c r="A8099" s="277"/>
      <c r="B8099" s="278"/>
      <c r="C8099" s="278"/>
      <c r="D8099" s="278"/>
      <c r="E8099" s="278"/>
      <c r="F8099" s="278"/>
      <c r="G8099" s="278"/>
      <c r="H8099" s="278"/>
      <c r="I8099" s="278"/>
      <c r="J8099" s="278"/>
      <c r="K8099" s="278"/>
      <c r="L8099" s="278"/>
      <c r="M8099" s="278"/>
      <c r="N8099" s="279"/>
      <c r="O8099" s="166"/>
    </row>
    <row r="8100" spans="1:15" ht="12.75" customHeight="1" x14ac:dyDescent="0.2">
      <c r="A8100" s="75"/>
      <c r="B8100" s="75"/>
      <c r="C8100" s="75"/>
      <c r="D8100" s="75"/>
      <c r="E8100" s="75"/>
      <c r="F8100" s="75"/>
      <c r="G8100" s="75"/>
      <c r="H8100" s="75"/>
      <c r="I8100" s="75"/>
      <c r="J8100" s="75"/>
      <c r="K8100" s="75"/>
      <c r="L8100" s="75"/>
      <c r="M8100" s="75"/>
      <c r="N8100" s="75"/>
    </row>
    <row r="8101" spans="1:15" ht="12.75" customHeight="1" x14ac:dyDescent="0.3">
      <c r="A8101" s="79" t="s">
        <v>788</v>
      </c>
      <c r="B8101" s="80" t="str">
        <f>A8098</f>
        <v>SUMINISTRO E INSTALACIÓN DE NIPLE EBxEB Ø3" L=0,15 M EN HIERRO DUCTIL</v>
      </c>
      <c r="C8101" s="81" t="s">
        <v>916</v>
      </c>
      <c r="D8101" s="82" t="s">
        <v>999</v>
      </c>
      <c r="E8101" s="83" t="s">
        <v>445</v>
      </c>
      <c r="F8101" s="86">
        <f>H8101+J8101+L8101+N8101</f>
        <v>131542.5405</v>
      </c>
      <c r="G8101" s="83" t="s">
        <v>607</v>
      </c>
      <c r="H8101" s="86">
        <f>M8111</f>
        <v>37500</v>
      </c>
      <c r="I8101" s="83" t="s">
        <v>918</v>
      </c>
      <c r="J8101" s="86">
        <f>M8120</f>
        <v>4388.9305000000004</v>
      </c>
      <c r="K8101" s="83" t="s">
        <v>609</v>
      </c>
      <c r="L8101" s="86">
        <f>M8129</f>
        <v>1875</v>
      </c>
      <c r="M8101" s="83" t="s">
        <v>610</v>
      </c>
      <c r="N8101" s="86">
        <f>M8138</f>
        <v>87778.61</v>
      </c>
    </row>
    <row r="8102" spans="1:15" ht="12.75" customHeight="1" x14ac:dyDescent="0.25">
      <c r="A8102" s="87"/>
      <c r="B8102" s="87"/>
      <c r="C8102" s="87"/>
      <c r="D8102" s="87"/>
      <c r="E8102" s="87"/>
      <c r="F8102" s="87"/>
      <c r="G8102" s="87"/>
      <c r="J8102" s="87"/>
      <c r="K8102" s="215" t="s">
        <v>3217</v>
      </c>
      <c r="L8102" s="215">
        <f>+F8101*presup!$O$5</f>
        <v>171005.30265</v>
      </c>
      <c r="M8102" s="87"/>
      <c r="N8102" s="87"/>
    </row>
    <row r="8103" spans="1:15" ht="12.75" customHeight="1" x14ac:dyDescent="0.2">
      <c r="A8103" s="398" t="s">
        <v>919</v>
      </c>
      <c r="B8103" s="271"/>
      <c r="C8103" s="271"/>
      <c r="D8103" s="271"/>
      <c r="E8103" s="271"/>
      <c r="F8103" s="271"/>
      <c r="G8103" s="271"/>
      <c r="H8103" s="271"/>
      <c r="I8103" s="271"/>
      <c r="J8103" s="271"/>
      <c r="K8103" s="271"/>
      <c r="L8103" s="271"/>
      <c r="M8103" s="271"/>
      <c r="N8103" s="273"/>
    </row>
    <row r="8104" spans="1:15" ht="12.75" customHeight="1" x14ac:dyDescent="0.2">
      <c r="A8104" s="396" t="s">
        <v>76</v>
      </c>
      <c r="B8104" s="271"/>
      <c r="C8104" s="271"/>
      <c r="D8104" s="271"/>
      <c r="E8104" s="271"/>
      <c r="F8104" s="271"/>
      <c r="G8104" s="273"/>
      <c r="H8104" s="88" t="s">
        <v>77</v>
      </c>
      <c r="I8104" s="399" t="s">
        <v>920</v>
      </c>
      <c r="J8104" s="273"/>
      <c r="K8104" s="399" t="s">
        <v>453</v>
      </c>
      <c r="L8104" s="273"/>
      <c r="M8104" s="399" t="s">
        <v>921</v>
      </c>
      <c r="N8104" s="273"/>
    </row>
    <row r="8105" spans="1:15" ht="12.75" customHeight="1" x14ac:dyDescent="0.2">
      <c r="A8105" s="403" t="s">
        <v>1147</v>
      </c>
      <c r="B8105" s="271"/>
      <c r="C8105" s="271"/>
      <c r="D8105" s="271"/>
      <c r="E8105" s="271"/>
      <c r="F8105" s="271"/>
      <c r="G8105" s="273"/>
      <c r="H8105" s="29" t="str">
        <f t="shared" ref="H8105:H8110" si="1104">IF(A8105="","",VLOOKUP(A8105,AA_Materiales,7,FALSE))</f>
        <v>Unidad</v>
      </c>
      <c r="I8105" s="394">
        <f t="shared" ref="I8105:I8110" si="1105">IF(A8105="","",VLOOKUP(A8105,AA_Materiales,8,FALSE))</f>
        <v>250000</v>
      </c>
      <c r="J8105" s="273"/>
      <c r="K8105" s="395">
        <v>0.15</v>
      </c>
      <c r="L8105" s="273"/>
      <c r="M8105" s="394">
        <f t="shared" ref="M8105:M8110" si="1106">IF(A8105="","",I8105*K8105)</f>
        <v>37500</v>
      </c>
      <c r="N8105" s="273"/>
    </row>
    <row r="8106" spans="1:15" ht="12.75" customHeight="1" x14ac:dyDescent="0.2">
      <c r="A8106" s="403"/>
      <c r="B8106" s="271"/>
      <c r="C8106" s="271"/>
      <c r="D8106" s="271"/>
      <c r="E8106" s="271"/>
      <c r="F8106" s="271"/>
      <c r="G8106" s="273"/>
      <c r="H8106" s="29" t="str">
        <f t="shared" si="1104"/>
        <v/>
      </c>
      <c r="I8106" s="394" t="str">
        <f t="shared" si="1105"/>
        <v/>
      </c>
      <c r="J8106" s="273"/>
      <c r="K8106" s="395"/>
      <c r="L8106" s="273"/>
      <c r="M8106" s="394" t="str">
        <f t="shared" si="1106"/>
        <v/>
      </c>
      <c r="N8106" s="273"/>
    </row>
    <row r="8107" spans="1:15" ht="12.75" customHeight="1" x14ac:dyDescent="0.2">
      <c r="A8107" s="403"/>
      <c r="B8107" s="271"/>
      <c r="C8107" s="271"/>
      <c r="D8107" s="271"/>
      <c r="E8107" s="271"/>
      <c r="F8107" s="271"/>
      <c r="G8107" s="273"/>
      <c r="H8107" s="29" t="str">
        <f t="shared" si="1104"/>
        <v/>
      </c>
      <c r="I8107" s="394" t="str">
        <f t="shared" si="1105"/>
        <v/>
      </c>
      <c r="J8107" s="273"/>
      <c r="K8107" s="395"/>
      <c r="L8107" s="273"/>
      <c r="M8107" s="394" t="str">
        <f t="shared" si="1106"/>
        <v/>
      </c>
      <c r="N8107" s="273"/>
    </row>
    <row r="8108" spans="1:15" ht="12.75" customHeight="1" x14ac:dyDescent="0.2">
      <c r="A8108" s="403"/>
      <c r="B8108" s="271"/>
      <c r="C8108" s="271"/>
      <c r="D8108" s="271"/>
      <c r="E8108" s="271"/>
      <c r="F8108" s="271"/>
      <c r="G8108" s="273"/>
      <c r="H8108" s="29" t="str">
        <f t="shared" si="1104"/>
        <v/>
      </c>
      <c r="I8108" s="394" t="str">
        <f t="shared" si="1105"/>
        <v/>
      </c>
      <c r="J8108" s="273"/>
      <c r="K8108" s="395"/>
      <c r="L8108" s="273"/>
      <c r="M8108" s="394" t="str">
        <f t="shared" si="1106"/>
        <v/>
      </c>
      <c r="N8108" s="273"/>
    </row>
    <row r="8109" spans="1:15" ht="12.75" customHeight="1" x14ac:dyDescent="0.2">
      <c r="A8109" s="403"/>
      <c r="B8109" s="271"/>
      <c r="C8109" s="271"/>
      <c r="D8109" s="271"/>
      <c r="E8109" s="271"/>
      <c r="F8109" s="271"/>
      <c r="G8109" s="273"/>
      <c r="H8109" s="29" t="str">
        <f t="shared" si="1104"/>
        <v/>
      </c>
      <c r="I8109" s="394" t="str">
        <f t="shared" si="1105"/>
        <v/>
      </c>
      <c r="J8109" s="273"/>
      <c r="K8109" s="395"/>
      <c r="L8109" s="273"/>
      <c r="M8109" s="394" t="str">
        <f t="shared" si="1106"/>
        <v/>
      </c>
      <c r="N8109" s="273"/>
    </row>
    <row r="8110" spans="1:15" ht="12.75" customHeight="1" x14ac:dyDescent="0.2">
      <c r="A8110" s="403"/>
      <c r="B8110" s="271"/>
      <c r="C8110" s="271"/>
      <c r="D8110" s="271"/>
      <c r="E8110" s="271"/>
      <c r="F8110" s="271"/>
      <c r="G8110" s="273"/>
      <c r="H8110" s="29" t="str">
        <f t="shared" si="1104"/>
        <v/>
      </c>
      <c r="I8110" s="394" t="str">
        <f t="shared" si="1105"/>
        <v/>
      </c>
      <c r="J8110" s="273"/>
      <c r="K8110" s="395"/>
      <c r="L8110" s="273"/>
      <c r="M8110" s="394" t="str">
        <f t="shared" si="1106"/>
        <v/>
      </c>
      <c r="N8110" s="273"/>
    </row>
    <row r="8111" spans="1:15" ht="12.75" customHeight="1" x14ac:dyDescent="0.25">
      <c r="A8111" s="4"/>
      <c r="B8111" s="4"/>
      <c r="C8111" s="4"/>
      <c r="D8111" s="4"/>
      <c r="E8111" s="4"/>
      <c r="F8111" s="4"/>
      <c r="G8111" s="4"/>
      <c r="H8111" s="4"/>
      <c r="I8111" s="4"/>
      <c r="J8111" s="4"/>
      <c r="K8111" s="396" t="s">
        <v>444</v>
      </c>
      <c r="L8111" s="273"/>
      <c r="M8111" s="394">
        <f>SUM(M8105:N8110)</f>
        <v>37500</v>
      </c>
      <c r="N8111" s="273"/>
    </row>
    <row r="8112" spans="1:15" ht="12.75" customHeight="1" x14ac:dyDescent="0.25">
      <c r="A8112" s="4"/>
      <c r="B8112" s="4"/>
      <c r="C8112" s="4"/>
      <c r="D8112" s="4"/>
      <c r="E8112" s="4"/>
      <c r="F8112" s="4"/>
      <c r="G8112" s="4"/>
      <c r="H8112" s="4"/>
      <c r="I8112" s="4"/>
      <c r="J8112" s="4"/>
      <c r="K8112" s="4"/>
      <c r="L8112" s="4"/>
      <c r="M8112" s="4"/>
      <c r="N8112" s="4"/>
    </row>
    <row r="8113" spans="1:14" ht="12.75" customHeight="1" x14ac:dyDescent="0.2">
      <c r="A8113" s="398" t="s">
        <v>926</v>
      </c>
      <c r="B8113" s="271"/>
      <c r="C8113" s="271"/>
      <c r="D8113" s="271"/>
      <c r="E8113" s="271"/>
      <c r="F8113" s="271"/>
      <c r="G8113" s="271"/>
      <c r="H8113" s="271"/>
      <c r="I8113" s="271"/>
      <c r="J8113" s="271"/>
      <c r="K8113" s="271"/>
      <c r="L8113" s="271"/>
      <c r="M8113" s="271"/>
      <c r="N8113" s="273"/>
    </row>
    <row r="8114" spans="1:14" ht="12.75" customHeight="1" x14ac:dyDescent="0.2">
      <c r="A8114" s="396" t="s">
        <v>76</v>
      </c>
      <c r="B8114" s="271"/>
      <c r="C8114" s="271"/>
      <c r="D8114" s="271"/>
      <c r="E8114" s="271"/>
      <c r="F8114" s="271"/>
      <c r="G8114" s="273"/>
      <c r="H8114" s="88" t="s">
        <v>77</v>
      </c>
      <c r="I8114" s="399" t="s">
        <v>920</v>
      </c>
      <c r="J8114" s="273"/>
      <c r="K8114" s="399" t="s">
        <v>453</v>
      </c>
      <c r="L8114" s="273"/>
      <c r="M8114" s="399" t="s">
        <v>921</v>
      </c>
      <c r="N8114" s="273"/>
    </row>
    <row r="8115" spans="1:14" ht="12.75" customHeight="1" x14ac:dyDescent="0.2">
      <c r="A8115" s="400" t="s">
        <v>927</v>
      </c>
      <c r="B8115" s="271"/>
      <c r="C8115" s="271"/>
      <c r="D8115" s="271"/>
      <c r="E8115" s="271"/>
      <c r="F8115" s="271"/>
      <c r="G8115" s="273"/>
      <c r="H8115" s="29" t="str">
        <f>IF(A8115="","",VLOOKUP(A8115,AA_Equipos,7,FALSE))</f>
        <v>% M.O.</v>
      </c>
      <c r="I8115" s="394">
        <f>+M8138</f>
        <v>87778.61</v>
      </c>
      <c r="J8115" s="273"/>
      <c r="K8115" s="404">
        <v>0.05</v>
      </c>
      <c r="L8115" s="273"/>
      <c r="M8115" s="394">
        <f t="shared" ref="M8115:M8119" si="1107">IF(A8115="","",I8115*K8115)</f>
        <v>4388.9305000000004</v>
      </c>
      <c r="N8115" s="273"/>
    </row>
    <row r="8116" spans="1:14" ht="12.75" customHeight="1" x14ac:dyDescent="0.2">
      <c r="A8116" s="403"/>
      <c r="B8116" s="271"/>
      <c r="C8116" s="271"/>
      <c r="D8116" s="271"/>
      <c r="E8116" s="271"/>
      <c r="F8116" s="271"/>
      <c r="G8116" s="273"/>
      <c r="H8116" s="29" t="str">
        <f>IF(A8116="","",VLOOKUP(A8116,AA_Equipos,7,FALSE))</f>
        <v/>
      </c>
      <c r="I8116" s="394" t="str">
        <f>IF(A8116="","",VLOOKUP(A8116,AA_Equipos,8,FALSE))</f>
        <v/>
      </c>
      <c r="J8116" s="273"/>
      <c r="K8116" s="402"/>
      <c r="L8116" s="273"/>
      <c r="M8116" s="394" t="str">
        <f t="shared" si="1107"/>
        <v/>
      </c>
      <c r="N8116" s="273"/>
    </row>
    <row r="8117" spans="1:14" ht="12.75" customHeight="1" x14ac:dyDescent="0.2">
      <c r="A8117" s="400"/>
      <c r="B8117" s="271"/>
      <c r="C8117" s="271"/>
      <c r="D8117" s="271"/>
      <c r="E8117" s="271"/>
      <c r="F8117" s="271"/>
      <c r="G8117" s="273"/>
      <c r="H8117" s="29" t="str">
        <f>IF(A8117="","",VLOOKUP(A8117,AA_Equipos,7,FALSE))</f>
        <v/>
      </c>
      <c r="I8117" s="394" t="str">
        <f>IF(A8117="","",VLOOKUP(A8117,AA_Equipos,8,FALSE))</f>
        <v/>
      </c>
      <c r="J8117" s="273"/>
      <c r="K8117" s="401"/>
      <c r="L8117" s="273"/>
      <c r="M8117" s="394" t="str">
        <f t="shared" si="1107"/>
        <v/>
      </c>
      <c r="N8117" s="273"/>
    </row>
    <row r="8118" spans="1:14" ht="12.75" customHeight="1" x14ac:dyDescent="0.2">
      <c r="A8118" s="400"/>
      <c r="B8118" s="271"/>
      <c r="C8118" s="271"/>
      <c r="D8118" s="271"/>
      <c r="E8118" s="271"/>
      <c r="F8118" s="271"/>
      <c r="G8118" s="273"/>
      <c r="H8118" s="29" t="str">
        <f>IF(A8118="","",VLOOKUP(A8118,AA_Equipos,7,FALSE))</f>
        <v/>
      </c>
      <c r="I8118" s="394" t="str">
        <f>IF(A8118="","",VLOOKUP(A8118,AA_Equipos,8,FALSE))</f>
        <v/>
      </c>
      <c r="J8118" s="273"/>
      <c r="K8118" s="395"/>
      <c r="L8118" s="273"/>
      <c r="M8118" s="394" t="str">
        <f t="shared" si="1107"/>
        <v/>
      </c>
      <c r="N8118" s="273"/>
    </row>
    <row r="8119" spans="1:14" ht="12.75" customHeight="1" x14ac:dyDescent="0.2">
      <c r="A8119" s="400"/>
      <c r="B8119" s="271"/>
      <c r="C8119" s="271"/>
      <c r="D8119" s="271"/>
      <c r="E8119" s="271"/>
      <c r="F8119" s="271"/>
      <c r="G8119" s="273"/>
      <c r="H8119" s="29" t="str">
        <f>IF(A8119="","",VLOOKUP(A8119,AA_Equipos,7,FALSE))</f>
        <v/>
      </c>
      <c r="I8119" s="394" t="str">
        <f>IF(A8119="","",VLOOKUP(A8119,AA_Equipos,8,FALSE))</f>
        <v/>
      </c>
      <c r="J8119" s="273"/>
      <c r="K8119" s="395"/>
      <c r="L8119" s="273"/>
      <c r="M8119" s="394" t="str">
        <f t="shared" si="1107"/>
        <v/>
      </c>
      <c r="N8119" s="273"/>
    </row>
    <row r="8120" spans="1:14" ht="12.75" customHeight="1" x14ac:dyDescent="0.25">
      <c r="A8120" s="4"/>
      <c r="B8120" s="4"/>
      <c r="C8120" s="4"/>
      <c r="D8120" s="4"/>
      <c r="E8120" s="4"/>
      <c r="F8120" s="4"/>
      <c r="G8120" s="4"/>
      <c r="H8120" s="4"/>
      <c r="I8120" s="4"/>
      <c r="J8120" s="4"/>
      <c r="K8120" s="396" t="s">
        <v>444</v>
      </c>
      <c r="L8120" s="273"/>
      <c r="M8120" s="394">
        <f>SUM(M8115:N8119)</f>
        <v>4388.9305000000004</v>
      </c>
      <c r="N8120" s="273"/>
    </row>
    <row r="8121" spans="1:14" ht="12.75" customHeight="1" x14ac:dyDescent="0.25">
      <c r="A8121" s="4"/>
      <c r="B8121" s="4"/>
      <c r="C8121" s="4"/>
      <c r="D8121" s="4"/>
      <c r="E8121" s="4"/>
      <c r="F8121" s="4"/>
      <c r="G8121" s="4"/>
      <c r="H8121" s="4"/>
      <c r="I8121" s="4"/>
      <c r="J8121" s="4"/>
      <c r="K8121" s="4"/>
      <c r="L8121" s="4"/>
      <c r="M8121" s="4"/>
      <c r="N8121" s="4"/>
    </row>
    <row r="8122" spans="1:14" ht="12.75" customHeight="1" x14ac:dyDescent="0.2">
      <c r="A8122" s="398" t="s">
        <v>929</v>
      </c>
      <c r="B8122" s="271"/>
      <c r="C8122" s="271"/>
      <c r="D8122" s="271"/>
      <c r="E8122" s="271"/>
      <c r="F8122" s="271"/>
      <c r="G8122" s="271"/>
      <c r="H8122" s="271"/>
      <c r="I8122" s="271"/>
      <c r="J8122" s="271"/>
      <c r="K8122" s="271"/>
      <c r="L8122" s="271"/>
      <c r="M8122" s="271"/>
      <c r="N8122" s="273"/>
    </row>
    <row r="8123" spans="1:14" ht="12.75" customHeight="1" x14ac:dyDescent="0.2">
      <c r="A8123" s="396" t="s">
        <v>76</v>
      </c>
      <c r="B8123" s="271"/>
      <c r="C8123" s="271"/>
      <c r="D8123" s="271"/>
      <c r="E8123" s="271"/>
      <c r="F8123" s="271"/>
      <c r="G8123" s="273"/>
      <c r="H8123" s="88" t="s">
        <v>77</v>
      </c>
      <c r="I8123" s="399" t="s">
        <v>920</v>
      </c>
      <c r="J8123" s="273"/>
      <c r="K8123" s="399" t="s">
        <v>453</v>
      </c>
      <c r="L8123" s="273"/>
      <c r="M8123" s="399" t="s">
        <v>921</v>
      </c>
      <c r="N8123" s="273"/>
    </row>
    <row r="8124" spans="1:14" ht="12.75" customHeight="1" x14ac:dyDescent="0.2">
      <c r="A8124" s="400" t="s">
        <v>966</v>
      </c>
      <c r="B8124" s="271"/>
      <c r="C8124" s="271"/>
      <c r="D8124" s="271"/>
      <c r="E8124" s="271"/>
      <c r="F8124" s="271"/>
      <c r="G8124" s="273"/>
      <c r="H8124" s="29" t="s">
        <v>950</v>
      </c>
      <c r="I8124" s="394">
        <f>+M8111</f>
        <v>37500</v>
      </c>
      <c r="J8124" s="273"/>
      <c r="K8124" s="404">
        <v>0.05</v>
      </c>
      <c r="L8124" s="273"/>
      <c r="M8124" s="394">
        <f t="shared" ref="M8124:M8128" si="1108">IF(A8124="","",I8124*K8124)</f>
        <v>1875</v>
      </c>
      <c r="N8124" s="273"/>
    </row>
    <row r="8125" spans="1:14" ht="12.75" customHeight="1" x14ac:dyDescent="0.2">
      <c r="A8125" s="403"/>
      <c r="B8125" s="271"/>
      <c r="C8125" s="271"/>
      <c r="D8125" s="271"/>
      <c r="E8125" s="271"/>
      <c r="F8125" s="271"/>
      <c r="G8125" s="273"/>
      <c r="H8125" s="29"/>
      <c r="I8125" s="394"/>
      <c r="J8125" s="273"/>
      <c r="K8125" s="404"/>
      <c r="L8125" s="273"/>
      <c r="M8125" s="394" t="str">
        <f t="shared" si="1108"/>
        <v/>
      </c>
      <c r="N8125" s="273"/>
    </row>
    <row r="8126" spans="1:14" ht="12.75" customHeight="1" x14ac:dyDescent="0.2">
      <c r="A8126" s="400"/>
      <c r="B8126" s="271"/>
      <c r="C8126" s="271"/>
      <c r="D8126" s="271"/>
      <c r="E8126" s="271"/>
      <c r="F8126" s="271"/>
      <c r="G8126" s="273"/>
      <c r="H8126" s="29"/>
      <c r="I8126" s="394"/>
      <c r="J8126" s="273"/>
      <c r="K8126" s="395"/>
      <c r="L8126" s="273"/>
      <c r="M8126" s="394" t="str">
        <f t="shared" si="1108"/>
        <v/>
      </c>
      <c r="N8126" s="273"/>
    </row>
    <row r="8127" spans="1:14" ht="12.75" customHeight="1" x14ac:dyDescent="0.2">
      <c r="A8127" s="400"/>
      <c r="B8127" s="271"/>
      <c r="C8127" s="271"/>
      <c r="D8127" s="271"/>
      <c r="E8127" s="271"/>
      <c r="F8127" s="271"/>
      <c r="G8127" s="273"/>
      <c r="H8127" s="29"/>
      <c r="I8127" s="394"/>
      <c r="J8127" s="273"/>
      <c r="K8127" s="395"/>
      <c r="L8127" s="273"/>
      <c r="M8127" s="394" t="str">
        <f t="shared" si="1108"/>
        <v/>
      </c>
      <c r="N8127" s="273"/>
    </row>
    <row r="8128" spans="1:14" ht="12.75" customHeight="1" x14ac:dyDescent="0.2">
      <c r="A8128" s="400"/>
      <c r="B8128" s="271"/>
      <c r="C8128" s="271"/>
      <c r="D8128" s="271"/>
      <c r="E8128" s="271"/>
      <c r="F8128" s="271"/>
      <c r="G8128" s="273"/>
      <c r="H8128" s="29"/>
      <c r="I8128" s="394"/>
      <c r="J8128" s="273"/>
      <c r="K8128" s="395"/>
      <c r="L8128" s="273"/>
      <c r="M8128" s="394" t="str">
        <f t="shared" si="1108"/>
        <v/>
      </c>
      <c r="N8128" s="273"/>
    </row>
    <row r="8129" spans="1:15" ht="12.75" customHeight="1" x14ac:dyDescent="0.25">
      <c r="A8129" s="4"/>
      <c r="B8129" s="4"/>
      <c r="C8129" s="4"/>
      <c r="D8129" s="4"/>
      <c r="E8129" s="4"/>
      <c r="F8129" s="4"/>
      <c r="G8129" s="4"/>
      <c r="H8129" s="4"/>
      <c r="I8129" s="4"/>
      <c r="J8129" s="4"/>
      <c r="K8129" s="396" t="s">
        <v>444</v>
      </c>
      <c r="L8129" s="273"/>
      <c r="M8129" s="394">
        <f>SUM(M8124:N8128)</f>
        <v>1875</v>
      </c>
      <c r="N8129" s="273"/>
    </row>
    <row r="8130" spans="1:15" ht="12.75" customHeight="1" x14ac:dyDescent="0.25">
      <c r="A8130" s="4"/>
      <c r="B8130" s="4"/>
      <c r="C8130" s="4"/>
      <c r="D8130" s="4"/>
      <c r="E8130" s="4"/>
      <c r="F8130" s="4"/>
      <c r="G8130" s="4"/>
      <c r="H8130" s="4"/>
      <c r="I8130" s="4"/>
      <c r="J8130" s="4"/>
      <c r="K8130" s="4"/>
      <c r="L8130" s="4"/>
      <c r="M8130" s="4"/>
      <c r="N8130" s="4"/>
    </row>
    <row r="8131" spans="1:15" ht="12.75" customHeight="1" x14ac:dyDescent="0.2">
      <c r="A8131" s="398" t="s">
        <v>931</v>
      </c>
      <c r="B8131" s="271"/>
      <c r="C8131" s="271"/>
      <c r="D8131" s="271"/>
      <c r="E8131" s="271"/>
      <c r="F8131" s="271"/>
      <c r="G8131" s="271"/>
      <c r="H8131" s="271"/>
      <c r="I8131" s="271"/>
      <c r="J8131" s="271"/>
      <c r="K8131" s="271"/>
      <c r="L8131" s="271"/>
      <c r="M8131" s="271"/>
      <c r="N8131" s="273"/>
    </row>
    <row r="8132" spans="1:15" ht="12.75" customHeight="1" x14ac:dyDescent="0.2">
      <c r="A8132" s="396" t="s">
        <v>76</v>
      </c>
      <c r="B8132" s="271"/>
      <c r="C8132" s="271"/>
      <c r="D8132" s="271"/>
      <c r="E8132" s="271"/>
      <c r="F8132" s="271"/>
      <c r="G8132" s="273"/>
      <c r="H8132" s="88" t="s">
        <v>77</v>
      </c>
      <c r="I8132" s="399" t="s">
        <v>920</v>
      </c>
      <c r="J8132" s="273"/>
      <c r="K8132" s="90" t="s">
        <v>514</v>
      </c>
      <c r="L8132" s="91" t="s">
        <v>932</v>
      </c>
      <c r="M8132" s="399" t="s">
        <v>921</v>
      </c>
      <c r="N8132" s="273"/>
    </row>
    <row r="8133" spans="1:15" ht="12.75" customHeight="1" x14ac:dyDescent="0.25">
      <c r="A8133" s="393" t="s">
        <v>986</v>
      </c>
      <c r="B8133" s="271"/>
      <c r="C8133" s="271"/>
      <c r="D8133" s="271"/>
      <c r="E8133" s="271"/>
      <c r="F8133" s="271"/>
      <c r="G8133" s="273"/>
      <c r="H8133" s="29" t="str">
        <f>IF(A8133="","",VLOOKUP(A8133,AA_Cuadrillas,4,FALSE))</f>
        <v>Cuadrilla</v>
      </c>
      <c r="I8133" s="394">
        <f>IF(A8133="","",VLOOKUP(A8133,AA_Cuadrillas,5,FALSE))</f>
        <v>186763</v>
      </c>
      <c r="J8133" s="273"/>
      <c r="K8133" s="9">
        <f>IF(A8133="","",F.P!$I$2)</f>
        <v>1.88</v>
      </c>
      <c r="L8133" s="97">
        <v>0.25</v>
      </c>
      <c r="M8133" s="394">
        <f t="shared" ref="M8133:M8137" si="1109">IF(A8133="","",I8133*K8133*L8133)</f>
        <v>87778.61</v>
      </c>
      <c r="N8133" s="273"/>
    </row>
    <row r="8134" spans="1:15" ht="12.75" customHeight="1" x14ac:dyDescent="0.25">
      <c r="A8134" s="393"/>
      <c r="B8134" s="271"/>
      <c r="C8134" s="271"/>
      <c r="D8134" s="271"/>
      <c r="E8134" s="271"/>
      <c r="F8134" s="271"/>
      <c r="G8134" s="273"/>
      <c r="H8134" s="29" t="str">
        <f>IF(A8134="","",VLOOKUP(A8134,AA_Cuadrillas,4,FALSE))</f>
        <v/>
      </c>
      <c r="I8134" s="394" t="str">
        <f>IF(A8134="","",VLOOKUP(A8134,AA_Cuadrillas,5,FALSE))</f>
        <v/>
      </c>
      <c r="J8134" s="273"/>
      <c r="K8134" s="9" t="str">
        <f>IF(A8134="","",F.P!$I$2)</f>
        <v/>
      </c>
      <c r="L8134" s="9"/>
      <c r="M8134" s="394" t="str">
        <f t="shared" si="1109"/>
        <v/>
      </c>
      <c r="N8134" s="273"/>
    </row>
    <row r="8135" spans="1:15" ht="12.75" customHeight="1" x14ac:dyDescent="0.25">
      <c r="A8135" s="393"/>
      <c r="B8135" s="271"/>
      <c r="C8135" s="271"/>
      <c r="D8135" s="271"/>
      <c r="E8135" s="271"/>
      <c r="F8135" s="271"/>
      <c r="G8135" s="273"/>
      <c r="H8135" s="29" t="str">
        <f>IF(A8135="","",VLOOKUP(A8135,AA_Cuadrillas,4,FALSE))</f>
        <v/>
      </c>
      <c r="I8135" s="394" t="str">
        <f>IF(A8135="","",VLOOKUP(A8135,AA_Cuadrillas,5,FALSE))</f>
        <v/>
      </c>
      <c r="J8135" s="273"/>
      <c r="K8135" s="9" t="str">
        <f>IF(A8135="","",F.P!$I$2)</f>
        <v/>
      </c>
      <c r="L8135" s="37"/>
      <c r="M8135" s="394" t="str">
        <f t="shared" si="1109"/>
        <v/>
      </c>
      <c r="N8135" s="273"/>
    </row>
    <row r="8136" spans="1:15" ht="12.75" customHeight="1" x14ac:dyDescent="0.25">
      <c r="A8136" s="393"/>
      <c r="B8136" s="271"/>
      <c r="C8136" s="271"/>
      <c r="D8136" s="271"/>
      <c r="E8136" s="271"/>
      <c r="F8136" s="271"/>
      <c r="G8136" s="273"/>
      <c r="H8136" s="29" t="str">
        <f>IF(A8136="","",VLOOKUP(A8136,AA_Cuadrillas,4,FALSE))</f>
        <v/>
      </c>
      <c r="I8136" s="394" t="str">
        <f>IF(A8136="","",VLOOKUP(A8136,AA_Cuadrillas,5,FALSE))</f>
        <v/>
      </c>
      <c r="J8136" s="273"/>
      <c r="K8136" s="9" t="str">
        <f>IF(A8136="","",F.P!$I$2)</f>
        <v/>
      </c>
      <c r="L8136" s="37"/>
      <c r="M8136" s="394" t="str">
        <f t="shared" si="1109"/>
        <v/>
      </c>
      <c r="N8136" s="273"/>
    </row>
    <row r="8137" spans="1:15" ht="12.75" customHeight="1" x14ac:dyDescent="0.25">
      <c r="A8137" s="393"/>
      <c r="B8137" s="271"/>
      <c r="C8137" s="271"/>
      <c r="D8137" s="271"/>
      <c r="E8137" s="271"/>
      <c r="F8137" s="271"/>
      <c r="G8137" s="273"/>
      <c r="H8137" s="29" t="str">
        <f>IF(A8137="","",VLOOKUP(A8137,AA_Cuadrillas,4,FALSE))</f>
        <v/>
      </c>
      <c r="I8137" s="394" t="str">
        <f>IF(A8137="","",VLOOKUP(A8137,AA_Cuadrillas,5,FALSE))</f>
        <v/>
      </c>
      <c r="J8137" s="273"/>
      <c r="K8137" s="9" t="str">
        <f>IF(A8137="","",F.P!$I$2)</f>
        <v/>
      </c>
      <c r="L8137" s="37"/>
      <c r="M8137" s="394" t="str">
        <f t="shared" si="1109"/>
        <v/>
      </c>
      <c r="N8137" s="273"/>
    </row>
    <row r="8138" spans="1:15" ht="12.75" customHeight="1" x14ac:dyDescent="0.25">
      <c r="A8138" s="4"/>
      <c r="B8138" s="4"/>
      <c r="C8138" s="4"/>
      <c r="D8138" s="4"/>
      <c r="E8138" s="4"/>
      <c r="F8138" s="4"/>
      <c r="G8138" s="4"/>
      <c r="H8138" s="4"/>
      <c r="I8138" s="4"/>
      <c r="J8138" s="4"/>
      <c r="K8138" s="396" t="s">
        <v>444</v>
      </c>
      <c r="L8138" s="273"/>
      <c r="M8138" s="394">
        <f>SUM(M8133:N8137)</f>
        <v>87778.61</v>
      </c>
      <c r="N8138" s="273"/>
    </row>
    <row r="8139" spans="1:15" ht="12.75" customHeight="1" x14ac:dyDescent="0.2"/>
    <row r="8140" spans="1:15" ht="12.75" customHeight="1" x14ac:dyDescent="0.2">
      <c r="A8140" s="407" t="s">
        <v>1365</v>
      </c>
      <c r="B8140" s="275"/>
      <c r="C8140" s="275"/>
      <c r="D8140" s="275"/>
      <c r="E8140" s="275"/>
      <c r="F8140" s="275"/>
      <c r="G8140" s="275"/>
      <c r="H8140" s="275"/>
      <c r="I8140" s="275"/>
      <c r="J8140" s="275"/>
      <c r="K8140" s="275"/>
      <c r="L8140" s="275"/>
      <c r="M8140" s="275"/>
      <c r="N8140" s="276"/>
      <c r="O8140" s="166"/>
    </row>
    <row r="8141" spans="1:15" ht="12.75" customHeight="1" x14ac:dyDescent="0.2">
      <c r="A8141" s="277"/>
      <c r="B8141" s="278"/>
      <c r="C8141" s="278"/>
      <c r="D8141" s="278"/>
      <c r="E8141" s="278"/>
      <c r="F8141" s="278"/>
      <c r="G8141" s="278"/>
      <c r="H8141" s="278"/>
      <c r="I8141" s="278"/>
      <c r="J8141" s="278"/>
      <c r="K8141" s="278"/>
      <c r="L8141" s="278"/>
      <c r="M8141" s="278"/>
      <c r="N8141" s="279"/>
      <c r="O8141" s="166"/>
    </row>
    <row r="8142" spans="1:15" ht="12.75" customHeight="1" x14ac:dyDescent="0.2">
      <c r="A8142" s="75"/>
      <c r="B8142" s="75"/>
      <c r="C8142" s="75"/>
      <c r="D8142" s="75"/>
      <c r="E8142" s="75"/>
      <c r="F8142" s="75"/>
      <c r="G8142" s="75"/>
      <c r="H8142" s="75"/>
      <c r="I8142" s="75"/>
      <c r="J8142" s="75"/>
      <c r="K8142" s="75"/>
      <c r="L8142" s="75"/>
      <c r="M8142" s="75"/>
      <c r="N8142" s="75"/>
    </row>
    <row r="8143" spans="1:15" ht="12.75" customHeight="1" x14ac:dyDescent="0.3">
      <c r="A8143" s="79" t="s">
        <v>793</v>
      </c>
      <c r="B8143" s="80" t="str">
        <f>A8140</f>
        <v>SUMINISTRO E INSTALACIÓN DE NIPLE PASAMURO EBxEB DE Ø4" L=0,31 M EN HIERRO DUCTIL</v>
      </c>
      <c r="C8143" s="81" t="s">
        <v>916</v>
      </c>
      <c r="D8143" s="82" t="s">
        <v>999</v>
      </c>
      <c r="E8143" s="83" t="s">
        <v>445</v>
      </c>
      <c r="F8143" s="86">
        <f>H8143+J8143+L8143+N8143</f>
        <v>248407.5405</v>
      </c>
      <c r="G8143" s="83" t="s">
        <v>607</v>
      </c>
      <c r="H8143" s="86">
        <f>M8153</f>
        <v>148800</v>
      </c>
      <c r="I8143" s="83" t="s">
        <v>918</v>
      </c>
      <c r="J8143" s="86">
        <f>M8162</f>
        <v>4388.9305000000004</v>
      </c>
      <c r="K8143" s="83" t="s">
        <v>609</v>
      </c>
      <c r="L8143" s="86">
        <f>M8171</f>
        <v>7440</v>
      </c>
      <c r="M8143" s="83" t="s">
        <v>610</v>
      </c>
      <c r="N8143" s="86">
        <f>M8180</f>
        <v>87778.61</v>
      </c>
    </row>
    <row r="8144" spans="1:15" ht="12.75" customHeight="1" x14ac:dyDescent="0.25">
      <c r="A8144" s="87"/>
      <c r="B8144" s="87"/>
      <c r="C8144" s="87"/>
      <c r="D8144" s="87"/>
      <c r="E8144" s="87"/>
      <c r="F8144" s="87"/>
      <c r="G8144" s="87"/>
      <c r="J8144" s="87"/>
      <c r="K8144" s="215" t="s">
        <v>3217</v>
      </c>
      <c r="L8144" s="215">
        <f>+F8143*presup!$O$5</f>
        <v>322929.80265000003</v>
      </c>
      <c r="M8144" s="87"/>
      <c r="N8144" s="87"/>
    </row>
    <row r="8145" spans="1:14" ht="12.75" customHeight="1" x14ac:dyDescent="0.2">
      <c r="A8145" s="398" t="s">
        <v>919</v>
      </c>
      <c r="B8145" s="271"/>
      <c r="C8145" s="271"/>
      <c r="D8145" s="271"/>
      <c r="E8145" s="271"/>
      <c r="F8145" s="271"/>
      <c r="G8145" s="271"/>
      <c r="H8145" s="271"/>
      <c r="I8145" s="271"/>
      <c r="J8145" s="271"/>
      <c r="K8145" s="271"/>
      <c r="L8145" s="271"/>
      <c r="M8145" s="271"/>
      <c r="N8145" s="273"/>
    </row>
    <row r="8146" spans="1:14" ht="12.75" customHeight="1" x14ac:dyDescent="0.2">
      <c r="A8146" s="396" t="s">
        <v>76</v>
      </c>
      <c r="B8146" s="271"/>
      <c r="C8146" s="271"/>
      <c r="D8146" s="271"/>
      <c r="E8146" s="271"/>
      <c r="F8146" s="271"/>
      <c r="G8146" s="273"/>
      <c r="H8146" s="88" t="s">
        <v>77</v>
      </c>
      <c r="I8146" s="399" t="s">
        <v>920</v>
      </c>
      <c r="J8146" s="273"/>
      <c r="K8146" s="399" t="s">
        <v>453</v>
      </c>
      <c r="L8146" s="273"/>
      <c r="M8146" s="399" t="s">
        <v>921</v>
      </c>
      <c r="N8146" s="273"/>
    </row>
    <row r="8147" spans="1:14" ht="12.75" customHeight="1" x14ac:dyDescent="0.2">
      <c r="A8147" s="403" t="s">
        <v>1132</v>
      </c>
      <c r="B8147" s="271"/>
      <c r="C8147" s="271"/>
      <c r="D8147" s="271"/>
      <c r="E8147" s="271"/>
      <c r="F8147" s="271"/>
      <c r="G8147" s="273"/>
      <c r="H8147" s="29" t="str">
        <f t="shared" ref="H8147:H8152" si="1110">IF(A8147="","",VLOOKUP(A8147,AA_Materiales,7,FALSE))</f>
        <v>Unidad</v>
      </c>
      <c r="I8147" s="394">
        <f t="shared" ref="I8147:I8152" si="1111">IF(A8147="","",VLOOKUP(A8147,AA_Materiales,8,FALSE))</f>
        <v>480000</v>
      </c>
      <c r="J8147" s="273"/>
      <c r="K8147" s="395">
        <v>0.31</v>
      </c>
      <c r="L8147" s="273"/>
      <c r="M8147" s="394">
        <f t="shared" ref="M8147:M8152" si="1112">IF(A8147="","",I8147*K8147)</f>
        <v>148800</v>
      </c>
      <c r="N8147" s="273"/>
    </row>
    <row r="8148" spans="1:14" ht="12.75" customHeight="1" x14ac:dyDescent="0.2">
      <c r="A8148" s="403"/>
      <c r="B8148" s="271"/>
      <c r="C8148" s="271"/>
      <c r="D8148" s="271"/>
      <c r="E8148" s="271"/>
      <c r="F8148" s="271"/>
      <c r="G8148" s="273"/>
      <c r="H8148" s="29" t="str">
        <f t="shared" si="1110"/>
        <v/>
      </c>
      <c r="I8148" s="394" t="str">
        <f t="shared" si="1111"/>
        <v/>
      </c>
      <c r="J8148" s="273"/>
      <c r="K8148" s="395"/>
      <c r="L8148" s="273"/>
      <c r="M8148" s="394" t="str">
        <f t="shared" si="1112"/>
        <v/>
      </c>
      <c r="N8148" s="273"/>
    </row>
    <row r="8149" spans="1:14" ht="12.75" customHeight="1" x14ac:dyDescent="0.2">
      <c r="A8149" s="403"/>
      <c r="B8149" s="271"/>
      <c r="C8149" s="271"/>
      <c r="D8149" s="271"/>
      <c r="E8149" s="271"/>
      <c r="F8149" s="271"/>
      <c r="G8149" s="273"/>
      <c r="H8149" s="29" t="str">
        <f t="shared" si="1110"/>
        <v/>
      </c>
      <c r="I8149" s="394" t="str">
        <f t="shared" si="1111"/>
        <v/>
      </c>
      <c r="J8149" s="273"/>
      <c r="K8149" s="395"/>
      <c r="L8149" s="273"/>
      <c r="M8149" s="394" t="str">
        <f t="shared" si="1112"/>
        <v/>
      </c>
      <c r="N8149" s="273"/>
    </row>
    <row r="8150" spans="1:14" ht="12.75" customHeight="1" x14ac:dyDescent="0.2">
      <c r="A8150" s="403"/>
      <c r="B8150" s="271"/>
      <c r="C8150" s="271"/>
      <c r="D8150" s="271"/>
      <c r="E8150" s="271"/>
      <c r="F8150" s="271"/>
      <c r="G8150" s="273"/>
      <c r="H8150" s="29" t="str">
        <f t="shared" si="1110"/>
        <v/>
      </c>
      <c r="I8150" s="394" t="str">
        <f t="shared" si="1111"/>
        <v/>
      </c>
      <c r="J8150" s="273"/>
      <c r="K8150" s="395"/>
      <c r="L8150" s="273"/>
      <c r="M8150" s="394" t="str">
        <f t="shared" si="1112"/>
        <v/>
      </c>
      <c r="N8150" s="273"/>
    </row>
    <row r="8151" spans="1:14" ht="12.75" customHeight="1" x14ac:dyDescent="0.2">
      <c r="A8151" s="403"/>
      <c r="B8151" s="271"/>
      <c r="C8151" s="271"/>
      <c r="D8151" s="271"/>
      <c r="E8151" s="271"/>
      <c r="F8151" s="271"/>
      <c r="G8151" s="273"/>
      <c r="H8151" s="29" t="str">
        <f t="shared" si="1110"/>
        <v/>
      </c>
      <c r="I8151" s="394" t="str">
        <f t="shared" si="1111"/>
        <v/>
      </c>
      <c r="J8151" s="273"/>
      <c r="K8151" s="395"/>
      <c r="L8151" s="273"/>
      <c r="M8151" s="394" t="str">
        <f t="shared" si="1112"/>
        <v/>
      </c>
      <c r="N8151" s="273"/>
    </row>
    <row r="8152" spans="1:14" ht="12.75" customHeight="1" x14ac:dyDescent="0.2">
      <c r="A8152" s="403"/>
      <c r="B8152" s="271"/>
      <c r="C8152" s="271"/>
      <c r="D8152" s="271"/>
      <c r="E8152" s="271"/>
      <c r="F8152" s="271"/>
      <c r="G8152" s="273"/>
      <c r="H8152" s="29" t="str">
        <f t="shared" si="1110"/>
        <v/>
      </c>
      <c r="I8152" s="394" t="str">
        <f t="shared" si="1111"/>
        <v/>
      </c>
      <c r="J8152" s="273"/>
      <c r="K8152" s="395"/>
      <c r="L8152" s="273"/>
      <c r="M8152" s="394" t="str">
        <f t="shared" si="1112"/>
        <v/>
      </c>
      <c r="N8152" s="273"/>
    </row>
    <row r="8153" spans="1:14" ht="12.75" customHeight="1" x14ac:dyDescent="0.25">
      <c r="A8153" s="4"/>
      <c r="B8153" s="4"/>
      <c r="C8153" s="4"/>
      <c r="D8153" s="4"/>
      <c r="E8153" s="4"/>
      <c r="F8153" s="4"/>
      <c r="G8153" s="4"/>
      <c r="H8153" s="4"/>
      <c r="I8153" s="4"/>
      <c r="J8153" s="4"/>
      <c r="K8153" s="396" t="s">
        <v>444</v>
      </c>
      <c r="L8153" s="273"/>
      <c r="M8153" s="394">
        <f>SUM(M8147:N8152)</f>
        <v>148800</v>
      </c>
      <c r="N8153" s="273"/>
    </row>
    <row r="8154" spans="1:14" ht="12.75" customHeight="1" x14ac:dyDescent="0.25">
      <c r="A8154" s="4"/>
      <c r="B8154" s="4"/>
      <c r="C8154" s="4"/>
      <c r="D8154" s="4"/>
      <c r="E8154" s="4"/>
      <c r="F8154" s="4"/>
      <c r="G8154" s="4"/>
      <c r="H8154" s="4"/>
      <c r="I8154" s="4"/>
      <c r="J8154" s="4"/>
      <c r="K8154" s="4"/>
      <c r="L8154" s="4"/>
      <c r="M8154" s="4"/>
      <c r="N8154" s="4"/>
    </row>
    <row r="8155" spans="1:14" ht="12.75" customHeight="1" x14ac:dyDescent="0.2">
      <c r="A8155" s="398" t="s">
        <v>926</v>
      </c>
      <c r="B8155" s="271"/>
      <c r="C8155" s="271"/>
      <c r="D8155" s="271"/>
      <c r="E8155" s="271"/>
      <c r="F8155" s="271"/>
      <c r="G8155" s="271"/>
      <c r="H8155" s="271"/>
      <c r="I8155" s="271"/>
      <c r="J8155" s="271"/>
      <c r="K8155" s="271"/>
      <c r="L8155" s="271"/>
      <c r="M8155" s="271"/>
      <c r="N8155" s="273"/>
    </row>
    <row r="8156" spans="1:14" ht="12.75" customHeight="1" x14ac:dyDescent="0.2">
      <c r="A8156" s="396" t="s">
        <v>76</v>
      </c>
      <c r="B8156" s="271"/>
      <c r="C8156" s="271"/>
      <c r="D8156" s="271"/>
      <c r="E8156" s="271"/>
      <c r="F8156" s="271"/>
      <c r="G8156" s="273"/>
      <c r="H8156" s="88" t="s">
        <v>77</v>
      </c>
      <c r="I8156" s="399" t="s">
        <v>920</v>
      </c>
      <c r="J8156" s="273"/>
      <c r="K8156" s="399" t="s">
        <v>453</v>
      </c>
      <c r="L8156" s="273"/>
      <c r="M8156" s="399" t="s">
        <v>921</v>
      </c>
      <c r="N8156" s="273"/>
    </row>
    <row r="8157" spans="1:14" ht="12.75" customHeight="1" x14ac:dyDescent="0.2">
      <c r="A8157" s="400" t="s">
        <v>927</v>
      </c>
      <c r="B8157" s="271"/>
      <c r="C8157" s="271"/>
      <c r="D8157" s="271"/>
      <c r="E8157" s="271"/>
      <c r="F8157" s="271"/>
      <c r="G8157" s="273"/>
      <c r="H8157" s="29" t="str">
        <f>IF(A8157="","",VLOOKUP(A8157,AA_Equipos,7,FALSE))</f>
        <v>% M.O.</v>
      </c>
      <c r="I8157" s="394">
        <f>+M8180</f>
        <v>87778.61</v>
      </c>
      <c r="J8157" s="273"/>
      <c r="K8157" s="404">
        <v>0.05</v>
      </c>
      <c r="L8157" s="273"/>
      <c r="M8157" s="394">
        <f t="shared" ref="M8157:M8161" si="1113">IF(A8157="","",I8157*K8157)</f>
        <v>4388.9305000000004</v>
      </c>
      <c r="N8157" s="273"/>
    </row>
    <row r="8158" spans="1:14" ht="12.75" customHeight="1" x14ac:dyDescent="0.2">
      <c r="A8158" s="403"/>
      <c r="B8158" s="271"/>
      <c r="C8158" s="271"/>
      <c r="D8158" s="271"/>
      <c r="E8158" s="271"/>
      <c r="F8158" s="271"/>
      <c r="G8158" s="273"/>
      <c r="H8158" s="29" t="str">
        <f>IF(A8158="","",VLOOKUP(A8158,AA_Equipos,7,FALSE))</f>
        <v/>
      </c>
      <c r="I8158" s="394" t="str">
        <f>IF(A8158="","",VLOOKUP(A8158,AA_Equipos,8,FALSE))</f>
        <v/>
      </c>
      <c r="J8158" s="273"/>
      <c r="K8158" s="402"/>
      <c r="L8158" s="273"/>
      <c r="M8158" s="394" t="str">
        <f t="shared" si="1113"/>
        <v/>
      </c>
      <c r="N8158" s="273"/>
    </row>
    <row r="8159" spans="1:14" ht="12.75" customHeight="1" x14ac:dyDescent="0.2">
      <c r="A8159" s="400"/>
      <c r="B8159" s="271"/>
      <c r="C8159" s="271"/>
      <c r="D8159" s="271"/>
      <c r="E8159" s="271"/>
      <c r="F8159" s="271"/>
      <c r="G8159" s="273"/>
      <c r="H8159" s="29" t="str">
        <f>IF(A8159="","",VLOOKUP(A8159,AA_Equipos,7,FALSE))</f>
        <v/>
      </c>
      <c r="I8159" s="394" t="str">
        <f>IF(A8159="","",VLOOKUP(A8159,AA_Equipos,8,FALSE))</f>
        <v/>
      </c>
      <c r="J8159" s="273"/>
      <c r="K8159" s="401"/>
      <c r="L8159" s="273"/>
      <c r="M8159" s="394" t="str">
        <f t="shared" si="1113"/>
        <v/>
      </c>
      <c r="N8159" s="273"/>
    </row>
    <row r="8160" spans="1:14" ht="12.75" customHeight="1" x14ac:dyDescent="0.2">
      <c r="A8160" s="400"/>
      <c r="B8160" s="271"/>
      <c r="C8160" s="271"/>
      <c r="D8160" s="271"/>
      <c r="E8160" s="271"/>
      <c r="F8160" s="271"/>
      <c r="G8160" s="273"/>
      <c r="H8160" s="29" t="str">
        <f>IF(A8160="","",VLOOKUP(A8160,AA_Equipos,7,FALSE))</f>
        <v/>
      </c>
      <c r="I8160" s="394" t="str">
        <f>IF(A8160="","",VLOOKUP(A8160,AA_Equipos,8,FALSE))</f>
        <v/>
      </c>
      <c r="J8160" s="273"/>
      <c r="K8160" s="395"/>
      <c r="L8160" s="273"/>
      <c r="M8160" s="394" t="str">
        <f t="shared" si="1113"/>
        <v/>
      </c>
      <c r="N8160" s="273"/>
    </row>
    <row r="8161" spans="1:14" ht="12.75" customHeight="1" x14ac:dyDescent="0.2">
      <c r="A8161" s="400"/>
      <c r="B8161" s="271"/>
      <c r="C8161" s="271"/>
      <c r="D8161" s="271"/>
      <c r="E8161" s="271"/>
      <c r="F8161" s="271"/>
      <c r="G8161" s="273"/>
      <c r="H8161" s="29" t="str">
        <f>IF(A8161="","",VLOOKUP(A8161,AA_Equipos,7,FALSE))</f>
        <v/>
      </c>
      <c r="I8161" s="394" t="str">
        <f>IF(A8161="","",VLOOKUP(A8161,AA_Equipos,8,FALSE))</f>
        <v/>
      </c>
      <c r="J8161" s="273"/>
      <c r="K8161" s="395"/>
      <c r="L8161" s="273"/>
      <c r="M8161" s="394" t="str">
        <f t="shared" si="1113"/>
        <v/>
      </c>
      <c r="N8161" s="273"/>
    </row>
    <row r="8162" spans="1:14" ht="12.75" customHeight="1" x14ac:dyDescent="0.25">
      <c r="A8162" s="4"/>
      <c r="B8162" s="4"/>
      <c r="C8162" s="4"/>
      <c r="D8162" s="4"/>
      <c r="E8162" s="4"/>
      <c r="F8162" s="4"/>
      <c r="G8162" s="4"/>
      <c r="H8162" s="4"/>
      <c r="I8162" s="4"/>
      <c r="J8162" s="4"/>
      <c r="K8162" s="396" t="s">
        <v>444</v>
      </c>
      <c r="L8162" s="273"/>
      <c r="M8162" s="394">
        <f>SUM(M8157:N8161)</f>
        <v>4388.9305000000004</v>
      </c>
      <c r="N8162" s="273"/>
    </row>
    <row r="8163" spans="1:14" ht="12.75" customHeight="1" x14ac:dyDescent="0.25">
      <c r="A8163" s="4"/>
      <c r="B8163" s="4"/>
      <c r="C8163" s="4"/>
      <c r="D8163" s="4"/>
      <c r="E8163" s="4"/>
      <c r="F8163" s="4"/>
      <c r="G8163" s="4"/>
      <c r="H8163" s="4"/>
      <c r="I8163" s="4"/>
      <c r="J8163" s="4"/>
      <c r="K8163" s="4"/>
      <c r="L8163" s="4"/>
      <c r="M8163" s="4"/>
      <c r="N8163" s="4"/>
    </row>
    <row r="8164" spans="1:14" ht="12.75" customHeight="1" x14ac:dyDescent="0.2">
      <c r="A8164" s="398" t="s">
        <v>929</v>
      </c>
      <c r="B8164" s="271"/>
      <c r="C8164" s="271"/>
      <c r="D8164" s="271"/>
      <c r="E8164" s="271"/>
      <c r="F8164" s="271"/>
      <c r="G8164" s="271"/>
      <c r="H8164" s="271"/>
      <c r="I8164" s="271"/>
      <c r="J8164" s="271"/>
      <c r="K8164" s="271"/>
      <c r="L8164" s="271"/>
      <c r="M8164" s="271"/>
      <c r="N8164" s="273"/>
    </row>
    <row r="8165" spans="1:14" ht="12.75" customHeight="1" x14ac:dyDescent="0.2">
      <c r="A8165" s="396" t="s">
        <v>76</v>
      </c>
      <c r="B8165" s="271"/>
      <c r="C8165" s="271"/>
      <c r="D8165" s="271"/>
      <c r="E8165" s="271"/>
      <c r="F8165" s="271"/>
      <c r="G8165" s="273"/>
      <c r="H8165" s="88" t="s">
        <v>77</v>
      </c>
      <c r="I8165" s="399" t="s">
        <v>920</v>
      </c>
      <c r="J8165" s="273"/>
      <c r="K8165" s="399" t="s">
        <v>453</v>
      </c>
      <c r="L8165" s="273"/>
      <c r="M8165" s="399" t="s">
        <v>921</v>
      </c>
      <c r="N8165" s="273"/>
    </row>
    <row r="8166" spans="1:14" ht="12.75" customHeight="1" x14ac:dyDescent="0.2">
      <c r="A8166" s="400" t="s">
        <v>966</v>
      </c>
      <c r="B8166" s="271"/>
      <c r="C8166" s="271"/>
      <c r="D8166" s="271"/>
      <c r="E8166" s="271"/>
      <c r="F8166" s="271"/>
      <c r="G8166" s="273"/>
      <c r="H8166" s="29" t="s">
        <v>950</v>
      </c>
      <c r="I8166" s="394">
        <f>+M8153</f>
        <v>148800</v>
      </c>
      <c r="J8166" s="273"/>
      <c r="K8166" s="404">
        <v>0.05</v>
      </c>
      <c r="L8166" s="273"/>
      <c r="M8166" s="394">
        <f t="shared" ref="M8166:M8170" si="1114">IF(A8166="","",I8166*K8166)</f>
        <v>7440</v>
      </c>
      <c r="N8166" s="273"/>
    </row>
    <row r="8167" spans="1:14" ht="12.75" customHeight="1" x14ac:dyDescent="0.2">
      <c r="A8167" s="403" t="s">
        <v>3174</v>
      </c>
      <c r="B8167" s="271"/>
      <c r="C8167" s="271"/>
      <c r="D8167" s="271"/>
      <c r="E8167" s="271"/>
      <c r="F8167" s="271"/>
      <c r="G8167" s="273"/>
      <c r="H8167" s="29"/>
      <c r="I8167" s="394"/>
      <c r="J8167" s="273"/>
      <c r="K8167" s="404"/>
      <c r="L8167" s="273"/>
      <c r="M8167" s="394">
        <f t="shared" si="1114"/>
        <v>0</v>
      </c>
      <c r="N8167" s="273"/>
    </row>
    <row r="8168" spans="1:14" ht="12.75" customHeight="1" x14ac:dyDescent="0.2">
      <c r="A8168" s="400"/>
      <c r="B8168" s="271"/>
      <c r="C8168" s="271"/>
      <c r="D8168" s="271"/>
      <c r="E8168" s="271"/>
      <c r="F8168" s="271"/>
      <c r="G8168" s="273"/>
      <c r="H8168" s="29"/>
      <c r="I8168" s="394"/>
      <c r="J8168" s="273"/>
      <c r="K8168" s="395"/>
      <c r="L8168" s="273"/>
      <c r="M8168" s="394" t="str">
        <f t="shared" si="1114"/>
        <v/>
      </c>
      <c r="N8168" s="273"/>
    </row>
    <row r="8169" spans="1:14" ht="12.75" customHeight="1" x14ac:dyDescent="0.2">
      <c r="A8169" s="400"/>
      <c r="B8169" s="271"/>
      <c r="C8169" s="271"/>
      <c r="D8169" s="271"/>
      <c r="E8169" s="271"/>
      <c r="F8169" s="271"/>
      <c r="G8169" s="273"/>
      <c r="H8169" s="29"/>
      <c r="I8169" s="394"/>
      <c r="J8169" s="273"/>
      <c r="K8169" s="395"/>
      <c r="L8169" s="273"/>
      <c r="M8169" s="394" t="str">
        <f t="shared" si="1114"/>
        <v/>
      </c>
      <c r="N8169" s="273"/>
    </row>
    <row r="8170" spans="1:14" ht="12.75" customHeight="1" x14ac:dyDescent="0.2">
      <c r="A8170" s="400"/>
      <c r="B8170" s="271"/>
      <c r="C8170" s="271"/>
      <c r="D8170" s="271"/>
      <c r="E8170" s="271"/>
      <c r="F8170" s="271"/>
      <c r="G8170" s="273"/>
      <c r="H8170" s="29"/>
      <c r="I8170" s="394"/>
      <c r="J8170" s="273"/>
      <c r="K8170" s="395"/>
      <c r="L8170" s="273"/>
      <c r="M8170" s="394" t="str">
        <f t="shared" si="1114"/>
        <v/>
      </c>
      <c r="N8170" s="273"/>
    </row>
    <row r="8171" spans="1:14" ht="12.75" customHeight="1" x14ac:dyDescent="0.25">
      <c r="A8171" s="4"/>
      <c r="B8171" s="4"/>
      <c r="C8171" s="4"/>
      <c r="D8171" s="4"/>
      <c r="E8171" s="4"/>
      <c r="F8171" s="4"/>
      <c r="G8171" s="4"/>
      <c r="H8171" s="4"/>
      <c r="I8171" s="4"/>
      <c r="J8171" s="4"/>
      <c r="K8171" s="396" t="s">
        <v>444</v>
      </c>
      <c r="L8171" s="273"/>
      <c r="M8171" s="394">
        <f>SUM(M8166:N8170)</f>
        <v>7440</v>
      </c>
      <c r="N8171" s="273"/>
    </row>
    <row r="8172" spans="1:14" ht="12.75" customHeight="1" x14ac:dyDescent="0.25">
      <c r="A8172" s="4"/>
      <c r="B8172" s="4"/>
      <c r="C8172" s="4"/>
      <c r="D8172" s="4"/>
      <c r="E8172" s="4"/>
      <c r="F8172" s="4"/>
      <c r="G8172" s="4"/>
      <c r="H8172" s="4"/>
      <c r="I8172" s="4"/>
      <c r="J8172" s="4"/>
      <c r="K8172" s="4"/>
      <c r="L8172" s="4"/>
      <c r="M8172" s="4"/>
      <c r="N8172" s="4"/>
    </row>
    <row r="8173" spans="1:14" ht="12.75" customHeight="1" x14ac:dyDescent="0.2">
      <c r="A8173" s="398" t="s">
        <v>931</v>
      </c>
      <c r="B8173" s="271"/>
      <c r="C8173" s="271"/>
      <c r="D8173" s="271"/>
      <c r="E8173" s="271"/>
      <c r="F8173" s="271"/>
      <c r="G8173" s="271"/>
      <c r="H8173" s="271"/>
      <c r="I8173" s="271"/>
      <c r="J8173" s="271"/>
      <c r="K8173" s="271"/>
      <c r="L8173" s="271"/>
      <c r="M8173" s="271"/>
      <c r="N8173" s="273"/>
    </row>
    <row r="8174" spans="1:14" ht="12.75" customHeight="1" x14ac:dyDescent="0.2">
      <c r="A8174" s="396" t="s">
        <v>76</v>
      </c>
      <c r="B8174" s="271"/>
      <c r="C8174" s="271"/>
      <c r="D8174" s="271"/>
      <c r="E8174" s="271"/>
      <c r="F8174" s="271"/>
      <c r="G8174" s="273"/>
      <c r="H8174" s="88" t="s">
        <v>77</v>
      </c>
      <c r="I8174" s="399" t="s">
        <v>920</v>
      </c>
      <c r="J8174" s="273"/>
      <c r="K8174" s="90" t="s">
        <v>514</v>
      </c>
      <c r="L8174" s="91" t="s">
        <v>932</v>
      </c>
      <c r="M8174" s="399" t="s">
        <v>921</v>
      </c>
      <c r="N8174" s="273"/>
    </row>
    <row r="8175" spans="1:14" ht="12.75" customHeight="1" x14ac:dyDescent="0.25">
      <c r="A8175" s="393" t="s">
        <v>986</v>
      </c>
      <c r="B8175" s="271"/>
      <c r="C8175" s="271"/>
      <c r="D8175" s="271"/>
      <c r="E8175" s="271"/>
      <c r="F8175" s="271"/>
      <c r="G8175" s="273"/>
      <c r="H8175" s="29" t="str">
        <f>IF(A8175="","",VLOOKUP(A8175,AA_Cuadrillas,4,FALSE))</f>
        <v>Cuadrilla</v>
      </c>
      <c r="I8175" s="394">
        <f>IF(A8175="","",VLOOKUP(A8175,AA_Cuadrillas,5,FALSE))</f>
        <v>186763</v>
      </c>
      <c r="J8175" s="273"/>
      <c r="K8175" s="9">
        <f>IF(A8175="","",F.P!$I$2)</f>
        <v>1.88</v>
      </c>
      <c r="L8175" s="97">
        <v>0.25</v>
      </c>
      <c r="M8175" s="394">
        <f t="shared" ref="M8175:M8179" si="1115">IF(A8175="","",I8175*K8175*L8175)</f>
        <v>87778.61</v>
      </c>
      <c r="N8175" s="273"/>
    </row>
    <row r="8176" spans="1:14" ht="12.75" customHeight="1" x14ac:dyDescent="0.25">
      <c r="A8176" s="393"/>
      <c r="B8176" s="271"/>
      <c r="C8176" s="271"/>
      <c r="D8176" s="271"/>
      <c r="E8176" s="271"/>
      <c r="F8176" s="271"/>
      <c r="G8176" s="273"/>
      <c r="H8176" s="29" t="str">
        <f>IF(A8176="","",VLOOKUP(A8176,AA_Cuadrillas,4,FALSE))</f>
        <v/>
      </c>
      <c r="I8176" s="394" t="str">
        <f>IF(A8176="","",VLOOKUP(A8176,AA_Cuadrillas,5,FALSE))</f>
        <v/>
      </c>
      <c r="J8176" s="273"/>
      <c r="K8176" s="9" t="str">
        <f>IF(A8176="","",F.P!$I$2)</f>
        <v/>
      </c>
      <c r="L8176" s="9"/>
      <c r="M8176" s="394" t="str">
        <f t="shared" si="1115"/>
        <v/>
      </c>
      <c r="N8176" s="273"/>
    </row>
    <row r="8177" spans="1:15" ht="12.75" customHeight="1" x14ac:dyDescent="0.25">
      <c r="A8177" s="393"/>
      <c r="B8177" s="271"/>
      <c r="C8177" s="271"/>
      <c r="D8177" s="271"/>
      <c r="E8177" s="271"/>
      <c r="F8177" s="271"/>
      <c r="G8177" s="273"/>
      <c r="H8177" s="29" t="str">
        <f>IF(A8177="","",VLOOKUP(A8177,AA_Cuadrillas,4,FALSE))</f>
        <v/>
      </c>
      <c r="I8177" s="394" t="str">
        <f>IF(A8177="","",VLOOKUP(A8177,AA_Cuadrillas,5,FALSE))</f>
        <v/>
      </c>
      <c r="J8177" s="273"/>
      <c r="K8177" s="9" t="str">
        <f>IF(A8177="","",F.P!$I$2)</f>
        <v/>
      </c>
      <c r="L8177" s="37"/>
      <c r="M8177" s="394" t="str">
        <f t="shared" si="1115"/>
        <v/>
      </c>
      <c r="N8177" s="273"/>
    </row>
    <row r="8178" spans="1:15" ht="12.75" customHeight="1" x14ac:dyDescent="0.25">
      <c r="A8178" s="393"/>
      <c r="B8178" s="271"/>
      <c r="C8178" s="271"/>
      <c r="D8178" s="271"/>
      <c r="E8178" s="271"/>
      <c r="F8178" s="271"/>
      <c r="G8178" s="273"/>
      <c r="H8178" s="29" t="str">
        <f>IF(A8178="","",VLOOKUP(A8178,AA_Cuadrillas,4,FALSE))</f>
        <v/>
      </c>
      <c r="I8178" s="394" t="str">
        <f>IF(A8178="","",VLOOKUP(A8178,AA_Cuadrillas,5,FALSE))</f>
        <v/>
      </c>
      <c r="J8178" s="273"/>
      <c r="K8178" s="9" t="str">
        <f>IF(A8178="","",F.P!$I$2)</f>
        <v/>
      </c>
      <c r="L8178" s="37"/>
      <c r="M8178" s="394" t="str">
        <f t="shared" si="1115"/>
        <v/>
      </c>
      <c r="N8178" s="273"/>
    </row>
    <row r="8179" spans="1:15" ht="12.75" customHeight="1" x14ac:dyDescent="0.25">
      <c r="A8179" s="393"/>
      <c r="B8179" s="271"/>
      <c r="C8179" s="271"/>
      <c r="D8179" s="271"/>
      <c r="E8179" s="271"/>
      <c r="F8179" s="271"/>
      <c r="G8179" s="273"/>
      <c r="H8179" s="29" t="str">
        <f>IF(A8179="","",VLOOKUP(A8179,AA_Cuadrillas,4,FALSE))</f>
        <v/>
      </c>
      <c r="I8179" s="394" t="str">
        <f>IF(A8179="","",VLOOKUP(A8179,AA_Cuadrillas,5,FALSE))</f>
        <v/>
      </c>
      <c r="J8179" s="273"/>
      <c r="K8179" s="9" t="str">
        <f>IF(A8179="","",F.P!$I$2)</f>
        <v/>
      </c>
      <c r="L8179" s="37"/>
      <c r="M8179" s="394" t="str">
        <f t="shared" si="1115"/>
        <v/>
      </c>
      <c r="N8179" s="273"/>
    </row>
    <row r="8180" spans="1:15" ht="12.75" customHeight="1" x14ac:dyDescent="0.25">
      <c r="A8180" s="4"/>
      <c r="B8180" s="4"/>
      <c r="C8180" s="4"/>
      <c r="D8180" s="4"/>
      <c r="E8180" s="4"/>
      <c r="F8180" s="4"/>
      <c r="G8180" s="4"/>
      <c r="H8180" s="4"/>
      <c r="I8180" s="4"/>
      <c r="J8180" s="4"/>
      <c r="K8180" s="396" t="s">
        <v>444</v>
      </c>
      <c r="L8180" s="273"/>
      <c r="M8180" s="394">
        <f>SUM(M8175:N8179)</f>
        <v>87778.61</v>
      </c>
      <c r="N8180" s="273"/>
    </row>
    <row r="8181" spans="1:15" ht="12.75" customHeight="1" x14ac:dyDescent="0.2"/>
    <row r="8182" spans="1:15" ht="12.75" customHeight="1" x14ac:dyDescent="0.2">
      <c r="A8182" s="407" t="s">
        <v>1366</v>
      </c>
      <c r="B8182" s="275"/>
      <c r="C8182" s="275"/>
      <c r="D8182" s="275"/>
      <c r="E8182" s="275"/>
      <c r="F8182" s="275"/>
      <c r="G8182" s="275"/>
      <c r="H8182" s="275"/>
      <c r="I8182" s="275"/>
      <c r="J8182" s="275"/>
      <c r="K8182" s="275"/>
      <c r="L8182" s="275"/>
      <c r="M8182" s="275"/>
      <c r="N8182" s="276"/>
      <c r="O8182" s="166"/>
    </row>
    <row r="8183" spans="1:15" ht="12.75" customHeight="1" x14ac:dyDescent="0.2">
      <c r="A8183" s="277"/>
      <c r="B8183" s="278"/>
      <c r="C8183" s="278"/>
      <c r="D8183" s="278"/>
      <c r="E8183" s="278"/>
      <c r="F8183" s="278"/>
      <c r="G8183" s="278"/>
      <c r="H8183" s="278"/>
      <c r="I8183" s="278"/>
      <c r="J8183" s="278"/>
      <c r="K8183" s="278"/>
      <c r="L8183" s="278"/>
      <c r="M8183" s="278"/>
      <c r="N8183" s="279"/>
      <c r="O8183" s="166"/>
    </row>
    <row r="8184" spans="1:15" ht="12.75" customHeight="1" x14ac:dyDescent="0.2">
      <c r="A8184" s="75"/>
      <c r="B8184" s="75"/>
      <c r="C8184" s="75"/>
      <c r="D8184" s="75"/>
      <c r="E8184" s="75"/>
      <c r="F8184" s="75"/>
      <c r="G8184" s="75"/>
      <c r="H8184" s="75"/>
      <c r="I8184" s="75"/>
      <c r="J8184" s="75"/>
      <c r="K8184" s="75"/>
      <c r="L8184" s="75"/>
      <c r="M8184" s="75"/>
      <c r="N8184" s="75"/>
    </row>
    <row r="8185" spans="1:15" ht="12.75" customHeight="1" x14ac:dyDescent="0.3">
      <c r="A8185" s="79" t="s">
        <v>793</v>
      </c>
      <c r="B8185" s="80" t="str">
        <f>A8182</f>
        <v>SUMINISTRO E INSTALACIÓN DE NIPLE PASAMURO EBxEB DE Ø4" L=0,40 M EN HIERRO DUCTIL</v>
      </c>
      <c r="C8185" s="81" t="s">
        <v>916</v>
      </c>
      <c r="D8185" s="82" t="s">
        <v>999</v>
      </c>
      <c r="E8185" s="83" t="s">
        <v>445</v>
      </c>
      <c r="F8185" s="86">
        <f>H8185+J8185+L8185+N8185</f>
        <v>293986.98702499998</v>
      </c>
      <c r="G8185" s="83" t="s">
        <v>607</v>
      </c>
      <c r="H8185" s="86">
        <f>M8195</f>
        <v>192000</v>
      </c>
      <c r="I8185" s="83" t="s">
        <v>918</v>
      </c>
      <c r="J8185" s="86">
        <f>M8204</f>
        <v>4388.9305000000004</v>
      </c>
      <c r="K8185" s="83" t="s">
        <v>609</v>
      </c>
      <c r="L8185" s="86">
        <f>M8213</f>
        <v>9819.4465249999994</v>
      </c>
      <c r="M8185" s="83" t="s">
        <v>610</v>
      </c>
      <c r="N8185" s="86">
        <f>M8222</f>
        <v>87778.61</v>
      </c>
    </row>
    <row r="8186" spans="1:15" ht="12.75" customHeight="1" x14ac:dyDescent="0.25">
      <c r="A8186" s="87"/>
      <c r="B8186" s="87"/>
      <c r="C8186" s="87"/>
      <c r="D8186" s="87"/>
      <c r="E8186" s="87"/>
      <c r="F8186" s="87"/>
      <c r="G8186" s="87"/>
      <c r="J8186" s="87"/>
      <c r="K8186" s="215" t="s">
        <v>3217</v>
      </c>
      <c r="L8186" s="215">
        <f>+F8185*presup!$O$5</f>
        <v>382183.0831325</v>
      </c>
      <c r="M8186" s="87"/>
      <c r="N8186" s="87"/>
    </row>
    <row r="8187" spans="1:15" ht="12.75" customHeight="1" x14ac:dyDescent="0.2">
      <c r="A8187" s="398" t="s">
        <v>919</v>
      </c>
      <c r="B8187" s="271"/>
      <c r="C8187" s="271"/>
      <c r="D8187" s="271"/>
      <c r="E8187" s="271"/>
      <c r="F8187" s="271"/>
      <c r="G8187" s="271"/>
      <c r="H8187" s="271"/>
      <c r="I8187" s="271"/>
      <c r="J8187" s="271"/>
      <c r="K8187" s="271"/>
      <c r="L8187" s="271"/>
      <c r="M8187" s="271"/>
      <c r="N8187" s="273"/>
    </row>
    <row r="8188" spans="1:15" ht="12.75" customHeight="1" x14ac:dyDescent="0.2">
      <c r="A8188" s="396" t="s">
        <v>76</v>
      </c>
      <c r="B8188" s="271"/>
      <c r="C8188" s="271"/>
      <c r="D8188" s="271"/>
      <c r="E8188" s="271"/>
      <c r="F8188" s="271"/>
      <c r="G8188" s="273"/>
      <c r="H8188" s="88" t="s">
        <v>77</v>
      </c>
      <c r="I8188" s="399" t="s">
        <v>920</v>
      </c>
      <c r="J8188" s="273"/>
      <c r="K8188" s="399" t="s">
        <v>453</v>
      </c>
      <c r="L8188" s="273"/>
      <c r="M8188" s="399" t="s">
        <v>921</v>
      </c>
      <c r="N8188" s="273"/>
    </row>
    <row r="8189" spans="1:15" ht="12.75" customHeight="1" x14ac:dyDescent="0.2">
      <c r="A8189" s="403" t="s">
        <v>1132</v>
      </c>
      <c r="B8189" s="271"/>
      <c r="C8189" s="271"/>
      <c r="D8189" s="271"/>
      <c r="E8189" s="271"/>
      <c r="F8189" s="271"/>
      <c r="G8189" s="273"/>
      <c r="H8189" s="29" t="str">
        <f t="shared" ref="H8189:H8194" si="1116">IF(A8189="","",VLOOKUP(A8189,AA_Materiales,7,FALSE))</f>
        <v>Unidad</v>
      </c>
      <c r="I8189" s="394">
        <f t="shared" ref="I8189:I8194" si="1117">IF(A8189="","",VLOOKUP(A8189,AA_Materiales,8,FALSE))</f>
        <v>480000</v>
      </c>
      <c r="J8189" s="273"/>
      <c r="K8189" s="395">
        <v>0.4</v>
      </c>
      <c r="L8189" s="273"/>
      <c r="M8189" s="394">
        <f t="shared" ref="M8189:M8194" si="1118">IF(A8189="","",I8189*K8189)</f>
        <v>192000</v>
      </c>
      <c r="N8189" s="273"/>
    </row>
    <row r="8190" spans="1:15" ht="12.75" customHeight="1" x14ac:dyDescent="0.2">
      <c r="A8190" s="403"/>
      <c r="B8190" s="271"/>
      <c r="C8190" s="271"/>
      <c r="D8190" s="271"/>
      <c r="E8190" s="271"/>
      <c r="F8190" s="271"/>
      <c r="G8190" s="273"/>
      <c r="H8190" s="29" t="str">
        <f t="shared" si="1116"/>
        <v/>
      </c>
      <c r="I8190" s="394" t="str">
        <f t="shared" si="1117"/>
        <v/>
      </c>
      <c r="J8190" s="273"/>
      <c r="K8190" s="395"/>
      <c r="L8190" s="273"/>
      <c r="M8190" s="394" t="str">
        <f t="shared" si="1118"/>
        <v/>
      </c>
      <c r="N8190" s="273"/>
    </row>
    <row r="8191" spans="1:15" ht="12.75" customHeight="1" x14ac:dyDescent="0.2">
      <c r="A8191" s="403"/>
      <c r="B8191" s="271"/>
      <c r="C8191" s="271"/>
      <c r="D8191" s="271"/>
      <c r="E8191" s="271"/>
      <c r="F8191" s="271"/>
      <c r="G8191" s="273"/>
      <c r="H8191" s="29" t="str">
        <f t="shared" si="1116"/>
        <v/>
      </c>
      <c r="I8191" s="394" t="str">
        <f t="shared" si="1117"/>
        <v/>
      </c>
      <c r="J8191" s="273"/>
      <c r="K8191" s="395"/>
      <c r="L8191" s="273"/>
      <c r="M8191" s="394" t="str">
        <f t="shared" si="1118"/>
        <v/>
      </c>
      <c r="N8191" s="273"/>
    </row>
    <row r="8192" spans="1:15" ht="12.75" customHeight="1" x14ac:dyDescent="0.2">
      <c r="A8192" s="403"/>
      <c r="B8192" s="271"/>
      <c r="C8192" s="271"/>
      <c r="D8192" s="271"/>
      <c r="E8192" s="271"/>
      <c r="F8192" s="271"/>
      <c r="G8192" s="273"/>
      <c r="H8192" s="29" t="str">
        <f t="shared" si="1116"/>
        <v/>
      </c>
      <c r="I8192" s="394" t="str">
        <f t="shared" si="1117"/>
        <v/>
      </c>
      <c r="J8192" s="273"/>
      <c r="K8192" s="395"/>
      <c r="L8192" s="273"/>
      <c r="M8192" s="394" t="str">
        <f t="shared" si="1118"/>
        <v/>
      </c>
      <c r="N8192" s="273"/>
    </row>
    <row r="8193" spans="1:14" ht="12.75" customHeight="1" x14ac:dyDescent="0.2">
      <c r="A8193" s="403"/>
      <c r="B8193" s="271"/>
      <c r="C8193" s="271"/>
      <c r="D8193" s="271"/>
      <c r="E8193" s="271"/>
      <c r="F8193" s="271"/>
      <c r="G8193" s="273"/>
      <c r="H8193" s="29" t="str">
        <f t="shared" si="1116"/>
        <v/>
      </c>
      <c r="I8193" s="394" t="str">
        <f t="shared" si="1117"/>
        <v/>
      </c>
      <c r="J8193" s="273"/>
      <c r="K8193" s="395"/>
      <c r="L8193" s="273"/>
      <c r="M8193" s="394" t="str">
        <f t="shared" si="1118"/>
        <v/>
      </c>
      <c r="N8193" s="273"/>
    </row>
    <row r="8194" spans="1:14" ht="12.75" customHeight="1" x14ac:dyDescent="0.2">
      <c r="A8194" s="403"/>
      <c r="B8194" s="271"/>
      <c r="C8194" s="271"/>
      <c r="D8194" s="271"/>
      <c r="E8194" s="271"/>
      <c r="F8194" s="271"/>
      <c r="G8194" s="273"/>
      <c r="H8194" s="29" t="str">
        <f t="shared" si="1116"/>
        <v/>
      </c>
      <c r="I8194" s="394" t="str">
        <f t="shared" si="1117"/>
        <v/>
      </c>
      <c r="J8194" s="273"/>
      <c r="K8194" s="395"/>
      <c r="L8194" s="273"/>
      <c r="M8194" s="394" t="str">
        <f t="shared" si="1118"/>
        <v/>
      </c>
      <c r="N8194" s="273"/>
    </row>
    <row r="8195" spans="1:14" ht="12.75" customHeight="1" x14ac:dyDescent="0.25">
      <c r="A8195" s="4"/>
      <c r="B8195" s="4"/>
      <c r="C8195" s="4"/>
      <c r="D8195" s="4"/>
      <c r="E8195" s="4"/>
      <c r="F8195" s="4"/>
      <c r="G8195" s="4"/>
      <c r="H8195" s="4"/>
      <c r="I8195" s="4"/>
      <c r="J8195" s="4"/>
      <c r="K8195" s="396" t="s">
        <v>444</v>
      </c>
      <c r="L8195" s="273"/>
      <c r="M8195" s="394">
        <f>SUM(M8189:N8194)</f>
        <v>192000</v>
      </c>
      <c r="N8195" s="273"/>
    </row>
    <row r="8196" spans="1:14" ht="12.75" customHeight="1" x14ac:dyDescent="0.25">
      <c r="A8196" s="4"/>
      <c r="B8196" s="4"/>
      <c r="C8196" s="4"/>
      <c r="D8196" s="4"/>
      <c r="E8196" s="4"/>
      <c r="F8196" s="4"/>
      <c r="G8196" s="4"/>
      <c r="H8196" s="4"/>
      <c r="I8196" s="4"/>
      <c r="J8196" s="4"/>
      <c r="K8196" s="4"/>
      <c r="L8196" s="4"/>
      <c r="M8196" s="4"/>
      <c r="N8196" s="4"/>
    </row>
    <row r="8197" spans="1:14" ht="12.75" customHeight="1" x14ac:dyDescent="0.2">
      <c r="A8197" s="398" t="s">
        <v>926</v>
      </c>
      <c r="B8197" s="271"/>
      <c r="C8197" s="271"/>
      <c r="D8197" s="271"/>
      <c r="E8197" s="271"/>
      <c r="F8197" s="271"/>
      <c r="G8197" s="271"/>
      <c r="H8197" s="271"/>
      <c r="I8197" s="271"/>
      <c r="J8197" s="271"/>
      <c r="K8197" s="271"/>
      <c r="L8197" s="271"/>
      <c r="M8197" s="271"/>
      <c r="N8197" s="273"/>
    </row>
    <row r="8198" spans="1:14" ht="12.75" customHeight="1" x14ac:dyDescent="0.2">
      <c r="A8198" s="396" t="s">
        <v>76</v>
      </c>
      <c r="B8198" s="271"/>
      <c r="C8198" s="271"/>
      <c r="D8198" s="271"/>
      <c r="E8198" s="271"/>
      <c r="F8198" s="271"/>
      <c r="G8198" s="273"/>
      <c r="H8198" s="88" t="s">
        <v>77</v>
      </c>
      <c r="I8198" s="399" t="s">
        <v>920</v>
      </c>
      <c r="J8198" s="273"/>
      <c r="K8198" s="399" t="s">
        <v>453</v>
      </c>
      <c r="L8198" s="273"/>
      <c r="M8198" s="399" t="s">
        <v>921</v>
      </c>
      <c r="N8198" s="273"/>
    </row>
    <row r="8199" spans="1:14" ht="12.75" customHeight="1" x14ac:dyDescent="0.2">
      <c r="A8199" s="400" t="s">
        <v>927</v>
      </c>
      <c r="B8199" s="271"/>
      <c r="C8199" s="271"/>
      <c r="D8199" s="271"/>
      <c r="E8199" s="271"/>
      <c r="F8199" s="271"/>
      <c r="G8199" s="273"/>
      <c r="H8199" s="29" t="str">
        <f>IF(A8199="","",VLOOKUP(A8199,AA_Equipos,7,FALSE))</f>
        <v>% M.O.</v>
      </c>
      <c r="I8199" s="394">
        <f>+M8222</f>
        <v>87778.61</v>
      </c>
      <c r="J8199" s="273"/>
      <c r="K8199" s="404">
        <v>0.05</v>
      </c>
      <c r="L8199" s="273"/>
      <c r="M8199" s="394">
        <f t="shared" ref="M8199:M8203" si="1119">IF(A8199="","",I8199*K8199)</f>
        <v>4388.9305000000004</v>
      </c>
      <c r="N8199" s="273"/>
    </row>
    <row r="8200" spans="1:14" ht="12.75" customHeight="1" x14ac:dyDescent="0.2">
      <c r="A8200" s="403"/>
      <c r="B8200" s="271"/>
      <c r="C8200" s="271"/>
      <c r="D8200" s="271"/>
      <c r="E8200" s="271"/>
      <c r="F8200" s="271"/>
      <c r="G8200" s="273"/>
      <c r="H8200" s="29" t="str">
        <f>IF(A8200="","",VLOOKUP(A8200,AA_Equipos,7,FALSE))</f>
        <v/>
      </c>
      <c r="I8200" s="394" t="str">
        <f>IF(A8200="","",VLOOKUP(A8200,AA_Equipos,8,FALSE))</f>
        <v/>
      </c>
      <c r="J8200" s="273"/>
      <c r="K8200" s="402"/>
      <c r="L8200" s="273"/>
      <c r="M8200" s="394" t="str">
        <f t="shared" si="1119"/>
        <v/>
      </c>
      <c r="N8200" s="273"/>
    </row>
    <row r="8201" spans="1:14" ht="12.75" customHeight="1" x14ac:dyDescent="0.2">
      <c r="A8201" s="400"/>
      <c r="B8201" s="271"/>
      <c r="C8201" s="271"/>
      <c r="D8201" s="271"/>
      <c r="E8201" s="271"/>
      <c r="F8201" s="271"/>
      <c r="G8201" s="273"/>
      <c r="H8201" s="29" t="str">
        <f>IF(A8201="","",VLOOKUP(A8201,AA_Equipos,7,FALSE))</f>
        <v/>
      </c>
      <c r="I8201" s="394" t="str">
        <f>IF(A8201="","",VLOOKUP(A8201,AA_Equipos,8,FALSE))</f>
        <v/>
      </c>
      <c r="J8201" s="273"/>
      <c r="K8201" s="401"/>
      <c r="L8201" s="273"/>
      <c r="M8201" s="394" t="str">
        <f t="shared" si="1119"/>
        <v/>
      </c>
      <c r="N8201" s="273"/>
    </row>
    <row r="8202" spans="1:14" ht="12.75" customHeight="1" x14ac:dyDescent="0.2">
      <c r="A8202" s="400"/>
      <c r="B8202" s="271"/>
      <c r="C8202" s="271"/>
      <c r="D8202" s="271"/>
      <c r="E8202" s="271"/>
      <c r="F8202" s="271"/>
      <c r="G8202" s="273"/>
      <c r="H8202" s="29" t="str">
        <f>IF(A8202="","",VLOOKUP(A8202,AA_Equipos,7,FALSE))</f>
        <v/>
      </c>
      <c r="I8202" s="394" t="str">
        <f>IF(A8202="","",VLOOKUP(A8202,AA_Equipos,8,FALSE))</f>
        <v/>
      </c>
      <c r="J8202" s="273"/>
      <c r="K8202" s="395"/>
      <c r="L8202" s="273"/>
      <c r="M8202" s="394" t="str">
        <f t="shared" si="1119"/>
        <v/>
      </c>
      <c r="N8202" s="273"/>
    </row>
    <row r="8203" spans="1:14" ht="12.75" customHeight="1" x14ac:dyDescent="0.2">
      <c r="A8203" s="400"/>
      <c r="B8203" s="271"/>
      <c r="C8203" s="271"/>
      <c r="D8203" s="271"/>
      <c r="E8203" s="271"/>
      <c r="F8203" s="271"/>
      <c r="G8203" s="273"/>
      <c r="H8203" s="29" t="str">
        <f>IF(A8203="","",VLOOKUP(A8203,AA_Equipos,7,FALSE))</f>
        <v/>
      </c>
      <c r="I8203" s="394" t="str">
        <f>IF(A8203="","",VLOOKUP(A8203,AA_Equipos,8,FALSE))</f>
        <v/>
      </c>
      <c r="J8203" s="273"/>
      <c r="K8203" s="395"/>
      <c r="L8203" s="273"/>
      <c r="M8203" s="394" t="str">
        <f t="shared" si="1119"/>
        <v/>
      </c>
      <c r="N8203" s="273"/>
    </row>
    <row r="8204" spans="1:14" ht="12.75" customHeight="1" x14ac:dyDescent="0.25">
      <c r="A8204" s="4"/>
      <c r="B8204" s="4"/>
      <c r="C8204" s="4"/>
      <c r="D8204" s="4"/>
      <c r="E8204" s="4"/>
      <c r="F8204" s="4"/>
      <c r="G8204" s="4"/>
      <c r="H8204" s="4"/>
      <c r="I8204" s="4"/>
      <c r="J8204" s="4"/>
      <c r="K8204" s="396" t="s">
        <v>444</v>
      </c>
      <c r="L8204" s="273"/>
      <c r="M8204" s="394">
        <f>SUM(M8199:N8203)</f>
        <v>4388.9305000000004</v>
      </c>
      <c r="N8204" s="273"/>
    </row>
    <row r="8205" spans="1:14" ht="12.75" customHeight="1" x14ac:dyDescent="0.25">
      <c r="A8205" s="4"/>
      <c r="B8205" s="4"/>
      <c r="C8205" s="4"/>
      <c r="D8205" s="4"/>
      <c r="E8205" s="4"/>
      <c r="F8205" s="4"/>
      <c r="G8205" s="4"/>
      <c r="H8205" s="4"/>
      <c r="I8205" s="4"/>
      <c r="J8205" s="4"/>
      <c r="K8205" s="4"/>
      <c r="L8205" s="4"/>
      <c r="M8205" s="4"/>
      <c r="N8205" s="4"/>
    </row>
    <row r="8206" spans="1:14" ht="12.75" customHeight="1" x14ac:dyDescent="0.2">
      <c r="A8206" s="398" t="s">
        <v>929</v>
      </c>
      <c r="B8206" s="271"/>
      <c r="C8206" s="271"/>
      <c r="D8206" s="271"/>
      <c r="E8206" s="271"/>
      <c r="F8206" s="271"/>
      <c r="G8206" s="271"/>
      <c r="H8206" s="271"/>
      <c r="I8206" s="271"/>
      <c r="J8206" s="271"/>
      <c r="K8206" s="271"/>
      <c r="L8206" s="271"/>
      <c r="M8206" s="271"/>
      <c r="N8206" s="273"/>
    </row>
    <row r="8207" spans="1:14" ht="12.75" customHeight="1" x14ac:dyDescent="0.2">
      <c r="A8207" s="396" t="s">
        <v>76</v>
      </c>
      <c r="B8207" s="271"/>
      <c r="C8207" s="271"/>
      <c r="D8207" s="271"/>
      <c r="E8207" s="271"/>
      <c r="F8207" s="271"/>
      <c r="G8207" s="273"/>
      <c r="H8207" s="88" t="s">
        <v>77</v>
      </c>
      <c r="I8207" s="399" t="s">
        <v>920</v>
      </c>
      <c r="J8207" s="273"/>
      <c r="K8207" s="399" t="s">
        <v>453</v>
      </c>
      <c r="L8207" s="273"/>
      <c r="M8207" s="399" t="s">
        <v>921</v>
      </c>
      <c r="N8207" s="273"/>
    </row>
    <row r="8208" spans="1:14" ht="12.75" customHeight="1" x14ac:dyDescent="0.2">
      <c r="A8208" s="400" t="s">
        <v>966</v>
      </c>
      <c r="B8208" s="271"/>
      <c r="C8208" s="271"/>
      <c r="D8208" s="271"/>
      <c r="E8208" s="271"/>
      <c r="F8208" s="271"/>
      <c r="G8208" s="273"/>
      <c r="H8208" s="29" t="s">
        <v>950</v>
      </c>
      <c r="I8208" s="394">
        <f>+M8195</f>
        <v>192000</v>
      </c>
      <c r="J8208" s="273"/>
      <c r="K8208" s="404">
        <v>0.05</v>
      </c>
      <c r="L8208" s="273"/>
      <c r="M8208" s="394">
        <f t="shared" ref="M8208:M8212" si="1120">IF(A8208="","",I8208*K8208)</f>
        <v>9600</v>
      </c>
      <c r="N8208" s="273"/>
    </row>
    <row r="8209" spans="1:14" ht="12.75" customHeight="1" x14ac:dyDescent="0.2">
      <c r="A8209" s="403" t="s">
        <v>3174</v>
      </c>
      <c r="B8209" s="271"/>
      <c r="C8209" s="271"/>
      <c r="D8209" s="271"/>
      <c r="E8209" s="271"/>
      <c r="F8209" s="271"/>
      <c r="G8209" s="273"/>
      <c r="H8209" s="29" t="s">
        <v>24</v>
      </c>
      <c r="I8209" s="394">
        <f>+M8204</f>
        <v>4388.9305000000004</v>
      </c>
      <c r="J8209" s="273"/>
      <c r="K8209" s="404">
        <v>0.05</v>
      </c>
      <c r="L8209" s="273"/>
      <c r="M8209" s="394">
        <f t="shared" si="1120"/>
        <v>219.44652500000004</v>
      </c>
      <c r="N8209" s="273"/>
    </row>
    <row r="8210" spans="1:14" ht="12.75" customHeight="1" x14ac:dyDescent="0.2">
      <c r="A8210" s="400"/>
      <c r="B8210" s="271"/>
      <c r="C8210" s="271"/>
      <c r="D8210" s="271"/>
      <c r="E8210" s="271"/>
      <c r="F8210" s="271"/>
      <c r="G8210" s="273"/>
      <c r="H8210" s="29"/>
      <c r="I8210" s="394"/>
      <c r="J8210" s="273"/>
      <c r="K8210" s="395"/>
      <c r="L8210" s="273"/>
      <c r="M8210" s="394" t="str">
        <f t="shared" si="1120"/>
        <v/>
      </c>
      <c r="N8210" s="273"/>
    </row>
    <row r="8211" spans="1:14" ht="12.75" customHeight="1" x14ac:dyDescent="0.2">
      <c r="A8211" s="400"/>
      <c r="B8211" s="271"/>
      <c r="C8211" s="271"/>
      <c r="D8211" s="271"/>
      <c r="E8211" s="271"/>
      <c r="F8211" s="271"/>
      <c r="G8211" s="273"/>
      <c r="H8211" s="29"/>
      <c r="I8211" s="394"/>
      <c r="J8211" s="273"/>
      <c r="K8211" s="395"/>
      <c r="L8211" s="273"/>
      <c r="M8211" s="394" t="str">
        <f t="shared" si="1120"/>
        <v/>
      </c>
      <c r="N8211" s="273"/>
    </row>
    <row r="8212" spans="1:14" ht="12.75" customHeight="1" x14ac:dyDescent="0.2">
      <c r="A8212" s="400"/>
      <c r="B8212" s="271"/>
      <c r="C8212" s="271"/>
      <c r="D8212" s="271"/>
      <c r="E8212" s="271"/>
      <c r="F8212" s="271"/>
      <c r="G8212" s="273"/>
      <c r="H8212" s="29"/>
      <c r="I8212" s="394"/>
      <c r="J8212" s="273"/>
      <c r="K8212" s="395"/>
      <c r="L8212" s="273"/>
      <c r="M8212" s="394" t="str">
        <f t="shared" si="1120"/>
        <v/>
      </c>
      <c r="N8212" s="273"/>
    </row>
    <row r="8213" spans="1:14" ht="12.75" customHeight="1" x14ac:dyDescent="0.25">
      <c r="A8213" s="4"/>
      <c r="B8213" s="4"/>
      <c r="C8213" s="4"/>
      <c r="D8213" s="4"/>
      <c r="E8213" s="4"/>
      <c r="F8213" s="4"/>
      <c r="G8213" s="4"/>
      <c r="H8213" s="4"/>
      <c r="I8213" s="4"/>
      <c r="J8213" s="4"/>
      <c r="K8213" s="396" t="s">
        <v>444</v>
      </c>
      <c r="L8213" s="273"/>
      <c r="M8213" s="394">
        <f>SUM(M8208:N8212)</f>
        <v>9819.4465249999994</v>
      </c>
      <c r="N8213" s="273"/>
    </row>
    <row r="8214" spans="1:14" ht="12.75" customHeight="1" x14ac:dyDescent="0.25">
      <c r="A8214" s="4"/>
      <c r="B8214" s="4"/>
      <c r="C8214" s="4"/>
      <c r="D8214" s="4"/>
      <c r="E8214" s="4"/>
      <c r="F8214" s="4"/>
      <c r="G8214" s="4"/>
      <c r="H8214" s="4"/>
      <c r="I8214" s="4"/>
      <c r="J8214" s="4"/>
      <c r="K8214" s="4"/>
      <c r="L8214" s="4"/>
      <c r="M8214" s="4"/>
      <c r="N8214" s="4"/>
    </row>
    <row r="8215" spans="1:14" ht="12.75" customHeight="1" x14ac:dyDescent="0.2">
      <c r="A8215" s="398" t="s">
        <v>931</v>
      </c>
      <c r="B8215" s="271"/>
      <c r="C8215" s="271"/>
      <c r="D8215" s="271"/>
      <c r="E8215" s="271"/>
      <c r="F8215" s="271"/>
      <c r="G8215" s="271"/>
      <c r="H8215" s="271"/>
      <c r="I8215" s="271"/>
      <c r="J8215" s="271"/>
      <c r="K8215" s="271"/>
      <c r="L8215" s="271"/>
      <c r="M8215" s="271"/>
      <c r="N8215" s="273"/>
    </row>
    <row r="8216" spans="1:14" ht="12.75" customHeight="1" x14ac:dyDescent="0.2">
      <c r="A8216" s="396" t="s">
        <v>76</v>
      </c>
      <c r="B8216" s="271"/>
      <c r="C8216" s="271"/>
      <c r="D8216" s="271"/>
      <c r="E8216" s="271"/>
      <c r="F8216" s="271"/>
      <c r="G8216" s="273"/>
      <c r="H8216" s="88" t="s">
        <v>77</v>
      </c>
      <c r="I8216" s="399" t="s">
        <v>920</v>
      </c>
      <c r="J8216" s="273"/>
      <c r="K8216" s="90" t="s">
        <v>514</v>
      </c>
      <c r="L8216" s="91" t="s">
        <v>932</v>
      </c>
      <c r="M8216" s="399" t="s">
        <v>921</v>
      </c>
      <c r="N8216" s="273"/>
    </row>
    <row r="8217" spans="1:14" ht="12.75" customHeight="1" x14ac:dyDescent="0.25">
      <c r="A8217" s="393" t="s">
        <v>986</v>
      </c>
      <c r="B8217" s="271"/>
      <c r="C8217" s="271"/>
      <c r="D8217" s="271"/>
      <c r="E8217" s="271"/>
      <c r="F8217" s="271"/>
      <c r="G8217" s="273"/>
      <c r="H8217" s="29" t="str">
        <f>IF(A8217="","",VLOOKUP(A8217,AA_Cuadrillas,4,FALSE))</f>
        <v>Cuadrilla</v>
      </c>
      <c r="I8217" s="394">
        <f>IF(A8217="","",VLOOKUP(A8217,AA_Cuadrillas,5,FALSE))</f>
        <v>186763</v>
      </c>
      <c r="J8217" s="273"/>
      <c r="K8217" s="9">
        <f>IF(A8217="","",F.P!$I$2)</f>
        <v>1.88</v>
      </c>
      <c r="L8217" s="97">
        <v>0.25</v>
      </c>
      <c r="M8217" s="394">
        <f t="shared" ref="M8217:M8221" si="1121">IF(A8217="","",I8217*K8217*L8217)</f>
        <v>87778.61</v>
      </c>
      <c r="N8217" s="273"/>
    </row>
    <row r="8218" spans="1:14" ht="12.75" customHeight="1" x14ac:dyDescent="0.25">
      <c r="A8218" s="393"/>
      <c r="B8218" s="271"/>
      <c r="C8218" s="271"/>
      <c r="D8218" s="271"/>
      <c r="E8218" s="271"/>
      <c r="F8218" s="271"/>
      <c r="G8218" s="273"/>
      <c r="H8218" s="29" t="str">
        <f>IF(A8218="","",VLOOKUP(A8218,AA_Cuadrillas,4,FALSE))</f>
        <v/>
      </c>
      <c r="I8218" s="394" t="str">
        <f>IF(A8218="","",VLOOKUP(A8218,AA_Cuadrillas,5,FALSE))</f>
        <v/>
      </c>
      <c r="J8218" s="273"/>
      <c r="K8218" s="9" t="str">
        <f>IF(A8218="","",F.P!$I$2)</f>
        <v/>
      </c>
      <c r="L8218" s="9"/>
      <c r="M8218" s="394" t="str">
        <f t="shared" si="1121"/>
        <v/>
      </c>
      <c r="N8218" s="273"/>
    </row>
    <row r="8219" spans="1:14" ht="12.75" customHeight="1" x14ac:dyDescent="0.25">
      <c r="A8219" s="393"/>
      <c r="B8219" s="271"/>
      <c r="C8219" s="271"/>
      <c r="D8219" s="271"/>
      <c r="E8219" s="271"/>
      <c r="F8219" s="271"/>
      <c r="G8219" s="273"/>
      <c r="H8219" s="29" t="str">
        <f>IF(A8219="","",VLOOKUP(A8219,AA_Cuadrillas,4,FALSE))</f>
        <v/>
      </c>
      <c r="I8219" s="394" t="str">
        <f>IF(A8219="","",VLOOKUP(A8219,AA_Cuadrillas,5,FALSE))</f>
        <v/>
      </c>
      <c r="J8219" s="273"/>
      <c r="K8219" s="9" t="str">
        <f>IF(A8219="","",F.P!$I$2)</f>
        <v/>
      </c>
      <c r="L8219" s="37"/>
      <c r="M8219" s="394" t="str">
        <f t="shared" si="1121"/>
        <v/>
      </c>
      <c r="N8219" s="273"/>
    </row>
    <row r="8220" spans="1:14" ht="12.75" customHeight="1" x14ac:dyDescent="0.25">
      <c r="A8220" s="393"/>
      <c r="B8220" s="271"/>
      <c r="C8220" s="271"/>
      <c r="D8220" s="271"/>
      <c r="E8220" s="271"/>
      <c r="F8220" s="271"/>
      <c r="G8220" s="273"/>
      <c r="H8220" s="29" t="str">
        <f>IF(A8220="","",VLOOKUP(A8220,AA_Cuadrillas,4,FALSE))</f>
        <v/>
      </c>
      <c r="I8220" s="394" t="str">
        <f>IF(A8220="","",VLOOKUP(A8220,AA_Cuadrillas,5,FALSE))</f>
        <v/>
      </c>
      <c r="J8220" s="273"/>
      <c r="K8220" s="9" t="str">
        <f>IF(A8220="","",F.P!$I$2)</f>
        <v/>
      </c>
      <c r="L8220" s="37"/>
      <c r="M8220" s="394" t="str">
        <f t="shared" si="1121"/>
        <v/>
      </c>
      <c r="N8220" s="273"/>
    </row>
    <row r="8221" spans="1:14" ht="12.75" customHeight="1" x14ac:dyDescent="0.25">
      <c r="A8221" s="393"/>
      <c r="B8221" s="271"/>
      <c r="C8221" s="271"/>
      <c r="D8221" s="271"/>
      <c r="E8221" s="271"/>
      <c r="F8221" s="271"/>
      <c r="G8221" s="273"/>
      <c r="H8221" s="29" t="str">
        <f>IF(A8221="","",VLOOKUP(A8221,AA_Cuadrillas,4,FALSE))</f>
        <v/>
      </c>
      <c r="I8221" s="394" t="str">
        <f>IF(A8221="","",VLOOKUP(A8221,AA_Cuadrillas,5,FALSE))</f>
        <v/>
      </c>
      <c r="J8221" s="273"/>
      <c r="K8221" s="9" t="str">
        <f>IF(A8221="","",F.P!$I$2)</f>
        <v/>
      </c>
      <c r="L8221" s="37"/>
      <c r="M8221" s="394" t="str">
        <f t="shared" si="1121"/>
        <v/>
      </c>
      <c r="N8221" s="273"/>
    </row>
    <row r="8222" spans="1:14" ht="12.75" customHeight="1" x14ac:dyDescent="0.25">
      <c r="A8222" s="4"/>
      <c r="B8222" s="4"/>
      <c r="C8222" s="4"/>
      <c r="D8222" s="4"/>
      <c r="E8222" s="4"/>
      <c r="F8222" s="4"/>
      <c r="G8222" s="4"/>
      <c r="H8222" s="4"/>
      <c r="I8222" s="4"/>
      <c r="J8222" s="4"/>
      <c r="K8222" s="396" t="s">
        <v>444</v>
      </c>
      <c r="L8222" s="273"/>
      <c r="M8222" s="394">
        <f>SUM(M8217:N8221)</f>
        <v>87778.61</v>
      </c>
      <c r="N8222" s="273"/>
    </row>
    <row r="8223" spans="1:14" ht="12.75" customHeight="1" x14ac:dyDescent="0.2"/>
    <row r="8224" spans="1:14" ht="12.75" customHeight="1" x14ac:dyDescent="0.2">
      <c r="A8224" s="407" t="s">
        <v>1328</v>
      </c>
      <c r="B8224" s="275"/>
      <c r="C8224" s="275"/>
      <c r="D8224" s="275"/>
      <c r="E8224" s="275"/>
      <c r="F8224" s="275"/>
      <c r="G8224" s="275"/>
      <c r="H8224" s="275"/>
      <c r="I8224" s="275"/>
      <c r="J8224" s="275"/>
      <c r="K8224" s="275"/>
      <c r="L8224" s="275"/>
      <c r="M8224" s="275"/>
      <c r="N8224" s="276"/>
    </row>
    <row r="8225" spans="1:14" ht="12.75" customHeight="1" x14ac:dyDescent="0.2">
      <c r="A8225" s="277"/>
      <c r="B8225" s="278"/>
      <c r="C8225" s="278"/>
      <c r="D8225" s="278"/>
      <c r="E8225" s="278"/>
      <c r="F8225" s="278"/>
      <c r="G8225" s="278"/>
      <c r="H8225" s="278"/>
      <c r="I8225" s="278"/>
      <c r="J8225" s="278"/>
      <c r="K8225" s="278"/>
      <c r="L8225" s="278"/>
      <c r="M8225" s="278"/>
      <c r="N8225" s="279"/>
    </row>
    <row r="8226" spans="1:14" ht="12.75" customHeight="1" x14ac:dyDescent="0.2">
      <c r="A8226" s="75"/>
      <c r="B8226" s="75"/>
      <c r="C8226" s="75"/>
      <c r="D8226" s="75"/>
      <c r="E8226" s="75"/>
      <c r="F8226" s="75"/>
      <c r="G8226" s="75"/>
      <c r="H8226" s="75"/>
      <c r="I8226" s="75"/>
      <c r="J8226" s="75"/>
      <c r="K8226" s="75"/>
      <c r="L8226" s="75"/>
      <c r="M8226" s="75"/>
      <c r="N8226" s="75"/>
    </row>
    <row r="8227" spans="1:14" ht="12.75" customHeight="1" x14ac:dyDescent="0.3">
      <c r="A8227" s="79" t="s">
        <v>794</v>
      </c>
      <c r="B8227" s="80" t="str">
        <f>A8224</f>
        <v>SUMINISTRO E INSTALACIÓN DE NIPLE EBxEB Ø4" L=0,15 M EN HIERRO DUCTIL</v>
      </c>
      <c r="C8227" s="81" t="s">
        <v>916</v>
      </c>
      <c r="D8227" s="82" t="s">
        <v>999</v>
      </c>
      <c r="E8227" s="83" t="s">
        <v>445</v>
      </c>
      <c r="F8227" s="86">
        <f>H8227+J8227+L8227+N8227</f>
        <v>129731.1994689375</v>
      </c>
      <c r="G8227" s="83" t="s">
        <v>607</v>
      </c>
      <c r="H8227" s="86">
        <f>M8237</f>
        <v>35774.913303749992</v>
      </c>
      <c r="I8227" s="83" t="s">
        <v>918</v>
      </c>
      <c r="J8227" s="86">
        <f>M8246</f>
        <v>4388.9305000000004</v>
      </c>
      <c r="K8227" s="83" t="s">
        <v>609</v>
      </c>
      <c r="L8227" s="86">
        <f>M8255</f>
        <v>1788.7456651874998</v>
      </c>
      <c r="M8227" s="83" t="s">
        <v>610</v>
      </c>
      <c r="N8227" s="86">
        <f>M8264</f>
        <v>87778.61</v>
      </c>
    </row>
    <row r="8228" spans="1:14" ht="12.75" customHeight="1" x14ac:dyDescent="0.25">
      <c r="A8228" s="87"/>
      <c r="B8228" s="87"/>
      <c r="C8228" s="87"/>
      <c r="D8228" s="87"/>
      <c r="E8228" s="87"/>
      <c r="F8228" s="87"/>
      <c r="G8228" s="87"/>
      <c r="J8228" s="87"/>
      <c r="K8228" s="215" t="s">
        <v>3217</v>
      </c>
      <c r="L8228" s="215">
        <f>+F8227*presup!$O$5</f>
        <v>168650.55930961875</v>
      </c>
      <c r="M8228" s="87"/>
      <c r="N8228" s="87"/>
    </row>
    <row r="8229" spans="1:14" ht="12.75" customHeight="1" x14ac:dyDescent="0.2">
      <c r="A8229" s="398" t="s">
        <v>919</v>
      </c>
      <c r="B8229" s="271"/>
      <c r="C8229" s="271"/>
      <c r="D8229" s="271"/>
      <c r="E8229" s="271"/>
      <c r="F8229" s="271"/>
      <c r="G8229" s="271"/>
      <c r="H8229" s="271"/>
      <c r="I8229" s="271"/>
      <c r="J8229" s="271"/>
      <c r="K8229" s="271"/>
      <c r="L8229" s="271"/>
      <c r="M8229" s="271"/>
      <c r="N8229" s="273"/>
    </row>
    <row r="8230" spans="1:14" ht="12.75" customHeight="1" x14ac:dyDescent="0.2">
      <c r="A8230" s="396" t="s">
        <v>76</v>
      </c>
      <c r="B8230" s="271"/>
      <c r="C8230" s="271"/>
      <c r="D8230" s="271"/>
      <c r="E8230" s="271"/>
      <c r="F8230" s="271"/>
      <c r="G8230" s="273"/>
      <c r="H8230" s="88" t="s">
        <v>77</v>
      </c>
      <c r="I8230" s="399" t="s">
        <v>920</v>
      </c>
      <c r="J8230" s="273"/>
      <c r="K8230" s="399" t="s">
        <v>453</v>
      </c>
      <c r="L8230" s="273"/>
      <c r="M8230" s="399" t="s">
        <v>921</v>
      </c>
      <c r="N8230" s="273"/>
    </row>
    <row r="8231" spans="1:14" ht="12.75" customHeight="1" x14ac:dyDescent="0.2">
      <c r="A8231" s="403" t="s">
        <v>1336</v>
      </c>
      <c r="B8231" s="271"/>
      <c r="C8231" s="271"/>
      <c r="D8231" s="271"/>
      <c r="E8231" s="271"/>
      <c r="F8231" s="271"/>
      <c r="G8231" s="273"/>
      <c r="H8231" s="29" t="str">
        <f t="shared" ref="H8231:H8236" si="1122">IF(A8231="","",VLOOKUP(A8231,AA_Materiales,7,FALSE))</f>
        <v>Unidad</v>
      </c>
      <c r="I8231" s="394">
        <f t="shared" ref="I8231:I8236" si="1123">IF(A8231="","",VLOOKUP(A8231,AA_Materiales,8,FALSE))</f>
        <v>238499.42202499998</v>
      </c>
      <c r="J8231" s="273"/>
      <c r="K8231" s="395">
        <v>0.15</v>
      </c>
      <c r="L8231" s="273"/>
      <c r="M8231" s="394">
        <f t="shared" ref="M8231:M8236" si="1124">IF(A8231="","",I8231*K8231)</f>
        <v>35774.913303749992</v>
      </c>
      <c r="N8231" s="273"/>
    </row>
    <row r="8232" spans="1:14" ht="12.75" customHeight="1" x14ac:dyDescent="0.2">
      <c r="A8232" s="403"/>
      <c r="B8232" s="271"/>
      <c r="C8232" s="271"/>
      <c r="D8232" s="271"/>
      <c r="E8232" s="271"/>
      <c r="F8232" s="271"/>
      <c r="G8232" s="273"/>
      <c r="H8232" s="29" t="str">
        <f t="shared" si="1122"/>
        <v/>
      </c>
      <c r="I8232" s="394" t="str">
        <f t="shared" si="1123"/>
        <v/>
      </c>
      <c r="J8232" s="273"/>
      <c r="K8232" s="395"/>
      <c r="L8232" s="273"/>
      <c r="M8232" s="394" t="str">
        <f t="shared" si="1124"/>
        <v/>
      </c>
      <c r="N8232" s="273"/>
    </row>
    <row r="8233" spans="1:14" ht="12.75" customHeight="1" x14ac:dyDescent="0.2">
      <c r="A8233" s="403"/>
      <c r="B8233" s="271"/>
      <c r="C8233" s="271"/>
      <c r="D8233" s="271"/>
      <c r="E8233" s="271"/>
      <c r="F8233" s="271"/>
      <c r="G8233" s="273"/>
      <c r="H8233" s="29" t="str">
        <f t="shared" si="1122"/>
        <v/>
      </c>
      <c r="I8233" s="394" t="str">
        <f t="shared" si="1123"/>
        <v/>
      </c>
      <c r="J8233" s="273"/>
      <c r="K8233" s="395"/>
      <c r="L8233" s="273"/>
      <c r="M8233" s="394" t="str">
        <f t="shared" si="1124"/>
        <v/>
      </c>
      <c r="N8233" s="273"/>
    </row>
    <row r="8234" spans="1:14" ht="12.75" customHeight="1" x14ac:dyDescent="0.2">
      <c r="A8234" s="403"/>
      <c r="B8234" s="271"/>
      <c r="C8234" s="271"/>
      <c r="D8234" s="271"/>
      <c r="E8234" s="271"/>
      <c r="F8234" s="271"/>
      <c r="G8234" s="273"/>
      <c r="H8234" s="29" t="str">
        <f t="shared" si="1122"/>
        <v/>
      </c>
      <c r="I8234" s="394" t="str">
        <f t="shared" si="1123"/>
        <v/>
      </c>
      <c r="J8234" s="273"/>
      <c r="K8234" s="395"/>
      <c r="L8234" s="273"/>
      <c r="M8234" s="394" t="str">
        <f t="shared" si="1124"/>
        <v/>
      </c>
      <c r="N8234" s="273"/>
    </row>
    <row r="8235" spans="1:14" ht="12.75" customHeight="1" x14ac:dyDescent="0.2">
      <c r="A8235" s="403"/>
      <c r="B8235" s="271"/>
      <c r="C8235" s="271"/>
      <c r="D8235" s="271"/>
      <c r="E8235" s="271"/>
      <c r="F8235" s="271"/>
      <c r="G8235" s="273"/>
      <c r="H8235" s="29" t="str">
        <f t="shared" si="1122"/>
        <v/>
      </c>
      <c r="I8235" s="394" t="str">
        <f t="shared" si="1123"/>
        <v/>
      </c>
      <c r="J8235" s="273"/>
      <c r="K8235" s="395"/>
      <c r="L8235" s="273"/>
      <c r="M8235" s="394" t="str">
        <f t="shared" si="1124"/>
        <v/>
      </c>
      <c r="N8235" s="273"/>
    </row>
    <row r="8236" spans="1:14" ht="12.75" customHeight="1" x14ac:dyDescent="0.2">
      <c r="A8236" s="403"/>
      <c r="B8236" s="271"/>
      <c r="C8236" s="271"/>
      <c r="D8236" s="271"/>
      <c r="E8236" s="271"/>
      <c r="F8236" s="271"/>
      <c r="G8236" s="273"/>
      <c r="H8236" s="29" t="str">
        <f t="shared" si="1122"/>
        <v/>
      </c>
      <c r="I8236" s="394" t="str">
        <f t="shared" si="1123"/>
        <v/>
      </c>
      <c r="J8236" s="273"/>
      <c r="K8236" s="395"/>
      <c r="L8236" s="273"/>
      <c r="M8236" s="394" t="str">
        <f t="shared" si="1124"/>
        <v/>
      </c>
      <c r="N8236" s="273"/>
    </row>
    <row r="8237" spans="1:14" ht="12.75" customHeight="1" x14ac:dyDescent="0.25">
      <c r="A8237" s="4"/>
      <c r="B8237" s="4"/>
      <c r="C8237" s="4"/>
      <c r="D8237" s="4"/>
      <c r="E8237" s="4"/>
      <c r="F8237" s="4"/>
      <c r="G8237" s="4"/>
      <c r="H8237" s="4"/>
      <c r="I8237" s="4"/>
      <c r="J8237" s="4"/>
      <c r="K8237" s="396" t="s">
        <v>444</v>
      </c>
      <c r="L8237" s="273"/>
      <c r="M8237" s="394">
        <f>SUM(M8231:N8236)</f>
        <v>35774.913303749992</v>
      </c>
      <c r="N8237" s="273"/>
    </row>
    <row r="8238" spans="1:14" ht="12.75" customHeight="1" x14ac:dyDescent="0.25">
      <c r="A8238" s="4"/>
      <c r="B8238" s="4"/>
      <c r="C8238" s="4"/>
      <c r="D8238" s="4"/>
      <c r="E8238" s="4"/>
      <c r="F8238" s="4"/>
      <c r="G8238" s="4"/>
      <c r="H8238" s="4"/>
      <c r="I8238" s="4"/>
      <c r="J8238" s="4"/>
      <c r="K8238" s="4"/>
      <c r="L8238" s="4"/>
      <c r="M8238" s="4"/>
      <c r="N8238" s="4"/>
    </row>
    <row r="8239" spans="1:14" ht="12.75" customHeight="1" x14ac:dyDescent="0.2">
      <c r="A8239" s="398" t="s">
        <v>926</v>
      </c>
      <c r="B8239" s="271"/>
      <c r="C8239" s="271"/>
      <c r="D8239" s="271"/>
      <c r="E8239" s="271"/>
      <c r="F8239" s="271"/>
      <c r="G8239" s="271"/>
      <c r="H8239" s="271"/>
      <c r="I8239" s="271"/>
      <c r="J8239" s="271"/>
      <c r="K8239" s="271"/>
      <c r="L8239" s="271"/>
      <c r="M8239" s="271"/>
      <c r="N8239" s="273"/>
    </row>
    <row r="8240" spans="1:14" ht="12.75" customHeight="1" x14ac:dyDescent="0.2">
      <c r="A8240" s="396" t="s">
        <v>76</v>
      </c>
      <c r="B8240" s="271"/>
      <c r="C8240" s="271"/>
      <c r="D8240" s="271"/>
      <c r="E8240" s="271"/>
      <c r="F8240" s="271"/>
      <c r="G8240" s="273"/>
      <c r="H8240" s="88" t="s">
        <v>77</v>
      </c>
      <c r="I8240" s="399" t="s">
        <v>920</v>
      </c>
      <c r="J8240" s="273"/>
      <c r="K8240" s="399" t="s">
        <v>453</v>
      </c>
      <c r="L8240" s="273"/>
      <c r="M8240" s="399" t="s">
        <v>921</v>
      </c>
      <c r="N8240" s="273"/>
    </row>
    <row r="8241" spans="1:14" ht="12.75" customHeight="1" x14ac:dyDescent="0.2">
      <c r="A8241" s="400" t="s">
        <v>927</v>
      </c>
      <c r="B8241" s="271"/>
      <c r="C8241" s="271"/>
      <c r="D8241" s="271"/>
      <c r="E8241" s="271"/>
      <c r="F8241" s="271"/>
      <c r="G8241" s="273"/>
      <c r="H8241" s="29" t="str">
        <f>IF(A8241="","",VLOOKUP(A8241,AA_Equipos,7,FALSE))</f>
        <v>% M.O.</v>
      </c>
      <c r="I8241" s="394">
        <f>+M8264</f>
        <v>87778.61</v>
      </c>
      <c r="J8241" s="273"/>
      <c r="K8241" s="404">
        <v>0.05</v>
      </c>
      <c r="L8241" s="273"/>
      <c r="M8241" s="394">
        <f t="shared" ref="M8241:M8245" si="1125">IF(A8241="","",I8241*K8241)</f>
        <v>4388.9305000000004</v>
      </c>
      <c r="N8241" s="273"/>
    </row>
    <row r="8242" spans="1:14" ht="12.75" customHeight="1" x14ac:dyDescent="0.2">
      <c r="A8242" s="403"/>
      <c r="B8242" s="271"/>
      <c r="C8242" s="271"/>
      <c r="D8242" s="271"/>
      <c r="E8242" s="271"/>
      <c r="F8242" s="271"/>
      <c r="G8242" s="273"/>
      <c r="H8242" s="29" t="str">
        <f>IF(A8242="","",VLOOKUP(A8242,AA_Equipos,7,FALSE))</f>
        <v/>
      </c>
      <c r="I8242" s="394" t="str">
        <f>IF(A8242="","",VLOOKUP(A8242,AA_Equipos,8,FALSE))</f>
        <v/>
      </c>
      <c r="J8242" s="273"/>
      <c r="K8242" s="402"/>
      <c r="L8242" s="273"/>
      <c r="M8242" s="394" t="str">
        <f t="shared" si="1125"/>
        <v/>
      </c>
      <c r="N8242" s="273"/>
    </row>
    <row r="8243" spans="1:14" ht="12.75" customHeight="1" x14ac:dyDescent="0.2">
      <c r="A8243" s="400"/>
      <c r="B8243" s="271"/>
      <c r="C8243" s="271"/>
      <c r="D8243" s="271"/>
      <c r="E8243" s="271"/>
      <c r="F8243" s="271"/>
      <c r="G8243" s="273"/>
      <c r="H8243" s="29" t="str">
        <f>IF(A8243="","",VLOOKUP(A8243,AA_Equipos,7,FALSE))</f>
        <v/>
      </c>
      <c r="I8243" s="394" t="str">
        <f>IF(A8243="","",VLOOKUP(A8243,AA_Equipos,8,FALSE))</f>
        <v/>
      </c>
      <c r="J8243" s="273"/>
      <c r="K8243" s="401"/>
      <c r="L8243" s="273"/>
      <c r="M8243" s="394" t="str">
        <f t="shared" si="1125"/>
        <v/>
      </c>
      <c r="N8243" s="273"/>
    </row>
    <row r="8244" spans="1:14" ht="12.75" customHeight="1" x14ac:dyDescent="0.2">
      <c r="A8244" s="400"/>
      <c r="B8244" s="271"/>
      <c r="C8244" s="271"/>
      <c r="D8244" s="271"/>
      <c r="E8244" s="271"/>
      <c r="F8244" s="271"/>
      <c r="G8244" s="273"/>
      <c r="H8244" s="29" t="str">
        <f>IF(A8244="","",VLOOKUP(A8244,AA_Equipos,7,FALSE))</f>
        <v/>
      </c>
      <c r="I8244" s="394" t="str">
        <f>IF(A8244="","",VLOOKUP(A8244,AA_Equipos,8,FALSE))</f>
        <v/>
      </c>
      <c r="J8244" s="273"/>
      <c r="K8244" s="395"/>
      <c r="L8244" s="273"/>
      <c r="M8244" s="394" t="str">
        <f t="shared" si="1125"/>
        <v/>
      </c>
      <c r="N8244" s="273"/>
    </row>
    <row r="8245" spans="1:14" ht="12.75" customHeight="1" x14ac:dyDescent="0.2">
      <c r="A8245" s="400"/>
      <c r="B8245" s="271"/>
      <c r="C8245" s="271"/>
      <c r="D8245" s="271"/>
      <c r="E8245" s="271"/>
      <c r="F8245" s="271"/>
      <c r="G8245" s="273"/>
      <c r="H8245" s="29" t="str">
        <f>IF(A8245="","",VLOOKUP(A8245,AA_Equipos,7,FALSE))</f>
        <v/>
      </c>
      <c r="I8245" s="394" t="str">
        <f>IF(A8245="","",VLOOKUP(A8245,AA_Equipos,8,FALSE))</f>
        <v/>
      </c>
      <c r="J8245" s="273"/>
      <c r="K8245" s="395"/>
      <c r="L8245" s="273"/>
      <c r="M8245" s="394" t="str">
        <f t="shared" si="1125"/>
        <v/>
      </c>
      <c r="N8245" s="273"/>
    </row>
    <row r="8246" spans="1:14" ht="12.75" customHeight="1" x14ac:dyDescent="0.25">
      <c r="A8246" s="4"/>
      <c r="B8246" s="4"/>
      <c r="C8246" s="4"/>
      <c r="D8246" s="4"/>
      <c r="E8246" s="4"/>
      <c r="F8246" s="4"/>
      <c r="G8246" s="4"/>
      <c r="H8246" s="4"/>
      <c r="I8246" s="4"/>
      <c r="J8246" s="4"/>
      <c r="K8246" s="396" t="s">
        <v>444</v>
      </c>
      <c r="L8246" s="273"/>
      <c r="M8246" s="394">
        <f>SUM(M8241:N8245)</f>
        <v>4388.9305000000004</v>
      </c>
      <c r="N8246" s="273"/>
    </row>
    <row r="8247" spans="1:14" ht="12.75" customHeight="1" x14ac:dyDescent="0.25">
      <c r="A8247" s="4"/>
      <c r="B8247" s="4"/>
      <c r="C8247" s="4"/>
      <c r="D8247" s="4"/>
      <c r="E8247" s="4"/>
      <c r="F8247" s="4"/>
      <c r="G8247" s="4"/>
      <c r="H8247" s="4"/>
      <c r="I8247" s="4"/>
      <c r="J8247" s="4"/>
      <c r="K8247" s="4"/>
      <c r="L8247" s="4"/>
      <c r="M8247" s="4"/>
      <c r="N8247" s="4"/>
    </row>
    <row r="8248" spans="1:14" ht="12.75" customHeight="1" x14ac:dyDescent="0.2">
      <c r="A8248" s="398" t="s">
        <v>929</v>
      </c>
      <c r="B8248" s="271"/>
      <c r="C8248" s="271"/>
      <c r="D8248" s="271"/>
      <c r="E8248" s="271"/>
      <c r="F8248" s="271"/>
      <c r="G8248" s="271"/>
      <c r="H8248" s="271"/>
      <c r="I8248" s="271"/>
      <c r="J8248" s="271"/>
      <c r="K8248" s="271"/>
      <c r="L8248" s="271"/>
      <c r="M8248" s="271"/>
      <c r="N8248" s="273"/>
    </row>
    <row r="8249" spans="1:14" ht="12.75" customHeight="1" x14ac:dyDescent="0.2">
      <c r="A8249" s="396" t="s">
        <v>76</v>
      </c>
      <c r="B8249" s="271"/>
      <c r="C8249" s="271"/>
      <c r="D8249" s="271"/>
      <c r="E8249" s="271"/>
      <c r="F8249" s="271"/>
      <c r="G8249" s="273"/>
      <c r="H8249" s="88" t="s">
        <v>77</v>
      </c>
      <c r="I8249" s="399" t="s">
        <v>920</v>
      </c>
      <c r="J8249" s="273"/>
      <c r="K8249" s="399" t="s">
        <v>453</v>
      </c>
      <c r="L8249" s="273"/>
      <c r="M8249" s="399" t="s">
        <v>921</v>
      </c>
      <c r="N8249" s="273"/>
    </row>
    <row r="8250" spans="1:14" ht="12.75" customHeight="1" x14ac:dyDescent="0.2">
      <c r="A8250" s="400" t="s">
        <v>966</v>
      </c>
      <c r="B8250" s="271"/>
      <c r="C8250" s="271"/>
      <c r="D8250" s="271"/>
      <c r="E8250" s="271"/>
      <c r="F8250" s="271"/>
      <c r="G8250" s="273"/>
      <c r="H8250" s="29" t="s">
        <v>950</v>
      </c>
      <c r="I8250" s="394">
        <f>+M8237</f>
        <v>35774.913303749992</v>
      </c>
      <c r="J8250" s="273"/>
      <c r="K8250" s="404">
        <v>0.05</v>
      </c>
      <c r="L8250" s="273"/>
      <c r="M8250" s="394">
        <f t="shared" ref="M8250:M8254" si="1126">IF(A8250="","",I8250*K8250)</f>
        <v>1788.7456651874998</v>
      </c>
      <c r="N8250" s="273"/>
    </row>
    <row r="8251" spans="1:14" ht="12.75" customHeight="1" x14ac:dyDescent="0.2">
      <c r="A8251" s="403"/>
      <c r="B8251" s="271"/>
      <c r="C8251" s="271"/>
      <c r="D8251" s="271"/>
      <c r="E8251" s="271"/>
      <c r="F8251" s="271"/>
      <c r="G8251" s="273"/>
      <c r="H8251" s="29"/>
      <c r="I8251" s="394"/>
      <c r="J8251" s="273"/>
      <c r="K8251" s="404"/>
      <c r="L8251" s="273"/>
      <c r="M8251" s="394" t="str">
        <f t="shared" si="1126"/>
        <v/>
      </c>
      <c r="N8251" s="273"/>
    </row>
    <row r="8252" spans="1:14" ht="12.75" customHeight="1" x14ac:dyDescent="0.2">
      <c r="A8252" s="400"/>
      <c r="B8252" s="271"/>
      <c r="C8252" s="271"/>
      <c r="D8252" s="271"/>
      <c r="E8252" s="271"/>
      <c r="F8252" s="271"/>
      <c r="G8252" s="273"/>
      <c r="H8252" s="29"/>
      <c r="I8252" s="394"/>
      <c r="J8252" s="273"/>
      <c r="K8252" s="395"/>
      <c r="L8252" s="273"/>
      <c r="M8252" s="394" t="str">
        <f t="shared" si="1126"/>
        <v/>
      </c>
      <c r="N8252" s="273"/>
    </row>
    <row r="8253" spans="1:14" ht="12.75" customHeight="1" x14ac:dyDescent="0.2">
      <c r="A8253" s="400"/>
      <c r="B8253" s="271"/>
      <c r="C8253" s="271"/>
      <c r="D8253" s="271"/>
      <c r="E8253" s="271"/>
      <c r="F8253" s="271"/>
      <c r="G8253" s="273"/>
      <c r="H8253" s="29"/>
      <c r="I8253" s="394"/>
      <c r="J8253" s="273"/>
      <c r="K8253" s="395"/>
      <c r="L8253" s="273"/>
      <c r="M8253" s="394" t="str">
        <f t="shared" si="1126"/>
        <v/>
      </c>
      <c r="N8253" s="273"/>
    </row>
    <row r="8254" spans="1:14" ht="12.75" customHeight="1" x14ac:dyDescent="0.2">
      <c r="A8254" s="400"/>
      <c r="B8254" s="271"/>
      <c r="C8254" s="271"/>
      <c r="D8254" s="271"/>
      <c r="E8254" s="271"/>
      <c r="F8254" s="271"/>
      <c r="G8254" s="273"/>
      <c r="H8254" s="29"/>
      <c r="I8254" s="394"/>
      <c r="J8254" s="273"/>
      <c r="K8254" s="395"/>
      <c r="L8254" s="273"/>
      <c r="M8254" s="394" t="str">
        <f t="shared" si="1126"/>
        <v/>
      </c>
      <c r="N8254" s="273"/>
    </row>
    <row r="8255" spans="1:14" ht="12.75" customHeight="1" x14ac:dyDescent="0.25">
      <c r="A8255" s="4"/>
      <c r="B8255" s="4"/>
      <c r="C8255" s="4"/>
      <c r="D8255" s="4"/>
      <c r="E8255" s="4"/>
      <c r="F8255" s="4"/>
      <c r="G8255" s="4"/>
      <c r="H8255" s="4"/>
      <c r="I8255" s="4"/>
      <c r="J8255" s="4"/>
      <c r="K8255" s="396" t="s">
        <v>444</v>
      </c>
      <c r="L8255" s="273"/>
      <c r="M8255" s="394">
        <f>SUM(M8250:N8254)</f>
        <v>1788.7456651874998</v>
      </c>
      <c r="N8255" s="273"/>
    </row>
    <row r="8256" spans="1:14" ht="12.75" customHeight="1" x14ac:dyDescent="0.25">
      <c r="A8256" s="4"/>
      <c r="B8256" s="4"/>
      <c r="C8256" s="4"/>
      <c r="D8256" s="4"/>
      <c r="E8256" s="4"/>
      <c r="F8256" s="4"/>
      <c r="G8256" s="4"/>
      <c r="H8256" s="4"/>
      <c r="I8256" s="4"/>
      <c r="J8256" s="4"/>
      <c r="K8256" s="4"/>
      <c r="L8256" s="4"/>
      <c r="M8256" s="4"/>
      <c r="N8256" s="4"/>
    </row>
    <row r="8257" spans="1:15" ht="12.75" customHeight="1" x14ac:dyDescent="0.2">
      <c r="A8257" s="398" t="s">
        <v>931</v>
      </c>
      <c r="B8257" s="271"/>
      <c r="C8257" s="271"/>
      <c r="D8257" s="271"/>
      <c r="E8257" s="271"/>
      <c r="F8257" s="271"/>
      <c r="G8257" s="271"/>
      <c r="H8257" s="271"/>
      <c r="I8257" s="271"/>
      <c r="J8257" s="271"/>
      <c r="K8257" s="271"/>
      <c r="L8257" s="271"/>
      <c r="M8257" s="271"/>
      <c r="N8257" s="273"/>
    </row>
    <row r="8258" spans="1:15" ht="12.75" customHeight="1" x14ac:dyDescent="0.2">
      <c r="A8258" s="396" t="s">
        <v>76</v>
      </c>
      <c r="B8258" s="271"/>
      <c r="C8258" s="271"/>
      <c r="D8258" s="271"/>
      <c r="E8258" s="271"/>
      <c r="F8258" s="271"/>
      <c r="G8258" s="273"/>
      <c r="H8258" s="88" t="s">
        <v>77</v>
      </c>
      <c r="I8258" s="399" t="s">
        <v>920</v>
      </c>
      <c r="J8258" s="273"/>
      <c r="K8258" s="90" t="s">
        <v>514</v>
      </c>
      <c r="L8258" s="91" t="s">
        <v>932</v>
      </c>
      <c r="M8258" s="399" t="s">
        <v>921</v>
      </c>
      <c r="N8258" s="273"/>
    </row>
    <row r="8259" spans="1:15" ht="12.75" customHeight="1" x14ac:dyDescent="0.25">
      <c r="A8259" s="393" t="s">
        <v>986</v>
      </c>
      <c r="B8259" s="271"/>
      <c r="C8259" s="271"/>
      <c r="D8259" s="271"/>
      <c r="E8259" s="271"/>
      <c r="F8259" s="271"/>
      <c r="G8259" s="273"/>
      <c r="H8259" s="29" t="str">
        <f>IF(A8259="","",VLOOKUP(A8259,AA_Cuadrillas,4,FALSE))</f>
        <v>Cuadrilla</v>
      </c>
      <c r="I8259" s="394">
        <f>IF(A8259="","",VLOOKUP(A8259,AA_Cuadrillas,5,FALSE))</f>
        <v>186763</v>
      </c>
      <c r="J8259" s="273"/>
      <c r="K8259" s="9">
        <f>IF(A8259="","",F.P!$I$2)</f>
        <v>1.88</v>
      </c>
      <c r="L8259" s="97">
        <v>0.25</v>
      </c>
      <c r="M8259" s="394">
        <f t="shared" ref="M8259:M8263" si="1127">IF(A8259="","",I8259*K8259*L8259)</f>
        <v>87778.61</v>
      </c>
      <c r="N8259" s="273"/>
    </row>
    <row r="8260" spans="1:15" ht="12.75" customHeight="1" x14ac:dyDescent="0.25">
      <c r="A8260" s="393"/>
      <c r="B8260" s="271"/>
      <c r="C8260" s="271"/>
      <c r="D8260" s="271"/>
      <c r="E8260" s="271"/>
      <c r="F8260" s="271"/>
      <c r="G8260" s="273"/>
      <c r="H8260" s="29" t="str">
        <f>IF(A8260="","",VLOOKUP(A8260,AA_Cuadrillas,4,FALSE))</f>
        <v/>
      </c>
      <c r="I8260" s="394" t="str">
        <f>IF(A8260="","",VLOOKUP(A8260,AA_Cuadrillas,5,FALSE))</f>
        <v/>
      </c>
      <c r="J8260" s="273"/>
      <c r="K8260" s="9" t="str">
        <f>IF(A8260="","",F.P!$I$2)</f>
        <v/>
      </c>
      <c r="L8260" s="9"/>
      <c r="M8260" s="394" t="str">
        <f t="shared" si="1127"/>
        <v/>
      </c>
      <c r="N8260" s="273"/>
    </row>
    <row r="8261" spans="1:15" ht="12.75" customHeight="1" x14ac:dyDescent="0.25">
      <c r="A8261" s="393"/>
      <c r="B8261" s="271"/>
      <c r="C8261" s="271"/>
      <c r="D8261" s="271"/>
      <c r="E8261" s="271"/>
      <c r="F8261" s="271"/>
      <c r="G8261" s="273"/>
      <c r="H8261" s="29" t="str">
        <f>IF(A8261="","",VLOOKUP(A8261,AA_Cuadrillas,4,FALSE))</f>
        <v/>
      </c>
      <c r="I8261" s="394" t="str">
        <f>IF(A8261="","",VLOOKUP(A8261,AA_Cuadrillas,5,FALSE))</f>
        <v/>
      </c>
      <c r="J8261" s="273"/>
      <c r="K8261" s="9" t="str">
        <f>IF(A8261="","",F.P!$I$2)</f>
        <v/>
      </c>
      <c r="L8261" s="37"/>
      <c r="M8261" s="394" t="str">
        <f t="shared" si="1127"/>
        <v/>
      </c>
      <c r="N8261" s="273"/>
    </row>
    <row r="8262" spans="1:15" ht="12.75" customHeight="1" x14ac:dyDescent="0.25">
      <c r="A8262" s="393"/>
      <c r="B8262" s="271"/>
      <c r="C8262" s="271"/>
      <c r="D8262" s="271"/>
      <c r="E8262" s="271"/>
      <c r="F8262" s="271"/>
      <c r="G8262" s="273"/>
      <c r="H8262" s="29" t="str">
        <f>IF(A8262="","",VLOOKUP(A8262,AA_Cuadrillas,4,FALSE))</f>
        <v/>
      </c>
      <c r="I8262" s="394" t="str">
        <f>IF(A8262="","",VLOOKUP(A8262,AA_Cuadrillas,5,FALSE))</f>
        <v/>
      </c>
      <c r="J8262" s="273"/>
      <c r="K8262" s="9" t="str">
        <f>IF(A8262="","",F.P!$I$2)</f>
        <v/>
      </c>
      <c r="L8262" s="37"/>
      <c r="M8262" s="394" t="str">
        <f t="shared" si="1127"/>
        <v/>
      </c>
      <c r="N8262" s="273"/>
    </row>
    <row r="8263" spans="1:15" ht="12.75" customHeight="1" x14ac:dyDescent="0.25">
      <c r="A8263" s="393"/>
      <c r="B8263" s="271"/>
      <c r="C8263" s="271"/>
      <c r="D8263" s="271"/>
      <c r="E8263" s="271"/>
      <c r="F8263" s="271"/>
      <c r="G8263" s="273"/>
      <c r="H8263" s="29" t="str">
        <f>IF(A8263="","",VLOOKUP(A8263,AA_Cuadrillas,4,FALSE))</f>
        <v/>
      </c>
      <c r="I8263" s="394" t="str">
        <f>IF(A8263="","",VLOOKUP(A8263,AA_Cuadrillas,5,FALSE))</f>
        <v/>
      </c>
      <c r="J8263" s="273"/>
      <c r="K8263" s="9" t="str">
        <f>IF(A8263="","",F.P!$I$2)</f>
        <v/>
      </c>
      <c r="L8263" s="37"/>
      <c r="M8263" s="394" t="str">
        <f t="shared" si="1127"/>
        <v/>
      </c>
      <c r="N8263" s="273"/>
    </row>
    <row r="8264" spans="1:15" ht="12.75" customHeight="1" x14ac:dyDescent="0.25">
      <c r="A8264" s="4"/>
      <c r="B8264" s="4"/>
      <c r="C8264" s="4"/>
      <c r="D8264" s="4"/>
      <c r="E8264" s="4"/>
      <c r="F8264" s="4"/>
      <c r="G8264" s="4"/>
      <c r="H8264" s="4"/>
      <c r="I8264" s="4"/>
      <c r="J8264" s="4"/>
      <c r="K8264" s="396" t="s">
        <v>444</v>
      </c>
      <c r="L8264" s="273"/>
      <c r="M8264" s="394">
        <f>SUM(M8259:N8263)</f>
        <v>87778.61</v>
      </c>
      <c r="N8264" s="273"/>
    </row>
    <row r="8265" spans="1:15" ht="12.75" customHeight="1" x14ac:dyDescent="0.25">
      <c r="A8265" s="4"/>
      <c r="B8265" s="4"/>
      <c r="C8265" s="4"/>
      <c r="D8265" s="4"/>
      <c r="E8265" s="4"/>
      <c r="F8265" s="4"/>
      <c r="G8265" s="4"/>
      <c r="H8265" s="4"/>
      <c r="I8265" s="4"/>
      <c r="J8265" s="4"/>
      <c r="K8265" s="98"/>
      <c r="L8265" s="99"/>
      <c r="M8265" s="89"/>
      <c r="N8265" s="96"/>
    </row>
    <row r="8266" spans="1:15" ht="12.75" customHeight="1" x14ac:dyDescent="0.2">
      <c r="A8266" s="407" t="s">
        <v>1367</v>
      </c>
      <c r="B8266" s="275"/>
      <c r="C8266" s="275"/>
      <c r="D8266" s="275"/>
      <c r="E8266" s="275"/>
      <c r="F8266" s="275"/>
      <c r="G8266" s="275"/>
      <c r="H8266" s="275"/>
      <c r="I8266" s="275"/>
      <c r="J8266" s="275"/>
      <c r="K8266" s="275"/>
      <c r="L8266" s="275"/>
      <c r="M8266" s="275"/>
      <c r="N8266" s="276"/>
      <c r="O8266" s="166"/>
    </row>
    <row r="8267" spans="1:15" ht="12.75" customHeight="1" x14ac:dyDescent="0.2">
      <c r="A8267" s="277"/>
      <c r="B8267" s="278"/>
      <c r="C8267" s="278"/>
      <c r="D8267" s="278"/>
      <c r="E8267" s="278"/>
      <c r="F8267" s="278"/>
      <c r="G8267" s="278"/>
      <c r="H8267" s="278"/>
      <c r="I8267" s="278"/>
      <c r="J8267" s="278"/>
      <c r="K8267" s="278"/>
      <c r="L8267" s="278"/>
      <c r="M8267" s="278"/>
      <c r="N8267" s="279"/>
      <c r="O8267" s="166"/>
    </row>
    <row r="8268" spans="1:15" ht="12.75" customHeight="1" x14ac:dyDescent="0.2">
      <c r="A8268" s="75"/>
      <c r="B8268" s="75"/>
      <c r="C8268" s="75"/>
      <c r="D8268" s="75"/>
      <c r="E8268" s="75"/>
      <c r="F8268" s="75"/>
      <c r="G8268" s="75"/>
      <c r="H8268" s="75"/>
      <c r="I8268" s="75"/>
      <c r="J8268" s="75"/>
      <c r="K8268" s="75"/>
      <c r="L8268" s="75"/>
      <c r="M8268" s="75"/>
      <c r="N8268" s="75"/>
    </row>
    <row r="8269" spans="1:15" ht="12.75" customHeight="1" x14ac:dyDescent="0.3">
      <c r="A8269" s="79" t="s">
        <v>795</v>
      </c>
      <c r="B8269" s="80" t="str">
        <f>A8266</f>
        <v>SUMINISTRO E INSTALACIÓN DE APOYO EN NEOPRENO 35CM X 45CM X 5CM DUREZA 60</v>
      </c>
      <c r="C8269" s="81" t="s">
        <v>916</v>
      </c>
      <c r="D8269" s="82" t="s">
        <v>999</v>
      </c>
      <c r="E8269" s="83" t="s">
        <v>445</v>
      </c>
      <c r="F8269" s="86">
        <f>H8269+J8269+L8269+N8269</f>
        <v>289509.73813000001</v>
      </c>
      <c r="G8269" s="83" t="s">
        <v>607</v>
      </c>
      <c r="H8269" s="86">
        <f>M8279</f>
        <v>227330.4</v>
      </c>
      <c r="I8269" s="83" t="s">
        <v>918</v>
      </c>
      <c r="J8269" s="86">
        <f>M8288</f>
        <v>2413.9106000000002</v>
      </c>
      <c r="K8269" s="83" t="s">
        <v>609</v>
      </c>
      <c r="L8269" s="86">
        <f>M8297</f>
        <v>11487.215530000001</v>
      </c>
      <c r="M8269" s="83" t="s">
        <v>610</v>
      </c>
      <c r="N8269" s="86">
        <f>M8306</f>
        <v>48278.212</v>
      </c>
    </row>
    <row r="8270" spans="1:15" ht="12.75" customHeight="1" x14ac:dyDescent="0.25">
      <c r="A8270" s="87"/>
      <c r="B8270" s="87"/>
      <c r="C8270" s="87"/>
      <c r="D8270" s="87"/>
      <c r="E8270" s="87"/>
      <c r="F8270" s="87"/>
      <c r="G8270" s="87"/>
      <c r="J8270" s="87"/>
      <c r="K8270" s="215" t="s">
        <v>3217</v>
      </c>
      <c r="L8270" s="215">
        <f>+F8269*presup!$O$5</f>
        <v>376362.65956900001</v>
      </c>
      <c r="M8270" s="87"/>
      <c r="N8270" s="87"/>
    </row>
    <row r="8271" spans="1:15" ht="12.75" customHeight="1" x14ac:dyDescent="0.2">
      <c r="A8271" s="398" t="s">
        <v>919</v>
      </c>
      <c r="B8271" s="271"/>
      <c r="C8271" s="271"/>
      <c r="D8271" s="271"/>
      <c r="E8271" s="271"/>
      <c r="F8271" s="271"/>
      <c r="G8271" s="271"/>
      <c r="H8271" s="271"/>
      <c r="I8271" s="271"/>
      <c r="J8271" s="271"/>
      <c r="K8271" s="271"/>
      <c r="L8271" s="271"/>
      <c r="M8271" s="271"/>
      <c r="N8271" s="273"/>
    </row>
    <row r="8272" spans="1:15" ht="12.75" customHeight="1" x14ac:dyDescent="0.2">
      <c r="A8272" s="396" t="s">
        <v>76</v>
      </c>
      <c r="B8272" s="271"/>
      <c r="C8272" s="271"/>
      <c r="D8272" s="271"/>
      <c r="E8272" s="271"/>
      <c r="F8272" s="271"/>
      <c r="G8272" s="273"/>
      <c r="H8272" s="88" t="s">
        <v>77</v>
      </c>
      <c r="I8272" s="399" t="s">
        <v>920</v>
      </c>
      <c r="J8272" s="273"/>
      <c r="K8272" s="399" t="s">
        <v>453</v>
      </c>
      <c r="L8272" s="273"/>
      <c r="M8272" s="399" t="s">
        <v>921</v>
      </c>
      <c r="N8272" s="273"/>
    </row>
    <row r="8273" spans="1:14" ht="12.75" customHeight="1" x14ac:dyDescent="0.2">
      <c r="A8273" s="403" t="s">
        <v>1368</v>
      </c>
      <c r="B8273" s="271"/>
      <c r="C8273" s="271"/>
      <c r="D8273" s="271"/>
      <c r="E8273" s="271"/>
      <c r="F8273" s="271"/>
      <c r="G8273" s="273"/>
      <c r="H8273" s="29" t="str">
        <f t="shared" ref="H8273:H8278" si="1128">IF(A8273="","",VLOOKUP(A8273,AA_Materiales,7,FALSE))</f>
        <v>m3</v>
      </c>
      <c r="I8273" s="394">
        <f t="shared" ref="I8273:I8278" si="1129">IF(A8273="","",VLOOKUP(A8273,AA_Materiales,8,FALSE))</f>
        <v>27478800</v>
      </c>
      <c r="J8273" s="273"/>
      <c r="K8273" s="401">
        <v>8.0000000000000002E-3</v>
      </c>
      <c r="L8273" s="273"/>
      <c r="M8273" s="394">
        <f t="shared" ref="M8273:M8278" si="1130">IF(A8273="","",I8273*K8273)</f>
        <v>219830.39999999999</v>
      </c>
      <c r="N8273" s="273"/>
    </row>
    <row r="8274" spans="1:14" ht="12.75" customHeight="1" x14ac:dyDescent="0.2">
      <c r="A8274" s="403" t="s">
        <v>1369</v>
      </c>
      <c r="B8274" s="271"/>
      <c r="C8274" s="271"/>
      <c r="D8274" s="271"/>
      <c r="E8274" s="271"/>
      <c r="F8274" s="271"/>
      <c r="G8274" s="273"/>
      <c r="H8274" s="29" t="str">
        <f t="shared" si="1128"/>
        <v>Unidad</v>
      </c>
      <c r="I8274" s="394">
        <f t="shared" si="1129"/>
        <v>1875</v>
      </c>
      <c r="J8274" s="273"/>
      <c r="K8274" s="395">
        <v>4</v>
      </c>
      <c r="L8274" s="273"/>
      <c r="M8274" s="394">
        <f t="shared" si="1130"/>
        <v>7500</v>
      </c>
      <c r="N8274" s="273"/>
    </row>
    <row r="8275" spans="1:14" ht="12.75" customHeight="1" x14ac:dyDescent="0.2">
      <c r="A8275" s="403"/>
      <c r="B8275" s="271"/>
      <c r="C8275" s="271"/>
      <c r="D8275" s="271"/>
      <c r="E8275" s="271"/>
      <c r="F8275" s="271"/>
      <c r="G8275" s="273"/>
      <c r="H8275" s="29" t="str">
        <f t="shared" si="1128"/>
        <v/>
      </c>
      <c r="I8275" s="394" t="str">
        <f t="shared" si="1129"/>
        <v/>
      </c>
      <c r="J8275" s="273"/>
      <c r="K8275" s="395"/>
      <c r="L8275" s="273"/>
      <c r="M8275" s="394" t="str">
        <f t="shared" si="1130"/>
        <v/>
      </c>
      <c r="N8275" s="273"/>
    </row>
    <row r="8276" spans="1:14" ht="12.75" customHeight="1" x14ac:dyDescent="0.2">
      <c r="A8276" s="403"/>
      <c r="B8276" s="271"/>
      <c r="C8276" s="271"/>
      <c r="D8276" s="271"/>
      <c r="E8276" s="271"/>
      <c r="F8276" s="271"/>
      <c r="G8276" s="273"/>
      <c r="H8276" s="29" t="str">
        <f t="shared" si="1128"/>
        <v/>
      </c>
      <c r="I8276" s="394" t="str">
        <f t="shared" si="1129"/>
        <v/>
      </c>
      <c r="J8276" s="273"/>
      <c r="K8276" s="395"/>
      <c r="L8276" s="273"/>
      <c r="M8276" s="394" t="str">
        <f t="shared" si="1130"/>
        <v/>
      </c>
      <c r="N8276" s="273"/>
    </row>
    <row r="8277" spans="1:14" ht="12.75" customHeight="1" x14ac:dyDescent="0.2">
      <c r="A8277" s="403"/>
      <c r="B8277" s="271"/>
      <c r="C8277" s="271"/>
      <c r="D8277" s="271"/>
      <c r="E8277" s="271"/>
      <c r="F8277" s="271"/>
      <c r="G8277" s="273"/>
      <c r="H8277" s="29" t="str">
        <f t="shared" si="1128"/>
        <v/>
      </c>
      <c r="I8277" s="394" t="str">
        <f t="shared" si="1129"/>
        <v/>
      </c>
      <c r="J8277" s="273"/>
      <c r="K8277" s="395"/>
      <c r="L8277" s="273"/>
      <c r="M8277" s="394" t="str">
        <f t="shared" si="1130"/>
        <v/>
      </c>
      <c r="N8277" s="273"/>
    </row>
    <row r="8278" spans="1:14" ht="12.75" customHeight="1" x14ac:dyDescent="0.2">
      <c r="A8278" s="403"/>
      <c r="B8278" s="271"/>
      <c r="C8278" s="271"/>
      <c r="D8278" s="271"/>
      <c r="E8278" s="271"/>
      <c r="F8278" s="271"/>
      <c r="G8278" s="273"/>
      <c r="H8278" s="29" t="str">
        <f t="shared" si="1128"/>
        <v/>
      </c>
      <c r="I8278" s="394" t="str">
        <f t="shared" si="1129"/>
        <v/>
      </c>
      <c r="J8278" s="273"/>
      <c r="K8278" s="395"/>
      <c r="L8278" s="273"/>
      <c r="M8278" s="394" t="str">
        <f t="shared" si="1130"/>
        <v/>
      </c>
      <c r="N8278" s="273"/>
    </row>
    <row r="8279" spans="1:14" ht="12.75" customHeight="1" x14ac:dyDescent="0.25">
      <c r="A8279" s="4"/>
      <c r="B8279" s="4"/>
      <c r="C8279" s="4"/>
      <c r="D8279" s="4"/>
      <c r="E8279" s="4"/>
      <c r="F8279" s="4"/>
      <c r="G8279" s="4"/>
      <c r="H8279" s="4"/>
      <c r="I8279" s="4"/>
      <c r="J8279" s="4"/>
      <c r="K8279" s="396" t="s">
        <v>444</v>
      </c>
      <c r="L8279" s="273"/>
      <c r="M8279" s="394">
        <f>SUM(M8273:N8278)</f>
        <v>227330.4</v>
      </c>
      <c r="N8279" s="273"/>
    </row>
    <row r="8280" spans="1:14" ht="12.75" customHeight="1" x14ac:dyDescent="0.25">
      <c r="A8280" s="4"/>
      <c r="B8280" s="4"/>
      <c r="C8280" s="4"/>
      <c r="D8280" s="4"/>
      <c r="E8280" s="4"/>
      <c r="F8280" s="4"/>
      <c r="G8280" s="4"/>
      <c r="H8280" s="4"/>
      <c r="I8280" s="4"/>
      <c r="J8280" s="4"/>
      <c r="K8280" s="4"/>
      <c r="L8280" s="4"/>
      <c r="M8280" s="4"/>
      <c r="N8280" s="4"/>
    </row>
    <row r="8281" spans="1:14" ht="12.75" customHeight="1" x14ac:dyDescent="0.2">
      <c r="A8281" s="398" t="s">
        <v>926</v>
      </c>
      <c r="B8281" s="271"/>
      <c r="C8281" s="271"/>
      <c r="D8281" s="271"/>
      <c r="E8281" s="271"/>
      <c r="F8281" s="271"/>
      <c r="G8281" s="271"/>
      <c r="H8281" s="271"/>
      <c r="I8281" s="271"/>
      <c r="J8281" s="271"/>
      <c r="K8281" s="271"/>
      <c r="L8281" s="271"/>
      <c r="M8281" s="271"/>
      <c r="N8281" s="273"/>
    </row>
    <row r="8282" spans="1:14" ht="12.75" customHeight="1" x14ac:dyDescent="0.2">
      <c r="A8282" s="396" t="s">
        <v>76</v>
      </c>
      <c r="B8282" s="271"/>
      <c r="C8282" s="271"/>
      <c r="D8282" s="271"/>
      <c r="E8282" s="271"/>
      <c r="F8282" s="271"/>
      <c r="G8282" s="273"/>
      <c r="H8282" s="88" t="s">
        <v>77</v>
      </c>
      <c r="I8282" s="399" t="s">
        <v>920</v>
      </c>
      <c r="J8282" s="273"/>
      <c r="K8282" s="399" t="s">
        <v>453</v>
      </c>
      <c r="L8282" s="273"/>
      <c r="M8282" s="399" t="s">
        <v>921</v>
      </c>
      <c r="N8282" s="273"/>
    </row>
    <row r="8283" spans="1:14" ht="12.75" customHeight="1" x14ac:dyDescent="0.2">
      <c r="A8283" s="400" t="s">
        <v>927</v>
      </c>
      <c r="B8283" s="271"/>
      <c r="C8283" s="271"/>
      <c r="D8283" s="271"/>
      <c r="E8283" s="271"/>
      <c r="F8283" s="271"/>
      <c r="G8283" s="273"/>
      <c r="H8283" s="29" t="str">
        <f>IF(A8283="","",VLOOKUP(A8283,AA_Equipos,7,FALSE))</f>
        <v>% M.O.</v>
      </c>
      <c r="I8283" s="394">
        <f>+M8306</f>
        <v>48278.212</v>
      </c>
      <c r="J8283" s="273"/>
      <c r="K8283" s="404">
        <v>0.05</v>
      </c>
      <c r="L8283" s="273"/>
      <c r="M8283" s="394">
        <f t="shared" ref="M8283:M8287" si="1131">IF(A8283="","",I8283*K8283)</f>
        <v>2413.9106000000002</v>
      </c>
      <c r="N8283" s="273"/>
    </row>
    <row r="8284" spans="1:14" ht="12.75" customHeight="1" x14ac:dyDescent="0.2">
      <c r="A8284" s="403"/>
      <c r="B8284" s="271"/>
      <c r="C8284" s="271"/>
      <c r="D8284" s="271"/>
      <c r="E8284" s="271"/>
      <c r="F8284" s="271"/>
      <c r="G8284" s="273"/>
      <c r="H8284" s="29" t="str">
        <f>IF(A8284="","",VLOOKUP(A8284,AA_Equipos,7,FALSE))</f>
        <v/>
      </c>
      <c r="I8284" s="394" t="str">
        <f>IF(A8284="","",VLOOKUP(A8284,AA_Equipos,8,FALSE))</f>
        <v/>
      </c>
      <c r="J8284" s="273"/>
      <c r="K8284" s="402"/>
      <c r="L8284" s="273"/>
      <c r="M8284" s="394" t="str">
        <f t="shared" si="1131"/>
        <v/>
      </c>
      <c r="N8284" s="273"/>
    </row>
    <row r="8285" spans="1:14" ht="12.75" customHeight="1" x14ac:dyDescent="0.2">
      <c r="A8285" s="400"/>
      <c r="B8285" s="271"/>
      <c r="C8285" s="271"/>
      <c r="D8285" s="271"/>
      <c r="E8285" s="271"/>
      <c r="F8285" s="271"/>
      <c r="G8285" s="273"/>
      <c r="H8285" s="29" t="str">
        <f>IF(A8285="","",VLOOKUP(A8285,AA_Equipos,7,FALSE))</f>
        <v/>
      </c>
      <c r="I8285" s="394" t="str">
        <f>IF(A8285="","",VLOOKUP(A8285,AA_Equipos,8,FALSE))</f>
        <v/>
      </c>
      <c r="J8285" s="273"/>
      <c r="K8285" s="401"/>
      <c r="L8285" s="273"/>
      <c r="M8285" s="394" t="str">
        <f t="shared" si="1131"/>
        <v/>
      </c>
      <c r="N8285" s="273"/>
    </row>
    <row r="8286" spans="1:14" ht="12.75" customHeight="1" x14ac:dyDescent="0.2">
      <c r="A8286" s="400"/>
      <c r="B8286" s="271"/>
      <c r="C8286" s="271"/>
      <c r="D8286" s="271"/>
      <c r="E8286" s="271"/>
      <c r="F8286" s="271"/>
      <c r="G8286" s="273"/>
      <c r="H8286" s="29" t="str">
        <f>IF(A8286="","",VLOOKUP(A8286,AA_Equipos,7,FALSE))</f>
        <v/>
      </c>
      <c r="I8286" s="394" t="str">
        <f>IF(A8286="","",VLOOKUP(A8286,AA_Equipos,8,FALSE))</f>
        <v/>
      </c>
      <c r="J8286" s="273"/>
      <c r="K8286" s="395"/>
      <c r="L8286" s="273"/>
      <c r="M8286" s="394" t="str">
        <f t="shared" si="1131"/>
        <v/>
      </c>
      <c r="N8286" s="273"/>
    </row>
    <row r="8287" spans="1:14" ht="12.75" customHeight="1" x14ac:dyDescent="0.2">
      <c r="A8287" s="400"/>
      <c r="B8287" s="271"/>
      <c r="C8287" s="271"/>
      <c r="D8287" s="271"/>
      <c r="E8287" s="271"/>
      <c r="F8287" s="271"/>
      <c r="G8287" s="273"/>
      <c r="H8287" s="29" t="str">
        <f>IF(A8287="","",VLOOKUP(A8287,AA_Equipos,7,FALSE))</f>
        <v/>
      </c>
      <c r="I8287" s="394" t="str">
        <f>IF(A8287="","",VLOOKUP(A8287,AA_Equipos,8,FALSE))</f>
        <v/>
      </c>
      <c r="J8287" s="273"/>
      <c r="K8287" s="395"/>
      <c r="L8287" s="273"/>
      <c r="M8287" s="394" t="str">
        <f t="shared" si="1131"/>
        <v/>
      </c>
      <c r="N8287" s="273"/>
    </row>
    <row r="8288" spans="1:14" ht="12.75" customHeight="1" x14ac:dyDescent="0.25">
      <c r="A8288" s="4"/>
      <c r="B8288" s="4"/>
      <c r="C8288" s="4"/>
      <c r="D8288" s="4"/>
      <c r="E8288" s="4"/>
      <c r="F8288" s="4"/>
      <c r="G8288" s="4"/>
      <c r="H8288" s="4"/>
      <c r="I8288" s="4"/>
      <c r="J8288" s="4"/>
      <c r="K8288" s="396" t="s">
        <v>444</v>
      </c>
      <c r="L8288" s="273"/>
      <c r="M8288" s="394">
        <f>SUM(M8283:N8287)</f>
        <v>2413.9106000000002</v>
      </c>
      <c r="N8288" s="273"/>
    </row>
    <row r="8289" spans="1:14" ht="12.75" customHeight="1" x14ac:dyDescent="0.25">
      <c r="A8289" s="4"/>
      <c r="B8289" s="4"/>
      <c r="C8289" s="4"/>
      <c r="D8289" s="4"/>
      <c r="E8289" s="4"/>
      <c r="F8289" s="4"/>
      <c r="G8289" s="4"/>
      <c r="H8289" s="4"/>
      <c r="I8289" s="4"/>
      <c r="J8289" s="4"/>
      <c r="K8289" s="4"/>
      <c r="L8289" s="4"/>
      <c r="M8289" s="4"/>
      <c r="N8289" s="4"/>
    </row>
    <row r="8290" spans="1:14" ht="12.75" customHeight="1" x14ac:dyDescent="0.2">
      <c r="A8290" s="398" t="s">
        <v>929</v>
      </c>
      <c r="B8290" s="271"/>
      <c r="C8290" s="271"/>
      <c r="D8290" s="271"/>
      <c r="E8290" s="271"/>
      <c r="F8290" s="271"/>
      <c r="G8290" s="271"/>
      <c r="H8290" s="271"/>
      <c r="I8290" s="271"/>
      <c r="J8290" s="271"/>
      <c r="K8290" s="271"/>
      <c r="L8290" s="271"/>
      <c r="M8290" s="271"/>
      <c r="N8290" s="273"/>
    </row>
    <row r="8291" spans="1:14" ht="12.75" customHeight="1" x14ac:dyDescent="0.2">
      <c r="A8291" s="396" t="s">
        <v>76</v>
      </c>
      <c r="B8291" s="271"/>
      <c r="C8291" s="271"/>
      <c r="D8291" s="271"/>
      <c r="E8291" s="271"/>
      <c r="F8291" s="271"/>
      <c r="G8291" s="273"/>
      <c r="H8291" s="88" t="s">
        <v>77</v>
      </c>
      <c r="I8291" s="399" t="s">
        <v>920</v>
      </c>
      <c r="J8291" s="273"/>
      <c r="K8291" s="399" t="s">
        <v>453</v>
      </c>
      <c r="L8291" s="273"/>
      <c r="M8291" s="399" t="s">
        <v>921</v>
      </c>
      <c r="N8291" s="273"/>
    </row>
    <row r="8292" spans="1:14" ht="12.75" customHeight="1" x14ac:dyDescent="0.2">
      <c r="A8292" s="400" t="s">
        <v>966</v>
      </c>
      <c r="B8292" s="271"/>
      <c r="C8292" s="271"/>
      <c r="D8292" s="271"/>
      <c r="E8292" s="271"/>
      <c r="F8292" s="271"/>
      <c r="G8292" s="273"/>
      <c r="H8292" s="29" t="s">
        <v>950</v>
      </c>
      <c r="I8292" s="394">
        <f>+M8279</f>
        <v>227330.4</v>
      </c>
      <c r="J8292" s="273"/>
      <c r="K8292" s="404">
        <v>0.05</v>
      </c>
      <c r="L8292" s="273"/>
      <c r="M8292" s="394">
        <f t="shared" ref="M8292:M8296" si="1132">IF(A8292="","",I8292*K8292)</f>
        <v>11366.52</v>
      </c>
      <c r="N8292" s="273"/>
    </row>
    <row r="8293" spans="1:14" ht="12.75" customHeight="1" x14ac:dyDescent="0.2">
      <c r="A8293" s="403" t="s">
        <v>3174</v>
      </c>
      <c r="B8293" s="271"/>
      <c r="C8293" s="271"/>
      <c r="D8293" s="271"/>
      <c r="E8293" s="271"/>
      <c r="F8293" s="271"/>
      <c r="G8293" s="273"/>
      <c r="H8293" s="29" t="s">
        <v>24</v>
      </c>
      <c r="I8293" s="394">
        <f>+M8288</f>
        <v>2413.9106000000002</v>
      </c>
      <c r="J8293" s="273"/>
      <c r="K8293" s="404">
        <v>0.05</v>
      </c>
      <c r="L8293" s="273"/>
      <c r="M8293" s="394">
        <f t="shared" si="1132"/>
        <v>120.69553000000002</v>
      </c>
      <c r="N8293" s="273"/>
    </row>
    <row r="8294" spans="1:14" ht="12.75" customHeight="1" x14ac:dyDescent="0.2">
      <c r="A8294" s="400"/>
      <c r="B8294" s="271"/>
      <c r="C8294" s="271"/>
      <c r="D8294" s="271"/>
      <c r="E8294" s="271"/>
      <c r="F8294" s="271"/>
      <c r="G8294" s="273"/>
      <c r="H8294" s="29"/>
      <c r="I8294" s="394"/>
      <c r="J8294" s="273"/>
      <c r="K8294" s="395"/>
      <c r="L8294" s="273"/>
      <c r="M8294" s="394" t="str">
        <f t="shared" si="1132"/>
        <v/>
      </c>
      <c r="N8294" s="273"/>
    </row>
    <row r="8295" spans="1:14" ht="12.75" customHeight="1" x14ac:dyDescent="0.2">
      <c r="A8295" s="400"/>
      <c r="B8295" s="271"/>
      <c r="C8295" s="271"/>
      <c r="D8295" s="271"/>
      <c r="E8295" s="271"/>
      <c r="F8295" s="271"/>
      <c r="G8295" s="273"/>
      <c r="H8295" s="29"/>
      <c r="I8295" s="394"/>
      <c r="J8295" s="273"/>
      <c r="K8295" s="395"/>
      <c r="L8295" s="273"/>
      <c r="M8295" s="394" t="str">
        <f t="shared" si="1132"/>
        <v/>
      </c>
      <c r="N8295" s="273"/>
    </row>
    <row r="8296" spans="1:14" ht="12.75" customHeight="1" x14ac:dyDescent="0.2">
      <c r="A8296" s="400"/>
      <c r="B8296" s="271"/>
      <c r="C8296" s="271"/>
      <c r="D8296" s="271"/>
      <c r="E8296" s="271"/>
      <c r="F8296" s="271"/>
      <c r="G8296" s="273"/>
      <c r="H8296" s="29"/>
      <c r="I8296" s="394"/>
      <c r="J8296" s="273"/>
      <c r="K8296" s="395"/>
      <c r="L8296" s="273"/>
      <c r="M8296" s="394" t="str">
        <f t="shared" si="1132"/>
        <v/>
      </c>
      <c r="N8296" s="273"/>
    </row>
    <row r="8297" spans="1:14" ht="12.75" customHeight="1" x14ac:dyDescent="0.25">
      <c r="A8297" s="4"/>
      <c r="B8297" s="4"/>
      <c r="C8297" s="4"/>
      <c r="D8297" s="4"/>
      <c r="E8297" s="4"/>
      <c r="F8297" s="4"/>
      <c r="G8297" s="4"/>
      <c r="H8297" s="4"/>
      <c r="I8297" s="4"/>
      <c r="J8297" s="4"/>
      <c r="K8297" s="396" t="s">
        <v>444</v>
      </c>
      <c r="L8297" s="273"/>
      <c r="M8297" s="394">
        <f>SUM(M8292:N8296)</f>
        <v>11487.215530000001</v>
      </c>
      <c r="N8297" s="273"/>
    </row>
    <row r="8298" spans="1:14" ht="12.75" customHeight="1" x14ac:dyDescent="0.25">
      <c r="A8298" s="4"/>
      <c r="B8298" s="4"/>
      <c r="C8298" s="4"/>
      <c r="D8298" s="4"/>
      <c r="E8298" s="4"/>
      <c r="F8298" s="4"/>
      <c r="G8298" s="4"/>
      <c r="H8298" s="4"/>
      <c r="I8298" s="4"/>
      <c r="J8298" s="4"/>
      <c r="K8298" s="4"/>
      <c r="L8298" s="4"/>
      <c r="M8298" s="4"/>
      <c r="N8298" s="4"/>
    </row>
    <row r="8299" spans="1:14" ht="12.75" customHeight="1" x14ac:dyDescent="0.2">
      <c r="A8299" s="398" t="s">
        <v>931</v>
      </c>
      <c r="B8299" s="271"/>
      <c r="C8299" s="271"/>
      <c r="D8299" s="271"/>
      <c r="E8299" s="271"/>
      <c r="F8299" s="271"/>
      <c r="G8299" s="271"/>
      <c r="H8299" s="271"/>
      <c r="I8299" s="271"/>
      <c r="J8299" s="271"/>
      <c r="K8299" s="271"/>
      <c r="L8299" s="271"/>
      <c r="M8299" s="271"/>
      <c r="N8299" s="273"/>
    </row>
    <row r="8300" spans="1:14" ht="12.75" customHeight="1" x14ac:dyDescent="0.2">
      <c r="A8300" s="396" t="s">
        <v>76</v>
      </c>
      <c r="B8300" s="271"/>
      <c r="C8300" s="271"/>
      <c r="D8300" s="271"/>
      <c r="E8300" s="271"/>
      <c r="F8300" s="271"/>
      <c r="G8300" s="273"/>
      <c r="H8300" s="88" t="s">
        <v>77</v>
      </c>
      <c r="I8300" s="399" t="s">
        <v>920</v>
      </c>
      <c r="J8300" s="273"/>
      <c r="K8300" s="90" t="s">
        <v>514</v>
      </c>
      <c r="L8300" s="91" t="s">
        <v>932</v>
      </c>
      <c r="M8300" s="399" t="s">
        <v>921</v>
      </c>
      <c r="N8300" s="273"/>
    </row>
    <row r="8301" spans="1:14" ht="12.75" customHeight="1" x14ac:dyDescent="0.25">
      <c r="A8301" s="393" t="s">
        <v>973</v>
      </c>
      <c r="B8301" s="271"/>
      <c r="C8301" s="271"/>
      <c r="D8301" s="271"/>
      <c r="E8301" s="271"/>
      <c r="F8301" s="271"/>
      <c r="G8301" s="273"/>
      <c r="H8301" s="29" t="str">
        <f>IF(A8301="","",VLOOKUP(A8301,AA_Cuadrillas,4,FALSE))</f>
        <v>Cuadrilla</v>
      </c>
      <c r="I8301" s="394">
        <f>IF(A8301="","",VLOOKUP(A8301,AA_Cuadrillas,5,FALSE))</f>
        <v>256799</v>
      </c>
      <c r="J8301" s="273"/>
      <c r="K8301" s="9">
        <f>IF(A8301="","",F.P!$I$2)</f>
        <v>1.88</v>
      </c>
      <c r="L8301" s="97">
        <v>0.1</v>
      </c>
      <c r="M8301" s="394">
        <f t="shared" ref="M8301:M8305" si="1133">IF(A8301="","",I8301*K8301*L8301)</f>
        <v>48278.212</v>
      </c>
      <c r="N8301" s="273"/>
    </row>
    <row r="8302" spans="1:14" ht="12.75" customHeight="1" x14ac:dyDescent="0.25">
      <c r="A8302" s="393"/>
      <c r="B8302" s="271"/>
      <c r="C8302" s="271"/>
      <c r="D8302" s="271"/>
      <c r="E8302" s="271"/>
      <c r="F8302" s="271"/>
      <c r="G8302" s="273"/>
      <c r="H8302" s="29" t="str">
        <f>IF(A8302="","",VLOOKUP(A8302,AA_Cuadrillas,4,FALSE))</f>
        <v/>
      </c>
      <c r="I8302" s="394" t="str">
        <f>IF(A8302="","",VLOOKUP(A8302,AA_Cuadrillas,5,FALSE))</f>
        <v/>
      </c>
      <c r="J8302" s="273"/>
      <c r="K8302" s="9" t="str">
        <f>IF(A8302="","",F.P!$I$2)</f>
        <v/>
      </c>
      <c r="L8302" s="9"/>
      <c r="M8302" s="394" t="str">
        <f t="shared" si="1133"/>
        <v/>
      </c>
      <c r="N8302" s="273"/>
    </row>
    <row r="8303" spans="1:14" ht="12.75" customHeight="1" x14ac:dyDescent="0.25">
      <c r="A8303" s="393"/>
      <c r="B8303" s="271"/>
      <c r="C8303" s="271"/>
      <c r="D8303" s="271"/>
      <c r="E8303" s="271"/>
      <c r="F8303" s="271"/>
      <c r="G8303" s="273"/>
      <c r="H8303" s="29" t="str">
        <f>IF(A8303="","",VLOOKUP(A8303,AA_Cuadrillas,4,FALSE))</f>
        <v/>
      </c>
      <c r="I8303" s="394" t="str">
        <f>IF(A8303="","",VLOOKUP(A8303,AA_Cuadrillas,5,FALSE))</f>
        <v/>
      </c>
      <c r="J8303" s="273"/>
      <c r="K8303" s="9" t="str">
        <f>IF(A8303="","",F.P!$I$2)</f>
        <v/>
      </c>
      <c r="L8303" s="37"/>
      <c r="M8303" s="394" t="str">
        <f t="shared" si="1133"/>
        <v/>
      </c>
      <c r="N8303" s="273"/>
    </row>
    <row r="8304" spans="1:14" ht="12.75" customHeight="1" x14ac:dyDescent="0.25">
      <c r="A8304" s="393"/>
      <c r="B8304" s="271"/>
      <c r="C8304" s="271"/>
      <c r="D8304" s="271"/>
      <c r="E8304" s="271"/>
      <c r="F8304" s="271"/>
      <c r="G8304" s="273"/>
      <c r="H8304" s="29" t="str">
        <f>IF(A8304="","",VLOOKUP(A8304,AA_Cuadrillas,4,FALSE))</f>
        <v/>
      </c>
      <c r="I8304" s="394" t="str">
        <f>IF(A8304="","",VLOOKUP(A8304,AA_Cuadrillas,5,FALSE))</f>
        <v/>
      </c>
      <c r="J8304" s="273"/>
      <c r="K8304" s="9" t="str">
        <f>IF(A8304="","",F.P!$I$2)</f>
        <v/>
      </c>
      <c r="L8304" s="37"/>
      <c r="M8304" s="394" t="str">
        <f t="shared" si="1133"/>
        <v/>
      </c>
      <c r="N8304" s="273"/>
    </row>
    <row r="8305" spans="1:15" ht="12.75" customHeight="1" x14ac:dyDescent="0.25">
      <c r="A8305" s="393"/>
      <c r="B8305" s="271"/>
      <c r="C8305" s="271"/>
      <c r="D8305" s="271"/>
      <c r="E8305" s="271"/>
      <c r="F8305" s="271"/>
      <c r="G8305" s="273"/>
      <c r="H8305" s="29" t="str">
        <f>IF(A8305="","",VLOOKUP(A8305,AA_Cuadrillas,4,FALSE))</f>
        <v/>
      </c>
      <c r="I8305" s="394" t="str">
        <f>IF(A8305="","",VLOOKUP(A8305,AA_Cuadrillas,5,FALSE))</f>
        <v/>
      </c>
      <c r="J8305" s="273"/>
      <c r="K8305" s="9" t="str">
        <f>IF(A8305="","",F.P!$I$2)</f>
        <v/>
      </c>
      <c r="L8305" s="37"/>
      <c r="M8305" s="394" t="str">
        <f t="shared" si="1133"/>
        <v/>
      </c>
      <c r="N8305" s="273"/>
    </row>
    <row r="8306" spans="1:15" ht="12.75" customHeight="1" x14ac:dyDescent="0.25">
      <c r="A8306" s="4"/>
      <c r="B8306" s="4"/>
      <c r="C8306" s="4"/>
      <c r="D8306" s="4"/>
      <c r="E8306" s="4"/>
      <c r="F8306" s="4"/>
      <c r="G8306" s="4"/>
      <c r="H8306" s="4"/>
      <c r="I8306" s="4"/>
      <c r="J8306" s="4"/>
      <c r="K8306" s="396" t="s">
        <v>444</v>
      </c>
      <c r="L8306" s="273"/>
      <c r="M8306" s="394">
        <f>SUM(M8301:N8305)</f>
        <v>48278.212</v>
      </c>
      <c r="N8306" s="273"/>
    </row>
    <row r="8307" spans="1:15" ht="12.75" customHeight="1" x14ac:dyDescent="0.2"/>
    <row r="8308" spans="1:15" ht="12.75" customHeight="1" x14ac:dyDescent="0.2">
      <c r="A8308" s="407" t="s">
        <v>1370</v>
      </c>
      <c r="B8308" s="275"/>
      <c r="C8308" s="275"/>
      <c r="D8308" s="275"/>
      <c r="E8308" s="275"/>
      <c r="F8308" s="275"/>
      <c r="G8308" s="275"/>
      <c r="H8308" s="275"/>
      <c r="I8308" s="275"/>
      <c r="J8308" s="275"/>
      <c r="K8308" s="275"/>
      <c r="L8308" s="275"/>
      <c r="M8308" s="275"/>
      <c r="N8308" s="276"/>
      <c r="O8308" s="166"/>
    </row>
    <row r="8309" spans="1:15" ht="12.75" customHeight="1" x14ac:dyDescent="0.2">
      <c r="A8309" s="277"/>
      <c r="B8309" s="278"/>
      <c r="C8309" s="278"/>
      <c r="D8309" s="278"/>
      <c r="E8309" s="278"/>
      <c r="F8309" s="278"/>
      <c r="G8309" s="278"/>
      <c r="H8309" s="278"/>
      <c r="I8309" s="278"/>
      <c r="J8309" s="278"/>
      <c r="K8309" s="278"/>
      <c r="L8309" s="278"/>
      <c r="M8309" s="278"/>
      <c r="N8309" s="279"/>
      <c r="O8309" s="166"/>
    </row>
    <row r="8310" spans="1:15" ht="12.75" customHeight="1" x14ac:dyDescent="0.2">
      <c r="A8310" s="75"/>
      <c r="B8310" s="75"/>
      <c r="C8310" s="75"/>
      <c r="D8310" s="75"/>
      <c r="E8310" s="75"/>
      <c r="F8310" s="75"/>
      <c r="G8310" s="75"/>
      <c r="H8310" s="75"/>
      <c r="I8310" s="75"/>
      <c r="J8310" s="75"/>
      <c r="K8310" s="75"/>
      <c r="L8310" s="75"/>
      <c r="M8310" s="75"/>
      <c r="N8310" s="75"/>
    </row>
    <row r="8311" spans="1:15" ht="12.75" customHeight="1" x14ac:dyDescent="0.3">
      <c r="A8311" s="79" t="s">
        <v>796</v>
      </c>
      <c r="B8311" s="80" t="str">
        <f>A8308</f>
        <v>CONSTRUCCIÓN DE CABEZAL DE DESCARGA EN CONCRETO DE 4000 PSI</v>
      </c>
      <c r="C8311" s="81" t="s">
        <v>916</v>
      </c>
      <c r="D8311" s="82" t="s">
        <v>999</v>
      </c>
      <c r="E8311" s="83" t="s">
        <v>445</v>
      </c>
      <c r="F8311" s="240">
        <f>H8311+J8311+L8311+N8311</f>
        <v>735440.60118459305</v>
      </c>
      <c r="G8311" s="83" t="s">
        <v>607</v>
      </c>
      <c r="H8311" s="86">
        <f>M8324</f>
        <v>735440.60118459305</v>
      </c>
      <c r="I8311" s="83" t="s">
        <v>918</v>
      </c>
      <c r="J8311" s="86">
        <f>M8333</f>
        <v>0</v>
      </c>
      <c r="K8311" s="83" t="s">
        <v>609</v>
      </c>
      <c r="L8311" s="86">
        <f>M8342</f>
        <v>0</v>
      </c>
      <c r="M8311" s="83" t="s">
        <v>610</v>
      </c>
      <c r="N8311" s="86">
        <f>M8351</f>
        <v>0</v>
      </c>
      <c r="O8311" t="s">
        <v>3222</v>
      </c>
    </row>
    <row r="8312" spans="1:15" ht="12.75" customHeight="1" x14ac:dyDescent="0.25">
      <c r="A8312" s="87"/>
      <c r="B8312" s="87"/>
      <c r="C8312" s="87"/>
      <c r="D8312" s="87"/>
      <c r="E8312" s="87"/>
      <c r="F8312" s="87"/>
      <c r="G8312" s="87"/>
      <c r="J8312" s="87"/>
      <c r="K8312" s="215" t="s">
        <v>3217</v>
      </c>
      <c r="L8312" s="215">
        <f>+F8311*presup!$O$5</f>
        <v>956072.78153997101</v>
      </c>
      <c r="M8312" s="87"/>
      <c r="N8312" s="87"/>
    </row>
    <row r="8313" spans="1:15" ht="12.75" customHeight="1" x14ac:dyDescent="0.2">
      <c r="A8313" s="398" t="s">
        <v>919</v>
      </c>
      <c r="B8313" s="271"/>
      <c r="C8313" s="271"/>
      <c r="D8313" s="271"/>
      <c r="E8313" s="271"/>
      <c r="F8313" s="271"/>
      <c r="G8313" s="271"/>
      <c r="H8313" s="271"/>
      <c r="I8313" s="271"/>
      <c r="J8313" s="271"/>
      <c r="K8313" s="271"/>
      <c r="L8313" s="271"/>
      <c r="M8313" s="271"/>
      <c r="N8313" s="273"/>
    </row>
    <row r="8314" spans="1:15" ht="12.75" customHeight="1" x14ac:dyDescent="0.2">
      <c r="A8314" s="396" t="s">
        <v>76</v>
      </c>
      <c r="B8314" s="271"/>
      <c r="C8314" s="271"/>
      <c r="D8314" s="271"/>
      <c r="E8314" s="271"/>
      <c r="F8314" s="271"/>
      <c r="G8314" s="273"/>
      <c r="H8314" s="88" t="s">
        <v>77</v>
      </c>
      <c r="I8314" s="399" t="s">
        <v>920</v>
      </c>
      <c r="J8314" s="273"/>
      <c r="K8314" s="399" t="s">
        <v>453</v>
      </c>
      <c r="L8314" s="273"/>
      <c r="M8314" s="399" t="s">
        <v>921</v>
      </c>
      <c r="N8314" s="273"/>
    </row>
    <row r="8315" spans="1:15" ht="12.75" customHeight="1" x14ac:dyDescent="0.2">
      <c r="A8315" s="403" t="s">
        <v>1348</v>
      </c>
      <c r="B8315" s="271"/>
      <c r="C8315" s="271"/>
      <c r="D8315" s="271"/>
      <c r="E8315" s="271"/>
      <c r="F8315" s="271"/>
      <c r="G8315" s="273"/>
      <c r="H8315" s="29" t="str">
        <f t="shared" ref="H8315:H8323" si="1134">IF(A8315="","",VLOOKUP(A8315,AA_Materiales,7,FALSE))</f>
        <v>m2</v>
      </c>
      <c r="I8315" s="394">
        <f>'BASICOS SIN AIU '!F267</f>
        <v>4150.0217132000016</v>
      </c>
      <c r="J8315" s="273"/>
      <c r="K8315" s="395">
        <f>+VENTOSAS!F415</f>
        <v>0.71624999999999983</v>
      </c>
      <c r="L8315" s="273"/>
      <c r="M8315" s="394">
        <f t="shared" ref="M8315:M8323" si="1135">IF(A8315="","",I8315*K8315)</f>
        <v>2972.4530520795006</v>
      </c>
      <c r="N8315" s="273"/>
    </row>
    <row r="8316" spans="1:15" ht="12.75" customHeight="1" x14ac:dyDescent="0.2">
      <c r="A8316" s="403" t="s">
        <v>1308</v>
      </c>
      <c r="B8316" s="271"/>
      <c r="C8316" s="271"/>
      <c r="D8316" s="271"/>
      <c r="E8316" s="271"/>
      <c r="F8316" s="271"/>
      <c r="G8316" s="273"/>
      <c r="H8316" s="29" t="str">
        <f t="shared" si="1134"/>
        <v>m3</v>
      </c>
      <c r="I8316" s="394">
        <f>'BASICOS SIN AIU '!F4</f>
        <v>52660.488615999995</v>
      </c>
      <c r="J8316" s="273"/>
      <c r="K8316" s="395">
        <f>+VENTOSAS!F426</f>
        <v>0.14324999999999996</v>
      </c>
      <c r="L8316" s="273"/>
      <c r="M8316" s="394">
        <f t="shared" si="1135"/>
        <v>7543.614994241997</v>
      </c>
      <c r="N8316" s="273"/>
    </row>
    <row r="8317" spans="1:15" ht="27" customHeight="1" x14ac:dyDescent="0.2">
      <c r="A8317" s="403" t="s">
        <v>1309</v>
      </c>
      <c r="B8317" s="271"/>
      <c r="C8317" s="271"/>
      <c r="D8317" s="271"/>
      <c r="E8317" s="271"/>
      <c r="F8317" s="271"/>
      <c r="G8317" s="273"/>
      <c r="H8317" s="29" t="str">
        <f t="shared" si="1134"/>
        <v>m3</v>
      </c>
      <c r="I8317" s="394">
        <f>'BASICOS SIN AIU '!F47</f>
        <v>176301.78268129006</v>
      </c>
      <c r="J8317" s="273"/>
      <c r="K8317" s="395">
        <f>+VENTOSAS!F438</f>
        <v>0.14324999999999996</v>
      </c>
      <c r="L8317" s="273"/>
      <c r="M8317" s="394">
        <f t="shared" si="1135"/>
        <v>25255.230369094796</v>
      </c>
      <c r="N8317" s="273"/>
    </row>
    <row r="8318" spans="1:15" ht="12.75" customHeight="1" x14ac:dyDescent="0.2">
      <c r="A8318" s="403" t="s">
        <v>1310</v>
      </c>
      <c r="B8318" s="271"/>
      <c r="C8318" s="271"/>
      <c r="D8318" s="271"/>
      <c r="E8318" s="271"/>
      <c r="F8318" s="271"/>
      <c r="G8318" s="273"/>
      <c r="H8318" s="29" t="str">
        <f t="shared" si="1134"/>
        <v>m3</v>
      </c>
      <c r="I8318" s="394">
        <f t="shared" ref="I8318:I8323" si="1136">IF(A8318="","",VLOOKUP(A8318,AA_Materiales,8,FALSE))</f>
        <v>619876.4246790678</v>
      </c>
      <c r="J8318" s="273"/>
      <c r="K8318" s="395">
        <f>+VENTOSAS!F449</f>
        <v>3.581249999999999E-2</v>
      </c>
      <c r="L8318" s="273"/>
      <c r="M8318" s="394">
        <f t="shared" si="1135"/>
        <v>22199.324458819108</v>
      </c>
      <c r="N8318" s="273"/>
    </row>
    <row r="8319" spans="1:15" ht="12.75" customHeight="1" x14ac:dyDescent="0.2">
      <c r="A8319" s="403" t="s">
        <v>1311</v>
      </c>
      <c r="B8319" s="271"/>
      <c r="C8319" s="271"/>
      <c r="D8319" s="271"/>
      <c r="E8319" s="271"/>
      <c r="F8319" s="271"/>
      <c r="G8319" s="273"/>
      <c r="H8319" s="29" t="str">
        <f t="shared" si="1134"/>
        <v>Kg</v>
      </c>
      <c r="I8319" s="394">
        <f>'BASICOS SIN AIU '!F309</f>
        <v>8006.0498787222223</v>
      </c>
      <c r="J8319" s="273"/>
      <c r="K8319" s="395">
        <f>+VENTOSAS!F460</f>
        <v>22</v>
      </c>
      <c r="L8319" s="273"/>
      <c r="M8319" s="394">
        <f t="shared" si="1135"/>
        <v>176133.09733188889</v>
      </c>
      <c r="N8319" s="273"/>
    </row>
    <row r="8320" spans="1:15" ht="12.75" customHeight="1" x14ac:dyDescent="0.2">
      <c r="A8320" s="403" t="s">
        <v>1371</v>
      </c>
      <c r="B8320" s="271"/>
      <c r="C8320" s="271"/>
      <c r="D8320" s="271"/>
      <c r="E8320" s="271"/>
      <c r="F8320" s="271"/>
      <c r="G8320" s="273"/>
      <c r="H8320" s="29" t="str">
        <f t="shared" si="1134"/>
        <v>m3</v>
      </c>
      <c r="I8320" s="394">
        <f>'BASICOS SIN AIU '!F486</f>
        <v>909113.4069229567</v>
      </c>
      <c r="J8320" s="273"/>
      <c r="K8320" s="395">
        <f>+VENTOSAS!F482</f>
        <v>0.26</v>
      </c>
      <c r="L8320" s="273"/>
      <c r="M8320" s="394">
        <f t="shared" si="1135"/>
        <v>236369.48579996874</v>
      </c>
      <c r="N8320" s="273"/>
    </row>
    <row r="8321" spans="1:14" ht="12.75" customHeight="1" x14ac:dyDescent="0.2">
      <c r="A8321" s="403" t="s">
        <v>1313</v>
      </c>
      <c r="B8321" s="271"/>
      <c r="C8321" s="271"/>
      <c r="D8321" s="271"/>
      <c r="E8321" s="271"/>
      <c r="F8321" s="271"/>
      <c r="G8321" s="273"/>
      <c r="H8321" s="29" t="str">
        <f t="shared" si="1134"/>
        <v>m2</v>
      </c>
      <c r="I8321" s="394">
        <f t="shared" si="1136"/>
        <v>84116.633390000003</v>
      </c>
      <c r="J8321" s="273"/>
      <c r="K8321" s="395">
        <f>+VENTOSAS!F471</f>
        <v>3.1500000000000004</v>
      </c>
      <c r="L8321" s="273"/>
      <c r="M8321" s="394">
        <f t="shared" si="1135"/>
        <v>264967.39517850004</v>
      </c>
      <c r="N8321" s="273"/>
    </row>
    <row r="8322" spans="1:14" ht="12.75" customHeight="1" x14ac:dyDescent="0.2">
      <c r="A8322" s="403"/>
      <c r="B8322" s="271"/>
      <c r="C8322" s="271"/>
      <c r="D8322" s="271"/>
      <c r="E8322" s="271"/>
      <c r="F8322" s="271"/>
      <c r="G8322" s="273"/>
      <c r="H8322" s="29" t="str">
        <f t="shared" si="1134"/>
        <v/>
      </c>
      <c r="I8322" s="394" t="str">
        <f t="shared" si="1136"/>
        <v/>
      </c>
      <c r="J8322" s="273"/>
      <c r="K8322" s="395"/>
      <c r="L8322" s="273"/>
      <c r="M8322" s="394" t="str">
        <f t="shared" si="1135"/>
        <v/>
      </c>
      <c r="N8322" s="273"/>
    </row>
    <row r="8323" spans="1:14" ht="12.75" customHeight="1" x14ac:dyDescent="0.2">
      <c r="A8323" s="403"/>
      <c r="B8323" s="271"/>
      <c r="C8323" s="271"/>
      <c r="D8323" s="271"/>
      <c r="E8323" s="271"/>
      <c r="F8323" s="271"/>
      <c r="G8323" s="273"/>
      <c r="H8323" s="29" t="str">
        <f t="shared" si="1134"/>
        <v/>
      </c>
      <c r="I8323" s="394" t="str">
        <f t="shared" si="1136"/>
        <v/>
      </c>
      <c r="J8323" s="273"/>
      <c r="K8323" s="395"/>
      <c r="L8323" s="273"/>
      <c r="M8323" s="394" t="str">
        <f t="shared" si="1135"/>
        <v/>
      </c>
      <c r="N8323" s="273"/>
    </row>
    <row r="8324" spans="1:14" ht="12.75" customHeight="1" x14ac:dyDescent="0.25">
      <c r="A8324" s="4"/>
      <c r="B8324" s="4"/>
      <c r="C8324" s="4"/>
      <c r="D8324" s="4"/>
      <c r="E8324" s="4"/>
      <c r="F8324" s="4"/>
      <c r="G8324" s="4"/>
      <c r="H8324" s="4"/>
      <c r="I8324" s="4"/>
      <c r="J8324" s="4"/>
      <c r="K8324" s="396" t="s">
        <v>444</v>
      </c>
      <c r="L8324" s="273"/>
      <c r="M8324" s="394">
        <f>SUM(M8315:N8323)</f>
        <v>735440.60118459305</v>
      </c>
      <c r="N8324" s="273"/>
    </row>
    <row r="8325" spans="1:14" ht="12.75" customHeight="1" x14ac:dyDescent="0.25">
      <c r="A8325" s="4"/>
      <c r="B8325" s="4"/>
      <c r="C8325" s="4"/>
      <c r="D8325" s="4"/>
      <c r="E8325" s="4"/>
      <c r="F8325" s="4"/>
      <c r="G8325" s="4"/>
      <c r="H8325" s="4"/>
      <c r="I8325" s="4"/>
      <c r="J8325" s="4"/>
      <c r="K8325" s="4"/>
      <c r="L8325" s="4"/>
      <c r="M8325" s="4"/>
      <c r="N8325" s="4"/>
    </row>
    <row r="8326" spans="1:14" ht="12.75" customHeight="1" x14ac:dyDescent="0.2">
      <c r="A8326" s="398" t="s">
        <v>926</v>
      </c>
      <c r="B8326" s="271"/>
      <c r="C8326" s="271"/>
      <c r="D8326" s="271"/>
      <c r="E8326" s="271"/>
      <c r="F8326" s="271"/>
      <c r="G8326" s="271"/>
      <c r="H8326" s="271"/>
      <c r="I8326" s="271"/>
      <c r="J8326" s="271"/>
      <c r="K8326" s="271"/>
      <c r="L8326" s="271"/>
      <c r="M8326" s="271"/>
      <c r="N8326" s="273"/>
    </row>
    <row r="8327" spans="1:14" ht="12.75" customHeight="1" x14ac:dyDescent="0.2">
      <c r="A8327" s="396" t="s">
        <v>76</v>
      </c>
      <c r="B8327" s="271"/>
      <c r="C8327" s="271"/>
      <c r="D8327" s="271"/>
      <c r="E8327" s="271"/>
      <c r="F8327" s="271"/>
      <c r="G8327" s="273"/>
      <c r="H8327" s="88" t="s">
        <v>77</v>
      </c>
      <c r="I8327" s="399" t="s">
        <v>920</v>
      </c>
      <c r="J8327" s="273"/>
      <c r="K8327" s="399" t="s">
        <v>453</v>
      </c>
      <c r="L8327" s="273"/>
      <c r="M8327" s="399" t="s">
        <v>921</v>
      </c>
      <c r="N8327" s="273"/>
    </row>
    <row r="8328" spans="1:14" ht="12.75" customHeight="1" x14ac:dyDescent="0.2">
      <c r="A8328" s="400"/>
      <c r="B8328" s="271"/>
      <c r="C8328" s="271"/>
      <c r="D8328" s="271"/>
      <c r="E8328" s="271"/>
      <c r="F8328" s="271"/>
      <c r="G8328" s="273"/>
      <c r="H8328" s="29" t="str">
        <f>IF(A8328="","",VLOOKUP(A8328,AA_Equipos,7,FALSE))</f>
        <v/>
      </c>
      <c r="I8328" s="394">
        <f>+M8351</f>
        <v>0</v>
      </c>
      <c r="J8328" s="273"/>
      <c r="K8328" s="404"/>
      <c r="L8328" s="273"/>
      <c r="M8328" s="394" t="str">
        <f t="shared" ref="M8328:M8332" si="1137">IF(A8328="","",I8328*K8328)</f>
        <v/>
      </c>
      <c r="N8328" s="273"/>
    </row>
    <row r="8329" spans="1:14" ht="12.75" customHeight="1" x14ac:dyDescent="0.2">
      <c r="A8329" s="403"/>
      <c r="B8329" s="271"/>
      <c r="C8329" s="271"/>
      <c r="D8329" s="271"/>
      <c r="E8329" s="271"/>
      <c r="F8329" s="271"/>
      <c r="G8329" s="273"/>
      <c r="H8329" s="29" t="str">
        <f>IF(A8329="","",VLOOKUP(A8329,AA_Equipos,7,FALSE))</f>
        <v/>
      </c>
      <c r="I8329" s="394" t="str">
        <f>IF(A8329="","",VLOOKUP(A8329,AA_Equipos,8,FALSE))</f>
        <v/>
      </c>
      <c r="J8329" s="273"/>
      <c r="K8329" s="402"/>
      <c r="L8329" s="273"/>
      <c r="M8329" s="394" t="str">
        <f t="shared" si="1137"/>
        <v/>
      </c>
      <c r="N8329" s="273"/>
    </row>
    <row r="8330" spans="1:14" ht="12.75" customHeight="1" x14ac:dyDescent="0.2">
      <c r="A8330" s="400"/>
      <c r="B8330" s="271"/>
      <c r="C8330" s="271"/>
      <c r="D8330" s="271"/>
      <c r="E8330" s="271"/>
      <c r="F8330" s="271"/>
      <c r="G8330" s="273"/>
      <c r="H8330" s="29" t="str">
        <f>IF(A8330="","",VLOOKUP(A8330,AA_Equipos,7,FALSE))</f>
        <v/>
      </c>
      <c r="I8330" s="394" t="str">
        <f>IF(A8330="","",VLOOKUP(A8330,AA_Equipos,8,FALSE))</f>
        <v/>
      </c>
      <c r="J8330" s="273"/>
      <c r="K8330" s="401"/>
      <c r="L8330" s="273"/>
      <c r="M8330" s="394" t="str">
        <f t="shared" si="1137"/>
        <v/>
      </c>
      <c r="N8330" s="273"/>
    </row>
    <row r="8331" spans="1:14" ht="12.75" customHeight="1" x14ac:dyDescent="0.2">
      <c r="A8331" s="400"/>
      <c r="B8331" s="271"/>
      <c r="C8331" s="271"/>
      <c r="D8331" s="271"/>
      <c r="E8331" s="271"/>
      <c r="F8331" s="271"/>
      <c r="G8331" s="273"/>
      <c r="H8331" s="29" t="str">
        <f>IF(A8331="","",VLOOKUP(A8331,AA_Equipos,7,FALSE))</f>
        <v/>
      </c>
      <c r="I8331" s="394" t="str">
        <f>IF(A8331="","",VLOOKUP(A8331,AA_Equipos,8,FALSE))</f>
        <v/>
      </c>
      <c r="J8331" s="273"/>
      <c r="K8331" s="395"/>
      <c r="L8331" s="273"/>
      <c r="M8331" s="394" t="str">
        <f t="shared" si="1137"/>
        <v/>
      </c>
      <c r="N8331" s="273"/>
    </row>
    <row r="8332" spans="1:14" ht="12.75" customHeight="1" x14ac:dyDescent="0.2">
      <c r="A8332" s="400"/>
      <c r="B8332" s="271"/>
      <c r="C8332" s="271"/>
      <c r="D8332" s="271"/>
      <c r="E8332" s="271"/>
      <c r="F8332" s="271"/>
      <c r="G8332" s="273"/>
      <c r="H8332" s="29" t="str">
        <f>IF(A8332="","",VLOOKUP(A8332,AA_Equipos,7,FALSE))</f>
        <v/>
      </c>
      <c r="I8332" s="394" t="str">
        <f>IF(A8332="","",VLOOKUP(A8332,AA_Equipos,8,FALSE))</f>
        <v/>
      </c>
      <c r="J8332" s="273"/>
      <c r="K8332" s="395"/>
      <c r="L8332" s="273"/>
      <c r="M8332" s="394" t="str">
        <f t="shared" si="1137"/>
        <v/>
      </c>
      <c r="N8332" s="273"/>
    </row>
    <row r="8333" spans="1:14" ht="12.75" customHeight="1" x14ac:dyDescent="0.25">
      <c r="A8333" s="4"/>
      <c r="B8333" s="4"/>
      <c r="C8333" s="4"/>
      <c r="D8333" s="4"/>
      <c r="E8333" s="4"/>
      <c r="F8333" s="4"/>
      <c r="G8333" s="4"/>
      <c r="H8333" s="4"/>
      <c r="I8333" s="4"/>
      <c r="J8333" s="4"/>
      <c r="K8333" s="396" t="s">
        <v>444</v>
      </c>
      <c r="L8333" s="273"/>
      <c r="M8333" s="394">
        <f>SUM(M8328:N8332)</f>
        <v>0</v>
      </c>
      <c r="N8333" s="273"/>
    </row>
    <row r="8334" spans="1:14" ht="12.75" customHeight="1" x14ac:dyDescent="0.25">
      <c r="A8334" s="4"/>
      <c r="B8334" s="4"/>
      <c r="C8334" s="4"/>
      <c r="D8334" s="4"/>
      <c r="E8334" s="4"/>
      <c r="F8334" s="4"/>
      <c r="G8334" s="4"/>
      <c r="H8334" s="4"/>
      <c r="I8334" s="4"/>
      <c r="J8334" s="4"/>
      <c r="K8334" s="4"/>
      <c r="L8334" s="4"/>
      <c r="M8334" s="4"/>
      <c r="N8334" s="4"/>
    </row>
    <row r="8335" spans="1:14" ht="12.75" customHeight="1" x14ac:dyDescent="0.2">
      <c r="A8335" s="398" t="s">
        <v>929</v>
      </c>
      <c r="B8335" s="271"/>
      <c r="C8335" s="271"/>
      <c r="D8335" s="271"/>
      <c r="E8335" s="271"/>
      <c r="F8335" s="271"/>
      <c r="G8335" s="271"/>
      <c r="H8335" s="271"/>
      <c r="I8335" s="271"/>
      <c r="J8335" s="271"/>
      <c r="K8335" s="271"/>
      <c r="L8335" s="271"/>
      <c r="M8335" s="271"/>
      <c r="N8335" s="273"/>
    </row>
    <row r="8336" spans="1:14" ht="12.75" customHeight="1" x14ac:dyDescent="0.2">
      <c r="A8336" s="396" t="s">
        <v>76</v>
      </c>
      <c r="B8336" s="271"/>
      <c r="C8336" s="271"/>
      <c r="D8336" s="271"/>
      <c r="E8336" s="271"/>
      <c r="F8336" s="271"/>
      <c r="G8336" s="273"/>
      <c r="H8336" s="88" t="s">
        <v>77</v>
      </c>
      <c r="I8336" s="399" t="s">
        <v>920</v>
      </c>
      <c r="J8336" s="273"/>
      <c r="K8336" s="399" t="s">
        <v>453</v>
      </c>
      <c r="L8336" s="273"/>
      <c r="M8336" s="399" t="s">
        <v>921</v>
      </c>
      <c r="N8336" s="273"/>
    </row>
    <row r="8337" spans="1:14" ht="12.75" customHeight="1" x14ac:dyDescent="0.2">
      <c r="A8337" s="400"/>
      <c r="B8337" s="271"/>
      <c r="C8337" s="271"/>
      <c r="D8337" s="271"/>
      <c r="E8337" s="271"/>
      <c r="F8337" s="271"/>
      <c r="G8337" s="273"/>
      <c r="H8337" s="29" t="s">
        <v>950</v>
      </c>
      <c r="I8337" s="394"/>
      <c r="J8337" s="273"/>
      <c r="K8337" s="404"/>
      <c r="L8337" s="273"/>
      <c r="M8337" s="394" t="str">
        <f t="shared" ref="M8337:M8341" si="1138">IF(A8337="","",I8337*K8337)</f>
        <v/>
      </c>
      <c r="N8337" s="273"/>
    </row>
    <row r="8338" spans="1:14" ht="12.75" customHeight="1" x14ac:dyDescent="0.2">
      <c r="A8338" s="403"/>
      <c r="B8338" s="271"/>
      <c r="C8338" s="271"/>
      <c r="D8338" s="271"/>
      <c r="E8338" s="271"/>
      <c r="F8338" s="271"/>
      <c r="G8338" s="273"/>
      <c r="H8338" s="29"/>
      <c r="I8338" s="394"/>
      <c r="J8338" s="273"/>
      <c r="K8338" s="404"/>
      <c r="L8338" s="273"/>
      <c r="M8338" s="394" t="str">
        <f t="shared" si="1138"/>
        <v/>
      </c>
      <c r="N8338" s="273"/>
    </row>
    <row r="8339" spans="1:14" ht="12.75" customHeight="1" x14ac:dyDescent="0.2">
      <c r="A8339" s="400"/>
      <c r="B8339" s="271"/>
      <c r="C8339" s="271"/>
      <c r="D8339" s="271"/>
      <c r="E8339" s="271"/>
      <c r="F8339" s="271"/>
      <c r="G8339" s="273"/>
      <c r="H8339" s="29"/>
      <c r="I8339" s="394"/>
      <c r="J8339" s="273"/>
      <c r="K8339" s="395"/>
      <c r="L8339" s="273"/>
      <c r="M8339" s="394" t="str">
        <f t="shared" si="1138"/>
        <v/>
      </c>
      <c r="N8339" s="273"/>
    </row>
    <row r="8340" spans="1:14" ht="12.75" customHeight="1" x14ac:dyDescent="0.2">
      <c r="A8340" s="400"/>
      <c r="B8340" s="271"/>
      <c r="C8340" s="271"/>
      <c r="D8340" s="271"/>
      <c r="E8340" s="271"/>
      <c r="F8340" s="271"/>
      <c r="G8340" s="273"/>
      <c r="H8340" s="29"/>
      <c r="I8340" s="394"/>
      <c r="J8340" s="273"/>
      <c r="K8340" s="395"/>
      <c r="L8340" s="273"/>
      <c r="M8340" s="394" t="str">
        <f t="shared" si="1138"/>
        <v/>
      </c>
      <c r="N8340" s="273"/>
    </row>
    <row r="8341" spans="1:14" ht="12.75" customHeight="1" x14ac:dyDescent="0.2">
      <c r="A8341" s="400"/>
      <c r="B8341" s="271"/>
      <c r="C8341" s="271"/>
      <c r="D8341" s="271"/>
      <c r="E8341" s="271"/>
      <c r="F8341" s="271"/>
      <c r="G8341" s="273"/>
      <c r="H8341" s="29"/>
      <c r="I8341" s="394"/>
      <c r="J8341" s="273"/>
      <c r="K8341" s="395"/>
      <c r="L8341" s="273"/>
      <c r="M8341" s="394" t="str">
        <f t="shared" si="1138"/>
        <v/>
      </c>
      <c r="N8341" s="273"/>
    </row>
    <row r="8342" spans="1:14" ht="12.75" customHeight="1" x14ac:dyDescent="0.25">
      <c r="A8342" s="4"/>
      <c r="B8342" s="4"/>
      <c r="C8342" s="4"/>
      <c r="D8342" s="4"/>
      <c r="E8342" s="4"/>
      <c r="F8342" s="4"/>
      <c r="G8342" s="4"/>
      <c r="H8342" s="4"/>
      <c r="I8342" s="4"/>
      <c r="J8342" s="4"/>
      <c r="K8342" s="396" t="s">
        <v>444</v>
      </c>
      <c r="L8342" s="273"/>
      <c r="M8342" s="394">
        <f>SUM(M8337:N8341)</f>
        <v>0</v>
      </c>
      <c r="N8342" s="273"/>
    </row>
    <row r="8343" spans="1:14" ht="12.75" customHeight="1" x14ac:dyDescent="0.25">
      <c r="A8343" s="4"/>
      <c r="B8343" s="4"/>
      <c r="C8343" s="4"/>
      <c r="D8343" s="4"/>
      <c r="E8343" s="4"/>
      <c r="F8343" s="4"/>
      <c r="G8343" s="4"/>
      <c r="H8343" s="4"/>
      <c r="I8343" s="4"/>
      <c r="J8343" s="4"/>
      <c r="K8343" s="4"/>
      <c r="L8343" s="4"/>
      <c r="M8343" s="4"/>
      <c r="N8343" s="4"/>
    </row>
    <row r="8344" spans="1:14" ht="12.75" customHeight="1" x14ac:dyDescent="0.2">
      <c r="A8344" s="398" t="s">
        <v>931</v>
      </c>
      <c r="B8344" s="271"/>
      <c r="C8344" s="271"/>
      <c r="D8344" s="271"/>
      <c r="E8344" s="271"/>
      <c r="F8344" s="271"/>
      <c r="G8344" s="271"/>
      <c r="H8344" s="271"/>
      <c r="I8344" s="271"/>
      <c r="J8344" s="271"/>
      <c r="K8344" s="271"/>
      <c r="L8344" s="271"/>
      <c r="M8344" s="271"/>
      <c r="N8344" s="273"/>
    </row>
    <row r="8345" spans="1:14" ht="12.75" customHeight="1" x14ac:dyDescent="0.2">
      <c r="A8345" s="396" t="s">
        <v>76</v>
      </c>
      <c r="B8345" s="271"/>
      <c r="C8345" s="271"/>
      <c r="D8345" s="271"/>
      <c r="E8345" s="271"/>
      <c r="F8345" s="271"/>
      <c r="G8345" s="273"/>
      <c r="H8345" s="88" t="s">
        <v>77</v>
      </c>
      <c r="I8345" s="399" t="s">
        <v>920</v>
      </c>
      <c r="J8345" s="273"/>
      <c r="K8345" s="90" t="s">
        <v>514</v>
      </c>
      <c r="L8345" s="91" t="s">
        <v>932</v>
      </c>
      <c r="M8345" s="399" t="s">
        <v>921</v>
      </c>
      <c r="N8345" s="273"/>
    </row>
    <row r="8346" spans="1:14" ht="12.75" customHeight="1" x14ac:dyDescent="0.25">
      <c r="A8346" s="393"/>
      <c r="B8346" s="271"/>
      <c r="C8346" s="271"/>
      <c r="D8346" s="271"/>
      <c r="E8346" s="271"/>
      <c r="F8346" s="271"/>
      <c r="G8346" s="273"/>
      <c r="H8346" s="29" t="str">
        <f>IF(A8346="","",VLOOKUP(A8346,AA_Cuadrillas,4,FALSE))</f>
        <v/>
      </c>
      <c r="I8346" s="394" t="str">
        <f>IF(A8346="","",VLOOKUP(A8346,AA_Cuadrillas,5,FALSE))</f>
        <v/>
      </c>
      <c r="J8346" s="273"/>
      <c r="K8346" s="9" t="str">
        <f>IF(A8346="","",F.P!$I$2)</f>
        <v/>
      </c>
      <c r="L8346" s="97"/>
      <c r="M8346" s="394" t="str">
        <f t="shared" ref="M8346:M8350" si="1139">IF(A8346="","",I8346*K8346*L8346)</f>
        <v/>
      </c>
      <c r="N8346" s="273"/>
    </row>
    <row r="8347" spans="1:14" ht="12.75" customHeight="1" x14ac:dyDescent="0.25">
      <c r="A8347" s="393"/>
      <c r="B8347" s="271"/>
      <c r="C8347" s="271"/>
      <c r="D8347" s="271"/>
      <c r="E8347" s="271"/>
      <c r="F8347" s="271"/>
      <c r="G8347" s="273"/>
      <c r="H8347" s="29" t="str">
        <f>IF(A8347="","",VLOOKUP(A8347,AA_Cuadrillas,4,FALSE))</f>
        <v/>
      </c>
      <c r="I8347" s="394" t="str">
        <f>IF(A8347="","",VLOOKUP(A8347,AA_Cuadrillas,5,FALSE))</f>
        <v/>
      </c>
      <c r="J8347" s="273"/>
      <c r="K8347" s="9" t="str">
        <f>IF(A8347="","",F.P!$I$2)</f>
        <v/>
      </c>
      <c r="L8347" s="9"/>
      <c r="M8347" s="394" t="str">
        <f t="shared" si="1139"/>
        <v/>
      </c>
      <c r="N8347" s="273"/>
    </row>
    <row r="8348" spans="1:14" ht="12.75" customHeight="1" x14ac:dyDescent="0.25">
      <c r="A8348" s="393"/>
      <c r="B8348" s="271"/>
      <c r="C8348" s="271"/>
      <c r="D8348" s="271"/>
      <c r="E8348" s="271"/>
      <c r="F8348" s="271"/>
      <c r="G8348" s="273"/>
      <c r="H8348" s="29" t="str">
        <f>IF(A8348="","",VLOOKUP(A8348,AA_Cuadrillas,4,FALSE))</f>
        <v/>
      </c>
      <c r="I8348" s="394" t="str">
        <f>IF(A8348="","",VLOOKUP(A8348,AA_Cuadrillas,5,FALSE))</f>
        <v/>
      </c>
      <c r="J8348" s="273"/>
      <c r="K8348" s="9" t="str">
        <f>IF(A8348="","",F.P!$I$2)</f>
        <v/>
      </c>
      <c r="L8348" s="37"/>
      <c r="M8348" s="394" t="str">
        <f t="shared" si="1139"/>
        <v/>
      </c>
      <c r="N8348" s="273"/>
    </row>
    <row r="8349" spans="1:14" ht="12.75" customHeight="1" x14ac:dyDescent="0.25">
      <c r="A8349" s="393"/>
      <c r="B8349" s="271"/>
      <c r="C8349" s="271"/>
      <c r="D8349" s="271"/>
      <c r="E8349" s="271"/>
      <c r="F8349" s="271"/>
      <c r="G8349" s="273"/>
      <c r="H8349" s="29" t="str">
        <f>IF(A8349="","",VLOOKUP(A8349,AA_Cuadrillas,4,FALSE))</f>
        <v/>
      </c>
      <c r="I8349" s="394" t="str">
        <f>IF(A8349="","",VLOOKUP(A8349,AA_Cuadrillas,5,FALSE))</f>
        <v/>
      </c>
      <c r="J8349" s="273"/>
      <c r="K8349" s="9" t="str">
        <f>IF(A8349="","",F.P!$I$2)</f>
        <v/>
      </c>
      <c r="L8349" s="37"/>
      <c r="M8349" s="394" t="str">
        <f t="shared" si="1139"/>
        <v/>
      </c>
      <c r="N8349" s="273"/>
    </row>
    <row r="8350" spans="1:14" ht="12.75" customHeight="1" x14ac:dyDescent="0.25">
      <c r="A8350" s="393"/>
      <c r="B8350" s="271"/>
      <c r="C8350" s="271"/>
      <c r="D8350" s="271"/>
      <c r="E8350" s="271"/>
      <c r="F8350" s="271"/>
      <c r="G8350" s="273"/>
      <c r="H8350" s="29" t="str">
        <f>IF(A8350="","",VLOOKUP(A8350,AA_Cuadrillas,4,FALSE))</f>
        <v/>
      </c>
      <c r="I8350" s="394" t="str">
        <f>IF(A8350="","",VLOOKUP(A8350,AA_Cuadrillas,5,FALSE))</f>
        <v/>
      </c>
      <c r="J8350" s="273"/>
      <c r="K8350" s="9" t="str">
        <f>IF(A8350="","",F.P!$I$2)</f>
        <v/>
      </c>
      <c r="L8350" s="37"/>
      <c r="M8350" s="394" t="str">
        <f t="shared" si="1139"/>
        <v/>
      </c>
      <c r="N8350" s="273"/>
    </row>
    <row r="8351" spans="1:14" ht="12.75" customHeight="1" x14ac:dyDescent="0.25">
      <c r="A8351" s="4"/>
      <c r="B8351" s="4"/>
      <c r="C8351" s="4"/>
      <c r="D8351" s="4"/>
      <c r="E8351" s="4"/>
      <c r="F8351" s="4"/>
      <c r="G8351" s="4"/>
      <c r="H8351" s="4"/>
      <c r="I8351" s="4"/>
      <c r="J8351" s="4"/>
      <c r="K8351" s="396" t="s">
        <v>444</v>
      </c>
      <c r="L8351" s="273"/>
      <c r="M8351" s="394">
        <f>SUM(M8346:N8350)</f>
        <v>0</v>
      </c>
      <c r="N8351" s="273"/>
    </row>
    <row r="8352" spans="1:14" ht="12.75" customHeight="1" x14ac:dyDescent="0.2"/>
    <row r="8353" spans="1:15" ht="12.75" customHeight="1" x14ac:dyDescent="0.2">
      <c r="A8353" s="407" t="s">
        <v>1372</v>
      </c>
      <c r="B8353" s="275"/>
      <c r="C8353" s="275"/>
      <c r="D8353" s="275"/>
      <c r="E8353" s="275"/>
      <c r="F8353" s="275"/>
      <c r="G8353" s="275"/>
      <c r="H8353" s="275"/>
      <c r="I8353" s="275"/>
      <c r="J8353" s="275"/>
      <c r="K8353" s="275"/>
      <c r="L8353" s="275"/>
      <c r="M8353" s="275"/>
      <c r="N8353" s="276"/>
      <c r="O8353" s="166"/>
    </row>
    <row r="8354" spans="1:15" ht="12.75" customHeight="1" x14ac:dyDescent="0.2">
      <c r="A8354" s="277"/>
      <c r="B8354" s="278"/>
      <c r="C8354" s="278"/>
      <c r="D8354" s="278"/>
      <c r="E8354" s="278"/>
      <c r="F8354" s="278"/>
      <c r="G8354" s="278"/>
      <c r="H8354" s="278"/>
      <c r="I8354" s="278"/>
      <c r="J8354" s="278"/>
      <c r="K8354" s="278"/>
      <c r="L8354" s="278"/>
      <c r="M8354" s="278"/>
      <c r="N8354" s="279"/>
      <c r="O8354" s="166"/>
    </row>
    <row r="8355" spans="1:15" ht="12.75" customHeight="1" x14ac:dyDescent="0.2">
      <c r="A8355" s="75"/>
      <c r="B8355" s="75"/>
      <c r="C8355" s="75"/>
      <c r="D8355" s="75"/>
      <c r="E8355" s="75"/>
      <c r="F8355" s="75"/>
      <c r="G8355" s="75"/>
      <c r="H8355" s="75"/>
      <c r="I8355" s="75"/>
      <c r="J8355" s="75"/>
      <c r="K8355" s="75"/>
      <c r="L8355" s="75"/>
      <c r="M8355" s="75"/>
      <c r="N8355" s="75"/>
    </row>
    <row r="8356" spans="1:15" ht="12.75" customHeight="1" x14ac:dyDescent="0.3">
      <c r="A8356" s="79" t="s">
        <v>797</v>
      </c>
      <c r="B8356" s="80" t="str">
        <f>A8353</f>
        <v>SOLDADURA POR PIEZA DE 20 MM (INCLUYE MATERIALES, HERRAMIENTAS Y MANO DE OBRA)</v>
      </c>
      <c r="C8356" s="81" t="s">
        <v>916</v>
      </c>
      <c r="D8356" s="82" t="s">
        <v>999</v>
      </c>
      <c r="E8356" s="83" t="s">
        <v>445</v>
      </c>
      <c r="F8356" s="86">
        <f>H8356+J8356+L8356+N8356</f>
        <v>24472.486979166668</v>
      </c>
      <c r="G8356" s="83" t="s">
        <v>607</v>
      </c>
      <c r="H8356" s="86">
        <f>M8365</f>
        <v>18925</v>
      </c>
      <c r="I8356" s="83" t="s">
        <v>918</v>
      </c>
      <c r="J8356" s="86">
        <f>M8374</f>
        <v>520.83333333333326</v>
      </c>
      <c r="K8356" s="83" t="s">
        <v>609</v>
      </c>
      <c r="L8356" s="86">
        <f>M8382</f>
        <v>972.29166666666663</v>
      </c>
      <c r="M8356" s="83" t="s">
        <v>610</v>
      </c>
      <c r="N8356" s="86">
        <f>M8391</f>
        <v>4054.3619791666665</v>
      </c>
    </row>
    <row r="8357" spans="1:15" ht="12.75" customHeight="1" x14ac:dyDescent="0.25">
      <c r="A8357" s="87"/>
      <c r="B8357" s="87"/>
      <c r="C8357" s="87"/>
      <c r="D8357" s="87"/>
      <c r="E8357" s="87"/>
      <c r="F8357" s="87"/>
      <c r="G8357" s="87"/>
      <c r="J8357" s="87"/>
      <c r="K8357" s="215" t="s">
        <v>3217</v>
      </c>
      <c r="L8357" s="215">
        <f>+F8356*presup!$O$5</f>
        <v>31814.233072916668</v>
      </c>
      <c r="M8357" s="87"/>
      <c r="N8357" s="87"/>
    </row>
    <row r="8358" spans="1:15" ht="12.75" customHeight="1" x14ac:dyDescent="0.2">
      <c r="A8358" s="398" t="s">
        <v>919</v>
      </c>
      <c r="B8358" s="271"/>
      <c r="C8358" s="271"/>
      <c r="D8358" s="271"/>
      <c r="E8358" s="271"/>
      <c r="F8358" s="271"/>
      <c r="G8358" s="271"/>
      <c r="H8358" s="271"/>
      <c r="I8358" s="271"/>
      <c r="J8358" s="271"/>
      <c r="K8358" s="271"/>
      <c r="L8358" s="271"/>
      <c r="M8358" s="271"/>
      <c r="N8358" s="273"/>
    </row>
    <row r="8359" spans="1:15" ht="12.75" customHeight="1" x14ac:dyDescent="0.2">
      <c r="A8359" s="396" t="s">
        <v>76</v>
      </c>
      <c r="B8359" s="271"/>
      <c r="C8359" s="271"/>
      <c r="D8359" s="271"/>
      <c r="E8359" s="271"/>
      <c r="F8359" s="271"/>
      <c r="G8359" s="273"/>
      <c r="H8359" s="88" t="s">
        <v>77</v>
      </c>
      <c r="I8359" s="399" t="s">
        <v>920</v>
      </c>
      <c r="J8359" s="273"/>
      <c r="K8359" s="399" t="s">
        <v>453</v>
      </c>
      <c r="L8359" s="273"/>
      <c r="M8359" s="399" t="s">
        <v>921</v>
      </c>
      <c r="N8359" s="273"/>
    </row>
    <row r="8360" spans="1:15" ht="12.75" customHeight="1" x14ac:dyDescent="0.2">
      <c r="A8360" s="400" t="s">
        <v>1373</v>
      </c>
      <c r="B8360" s="271"/>
      <c r="C8360" s="271"/>
      <c r="D8360" s="271"/>
      <c r="E8360" s="271"/>
      <c r="F8360" s="271"/>
      <c r="G8360" s="273"/>
      <c r="H8360" s="29" t="str">
        <f>IF(A8360="","",VLOOKUP(A8360,AA_Materiales,7,FALSE))</f>
        <v>Kg</v>
      </c>
      <c r="I8360" s="394">
        <f>IF(A8360="","",VLOOKUP(A8360,AA_Materiales,8,FALSE))</f>
        <v>24900</v>
      </c>
      <c r="J8360" s="273"/>
      <c r="K8360" s="401">
        <v>0.15</v>
      </c>
      <c r="L8360" s="273"/>
      <c r="M8360" s="394">
        <f t="shared" ref="M8360:M8364" si="1140">IF(A8360="","",I8360*K8360)</f>
        <v>3735</v>
      </c>
      <c r="N8360" s="273"/>
    </row>
    <row r="8361" spans="1:15" ht="12.75" customHeight="1" x14ac:dyDescent="0.2">
      <c r="A8361" s="400" t="s">
        <v>1374</v>
      </c>
      <c r="B8361" s="271"/>
      <c r="C8361" s="271"/>
      <c r="D8361" s="271"/>
      <c r="E8361" s="271"/>
      <c r="F8361" s="271"/>
      <c r="G8361" s="273"/>
      <c r="H8361" s="29" t="str">
        <f>IF(A8361="","",VLOOKUP(A8361,AA_Materiales,7,FALSE))</f>
        <v>Unidad</v>
      </c>
      <c r="I8361" s="394">
        <f>IF(A8361="","",VLOOKUP(A8361,AA_Materiales,8,FALSE))</f>
        <v>32900</v>
      </c>
      <c r="J8361" s="273"/>
      <c r="K8361" s="395">
        <v>0.1</v>
      </c>
      <c r="L8361" s="273"/>
      <c r="M8361" s="394">
        <f t="shared" si="1140"/>
        <v>3290</v>
      </c>
      <c r="N8361" s="273"/>
    </row>
    <row r="8362" spans="1:15" ht="12.75" customHeight="1" x14ac:dyDescent="0.2">
      <c r="A8362" s="400" t="s">
        <v>1375</v>
      </c>
      <c r="B8362" s="271"/>
      <c r="C8362" s="271"/>
      <c r="D8362" s="271"/>
      <c r="E8362" s="271"/>
      <c r="F8362" s="271"/>
      <c r="G8362" s="273"/>
      <c r="H8362" s="29" t="str">
        <f>IF(A8362="","",VLOOKUP(A8362,AA_Materiales,7,FALSE))</f>
        <v>Unidad</v>
      </c>
      <c r="I8362" s="394">
        <f>IF(A8362="","",VLOOKUP(A8362,AA_Materiales,8,FALSE))</f>
        <v>11900</v>
      </c>
      <c r="J8362" s="273"/>
      <c r="K8362" s="395">
        <v>1</v>
      </c>
      <c r="L8362" s="273"/>
      <c r="M8362" s="394">
        <f t="shared" si="1140"/>
        <v>11900</v>
      </c>
      <c r="N8362" s="273"/>
    </row>
    <row r="8363" spans="1:15" ht="12.75" customHeight="1" x14ac:dyDescent="0.2">
      <c r="A8363" s="400"/>
      <c r="B8363" s="271"/>
      <c r="C8363" s="271"/>
      <c r="D8363" s="271"/>
      <c r="E8363" s="271"/>
      <c r="F8363" s="271"/>
      <c r="G8363" s="273"/>
      <c r="H8363" s="29" t="str">
        <f>IF(A8363="","",VLOOKUP(A8363,AA_Materiales,7,FALSE))</f>
        <v/>
      </c>
      <c r="I8363" s="394" t="str">
        <f>IF(A8363="","",VLOOKUP(A8363,AA_Materiales,8,FALSE))</f>
        <v/>
      </c>
      <c r="J8363" s="273"/>
      <c r="K8363" s="395"/>
      <c r="L8363" s="273"/>
      <c r="M8363" s="394" t="str">
        <f t="shared" si="1140"/>
        <v/>
      </c>
      <c r="N8363" s="273"/>
    </row>
    <row r="8364" spans="1:15" ht="12.75" customHeight="1" x14ac:dyDescent="0.2">
      <c r="A8364" s="400"/>
      <c r="B8364" s="271"/>
      <c r="C8364" s="271"/>
      <c r="D8364" s="271"/>
      <c r="E8364" s="271"/>
      <c r="F8364" s="271"/>
      <c r="G8364" s="273"/>
      <c r="H8364" s="29" t="str">
        <f>IF(A8364="","",VLOOKUP(A8364,AA_Materiales,7,FALSE))</f>
        <v/>
      </c>
      <c r="I8364" s="394" t="str">
        <f>IF(A8364="","",VLOOKUP(A8364,AA_Materiales,8,FALSE))</f>
        <v/>
      </c>
      <c r="J8364" s="273"/>
      <c r="K8364" s="395"/>
      <c r="L8364" s="273"/>
      <c r="M8364" s="394" t="str">
        <f t="shared" si="1140"/>
        <v/>
      </c>
      <c r="N8364" s="273"/>
    </row>
    <row r="8365" spans="1:15" ht="12.75" customHeight="1" x14ac:dyDescent="0.25">
      <c r="A8365" s="4"/>
      <c r="B8365" s="4"/>
      <c r="C8365" s="4"/>
      <c r="D8365" s="4"/>
      <c r="E8365" s="4"/>
      <c r="F8365" s="4"/>
      <c r="G8365" s="4"/>
      <c r="H8365" s="4"/>
      <c r="I8365" s="4"/>
      <c r="J8365" s="4"/>
      <c r="K8365" s="396" t="s">
        <v>444</v>
      </c>
      <c r="L8365" s="273"/>
      <c r="M8365" s="394">
        <f>SUM(M8360:N8364)</f>
        <v>18925</v>
      </c>
      <c r="N8365" s="273"/>
    </row>
    <row r="8366" spans="1:15" ht="12.75" customHeight="1" x14ac:dyDescent="0.25">
      <c r="A8366" s="4"/>
      <c r="B8366" s="4"/>
      <c r="C8366" s="4"/>
      <c r="D8366" s="4"/>
      <c r="E8366" s="4"/>
      <c r="F8366" s="4"/>
      <c r="G8366" s="4"/>
      <c r="H8366" s="4"/>
      <c r="I8366" s="4"/>
      <c r="J8366" s="4"/>
      <c r="K8366" s="4"/>
      <c r="L8366" s="4"/>
      <c r="M8366" s="4"/>
      <c r="N8366" s="4"/>
    </row>
    <row r="8367" spans="1:15" ht="12.75" customHeight="1" x14ac:dyDescent="0.2">
      <c r="A8367" s="398" t="s">
        <v>926</v>
      </c>
      <c r="B8367" s="271"/>
      <c r="C8367" s="271"/>
      <c r="D8367" s="271"/>
      <c r="E8367" s="271"/>
      <c r="F8367" s="271"/>
      <c r="G8367" s="271"/>
      <c r="H8367" s="271"/>
      <c r="I8367" s="271"/>
      <c r="J8367" s="271"/>
      <c r="K8367" s="271"/>
      <c r="L8367" s="271"/>
      <c r="M8367" s="271"/>
      <c r="N8367" s="273"/>
    </row>
    <row r="8368" spans="1:15" ht="12.75" customHeight="1" x14ac:dyDescent="0.2">
      <c r="A8368" s="396" t="s">
        <v>76</v>
      </c>
      <c r="B8368" s="271"/>
      <c r="C8368" s="271"/>
      <c r="D8368" s="271"/>
      <c r="E8368" s="271"/>
      <c r="F8368" s="271"/>
      <c r="G8368" s="273"/>
      <c r="H8368" s="88" t="s">
        <v>77</v>
      </c>
      <c r="I8368" s="399" t="s">
        <v>920</v>
      </c>
      <c r="J8368" s="273"/>
      <c r="K8368" s="399" t="s">
        <v>453</v>
      </c>
      <c r="L8368" s="273"/>
      <c r="M8368" s="399" t="s">
        <v>921</v>
      </c>
      <c r="N8368" s="273"/>
    </row>
    <row r="8369" spans="1:14" ht="12.75" customHeight="1" x14ac:dyDescent="0.2">
      <c r="A8369" s="400" t="s">
        <v>1032</v>
      </c>
      <c r="B8369" s="271"/>
      <c r="C8369" s="271"/>
      <c r="D8369" s="271"/>
      <c r="E8369" s="271"/>
      <c r="F8369" s="271"/>
      <c r="G8369" s="273"/>
      <c r="H8369" s="29" t="str">
        <f>IF(A8369="","",VLOOKUP(A8369,AA_Equipos,7,FALSE))</f>
        <v>Dia</v>
      </c>
      <c r="I8369" s="394">
        <f>IF(A8369="","",VLOOKUP(A8369,AA_Equipos,8,FALSE))</f>
        <v>50000</v>
      </c>
      <c r="J8369" s="273"/>
      <c r="K8369" s="402">
        <f>5/480</f>
        <v>1.0416666666666666E-2</v>
      </c>
      <c r="L8369" s="273"/>
      <c r="M8369" s="394">
        <f t="shared" ref="M8369:M8373" si="1141">IF(A8369="","",I8369*K8369)</f>
        <v>520.83333333333326</v>
      </c>
      <c r="N8369" s="273"/>
    </row>
    <row r="8370" spans="1:14" ht="12.75" customHeight="1" x14ac:dyDescent="0.2">
      <c r="A8370" s="403"/>
      <c r="B8370" s="271"/>
      <c r="C8370" s="271"/>
      <c r="D8370" s="271"/>
      <c r="E8370" s="271"/>
      <c r="F8370" s="271"/>
      <c r="G8370" s="273"/>
      <c r="H8370" s="29" t="str">
        <f>IF(A8370="","",VLOOKUP(A8370,AA_Equipos,7,FALSE))</f>
        <v/>
      </c>
      <c r="I8370" s="394" t="str">
        <f>IF(A8370="","",VLOOKUP(A8370,AA_Equipos,8,FALSE))</f>
        <v/>
      </c>
      <c r="J8370" s="273"/>
      <c r="K8370" s="402"/>
      <c r="L8370" s="273"/>
      <c r="M8370" s="394" t="str">
        <f t="shared" si="1141"/>
        <v/>
      </c>
      <c r="N8370" s="273"/>
    </row>
    <row r="8371" spans="1:14" ht="12.75" customHeight="1" x14ac:dyDescent="0.2">
      <c r="A8371" s="400"/>
      <c r="B8371" s="271"/>
      <c r="C8371" s="271"/>
      <c r="D8371" s="271"/>
      <c r="E8371" s="271"/>
      <c r="F8371" s="271"/>
      <c r="G8371" s="273"/>
      <c r="H8371" s="29" t="str">
        <f>IF(A8371="","",VLOOKUP(A8371,AA_Equipos,7,FALSE))</f>
        <v/>
      </c>
      <c r="I8371" s="394" t="str">
        <f>IF(A8371="","",VLOOKUP(A8371,AA_Equipos,8,FALSE))</f>
        <v/>
      </c>
      <c r="J8371" s="273"/>
      <c r="K8371" s="395"/>
      <c r="L8371" s="273"/>
      <c r="M8371" s="394" t="str">
        <f t="shared" si="1141"/>
        <v/>
      </c>
      <c r="N8371" s="273"/>
    </row>
    <row r="8372" spans="1:14" ht="12.75" customHeight="1" x14ac:dyDescent="0.2">
      <c r="A8372" s="400"/>
      <c r="B8372" s="271"/>
      <c r="C8372" s="271"/>
      <c r="D8372" s="271"/>
      <c r="E8372" s="271"/>
      <c r="F8372" s="271"/>
      <c r="G8372" s="273"/>
      <c r="H8372" s="29" t="str">
        <f>IF(A8372="","",VLOOKUP(A8372,AA_Equipos,7,FALSE))</f>
        <v/>
      </c>
      <c r="I8372" s="394" t="str">
        <f>IF(A8372="","",VLOOKUP(A8372,AA_Equipos,8,FALSE))</f>
        <v/>
      </c>
      <c r="J8372" s="273"/>
      <c r="K8372" s="395"/>
      <c r="L8372" s="273"/>
      <c r="M8372" s="394" t="str">
        <f t="shared" si="1141"/>
        <v/>
      </c>
      <c r="N8372" s="273"/>
    </row>
    <row r="8373" spans="1:14" ht="12.75" customHeight="1" x14ac:dyDescent="0.2">
      <c r="A8373" s="400"/>
      <c r="B8373" s="271"/>
      <c r="C8373" s="271"/>
      <c r="D8373" s="271"/>
      <c r="E8373" s="271"/>
      <c r="F8373" s="271"/>
      <c r="G8373" s="273"/>
      <c r="H8373" s="29" t="str">
        <f>IF(A8373="","",VLOOKUP(A8373,AA_Equipos,7,FALSE))</f>
        <v/>
      </c>
      <c r="I8373" s="394" t="str">
        <f>IF(A8373="","",VLOOKUP(A8373,AA_Equipos,8,FALSE))</f>
        <v/>
      </c>
      <c r="J8373" s="273"/>
      <c r="K8373" s="395"/>
      <c r="L8373" s="273"/>
      <c r="M8373" s="394" t="str">
        <f t="shared" si="1141"/>
        <v/>
      </c>
      <c r="N8373" s="273"/>
    </row>
    <row r="8374" spans="1:14" ht="12.75" customHeight="1" x14ac:dyDescent="0.25">
      <c r="A8374" s="4"/>
      <c r="B8374" s="4"/>
      <c r="C8374" s="4"/>
      <c r="D8374" s="4"/>
      <c r="E8374" s="4"/>
      <c r="F8374" s="4"/>
      <c r="G8374" s="4"/>
      <c r="H8374" s="4"/>
      <c r="I8374" s="4"/>
      <c r="J8374" s="4"/>
      <c r="K8374" s="396" t="s">
        <v>444</v>
      </c>
      <c r="L8374" s="273"/>
      <c r="M8374" s="394">
        <f>SUM(M8369:N8373)</f>
        <v>520.83333333333326</v>
      </c>
      <c r="N8374" s="273"/>
    </row>
    <row r="8375" spans="1:14" ht="12.75" customHeight="1" x14ac:dyDescent="0.25">
      <c r="A8375" s="4"/>
      <c r="B8375" s="4"/>
      <c r="C8375" s="4"/>
      <c r="D8375" s="4"/>
      <c r="E8375" s="4"/>
      <c r="F8375" s="4"/>
      <c r="G8375" s="4"/>
      <c r="H8375" s="4"/>
      <c r="I8375" s="4"/>
      <c r="J8375" s="4"/>
      <c r="K8375" s="4"/>
      <c r="L8375" s="4"/>
      <c r="M8375" s="4"/>
      <c r="N8375" s="4"/>
    </row>
    <row r="8376" spans="1:14" ht="12.75" customHeight="1" x14ac:dyDescent="0.2">
      <c r="A8376" s="398" t="s">
        <v>929</v>
      </c>
      <c r="B8376" s="271"/>
      <c r="C8376" s="271"/>
      <c r="D8376" s="271"/>
      <c r="E8376" s="271"/>
      <c r="F8376" s="271"/>
      <c r="G8376" s="271"/>
      <c r="H8376" s="271"/>
      <c r="I8376" s="271"/>
      <c r="J8376" s="271"/>
      <c r="K8376" s="271"/>
      <c r="L8376" s="271"/>
      <c r="M8376" s="271"/>
      <c r="N8376" s="273"/>
    </row>
    <row r="8377" spans="1:14" ht="12.75" customHeight="1" x14ac:dyDescent="0.2">
      <c r="A8377" s="396" t="s">
        <v>76</v>
      </c>
      <c r="B8377" s="271"/>
      <c r="C8377" s="271"/>
      <c r="D8377" s="271"/>
      <c r="E8377" s="271"/>
      <c r="F8377" s="271"/>
      <c r="G8377" s="273"/>
      <c r="H8377" s="88" t="s">
        <v>77</v>
      </c>
      <c r="I8377" s="399" t="s">
        <v>920</v>
      </c>
      <c r="J8377" s="273"/>
      <c r="K8377" s="399" t="s">
        <v>453</v>
      </c>
      <c r="L8377" s="273"/>
      <c r="M8377" s="399" t="s">
        <v>921</v>
      </c>
      <c r="N8377" s="273"/>
    </row>
    <row r="8378" spans="1:14" ht="12.75" customHeight="1" x14ac:dyDescent="0.2">
      <c r="A8378" s="403" t="s">
        <v>966</v>
      </c>
      <c r="B8378" s="271"/>
      <c r="C8378" s="271"/>
      <c r="D8378" s="271"/>
      <c r="E8378" s="271"/>
      <c r="F8378" s="271"/>
      <c r="G8378" s="273"/>
      <c r="H8378" s="29" t="s">
        <v>950</v>
      </c>
      <c r="I8378" s="394">
        <f>+M8365</f>
        <v>18925</v>
      </c>
      <c r="J8378" s="273"/>
      <c r="K8378" s="404">
        <v>0.05</v>
      </c>
      <c r="L8378" s="273"/>
      <c r="M8378" s="394">
        <f t="shared" ref="M8378:M8381" si="1142">IF(A8378="","",I8378*K8378)</f>
        <v>946.25</v>
      </c>
      <c r="N8378" s="273"/>
    </row>
    <row r="8379" spans="1:14" ht="12.75" customHeight="1" x14ac:dyDescent="0.2">
      <c r="A8379" s="400" t="s">
        <v>958</v>
      </c>
      <c r="B8379" s="271"/>
      <c r="C8379" s="271"/>
      <c r="D8379" s="271"/>
      <c r="E8379" s="271"/>
      <c r="F8379" s="271"/>
      <c r="G8379" s="273"/>
      <c r="H8379" s="29" t="s">
        <v>1376</v>
      </c>
      <c r="I8379" s="394">
        <f>+M8374</f>
        <v>520.83333333333326</v>
      </c>
      <c r="J8379" s="273"/>
      <c r="K8379" s="404">
        <v>0.05</v>
      </c>
      <c r="L8379" s="273"/>
      <c r="M8379" s="394">
        <f t="shared" si="1142"/>
        <v>26.041666666666664</v>
      </c>
      <c r="N8379" s="273"/>
    </row>
    <row r="8380" spans="1:14" ht="12.75" customHeight="1" x14ac:dyDescent="0.2">
      <c r="A8380" s="400"/>
      <c r="B8380" s="271"/>
      <c r="C8380" s="271"/>
      <c r="D8380" s="271"/>
      <c r="E8380" s="271"/>
      <c r="F8380" s="271"/>
      <c r="G8380" s="273"/>
      <c r="H8380" s="29"/>
      <c r="I8380" s="394"/>
      <c r="J8380" s="273"/>
      <c r="K8380" s="395"/>
      <c r="L8380" s="273"/>
      <c r="M8380" s="394" t="str">
        <f t="shared" si="1142"/>
        <v/>
      </c>
      <c r="N8380" s="273"/>
    </row>
    <row r="8381" spans="1:14" ht="12.75" customHeight="1" x14ac:dyDescent="0.2">
      <c r="A8381" s="400"/>
      <c r="B8381" s="271"/>
      <c r="C8381" s="271"/>
      <c r="D8381" s="271"/>
      <c r="E8381" s="271"/>
      <c r="F8381" s="271"/>
      <c r="G8381" s="273"/>
      <c r="H8381" s="29"/>
      <c r="I8381" s="394"/>
      <c r="J8381" s="273"/>
      <c r="K8381" s="395"/>
      <c r="L8381" s="273"/>
      <c r="M8381" s="394" t="str">
        <f t="shared" si="1142"/>
        <v/>
      </c>
      <c r="N8381" s="273"/>
    </row>
    <row r="8382" spans="1:14" ht="12.75" customHeight="1" x14ac:dyDescent="0.25">
      <c r="A8382" s="4"/>
      <c r="B8382" s="4"/>
      <c r="C8382" s="4"/>
      <c r="D8382" s="4"/>
      <c r="E8382" s="4"/>
      <c r="F8382" s="4"/>
      <c r="G8382" s="4"/>
      <c r="H8382" s="4"/>
      <c r="I8382" s="4"/>
      <c r="J8382" s="4"/>
      <c r="K8382" s="396" t="s">
        <v>444</v>
      </c>
      <c r="L8382" s="273"/>
      <c r="M8382" s="394">
        <f>SUM(M8378:N8381)</f>
        <v>972.29166666666663</v>
      </c>
      <c r="N8382" s="273"/>
    </row>
    <row r="8383" spans="1:14" ht="12.75" customHeight="1" x14ac:dyDescent="0.25">
      <c r="A8383" s="4"/>
      <c r="B8383" s="4"/>
      <c r="C8383" s="4"/>
      <c r="D8383" s="4"/>
      <c r="E8383" s="4"/>
      <c r="F8383" s="4"/>
      <c r="G8383" s="4"/>
      <c r="H8383" s="4"/>
      <c r="I8383" s="4"/>
      <c r="J8383" s="4"/>
      <c r="K8383" s="4"/>
      <c r="L8383" s="4"/>
      <c r="M8383" s="4"/>
      <c r="N8383" s="4"/>
    </row>
    <row r="8384" spans="1:14" ht="12.75" customHeight="1" x14ac:dyDescent="0.2">
      <c r="A8384" s="398" t="s">
        <v>931</v>
      </c>
      <c r="B8384" s="271"/>
      <c r="C8384" s="271"/>
      <c r="D8384" s="271"/>
      <c r="E8384" s="271"/>
      <c r="F8384" s="271"/>
      <c r="G8384" s="271"/>
      <c r="H8384" s="271"/>
      <c r="I8384" s="271"/>
      <c r="J8384" s="271"/>
      <c r="K8384" s="271"/>
      <c r="L8384" s="271"/>
      <c r="M8384" s="271"/>
      <c r="N8384" s="273"/>
    </row>
    <row r="8385" spans="1:15" ht="12.75" customHeight="1" x14ac:dyDescent="0.2">
      <c r="A8385" s="396" t="s">
        <v>76</v>
      </c>
      <c r="B8385" s="271"/>
      <c r="C8385" s="271"/>
      <c r="D8385" s="271"/>
      <c r="E8385" s="271"/>
      <c r="F8385" s="271"/>
      <c r="G8385" s="273"/>
      <c r="H8385" s="88" t="s">
        <v>77</v>
      </c>
      <c r="I8385" s="399" t="s">
        <v>920</v>
      </c>
      <c r="J8385" s="273"/>
      <c r="K8385" s="90" t="s">
        <v>514</v>
      </c>
      <c r="L8385" s="91" t="s">
        <v>932</v>
      </c>
      <c r="M8385" s="399" t="s">
        <v>921</v>
      </c>
      <c r="N8385" s="273"/>
    </row>
    <row r="8386" spans="1:15" ht="12.75" customHeight="1" x14ac:dyDescent="0.25">
      <c r="A8386" s="393" t="s">
        <v>1034</v>
      </c>
      <c r="B8386" s="271"/>
      <c r="C8386" s="271"/>
      <c r="D8386" s="271"/>
      <c r="E8386" s="271"/>
      <c r="F8386" s="271"/>
      <c r="G8386" s="273"/>
      <c r="H8386" s="29" t="str">
        <f>IF(A8386="","",VLOOKUP(A8386,AA_Cuadrillas,4,FALSE))</f>
        <v>Cuadrilla</v>
      </c>
      <c r="I8386" s="394">
        <f>IF(A8386="","",VLOOKUP(A8386,AA_Cuadrillas,5,FALSE))</f>
        <v>207031.25</v>
      </c>
      <c r="J8386" s="273"/>
      <c r="K8386" s="9">
        <f>IF(A8386="","",F.P!$I$2)</f>
        <v>1.88</v>
      </c>
      <c r="L8386" s="93">
        <f>5/480</f>
        <v>1.0416666666666666E-2</v>
      </c>
      <c r="M8386" s="394">
        <f t="shared" ref="M8386:M8390" si="1143">IF(A8386="","",I8386*K8386*L8386)</f>
        <v>4054.3619791666665</v>
      </c>
      <c r="N8386" s="273"/>
    </row>
    <row r="8387" spans="1:15" ht="12.75" customHeight="1" x14ac:dyDescent="0.25">
      <c r="A8387" s="393"/>
      <c r="B8387" s="271"/>
      <c r="C8387" s="271"/>
      <c r="D8387" s="271"/>
      <c r="E8387" s="271"/>
      <c r="F8387" s="271"/>
      <c r="G8387" s="273"/>
      <c r="H8387" s="29" t="str">
        <f>IF(A8387="","",VLOOKUP(A8387,AA_Cuadrillas,4,FALSE))</f>
        <v/>
      </c>
      <c r="I8387" s="394" t="str">
        <f>IF(A8387="","",VLOOKUP(A8387,AA_Cuadrillas,5,FALSE))</f>
        <v/>
      </c>
      <c r="J8387" s="273"/>
      <c r="K8387" s="9" t="str">
        <f>IF(A8387="","",F.P!$I$2)</f>
        <v/>
      </c>
      <c r="L8387" s="9"/>
      <c r="M8387" s="394" t="str">
        <f t="shared" si="1143"/>
        <v/>
      </c>
      <c r="N8387" s="273"/>
    </row>
    <row r="8388" spans="1:15" ht="12.75" customHeight="1" x14ac:dyDescent="0.25">
      <c r="A8388" s="393"/>
      <c r="B8388" s="271"/>
      <c r="C8388" s="271"/>
      <c r="D8388" s="271"/>
      <c r="E8388" s="271"/>
      <c r="F8388" s="271"/>
      <c r="G8388" s="273"/>
      <c r="H8388" s="29" t="str">
        <f>IF(A8388="","",VLOOKUP(A8388,AA_Cuadrillas,4,FALSE))</f>
        <v/>
      </c>
      <c r="I8388" s="394" t="str">
        <f>IF(A8388="","",VLOOKUP(A8388,AA_Cuadrillas,5,FALSE))</f>
        <v/>
      </c>
      <c r="J8388" s="273"/>
      <c r="K8388" s="9" t="str">
        <f>IF(A8388="","",F.P!$I$2)</f>
        <v/>
      </c>
      <c r="L8388" s="37"/>
      <c r="M8388" s="394" t="str">
        <f t="shared" si="1143"/>
        <v/>
      </c>
      <c r="N8388" s="273"/>
    </row>
    <row r="8389" spans="1:15" ht="12.75" customHeight="1" x14ac:dyDescent="0.25">
      <c r="A8389" s="393"/>
      <c r="B8389" s="271"/>
      <c r="C8389" s="271"/>
      <c r="D8389" s="271"/>
      <c r="E8389" s="271"/>
      <c r="F8389" s="271"/>
      <c r="G8389" s="273"/>
      <c r="H8389" s="29" t="str">
        <f>IF(A8389="","",VLOOKUP(A8389,AA_Cuadrillas,4,FALSE))</f>
        <v/>
      </c>
      <c r="I8389" s="394" t="str">
        <f>IF(A8389="","",VLOOKUP(A8389,AA_Cuadrillas,5,FALSE))</f>
        <v/>
      </c>
      <c r="J8389" s="273"/>
      <c r="K8389" s="9" t="str">
        <f>IF(A8389="","",F.P!$I$2)</f>
        <v/>
      </c>
      <c r="L8389" s="37"/>
      <c r="M8389" s="394" t="str">
        <f t="shared" si="1143"/>
        <v/>
      </c>
      <c r="N8389" s="273"/>
    </row>
    <row r="8390" spans="1:15" ht="12.75" customHeight="1" x14ac:dyDescent="0.25">
      <c r="A8390" s="393"/>
      <c r="B8390" s="271"/>
      <c r="C8390" s="271"/>
      <c r="D8390" s="271"/>
      <c r="E8390" s="271"/>
      <c r="F8390" s="271"/>
      <c r="G8390" s="273"/>
      <c r="H8390" s="29" t="str">
        <f>IF(A8390="","",VLOOKUP(A8390,AA_Cuadrillas,4,FALSE))</f>
        <v/>
      </c>
      <c r="I8390" s="394" t="str">
        <f>IF(A8390="","",VLOOKUP(A8390,AA_Cuadrillas,5,FALSE))</f>
        <v/>
      </c>
      <c r="J8390" s="273"/>
      <c r="K8390" s="9" t="str">
        <f>IF(A8390="","",F.P!$I$2)</f>
        <v/>
      </c>
      <c r="L8390" s="37"/>
      <c r="M8390" s="394" t="str">
        <f t="shared" si="1143"/>
        <v/>
      </c>
      <c r="N8390" s="273"/>
    </row>
    <row r="8391" spans="1:15" ht="12.75" customHeight="1" x14ac:dyDescent="0.25">
      <c r="A8391" s="4"/>
      <c r="B8391" s="4"/>
      <c r="C8391" s="4"/>
      <c r="D8391" s="4"/>
      <c r="E8391" s="4"/>
      <c r="F8391" s="4"/>
      <c r="G8391" s="4"/>
      <c r="H8391" s="4"/>
      <c r="I8391" s="4"/>
      <c r="J8391" s="4"/>
      <c r="K8391" s="396" t="s">
        <v>444</v>
      </c>
      <c r="L8391" s="273"/>
      <c r="M8391" s="394">
        <f>SUM(M8386:N8390)</f>
        <v>4054.3619791666665</v>
      </c>
      <c r="N8391" s="273"/>
    </row>
    <row r="8392" spans="1:15" ht="12.75" customHeight="1" x14ac:dyDescent="0.2"/>
    <row r="8393" spans="1:15" ht="12.75" customHeight="1" x14ac:dyDescent="0.2">
      <c r="A8393" s="407" t="s">
        <v>1377</v>
      </c>
      <c r="B8393" s="275"/>
      <c r="C8393" s="275"/>
      <c r="D8393" s="275"/>
      <c r="E8393" s="275"/>
      <c r="F8393" s="275"/>
      <c r="G8393" s="275"/>
      <c r="H8393" s="275"/>
      <c r="I8393" s="275"/>
      <c r="J8393" s="275"/>
      <c r="K8393" s="275"/>
      <c r="L8393" s="275"/>
      <c r="M8393" s="275"/>
      <c r="N8393" s="276"/>
      <c r="O8393" s="166"/>
    </row>
    <row r="8394" spans="1:15" ht="12.75" customHeight="1" x14ac:dyDescent="0.2">
      <c r="A8394" s="277"/>
      <c r="B8394" s="278"/>
      <c r="C8394" s="278"/>
      <c r="D8394" s="278"/>
      <c r="E8394" s="278"/>
      <c r="F8394" s="278"/>
      <c r="G8394" s="278"/>
      <c r="H8394" s="278"/>
      <c r="I8394" s="278"/>
      <c r="J8394" s="278"/>
      <c r="K8394" s="278"/>
      <c r="L8394" s="278"/>
      <c r="M8394" s="278"/>
      <c r="N8394" s="279"/>
      <c r="O8394" s="166"/>
    </row>
    <row r="8395" spans="1:15" ht="12.75" customHeight="1" x14ac:dyDescent="0.2">
      <c r="A8395" s="75"/>
      <c r="B8395" s="75"/>
      <c r="C8395" s="75"/>
      <c r="D8395" s="75"/>
      <c r="E8395" s="75"/>
      <c r="F8395" s="75"/>
      <c r="G8395" s="75"/>
      <c r="H8395" s="75"/>
      <c r="I8395" s="75"/>
      <c r="J8395" s="75"/>
      <c r="K8395" s="75"/>
      <c r="L8395" s="75"/>
      <c r="M8395" s="75"/>
      <c r="N8395" s="75"/>
    </row>
    <row r="8396" spans="1:15" ht="12.75" customHeight="1" x14ac:dyDescent="0.3">
      <c r="A8396" s="79" t="s">
        <v>798</v>
      </c>
      <c r="B8396" s="80" t="str">
        <f>A8393</f>
        <v>TRANSPORTE PARA DISPOSICIÓN DE RESIDUOS (INCLUYE CONDUCTOR)</v>
      </c>
      <c r="C8396" s="81" t="s">
        <v>916</v>
      </c>
      <c r="D8396" s="82" t="s">
        <v>1025</v>
      </c>
      <c r="E8396" s="83" t="s">
        <v>445</v>
      </c>
      <c r="F8396" s="86">
        <f>H8396+J8396+L8396+N8396</f>
        <v>2077.2367952644231</v>
      </c>
      <c r="G8396" s="83" t="s">
        <v>607</v>
      </c>
      <c r="H8396" s="86">
        <f>M8408</f>
        <v>0</v>
      </c>
      <c r="I8396" s="83" t="s">
        <v>918</v>
      </c>
      <c r="J8396" s="86">
        <f>M8437</f>
        <v>1714.5035897435898</v>
      </c>
      <c r="K8396" s="83" t="s">
        <v>609</v>
      </c>
      <c r="L8396" s="86">
        <f>M8445</f>
        <v>0</v>
      </c>
      <c r="M8396" s="83" t="s">
        <v>610</v>
      </c>
      <c r="N8396" s="86">
        <f>M8454</f>
        <v>362.73320552083334</v>
      </c>
    </row>
    <row r="8397" spans="1:15" ht="12.75" customHeight="1" x14ac:dyDescent="0.25">
      <c r="A8397" s="87"/>
      <c r="B8397" s="87"/>
      <c r="C8397" s="87"/>
      <c r="D8397" s="87"/>
      <c r="E8397" s="87"/>
      <c r="F8397" s="87"/>
      <c r="G8397" s="87"/>
      <c r="J8397" s="87"/>
      <c r="K8397" s="215" t="s">
        <v>3217</v>
      </c>
      <c r="L8397" s="215">
        <f>+F8396*presup!$O$5</f>
        <v>2700.4078338437503</v>
      </c>
      <c r="M8397" s="87"/>
      <c r="N8397" s="87"/>
    </row>
    <row r="8398" spans="1:15" ht="12.75" customHeight="1" x14ac:dyDescent="0.2">
      <c r="A8398" s="398" t="s">
        <v>919</v>
      </c>
      <c r="B8398" s="271"/>
      <c r="C8398" s="271"/>
      <c r="D8398" s="271"/>
      <c r="E8398" s="271"/>
      <c r="F8398" s="271"/>
      <c r="G8398" s="271"/>
      <c r="H8398" s="271"/>
      <c r="I8398" s="271"/>
      <c r="J8398" s="271"/>
      <c r="K8398" s="271"/>
      <c r="L8398" s="271"/>
      <c r="M8398" s="271"/>
      <c r="N8398" s="273"/>
    </row>
    <row r="8399" spans="1:15" ht="12.75" customHeight="1" x14ac:dyDescent="0.2">
      <c r="A8399" s="396" t="s">
        <v>76</v>
      </c>
      <c r="B8399" s="271"/>
      <c r="C8399" s="271"/>
      <c r="D8399" s="271"/>
      <c r="E8399" s="271"/>
      <c r="F8399" s="271"/>
      <c r="G8399" s="273"/>
      <c r="H8399" s="88" t="s">
        <v>77</v>
      </c>
      <c r="I8399" s="399" t="s">
        <v>920</v>
      </c>
      <c r="J8399" s="273"/>
      <c r="K8399" s="399" t="s">
        <v>453</v>
      </c>
      <c r="L8399" s="273"/>
      <c r="M8399" s="399" t="s">
        <v>921</v>
      </c>
      <c r="N8399" s="273"/>
    </row>
    <row r="8400" spans="1:15" ht="12.75" customHeight="1" x14ac:dyDescent="0.2">
      <c r="A8400" s="400"/>
      <c r="B8400" s="271"/>
      <c r="C8400" s="271"/>
      <c r="D8400" s="271"/>
      <c r="E8400" s="271"/>
      <c r="F8400" s="271"/>
      <c r="G8400" s="273"/>
      <c r="H8400" s="29"/>
      <c r="I8400" s="394"/>
      <c r="J8400" s="273"/>
      <c r="K8400" s="395"/>
      <c r="L8400" s="273"/>
      <c r="M8400" s="394"/>
      <c r="N8400" s="273"/>
    </row>
    <row r="8401" spans="1:14" ht="12.75" customHeight="1" x14ac:dyDescent="0.2">
      <c r="A8401" s="400"/>
      <c r="B8401" s="271"/>
      <c r="C8401" s="271"/>
      <c r="D8401" s="271"/>
      <c r="E8401" s="271"/>
      <c r="F8401" s="271"/>
      <c r="G8401" s="273"/>
      <c r="H8401" s="29"/>
      <c r="I8401" s="394"/>
      <c r="J8401" s="273"/>
      <c r="K8401" s="395"/>
      <c r="L8401" s="273"/>
      <c r="M8401" s="394"/>
      <c r="N8401" s="273"/>
    </row>
    <row r="8402" spans="1:14" ht="12.75" customHeight="1" x14ac:dyDescent="0.2">
      <c r="A8402" s="400"/>
      <c r="B8402" s="271"/>
      <c r="C8402" s="271"/>
      <c r="D8402" s="271"/>
      <c r="E8402" s="271"/>
      <c r="F8402" s="271"/>
      <c r="G8402" s="273"/>
      <c r="H8402" s="29"/>
      <c r="I8402" s="394"/>
      <c r="J8402" s="273"/>
      <c r="K8402" s="395"/>
      <c r="L8402" s="273"/>
      <c r="M8402" s="394"/>
      <c r="N8402" s="273"/>
    </row>
    <row r="8403" spans="1:14" ht="12.75" customHeight="1" x14ac:dyDescent="0.2">
      <c r="A8403" s="400"/>
      <c r="B8403" s="271"/>
      <c r="C8403" s="271"/>
      <c r="D8403" s="271"/>
      <c r="E8403" s="271"/>
      <c r="F8403" s="271"/>
      <c r="G8403" s="273"/>
      <c r="H8403" s="29" t="str">
        <f>IF(A8403="","",VLOOKUP(A8403,AA_Materiales,7,FALSE))</f>
        <v/>
      </c>
      <c r="I8403" s="394" t="str">
        <f>IF(A8403="","",VLOOKUP(A8403,AA_Materiales,8,FALSE))</f>
        <v/>
      </c>
      <c r="J8403" s="273"/>
      <c r="K8403" s="395"/>
      <c r="L8403" s="273"/>
      <c r="M8403" s="394" t="str">
        <f t="shared" ref="M8403:M8407" si="1144">IF(A8403="","",I8403*K8403)</f>
        <v/>
      </c>
      <c r="N8403" s="273"/>
    </row>
    <row r="8404" spans="1:14" ht="12.75" customHeight="1" x14ac:dyDescent="0.2">
      <c r="A8404" s="400"/>
      <c r="B8404" s="271"/>
      <c r="C8404" s="271"/>
      <c r="D8404" s="271"/>
      <c r="E8404" s="271"/>
      <c r="F8404" s="271"/>
      <c r="G8404" s="273"/>
      <c r="H8404" s="29" t="str">
        <f>IF(A8404="","",VLOOKUP(A8404,AA_Materiales,7,FALSE))</f>
        <v/>
      </c>
      <c r="I8404" s="394" t="str">
        <f>IF(A8404="","",VLOOKUP(A8404,AA_Materiales,8,FALSE))</f>
        <v/>
      </c>
      <c r="J8404" s="273"/>
      <c r="K8404" s="395"/>
      <c r="L8404" s="273"/>
      <c r="M8404" s="394" t="str">
        <f t="shared" si="1144"/>
        <v/>
      </c>
      <c r="N8404" s="273"/>
    </row>
    <row r="8405" spans="1:14" ht="12.75" customHeight="1" x14ac:dyDescent="0.2">
      <c r="A8405" s="400"/>
      <c r="B8405" s="271"/>
      <c r="C8405" s="271"/>
      <c r="D8405" s="271"/>
      <c r="E8405" s="271"/>
      <c r="F8405" s="271"/>
      <c r="G8405" s="273"/>
      <c r="H8405" s="29" t="str">
        <f>IF(A8405="","",VLOOKUP(A8405,AA_Materiales,7,FALSE))</f>
        <v/>
      </c>
      <c r="I8405" s="394" t="str">
        <f>IF(A8405="","",VLOOKUP(A8405,AA_Materiales,8,FALSE))</f>
        <v/>
      </c>
      <c r="J8405" s="273"/>
      <c r="K8405" s="395"/>
      <c r="L8405" s="273"/>
      <c r="M8405" s="394" t="str">
        <f t="shared" si="1144"/>
        <v/>
      </c>
      <c r="N8405" s="273"/>
    </row>
    <row r="8406" spans="1:14" ht="12.75" customHeight="1" x14ac:dyDescent="0.2">
      <c r="A8406" s="400"/>
      <c r="B8406" s="271"/>
      <c r="C8406" s="271"/>
      <c r="D8406" s="271"/>
      <c r="E8406" s="271"/>
      <c r="F8406" s="271"/>
      <c r="G8406" s="273"/>
      <c r="H8406" s="29" t="str">
        <f>IF(A8406="","",VLOOKUP(A8406,AA_Materiales,7,FALSE))</f>
        <v/>
      </c>
      <c r="I8406" s="394" t="str">
        <f>IF(A8406="","",VLOOKUP(A8406,AA_Materiales,8,FALSE))</f>
        <v/>
      </c>
      <c r="J8406" s="273"/>
      <c r="K8406" s="395"/>
      <c r="L8406" s="273"/>
      <c r="M8406" s="394" t="str">
        <f t="shared" si="1144"/>
        <v/>
      </c>
      <c r="N8406" s="273"/>
    </row>
    <row r="8407" spans="1:14" ht="12.75" customHeight="1" x14ac:dyDescent="0.2">
      <c r="A8407" s="400"/>
      <c r="B8407" s="271"/>
      <c r="C8407" s="271"/>
      <c r="D8407" s="271"/>
      <c r="E8407" s="271"/>
      <c r="F8407" s="271"/>
      <c r="G8407" s="273"/>
      <c r="H8407" s="29" t="str">
        <f>IF(A8407="","",VLOOKUP(A8407,AA_Materiales,7,FALSE))</f>
        <v/>
      </c>
      <c r="I8407" s="394" t="str">
        <f>IF(A8407="","",VLOOKUP(A8407,AA_Materiales,8,FALSE))</f>
        <v/>
      </c>
      <c r="J8407" s="273"/>
      <c r="K8407" s="395"/>
      <c r="L8407" s="273"/>
      <c r="M8407" s="394" t="str">
        <f t="shared" si="1144"/>
        <v/>
      </c>
      <c r="N8407" s="273"/>
    </row>
    <row r="8408" spans="1:14" ht="12.75" customHeight="1" x14ac:dyDescent="0.25">
      <c r="A8408" s="4"/>
      <c r="B8408" s="4"/>
      <c r="C8408" s="4"/>
      <c r="D8408" s="4"/>
      <c r="E8408" s="4"/>
      <c r="F8408" s="4"/>
      <c r="G8408" s="4"/>
      <c r="H8408" s="4"/>
      <c r="I8408" s="4"/>
      <c r="J8408" s="4"/>
      <c r="K8408" s="396" t="s">
        <v>444</v>
      </c>
      <c r="L8408" s="273"/>
      <c r="M8408" s="394">
        <f>SUM(M8400:N8407)</f>
        <v>0</v>
      </c>
      <c r="N8408" s="273"/>
    </row>
    <row r="8409" spans="1:14" ht="12.75" customHeight="1" x14ac:dyDescent="0.25">
      <c r="A8409" s="4"/>
      <c r="B8409" s="4"/>
      <c r="C8409" s="4"/>
      <c r="D8409" s="4"/>
      <c r="E8409" s="4"/>
      <c r="F8409" s="4"/>
      <c r="G8409" s="4"/>
      <c r="H8409" s="4"/>
      <c r="I8409" s="4"/>
      <c r="J8409" s="4"/>
      <c r="K8409" s="4"/>
      <c r="L8409" s="4"/>
      <c r="M8409" s="4"/>
      <c r="N8409" s="4"/>
    </row>
    <row r="8410" spans="1:14" ht="12.75" customHeight="1" x14ac:dyDescent="0.2">
      <c r="A8410" s="398" t="s">
        <v>926</v>
      </c>
      <c r="B8410" s="271"/>
      <c r="C8410" s="271"/>
      <c r="D8410" s="271"/>
      <c r="E8410" s="271"/>
      <c r="F8410" s="271"/>
      <c r="G8410" s="271"/>
      <c r="H8410" s="271"/>
      <c r="I8410" s="271"/>
      <c r="J8410" s="271"/>
      <c r="K8410" s="271"/>
      <c r="L8410" s="271"/>
      <c r="M8410" s="271"/>
      <c r="N8410" s="273"/>
    </row>
    <row r="8411" spans="1:14" ht="12.75" customHeight="1" x14ac:dyDescent="0.2">
      <c r="A8411" s="396" t="s">
        <v>76</v>
      </c>
      <c r="B8411" s="271"/>
      <c r="C8411" s="271"/>
      <c r="D8411" s="271"/>
      <c r="E8411" s="271"/>
      <c r="F8411" s="271"/>
      <c r="G8411" s="273"/>
      <c r="H8411" s="88" t="s">
        <v>77</v>
      </c>
      <c r="I8411" s="399" t="s">
        <v>920</v>
      </c>
      <c r="J8411" s="273"/>
      <c r="K8411" s="399" t="s">
        <v>453</v>
      </c>
      <c r="L8411" s="273"/>
      <c r="M8411" s="399" t="s">
        <v>921</v>
      </c>
      <c r="N8411" s="273"/>
    </row>
    <row r="8412" spans="1:14" ht="12.75" customHeight="1" x14ac:dyDescent="0.2">
      <c r="A8412" s="400" t="s">
        <v>1378</v>
      </c>
      <c r="B8412" s="271"/>
      <c r="C8412" s="271"/>
      <c r="D8412" s="271"/>
      <c r="E8412" s="271"/>
      <c r="F8412" s="271"/>
      <c r="G8412" s="273"/>
      <c r="H8412" s="29" t="s">
        <v>1379</v>
      </c>
      <c r="I8412" s="394"/>
      <c r="J8412" s="273"/>
      <c r="K8412" s="416">
        <v>20</v>
      </c>
      <c r="L8412" s="273"/>
      <c r="M8412" s="394"/>
      <c r="N8412" s="273"/>
    </row>
    <row r="8413" spans="1:14" ht="12.75" customHeight="1" x14ac:dyDescent="0.2">
      <c r="A8413" s="400" t="s">
        <v>1380</v>
      </c>
      <c r="B8413" s="271"/>
      <c r="C8413" s="271"/>
      <c r="D8413" s="271"/>
      <c r="E8413" s="271"/>
      <c r="F8413" s="271"/>
      <c r="G8413" s="273"/>
      <c r="H8413" s="29" t="s">
        <v>1379</v>
      </c>
      <c r="I8413" s="394"/>
      <c r="J8413" s="273"/>
      <c r="K8413" s="416">
        <v>60</v>
      </c>
      <c r="L8413" s="273"/>
      <c r="M8413" s="394"/>
      <c r="N8413" s="273"/>
    </row>
    <row r="8414" spans="1:14" ht="12.75" customHeight="1" x14ac:dyDescent="0.2">
      <c r="A8414" s="400" t="s">
        <v>1381</v>
      </c>
      <c r="B8414" s="271"/>
      <c r="C8414" s="271"/>
      <c r="D8414" s="271"/>
      <c r="E8414" s="271"/>
      <c r="F8414" s="271"/>
      <c r="G8414" s="273"/>
      <c r="H8414" s="29" t="s">
        <v>1382</v>
      </c>
      <c r="I8414" s="394"/>
      <c r="J8414" s="273"/>
      <c r="K8414" s="395">
        <v>6</v>
      </c>
      <c r="L8414" s="273"/>
      <c r="M8414" s="394"/>
      <c r="N8414" s="273"/>
    </row>
    <row r="8415" spans="1:14" ht="12.75" customHeight="1" x14ac:dyDescent="0.2">
      <c r="A8415" s="400" t="s">
        <v>1383</v>
      </c>
      <c r="B8415" s="271"/>
      <c r="C8415" s="271"/>
      <c r="D8415" s="271"/>
      <c r="E8415" s="271"/>
      <c r="F8415" s="271"/>
      <c r="G8415" s="273"/>
      <c r="H8415" s="29" t="s">
        <v>1384</v>
      </c>
      <c r="I8415" s="394"/>
      <c r="J8415" s="273"/>
      <c r="K8415" s="395">
        <f>K8414*K8422</f>
        <v>10.14</v>
      </c>
      <c r="L8415" s="273"/>
      <c r="M8415" s="394"/>
      <c r="N8415" s="273"/>
    </row>
    <row r="8416" spans="1:14" ht="12.75" customHeight="1" x14ac:dyDescent="0.2">
      <c r="A8416" s="400" t="s">
        <v>1385</v>
      </c>
      <c r="B8416" s="271"/>
      <c r="C8416" s="271"/>
      <c r="D8416" s="271"/>
      <c r="E8416" s="271"/>
      <c r="F8416" s="271"/>
      <c r="G8416" s="273"/>
      <c r="H8416" s="29" t="s">
        <v>1382</v>
      </c>
      <c r="I8416" s="394"/>
      <c r="J8416" s="273"/>
      <c r="K8416" s="395">
        <v>0.2</v>
      </c>
      <c r="L8416" s="273"/>
      <c r="M8416" s="394"/>
      <c r="N8416" s="273"/>
    </row>
    <row r="8417" spans="1:14" ht="12.75" customHeight="1" x14ac:dyDescent="0.2">
      <c r="A8417" s="400" t="s">
        <v>1386</v>
      </c>
      <c r="B8417" s="271"/>
      <c r="C8417" s="271"/>
      <c r="D8417" s="271"/>
      <c r="E8417" s="271"/>
      <c r="F8417" s="271"/>
      <c r="G8417" s="273"/>
      <c r="H8417" s="29" t="s">
        <v>1387</v>
      </c>
      <c r="I8417" s="394"/>
      <c r="J8417" s="273"/>
      <c r="K8417" s="395">
        <v>1</v>
      </c>
      <c r="L8417" s="273"/>
      <c r="M8417" s="394"/>
      <c r="N8417" s="273"/>
    </row>
    <row r="8418" spans="1:14" ht="12.75" customHeight="1" x14ac:dyDescent="0.2">
      <c r="A8418" s="400" t="s">
        <v>1388</v>
      </c>
      <c r="B8418" s="271"/>
      <c r="C8418" s="271"/>
      <c r="D8418" s="271"/>
      <c r="E8418" s="271"/>
      <c r="F8418" s="271"/>
      <c r="G8418" s="273"/>
      <c r="H8418" s="29" t="s">
        <v>1389</v>
      </c>
      <c r="I8418" s="394"/>
      <c r="J8418" s="273"/>
      <c r="K8418" s="395">
        <v>1</v>
      </c>
      <c r="L8418" s="273"/>
      <c r="M8418" s="394"/>
      <c r="N8418" s="273"/>
    </row>
    <row r="8419" spans="1:14" ht="12.75" customHeight="1" x14ac:dyDescent="0.2">
      <c r="A8419" s="400" t="s">
        <v>1390</v>
      </c>
      <c r="B8419" s="271"/>
      <c r="C8419" s="271"/>
      <c r="D8419" s="271"/>
      <c r="E8419" s="271"/>
      <c r="F8419" s="271"/>
      <c r="G8419" s="273"/>
      <c r="H8419" s="29" t="s">
        <v>32</v>
      </c>
      <c r="I8419" s="394"/>
      <c r="J8419" s="273"/>
      <c r="K8419" s="395">
        <f>23.3+37.8</f>
        <v>61.099999999999994</v>
      </c>
      <c r="L8419" s="273"/>
      <c r="M8419" s="394"/>
      <c r="N8419" s="273"/>
    </row>
    <row r="8420" spans="1:14" ht="12.75" customHeight="1" x14ac:dyDescent="0.2">
      <c r="A8420" s="400" t="s">
        <v>1391</v>
      </c>
      <c r="B8420" s="271"/>
      <c r="C8420" s="271"/>
      <c r="D8420" s="271"/>
      <c r="E8420" s="271"/>
      <c r="F8420" s="271"/>
      <c r="G8420" s="273"/>
      <c r="H8420" s="29" t="s">
        <v>24</v>
      </c>
      <c r="I8420" s="394"/>
      <c r="J8420" s="273"/>
      <c r="K8420" s="395">
        <v>0.05</v>
      </c>
      <c r="L8420" s="273"/>
      <c r="M8420" s="394"/>
      <c r="N8420" s="273"/>
    </row>
    <row r="8421" spans="1:14" ht="12.75" customHeight="1" x14ac:dyDescent="0.2">
      <c r="A8421" s="400" t="s">
        <v>1392</v>
      </c>
      <c r="B8421" s="271"/>
      <c r="C8421" s="271"/>
      <c r="D8421" s="271"/>
      <c r="E8421" s="271"/>
      <c r="F8421" s="271"/>
      <c r="G8421" s="273"/>
      <c r="H8421" s="29" t="s">
        <v>24</v>
      </c>
      <c r="I8421" s="394"/>
      <c r="J8421" s="273"/>
      <c r="K8421" s="395">
        <v>0.3</v>
      </c>
      <c r="L8421" s="273"/>
      <c r="M8421" s="394"/>
      <c r="N8421" s="273"/>
    </row>
    <row r="8422" spans="1:14" ht="12.75" customHeight="1" x14ac:dyDescent="0.2">
      <c r="A8422" s="400" t="s">
        <v>1393</v>
      </c>
      <c r="B8422" s="271"/>
      <c r="C8422" s="271"/>
      <c r="D8422" s="271"/>
      <c r="E8422" s="271"/>
      <c r="F8422" s="271"/>
      <c r="G8422" s="273"/>
      <c r="H8422" s="29" t="s">
        <v>1394</v>
      </c>
      <c r="I8422" s="394"/>
      <c r="J8422" s="273"/>
      <c r="K8422" s="395">
        <v>1.69</v>
      </c>
      <c r="L8422" s="273"/>
      <c r="M8422" s="394"/>
      <c r="N8422" s="273"/>
    </row>
    <row r="8423" spans="1:14" ht="12.75" customHeight="1" x14ac:dyDescent="0.2">
      <c r="A8423" s="400" t="s">
        <v>1395</v>
      </c>
      <c r="B8423" s="271"/>
      <c r="C8423" s="271"/>
      <c r="D8423" s="271"/>
      <c r="E8423" s="271"/>
      <c r="F8423" s="271"/>
      <c r="G8423" s="273"/>
      <c r="H8423" s="29" t="s">
        <v>1396</v>
      </c>
      <c r="I8423" s="431">
        <f>EQUIPOS!$J$29</f>
        <v>120000</v>
      </c>
      <c r="J8423" s="273"/>
      <c r="K8423" s="395"/>
      <c r="L8423" s="273"/>
      <c r="M8423" s="394"/>
      <c r="N8423" s="273"/>
    </row>
    <row r="8424" spans="1:14" ht="12.75" customHeight="1" x14ac:dyDescent="0.2">
      <c r="A8424" s="400" t="s">
        <v>1397</v>
      </c>
      <c r="B8424" s="271"/>
      <c r="C8424" s="271"/>
      <c r="D8424" s="271"/>
      <c r="E8424" s="271"/>
      <c r="F8424" s="271"/>
      <c r="G8424" s="273"/>
      <c r="H8424" s="29" t="s">
        <v>1398</v>
      </c>
      <c r="I8424" s="394">
        <v>0</v>
      </c>
      <c r="J8424" s="273"/>
      <c r="K8424" s="395"/>
      <c r="L8424" s="273"/>
      <c r="M8424" s="394"/>
      <c r="N8424" s="273"/>
    </row>
    <row r="8425" spans="1:14" ht="12.75" customHeight="1" x14ac:dyDescent="0.2">
      <c r="A8425" s="400" t="s">
        <v>1399</v>
      </c>
      <c r="B8425" s="271"/>
      <c r="C8425" s="271"/>
      <c r="D8425" s="271"/>
      <c r="E8425" s="271"/>
      <c r="F8425" s="271"/>
      <c r="G8425" s="273"/>
      <c r="H8425" s="29" t="s">
        <v>1400</v>
      </c>
      <c r="I8425" s="394">
        <f>I8424/K8414</f>
        <v>0</v>
      </c>
      <c r="J8425" s="273"/>
      <c r="K8425" s="395"/>
      <c r="L8425" s="273"/>
      <c r="M8425" s="394"/>
      <c r="N8425" s="273"/>
    </row>
    <row r="8426" spans="1:14" ht="12.75" customHeight="1" x14ac:dyDescent="0.2">
      <c r="A8426" s="400" t="s">
        <v>1401</v>
      </c>
      <c r="B8426" s="271"/>
      <c r="C8426" s="271"/>
      <c r="D8426" s="271"/>
      <c r="E8426" s="271"/>
      <c r="F8426" s="271"/>
      <c r="G8426" s="273"/>
      <c r="H8426" s="29" t="s">
        <v>1402</v>
      </c>
      <c r="I8426" s="394"/>
      <c r="J8426" s="273"/>
      <c r="K8426" s="395">
        <f>ROUNDUP(K8415/(K8416*(1-K8420)*(1-K8421)*K8422),0)</f>
        <v>46</v>
      </c>
      <c r="L8426" s="273"/>
      <c r="M8426" s="394"/>
      <c r="N8426" s="273"/>
    </row>
    <row r="8427" spans="1:14" ht="12.75" customHeight="1" x14ac:dyDescent="0.2">
      <c r="A8427" s="400" t="s">
        <v>1403</v>
      </c>
      <c r="B8427" s="271"/>
      <c r="C8427" s="271"/>
      <c r="D8427" s="271"/>
      <c r="E8427" s="271"/>
      <c r="F8427" s="271"/>
      <c r="G8427" s="273"/>
      <c r="H8427" s="29" t="s">
        <v>1404</v>
      </c>
      <c r="I8427" s="394"/>
      <c r="J8427" s="273"/>
      <c r="K8427" s="395">
        <f>(K8417*K8426)/60</f>
        <v>0.76666666666666672</v>
      </c>
      <c r="L8427" s="273"/>
      <c r="M8427" s="394"/>
      <c r="N8427" s="273"/>
    </row>
    <row r="8428" spans="1:14" ht="12.75" customHeight="1" x14ac:dyDescent="0.2">
      <c r="A8428" s="400" t="s">
        <v>1405</v>
      </c>
      <c r="B8428" s="271"/>
      <c r="C8428" s="271"/>
      <c r="D8428" s="271"/>
      <c r="E8428" s="271"/>
      <c r="F8428" s="271"/>
      <c r="G8428" s="273"/>
      <c r="H8428" s="29" t="s">
        <v>1404</v>
      </c>
      <c r="I8428" s="394"/>
      <c r="J8428" s="273"/>
      <c r="K8428" s="395">
        <f>K8418/60</f>
        <v>1.6666666666666666E-2</v>
      </c>
      <c r="L8428" s="273"/>
      <c r="M8428" s="394"/>
      <c r="N8428" s="273"/>
    </row>
    <row r="8429" spans="1:14" ht="12.75" customHeight="1" x14ac:dyDescent="0.2">
      <c r="A8429" s="400" t="s">
        <v>1406</v>
      </c>
      <c r="B8429" s="271"/>
      <c r="C8429" s="271"/>
      <c r="D8429" s="271"/>
      <c r="E8429" s="271"/>
      <c r="F8429" s="271"/>
      <c r="G8429" s="273"/>
      <c r="H8429" s="29" t="s">
        <v>1404</v>
      </c>
      <c r="I8429" s="394"/>
      <c r="J8429" s="273"/>
      <c r="K8429" s="395">
        <f>K8419/K8412</f>
        <v>3.0549999999999997</v>
      </c>
      <c r="L8429" s="273"/>
      <c r="M8429" s="394"/>
      <c r="N8429" s="273"/>
    </row>
    <row r="8430" spans="1:14" ht="12.75" customHeight="1" x14ac:dyDescent="0.2">
      <c r="A8430" s="400" t="s">
        <v>1407</v>
      </c>
      <c r="B8430" s="271"/>
      <c r="C8430" s="271"/>
      <c r="D8430" s="271"/>
      <c r="E8430" s="271"/>
      <c r="F8430" s="271"/>
      <c r="G8430" s="273"/>
      <c r="H8430" s="29" t="s">
        <v>1404</v>
      </c>
      <c r="I8430" s="394"/>
      <c r="J8430" s="273"/>
      <c r="K8430" s="395">
        <f>K8419/K8413</f>
        <v>1.0183333333333333</v>
      </c>
      <c r="L8430" s="273"/>
      <c r="M8430" s="394"/>
      <c r="N8430" s="273"/>
    </row>
    <row r="8431" spans="1:14" ht="12.75" customHeight="1" x14ac:dyDescent="0.2">
      <c r="A8431" s="400" t="s">
        <v>1408</v>
      </c>
      <c r="B8431" s="271"/>
      <c r="C8431" s="271"/>
      <c r="D8431" s="271"/>
      <c r="E8431" s="271"/>
      <c r="F8431" s="271"/>
      <c r="G8431" s="273"/>
      <c r="H8431" s="29" t="s">
        <v>1404</v>
      </c>
      <c r="I8431" s="394"/>
      <c r="J8431" s="273"/>
      <c r="K8431" s="395">
        <f>SUM(K8427:K8430)</f>
        <v>4.8566666666666665</v>
      </c>
      <c r="L8431" s="273"/>
      <c r="M8431" s="394"/>
      <c r="N8431" s="273"/>
    </row>
    <row r="8432" spans="1:14" ht="12.75" customHeight="1" x14ac:dyDescent="0.2">
      <c r="A8432" s="400" t="s">
        <v>1409</v>
      </c>
      <c r="B8432" s="271"/>
      <c r="C8432" s="271"/>
      <c r="D8432" s="271"/>
      <c r="E8432" s="271"/>
      <c r="F8432" s="271"/>
      <c r="G8432" s="273"/>
      <c r="H8432" s="29" t="s">
        <v>1410</v>
      </c>
      <c r="I8432" s="394">
        <f>EQUIPOS!J28</f>
        <v>9357</v>
      </c>
      <c r="J8432" s="273"/>
      <c r="K8432" s="395"/>
      <c r="L8432" s="273"/>
      <c r="M8432" s="394"/>
      <c r="N8432" s="273"/>
    </row>
    <row r="8433" spans="1:14" ht="12.75" customHeight="1" x14ac:dyDescent="0.2">
      <c r="A8433" s="400" t="s">
        <v>1411</v>
      </c>
      <c r="B8433" s="271"/>
      <c r="C8433" s="271"/>
      <c r="D8433" s="271"/>
      <c r="E8433" s="271"/>
      <c r="F8433" s="271"/>
      <c r="G8433" s="273"/>
      <c r="H8433" s="29" t="s">
        <v>1412</v>
      </c>
      <c r="I8433" s="394"/>
      <c r="J8433" s="273"/>
      <c r="K8433" s="395">
        <v>8</v>
      </c>
      <c r="L8433" s="273"/>
      <c r="M8433" s="394"/>
      <c r="N8433" s="273"/>
    </row>
    <row r="8434" spans="1:14" ht="12.75" customHeight="1" x14ac:dyDescent="0.2">
      <c r="A8434" s="400" t="s">
        <v>1413</v>
      </c>
      <c r="B8434" s="271"/>
      <c r="C8434" s="271"/>
      <c r="D8434" s="271"/>
      <c r="E8434" s="271"/>
      <c r="F8434" s="271"/>
      <c r="G8434" s="273"/>
      <c r="H8434" s="29" t="s">
        <v>1414</v>
      </c>
      <c r="I8434" s="394"/>
      <c r="J8434" s="273"/>
      <c r="K8434" s="395"/>
      <c r="L8434" s="273"/>
      <c r="M8434" s="394">
        <f>((K8433*I8432)/100)*K8419</f>
        <v>45737.015999999996</v>
      </c>
      <c r="N8434" s="273"/>
    </row>
    <row r="8435" spans="1:14" ht="12.75" customHeight="1" x14ac:dyDescent="0.2">
      <c r="A8435" s="400" t="s">
        <v>1415</v>
      </c>
      <c r="B8435" s="271"/>
      <c r="C8435" s="271"/>
      <c r="D8435" s="271"/>
      <c r="E8435" s="271"/>
      <c r="F8435" s="271"/>
      <c r="G8435" s="273"/>
      <c r="H8435" s="29" t="s">
        <v>1414</v>
      </c>
      <c r="I8435" s="394"/>
      <c r="J8435" s="273"/>
      <c r="K8435" s="395"/>
      <c r="L8435" s="273"/>
      <c r="M8435" s="394">
        <f>((I8423*K8431)+I8424)+M8434</f>
        <v>628537.01599999995</v>
      </c>
      <c r="N8435" s="273"/>
    </row>
    <row r="8436" spans="1:14" ht="12.75" customHeight="1" x14ac:dyDescent="0.2">
      <c r="A8436" s="400" t="s">
        <v>1416</v>
      </c>
      <c r="B8436" s="271"/>
      <c r="C8436" s="271"/>
      <c r="D8436" s="271"/>
      <c r="E8436" s="271"/>
      <c r="F8436" s="271"/>
      <c r="G8436" s="273"/>
      <c r="H8436" s="29" t="s">
        <v>1417</v>
      </c>
      <c r="I8436" s="394"/>
      <c r="J8436" s="273"/>
      <c r="K8436" s="394">
        <f>K8419*K8414</f>
        <v>366.59999999999997</v>
      </c>
      <c r="L8436" s="273"/>
      <c r="M8436" s="394"/>
      <c r="N8436" s="273"/>
    </row>
    <row r="8437" spans="1:14" ht="12.75" customHeight="1" x14ac:dyDescent="0.25">
      <c r="A8437" s="4"/>
      <c r="B8437" s="4"/>
      <c r="C8437" s="4"/>
      <c r="D8437" s="4"/>
      <c r="E8437" s="4"/>
      <c r="F8437" s="4"/>
      <c r="G8437" s="4"/>
      <c r="H8437" s="4"/>
      <c r="I8437" s="4"/>
      <c r="J8437" s="4"/>
      <c r="K8437" s="396" t="s">
        <v>444</v>
      </c>
      <c r="L8437" s="273"/>
      <c r="M8437" s="394">
        <f>M8435/K8436</f>
        <v>1714.5035897435898</v>
      </c>
      <c r="N8437" s="273"/>
    </row>
    <row r="8438" spans="1:14" ht="12.75" customHeight="1" x14ac:dyDescent="0.25">
      <c r="A8438" s="4"/>
      <c r="B8438" s="4"/>
      <c r="C8438" s="4"/>
      <c r="D8438" s="4"/>
      <c r="E8438" s="4"/>
      <c r="F8438" s="4"/>
      <c r="G8438" s="4"/>
      <c r="H8438" s="4"/>
      <c r="I8438" s="4"/>
      <c r="J8438" s="4"/>
      <c r="K8438" s="4"/>
      <c r="L8438" s="4"/>
      <c r="M8438" s="4"/>
      <c r="N8438" s="4"/>
    </row>
    <row r="8439" spans="1:14" ht="12.75" customHeight="1" x14ac:dyDescent="0.2">
      <c r="A8439" s="398" t="s">
        <v>929</v>
      </c>
      <c r="B8439" s="271"/>
      <c r="C8439" s="271"/>
      <c r="D8439" s="271"/>
      <c r="E8439" s="271"/>
      <c r="F8439" s="271"/>
      <c r="G8439" s="271"/>
      <c r="H8439" s="271"/>
      <c r="I8439" s="271"/>
      <c r="J8439" s="271"/>
      <c r="K8439" s="271"/>
      <c r="L8439" s="271"/>
      <c r="M8439" s="271"/>
      <c r="N8439" s="273"/>
    </row>
    <row r="8440" spans="1:14" ht="12.75" customHeight="1" x14ac:dyDescent="0.2">
      <c r="A8440" s="396" t="s">
        <v>76</v>
      </c>
      <c r="B8440" s="271"/>
      <c r="C8440" s="271"/>
      <c r="D8440" s="271"/>
      <c r="E8440" s="271"/>
      <c r="F8440" s="271"/>
      <c r="G8440" s="273"/>
      <c r="H8440" s="88" t="s">
        <v>77</v>
      </c>
      <c r="I8440" s="399" t="s">
        <v>920</v>
      </c>
      <c r="J8440" s="273"/>
      <c r="K8440" s="399" t="s">
        <v>453</v>
      </c>
      <c r="L8440" s="273"/>
      <c r="M8440" s="399" t="s">
        <v>921</v>
      </c>
      <c r="N8440" s="273"/>
    </row>
    <row r="8441" spans="1:14" ht="12.75" customHeight="1" x14ac:dyDescent="0.2">
      <c r="A8441" s="403"/>
      <c r="B8441" s="271"/>
      <c r="C8441" s="271"/>
      <c r="D8441" s="271"/>
      <c r="E8441" s="271"/>
      <c r="F8441" s="271"/>
      <c r="G8441" s="273"/>
      <c r="H8441" s="29"/>
      <c r="I8441" s="394"/>
      <c r="J8441" s="273"/>
      <c r="K8441" s="404"/>
      <c r="L8441" s="273"/>
      <c r="M8441" s="394"/>
      <c r="N8441" s="273"/>
    </row>
    <row r="8442" spans="1:14" ht="12.75" customHeight="1" x14ac:dyDescent="0.2">
      <c r="A8442" s="400"/>
      <c r="B8442" s="271"/>
      <c r="C8442" s="271"/>
      <c r="D8442" s="271"/>
      <c r="E8442" s="271"/>
      <c r="F8442" s="271"/>
      <c r="G8442" s="273"/>
      <c r="H8442" s="29"/>
      <c r="I8442" s="394"/>
      <c r="J8442" s="273"/>
      <c r="K8442" s="395"/>
      <c r="L8442" s="273"/>
      <c r="M8442" s="394" t="str">
        <f t="shared" ref="M8442:M8444" si="1145">IF(A8442="","",I8442*K8442)</f>
        <v/>
      </c>
      <c r="N8442" s="273"/>
    </row>
    <row r="8443" spans="1:14" ht="12.75" customHeight="1" x14ac:dyDescent="0.2">
      <c r="A8443" s="400"/>
      <c r="B8443" s="271"/>
      <c r="C8443" s="271"/>
      <c r="D8443" s="271"/>
      <c r="E8443" s="271"/>
      <c r="F8443" s="271"/>
      <c r="G8443" s="273"/>
      <c r="H8443" s="29"/>
      <c r="I8443" s="394"/>
      <c r="J8443" s="273"/>
      <c r="K8443" s="395"/>
      <c r="L8443" s="273"/>
      <c r="M8443" s="394" t="str">
        <f t="shared" si="1145"/>
        <v/>
      </c>
      <c r="N8443" s="273"/>
    </row>
    <row r="8444" spans="1:14" ht="12.75" customHeight="1" x14ac:dyDescent="0.2">
      <c r="A8444" s="400"/>
      <c r="B8444" s="271"/>
      <c r="C8444" s="271"/>
      <c r="D8444" s="271"/>
      <c r="E8444" s="271"/>
      <c r="F8444" s="271"/>
      <c r="G8444" s="273"/>
      <c r="H8444" s="29"/>
      <c r="I8444" s="394"/>
      <c r="J8444" s="273"/>
      <c r="K8444" s="395"/>
      <c r="L8444" s="273"/>
      <c r="M8444" s="394" t="str">
        <f t="shared" si="1145"/>
        <v/>
      </c>
      <c r="N8444" s="273"/>
    </row>
    <row r="8445" spans="1:14" ht="12.75" customHeight="1" x14ac:dyDescent="0.25">
      <c r="A8445" s="4"/>
      <c r="B8445" s="4"/>
      <c r="C8445" s="4"/>
      <c r="D8445" s="4"/>
      <c r="E8445" s="4"/>
      <c r="F8445" s="4"/>
      <c r="G8445" s="4"/>
      <c r="H8445" s="4"/>
      <c r="I8445" s="4"/>
      <c r="J8445" s="4"/>
      <c r="K8445" s="396" t="s">
        <v>444</v>
      </c>
      <c r="L8445" s="273"/>
      <c r="M8445" s="394">
        <f>SUM(M8441:N8444)</f>
        <v>0</v>
      </c>
      <c r="N8445" s="273"/>
    </row>
    <row r="8446" spans="1:14" ht="12.75" customHeight="1" x14ac:dyDescent="0.25">
      <c r="A8446" s="4"/>
      <c r="B8446" s="4"/>
      <c r="C8446" s="4"/>
      <c r="D8446" s="4"/>
      <c r="E8446" s="4"/>
      <c r="F8446" s="4"/>
      <c r="G8446" s="4"/>
      <c r="H8446" s="4"/>
      <c r="I8446" s="4"/>
      <c r="J8446" s="4"/>
      <c r="K8446" s="4"/>
      <c r="L8446" s="4"/>
      <c r="M8446" s="4"/>
      <c r="N8446" s="4"/>
    </row>
    <row r="8447" spans="1:14" ht="12.75" customHeight="1" x14ac:dyDescent="0.2">
      <c r="A8447" s="398" t="s">
        <v>931</v>
      </c>
      <c r="B8447" s="271"/>
      <c r="C8447" s="271"/>
      <c r="D8447" s="271"/>
      <c r="E8447" s="271"/>
      <c r="F8447" s="271"/>
      <c r="G8447" s="271"/>
      <c r="H8447" s="271"/>
      <c r="I8447" s="271"/>
      <c r="J8447" s="271"/>
      <c r="K8447" s="271"/>
      <c r="L8447" s="271"/>
      <c r="M8447" s="271"/>
      <c r="N8447" s="273"/>
    </row>
    <row r="8448" spans="1:14" ht="12.75" customHeight="1" x14ac:dyDescent="0.2">
      <c r="A8448" s="396" t="s">
        <v>76</v>
      </c>
      <c r="B8448" s="271"/>
      <c r="C8448" s="271"/>
      <c r="D8448" s="271"/>
      <c r="E8448" s="271"/>
      <c r="F8448" s="271"/>
      <c r="G8448" s="273"/>
      <c r="H8448" s="88" t="s">
        <v>77</v>
      </c>
      <c r="I8448" s="399" t="s">
        <v>920</v>
      </c>
      <c r="J8448" s="273"/>
      <c r="K8448" s="90" t="s">
        <v>514</v>
      </c>
      <c r="L8448" s="91" t="s">
        <v>932</v>
      </c>
      <c r="M8448" s="399" t="s">
        <v>921</v>
      </c>
      <c r="N8448" s="273"/>
    </row>
    <row r="8449" spans="1:15" ht="12.75" customHeight="1" x14ac:dyDescent="0.25">
      <c r="A8449" s="393" t="s">
        <v>1418</v>
      </c>
      <c r="B8449" s="271"/>
      <c r="C8449" s="271"/>
      <c r="D8449" s="271"/>
      <c r="E8449" s="271"/>
      <c r="F8449" s="271"/>
      <c r="G8449" s="273"/>
      <c r="H8449" s="29" t="s">
        <v>1419</v>
      </c>
      <c r="I8449" s="394">
        <f>IF(A8449="","",VLOOKUP(A8449,AA_Cuadrillas,5,FALSE))</f>
        <v>116727</v>
      </c>
      <c r="J8449" s="273"/>
      <c r="K8449" s="9">
        <v>1.8765499999999999</v>
      </c>
      <c r="L8449" s="93">
        <f>(K8431/8)/K8436</f>
        <v>1.6559829059829062E-3</v>
      </c>
      <c r="M8449" s="394">
        <f t="shared" ref="M8449:M8453" si="1146">IF(A8449="","",I8449*K8449*L8449)</f>
        <v>362.73320552083334</v>
      </c>
      <c r="N8449" s="273"/>
    </row>
    <row r="8450" spans="1:15" ht="12.75" customHeight="1" x14ac:dyDescent="0.25">
      <c r="A8450" s="393"/>
      <c r="B8450" s="271"/>
      <c r="C8450" s="271"/>
      <c r="D8450" s="271"/>
      <c r="E8450" s="271"/>
      <c r="F8450" s="271"/>
      <c r="G8450" s="273"/>
      <c r="H8450" s="29" t="str">
        <f>IF(A8450="","",VLOOKUP(A8450,AA_Cuadrillas,4,FALSE))</f>
        <v/>
      </c>
      <c r="I8450" s="394" t="str">
        <f>IF(A8450="","",VLOOKUP(A8450,AA_Cuadrillas,5,FALSE))</f>
        <v/>
      </c>
      <c r="J8450" s="273"/>
      <c r="K8450" s="9" t="s">
        <v>1420</v>
      </c>
      <c r="L8450" s="9"/>
      <c r="M8450" s="394" t="str">
        <f t="shared" si="1146"/>
        <v/>
      </c>
      <c r="N8450" s="273"/>
    </row>
    <row r="8451" spans="1:15" ht="12.75" customHeight="1" x14ac:dyDescent="0.25">
      <c r="A8451" s="393"/>
      <c r="B8451" s="271"/>
      <c r="C8451" s="271"/>
      <c r="D8451" s="271"/>
      <c r="E8451" s="271"/>
      <c r="F8451" s="271"/>
      <c r="G8451" s="273"/>
      <c r="H8451" s="29" t="str">
        <f>IF(A8451="","",VLOOKUP(A8451,AA_Cuadrillas,4,FALSE))</f>
        <v/>
      </c>
      <c r="I8451" s="394" t="str">
        <f>IF(A8451="","",VLOOKUP(A8451,AA_Cuadrillas,5,FALSE))</f>
        <v/>
      </c>
      <c r="J8451" s="273"/>
      <c r="K8451" s="9" t="s">
        <v>1420</v>
      </c>
      <c r="L8451" s="37"/>
      <c r="M8451" s="394" t="str">
        <f t="shared" si="1146"/>
        <v/>
      </c>
      <c r="N8451" s="273"/>
    </row>
    <row r="8452" spans="1:15" ht="12.75" customHeight="1" x14ac:dyDescent="0.25">
      <c r="A8452" s="393"/>
      <c r="B8452" s="271"/>
      <c r="C8452" s="271"/>
      <c r="D8452" s="271"/>
      <c r="E8452" s="271"/>
      <c r="F8452" s="271"/>
      <c r="G8452" s="273"/>
      <c r="H8452" s="29" t="str">
        <f>IF(A8452="","",VLOOKUP(A8452,AA_Cuadrillas,4,FALSE))</f>
        <v/>
      </c>
      <c r="I8452" s="394" t="str">
        <f>IF(A8452="","",VLOOKUP(A8452,AA_Cuadrillas,5,FALSE))</f>
        <v/>
      </c>
      <c r="J8452" s="273"/>
      <c r="K8452" s="9" t="s">
        <v>1420</v>
      </c>
      <c r="L8452" s="37"/>
      <c r="M8452" s="394" t="str">
        <f t="shared" si="1146"/>
        <v/>
      </c>
      <c r="N8452" s="273"/>
    </row>
    <row r="8453" spans="1:15" ht="12.75" customHeight="1" x14ac:dyDescent="0.25">
      <c r="A8453" s="393"/>
      <c r="B8453" s="271"/>
      <c r="C8453" s="271"/>
      <c r="D8453" s="271"/>
      <c r="E8453" s="271"/>
      <c r="F8453" s="271"/>
      <c r="G8453" s="273"/>
      <c r="H8453" s="29" t="str">
        <f>IF(A8453="","",VLOOKUP(A8453,AA_Cuadrillas,4,FALSE))</f>
        <v/>
      </c>
      <c r="I8453" s="394" t="str">
        <f>IF(A8453="","",VLOOKUP(A8453,AA_Cuadrillas,5,FALSE))</f>
        <v/>
      </c>
      <c r="J8453" s="273"/>
      <c r="K8453" s="9" t="s">
        <v>1420</v>
      </c>
      <c r="L8453" s="37"/>
      <c r="M8453" s="394" t="str">
        <f t="shared" si="1146"/>
        <v/>
      </c>
      <c r="N8453" s="273"/>
    </row>
    <row r="8454" spans="1:15" ht="12.75" customHeight="1" x14ac:dyDescent="0.25">
      <c r="A8454" s="4"/>
      <c r="B8454" s="4"/>
      <c r="C8454" s="4"/>
      <c r="D8454" s="4"/>
      <c r="E8454" s="4"/>
      <c r="F8454" s="4"/>
      <c r="G8454" s="4"/>
      <c r="H8454" s="4"/>
      <c r="I8454" s="4"/>
      <c r="J8454" s="4"/>
      <c r="K8454" s="396" t="s">
        <v>444</v>
      </c>
      <c r="L8454" s="273"/>
      <c r="M8454" s="394">
        <f>SUM(M8449:N8453)</f>
        <v>362.73320552083334</v>
      </c>
      <c r="N8454" s="273"/>
    </row>
    <row r="8455" spans="1:15" ht="12.75" customHeight="1" x14ac:dyDescent="0.2"/>
    <row r="8456" spans="1:15" ht="12.75" customHeight="1" x14ac:dyDescent="0.2">
      <c r="A8456" s="407" t="s">
        <v>354</v>
      </c>
      <c r="B8456" s="275"/>
      <c r="C8456" s="275"/>
      <c r="D8456" s="275"/>
      <c r="E8456" s="275"/>
      <c r="F8456" s="275"/>
      <c r="G8456" s="275"/>
      <c r="H8456" s="275"/>
      <c r="I8456" s="275"/>
      <c r="J8456" s="275"/>
      <c r="K8456" s="275"/>
      <c r="L8456" s="275"/>
      <c r="M8456" s="275"/>
      <c r="N8456" s="276"/>
      <c r="O8456" s="166"/>
    </row>
    <row r="8457" spans="1:15" ht="12.75" customHeight="1" x14ac:dyDescent="0.2">
      <c r="A8457" s="277"/>
      <c r="B8457" s="278"/>
      <c r="C8457" s="278"/>
      <c r="D8457" s="278"/>
      <c r="E8457" s="278"/>
      <c r="F8457" s="278"/>
      <c r="G8457" s="278"/>
      <c r="H8457" s="278"/>
      <c r="I8457" s="278"/>
      <c r="J8457" s="278"/>
      <c r="K8457" s="278"/>
      <c r="L8457" s="278"/>
      <c r="M8457" s="278"/>
      <c r="N8457" s="279"/>
      <c r="O8457" s="166"/>
    </row>
    <row r="8458" spans="1:15" ht="12.75" customHeight="1" x14ac:dyDescent="0.2">
      <c r="A8458" s="75"/>
      <c r="B8458" s="75"/>
      <c r="C8458" s="75"/>
      <c r="D8458" s="75"/>
      <c r="E8458" s="75"/>
      <c r="F8458" s="75"/>
      <c r="G8458" s="75"/>
      <c r="H8458" s="75"/>
      <c r="I8458" s="75"/>
      <c r="J8458" s="75"/>
      <c r="K8458" s="75"/>
      <c r="L8458" s="75"/>
      <c r="M8458" s="75"/>
      <c r="N8458" s="75"/>
    </row>
    <row r="8459" spans="1:15" ht="12.75" customHeight="1" x14ac:dyDescent="0.3">
      <c r="A8459" s="79" t="s">
        <v>799</v>
      </c>
      <c r="B8459" s="80" t="str">
        <f>A8456</f>
        <v>EXCAVACIÓN MECÁNICA EN CONGLOMERADO</v>
      </c>
      <c r="C8459" s="81" t="s">
        <v>916</v>
      </c>
      <c r="D8459" s="82" t="s">
        <v>258</v>
      </c>
      <c r="E8459" s="83" t="s">
        <v>445</v>
      </c>
      <c r="F8459" s="234">
        <f>(H8459+J8459+L8459+N8459)*1.3</f>
        <v>19819.8</v>
      </c>
      <c r="G8459" s="83" t="s">
        <v>607</v>
      </c>
      <c r="H8459" s="86">
        <f>M8469</f>
        <v>0</v>
      </c>
      <c r="I8459" s="83" t="s">
        <v>918</v>
      </c>
      <c r="J8459" s="86">
        <f>M8478</f>
        <v>14520</v>
      </c>
      <c r="K8459" s="83" t="s">
        <v>609</v>
      </c>
      <c r="L8459" s="86">
        <f>M8487</f>
        <v>726</v>
      </c>
      <c r="M8459" s="83" t="s">
        <v>610</v>
      </c>
      <c r="N8459" s="86">
        <f>M8496</f>
        <v>0</v>
      </c>
    </row>
    <row r="8460" spans="1:15" ht="12.75" customHeight="1" x14ac:dyDescent="0.25">
      <c r="A8460" s="87"/>
      <c r="B8460" s="87"/>
      <c r="C8460" s="87"/>
      <c r="D8460" s="87"/>
      <c r="E8460" s="87"/>
      <c r="F8460" s="87"/>
      <c r="G8460" s="87"/>
      <c r="J8460" s="87"/>
      <c r="K8460" s="215" t="s">
        <v>3217</v>
      </c>
      <c r="L8460" s="215">
        <f>+F8459*presup!$O$5</f>
        <v>25765.74</v>
      </c>
      <c r="M8460" s="87"/>
      <c r="N8460" s="87"/>
    </row>
    <row r="8461" spans="1:15" ht="12.75" customHeight="1" x14ac:dyDescent="0.2">
      <c r="A8461" s="398" t="s">
        <v>919</v>
      </c>
      <c r="B8461" s="271"/>
      <c r="C8461" s="271"/>
      <c r="D8461" s="271"/>
      <c r="E8461" s="271"/>
      <c r="F8461" s="271"/>
      <c r="G8461" s="271"/>
      <c r="H8461" s="271"/>
      <c r="I8461" s="271"/>
      <c r="J8461" s="271"/>
      <c r="K8461" s="271"/>
      <c r="L8461" s="271"/>
      <c r="M8461" s="271"/>
      <c r="N8461" s="273"/>
    </row>
    <row r="8462" spans="1:15" ht="12.75" customHeight="1" x14ac:dyDescent="0.2">
      <c r="A8462" s="396" t="s">
        <v>76</v>
      </c>
      <c r="B8462" s="271"/>
      <c r="C8462" s="271"/>
      <c r="D8462" s="271"/>
      <c r="E8462" s="271"/>
      <c r="F8462" s="271"/>
      <c r="G8462" s="273"/>
      <c r="H8462" s="88" t="s">
        <v>77</v>
      </c>
      <c r="I8462" s="399" t="s">
        <v>920</v>
      </c>
      <c r="J8462" s="273"/>
      <c r="K8462" s="399" t="s">
        <v>453</v>
      </c>
      <c r="L8462" s="273"/>
      <c r="M8462" s="399" t="s">
        <v>921</v>
      </c>
      <c r="N8462" s="273"/>
    </row>
    <row r="8463" spans="1:15" ht="12.75" customHeight="1" x14ac:dyDescent="0.2">
      <c r="A8463" s="400"/>
      <c r="B8463" s="271"/>
      <c r="C8463" s="271"/>
      <c r="D8463" s="271"/>
      <c r="E8463" s="271"/>
      <c r="F8463" s="271"/>
      <c r="G8463" s="273"/>
      <c r="H8463" s="29" t="str">
        <f t="shared" ref="H8463:H8468" si="1147">IF(A8463="","",VLOOKUP(A8463,AA_Materiales,7,FALSE))</f>
        <v/>
      </c>
      <c r="I8463" s="394" t="str">
        <f t="shared" ref="I8463:I8468" si="1148">IF(A8463="","",VLOOKUP(A8463,AA_Materiales,8,FALSE))</f>
        <v/>
      </c>
      <c r="J8463" s="273"/>
      <c r="K8463" s="395"/>
      <c r="L8463" s="273"/>
      <c r="M8463" s="394" t="str">
        <f t="shared" ref="M8463:M8468" si="1149">IF(A8463="","",I8463*K8463)</f>
        <v/>
      </c>
      <c r="N8463" s="273"/>
    </row>
    <row r="8464" spans="1:15" ht="12.75" customHeight="1" x14ac:dyDescent="0.2">
      <c r="A8464" s="400"/>
      <c r="B8464" s="271"/>
      <c r="C8464" s="271"/>
      <c r="D8464" s="271"/>
      <c r="E8464" s="271"/>
      <c r="F8464" s="271"/>
      <c r="G8464" s="273"/>
      <c r="H8464" s="29" t="str">
        <f t="shared" si="1147"/>
        <v/>
      </c>
      <c r="I8464" s="394" t="str">
        <f t="shared" si="1148"/>
        <v/>
      </c>
      <c r="J8464" s="273"/>
      <c r="K8464" s="395"/>
      <c r="L8464" s="273"/>
      <c r="M8464" s="394" t="str">
        <f t="shared" si="1149"/>
        <v/>
      </c>
      <c r="N8464" s="273"/>
    </row>
    <row r="8465" spans="1:14" ht="12.75" customHeight="1" x14ac:dyDescent="0.2">
      <c r="A8465" s="400"/>
      <c r="B8465" s="271"/>
      <c r="C8465" s="271"/>
      <c r="D8465" s="271"/>
      <c r="E8465" s="271"/>
      <c r="F8465" s="271"/>
      <c r="G8465" s="273"/>
      <c r="H8465" s="29" t="str">
        <f t="shared" si="1147"/>
        <v/>
      </c>
      <c r="I8465" s="394" t="str">
        <f t="shared" si="1148"/>
        <v/>
      </c>
      <c r="J8465" s="273"/>
      <c r="K8465" s="395"/>
      <c r="L8465" s="273"/>
      <c r="M8465" s="394" t="str">
        <f t="shared" si="1149"/>
        <v/>
      </c>
      <c r="N8465" s="273"/>
    </row>
    <row r="8466" spans="1:14" ht="12.75" customHeight="1" x14ac:dyDescent="0.2">
      <c r="A8466" s="400"/>
      <c r="B8466" s="271"/>
      <c r="C8466" s="271"/>
      <c r="D8466" s="271"/>
      <c r="E8466" s="271"/>
      <c r="F8466" s="271"/>
      <c r="G8466" s="273"/>
      <c r="H8466" s="29" t="str">
        <f t="shared" si="1147"/>
        <v/>
      </c>
      <c r="I8466" s="394" t="str">
        <f t="shared" si="1148"/>
        <v/>
      </c>
      <c r="J8466" s="273"/>
      <c r="K8466" s="395"/>
      <c r="L8466" s="273"/>
      <c r="M8466" s="394" t="str">
        <f t="shared" si="1149"/>
        <v/>
      </c>
      <c r="N8466" s="273"/>
    </row>
    <row r="8467" spans="1:14" ht="12.75" customHeight="1" x14ac:dyDescent="0.2">
      <c r="A8467" s="400"/>
      <c r="B8467" s="271"/>
      <c r="C8467" s="271"/>
      <c r="D8467" s="271"/>
      <c r="E8467" s="271"/>
      <c r="F8467" s="271"/>
      <c r="G8467" s="273"/>
      <c r="H8467" s="29" t="str">
        <f t="shared" si="1147"/>
        <v/>
      </c>
      <c r="I8467" s="394" t="str">
        <f t="shared" si="1148"/>
        <v/>
      </c>
      <c r="J8467" s="273"/>
      <c r="K8467" s="395"/>
      <c r="L8467" s="273"/>
      <c r="M8467" s="394" t="str">
        <f t="shared" si="1149"/>
        <v/>
      </c>
      <c r="N8467" s="273"/>
    </row>
    <row r="8468" spans="1:14" ht="12.75" customHeight="1" x14ac:dyDescent="0.2">
      <c r="A8468" s="400"/>
      <c r="B8468" s="271"/>
      <c r="C8468" s="271"/>
      <c r="D8468" s="271"/>
      <c r="E8468" s="271"/>
      <c r="F8468" s="271"/>
      <c r="G8468" s="273"/>
      <c r="H8468" s="29" t="str">
        <f t="shared" si="1147"/>
        <v/>
      </c>
      <c r="I8468" s="394" t="str">
        <f t="shared" si="1148"/>
        <v/>
      </c>
      <c r="J8468" s="273"/>
      <c r="K8468" s="395"/>
      <c r="L8468" s="273"/>
      <c r="M8468" s="394" t="str">
        <f t="shared" si="1149"/>
        <v/>
      </c>
      <c r="N8468" s="273"/>
    </row>
    <row r="8469" spans="1:14" ht="12.75" customHeight="1" x14ac:dyDescent="0.25">
      <c r="A8469" s="4"/>
      <c r="B8469" s="4"/>
      <c r="C8469" s="4"/>
      <c r="D8469" s="4"/>
      <c r="E8469" s="4"/>
      <c r="F8469" s="4"/>
      <c r="G8469" s="4"/>
      <c r="H8469" s="4"/>
      <c r="I8469" s="4"/>
      <c r="J8469" s="4"/>
      <c r="K8469" s="396" t="s">
        <v>444</v>
      </c>
      <c r="L8469" s="273"/>
      <c r="M8469" s="394">
        <f>SUM(M8463:N8468)</f>
        <v>0</v>
      </c>
      <c r="N8469" s="273"/>
    </row>
    <row r="8470" spans="1:14" ht="12.75" customHeight="1" x14ac:dyDescent="0.25">
      <c r="A8470" s="4"/>
      <c r="B8470" s="4"/>
      <c r="C8470" s="4"/>
      <c r="D8470" s="4"/>
      <c r="E8470" s="4"/>
      <c r="F8470" s="4"/>
      <c r="G8470" s="4"/>
      <c r="H8470" s="4"/>
      <c r="I8470" s="4"/>
      <c r="J8470" s="4"/>
      <c r="K8470" s="4"/>
      <c r="L8470" s="4"/>
      <c r="M8470" s="4"/>
      <c r="N8470" s="4"/>
    </row>
    <row r="8471" spans="1:14" ht="12.75" customHeight="1" x14ac:dyDescent="0.2">
      <c r="A8471" s="398" t="s">
        <v>926</v>
      </c>
      <c r="B8471" s="271"/>
      <c r="C8471" s="271"/>
      <c r="D8471" s="271"/>
      <c r="E8471" s="271"/>
      <c r="F8471" s="271"/>
      <c r="G8471" s="271"/>
      <c r="H8471" s="271"/>
      <c r="I8471" s="271"/>
      <c r="J8471" s="271"/>
      <c r="K8471" s="271"/>
      <c r="L8471" s="271"/>
      <c r="M8471" s="271"/>
      <c r="N8471" s="273"/>
    </row>
    <row r="8472" spans="1:14" ht="12.75" customHeight="1" x14ac:dyDescent="0.2">
      <c r="A8472" s="396" t="s">
        <v>76</v>
      </c>
      <c r="B8472" s="271"/>
      <c r="C8472" s="271"/>
      <c r="D8472" s="271"/>
      <c r="E8472" s="271"/>
      <c r="F8472" s="271"/>
      <c r="G8472" s="273"/>
      <c r="H8472" s="88" t="s">
        <v>77</v>
      </c>
      <c r="I8472" s="399" t="s">
        <v>920</v>
      </c>
      <c r="J8472" s="273"/>
      <c r="K8472" s="399" t="s">
        <v>453</v>
      </c>
      <c r="L8472" s="273"/>
      <c r="M8472" s="399" t="s">
        <v>921</v>
      </c>
      <c r="N8472" s="273"/>
    </row>
    <row r="8473" spans="1:14" ht="12.75" customHeight="1" x14ac:dyDescent="0.2">
      <c r="A8473" s="400" t="s">
        <v>941</v>
      </c>
      <c r="B8473" s="271"/>
      <c r="C8473" s="271"/>
      <c r="D8473" s="271"/>
      <c r="E8473" s="271"/>
      <c r="F8473" s="271"/>
      <c r="G8473" s="273"/>
      <c r="H8473" s="29" t="str">
        <f>IF(A8473="","",VLOOKUP(A8473,AA_Equipos,7,FALSE))</f>
        <v>Hora</v>
      </c>
      <c r="I8473" s="394">
        <f>IF(A8473="","",VLOOKUP(A8473,AA_Equipos,8,FALSE))</f>
        <v>145200</v>
      </c>
      <c r="J8473" s="273"/>
      <c r="K8473" s="395">
        <f>1/10</f>
        <v>0.1</v>
      </c>
      <c r="L8473" s="273"/>
      <c r="M8473" s="394">
        <f t="shared" ref="M8473:M8477" si="1150">IF(A8473="","",I8473*K8473)</f>
        <v>14520</v>
      </c>
      <c r="N8473" s="273"/>
    </row>
    <row r="8474" spans="1:14" ht="12.75" customHeight="1" x14ac:dyDescent="0.2">
      <c r="A8474" s="403"/>
      <c r="B8474" s="271"/>
      <c r="C8474" s="271"/>
      <c r="D8474" s="271"/>
      <c r="E8474" s="271"/>
      <c r="F8474" s="271"/>
      <c r="G8474" s="273"/>
      <c r="H8474" s="29" t="str">
        <f>IF(A8474="","",VLOOKUP(A8474,AA_Equipos,7,FALSE))</f>
        <v/>
      </c>
      <c r="I8474" s="394" t="str">
        <f>IF(A8474="","",VLOOKUP(A8474,AA_Equipos,8,FALSE))</f>
        <v/>
      </c>
      <c r="J8474" s="273"/>
      <c r="K8474" s="402"/>
      <c r="L8474" s="273"/>
      <c r="M8474" s="394" t="str">
        <f t="shared" si="1150"/>
        <v/>
      </c>
      <c r="N8474" s="273"/>
    </row>
    <row r="8475" spans="1:14" ht="12.75" customHeight="1" x14ac:dyDescent="0.2">
      <c r="A8475" s="400"/>
      <c r="B8475" s="271"/>
      <c r="C8475" s="271"/>
      <c r="D8475" s="271"/>
      <c r="E8475" s="271"/>
      <c r="F8475" s="271"/>
      <c r="G8475" s="273"/>
      <c r="H8475" s="29" t="str">
        <f>IF(A8475="","",VLOOKUP(A8475,AA_Equipos,7,FALSE))</f>
        <v/>
      </c>
      <c r="I8475" s="394" t="str">
        <f>IF(A8475="","",VLOOKUP(A8475,AA_Equipos,8,FALSE))</f>
        <v/>
      </c>
      <c r="J8475" s="273"/>
      <c r="K8475" s="401"/>
      <c r="L8475" s="273"/>
      <c r="M8475" s="394" t="str">
        <f t="shared" si="1150"/>
        <v/>
      </c>
      <c r="N8475" s="273"/>
    </row>
    <row r="8476" spans="1:14" ht="12.75" customHeight="1" x14ac:dyDescent="0.2">
      <c r="A8476" s="400"/>
      <c r="B8476" s="271"/>
      <c r="C8476" s="271"/>
      <c r="D8476" s="271"/>
      <c r="E8476" s="271"/>
      <c r="F8476" s="271"/>
      <c r="G8476" s="273"/>
      <c r="H8476" s="29" t="str">
        <f>IF(A8476="","",VLOOKUP(A8476,AA_Equipos,7,FALSE))</f>
        <v/>
      </c>
      <c r="I8476" s="394" t="str">
        <f>IF(A8476="","",VLOOKUP(A8476,AA_Equipos,8,FALSE))</f>
        <v/>
      </c>
      <c r="J8476" s="273"/>
      <c r="K8476" s="395"/>
      <c r="L8476" s="273"/>
      <c r="M8476" s="394" t="str">
        <f t="shared" si="1150"/>
        <v/>
      </c>
      <c r="N8476" s="273"/>
    </row>
    <row r="8477" spans="1:14" ht="12.75" customHeight="1" x14ac:dyDescent="0.2">
      <c r="A8477" s="400"/>
      <c r="B8477" s="271"/>
      <c r="C8477" s="271"/>
      <c r="D8477" s="271"/>
      <c r="E8477" s="271"/>
      <c r="F8477" s="271"/>
      <c r="G8477" s="273"/>
      <c r="H8477" s="29" t="str">
        <f>IF(A8477="","",VLOOKUP(A8477,AA_Equipos,7,FALSE))</f>
        <v/>
      </c>
      <c r="I8477" s="394" t="str">
        <f>IF(A8477="","",VLOOKUP(A8477,AA_Equipos,8,FALSE))</f>
        <v/>
      </c>
      <c r="J8477" s="273"/>
      <c r="K8477" s="395"/>
      <c r="L8477" s="273"/>
      <c r="M8477" s="394" t="str">
        <f t="shared" si="1150"/>
        <v/>
      </c>
      <c r="N8477" s="273"/>
    </row>
    <row r="8478" spans="1:14" ht="12.75" customHeight="1" x14ac:dyDescent="0.25">
      <c r="A8478" s="4"/>
      <c r="B8478" s="4"/>
      <c r="C8478" s="4"/>
      <c r="D8478" s="4"/>
      <c r="E8478" s="4"/>
      <c r="F8478" s="4"/>
      <c r="G8478" s="4"/>
      <c r="H8478" s="4"/>
      <c r="I8478" s="4"/>
      <c r="J8478" s="4"/>
      <c r="K8478" s="396" t="s">
        <v>444</v>
      </c>
      <c r="L8478" s="273"/>
      <c r="M8478" s="394">
        <f>SUM(M8473:N8477)</f>
        <v>14520</v>
      </c>
      <c r="N8478" s="273"/>
    </row>
    <row r="8479" spans="1:14" ht="12.75" customHeight="1" x14ac:dyDescent="0.25">
      <c r="A8479" s="4"/>
      <c r="B8479" s="4"/>
      <c r="C8479" s="4"/>
      <c r="D8479" s="4"/>
      <c r="E8479" s="4"/>
      <c r="F8479" s="4"/>
      <c r="G8479" s="4"/>
      <c r="H8479" s="4"/>
      <c r="I8479" s="4"/>
      <c r="J8479" s="4"/>
      <c r="K8479" s="4"/>
      <c r="L8479" s="4"/>
      <c r="M8479" s="4"/>
      <c r="N8479" s="4"/>
    </row>
    <row r="8480" spans="1:14" ht="12.75" customHeight="1" x14ac:dyDescent="0.2">
      <c r="A8480" s="398" t="s">
        <v>929</v>
      </c>
      <c r="B8480" s="271"/>
      <c r="C8480" s="271"/>
      <c r="D8480" s="271"/>
      <c r="E8480" s="271"/>
      <c r="F8480" s="271"/>
      <c r="G8480" s="271"/>
      <c r="H8480" s="271"/>
      <c r="I8480" s="271"/>
      <c r="J8480" s="271"/>
      <c r="K8480" s="271"/>
      <c r="L8480" s="271"/>
      <c r="M8480" s="271"/>
      <c r="N8480" s="273"/>
    </row>
    <row r="8481" spans="1:14" ht="12.75" customHeight="1" x14ac:dyDescent="0.2">
      <c r="A8481" s="396" t="s">
        <v>76</v>
      </c>
      <c r="B8481" s="271"/>
      <c r="C8481" s="271"/>
      <c r="D8481" s="271"/>
      <c r="E8481" s="271"/>
      <c r="F8481" s="271"/>
      <c r="G8481" s="273"/>
      <c r="H8481" s="88" t="s">
        <v>77</v>
      </c>
      <c r="I8481" s="399" t="s">
        <v>920</v>
      </c>
      <c r="J8481" s="273"/>
      <c r="K8481" s="399" t="s">
        <v>453</v>
      </c>
      <c r="L8481" s="273"/>
      <c r="M8481" s="399" t="s">
        <v>921</v>
      </c>
      <c r="N8481" s="273"/>
    </row>
    <row r="8482" spans="1:14" ht="12.75" customHeight="1" x14ac:dyDescent="0.2">
      <c r="A8482" s="400" t="s">
        <v>3174</v>
      </c>
      <c r="B8482" s="271"/>
      <c r="C8482" s="271"/>
      <c r="D8482" s="271"/>
      <c r="E8482" s="271"/>
      <c r="F8482" s="271"/>
      <c r="G8482" s="273"/>
      <c r="H8482" s="29" t="s">
        <v>24</v>
      </c>
      <c r="I8482" s="394">
        <f>+M8478</f>
        <v>14520</v>
      </c>
      <c r="J8482" s="273"/>
      <c r="K8482" s="404">
        <v>0.05</v>
      </c>
      <c r="L8482" s="273"/>
      <c r="M8482" s="394">
        <f t="shared" ref="M8482:M8486" si="1151">IF(A8482="","",I8482*K8482)</f>
        <v>726</v>
      </c>
      <c r="N8482" s="273"/>
    </row>
    <row r="8483" spans="1:14" ht="12.75" customHeight="1" x14ac:dyDescent="0.2">
      <c r="A8483" s="403"/>
      <c r="B8483" s="271"/>
      <c r="C8483" s="271"/>
      <c r="D8483" s="271"/>
      <c r="E8483" s="271"/>
      <c r="F8483" s="271"/>
      <c r="G8483" s="273"/>
      <c r="H8483" s="29"/>
      <c r="I8483" s="394"/>
      <c r="J8483" s="273"/>
      <c r="K8483" s="404"/>
      <c r="L8483" s="273"/>
      <c r="M8483" s="394" t="str">
        <f t="shared" si="1151"/>
        <v/>
      </c>
      <c r="N8483" s="273"/>
    </row>
    <row r="8484" spans="1:14" ht="12.75" customHeight="1" x14ac:dyDescent="0.2">
      <c r="A8484" s="400"/>
      <c r="B8484" s="271"/>
      <c r="C8484" s="271"/>
      <c r="D8484" s="271"/>
      <c r="E8484" s="271"/>
      <c r="F8484" s="271"/>
      <c r="G8484" s="273"/>
      <c r="H8484" s="29"/>
      <c r="I8484" s="394"/>
      <c r="J8484" s="273"/>
      <c r="K8484" s="395"/>
      <c r="L8484" s="273"/>
      <c r="M8484" s="394" t="str">
        <f t="shared" si="1151"/>
        <v/>
      </c>
      <c r="N8484" s="273"/>
    </row>
    <row r="8485" spans="1:14" ht="12.75" customHeight="1" x14ac:dyDescent="0.2">
      <c r="A8485" s="400"/>
      <c r="B8485" s="271"/>
      <c r="C8485" s="271"/>
      <c r="D8485" s="271"/>
      <c r="E8485" s="271"/>
      <c r="F8485" s="271"/>
      <c r="G8485" s="273"/>
      <c r="H8485" s="29"/>
      <c r="I8485" s="394"/>
      <c r="J8485" s="273"/>
      <c r="K8485" s="395"/>
      <c r="L8485" s="273"/>
      <c r="M8485" s="394" t="str">
        <f t="shared" si="1151"/>
        <v/>
      </c>
      <c r="N8485" s="273"/>
    </row>
    <row r="8486" spans="1:14" ht="12.75" customHeight="1" x14ac:dyDescent="0.2">
      <c r="A8486" s="400"/>
      <c r="B8486" s="271"/>
      <c r="C8486" s="271"/>
      <c r="D8486" s="271"/>
      <c r="E8486" s="271"/>
      <c r="F8486" s="271"/>
      <c r="G8486" s="273"/>
      <c r="H8486" s="29"/>
      <c r="I8486" s="394"/>
      <c r="J8486" s="273"/>
      <c r="K8486" s="395"/>
      <c r="L8486" s="273"/>
      <c r="M8486" s="394" t="str">
        <f t="shared" si="1151"/>
        <v/>
      </c>
      <c r="N8486" s="273"/>
    </row>
    <row r="8487" spans="1:14" ht="12.75" customHeight="1" x14ac:dyDescent="0.25">
      <c r="A8487" s="4"/>
      <c r="B8487" s="4"/>
      <c r="C8487" s="4"/>
      <c r="D8487" s="4"/>
      <c r="E8487" s="4"/>
      <c r="F8487" s="4"/>
      <c r="G8487" s="4"/>
      <c r="H8487" s="4"/>
      <c r="I8487" s="4"/>
      <c r="J8487" s="4"/>
      <c r="K8487" s="396" t="s">
        <v>444</v>
      </c>
      <c r="L8487" s="273"/>
      <c r="M8487" s="394">
        <f>SUM(M8482:N8486)</f>
        <v>726</v>
      </c>
      <c r="N8487" s="273"/>
    </row>
    <row r="8488" spans="1:14" ht="12.75" customHeight="1" x14ac:dyDescent="0.25">
      <c r="A8488" s="4"/>
      <c r="B8488" s="4"/>
      <c r="C8488" s="4"/>
      <c r="D8488" s="4"/>
      <c r="E8488" s="4"/>
      <c r="F8488" s="4"/>
      <c r="G8488" s="4"/>
      <c r="H8488" s="4"/>
      <c r="I8488" s="4"/>
      <c r="J8488" s="4"/>
      <c r="K8488" s="4"/>
      <c r="L8488" s="4"/>
      <c r="M8488" s="4"/>
      <c r="N8488" s="4"/>
    </row>
    <row r="8489" spans="1:14" ht="12.75" customHeight="1" x14ac:dyDescent="0.2">
      <c r="A8489" s="398" t="s">
        <v>931</v>
      </c>
      <c r="B8489" s="271"/>
      <c r="C8489" s="271"/>
      <c r="D8489" s="271"/>
      <c r="E8489" s="271"/>
      <c r="F8489" s="271"/>
      <c r="G8489" s="271"/>
      <c r="H8489" s="271"/>
      <c r="I8489" s="271"/>
      <c r="J8489" s="271"/>
      <c r="K8489" s="271"/>
      <c r="L8489" s="271"/>
      <c r="M8489" s="271"/>
      <c r="N8489" s="273"/>
    </row>
    <row r="8490" spans="1:14" ht="12.75" customHeight="1" x14ac:dyDescent="0.2">
      <c r="A8490" s="396" t="s">
        <v>76</v>
      </c>
      <c r="B8490" s="271"/>
      <c r="C8490" s="271"/>
      <c r="D8490" s="271"/>
      <c r="E8490" s="271"/>
      <c r="F8490" s="271"/>
      <c r="G8490" s="273"/>
      <c r="H8490" s="88" t="s">
        <v>77</v>
      </c>
      <c r="I8490" s="399" t="s">
        <v>920</v>
      </c>
      <c r="J8490" s="273"/>
      <c r="K8490" s="90" t="s">
        <v>514</v>
      </c>
      <c r="L8490" s="91" t="s">
        <v>932</v>
      </c>
      <c r="M8490" s="399" t="s">
        <v>921</v>
      </c>
      <c r="N8490" s="273"/>
    </row>
    <row r="8491" spans="1:14" ht="12.75" customHeight="1" x14ac:dyDescent="0.25">
      <c r="A8491" s="393"/>
      <c r="B8491" s="271"/>
      <c r="C8491" s="271"/>
      <c r="D8491" s="271"/>
      <c r="E8491" s="271"/>
      <c r="F8491" s="271"/>
      <c r="G8491" s="273"/>
      <c r="H8491" s="29" t="str">
        <f>IF(A8491="","",VLOOKUP(A8491,AA_Cuadrillas,4,FALSE))</f>
        <v/>
      </c>
      <c r="I8491" s="394" t="str">
        <f>IF(A8491="","",VLOOKUP(A8491,AA_Cuadrillas,5,FALSE))</f>
        <v/>
      </c>
      <c r="J8491" s="273"/>
      <c r="K8491" s="9" t="str">
        <f>IF(A8491="","",F.P!$I$2)</f>
        <v/>
      </c>
      <c r="L8491" s="93"/>
      <c r="M8491" s="394" t="str">
        <f t="shared" ref="M8491:M8495" si="1152">IF(A8491="","",I8491*K8491*L8491)</f>
        <v/>
      </c>
      <c r="N8491" s="273"/>
    </row>
    <row r="8492" spans="1:14" ht="12.75" customHeight="1" x14ac:dyDescent="0.25">
      <c r="A8492" s="393"/>
      <c r="B8492" s="271"/>
      <c r="C8492" s="271"/>
      <c r="D8492" s="271"/>
      <c r="E8492" s="271"/>
      <c r="F8492" s="271"/>
      <c r="G8492" s="273"/>
      <c r="H8492" s="29" t="str">
        <f>IF(A8492="","",VLOOKUP(A8492,AA_Cuadrillas,4,FALSE))</f>
        <v/>
      </c>
      <c r="I8492" s="394" t="str">
        <f>IF(A8492="","",VLOOKUP(A8492,AA_Cuadrillas,5,FALSE))</f>
        <v/>
      </c>
      <c r="J8492" s="273"/>
      <c r="K8492" s="9" t="str">
        <f>IF(A8492="","",F.P!$I$2)</f>
        <v/>
      </c>
      <c r="L8492" s="9"/>
      <c r="M8492" s="394" t="str">
        <f t="shared" si="1152"/>
        <v/>
      </c>
      <c r="N8492" s="273"/>
    </row>
    <row r="8493" spans="1:14" ht="12.75" customHeight="1" x14ac:dyDescent="0.25">
      <c r="A8493" s="393"/>
      <c r="B8493" s="271"/>
      <c r="C8493" s="271"/>
      <c r="D8493" s="271"/>
      <c r="E8493" s="271"/>
      <c r="F8493" s="271"/>
      <c r="G8493" s="273"/>
      <c r="H8493" s="29" t="str">
        <f>IF(A8493="","",VLOOKUP(A8493,AA_Cuadrillas,4,FALSE))</f>
        <v/>
      </c>
      <c r="I8493" s="394" t="str">
        <f>IF(A8493="","",VLOOKUP(A8493,AA_Cuadrillas,5,FALSE))</f>
        <v/>
      </c>
      <c r="J8493" s="273"/>
      <c r="K8493" s="9" t="str">
        <f>IF(A8493="","",F.P!$I$2)</f>
        <v/>
      </c>
      <c r="L8493" s="37"/>
      <c r="M8493" s="394" t="str">
        <f t="shared" si="1152"/>
        <v/>
      </c>
      <c r="N8493" s="273"/>
    </row>
    <row r="8494" spans="1:14" ht="12.75" customHeight="1" x14ac:dyDescent="0.25">
      <c r="A8494" s="393"/>
      <c r="B8494" s="271"/>
      <c r="C8494" s="271"/>
      <c r="D8494" s="271"/>
      <c r="E8494" s="271"/>
      <c r="F8494" s="271"/>
      <c r="G8494" s="273"/>
      <c r="H8494" s="29" t="str">
        <f>IF(A8494="","",VLOOKUP(A8494,AA_Cuadrillas,4,FALSE))</f>
        <v/>
      </c>
      <c r="I8494" s="394" t="str">
        <f>IF(A8494="","",VLOOKUP(A8494,AA_Cuadrillas,5,FALSE))</f>
        <v/>
      </c>
      <c r="J8494" s="273"/>
      <c r="K8494" s="9" t="str">
        <f>IF(A8494="","",F.P!$I$2)</f>
        <v/>
      </c>
      <c r="L8494" s="37"/>
      <c r="M8494" s="394" t="str">
        <f t="shared" si="1152"/>
        <v/>
      </c>
      <c r="N8494" s="273"/>
    </row>
    <row r="8495" spans="1:14" ht="12.75" customHeight="1" x14ac:dyDescent="0.25">
      <c r="A8495" s="393"/>
      <c r="B8495" s="271"/>
      <c r="C8495" s="271"/>
      <c r="D8495" s="271"/>
      <c r="E8495" s="271"/>
      <c r="F8495" s="271"/>
      <c r="G8495" s="273"/>
      <c r="H8495" s="29" t="str">
        <f>IF(A8495="","",VLOOKUP(A8495,AA_Cuadrillas,4,FALSE))</f>
        <v/>
      </c>
      <c r="I8495" s="394" t="str">
        <f>IF(A8495="","",VLOOKUP(A8495,AA_Cuadrillas,5,FALSE))</f>
        <v/>
      </c>
      <c r="J8495" s="273"/>
      <c r="K8495" s="9" t="str">
        <f>IF(A8495="","",F.P!$I$2)</f>
        <v/>
      </c>
      <c r="L8495" s="37"/>
      <c r="M8495" s="394" t="str">
        <f t="shared" si="1152"/>
        <v/>
      </c>
      <c r="N8495" s="273"/>
    </row>
    <row r="8496" spans="1:14" ht="12.75" customHeight="1" x14ac:dyDescent="0.25">
      <c r="A8496" s="4"/>
      <c r="B8496" s="4"/>
      <c r="C8496" s="4"/>
      <c r="D8496" s="4"/>
      <c r="E8496" s="4"/>
      <c r="F8496" s="4"/>
      <c r="G8496" s="4"/>
      <c r="H8496" s="4"/>
      <c r="I8496" s="4"/>
      <c r="J8496" s="4"/>
      <c r="K8496" s="396" t="s">
        <v>444</v>
      </c>
      <c r="L8496" s="273"/>
      <c r="M8496" s="394">
        <f>SUM(M8491:N8495)</f>
        <v>0</v>
      </c>
      <c r="N8496" s="273"/>
    </row>
    <row r="8497" spans="1:14" ht="12.75" customHeight="1" x14ac:dyDescent="0.2"/>
    <row r="8498" spans="1:14" ht="12.75" customHeight="1" x14ac:dyDescent="0.2">
      <c r="A8498" s="397" t="s">
        <v>1421</v>
      </c>
      <c r="B8498" s="275"/>
      <c r="C8498" s="275"/>
      <c r="D8498" s="275"/>
      <c r="E8498" s="275"/>
      <c r="F8498" s="275"/>
      <c r="G8498" s="275"/>
      <c r="H8498" s="275"/>
      <c r="I8498" s="275"/>
      <c r="J8498" s="275"/>
      <c r="K8498" s="275"/>
      <c r="L8498" s="275"/>
      <c r="M8498" s="275"/>
      <c r="N8498" s="276"/>
    </row>
    <row r="8499" spans="1:14" ht="12.75" customHeight="1" x14ac:dyDescent="0.2">
      <c r="A8499" s="277"/>
      <c r="B8499" s="278"/>
      <c r="C8499" s="278"/>
      <c r="D8499" s="278"/>
      <c r="E8499" s="278"/>
      <c r="F8499" s="278"/>
      <c r="G8499" s="278"/>
      <c r="H8499" s="278"/>
      <c r="I8499" s="278"/>
      <c r="J8499" s="278"/>
      <c r="K8499" s="278"/>
      <c r="L8499" s="278"/>
      <c r="M8499" s="278"/>
      <c r="N8499" s="279"/>
    </row>
    <row r="8500" spans="1:14" ht="12.75" customHeight="1" x14ac:dyDescent="0.2">
      <c r="A8500" s="75"/>
      <c r="B8500" s="75"/>
      <c r="C8500" s="75"/>
      <c r="D8500" s="75"/>
      <c r="E8500" s="75"/>
      <c r="F8500" s="75"/>
      <c r="G8500" s="75"/>
      <c r="H8500" s="75"/>
      <c r="I8500" s="75"/>
      <c r="J8500" s="75"/>
      <c r="K8500" s="75"/>
      <c r="L8500" s="75"/>
      <c r="M8500" s="75"/>
      <c r="N8500" s="75"/>
    </row>
    <row r="8501" spans="1:14" ht="12.75" customHeight="1" x14ac:dyDescent="0.3">
      <c r="A8501" s="79" t="s">
        <v>800</v>
      </c>
      <c r="B8501" s="80" t="str">
        <f>A8498</f>
        <v>REPOSICIÓN DE VÍAS EN AFIRMADO (INCLUYE MATERIALES, EQUIPOS, HERRAMIENTAS Y MANO DE OBRA)</v>
      </c>
      <c r="C8501" s="81" t="s">
        <v>916</v>
      </c>
      <c r="D8501" s="82" t="s">
        <v>258</v>
      </c>
      <c r="E8501" s="83" t="s">
        <v>445</v>
      </c>
      <c r="F8501" s="86">
        <f>H8501+J8501+L8501+N8501</f>
        <v>232984.82998613856</v>
      </c>
      <c r="G8501" s="83" t="s">
        <v>607</v>
      </c>
      <c r="H8501" s="86">
        <f>M8510</f>
        <v>93743.274000000005</v>
      </c>
      <c r="I8501" s="83" t="s">
        <v>918</v>
      </c>
      <c r="J8501" s="86">
        <f>M8519</f>
        <v>24273.489454545455</v>
      </c>
      <c r="K8501" s="83" t="s">
        <v>609</v>
      </c>
      <c r="L8501" s="86">
        <f>M8528</f>
        <v>102998.277440684</v>
      </c>
      <c r="M8501" s="83" t="s">
        <v>610</v>
      </c>
      <c r="N8501" s="86">
        <f>M8537</f>
        <v>11969.789090909091</v>
      </c>
    </row>
    <row r="8502" spans="1:14" ht="12.75" customHeight="1" x14ac:dyDescent="0.25">
      <c r="A8502" s="87"/>
      <c r="B8502" s="87"/>
      <c r="C8502" s="87"/>
      <c r="D8502" s="87"/>
      <c r="E8502" s="87"/>
      <c r="F8502" s="87"/>
      <c r="G8502" s="87"/>
      <c r="J8502" s="87"/>
      <c r="K8502" s="215" t="s">
        <v>3217</v>
      </c>
      <c r="L8502" s="215">
        <f>+F8501*presup!$O$5</f>
        <v>302880.27898198011</v>
      </c>
      <c r="M8502" s="87"/>
      <c r="N8502" s="87"/>
    </row>
    <row r="8503" spans="1:14" ht="12.75" customHeight="1" x14ac:dyDescent="0.2">
      <c r="A8503" s="398" t="s">
        <v>919</v>
      </c>
      <c r="B8503" s="271"/>
      <c r="C8503" s="271"/>
      <c r="D8503" s="271"/>
      <c r="E8503" s="271"/>
      <c r="F8503" s="271"/>
      <c r="G8503" s="271"/>
      <c r="H8503" s="271"/>
      <c r="I8503" s="271"/>
      <c r="J8503" s="271"/>
      <c r="K8503" s="271"/>
      <c r="L8503" s="271"/>
      <c r="M8503" s="271"/>
      <c r="N8503" s="273"/>
    </row>
    <row r="8504" spans="1:14" ht="12.75" customHeight="1" x14ac:dyDescent="0.2">
      <c r="A8504" s="396" t="s">
        <v>76</v>
      </c>
      <c r="B8504" s="271"/>
      <c r="C8504" s="271"/>
      <c r="D8504" s="271"/>
      <c r="E8504" s="271"/>
      <c r="F8504" s="271"/>
      <c r="G8504" s="273"/>
      <c r="H8504" s="88" t="s">
        <v>77</v>
      </c>
      <c r="I8504" s="399" t="s">
        <v>920</v>
      </c>
      <c r="J8504" s="273"/>
      <c r="K8504" s="399" t="s">
        <v>453</v>
      </c>
      <c r="L8504" s="273"/>
      <c r="M8504" s="399" t="s">
        <v>921</v>
      </c>
      <c r="N8504" s="273"/>
    </row>
    <row r="8505" spans="1:14" ht="12.75" customHeight="1" x14ac:dyDescent="0.2">
      <c r="A8505" s="400" t="s">
        <v>16</v>
      </c>
      <c r="B8505" s="271"/>
      <c r="C8505" s="271"/>
      <c r="D8505" s="271"/>
      <c r="E8505" s="271"/>
      <c r="F8505" s="271"/>
      <c r="G8505" s="273"/>
      <c r="H8505" s="29" t="str">
        <f>IF(A8505="","",VLOOKUP(A8505,AA_Materiales,7,FALSE))</f>
        <v>m3</v>
      </c>
      <c r="I8505" s="394">
        <f>IF(A8505="","",VLOOKUP(A8505,AA_Materiales,8,FALSE))</f>
        <v>71340.98</v>
      </c>
      <c r="J8505" s="273"/>
      <c r="K8505" s="395">
        <v>1.3</v>
      </c>
      <c r="L8505" s="273"/>
      <c r="M8505" s="394">
        <f t="shared" ref="M8505:M8509" si="1153">IF(A8505="","",I8505*K8505)</f>
        <v>92743.274000000005</v>
      </c>
      <c r="N8505" s="273"/>
    </row>
    <row r="8506" spans="1:14" ht="12.75" customHeight="1" x14ac:dyDescent="0.2">
      <c r="A8506" s="400" t="s">
        <v>956</v>
      </c>
      <c r="B8506" s="271"/>
      <c r="C8506" s="271"/>
      <c r="D8506" s="271"/>
      <c r="E8506" s="271"/>
      <c r="F8506" s="271"/>
      <c r="G8506" s="273"/>
      <c r="H8506" s="29" t="str">
        <f>IF(A8506="","",VLOOKUP(A8506,AA_Materiales,7,FALSE))</f>
        <v>Lt</v>
      </c>
      <c r="I8506" s="394">
        <f>IF(A8506="","",VLOOKUP(A8506,AA_Materiales,8,FALSE))</f>
        <v>20</v>
      </c>
      <c r="J8506" s="273"/>
      <c r="K8506" s="395">
        <v>50</v>
      </c>
      <c r="L8506" s="273"/>
      <c r="M8506" s="394">
        <f t="shared" si="1153"/>
        <v>1000</v>
      </c>
      <c r="N8506" s="273"/>
    </row>
    <row r="8507" spans="1:14" ht="12.75" customHeight="1" x14ac:dyDescent="0.2">
      <c r="A8507" s="400"/>
      <c r="B8507" s="271"/>
      <c r="C8507" s="271"/>
      <c r="D8507" s="271"/>
      <c r="E8507" s="271"/>
      <c r="F8507" s="271"/>
      <c r="G8507" s="273"/>
      <c r="H8507" s="29" t="str">
        <f>IF(A8507="","",VLOOKUP(A8507,AA_Materiales,7,FALSE))</f>
        <v/>
      </c>
      <c r="I8507" s="394" t="str">
        <f>IF(A8507="","",VLOOKUP(A8507,AA_Materiales,8,FALSE))</f>
        <v/>
      </c>
      <c r="J8507" s="273"/>
      <c r="K8507" s="395"/>
      <c r="L8507" s="273"/>
      <c r="M8507" s="394" t="str">
        <f t="shared" si="1153"/>
        <v/>
      </c>
      <c r="N8507" s="273"/>
    </row>
    <row r="8508" spans="1:14" ht="12.75" customHeight="1" x14ac:dyDescent="0.2">
      <c r="A8508" s="400"/>
      <c r="B8508" s="271"/>
      <c r="C8508" s="271"/>
      <c r="D8508" s="271"/>
      <c r="E8508" s="271"/>
      <c r="F8508" s="271"/>
      <c r="G8508" s="273"/>
      <c r="H8508" s="29" t="str">
        <f>IF(A8508="","",VLOOKUP(A8508,AA_Materiales,7,FALSE))</f>
        <v/>
      </c>
      <c r="I8508" s="394" t="str">
        <f>IF(A8508="","",VLOOKUP(A8508,AA_Materiales,8,FALSE))</f>
        <v/>
      </c>
      <c r="J8508" s="273"/>
      <c r="K8508" s="395"/>
      <c r="L8508" s="273"/>
      <c r="M8508" s="394" t="str">
        <f t="shared" si="1153"/>
        <v/>
      </c>
      <c r="N8508" s="273"/>
    </row>
    <row r="8509" spans="1:14" ht="12.75" customHeight="1" x14ac:dyDescent="0.2">
      <c r="A8509" s="400"/>
      <c r="B8509" s="271"/>
      <c r="C8509" s="271"/>
      <c r="D8509" s="271"/>
      <c r="E8509" s="271"/>
      <c r="F8509" s="271"/>
      <c r="G8509" s="273"/>
      <c r="H8509" s="29" t="str">
        <f>IF(A8509="","",VLOOKUP(A8509,AA_Materiales,7,FALSE))</f>
        <v/>
      </c>
      <c r="I8509" s="394" t="str">
        <f>IF(A8509="","",VLOOKUP(A8509,AA_Materiales,8,FALSE))</f>
        <v/>
      </c>
      <c r="J8509" s="273"/>
      <c r="K8509" s="395"/>
      <c r="L8509" s="273"/>
      <c r="M8509" s="394" t="str">
        <f t="shared" si="1153"/>
        <v/>
      </c>
      <c r="N8509" s="273"/>
    </row>
    <row r="8510" spans="1:14" ht="12.75" customHeight="1" x14ac:dyDescent="0.25">
      <c r="A8510" s="4"/>
      <c r="B8510" s="4"/>
      <c r="C8510" s="4"/>
      <c r="D8510" s="4"/>
      <c r="E8510" s="4"/>
      <c r="F8510" s="4"/>
      <c r="G8510" s="4"/>
      <c r="H8510" s="4"/>
      <c r="I8510" s="4"/>
      <c r="J8510" s="4"/>
      <c r="K8510" s="396" t="s">
        <v>444</v>
      </c>
      <c r="L8510" s="273"/>
      <c r="M8510" s="394">
        <f>SUM(M8505:N8509)</f>
        <v>93743.274000000005</v>
      </c>
      <c r="N8510" s="273"/>
    </row>
    <row r="8511" spans="1:14" ht="12.75" customHeight="1" x14ac:dyDescent="0.25">
      <c r="A8511" s="4"/>
      <c r="B8511" s="4"/>
      <c r="C8511" s="4"/>
      <c r="D8511" s="4"/>
      <c r="E8511" s="4"/>
      <c r="F8511" s="4"/>
      <c r="G8511" s="4"/>
      <c r="H8511" s="4"/>
      <c r="I8511" s="4"/>
      <c r="J8511" s="4"/>
      <c r="K8511" s="4"/>
      <c r="L8511" s="4"/>
      <c r="M8511" s="4"/>
      <c r="N8511" s="4"/>
    </row>
    <row r="8512" spans="1:14" ht="12.75" customHeight="1" x14ac:dyDescent="0.2">
      <c r="A8512" s="398" t="s">
        <v>926</v>
      </c>
      <c r="B8512" s="271"/>
      <c r="C8512" s="271"/>
      <c r="D8512" s="271"/>
      <c r="E8512" s="271"/>
      <c r="F8512" s="271"/>
      <c r="G8512" s="271"/>
      <c r="H8512" s="271"/>
      <c r="I8512" s="271"/>
      <c r="J8512" s="271"/>
      <c r="K8512" s="271"/>
      <c r="L8512" s="271"/>
      <c r="M8512" s="271"/>
      <c r="N8512" s="273"/>
    </row>
    <row r="8513" spans="1:14" ht="12.75" customHeight="1" x14ac:dyDescent="0.2">
      <c r="A8513" s="396" t="s">
        <v>76</v>
      </c>
      <c r="B8513" s="271"/>
      <c r="C8513" s="271"/>
      <c r="D8513" s="271"/>
      <c r="E8513" s="271"/>
      <c r="F8513" s="271"/>
      <c r="G8513" s="273"/>
      <c r="H8513" s="88" t="s">
        <v>77</v>
      </c>
      <c r="I8513" s="399" t="s">
        <v>920</v>
      </c>
      <c r="J8513" s="273"/>
      <c r="K8513" s="399" t="s">
        <v>453</v>
      </c>
      <c r="L8513" s="273"/>
      <c r="M8513" s="399" t="s">
        <v>921</v>
      </c>
      <c r="N8513" s="273"/>
    </row>
    <row r="8514" spans="1:14" ht="12.75" customHeight="1" x14ac:dyDescent="0.2">
      <c r="A8514" s="400" t="s">
        <v>927</v>
      </c>
      <c r="B8514" s="271"/>
      <c r="C8514" s="271"/>
      <c r="D8514" s="271"/>
      <c r="E8514" s="271"/>
      <c r="F8514" s="271"/>
      <c r="G8514" s="273"/>
      <c r="H8514" s="29" t="str">
        <f>IF(A8514="","",VLOOKUP(A8514,AA_Equipos,7,FALSE))</f>
        <v>% M.O.</v>
      </c>
      <c r="I8514" s="394">
        <f>M8537</f>
        <v>11969.789090909091</v>
      </c>
      <c r="J8514" s="273"/>
      <c r="K8514" s="395">
        <v>0.05</v>
      </c>
      <c r="L8514" s="273"/>
      <c r="M8514" s="394">
        <f t="shared" ref="M8514:M8518" si="1154">IF(A8514="","",I8514*K8514)</f>
        <v>598.48945454545458</v>
      </c>
      <c r="N8514" s="273"/>
    </row>
    <row r="8515" spans="1:14" ht="12.75" customHeight="1" x14ac:dyDescent="0.2">
      <c r="A8515" s="403" t="s">
        <v>1422</v>
      </c>
      <c r="B8515" s="271"/>
      <c r="C8515" s="271"/>
      <c r="D8515" s="271"/>
      <c r="E8515" s="271"/>
      <c r="F8515" s="271"/>
      <c r="G8515" s="273"/>
      <c r="H8515" s="29" t="str">
        <f>IF(A8515="","",VLOOKUP(A8515,AA_Equipos,7,FALSE))</f>
        <v>Día</v>
      </c>
      <c r="I8515" s="394">
        <f>IF(A8515="","",VLOOKUP(A8515,AA_Equipos,8,FALSE))</f>
        <v>407000</v>
      </c>
      <c r="J8515" s="273"/>
      <c r="K8515" s="402">
        <f t="shared" ref="K8515:K8517" si="1155">1/40</f>
        <v>2.5000000000000001E-2</v>
      </c>
      <c r="L8515" s="273"/>
      <c r="M8515" s="394">
        <f t="shared" si="1154"/>
        <v>10175</v>
      </c>
      <c r="N8515" s="273"/>
    </row>
    <row r="8516" spans="1:14" ht="12.75" customHeight="1" x14ac:dyDescent="0.2">
      <c r="A8516" s="400" t="s">
        <v>1423</v>
      </c>
      <c r="B8516" s="271"/>
      <c r="C8516" s="271"/>
      <c r="D8516" s="271"/>
      <c r="E8516" s="271"/>
      <c r="F8516" s="271"/>
      <c r="G8516" s="273"/>
      <c r="H8516" s="29" t="str">
        <f>IF(A8516="","",VLOOKUP(A8516,AA_Equipos,7,FALSE))</f>
        <v>Día</v>
      </c>
      <c r="I8516" s="394">
        <f>IF(A8516="","",VLOOKUP(A8516,AA_Equipos,8,FALSE))</f>
        <v>350000</v>
      </c>
      <c r="J8516" s="273"/>
      <c r="K8516" s="402">
        <f t="shared" si="1155"/>
        <v>2.5000000000000001E-2</v>
      </c>
      <c r="L8516" s="273"/>
      <c r="M8516" s="394">
        <f t="shared" si="1154"/>
        <v>8750</v>
      </c>
      <c r="N8516" s="273"/>
    </row>
    <row r="8517" spans="1:14" ht="12.75" customHeight="1" x14ac:dyDescent="0.2">
      <c r="A8517" s="400" t="s">
        <v>1424</v>
      </c>
      <c r="B8517" s="271"/>
      <c r="C8517" s="271"/>
      <c r="D8517" s="271"/>
      <c r="E8517" s="271"/>
      <c r="F8517" s="271"/>
      <c r="G8517" s="273"/>
      <c r="H8517" s="29" t="str">
        <f>IF(A8517="","",VLOOKUP(A8517,AA_Equipos,7,FALSE))</f>
        <v>Día</v>
      </c>
      <c r="I8517" s="394">
        <f>IF(A8517="","",VLOOKUP(A8517,AA_Equipos,8,FALSE))</f>
        <v>190000</v>
      </c>
      <c r="J8517" s="273"/>
      <c r="K8517" s="402">
        <f t="shared" si="1155"/>
        <v>2.5000000000000001E-2</v>
      </c>
      <c r="L8517" s="273"/>
      <c r="M8517" s="394">
        <f t="shared" si="1154"/>
        <v>4750</v>
      </c>
      <c r="N8517" s="273"/>
    </row>
    <row r="8518" spans="1:14" ht="12.75" customHeight="1" x14ac:dyDescent="0.2">
      <c r="A8518" s="400"/>
      <c r="B8518" s="271"/>
      <c r="C8518" s="271"/>
      <c r="D8518" s="271"/>
      <c r="E8518" s="271"/>
      <c r="F8518" s="271"/>
      <c r="G8518" s="273"/>
      <c r="H8518" s="29" t="str">
        <f>IF(A8518="","",VLOOKUP(A8518,AA_Equipos,7,FALSE))</f>
        <v/>
      </c>
      <c r="I8518" s="394" t="str">
        <f>IF(A8518="","",VLOOKUP(A8518,AA_Equipos,8,FALSE))</f>
        <v/>
      </c>
      <c r="J8518" s="273"/>
      <c r="K8518" s="395"/>
      <c r="L8518" s="273"/>
      <c r="M8518" s="394" t="str">
        <f t="shared" si="1154"/>
        <v/>
      </c>
      <c r="N8518" s="273"/>
    </row>
    <row r="8519" spans="1:14" ht="12.75" customHeight="1" x14ac:dyDescent="0.25">
      <c r="A8519" s="4"/>
      <c r="B8519" s="4"/>
      <c r="C8519" s="4"/>
      <c r="D8519" s="4"/>
      <c r="E8519" s="4"/>
      <c r="F8519" s="4"/>
      <c r="G8519" s="4"/>
      <c r="H8519" s="4"/>
      <c r="I8519" s="4"/>
      <c r="J8519" s="4"/>
      <c r="K8519" s="396" t="s">
        <v>444</v>
      </c>
      <c r="L8519" s="273"/>
      <c r="M8519" s="394">
        <f>SUM(M8514:N8518)</f>
        <v>24273.489454545455</v>
      </c>
      <c r="N8519" s="273"/>
    </row>
    <row r="8520" spans="1:14" ht="12.75" customHeight="1" x14ac:dyDescent="0.25">
      <c r="A8520" s="4"/>
      <c r="B8520" s="4"/>
      <c r="C8520" s="4"/>
      <c r="D8520" s="4"/>
      <c r="E8520" s="4"/>
      <c r="F8520" s="4"/>
      <c r="G8520" s="4"/>
      <c r="H8520" s="4"/>
      <c r="I8520" s="4"/>
      <c r="J8520" s="4"/>
      <c r="K8520" s="4"/>
      <c r="L8520" s="4"/>
      <c r="M8520" s="4"/>
      <c r="N8520" s="4"/>
    </row>
    <row r="8521" spans="1:14" ht="12.75" customHeight="1" x14ac:dyDescent="0.2">
      <c r="A8521" s="398" t="s">
        <v>929</v>
      </c>
      <c r="B8521" s="271"/>
      <c r="C8521" s="271"/>
      <c r="D8521" s="271"/>
      <c r="E8521" s="271"/>
      <c r="F8521" s="271"/>
      <c r="G8521" s="271"/>
      <c r="H8521" s="271"/>
      <c r="I8521" s="271"/>
      <c r="J8521" s="271"/>
      <c r="K8521" s="271"/>
      <c r="L8521" s="271"/>
      <c r="M8521" s="271"/>
      <c r="N8521" s="273"/>
    </row>
    <row r="8522" spans="1:14" ht="12.75" customHeight="1" x14ac:dyDescent="0.2">
      <c r="A8522" s="396" t="s">
        <v>76</v>
      </c>
      <c r="B8522" s="271"/>
      <c r="C8522" s="271"/>
      <c r="D8522" s="271"/>
      <c r="E8522" s="271"/>
      <c r="F8522" s="271"/>
      <c r="G8522" s="273"/>
      <c r="H8522" s="88" t="s">
        <v>77</v>
      </c>
      <c r="I8522" s="399" t="s">
        <v>920</v>
      </c>
      <c r="J8522" s="273"/>
      <c r="K8522" s="399" t="s">
        <v>453</v>
      </c>
      <c r="L8522" s="273"/>
      <c r="M8522" s="399" t="s">
        <v>921</v>
      </c>
      <c r="N8522" s="273"/>
    </row>
    <row r="8523" spans="1:14" ht="12.75" customHeight="1" x14ac:dyDescent="0.2">
      <c r="A8523" s="400" t="s">
        <v>943</v>
      </c>
      <c r="B8523" s="271"/>
      <c r="C8523" s="271"/>
      <c r="D8523" s="271"/>
      <c r="E8523" s="271"/>
      <c r="F8523" s="271"/>
      <c r="G8523" s="273"/>
      <c r="H8523" s="29" t="s">
        <v>944</v>
      </c>
      <c r="I8523" s="394">
        <f>+M8519</f>
        <v>24273.489454545455</v>
      </c>
      <c r="J8523" s="273"/>
      <c r="K8523" s="404">
        <v>0.05</v>
      </c>
      <c r="L8523" s="273"/>
      <c r="M8523" s="394">
        <f t="shared" ref="M8523:M8527" si="1156">IF(A8523="","",I8523*K8523)</f>
        <v>1213.6744727272728</v>
      </c>
      <c r="N8523" s="273"/>
    </row>
    <row r="8524" spans="1:14" ht="12.75" customHeight="1" x14ac:dyDescent="0.2">
      <c r="A8524" s="403" t="s">
        <v>960</v>
      </c>
      <c r="B8524" s="271"/>
      <c r="C8524" s="271"/>
      <c r="D8524" s="271"/>
      <c r="E8524" s="271"/>
      <c r="F8524" s="271"/>
      <c r="G8524" s="273"/>
      <c r="H8524" s="29" t="s">
        <v>967</v>
      </c>
      <c r="I8524" s="394">
        <f>+'precios '!$J$222</f>
        <v>2077.2367952644231</v>
      </c>
      <c r="J8524" s="273"/>
      <c r="K8524" s="417">
        <f>+Indice!$L$21</f>
        <v>49</v>
      </c>
      <c r="L8524" s="273"/>
      <c r="M8524" s="394">
        <f t="shared" si="1156"/>
        <v>101784.60296795673</v>
      </c>
      <c r="N8524" s="273"/>
    </row>
    <row r="8525" spans="1:14" ht="12.75" customHeight="1" x14ac:dyDescent="0.2">
      <c r="A8525" s="400"/>
      <c r="B8525" s="271"/>
      <c r="C8525" s="271"/>
      <c r="D8525" s="271"/>
      <c r="E8525" s="271"/>
      <c r="F8525" s="271"/>
      <c r="G8525" s="273"/>
      <c r="H8525" s="29"/>
      <c r="I8525" s="394"/>
      <c r="J8525" s="273"/>
      <c r="K8525" s="395"/>
      <c r="L8525" s="273"/>
      <c r="M8525" s="394" t="str">
        <f t="shared" si="1156"/>
        <v/>
      </c>
      <c r="N8525" s="273"/>
    </row>
    <row r="8526" spans="1:14" ht="12.75" customHeight="1" x14ac:dyDescent="0.2">
      <c r="A8526" s="400"/>
      <c r="B8526" s="271"/>
      <c r="C8526" s="271"/>
      <c r="D8526" s="271"/>
      <c r="E8526" s="271"/>
      <c r="F8526" s="271"/>
      <c r="G8526" s="273"/>
      <c r="H8526" s="29"/>
      <c r="I8526" s="394"/>
      <c r="J8526" s="273"/>
      <c r="K8526" s="395"/>
      <c r="L8526" s="273"/>
      <c r="M8526" s="394" t="str">
        <f t="shared" si="1156"/>
        <v/>
      </c>
      <c r="N8526" s="273"/>
    </row>
    <row r="8527" spans="1:14" ht="12.75" customHeight="1" x14ac:dyDescent="0.2">
      <c r="A8527" s="400"/>
      <c r="B8527" s="271"/>
      <c r="C8527" s="271"/>
      <c r="D8527" s="271"/>
      <c r="E8527" s="271"/>
      <c r="F8527" s="271"/>
      <c r="G8527" s="273"/>
      <c r="H8527" s="29"/>
      <c r="I8527" s="394"/>
      <c r="J8527" s="273"/>
      <c r="K8527" s="395"/>
      <c r="L8527" s="273"/>
      <c r="M8527" s="394" t="str">
        <f t="shared" si="1156"/>
        <v/>
      </c>
      <c r="N8527" s="273"/>
    </row>
    <row r="8528" spans="1:14" ht="12.75" customHeight="1" x14ac:dyDescent="0.25">
      <c r="A8528" s="4"/>
      <c r="B8528" s="4"/>
      <c r="C8528" s="4"/>
      <c r="D8528" s="4"/>
      <c r="E8528" s="4"/>
      <c r="F8528" s="4"/>
      <c r="G8528" s="4"/>
      <c r="H8528" s="4"/>
      <c r="I8528" s="4"/>
      <c r="J8528" s="4"/>
      <c r="K8528" s="396" t="s">
        <v>444</v>
      </c>
      <c r="L8528" s="273"/>
      <c r="M8528" s="394">
        <f>SUM(M8523:N8527)</f>
        <v>102998.277440684</v>
      </c>
      <c r="N8528" s="273"/>
    </row>
    <row r="8529" spans="1:14" ht="12.75" customHeight="1" x14ac:dyDescent="0.25">
      <c r="A8529" s="4"/>
      <c r="B8529" s="4"/>
      <c r="C8529" s="4"/>
      <c r="D8529" s="4"/>
      <c r="E8529" s="4"/>
      <c r="F8529" s="4"/>
      <c r="G8529" s="4"/>
      <c r="H8529" s="4"/>
      <c r="I8529" s="4"/>
      <c r="J8529" s="4"/>
      <c r="K8529" s="4"/>
      <c r="L8529" s="4"/>
      <c r="M8529" s="4"/>
      <c r="N8529" s="4"/>
    </row>
    <row r="8530" spans="1:14" ht="12.75" customHeight="1" x14ac:dyDescent="0.2">
      <c r="A8530" s="398" t="s">
        <v>931</v>
      </c>
      <c r="B8530" s="271"/>
      <c r="C8530" s="271"/>
      <c r="D8530" s="271"/>
      <c r="E8530" s="271"/>
      <c r="F8530" s="271"/>
      <c r="G8530" s="271"/>
      <c r="H8530" s="271"/>
      <c r="I8530" s="271"/>
      <c r="J8530" s="271"/>
      <c r="K8530" s="271"/>
      <c r="L8530" s="271"/>
      <c r="M8530" s="271"/>
      <c r="N8530" s="273"/>
    </row>
    <row r="8531" spans="1:14" ht="12.75" customHeight="1" x14ac:dyDescent="0.2">
      <c r="A8531" s="396" t="s">
        <v>76</v>
      </c>
      <c r="B8531" s="271"/>
      <c r="C8531" s="271"/>
      <c r="D8531" s="271"/>
      <c r="E8531" s="271"/>
      <c r="F8531" s="271"/>
      <c r="G8531" s="273"/>
      <c r="H8531" s="88" t="s">
        <v>77</v>
      </c>
      <c r="I8531" s="399" t="s">
        <v>920</v>
      </c>
      <c r="J8531" s="273"/>
      <c r="K8531" s="90" t="s">
        <v>514</v>
      </c>
      <c r="L8531" s="91" t="s">
        <v>932</v>
      </c>
      <c r="M8531" s="399" t="s">
        <v>921</v>
      </c>
      <c r="N8531" s="273"/>
    </row>
    <row r="8532" spans="1:14" ht="12.75" customHeight="1" x14ac:dyDescent="0.25">
      <c r="A8532" s="393" t="s">
        <v>936</v>
      </c>
      <c r="B8532" s="271"/>
      <c r="C8532" s="271"/>
      <c r="D8532" s="271"/>
      <c r="E8532" s="271"/>
      <c r="F8532" s="271"/>
      <c r="G8532" s="273"/>
      <c r="H8532" s="29" t="str">
        <f>IF(A8532="","",VLOOKUP(A8532,AA_Cuadrillas,4,FALSE))</f>
        <v>Cuadrilla</v>
      </c>
      <c r="I8532" s="394">
        <f>IF(A8532="","",VLOOKUP(A8532,AA_Cuadrillas,5,FALSE))</f>
        <v>70036</v>
      </c>
      <c r="J8532" s="273"/>
      <c r="K8532" s="9">
        <f>IF(A8532="","",F.P!$I$2)</f>
        <v>1.88</v>
      </c>
      <c r="L8532" s="93">
        <v>9.0909090909090912E-2</v>
      </c>
      <c r="M8532" s="394">
        <f t="shared" ref="M8532:M8536" si="1157">IF(A8532="","",I8532*K8532*L8532)</f>
        <v>11969.789090909091</v>
      </c>
      <c r="N8532" s="273"/>
    </row>
    <row r="8533" spans="1:14" ht="12.75" customHeight="1" x14ac:dyDescent="0.25">
      <c r="A8533" s="393"/>
      <c r="B8533" s="271"/>
      <c r="C8533" s="271"/>
      <c r="D8533" s="271"/>
      <c r="E8533" s="271"/>
      <c r="F8533" s="271"/>
      <c r="G8533" s="273"/>
      <c r="H8533" s="29" t="str">
        <f>IF(A8533="","",VLOOKUP(A8533,AA_Cuadrillas,4,FALSE))</f>
        <v/>
      </c>
      <c r="I8533" s="394" t="str">
        <f>IF(A8533="","",VLOOKUP(A8533,AA_Cuadrillas,5,FALSE))</f>
        <v/>
      </c>
      <c r="J8533" s="273"/>
      <c r="K8533" s="9" t="str">
        <f>IF(A8533="","",F.P!$I$2)</f>
        <v/>
      </c>
      <c r="L8533" s="9"/>
      <c r="M8533" s="394" t="str">
        <f t="shared" si="1157"/>
        <v/>
      </c>
      <c r="N8533" s="273"/>
    </row>
    <row r="8534" spans="1:14" ht="12.75" customHeight="1" x14ac:dyDescent="0.25">
      <c r="A8534" s="393"/>
      <c r="B8534" s="271"/>
      <c r="C8534" s="271"/>
      <c r="D8534" s="271"/>
      <c r="E8534" s="271"/>
      <c r="F8534" s="271"/>
      <c r="G8534" s="273"/>
      <c r="H8534" s="29" t="str">
        <f>IF(A8534="","",VLOOKUP(A8534,AA_Cuadrillas,4,FALSE))</f>
        <v/>
      </c>
      <c r="I8534" s="394" t="str">
        <f>IF(A8534="","",VLOOKUP(A8534,AA_Cuadrillas,5,FALSE))</f>
        <v/>
      </c>
      <c r="J8534" s="273"/>
      <c r="K8534" s="9" t="str">
        <f>IF(A8534="","",F.P!$I$2)</f>
        <v/>
      </c>
      <c r="L8534" s="37"/>
      <c r="M8534" s="394" t="str">
        <f t="shared" si="1157"/>
        <v/>
      </c>
      <c r="N8534" s="273"/>
    </row>
    <row r="8535" spans="1:14" ht="12.75" customHeight="1" x14ac:dyDescent="0.25">
      <c r="A8535" s="393"/>
      <c r="B8535" s="271"/>
      <c r="C8535" s="271"/>
      <c r="D8535" s="271"/>
      <c r="E8535" s="271"/>
      <c r="F8535" s="271"/>
      <c r="G8535" s="273"/>
      <c r="H8535" s="29" t="str">
        <f>IF(A8535="","",VLOOKUP(A8535,AA_Cuadrillas,4,FALSE))</f>
        <v/>
      </c>
      <c r="I8535" s="394" t="str">
        <f>IF(A8535="","",VLOOKUP(A8535,AA_Cuadrillas,5,FALSE))</f>
        <v/>
      </c>
      <c r="J8535" s="273"/>
      <c r="K8535" s="9" t="str">
        <f>IF(A8535="","",F.P!$I$2)</f>
        <v/>
      </c>
      <c r="L8535" s="37"/>
      <c r="M8535" s="394" t="str">
        <f t="shared" si="1157"/>
        <v/>
      </c>
      <c r="N8535" s="273"/>
    </row>
    <row r="8536" spans="1:14" ht="12.75" customHeight="1" x14ac:dyDescent="0.25">
      <c r="A8536" s="393"/>
      <c r="B8536" s="271"/>
      <c r="C8536" s="271"/>
      <c r="D8536" s="271"/>
      <c r="E8536" s="271"/>
      <c r="F8536" s="271"/>
      <c r="G8536" s="273"/>
      <c r="H8536" s="29" t="str">
        <f>IF(A8536="","",VLOOKUP(A8536,AA_Cuadrillas,4,FALSE))</f>
        <v/>
      </c>
      <c r="I8536" s="394" t="str">
        <f>IF(A8536="","",VLOOKUP(A8536,AA_Cuadrillas,5,FALSE))</f>
        <v/>
      </c>
      <c r="J8536" s="273"/>
      <c r="K8536" s="9" t="str">
        <f>IF(A8536="","",F.P!$I$2)</f>
        <v/>
      </c>
      <c r="L8536" s="37"/>
      <c r="M8536" s="394" t="str">
        <f t="shared" si="1157"/>
        <v/>
      </c>
      <c r="N8536" s="273"/>
    </row>
    <row r="8537" spans="1:14" ht="12.75" customHeight="1" x14ac:dyDescent="0.25">
      <c r="A8537" s="4"/>
      <c r="B8537" s="4"/>
      <c r="C8537" s="4"/>
      <c r="D8537" s="4"/>
      <c r="E8537" s="4"/>
      <c r="F8537" s="4"/>
      <c r="G8537" s="4"/>
      <c r="H8537" s="4"/>
      <c r="I8537" s="4"/>
      <c r="J8537" s="4"/>
      <c r="K8537" s="396" t="s">
        <v>444</v>
      </c>
      <c r="L8537" s="273"/>
      <c r="M8537" s="394">
        <f>SUM(M8532:N8536)</f>
        <v>11969.789090909091</v>
      </c>
      <c r="N8537" s="273"/>
    </row>
    <row r="8538" spans="1:14" ht="12.75" customHeight="1" x14ac:dyDescent="0.2"/>
    <row r="8539" spans="1:14" ht="12.75" customHeight="1" x14ac:dyDescent="0.2">
      <c r="A8539" s="397" t="s">
        <v>359</v>
      </c>
      <c r="B8539" s="275"/>
      <c r="C8539" s="275"/>
      <c r="D8539" s="275"/>
      <c r="E8539" s="275"/>
      <c r="F8539" s="275"/>
      <c r="G8539" s="275"/>
      <c r="H8539" s="275"/>
      <c r="I8539" s="275"/>
      <c r="J8539" s="275"/>
      <c r="K8539" s="275"/>
      <c r="L8539" s="275"/>
      <c r="M8539" s="275"/>
      <c r="N8539" s="276"/>
    </row>
    <row r="8540" spans="1:14" ht="12.75" customHeight="1" x14ac:dyDescent="0.2">
      <c r="A8540" s="277"/>
      <c r="B8540" s="278"/>
      <c r="C8540" s="278"/>
      <c r="D8540" s="278"/>
      <c r="E8540" s="278"/>
      <c r="F8540" s="278"/>
      <c r="G8540" s="278"/>
      <c r="H8540" s="278"/>
      <c r="I8540" s="278"/>
      <c r="J8540" s="278"/>
      <c r="K8540" s="278"/>
      <c r="L8540" s="278"/>
      <c r="M8540" s="278"/>
      <c r="N8540" s="279"/>
    </row>
    <row r="8541" spans="1:14" ht="12.75" customHeight="1" x14ac:dyDescent="0.2">
      <c r="A8541" s="75"/>
      <c r="B8541" s="75"/>
      <c r="C8541" s="75"/>
      <c r="D8541" s="75"/>
      <c r="E8541" s="75"/>
      <c r="F8541" s="75"/>
      <c r="G8541" s="75"/>
      <c r="H8541" s="75"/>
      <c r="I8541" s="75"/>
      <c r="J8541" s="75"/>
      <c r="K8541" s="75"/>
      <c r="L8541" s="75"/>
      <c r="M8541" s="75"/>
      <c r="N8541" s="75"/>
    </row>
    <row r="8542" spans="1:14" ht="12.75" customHeight="1" x14ac:dyDescent="0.3">
      <c r="A8542" s="79" t="s">
        <v>801</v>
      </c>
      <c r="B8542" s="80" t="str">
        <f>A8539</f>
        <v>REPOSICIÓN DE ANDEN DE CONCRETO 3000 PSI (INCLUYE MATERIALES, EQUIPOS, HERRAMIENTAS Y MANO DE OBRA)</v>
      </c>
      <c r="C8542" s="81" t="s">
        <v>916</v>
      </c>
      <c r="D8542" s="82" t="s">
        <v>934</v>
      </c>
      <c r="E8542" s="83" t="s">
        <v>445</v>
      </c>
      <c r="F8542" s="86">
        <f>H8542+J8542+L8542+N8542</f>
        <v>279672.60742623557</v>
      </c>
      <c r="G8542" s="83" t="s">
        <v>607</v>
      </c>
      <c r="H8542" s="86">
        <f>M8560</f>
        <v>2194.4652500000002</v>
      </c>
      <c r="I8542" s="83" t="s">
        <v>918</v>
      </c>
      <c r="J8542" s="86">
        <f>M8551</f>
        <v>131804.23420827882</v>
      </c>
      <c r="K8542" s="83" t="s">
        <v>609</v>
      </c>
      <c r="L8542" s="86">
        <f>M8569</f>
        <v>101784.60296795673</v>
      </c>
      <c r="M8542" s="83" t="s">
        <v>610</v>
      </c>
      <c r="N8542" s="86">
        <f>M8578</f>
        <v>43889.305</v>
      </c>
    </row>
    <row r="8543" spans="1:14" ht="12.75" customHeight="1" x14ac:dyDescent="0.25">
      <c r="A8543" s="87"/>
      <c r="B8543" s="87"/>
      <c r="C8543" s="87"/>
      <c r="D8543" s="87"/>
      <c r="E8543" s="87"/>
      <c r="F8543" s="87"/>
      <c r="G8543" s="87"/>
      <c r="J8543" s="87"/>
      <c r="K8543" s="215" t="s">
        <v>3217</v>
      </c>
      <c r="L8543" s="215">
        <f>+F8542*presup!$O$5</f>
        <v>363574.38965410623</v>
      </c>
      <c r="M8543" s="87"/>
      <c r="N8543" s="87"/>
    </row>
    <row r="8544" spans="1:14" ht="12.75" customHeight="1" x14ac:dyDescent="0.2">
      <c r="A8544" s="398" t="s">
        <v>919</v>
      </c>
      <c r="B8544" s="271"/>
      <c r="C8544" s="271"/>
      <c r="D8544" s="271"/>
      <c r="E8544" s="271"/>
      <c r="F8544" s="271"/>
      <c r="G8544" s="271"/>
      <c r="H8544" s="271"/>
      <c r="I8544" s="271"/>
      <c r="J8544" s="271"/>
      <c r="K8544" s="271"/>
      <c r="L8544" s="271"/>
      <c r="M8544" s="271"/>
      <c r="N8544" s="273"/>
    </row>
    <row r="8545" spans="1:14" ht="12.75" customHeight="1" x14ac:dyDescent="0.2">
      <c r="A8545" s="396" t="s">
        <v>76</v>
      </c>
      <c r="B8545" s="271"/>
      <c r="C8545" s="271"/>
      <c r="D8545" s="271"/>
      <c r="E8545" s="271"/>
      <c r="F8545" s="271"/>
      <c r="G8545" s="273"/>
      <c r="H8545" s="88" t="s">
        <v>77</v>
      </c>
      <c r="I8545" s="399" t="s">
        <v>920</v>
      </c>
      <c r="J8545" s="273"/>
      <c r="K8545" s="399" t="s">
        <v>453</v>
      </c>
      <c r="L8545" s="273"/>
      <c r="M8545" s="399" t="s">
        <v>921</v>
      </c>
      <c r="N8545" s="273"/>
    </row>
    <row r="8546" spans="1:14" ht="12.75" customHeight="1" x14ac:dyDescent="0.2">
      <c r="A8546" s="400" t="s">
        <v>987</v>
      </c>
      <c r="B8546" s="271"/>
      <c r="C8546" s="271"/>
      <c r="D8546" s="271"/>
      <c r="E8546" s="271"/>
      <c r="F8546" s="271"/>
      <c r="G8546" s="273"/>
      <c r="H8546" s="29" t="str">
        <f>IF(A8546="","",VLOOKUP(A8546,AA_Materiales,7,FALSE))</f>
        <v>m3</v>
      </c>
      <c r="I8546" s="394">
        <f>IF(A8546="","",VLOOKUP(A8546,AA_Materiales,8,FALSE))</f>
        <v>965054.12208278815</v>
      </c>
      <c r="J8546" s="273"/>
      <c r="K8546" s="395">
        <v>0.1</v>
      </c>
      <c r="L8546" s="273"/>
      <c r="M8546" s="394">
        <f t="shared" ref="M8546:M8550" si="1158">IF(A8546="","",I8546*K8546)</f>
        <v>96505.412208278824</v>
      </c>
      <c r="N8546" s="273"/>
    </row>
    <row r="8547" spans="1:14" ht="12.75" customHeight="1" x14ac:dyDescent="0.2">
      <c r="A8547" s="400" t="s">
        <v>970</v>
      </c>
      <c r="B8547" s="271"/>
      <c r="C8547" s="271"/>
      <c r="D8547" s="271"/>
      <c r="E8547" s="271"/>
      <c r="F8547" s="271"/>
      <c r="G8547" s="273"/>
      <c r="H8547" s="29" t="str">
        <f>IF(A8547="","",VLOOKUP(A8547,AA_Materiales,7,FALSE))</f>
        <v>Kg</v>
      </c>
      <c r="I8547" s="394">
        <f>IF(A8547="","",VLOOKUP(A8547,AA_Materiales,8,FALSE))</f>
        <v>5883.1369999999997</v>
      </c>
      <c r="J8547" s="273"/>
      <c r="K8547" s="395">
        <v>6</v>
      </c>
      <c r="L8547" s="273"/>
      <c r="M8547" s="394">
        <f t="shared" si="1158"/>
        <v>35298.822</v>
      </c>
      <c r="N8547" s="273"/>
    </row>
    <row r="8548" spans="1:14" ht="12.75" customHeight="1" x14ac:dyDescent="0.2">
      <c r="A8548" s="400"/>
      <c r="B8548" s="271"/>
      <c r="C8548" s="271"/>
      <c r="D8548" s="271"/>
      <c r="E8548" s="271"/>
      <c r="F8548" s="271"/>
      <c r="G8548" s="273"/>
      <c r="H8548" s="29" t="str">
        <f>IF(A8548="","",VLOOKUP(A8548,AA_Materiales,7,FALSE))</f>
        <v/>
      </c>
      <c r="I8548" s="394" t="str">
        <f>IF(A8548="","",VLOOKUP(A8548,AA_Materiales,8,FALSE))</f>
        <v/>
      </c>
      <c r="J8548" s="273"/>
      <c r="K8548" s="395"/>
      <c r="L8548" s="273"/>
      <c r="M8548" s="394" t="str">
        <f t="shared" si="1158"/>
        <v/>
      </c>
      <c r="N8548" s="273"/>
    </row>
    <row r="8549" spans="1:14" ht="12.75" customHeight="1" x14ac:dyDescent="0.2">
      <c r="A8549" s="400"/>
      <c r="B8549" s="271"/>
      <c r="C8549" s="271"/>
      <c r="D8549" s="271"/>
      <c r="E8549" s="271"/>
      <c r="F8549" s="271"/>
      <c r="G8549" s="273"/>
      <c r="H8549" s="29" t="str">
        <f>IF(A8549="","",VLOOKUP(A8549,AA_Materiales,7,FALSE))</f>
        <v/>
      </c>
      <c r="I8549" s="394" t="str">
        <f>IF(A8549="","",VLOOKUP(A8549,AA_Materiales,8,FALSE))</f>
        <v/>
      </c>
      <c r="J8549" s="273"/>
      <c r="K8549" s="395"/>
      <c r="L8549" s="273"/>
      <c r="M8549" s="394" t="str">
        <f t="shared" si="1158"/>
        <v/>
      </c>
      <c r="N8549" s="273"/>
    </row>
    <row r="8550" spans="1:14" ht="12.75" customHeight="1" x14ac:dyDescent="0.2">
      <c r="A8550" s="400"/>
      <c r="B8550" s="271"/>
      <c r="C8550" s="271"/>
      <c r="D8550" s="271"/>
      <c r="E8550" s="271"/>
      <c r="F8550" s="271"/>
      <c r="G8550" s="273"/>
      <c r="H8550" s="29" t="str">
        <f>IF(A8550="","",VLOOKUP(A8550,AA_Materiales,7,FALSE))</f>
        <v/>
      </c>
      <c r="I8550" s="394" t="str">
        <f>IF(A8550="","",VLOOKUP(A8550,AA_Materiales,8,FALSE))</f>
        <v/>
      </c>
      <c r="J8550" s="273"/>
      <c r="K8550" s="395"/>
      <c r="L8550" s="273"/>
      <c r="M8550" s="394" t="str">
        <f t="shared" si="1158"/>
        <v/>
      </c>
      <c r="N8550" s="273"/>
    </row>
    <row r="8551" spans="1:14" ht="12.75" customHeight="1" x14ac:dyDescent="0.25">
      <c r="A8551" s="4"/>
      <c r="B8551" s="4"/>
      <c r="C8551" s="4"/>
      <c r="D8551" s="4"/>
      <c r="E8551" s="4"/>
      <c r="F8551" s="4"/>
      <c r="G8551" s="4"/>
      <c r="H8551" s="4"/>
      <c r="I8551" s="4"/>
      <c r="J8551" s="4"/>
      <c r="K8551" s="396" t="s">
        <v>444</v>
      </c>
      <c r="L8551" s="273"/>
      <c r="M8551" s="394">
        <f>SUM(M8546:N8550)</f>
        <v>131804.23420827882</v>
      </c>
      <c r="N8551" s="273"/>
    </row>
    <row r="8552" spans="1:14" ht="12.75" customHeight="1" x14ac:dyDescent="0.25">
      <c r="A8552" s="4"/>
      <c r="B8552" s="4"/>
      <c r="C8552" s="4"/>
      <c r="D8552" s="4"/>
      <c r="E8552" s="4"/>
      <c r="F8552" s="4"/>
      <c r="G8552" s="4"/>
      <c r="H8552" s="4"/>
      <c r="I8552" s="4"/>
      <c r="J8552" s="4"/>
      <c r="K8552" s="4"/>
      <c r="L8552" s="4"/>
      <c r="M8552" s="4"/>
      <c r="N8552" s="4"/>
    </row>
    <row r="8553" spans="1:14" ht="12.75" customHeight="1" x14ac:dyDescent="0.2">
      <c r="A8553" s="398" t="s">
        <v>926</v>
      </c>
      <c r="B8553" s="271"/>
      <c r="C8553" s="271"/>
      <c r="D8553" s="271"/>
      <c r="E8553" s="271"/>
      <c r="F8553" s="271"/>
      <c r="G8553" s="271"/>
      <c r="H8553" s="271"/>
      <c r="I8553" s="271"/>
      <c r="J8553" s="271"/>
      <c r="K8553" s="271"/>
      <c r="L8553" s="271"/>
      <c r="M8553" s="271"/>
      <c r="N8553" s="273"/>
    </row>
    <row r="8554" spans="1:14" ht="12.75" customHeight="1" x14ac:dyDescent="0.2">
      <c r="A8554" s="396" t="s">
        <v>76</v>
      </c>
      <c r="B8554" s="271"/>
      <c r="C8554" s="271"/>
      <c r="D8554" s="271"/>
      <c r="E8554" s="271"/>
      <c r="F8554" s="271"/>
      <c r="G8554" s="273"/>
      <c r="H8554" s="88" t="s">
        <v>77</v>
      </c>
      <c r="I8554" s="399" t="s">
        <v>920</v>
      </c>
      <c r="J8554" s="273"/>
      <c r="K8554" s="399" t="s">
        <v>453</v>
      </c>
      <c r="L8554" s="273"/>
      <c r="M8554" s="399" t="s">
        <v>921</v>
      </c>
      <c r="N8554" s="273"/>
    </row>
    <row r="8555" spans="1:14" ht="12.75" customHeight="1" x14ac:dyDescent="0.2">
      <c r="A8555" s="400" t="s">
        <v>927</v>
      </c>
      <c r="B8555" s="271"/>
      <c r="C8555" s="271"/>
      <c r="D8555" s="271"/>
      <c r="E8555" s="271"/>
      <c r="F8555" s="271"/>
      <c r="G8555" s="273"/>
      <c r="H8555" s="29" t="str">
        <f>IF(A8555="","",VLOOKUP(A8555,AA_Equipos,7,FALSE))</f>
        <v>% M.O.</v>
      </c>
      <c r="I8555" s="394">
        <f>M8578</f>
        <v>43889.305</v>
      </c>
      <c r="J8555" s="273"/>
      <c r="K8555" s="404">
        <v>0.05</v>
      </c>
      <c r="L8555" s="273"/>
      <c r="M8555" s="394">
        <f t="shared" ref="M8555:M8559" si="1159">IF(A8555="","",I8555*K8555)</f>
        <v>2194.4652500000002</v>
      </c>
      <c r="N8555" s="273"/>
    </row>
    <row r="8556" spans="1:14" ht="12.75" customHeight="1" x14ac:dyDescent="0.2">
      <c r="A8556" s="403"/>
      <c r="B8556" s="271"/>
      <c r="C8556" s="271"/>
      <c r="D8556" s="271"/>
      <c r="E8556" s="271"/>
      <c r="F8556" s="271"/>
      <c r="G8556" s="273"/>
      <c r="H8556" s="29" t="str">
        <f>IF(A8556="","",VLOOKUP(A8556,AA_Equipos,7,FALSE))</f>
        <v/>
      </c>
      <c r="I8556" s="394" t="str">
        <f>IF(A8556="","",VLOOKUP(A8556,AA_Equipos,8,FALSE))</f>
        <v/>
      </c>
      <c r="J8556" s="273"/>
      <c r="K8556" s="402"/>
      <c r="L8556" s="273"/>
      <c r="M8556" s="394" t="str">
        <f t="shared" si="1159"/>
        <v/>
      </c>
      <c r="N8556" s="273"/>
    </row>
    <row r="8557" spans="1:14" ht="12.75" customHeight="1" x14ac:dyDescent="0.2">
      <c r="A8557" s="400"/>
      <c r="B8557" s="271"/>
      <c r="C8557" s="271"/>
      <c r="D8557" s="271"/>
      <c r="E8557" s="271"/>
      <c r="F8557" s="271"/>
      <c r="G8557" s="273"/>
      <c r="H8557" s="29" t="str">
        <f>IF(A8557="","",VLOOKUP(A8557,AA_Equipos,7,FALSE))</f>
        <v/>
      </c>
      <c r="I8557" s="394" t="str">
        <f>IF(A8557="","",VLOOKUP(A8557,AA_Equipos,8,FALSE))</f>
        <v/>
      </c>
      <c r="J8557" s="273"/>
      <c r="K8557" s="402"/>
      <c r="L8557" s="273"/>
      <c r="M8557" s="394" t="str">
        <f t="shared" si="1159"/>
        <v/>
      </c>
      <c r="N8557" s="273"/>
    </row>
    <row r="8558" spans="1:14" ht="12.75" customHeight="1" x14ac:dyDescent="0.2">
      <c r="A8558" s="400"/>
      <c r="B8558" s="271"/>
      <c r="C8558" s="271"/>
      <c r="D8558" s="271"/>
      <c r="E8558" s="271"/>
      <c r="F8558" s="271"/>
      <c r="G8558" s="273"/>
      <c r="H8558" s="29" t="str">
        <f>IF(A8558="","",VLOOKUP(A8558,AA_Equipos,7,FALSE))</f>
        <v/>
      </c>
      <c r="I8558" s="394" t="str">
        <f>IF(A8558="","",VLOOKUP(A8558,AA_Equipos,8,FALSE))</f>
        <v/>
      </c>
      <c r="J8558" s="273"/>
      <c r="K8558" s="402"/>
      <c r="L8558" s="273"/>
      <c r="M8558" s="394" t="str">
        <f t="shared" si="1159"/>
        <v/>
      </c>
      <c r="N8558" s="273"/>
    </row>
    <row r="8559" spans="1:14" ht="12.75" customHeight="1" x14ac:dyDescent="0.2">
      <c r="A8559" s="400"/>
      <c r="B8559" s="271"/>
      <c r="C8559" s="271"/>
      <c r="D8559" s="271"/>
      <c r="E8559" s="271"/>
      <c r="F8559" s="271"/>
      <c r="G8559" s="273"/>
      <c r="H8559" s="29" t="str">
        <f>IF(A8559="","",VLOOKUP(A8559,AA_Equipos,7,FALSE))</f>
        <v/>
      </c>
      <c r="I8559" s="394" t="str">
        <f>IF(A8559="","",VLOOKUP(A8559,AA_Equipos,8,FALSE))</f>
        <v/>
      </c>
      <c r="J8559" s="273"/>
      <c r="K8559" s="395"/>
      <c r="L8559" s="273"/>
      <c r="M8559" s="394" t="str">
        <f t="shared" si="1159"/>
        <v/>
      </c>
      <c r="N8559" s="273"/>
    </row>
    <row r="8560" spans="1:14" ht="12.75" customHeight="1" x14ac:dyDescent="0.25">
      <c r="A8560" s="4"/>
      <c r="B8560" s="4"/>
      <c r="C8560" s="4"/>
      <c r="D8560" s="4"/>
      <c r="E8560" s="4"/>
      <c r="F8560" s="4"/>
      <c r="G8560" s="4"/>
      <c r="H8560" s="4"/>
      <c r="I8560" s="4"/>
      <c r="J8560" s="4"/>
      <c r="K8560" s="396" t="s">
        <v>444</v>
      </c>
      <c r="L8560" s="273"/>
      <c r="M8560" s="394">
        <f>SUM(M8555:N8559)</f>
        <v>2194.4652500000002</v>
      </c>
      <c r="N8560" s="273"/>
    </row>
    <row r="8561" spans="1:14" ht="12.75" customHeight="1" x14ac:dyDescent="0.25">
      <c r="A8561" s="4"/>
      <c r="B8561" s="4"/>
      <c r="C8561" s="4"/>
      <c r="D8561" s="4"/>
      <c r="E8561" s="4"/>
      <c r="F8561" s="4"/>
      <c r="G8561" s="4"/>
      <c r="H8561" s="4"/>
      <c r="I8561" s="4"/>
      <c r="J8561" s="4"/>
      <c r="K8561" s="4"/>
      <c r="L8561" s="4"/>
      <c r="M8561" s="4"/>
      <c r="N8561" s="4"/>
    </row>
    <row r="8562" spans="1:14" ht="12.75" customHeight="1" x14ac:dyDescent="0.2">
      <c r="A8562" s="398" t="s">
        <v>929</v>
      </c>
      <c r="B8562" s="271"/>
      <c r="C8562" s="271"/>
      <c r="D8562" s="271"/>
      <c r="E8562" s="271"/>
      <c r="F8562" s="271"/>
      <c r="G8562" s="271"/>
      <c r="H8562" s="271"/>
      <c r="I8562" s="271"/>
      <c r="J8562" s="271"/>
      <c r="K8562" s="271"/>
      <c r="L8562" s="271"/>
      <c r="M8562" s="271"/>
      <c r="N8562" s="273"/>
    </row>
    <row r="8563" spans="1:14" ht="12.75" customHeight="1" x14ac:dyDescent="0.2">
      <c r="A8563" s="396" t="s">
        <v>76</v>
      </c>
      <c r="B8563" s="271"/>
      <c r="C8563" s="271"/>
      <c r="D8563" s="271"/>
      <c r="E8563" s="271"/>
      <c r="F8563" s="271"/>
      <c r="G8563" s="273"/>
      <c r="H8563" s="88" t="s">
        <v>77</v>
      </c>
      <c r="I8563" s="399" t="s">
        <v>920</v>
      </c>
      <c r="J8563" s="273"/>
      <c r="K8563" s="399" t="s">
        <v>453</v>
      </c>
      <c r="L8563" s="273"/>
      <c r="M8563" s="399" t="s">
        <v>921</v>
      </c>
      <c r="N8563" s="273"/>
    </row>
    <row r="8564" spans="1:14" ht="12.75" customHeight="1" x14ac:dyDescent="0.2">
      <c r="A8564" s="403" t="s">
        <v>960</v>
      </c>
      <c r="B8564" s="271"/>
      <c r="C8564" s="271"/>
      <c r="D8564" s="271"/>
      <c r="E8564" s="271"/>
      <c r="F8564" s="271"/>
      <c r="G8564" s="273"/>
      <c r="H8564" s="29" t="s">
        <v>967</v>
      </c>
      <c r="I8564" s="394">
        <f>+'precios '!$J$222</f>
        <v>2077.2367952644231</v>
      </c>
      <c r="J8564" s="273"/>
      <c r="K8564" s="417">
        <f>+Indice!$L$21</f>
        <v>49</v>
      </c>
      <c r="L8564" s="273"/>
      <c r="M8564" s="394">
        <f>IF(A8564="","",I8564*K8564)</f>
        <v>101784.60296795673</v>
      </c>
      <c r="N8564" s="273"/>
    </row>
    <row r="8565" spans="1:14" ht="12.75" customHeight="1" x14ac:dyDescent="0.2">
      <c r="A8565" s="403"/>
      <c r="B8565" s="271"/>
      <c r="C8565" s="271"/>
      <c r="D8565" s="271"/>
      <c r="E8565" s="271"/>
      <c r="F8565" s="271"/>
      <c r="G8565" s="273"/>
      <c r="H8565" s="29"/>
      <c r="I8565" s="394"/>
      <c r="J8565" s="273"/>
      <c r="K8565" s="417"/>
      <c r="L8565" s="273"/>
      <c r="M8565" s="394"/>
      <c r="N8565" s="273"/>
    </row>
    <row r="8566" spans="1:14" ht="12.75" customHeight="1" x14ac:dyDescent="0.2">
      <c r="A8566" s="400"/>
      <c r="B8566" s="271"/>
      <c r="C8566" s="271"/>
      <c r="D8566" s="271"/>
      <c r="E8566" s="271"/>
      <c r="F8566" s="271"/>
      <c r="G8566" s="273"/>
      <c r="H8566" s="29"/>
      <c r="I8566" s="394"/>
      <c r="J8566" s="273"/>
      <c r="K8566" s="395"/>
      <c r="L8566" s="273"/>
      <c r="M8566" s="394" t="str">
        <f t="shared" ref="M8566:M8568" si="1160">IF(A8566="","",I8566*K8566)</f>
        <v/>
      </c>
      <c r="N8566" s="273"/>
    </row>
    <row r="8567" spans="1:14" ht="12.75" customHeight="1" x14ac:dyDescent="0.2">
      <c r="A8567" s="400"/>
      <c r="B8567" s="271"/>
      <c r="C8567" s="271"/>
      <c r="D8567" s="271"/>
      <c r="E8567" s="271"/>
      <c r="F8567" s="271"/>
      <c r="G8567" s="273"/>
      <c r="H8567" s="29"/>
      <c r="I8567" s="394"/>
      <c r="J8567" s="273"/>
      <c r="K8567" s="395"/>
      <c r="L8567" s="273"/>
      <c r="M8567" s="394" t="str">
        <f t="shared" si="1160"/>
        <v/>
      </c>
      <c r="N8567" s="273"/>
    </row>
    <row r="8568" spans="1:14" ht="12.75" customHeight="1" x14ac:dyDescent="0.2">
      <c r="A8568" s="400"/>
      <c r="B8568" s="271"/>
      <c r="C8568" s="271"/>
      <c r="D8568" s="271"/>
      <c r="E8568" s="271"/>
      <c r="F8568" s="271"/>
      <c r="G8568" s="273"/>
      <c r="H8568" s="29"/>
      <c r="I8568" s="394"/>
      <c r="J8568" s="273"/>
      <c r="K8568" s="395"/>
      <c r="L8568" s="273"/>
      <c r="M8568" s="394" t="str">
        <f t="shared" si="1160"/>
        <v/>
      </c>
      <c r="N8568" s="273"/>
    </row>
    <row r="8569" spans="1:14" ht="12.75" customHeight="1" x14ac:dyDescent="0.25">
      <c r="A8569" s="4"/>
      <c r="B8569" s="4"/>
      <c r="C8569" s="4"/>
      <c r="D8569" s="4"/>
      <c r="E8569" s="4"/>
      <c r="F8569" s="4"/>
      <c r="G8569" s="4"/>
      <c r="H8569" s="4"/>
      <c r="I8569" s="4"/>
      <c r="J8569" s="4"/>
      <c r="K8569" s="396" t="s">
        <v>444</v>
      </c>
      <c r="L8569" s="273"/>
      <c r="M8569" s="394">
        <f>SUM(M8564:N8568)</f>
        <v>101784.60296795673</v>
      </c>
      <c r="N8569" s="273"/>
    </row>
    <row r="8570" spans="1:14" ht="12.75" customHeight="1" x14ac:dyDescent="0.25">
      <c r="A8570" s="4"/>
      <c r="B8570" s="4"/>
      <c r="C8570" s="4"/>
      <c r="D8570" s="4"/>
      <c r="E8570" s="4"/>
      <c r="F8570" s="4"/>
      <c r="G8570" s="4"/>
      <c r="H8570" s="4"/>
      <c r="I8570" s="4"/>
      <c r="J8570" s="4"/>
      <c r="K8570" s="4"/>
      <c r="L8570" s="4"/>
      <c r="M8570" s="4"/>
      <c r="N8570" s="4"/>
    </row>
    <row r="8571" spans="1:14" ht="12.75" customHeight="1" x14ac:dyDescent="0.2">
      <c r="A8571" s="398" t="s">
        <v>931</v>
      </c>
      <c r="B8571" s="271"/>
      <c r="C8571" s="271"/>
      <c r="D8571" s="271"/>
      <c r="E8571" s="271"/>
      <c r="F8571" s="271"/>
      <c r="G8571" s="271"/>
      <c r="H8571" s="271"/>
      <c r="I8571" s="271"/>
      <c r="J8571" s="271"/>
      <c r="K8571" s="271"/>
      <c r="L8571" s="271"/>
      <c r="M8571" s="271"/>
      <c r="N8571" s="273"/>
    </row>
    <row r="8572" spans="1:14" ht="12.75" customHeight="1" x14ac:dyDescent="0.2">
      <c r="A8572" s="396" t="s">
        <v>76</v>
      </c>
      <c r="B8572" s="271"/>
      <c r="C8572" s="271"/>
      <c r="D8572" s="271"/>
      <c r="E8572" s="271"/>
      <c r="F8572" s="271"/>
      <c r="G8572" s="273"/>
      <c r="H8572" s="88" t="s">
        <v>77</v>
      </c>
      <c r="I8572" s="399" t="s">
        <v>920</v>
      </c>
      <c r="J8572" s="273"/>
      <c r="K8572" s="90" t="s">
        <v>514</v>
      </c>
      <c r="L8572" s="91" t="s">
        <v>932</v>
      </c>
      <c r="M8572" s="399" t="s">
        <v>921</v>
      </c>
      <c r="N8572" s="273"/>
    </row>
    <row r="8573" spans="1:14" ht="12.75" customHeight="1" x14ac:dyDescent="0.25">
      <c r="A8573" s="393" t="s">
        <v>951</v>
      </c>
      <c r="B8573" s="271"/>
      <c r="C8573" s="271"/>
      <c r="D8573" s="271"/>
      <c r="E8573" s="271"/>
      <c r="F8573" s="271"/>
      <c r="G8573" s="273"/>
      <c r="H8573" s="29" t="str">
        <f>IF(A8573="","",VLOOKUP(A8573,AA_Cuadrillas,4,FALSE))</f>
        <v>Cuadrilla</v>
      </c>
      <c r="I8573" s="394">
        <f>IF(A8573="","",VLOOKUP(A8573,AA_Cuadrillas,5,FALSE))</f>
        <v>186763</v>
      </c>
      <c r="J8573" s="273"/>
      <c r="K8573" s="9">
        <f>IF(A8573="","",F.P!$I$2)</f>
        <v>1.88</v>
      </c>
      <c r="L8573" s="93">
        <f>1/8</f>
        <v>0.125</v>
      </c>
      <c r="M8573" s="394">
        <f t="shared" ref="M8573:M8577" si="1161">IF(A8573="","",I8573*K8573*L8573)</f>
        <v>43889.305</v>
      </c>
      <c r="N8573" s="273"/>
    </row>
    <row r="8574" spans="1:14" ht="12.75" customHeight="1" x14ac:dyDescent="0.25">
      <c r="A8574" s="393"/>
      <c r="B8574" s="271"/>
      <c r="C8574" s="271"/>
      <c r="D8574" s="271"/>
      <c r="E8574" s="271"/>
      <c r="F8574" s="271"/>
      <c r="G8574" s="273"/>
      <c r="H8574" s="29" t="str">
        <f>IF(A8574="","",VLOOKUP(A8574,AA_Cuadrillas,4,FALSE))</f>
        <v/>
      </c>
      <c r="I8574" s="394" t="str">
        <f>IF(A8574="","",VLOOKUP(A8574,AA_Cuadrillas,5,FALSE))</f>
        <v/>
      </c>
      <c r="J8574" s="273"/>
      <c r="K8574" s="9" t="str">
        <f>IF(A8574="","",F.P!$I$2)</f>
        <v/>
      </c>
      <c r="L8574" s="9"/>
      <c r="M8574" s="394" t="str">
        <f t="shared" si="1161"/>
        <v/>
      </c>
      <c r="N8574" s="273"/>
    </row>
    <row r="8575" spans="1:14" ht="12.75" customHeight="1" x14ac:dyDescent="0.25">
      <c r="A8575" s="393"/>
      <c r="B8575" s="271"/>
      <c r="C8575" s="271"/>
      <c r="D8575" s="271"/>
      <c r="E8575" s="271"/>
      <c r="F8575" s="271"/>
      <c r="G8575" s="273"/>
      <c r="H8575" s="29" t="str">
        <f>IF(A8575="","",VLOOKUP(A8575,AA_Cuadrillas,4,FALSE))</f>
        <v/>
      </c>
      <c r="I8575" s="394" t="str">
        <f>IF(A8575="","",VLOOKUP(A8575,AA_Cuadrillas,5,FALSE))</f>
        <v/>
      </c>
      <c r="J8575" s="273"/>
      <c r="K8575" s="9" t="str">
        <f>IF(A8575="","",F.P!$I$2)</f>
        <v/>
      </c>
      <c r="L8575" s="37"/>
      <c r="M8575" s="394" t="str">
        <f t="shared" si="1161"/>
        <v/>
      </c>
      <c r="N8575" s="273"/>
    </row>
    <row r="8576" spans="1:14" ht="12.75" customHeight="1" x14ac:dyDescent="0.25">
      <c r="A8576" s="393"/>
      <c r="B8576" s="271"/>
      <c r="C8576" s="271"/>
      <c r="D8576" s="271"/>
      <c r="E8576" s="271"/>
      <c r="F8576" s="271"/>
      <c r="G8576" s="273"/>
      <c r="H8576" s="29" t="str">
        <f>IF(A8576="","",VLOOKUP(A8576,AA_Cuadrillas,4,FALSE))</f>
        <v/>
      </c>
      <c r="I8576" s="394" t="str">
        <f>IF(A8576="","",VLOOKUP(A8576,AA_Cuadrillas,5,FALSE))</f>
        <v/>
      </c>
      <c r="J8576" s="273"/>
      <c r="K8576" s="9" t="str">
        <f>IF(A8576="","",F.P!$I$2)</f>
        <v/>
      </c>
      <c r="L8576" s="37"/>
      <c r="M8576" s="394" t="str">
        <f t="shared" si="1161"/>
        <v/>
      </c>
      <c r="N8576" s="273"/>
    </row>
    <row r="8577" spans="1:14" ht="12.75" customHeight="1" x14ac:dyDescent="0.25">
      <c r="A8577" s="393"/>
      <c r="B8577" s="271"/>
      <c r="C8577" s="271"/>
      <c r="D8577" s="271"/>
      <c r="E8577" s="271"/>
      <c r="F8577" s="271"/>
      <c r="G8577" s="273"/>
      <c r="H8577" s="29" t="str">
        <f>IF(A8577="","",VLOOKUP(A8577,AA_Cuadrillas,4,FALSE))</f>
        <v/>
      </c>
      <c r="I8577" s="394" t="str">
        <f>IF(A8577="","",VLOOKUP(A8577,AA_Cuadrillas,5,FALSE))</f>
        <v/>
      </c>
      <c r="J8577" s="273"/>
      <c r="K8577" s="9" t="str">
        <f>IF(A8577="","",F.P!$I$2)</f>
        <v/>
      </c>
      <c r="L8577" s="37"/>
      <c r="M8577" s="394" t="str">
        <f t="shared" si="1161"/>
        <v/>
      </c>
      <c r="N8577" s="273"/>
    </row>
    <row r="8578" spans="1:14" ht="12.75" customHeight="1" x14ac:dyDescent="0.25">
      <c r="A8578" s="4"/>
      <c r="B8578" s="4"/>
      <c r="C8578" s="4"/>
      <c r="D8578" s="4"/>
      <c r="E8578" s="4"/>
      <c r="F8578" s="4"/>
      <c r="G8578" s="4"/>
      <c r="H8578" s="4"/>
      <c r="I8578" s="4"/>
      <c r="J8578" s="4"/>
      <c r="K8578" s="396" t="s">
        <v>444</v>
      </c>
      <c r="L8578" s="273"/>
      <c r="M8578" s="394">
        <f>SUM(M8573:N8577)</f>
        <v>43889.305</v>
      </c>
      <c r="N8578" s="273"/>
    </row>
    <row r="8579" spans="1:14" ht="12.75" customHeight="1" x14ac:dyDescent="0.2"/>
    <row r="8580" spans="1:14" ht="12.75" customHeight="1" x14ac:dyDescent="0.2">
      <c r="A8580" s="407" t="s">
        <v>1425</v>
      </c>
      <c r="B8580" s="275"/>
      <c r="C8580" s="275"/>
      <c r="D8580" s="275"/>
      <c r="E8580" s="275"/>
      <c r="F8580" s="275"/>
      <c r="G8580" s="275"/>
      <c r="H8580" s="275"/>
      <c r="I8580" s="275"/>
      <c r="J8580" s="275"/>
      <c r="K8580" s="275"/>
      <c r="L8580" s="275"/>
      <c r="M8580" s="275"/>
      <c r="N8580" s="276"/>
    </row>
    <row r="8581" spans="1:14" ht="12.75" customHeight="1" x14ac:dyDescent="0.2">
      <c r="A8581" s="277"/>
      <c r="B8581" s="278"/>
      <c r="C8581" s="278"/>
      <c r="D8581" s="278"/>
      <c r="E8581" s="278"/>
      <c r="F8581" s="278"/>
      <c r="G8581" s="278"/>
      <c r="H8581" s="278"/>
      <c r="I8581" s="278"/>
      <c r="J8581" s="278"/>
      <c r="K8581" s="278"/>
      <c r="L8581" s="278"/>
      <c r="M8581" s="278"/>
      <c r="N8581" s="279"/>
    </row>
    <row r="8582" spans="1:14" ht="12.75" customHeight="1" x14ac:dyDescent="0.2">
      <c r="A8582" s="75"/>
      <c r="B8582" s="75"/>
      <c r="C8582" s="75"/>
      <c r="D8582" s="75"/>
      <c r="E8582" s="75"/>
      <c r="F8582" s="75"/>
      <c r="G8582" s="75"/>
      <c r="H8582" s="75"/>
      <c r="I8582" s="75"/>
      <c r="J8582" s="75"/>
      <c r="K8582" s="75"/>
      <c r="L8582" s="75"/>
      <c r="M8582" s="75"/>
      <c r="N8582" s="75"/>
    </row>
    <row r="8583" spans="1:14" ht="12.75" customHeight="1" x14ac:dyDescent="0.3">
      <c r="A8583" s="79" t="s">
        <v>802</v>
      </c>
      <c r="B8583" s="80" t="str">
        <f>A8580</f>
        <v>SUMINISTRO E INSTALACIÓN CODO 11,25° Ø2" EN HIERRO DUCTIL CON UNIÓN MECÁNICA (INCLUYE MATERIALES, HERRAMIENTAS Y MANO DE OBRA)</v>
      </c>
      <c r="C8583" s="81" t="s">
        <v>916</v>
      </c>
      <c r="D8583" s="82" t="s">
        <v>999</v>
      </c>
      <c r="E8583" s="83" t="s">
        <v>445</v>
      </c>
      <c r="F8583" s="86">
        <f>H8583+J8583+L8583+N8583</f>
        <v>109783.50810000001</v>
      </c>
      <c r="G8583" s="83" t="s">
        <v>607</v>
      </c>
      <c r="H8583" s="86">
        <f>M8595</f>
        <v>87000</v>
      </c>
      <c r="I8583" s="83" t="s">
        <v>918</v>
      </c>
      <c r="J8583" s="86">
        <f>M8604</f>
        <v>877.78610000000015</v>
      </c>
      <c r="K8583" s="83" t="s">
        <v>609</v>
      </c>
      <c r="L8583" s="86">
        <f>M8613</f>
        <v>4350</v>
      </c>
      <c r="M8583" s="83" t="s">
        <v>610</v>
      </c>
      <c r="N8583" s="86">
        <f>M8622</f>
        <v>17555.722000000002</v>
      </c>
    </row>
    <row r="8584" spans="1:14" ht="12.75" customHeight="1" x14ac:dyDescent="0.25">
      <c r="A8584" s="87"/>
      <c r="B8584" s="87"/>
      <c r="C8584" s="87"/>
      <c r="D8584" s="87"/>
      <c r="E8584" s="87"/>
      <c r="F8584" s="87"/>
      <c r="G8584" s="87"/>
      <c r="J8584" s="87"/>
      <c r="K8584" s="215" t="s">
        <v>3217</v>
      </c>
      <c r="L8584" s="215">
        <f>+F8583*presup!$O$5</f>
        <v>142718.56053000002</v>
      </c>
      <c r="M8584" s="87"/>
      <c r="N8584" s="87"/>
    </row>
    <row r="8585" spans="1:14" ht="12.75" customHeight="1" x14ac:dyDescent="0.2">
      <c r="A8585" s="398" t="s">
        <v>919</v>
      </c>
      <c r="B8585" s="271"/>
      <c r="C8585" s="271"/>
      <c r="D8585" s="271"/>
      <c r="E8585" s="271"/>
      <c r="F8585" s="271"/>
      <c r="G8585" s="271"/>
      <c r="H8585" s="271"/>
      <c r="I8585" s="271"/>
      <c r="J8585" s="271"/>
      <c r="K8585" s="271"/>
      <c r="L8585" s="271"/>
      <c r="M8585" s="271"/>
      <c r="N8585" s="273"/>
    </row>
    <row r="8586" spans="1:14" ht="12.75" customHeight="1" x14ac:dyDescent="0.2">
      <c r="A8586" s="396" t="s">
        <v>76</v>
      </c>
      <c r="B8586" s="271"/>
      <c r="C8586" s="271"/>
      <c r="D8586" s="271"/>
      <c r="E8586" s="271"/>
      <c r="F8586" s="271"/>
      <c r="G8586" s="273"/>
      <c r="H8586" s="88" t="s">
        <v>77</v>
      </c>
      <c r="I8586" s="399" t="s">
        <v>920</v>
      </c>
      <c r="J8586" s="273"/>
      <c r="K8586" s="399" t="s">
        <v>453</v>
      </c>
      <c r="L8586" s="273"/>
      <c r="M8586" s="399" t="s">
        <v>921</v>
      </c>
      <c r="N8586" s="273"/>
    </row>
    <row r="8587" spans="1:14" ht="12.75" customHeight="1" x14ac:dyDescent="0.2">
      <c r="A8587" s="403" t="s">
        <v>1426</v>
      </c>
      <c r="B8587" s="271"/>
      <c r="C8587" s="271"/>
      <c r="D8587" s="271"/>
      <c r="E8587" s="271"/>
      <c r="F8587" s="271"/>
      <c r="G8587" s="273"/>
      <c r="H8587" s="29" t="str">
        <f t="shared" ref="H8587:H8594" si="1162">IF(A8587="","",VLOOKUP(A8587,AA_Materiales,7,FALSE))</f>
        <v>Unidad</v>
      </c>
      <c r="I8587" s="394">
        <f t="shared" ref="I8587:I8594" si="1163">IF(A8587="","",VLOOKUP(A8587,AA_Materiales,8,FALSE))</f>
        <v>87000</v>
      </c>
      <c r="J8587" s="273"/>
      <c r="K8587" s="395">
        <v>1</v>
      </c>
      <c r="L8587" s="273"/>
      <c r="M8587" s="394">
        <f t="shared" ref="M8587:M8594" si="1164">IF(A8587="","",I8587*K8587)</f>
        <v>87000</v>
      </c>
      <c r="N8587" s="273"/>
    </row>
    <row r="8588" spans="1:14" ht="12.75" customHeight="1" x14ac:dyDescent="0.2">
      <c r="A8588" s="403"/>
      <c r="B8588" s="271"/>
      <c r="C8588" s="271"/>
      <c r="D8588" s="271"/>
      <c r="E8588" s="271"/>
      <c r="F8588" s="271"/>
      <c r="G8588" s="273"/>
      <c r="H8588" s="29" t="str">
        <f t="shared" si="1162"/>
        <v/>
      </c>
      <c r="I8588" s="394" t="str">
        <f t="shared" si="1163"/>
        <v/>
      </c>
      <c r="J8588" s="273"/>
      <c r="K8588" s="395"/>
      <c r="L8588" s="273"/>
      <c r="M8588" s="394" t="str">
        <f t="shared" si="1164"/>
        <v/>
      </c>
      <c r="N8588" s="273"/>
    </row>
    <row r="8589" spans="1:14" ht="12.75" customHeight="1" x14ac:dyDescent="0.2">
      <c r="A8589" s="403"/>
      <c r="B8589" s="271"/>
      <c r="C8589" s="271"/>
      <c r="D8589" s="271"/>
      <c r="E8589" s="271"/>
      <c r="F8589" s="271"/>
      <c r="G8589" s="273"/>
      <c r="H8589" s="29" t="str">
        <f t="shared" si="1162"/>
        <v/>
      </c>
      <c r="I8589" s="394" t="str">
        <f t="shared" si="1163"/>
        <v/>
      </c>
      <c r="J8589" s="273"/>
      <c r="K8589" s="395"/>
      <c r="L8589" s="273"/>
      <c r="M8589" s="394" t="str">
        <f t="shared" si="1164"/>
        <v/>
      </c>
      <c r="N8589" s="273"/>
    </row>
    <row r="8590" spans="1:14" ht="12.75" customHeight="1" x14ac:dyDescent="0.2">
      <c r="A8590" s="403"/>
      <c r="B8590" s="271"/>
      <c r="C8590" s="271"/>
      <c r="D8590" s="271"/>
      <c r="E8590" s="271"/>
      <c r="F8590" s="271"/>
      <c r="G8590" s="273"/>
      <c r="H8590" s="29" t="str">
        <f t="shared" si="1162"/>
        <v/>
      </c>
      <c r="I8590" s="394" t="str">
        <f t="shared" si="1163"/>
        <v/>
      </c>
      <c r="J8590" s="273"/>
      <c r="K8590" s="395"/>
      <c r="L8590" s="273"/>
      <c r="M8590" s="394" t="str">
        <f t="shared" si="1164"/>
        <v/>
      </c>
      <c r="N8590" s="273"/>
    </row>
    <row r="8591" spans="1:14" ht="12.75" customHeight="1" x14ac:dyDescent="0.2">
      <c r="A8591" s="403"/>
      <c r="B8591" s="271"/>
      <c r="C8591" s="271"/>
      <c r="D8591" s="271"/>
      <c r="E8591" s="271"/>
      <c r="F8591" s="271"/>
      <c r="G8591" s="273"/>
      <c r="H8591" s="29" t="str">
        <f t="shared" si="1162"/>
        <v/>
      </c>
      <c r="I8591" s="394" t="str">
        <f t="shared" si="1163"/>
        <v/>
      </c>
      <c r="J8591" s="273"/>
      <c r="K8591" s="395"/>
      <c r="L8591" s="273"/>
      <c r="M8591" s="394" t="str">
        <f t="shared" si="1164"/>
        <v/>
      </c>
      <c r="N8591" s="273"/>
    </row>
    <row r="8592" spans="1:14" ht="12.75" customHeight="1" x14ac:dyDescent="0.2">
      <c r="A8592" s="403"/>
      <c r="B8592" s="271"/>
      <c r="C8592" s="271"/>
      <c r="D8592" s="271"/>
      <c r="E8592" s="271"/>
      <c r="F8592" s="271"/>
      <c r="G8592" s="273"/>
      <c r="H8592" s="29" t="str">
        <f t="shared" si="1162"/>
        <v/>
      </c>
      <c r="I8592" s="394" t="str">
        <f t="shared" si="1163"/>
        <v/>
      </c>
      <c r="J8592" s="273"/>
      <c r="K8592" s="395"/>
      <c r="L8592" s="273"/>
      <c r="M8592" s="394" t="str">
        <f t="shared" si="1164"/>
        <v/>
      </c>
      <c r="N8592" s="273"/>
    </row>
    <row r="8593" spans="1:14" ht="12.75" customHeight="1" x14ac:dyDescent="0.2">
      <c r="A8593" s="403"/>
      <c r="B8593" s="271"/>
      <c r="C8593" s="271"/>
      <c r="D8593" s="271"/>
      <c r="E8593" s="271"/>
      <c r="F8593" s="271"/>
      <c r="G8593" s="273"/>
      <c r="H8593" s="29" t="str">
        <f t="shared" si="1162"/>
        <v/>
      </c>
      <c r="I8593" s="394" t="str">
        <f t="shared" si="1163"/>
        <v/>
      </c>
      <c r="J8593" s="273"/>
      <c r="K8593" s="395"/>
      <c r="L8593" s="273"/>
      <c r="M8593" s="394" t="str">
        <f t="shared" si="1164"/>
        <v/>
      </c>
      <c r="N8593" s="273"/>
    </row>
    <row r="8594" spans="1:14" ht="12.75" customHeight="1" x14ac:dyDescent="0.2">
      <c r="A8594" s="403"/>
      <c r="B8594" s="271"/>
      <c r="C8594" s="271"/>
      <c r="D8594" s="271"/>
      <c r="E8594" s="271"/>
      <c r="F8594" s="271"/>
      <c r="G8594" s="273"/>
      <c r="H8594" s="29" t="str">
        <f t="shared" si="1162"/>
        <v/>
      </c>
      <c r="I8594" s="394" t="str">
        <f t="shared" si="1163"/>
        <v/>
      </c>
      <c r="J8594" s="273"/>
      <c r="K8594" s="395"/>
      <c r="L8594" s="273"/>
      <c r="M8594" s="394" t="str">
        <f t="shared" si="1164"/>
        <v/>
      </c>
      <c r="N8594" s="273"/>
    </row>
    <row r="8595" spans="1:14" ht="12.75" customHeight="1" x14ac:dyDescent="0.25">
      <c r="A8595" s="4"/>
      <c r="B8595" s="4"/>
      <c r="C8595" s="4"/>
      <c r="D8595" s="4"/>
      <c r="E8595" s="4"/>
      <c r="F8595" s="4"/>
      <c r="G8595" s="4"/>
      <c r="H8595" s="4"/>
      <c r="I8595" s="4"/>
      <c r="J8595" s="4"/>
      <c r="K8595" s="396" t="s">
        <v>444</v>
      </c>
      <c r="L8595" s="273"/>
      <c r="M8595" s="394">
        <f>SUM(M8587:N8594)</f>
        <v>87000</v>
      </c>
      <c r="N8595" s="273"/>
    </row>
    <row r="8596" spans="1:14" ht="12.75" customHeight="1" x14ac:dyDescent="0.25">
      <c r="A8596" s="4"/>
      <c r="B8596" s="4"/>
      <c r="C8596" s="4"/>
      <c r="D8596" s="4"/>
      <c r="E8596" s="4"/>
      <c r="F8596" s="4"/>
      <c r="G8596" s="4"/>
      <c r="H8596" s="4"/>
      <c r="I8596" s="4"/>
      <c r="J8596" s="4"/>
      <c r="K8596" s="4"/>
      <c r="L8596" s="4"/>
      <c r="M8596" s="4"/>
      <c r="N8596" s="4"/>
    </row>
    <row r="8597" spans="1:14" ht="12.75" customHeight="1" x14ac:dyDescent="0.2">
      <c r="A8597" s="398" t="s">
        <v>926</v>
      </c>
      <c r="B8597" s="271"/>
      <c r="C8597" s="271"/>
      <c r="D8597" s="271"/>
      <c r="E8597" s="271"/>
      <c r="F8597" s="271"/>
      <c r="G8597" s="271"/>
      <c r="H8597" s="271"/>
      <c r="I8597" s="271"/>
      <c r="J8597" s="271"/>
      <c r="K8597" s="271"/>
      <c r="L8597" s="271"/>
      <c r="M8597" s="271"/>
      <c r="N8597" s="273"/>
    </row>
    <row r="8598" spans="1:14" ht="12.75" customHeight="1" x14ac:dyDescent="0.2">
      <c r="A8598" s="396" t="s">
        <v>76</v>
      </c>
      <c r="B8598" s="271"/>
      <c r="C8598" s="271"/>
      <c r="D8598" s="271"/>
      <c r="E8598" s="271"/>
      <c r="F8598" s="271"/>
      <c r="G8598" s="273"/>
      <c r="H8598" s="88" t="s">
        <v>77</v>
      </c>
      <c r="I8598" s="399" t="s">
        <v>920</v>
      </c>
      <c r="J8598" s="273"/>
      <c r="K8598" s="399" t="s">
        <v>453</v>
      </c>
      <c r="L8598" s="273"/>
      <c r="M8598" s="399" t="s">
        <v>921</v>
      </c>
      <c r="N8598" s="273"/>
    </row>
    <row r="8599" spans="1:14" ht="12.75" customHeight="1" x14ac:dyDescent="0.2">
      <c r="A8599" s="400" t="s">
        <v>927</v>
      </c>
      <c r="B8599" s="271"/>
      <c r="C8599" s="271"/>
      <c r="D8599" s="271"/>
      <c r="E8599" s="271"/>
      <c r="F8599" s="271"/>
      <c r="G8599" s="273"/>
      <c r="H8599" s="29" t="str">
        <f>IF(A8599="","",VLOOKUP(A8599,AA_Equipos,7,FALSE))</f>
        <v>% M.O.</v>
      </c>
      <c r="I8599" s="394">
        <f>+M8622</f>
        <v>17555.722000000002</v>
      </c>
      <c r="J8599" s="273"/>
      <c r="K8599" s="404">
        <v>0.05</v>
      </c>
      <c r="L8599" s="273"/>
      <c r="M8599" s="394">
        <f t="shared" ref="M8599:M8603" si="1165">IF(A8599="","",I8599*K8599)</f>
        <v>877.78610000000015</v>
      </c>
      <c r="N8599" s="273"/>
    </row>
    <row r="8600" spans="1:14" ht="12.75" customHeight="1" x14ac:dyDescent="0.2">
      <c r="A8600" s="403"/>
      <c r="B8600" s="271"/>
      <c r="C8600" s="271"/>
      <c r="D8600" s="271"/>
      <c r="E8600" s="271"/>
      <c r="F8600" s="271"/>
      <c r="G8600" s="273"/>
      <c r="H8600" s="29" t="str">
        <f>IF(A8600="","",VLOOKUP(A8600,AA_Equipos,7,FALSE))</f>
        <v/>
      </c>
      <c r="I8600" s="394" t="str">
        <f>IF(A8600="","",VLOOKUP(A8600,AA_Equipos,8,FALSE))</f>
        <v/>
      </c>
      <c r="J8600" s="273"/>
      <c r="K8600" s="402"/>
      <c r="L8600" s="273"/>
      <c r="M8600" s="394" t="str">
        <f t="shared" si="1165"/>
        <v/>
      </c>
      <c r="N8600" s="273"/>
    </row>
    <row r="8601" spans="1:14" ht="12.75" customHeight="1" x14ac:dyDescent="0.2">
      <c r="A8601" s="400"/>
      <c r="B8601" s="271"/>
      <c r="C8601" s="271"/>
      <c r="D8601" s="271"/>
      <c r="E8601" s="271"/>
      <c r="F8601" s="271"/>
      <c r="G8601" s="273"/>
      <c r="H8601" s="29" t="str">
        <f>IF(A8601="","",VLOOKUP(A8601,AA_Equipos,7,FALSE))</f>
        <v/>
      </c>
      <c r="I8601" s="394" t="str">
        <f>IF(A8601="","",VLOOKUP(A8601,AA_Equipos,8,FALSE))</f>
        <v/>
      </c>
      <c r="J8601" s="273"/>
      <c r="K8601" s="401"/>
      <c r="L8601" s="273"/>
      <c r="M8601" s="394" t="str">
        <f t="shared" si="1165"/>
        <v/>
      </c>
      <c r="N8601" s="273"/>
    </row>
    <row r="8602" spans="1:14" ht="12.75" customHeight="1" x14ac:dyDescent="0.2">
      <c r="A8602" s="400"/>
      <c r="B8602" s="271"/>
      <c r="C8602" s="271"/>
      <c r="D8602" s="271"/>
      <c r="E8602" s="271"/>
      <c r="F8602" s="271"/>
      <c r="G8602" s="273"/>
      <c r="H8602" s="29" t="str">
        <f>IF(A8602="","",VLOOKUP(A8602,AA_Equipos,7,FALSE))</f>
        <v/>
      </c>
      <c r="I8602" s="394" t="str">
        <f>IF(A8602="","",VLOOKUP(A8602,AA_Equipos,8,FALSE))</f>
        <v/>
      </c>
      <c r="J8602" s="273"/>
      <c r="K8602" s="395"/>
      <c r="L8602" s="273"/>
      <c r="M8602" s="394" t="str">
        <f t="shared" si="1165"/>
        <v/>
      </c>
      <c r="N8602" s="273"/>
    </row>
    <row r="8603" spans="1:14" ht="12.75" customHeight="1" x14ac:dyDescent="0.2">
      <c r="A8603" s="400"/>
      <c r="B8603" s="271"/>
      <c r="C8603" s="271"/>
      <c r="D8603" s="271"/>
      <c r="E8603" s="271"/>
      <c r="F8603" s="271"/>
      <c r="G8603" s="273"/>
      <c r="H8603" s="29" t="str">
        <f>IF(A8603="","",VLOOKUP(A8603,AA_Equipos,7,FALSE))</f>
        <v/>
      </c>
      <c r="I8603" s="394" t="str">
        <f>IF(A8603="","",VLOOKUP(A8603,AA_Equipos,8,FALSE))</f>
        <v/>
      </c>
      <c r="J8603" s="273"/>
      <c r="K8603" s="395"/>
      <c r="L8603" s="273"/>
      <c r="M8603" s="394" t="str">
        <f t="shared" si="1165"/>
        <v/>
      </c>
      <c r="N8603" s="273"/>
    </row>
    <row r="8604" spans="1:14" ht="12.75" customHeight="1" x14ac:dyDescent="0.25">
      <c r="A8604" s="4"/>
      <c r="B8604" s="4"/>
      <c r="C8604" s="4"/>
      <c r="D8604" s="4"/>
      <c r="E8604" s="4"/>
      <c r="F8604" s="4"/>
      <c r="G8604" s="4"/>
      <c r="H8604" s="4"/>
      <c r="I8604" s="4"/>
      <c r="J8604" s="4"/>
      <c r="K8604" s="396" t="s">
        <v>444</v>
      </c>
      <c r="L8604" s="273"/>
      <c r="M8604" s="394">
        <f>SUM(M8599:N8603)</f>
        <v>877.78610000000015</v>
      </c>
      <c r="N8604" s="273"/>
    </row>
    <row r="8605" spans="1:14" ht="12.75" customHeight="1" x14ac:dyDescent="0.25">
      <c r="A8605" s="4"/>
      <c r="B8605" s="4"/>
      <c r="C8605" s="4"/>
      <c r="D8605" s="4"/>
      <c r="E8605" s="4"/>
      <c r="F8605" s="4"/>
      <c r="G8605" s="4"/>
      <c r="H8605" s="4"/>
      <c r="I8605" s="4"/>
      <c r="J8605" s="4"/>
      <c r="K8605" s="4"/>
      <c r="L8605" s="4"/>
      <c r="M8605" s="4"/>
      <c r="N8605" s="4"/>
    </row>
    <row r="8606" spans="1:14" ht="12.75" customHeight="1" x14ac:dyDescent="0.2">
      <c r="A8606" s="398" t="s">
        <v>929</v>
      </c>
      <c r="B8606" s="271"/>
      <c r="C8606" s="271"/>
      <c r="D8606" s="271"/>
      <c r="E8606" s="271"/>
      <c r="F8606" s="271"/>
      <c r="G8606" s="271"/>
      <c r="H8606" s="271"/>
      <c r="I8606" s="271"/>
      <c r="J8606" s="271"/>
      <c r="K8606" s="271"/>
      <c r="L8606" s="271"/>
      <c r="M8606" s="271"/>
      <c r="N8606" s="273"/>
    </row>
    <row r="8607" spans="1:14" ht="12.75" customHeight="1" x14ac:dyDescent="0.2">
      <c r="A8607" s="396" t="s">
        <v>76</v>
      </c>
      <c r="B8607" s="271"/>
      <c r="C8607" s="271"/>
      <c r="D8607" s="271"/>
      <c r="E8607" s="271"/>
      <c r="F8607" s="271"/>
      <c r="G8607" s="273"/>
      <c r="H8607" s="88" t="s">
        <v>77</v>
      </c>
      <c r="I8607" s="399" t="s">
        <v>920</v>
      </c>
      <c r="J8607" s="273"/>
      <c r="K8607" s="399" t="s">
        <v>453</v>
      </c>
      <c r="L8607" s="273"/>
      <c r="M8607" s="399" t="s">
        <v>921</v>
      </c>
      <c r="N8607" s="273"/>
    </row>
    <row r="8608" spans="1:14" ht="12.75" customHeight="1" x14ac:dyDescent="0.2">
      <c r="A8608" s="400" t="s">
        <v>960</v>
      </c>
      <c r="B8608" s="271"/>
      <c r="C8608" s="271"/>
      <c r="D8608" s="271"/>
      <c r="E8608" s="271"/>
      <c r="F8608" s="271"/>
      <c r="G8608" s="273"/>
      <c r="H8608" s="29" t="s">
        <v>950</v>
      </c>
      <c r="I8608" s="394">
        <f>+M8595</f>
        <v>87000</v>
      </c>
      <c r="J8608" s="273"/>
      <c r="K8608" s="404">
        <v>0.05</v>
      </c>
      <c r="L8608" s="273"/>
      <c r="M8608" s="394">
        <f t="shared" ref="M8608:M8612" si="1166">IF(A8608="","",I8608*K8608)</f>
        <v>4350</v>
      </c>
      <c r="N8608" s="273"/>
    </row>
    <row r="8609" spans="1:14" ht="12.75" customHeight="1" x14ac:dyDescent="0.2">
      <c r="A8609" s="403"/>
      <c r="B8609" s="271"/>
      <c r="C8609" s="271"/>
      <c r="D8609" s="271"/>
      <c r="E8609" s="271"/>
      <c r="F8609" s="271"/>
      <c r="G8609" s="273"/>
      <c r="H8609" s="29"/>
      <c r="I8609" s="394"/>
      <c r="J8609" s="273"/>
      <c r="K8609" s="404"/>
      <c r="L8609" s="273"/>
      <c r="M8609" s="394" t="str">
        <f t="shared" si="1166"/>
        <v/>
      </c>
      <c r="N8609" s="273"/>
    </row>
    <row r="8610" spans="1:14" ht="12.75" customHeight="1" x14ac:dyDescent="0.2">
      <c r="A8610" s="400"/>
      <c r="B8610" s="271"/>
      <c r="C8610" s="271"/>
      <c r="D8610" s="271"/>
      <c r="E8610" s="271"/>
      <c r="F8610" s="271"/>
      <c r="G8610" s="273"/>
      <c r="H8610" s="29"/>
      <c r="I8610" s="394"/>
      <c r="J8610" s="273"/>
      <c r="K8610" s="395"/>
      <c r="L8610" s="273"/>
      <c r="M8610" s="394" t="str">
        <f t="shared" si="1166"/>
        <v/>
      </c>
      <c r="N8610" s="273"/>
    </row>
    <row r="8611" spans="1:14" ht="12.75" customHeight="1" x14ac:dyDescent="0.2">
      <c r="A8611" s="400"/>
      <c r="B8611" s="271"/>
      <c r="C8611" s="271"/>
      <c r="D8611" s="271"/>
      <c r="E8611" s="271"/>
      <c r="F8611" s="271"/>
      <c r="G8611" s="273"/>
      <c r="H8611" s="29"/>
      <c r="I8611" s="394"/>
      <c r="J8611" s="273"/>
      <c r="K8611" s="395"/>
      <c r="L8611" s="273"/>
      <c r="M8611" s="394" t="str">
        <f t="shared" si="1166"/>
        <v/>
      </c>
      <c r="N8611" s="273"/>
    </row>
    <row r="8612" spans="1:14" ht="12.75" customHeight="1" x14ac:dyDescent="0.2">
      <c r="A8612" s="400"/>
      <c r="B8612" s="271"/>
      <c r="C8612" s="271"/>
      <c r="D8612" s="271"/>
      <c r="E8612" s="271"/>
      <c r="F8612" s="271"/>
      <c r="G8612" s="273"/>
      <c r="H8612" s="29"/>
      <c r="I8612" s="394"/>
      <c r="J8612" s="273"/>
      <c r="K8612" s="395"/>
      <c r="L8612" s="273"/>
      <c r="M8612" s="394" t="str">
        <f t="shared" si="1166"/>
        <v/>
      </c>
      <c r="N8612" s="273"/>
    </row>
    <row r="8613" spans="1:14" ht="12.75" customHeight="1" x14ac:dyDescent="0.25">
      <c r="A8613" s="4"/>
      <c r="B8613" s="4"/>
      <c r="C8613" s="4"/>
      <c r="D8613" s="4"/>
      <c r="E8613" s="4"/>
      <c r="F8613" s="4"/>
      <c r="G8613" s="4"/>
      <c r="H8613" s="4"/>
      <c r="I8613" s="4"/>
      <c r="J8613" s="4"/>
      <c r="K8613" s="396" t="s">
        <v>444</v>
      </c>
      <c r="L8613" s="273"/>
      <c r="M8613" s="394">
        <f>SUM(M8608:N8612)</f>
        <v>4350</v>
      </c>
      <c r="N8613" s="273"/>
    </row>
    <row r="8614" spans="1:14" ht="12.75" customHeight="1" x14ac:dyDescent="0.25">
      <c r="A8614" s="4"/>
      <c r="B8614" s="4"/>
      <c r="C8614" s="4"/>
      <c r="D8614" s="4"/>
      <c r="E8614" s="4"/>
      <c r="F8614" s="4"/>
      <c r="G8614" s="4"/>
      <c r="H8614" s="4"/>
      <c r="I8614" s="4"/>
      <c r="J8614" s="4"/>
      <c r="K8614" s="4"/>
      <c r="L8614" s="4"/>
      <c r="M8614" s="4"/>
      <c r="N8614" s="4"/>
    </row>
    <row r="8615" spans="1:14" ht="12.75" customHeight="1" x14ac:dyDescent="0.2">
      <c r="A8615" s="398" t="s">
        <v>931</v>
      </c>
      <c r="B8615" s="271"/>
      <c r="C8615" s="271"/>
      <c r="D8615" s="271"/>
      <c r="E8615" s="271"/>
      <c r="F8615" s="271"/>
      <c r="G8615" s="271"/>
      <c r="H8615" s="271"/>
      <c r="I8615" s="271"/>
      <c r="J8615" s="271"/>
      <c r="K8615" s="271"/>
      <c r="L8615" s="271"/>
      <c r="M8615" s="271"/>
      <c r="N8615" s="273"/>
    </row>
    <row r="8616" spans="1:14" ht="12.75" customHeight="1" x14ac:dyDescent="0.2">
      <c r="A8616" s="396" t="s">
        <v>76</v>
      </c>
      <c r="B8616" s="271"/>
      <c r="C8616" s="271"/>
      <c r="D8616" s="271"/>
      <c r="E8616" s="271"/>
      <c r="F8616" s="271"/>
      <c r="G8616" s="273"/>
      <c r="H8616" s="88" t="s">
        <v>77</v>
      </c>
      <c r="I8616" s="399" t="s">
        <v>920</v>
      </c>
      <c r="J8616" s="273"/>
      <c r="K8616" s="90" t="s">
        <v>514</v>
      </c>
      <c r="L8616" s="91" t="s">
        <v>932</v>
      </c>
      <c r="M8616" s="399" t="s">
        <v>921</v>
      </c>
      <c r="N8616" s="273"/>
    </row>
    <row r="8617" spans="1:14" ht="12.75" customHeight="1" x14ac:dyDescent="0.25">
      <c r="A8617" s="393" t="s">
        <v>986</v>
      </c>
      <c r="B8617" s="271"/>
      <c r="C8617" s="271"/>
      <c r="D8617" s="271"/>
      <c r="E8617" s="271"/>
      <c r="F8617" s="271"/>
      <c r="G8617" s="273"/>
      <c r="H8617" s="29" t="str">
        <f>IF(A8617="","",VLOOKUP(A8617,AA_Cuadrillas,4,FALSE))</f>
        <v>Cuadrilla</v>
      </c>
      <c r="I8617" s="394">
        <f>IF(A8617="","",VLOOKUP(A8617,AA_Cuadrillas,5,FALSE))</f>
        <v>186763</v>
      </c>
      <c r="J8617" s="273"/>
      <c r="K8617" s="9">
        <f>IF(A8617="","",F.P!$I$2)</f>
        <v>1.88</v>
      </c>
      <c r="L8617" s="97">
        <f>1/20</f>
        <v>0.05</v>
      </c>
      <c r="M8617" s="394">
        <f t="shared" ref="M8617:M8621" si="1167">IF(A8617="","",I8617*K8617*L8617)</f>
        <v>17555.722000000002</v>
      </c>
      <c r="N8617" s="273"/>
    </row>
    <row r="8618" spans="1:14" ht="12.75" customHeight="1" x14ac:dyDescent="0.25">
      <c r="A8618" s="393"/>
      <c r="B8618" s="271"/>
      <c r="C8618" s="271"/>
      <c r="D8618" s="271"/>
      <c r="E8618" s="271"/>
      <c r="F8618" s="271"/>
      <c r="G8618" s="273"/>
      <c r="H8618" s="29" t="str">
        <f>IF(A8618="","",VLOOKUP(A8618,AA_Cuadrillas,4,FALSE))</f>
        <v/>
      </c>
      <c r="I8618" s="394" t="str">
        <f>IF(A8618="","",VLOOKUP(A8618,AA_Cuadrillas,5,FALSE))</f>
        <v/>
      </c>
      <c r="J8618" s="273"/>
      <c r="K8618" s="9" t="str">
        <f>IF(A8618="","",F.P!$I$2)</f>
        <v/>
      </c>
      <c r="L8618" s="9"/>
      <c r="M8618" s="394" t="str">
        <f t="shared" si="1167"/>
        <v/>
      </c>
      <c r="N8618" s="273"/>
    </row>
    <row r="8619" spans="1:14" ht="12.75" customHeight="1" x14ac:dyDescent="0.25">
      <c r="A8619" s="393"/>
      <c r="B8619" s="271"/>
      <c r="C8619" s="271"/>
      <c r="D8619" s="271"/>
      <c r="E8619" s="271"/>
      <c r="F8619" s="271"/>
      <c r="G8619" s="273"/>
      <c r="H8619" s="29" t="str">
        <f>IF(A8619="","",VLOOKUP(A8619,AA_Cuadrillas,4,FALSE))</f>
        <v/>
      </c>
      <c r="I8619" s="394" t="str">
        <f>IF(A8619="","",VLOOKUP(A8619,AA_Cuadrillas,5,FALSE))</f>
        <v/>
      </c>
      <c r="J8619" s="273"/>
      <c r="K8619" s="9" t="str">
        <f>IF(A8619="","",F.P!$I$2)</f>
        <v/>
      </c>
      <c r="L8619" s="37"/>
      <c r="M8619" s="394" t="str">
        <f t="shared" si="1167"/>
        <v/>
      </c>
      <c r="N8619" s="273"/>
    </row>
    <row r="8620" spans="1:14" ht="12.75" customHeight="1" x14ac:dyDescent="0.25">
      <c r="A8620" s="393"/>
      <c r="B8620" s="271"/>
      <c r="C8620" s="271"/>
      <c r="D8620" s="271"/>
      <c r="E8620" s="271"/>
      <c r="F8620" s="271"/>
      <c r="G8620" s="273"/>
      <c r="H8620" s="29" t="str">
        <f>IF(A8620="","",VLOOKUP(A8620,AA_Cuadrillas,4,FALSE))</f>
        <v/>
      </c>
      <c r="I8620" s="394" t="str">
        <f>IF(A8620="","",VLOOKUP(A8620,AA_Cuadrillas,5,FALSE))</f>
        <v/>
      </c>
      <c r="J8620" s="273"/>
      <c r="K8620" s="9" t="str">
        <f>IF(A8620="","",F.P!$I$2)</f>
        <v/>
      </c>
      <c r="L8620" s="37"/>
      <c r="M8620" s="394" t="str">
        <f t="shared" si="1167"/>
        <v/>
      </c>
      <c r="N8620" s="273"/>
    </row>
    <row r="8621" spans="1:14" ht="12.75" customHeight="1" x14ac:dyDescent="0.25">
      <c r="A8621" s="393"/>
      <c r="B8621" s="271"/>
      <c r="C8621" s="271"/>
      <c r="D8621" s="271"/>
      <c r="E8621" s="271"/>
      <c r="F8621" s="271"/>
      <c r="G8621" s="273"/>
      <c r="H8621" s="29" t="str">
        <f>IF(A8621="","",VLOOKUP(A8621,AA_Cuadrillas,4,FALSE))</f>
        <v/>
      </c>
      <c r="I8621" s="394" t="str">
        <f>IF(A8621="","",VLOOKUP(A8621,AA_Cuadrillas,5,FALSE))</f>
        <v/>
      </c>
      <c r="J8621" s="273"/>
      <c r="K8621" s="9" t="str">
        <f>IF(A8621="","",F.P!$I$2)</f>
        <v/>
      </c>
      <c r="L8621" s="37"/>
      <c r="M8621" s="394" t="str">
        <f t="shared" si="1167"/>
        <v/>
      </c>
      <c r="N8621" s="273"/>
    </row>
    <row r="8622" spans="1:14" ht="12.75" customHeight="1" x14ac:dyDescent="0.25">
      <c r="A8622" s="4"/>
      <c r="B8622" s="4"/>
      <c r="C8622" s="4"/>
      <c r="D8622" s="4"/>
      <c r="E8622" s="4"/>
      <c r="F8622" s="4"/>
      <c r="G8622" s="4"/>
      <c r="H8622" s="4"/>
      <c r="I8622" s="4"/>
      <c r="J8622" s="4"/>
      <c r="K8622" s="396" t="s">
        <v>444</v>
      </c>
      <c r="L8622" s="273"/>
      <c r="M8622" s="394">
        <f>SUM(M8617:N8621)</f>
        <v>17555.722000000002</v>
      </c>
      <c r="N8622" s="273"/>
    </row>
    <row r="8623" spans="1:14" ht="12.75" customHeight="1" x14ac:dyDescent="0.2"/>
    <row r="8624" spans="1:14" ht="12.75" customHeight="1" x14ac:dyDescent="0.2">
      <c r="A8624" s="407" t="s">
        <v>369</v>
      </c>
      <c r="B8624" s="275"/>
      <c r="C8624" s="275"/>
      <c r="D8624" s="275"/>
      <c r="E8624" s="275"/>
      <c r="F8624" s="275"/>
      <c r="G8624" s="275"/>
      <c r="H8624" s="275"/>
      <c r="I8624" s="275"/>
      <c r="J8624" s="275"/>
      <c r="K8624" s="275"/>
      <c r="L8624" s="275"/>
      <c r="M8624" s="275"/>
      <c r="N8624" s="276"/>
    </row>
    <row r="8625" spans="1:14" ht="12.75" customHeight="1" x14ac:dyDescent="0.2">
      <c r="A8625" s="277"/>
      <c r="B8625" s="278"/>
      <c r="C8625" s="278"/>
      <c r="D8625" s="278"/>
      <c r="E8625" s="278"/>
      <c r="F8625" s="278"/>
      <c r="G8625" s="278"/>
      <c r="H8625" s="278"/>
      <c r="I8625" s="278"/>
      <c r="J8625" s="278"/>
      <c r="K8625" s="278"/>
      <c r="L8625" s="278"/>
      <c r="M8625" s="278"/>
      <c r="N8625" s="279"/>
    </row>
    <row r="8626" spans="1:14" ht="12.75" customHeight="1" x14ac:dyDescent="0.2">
      <c r="A8626" s="75"/>
      <c r="B8626" s="75"/>
      <c r="C8626" s="75"/>
      <c r="D8626" s="75"/>
      <c r="E8626" s="75"/>
      <c r="F8626" s="75"/>
      <c r="G8626" s="75"/>
      <c r="H8626" s="75"/>
      <c r="I8626" s="75"/>
      <c r="J8626" s="75"/>
      <c r="K8626" s="75"/>
      <c r="L8626" s="75"/>
      <c r="M8626" s="75"/>
      <c r="N8626" s="75"/>
    </row>
    <row r="8627" spans="1:14" ht="12.75" customHeight="1" x14ac:dyDescent="0.3">
      <c r="A8627" s="79" t="s">
        <v>803</v>
      </c>
      <c r="B8627" s="80" t="str">
        <f>A8624</f>
        <v>SUMINISTRO E INSTALACIÓN CODO 11,25° Ø3" EN HIERRO DUCTIL CON UNIÓN MECÁNICA (INCLUYE MATERIALES, HERRAMIENTAS Y MANO DE OBRA)</v>
      </c>
      <c r="C8627" s="81" t="s">
        <v>916</v>
      </c>
      <c r="D8627" s="82" t="s">
        <v>999</v>
      </c>
      <c r="E8627" s="83" t="s">
        <v>445</v>
      </c>
      <c r="F8627" s="86">
        <f>H8627+J8627+L8627+N8627</f>
        <v>174883.50810000001</v>
      </c>
      <c r="G8627" s="83" t="s">
        <v>607</v>
      </c>
      <c r="H8627" s="86">
        <f>M8648</f>
        <v>877.78610000000015</v>
      </c>
      <c r="I8627" s="83" t="s">
        <v>918</v>
      </c>
      <c r="J8627" s="86">
        <f>M8639</f>
        <v>149000</v>
      </c>
      <c r="K8627" s="83" t="s">
        <v>609</v>
      </c>
      <c r="L8627" s="86">
        <f>M8657</f>
        <v>7450</v>
      </c>
      <c r="M8627" s="83" t="s">
        <v>610</v>
      </c>
      <c r="N8627" s="86">
        <f>M8666</f>
        <v>17555.722000000002</v>
      </c>
    </row>
    <row r="8628" spans="1:14" ht="12.75" customHeight="1" x14ac:dyDescent="0.25">
      <c r="A8628" s="87"/>
      <c r="B8628" s="87"/>
      <c r="C8628" s="87"/>
      <c r="D8628" s="87"/>
      <c r="E8628" s="87"/>
      <c r="F8628" s="87"/>
      <c r="G8628" s="87"/>
      <c r="J8628" s="87"/>
      <c r="K8628" s="215" t="s">
        <v>3217</v>
      </c>
      <c r="L8628" s="215">
        <f>+F8627*presup!$O$5</f>
        <v>227348.56053000002</v>
      </c>
      <c r="M8628" s="87"/>
      <c r="N8628" s="87"/>
    </row>
    <row r="8629" spans="1:14" ht="12.75" customHeight="1" x14ac:dyDescent="0.2">
      <c r="A8629" s="398" t="s">
        <v>919</v>
      </c>
      <c r="B8629" s="271"/>
      <c r="C8629" s="271"/>
      <c r="D8629" s="271"/>
      <c r="E8629" s="271"/>
      <c r="F8629" s="271"/>
      <c r="G8629" s="271"/>
      <c r="H8629" s="271"/>
      <c r="I8629" s="271"/>
      <c r="J8629" s="271"/>
      <c r="K8629" s="271"/>
      <c r="L8629" s="271"/>
      <c r="M8629" s="271"/>
      <c r="N8629" s="273"/>
    </row>
    <row r="8630" spans="1:14" ht="12.75" customHeight="1" x14ac:dyDescent="0.2">
      <c r="A8630" s="396" t="s">
        <v>76</v>
      </c>
      <c r="B8630" s="271"/>
      <c r="C8630" s="271"/>
      <c r="D8630" s="271"/>
      <c r="E8630" s="271"/>
      <c r="F8630" s="271"/>
      <c r="G8630" s="273"/>
      <c r="H8630" s="88" t="s">
        <v>77</v>
      </c>
      <c r="I8630" s="399" t="s">
        <v>920</v>
      </c>
      <c r="J8630" s="273"/>
      <c r="K8630" s="399" t="s">
        <v>453</v>
      </c>
      <c r="L8630" s="273"/>
      <c r="M8630" s="399" t="s">
        <v>921</v>
      </c>
      <c r="N8630" s="273"/>
    </row>
    <row r="8631" spans="1:14" ht="12.75" customHeight="1" x14ac:dyDescent="0.2">
      <c r="A8631" s="403" t="s">
        <v>1427</v>
      </c>
      <c r="B8631" s="271"/>
      <c r="C8631" s="271"/>
      <c r="D8631" s="271"/>
      <c r="E8631" s="271"/>
      <c r="F8631" s="271"/>
      <c r="G8631" s="273"/>
      <c r="H8631" s="29" t="str">
        <f t="shared" ref="H8631:H8638" si="1168">IF(A8631="","",VLOOKUP(A8631,AA_Materiales,7,FALSE))</f>
        <v>Unidad</v>
      </c>
      <c r="I8631" s="394">
        <f t="shared" ref="I8631:I8638" si="1169">IF(A8631="","",VLOOKUP(A8631,AA_Materiales,8,FALSE))</f>
        <v>149000</v>
      </c>
      <c r="J8631" s="273"/>
      <c r="K8631" s="395">
        <v>1</v>
      </c>
      <c r="L8631" s="273"/>
      <c r="M8631" s="394">
        <f t="shared" ref="M8631:M8638" si="1170">IF(A8631="","",I8631*K8631)</f>
        <v>149000</v>
      </c>
      <c r="N8631" s="273"/>
    </row>
    <row r="8632" spans="1:14" ht="12.75" customHeight="1" x14ac:dyDescent="0.2">
      <c r="A8632" s="403"/>
      <c r="B8632" s="271"/>
      <c r="C8632" s="271"/>
      <c r="D8632" s="271"/>
      <c r="E8632" s="271"/>
      <c r="F8632" s="271"/>
      <c r="G8632" s="273"/>
      <c r="H8632" s="29" t="str">
        <f t="shared" si="1168"/>
        <v/>
      </c>
      <c r="I8632" s="394" t="str">
        <f t="shared" si="1169"/>
        <v/>
      </c>
      <c r="J8632" s="273"/>
      <c r="K8632" s="395"/>
      <c r="L8632" s="273"/>
      <c r="M8632" s="394" t="str">
        <f t="shared" si="1170"/>
        <v/>
      </c>
      <c r="N8632" s="273"/>
    </row>
    <row r="8633" spans="1:14" ht="12.75" customHeight="1" x14ac:dyDescent="0.2">
      <c r="A8633" s="403"/>
      <c r="B8633" s="271"/>
      <c r="C8633" s="271"/>
      <c r="D8633" s="271"/>
      <c r="E8633" s="271"/>
      <c r="F8633" s="271"/>
      <c r="G8633" s="273"/>
      <c r="H8633" s="29" t="str">
        <f t="shared" si="1168"/>
        <v/>
      </c>
      <c r="I8633" s="394" t="str">
        <f t="shared" si="1169"/>
        <v/>
      </c>
      <c r="J8633" s="273"/>
      <c r="K8633" s="395"/>
      <c r="L8633" s="273"/>
      <c r="M8633" s="394" t="str">
        <f t="shared" si="1170"/>
        <v/>
      </c>
      <c r="N8633" s="273"/>
    </row>
    <row r="8634" spans="1:14" ht="12.75" customHeight="1" x14ac:dyDescent="0.2">
      <c r="A8634" s="403"/>
      <c r="B8634" s="271"/>
      <c r="C8634" s="271"/>
      <c r="D8634" s="271"/>
      <c r="E8634" s="271"/>
      <c r="F8634" s="271"/>
      <c r="G8634" s="273"/>
      <c r="H8634" s="29" t="str">
        <f t="shared" si="1168"/>
        <v/>
      </c>
      <c r="I8634" s="394" t="str">
        <f t="shared" si="1169"/>
        <v/>
      </c>
      <c r="J8634" s="273"/>
      <c r="K8634" s="395"/>
      <c r="L8634" s="273"/>
      <c r="M8634" s="394" t="str">
        <f t="shared" si="1170"/>
        <v/>
      </c>
      <c r="N8634" s="273"/>
    </row>
    <row r="8635" spans="1:14" ht="12.75" customHeight="1" x14ac:dyDescent="0.2">
      <c r="A8635" s="403"/>
      <c r="B8635" s="271"/>
      <c r="C8635" s="271"/>
      <c r="D8635" s="271"/>
      <c r="E8635" s="271"/>
      <c r="F8635" s="271"/>
      <c r="G8635" s="273"/>
      <c r="H8635" s="29" t="str">
        <f t="shared" si="1168"/>
        <v/>
      </c>
      <c r="I8635" s="394" t="str">
        <f t="shared" si="1169"/>
        <v/>
      </c>
      <c r="J8635" s="273"/>
      <c r="K8635" s="395"/>
      <c r="L8635" s="273"/>
      <c r="M8635" s="394" t="str">
        <f t="shared" si="1170"/>
        <v/>
      </c>
      <c r="N8635" s="273"/>
    </row>
    <row r="8636" spans="1:14" ht="12.75" customHeight="1" x14ac:dyDescent="0.2">
      <c r="A8636" s="403"/>
      <c r="B8636" s="271"/>
      <c r="C8636" s="271"/>
      <c r="D8636" s="271"/>
      <c r="E8636" s="271"/>
      <c r="F8636" s="271"/>
      <c r="G8636" s="273"/>
      <c r="H8636" s="29" t="str">
        <f t="shared" si="1168"/>
        <v/>
      </c>
      <c r="I8636" s="394" t="str">
        <f t="shared" si="1169"/>
        <v/>
      </c>
      <c r="J8636" s="273"/>
      <c r="K8636" s="395"/>
      <c r="L8636" s="273"/>
      <c r="M8636" s="394" t="str">
        <f t="shared" si="1170"/>
        <v/>
      </c>
      <c r="N8636" s="273"/>
    </row>
    <row r="8637" spans="1:14" ht="12.75" customHeight="1" x14ac:dyDescent="0.2">
      <c r="A8637" s="403"/>
      <c r="B8637" s="271"/>
      <c r="C8637" s="271"/>
      <c r="D8637" s="271"/>
      <c r="E8637" s="271"/>
      <c r="F8637" s="271"/>
      <c r="G8637" s="273"/>
      <c r="H8637" s="29" t="str">
        <f t="shared" si="1168"/>
        <v/>
      </c>
      <c r="I8637" s="394" t="str">
        <f t="shared" si="1169"/>
        <v/>
      </c>
      <c r="J8637" s="273"/>
      <c r="K8637" s="395"/>
      <c r="L8637" s="273"/>
      <c r="M8637" s="394" t="str">
        <f t="shared" si="1170"/>
        <v/>
      </c>
      <c r="N8637" s="273"/>
    </row>
    <row r="8638" spans="1:14" ht="12.75" customHeight="1" x14ac:dyDescent="0.2">
      <c r="A8638" s="403"/>
      <c r="B8638" s="271"/>
      <c r="C8638" s="271"/>
      <c r="D8638" s="271"/>
      <c r="E8638" s="271"/>
      <c r="F8638" s="271"/>
      <c r="G8638" s="273"/>
      <c r="H8638" s="29" t="str">
        <f t="shared" si="1168"/>
        <v/>
      </c>
      <c r="I8638" s="394" t="str">
        <f t="shared" si="1169"/>
        <v/>
      </c>
      <c r="J8638" s="273"/>
      <c r="K8638" s="395"/>
      <c r="L8638" s="273"/>
      <c r="M8638" s="394" t="str">
        <f t="shared" si="1170"/>
        <v/>
      </c>
      <c r="N8638" s="273"/>
    </row>
    <row r="8639" spans="1:14" ht="12.75" customHeight="1" x14ac:dyDescent="0.25">
      <c r="A8639" s="4"/>
      <c r="B8639" s="4"/>
      <c r="C8639" s="4"/>
      <c r="D8639" s="4"/>
      <c r="E8639" s="4"/>
      <c r="F8639" s="4"/>
      <c r="G8639" s="4"/>
      <c r="H8639" s="4"/>
      <c r="I8639" s="4"/>
      <c r="J8639" s="4"/>
      <c r="K8639" s="396" t="s">
        <v>444</v>
      </c>
      <c r="L8639" s="273"/>
      <c r="M8639" s="394">
        <f>SUM(M8631:N8638)</f>
        <v>149000</v>
      </c>
      <c r="N8639" s="273"/>
    </row>
    <row r="8640" spans="1:14" ht="12.75" customHeight="1" x14ac:dyDescent="0.25">
      <c r="A8640" s="4"/>
      <c r="B8640" s="4"/>
      <c r="C8640" s="4"/>
      <c r="D8640" s="4"/>
      <c r="E8640" s="4"/>
      <c r="F8640" s="4"/>
      <c r="G8640" s="4"/>
      <c r="H8640" s="4"/>
      <c r="I8640" s="4"/>
      <c r="J8640" s="4"/>
      <c r="K8640" s="4"/>
      <c r="L8640" s="4"/>
      <c r="M8640" s="4"/>
      <c r="N8640" s="4"/>
    </row>
    <row r="8641" spans="1:14" ht="12.75" customHeight="1" x14ac:dyDescent="0.2">
      <c r="A8641" s="398" t="s">
        <v>926</v>
      </c>
      <c r="B8641" s="271"/>
      <c r="C8641" s="271"/>
      <c r="D8641" s="271"/>
      <c r="E8641" s="271"/>
      <c r="F8641" s="271"/>
      <c r="G8641" s="271"/>
      <c r="H8641" s="271"/>
      <c r="I8641" s="271"/>
      <c r="J8641" s="271"/>
      <c r="K8641" s="271"/>
      <c r="L8641" s="271"/>
      <c r="M8641" s="271"/>
      <c r="N8641" s="273"/>
    </row>
    <row r="8642" spans="1:14" ht="12.75" customHeight="1" x14ac:dyDescent="0.2">
      <c r="A8642" s="396" t="s">
        <v>76</v>
      </c>
      <c r="B8642" s="271"/>
      <c r="C8642" s="271"/>
      <c r="D8642" s="271"/>
      <c r="E8642" s="271"/>
      <c r="F8642" s="271"/>
      <c r="G8642" s="273"/>
      <c r="H8642" s="88" t="s">
        <v>77</v>
      </c>
      <c r="I8642" s="399" t="s">
        <v>920</v>
      </c>
      <c r="J8642" s="273"/>
      <c r="K8642" s="399" t="s">
        <v>453</v>
      </c>
      <c r="L8642" s="273"/>
      <c r="M8642" s="399" t="s">
        <v>921</v>
      </c>
      <c r="N8642" s="273"/>
    </row>
    <row r="8643" spans="1:14" ht="12.75" customHeight="1" x14ac:dyDescent="0.2">
      <c r="A8643" s="400" t="s">
        <v>927</v>
      </c>
      <c r="B8643" s="271"/>
      <c r="C8643" s="271"/>
      <c r="D8643" s="271"/>
      <c r="E8643" s="271"/>
      <c r="F8643" s="271"/>
      <c r="G8643" s="273"/>
      <c r="H8643" s="29" t="str">
        <f>IF(A8643="","",VLOOKUP(A8643,AA_Equipos,7,FALSE))</f>
        <v>% M.O.</v>
      </c>
      <c r="I8643" s="394">
        <f>+M8666</f>
        <v>17555.722000000002</v>
      </c>
      <c r="J8643" s="273"/>
      <c r="K8643" s="404">
        <v>0.05</v>
      </c>
      <c r="L8643" s="273"/>
      <c r="M8643" s="394">
        <f t="shared" ref="M8643:M8647" si="1171">IF(A8643="","",I8643*K8643)</f>
        <v>877.78610000000015</v>
      </c>
      <c r="N8643" s="273"/>
    </row>
    <row r="8644" spans="1:14" ht="12.75" customHeight="1" x14ac:dyDescent="0.2">
      <c r="A8644" s="403"/>
      <c r="B8644" s="271"/>
      <c r="C8644" s="271"/>
      <c r="D8644" s="271"/>
      <c r="E8644" s="271"/>
      <c r="F8644" s="271"/>
      <c r="G8644" s="273"/>
      <c r="H8644" s="29" t="str">
        <f>IF(A8644="","",VLOOKUP(A8644,AA_Equipos,7,FALSE))</f>
        <v/>
      </c>
      <c r="I8644" s="394" t="str">
        <f>IF(A8644="","",VLOOKUP(A8644,AA_Equipos,8,FALSE))</f>
        <v/>
      </c>
      <c r="J8644" s="273"/>
      <c r="K8644" s="402"/>
      <c r="L8644" s="273"/>
      <c r="M8644" s="394" t="str">
        <f t="shared" si="1171"/>
        <v/>
      </c>
      <c r="N8644" s="273"/>
    </row>
    <row r="8645" spans="1:14" ht="12.75" customHeight="1" x14ac:dyDescent="0.2">
      <c r="A8645" s="400"/>
      <c r="B8645" s="271"/>
      <c r="C8645" s="271"/>
      <c r="D8645" s="271"/>
      <c r="E8645" s="271"/>
      <c r="F8645" s="271"/>
      <c r="G8645" s="273"/>
      <c r="H8645" s="29" t="str">
        <f>IF(A8645="","",VLOOKUP(A8645,AA_Equipos,7,FALSE))</f>
        <v/>
      </c>
      <c r="I8645" s="394" t="str">
        <f>IF(A8645="","",VLOOKUP(A8645,AA_Equipos,8,FALSE))</f>
        <v/>
      </c>
      <c r="J8645" s="273"/>
      <c r="K8645" s="401"/>
      <c r="L8645" s="273"/>
      <c r="M8645" s="394" t="str">
        <f t="shared" si="1171"/>
        <v/>
      </c>
      <c r="N8645" s="273"/>
    </row>
    <row r="8646" spans="1:14" ht="12.75" customHeight="1" x14ac:dyDescent="0.2">
      <c r="A8646" s="400"/>
      <c r="B8646" s="271"/>
      <c r="C8646" s="271"/>
      <c r="D8646" s="271"/>
      <c r="E8646" s="271"/>
      <c r="F8646" s="271"/>
      <c r="G8646" s="273"/>
      <c r="H8646" s="29" t="str">
        <f>IF(A8646="","",VLOOKUP(A8646,AA_Equipos,7,FALSE))</f>
        <v/>
      </c>
      <c r="I8646" s="394" t="str">
        <f>IF(A8646="","",VLOOKUP(A8646,AA_Equipos,8,FALSE))</f>
        <v/>
      </c>
      <c r="J8646" s="273"/>
      <c r="K8646" s="395"/>
      <c r="L8646" s="273"/>
      <c r="M8646" s="394" t="str">
        <f t="shared" si="1171"/>
        <v/>
      </c>
      <c r="N8646" s="273"/>
    </row>
    <row r="8647" spans="1:14" ht="12.75" customHeight="1" x14ac:dyDescent="0.2">
      <c r="A8647" s="400"/>
      <c r="B8647" s="271"/>
      <c r="C8647" s="271"/>
      <c r="D8647" s="271"/>
      <c r="E8647" s="271"/>
      <c r="F8647" s="271"/>
      <c r="G8647" s="273"/>
      <c r="H8647" s="29" t="str">
        <f>IF(A8647="","",VLOOKUP(A8647,AA_Equipos,7,FALSE))</f>
        <v/>
      </c>
      <c r="I8647" s="394" t="str">
        <f>IF(A8647="","",VLOOKUP(A8647,AA_Equipos,8,FALSE))</f>
        <v/>
      </c>
      <c r="J8647" s="273"/>
      <c r="K8647" s="395"/>
      <c r="L8647" s="273"/>
      <c r="M8647" s="394" t="str">
        <f t="shared" si="1171"/>
        <v/>
      </c>
      <c r="N8647" s="273"/>
    </row>
    <row r="8648" spans="1:14" ht="12.75" customHeight="1" x14ac:dyDescent="0.25">
      <c r="A8648" s="4"/>
      <c r="B8648" s="4"/>
      <c r="C8648" s="4"/>
      <c r="D8648" s="4"/>
      <c r="E8648" s="4"/>
      <c r="F8648" s="4"/>
      <c r="G8648" s="4"/>
      <c r="H8648" s="4"/>
      <c r="I8648" s="4"/>
      <c r="J8648" s="4"/>
      <c r="K8648" s="396" t="s">
        <v>444</v>
      </c>
      <c r="L8648" s="273"/>
      <c r="M8648" s="394">
        <f>SUM(M8643:N8647)</f>
        <v>877.78610000000015</v>
      </c>
      <c r="N8648" s="273"/>
    </row>
    <row r="8649" spans="1:14" ht="12.75" customHeight="1" x14ac:dyDescent="0.25">
      <c r="A8649" s="4"/>
      <c r="B8649" s="4"/>
      <c r="C8649" s="4"/>
      <c r="D8649" s="4"/>
      <c r="E8649" s="4"/>
      <c r="F8649" s="4"/>
      <c r="G8649" s="4"/>
      <c r="H8649" s="4"/>
      <c r="I8649" s="4"/>
      <c r="J8649" s="4"/>
      <c r="K8649" s="4"/>
      <c r="L8649" s="4"/>
      <c r="M8649" s="4"/>
      <c r="N8649" s="4"/>
    </row>
    <row r="8650" spans="1:14" ht="12.75" customHeight="1" x14ac:dyDescent="0.2">
      <c r="A8650" s="398" t="s">
        <v>929</v>
      </c>
      <c r="B8650" s="271"/>
      <c r="C8650" s="271"/>
      <c r="D8650" s="271"/>
      <c r="E8650" s="271"/>
      <c r="F8650" s="271"/>
      <c r="G8650" s="271"/>
      <c r="H8650" s="271"/>
      <c r="I8650" s="271"/>
      <c r="J8650" s="271"/>
      <c r="K8650" s="271"/>
      <c r="L8650" s="271"/>
      <c r="M8650" s="271"/>
      <c r="N8650" s="273"/>
    </row>
    <row r="8651" spans="1:14" ht="12.75" customHeight="1" x14ac:dyDescent="0.2">
      <c r="A8651" s="396" t="s">
        <v>76</v>
      </c>
      <c r="B8651" s="271"/>
      <c r="C8651" s="271"/>
      <c r="D8651" s="271"/>
      <c r="E8651" s="271"/>
      <c r="F8651" s="271"/>
      <c r="G8651" s="273"/>
      <c r="H8651" s="88" t="s">
        <v>77</v>
      </c>
      <c r="I8651" s="399" t="s">
        <v>920</v>
      </c>
      <c r="J8651" s="273"/>
      <c r="K8651" s="399" t="s">
        <v>453</v>
      </c>
      <c r="L8651" s="273"/>
      <c r="M8651" s="399" t="s">
        <v>921</v>
      </c>
      <c r="N8651" s="273"/>
    </row>
    <row r="8652" spans="1:14" ht="12.75" customHeight="1" x14ac:dyDescent="0.2">
      <c r="A8652" s="400" t="s">
        <v>960</v>
      </c>
      <c r="B8652" s="271"/>
      <c r="C8652" s="271"/>
      <c r="D8652" s="271"/>
      <c r="E8652" s="271"/>
      <c r="F8652" s="271"/>
      <c r="G8652" s="273"/>
      <c r="H8652" s="29" t="s">
        <v>950</v>
      </c>
      <c r="I8652" s="394">
        <f>+M8639</f>
        <v>149000</v>
      </c>
      <c r="J8652" s="273"/>
      <c r="K8652" s="404">
        <v>0.05</v>
      </c>
      <c r="L8652" s="273"/>
      <c r="M8652" s="394">
        <f t="shared" ref="M8652:M8656" si="1172">IF(A8652="","",I8652*K8652)</f>
        <v>7450</v>
      </c>
      <c r="N8652" s="273"/>
    </row>
    <row r="8653" spans="1:14" ht="12.75" customHeight="1" x14ac:dyDescent="0.2">
      <c r="A8653" s="403"/>
      <c r="B8653" s="271"/>
      <c r="C8653" s="271"/>
      <c r="D8653" s="271"/>
      <c r="E8653" s="271"/>
      <c r="F8653" s="271"/>
      <c r="G8653" s="273"/>
      <c r="H8653" s="29"/>
      <c r="I8653" s="394"/>
      <c r="J8653" s="273"/>
      <c r="K8653" s="404"/>
      <c r="L8653" s="273"/>
      <c r="M8653" s="394" t="str">
        <f t="shared" si="1172"/>
        <v/>
      </c>
      <c r="N8653" s="273"/>
    </row>
    <row r="8654" spans="1:14" ht="12.75" customHeight="1" x14ac:dyDescent="0.2">
      <c r="A8654" s="400"/>
      <c r="B8654" s="271"/>
      <c r="C8654" s="271"/>
      <c r="D8654" s="271"/>
      <c r="E8654" s="271"/>
      <c r="F8654" s="271"/>
      <c r="G8654" s="273"/>
      <c r="H8654" s="29"/>
      <c r="I8654" s="394"/>
      <c r="J8654" s="273"/>
      <c r="K8654" s="395"/>
      <c r="L8654" s="273"/>
      <c r="M8654" s="394" t="str">
        <f t="shared" si="1172"/>
        <v/>
      </c>
      <c r="N8654" s="273"/>
    </row>
    <row r="8655" spans="1:14" ht="12.75" customHeight="1" x14ac:dyDescent="0.2">
      <c r="A8655" s="400"/>
      <c r="B8655" s="271"/>
      <c r="C8655" s="271"/>
      <c r="D8655" s="271"/>
      <c r="E8655" s="271"/>
      <c r="F8655" s="271"/>
      <c r="G8655" s="273"/>
      <c r="H8655" s="29"/>
      <c r="I8655" s="394"/>
      <c r="J8655" s="273"/>
      <c r="K8655" s="395"/>
      <c r="L8655" s="273"/>
      <c r="M8655" s="394" t="str">
        <f t="shared" si="1172"/>
        <v/>
      </c>
      <c r="N8655" s="273"/>
    </row>
    <row r="8656" spans="1:14" ht="12.75" customHeight="1" x14ac:dyDescent="0.2">
      <c r="A8656" s="400"/>
      <c r="B8656" s="271"/>
      <c r="C8656" s="271"/>
      <c r="D8656" s="271"/>
      <c r="E8656" s="271"/>
      <c r="F8656" s="271"/>
      <c r="G8656" s="273"/>
      <c r="H8656" s="29"/>
      <c r="I8656" s="394"/>
      <c r="J8656" s="273"/>
      <c r="K8656" s="395"/>
      <c r="L8656" s="273"/>
      <c r="M8656" s="394" t="str">
        <f t="shared" si="1172"/>
        <v/>
      </c>
      <c r="N8656" s="273"/>
    </row>
    <row r="8657" spans="1:14" ht="12.75" customHeight="1" x14ac:dyDescent="0.25">
      <c r="A8657" s="4"/>
      <c r="B8657" s="4"/>
      <c r="C8657" s="4"/>
      <c r="D8657" s="4"/>
      <c r="E8657" s="4"/>
      <c r="F8657" s="4"/>
      <c r="G8657" s="4"/>
      <c r="H8657" s="4"/>
      <c r="I8657" s="4"/>
      <c r="J8657" s="4"/>
      <c r="K8657" s="396" t="s">
        <v>444</v>
      </c>
      <c r="L8657" s="273"/>
      <c r="M8657" s="394">
        <f>SUM(M8652:N8656)</f>
        <v>7450</v>
      </c>
      <c r="N8657" s="273"/>
    </row>
    <row r="8658" spans="1:14" ht="12.75" customHeight="1" x14ac:dyDescent="0.25">
      <c r="A8658" s="4"/>
      <c r="B8658" s="4"/>
      <c r="C8658" s="4"/>
      <c r="D8658" s="4"/>
      <c r="E8658" s="4"/>
      <c r="F8658" s="4"/>
      <c r="G8658" s="4"/>
      <c r="H8658" s="4"/>
      <c r="I8658" s="4"/>
      <c r="J8658" s="4"/>
      <c r="K8658" s="4"/>
      <c r="L8658" s="4"/>
      <c r="M8658" s="4"/>
      <c r="N8658" s="4"/>
    </row>
    <row r="8659" spans="1:14" ht="12.75" customHeight="1" x14ac:dyDescent="0.2">
      <c r="A8659" s="398" t="s">
        <v>931</v>
      </c>
      <c r="B8659" s="271"/>
      <c r="C8659" s="271"/>
      <c r="D8659" s="271"/>
      <c r="E8659" s="271"/>
      <c r="F8659" s="271"/>
      <c r="G8659" s="271"/>
      <c r="H8659" s="271"/>
      <c r="I8659" s="271"/>
      <c r="J8659" s="271"/>
      <c r="K8659" s="271"/>
      <c r="L8659" s="271"/>
      <c r="M8659" s="271"/>
      <c r="N8659" s="273"/>
    </row>
    <row r="8660" spans="1:14" ht="12.75" customHeight="1" x14ac:dyDescent="0.2">
      <c r="A8660" s="396" t="s">
        <v>76</v>
      </c>
      <c r="B8660" s="271"/>
      <c r="C8660" s="271"/>
      <c r="D8660" s="271"/>
      <c r="E8660" s="271"/>
      <c r="F8660" s="271"/>
      <c r="G8660" s="273"/>
      <c r="H8660" s="88" t="s">
        <v>77</v>
      </c>
      <c r="I8660" s="399" t="s">
        <v>920</v>
      </c>
      <c r="J8660" s="273"/>
      <c r="K8660" s="90" t="s">
        <v>514</v>
      </c>
      <c r="L8660" s="91" t="s">
        <v>932</v>
      </c>
      <c r="M8660" s="399" t="s">
        <v>921</v>
      </c>
      <c r="N8660" s="273"/>
    </row>
    <row r="8661" spans="1:14" ht="12.75" customHeight="1" x14ac:dyDescent="0.25">
      <c r="A8661" s="393" t="s">
        <v>986</v>
      </c>
      <c r="B8661" s="271"/>
      <c r="C8661" s="271"/>
      <c r="D8661" s="271"/>
      <c r="E8661" s="271"/>
      <c r="F8661" s="271"/>
      <c r="G8661" s="273"/>
      <c r="H8661" s="29" t="str">
        <f>IF(A8661="","",VLOOKUP(A8661,AA_Cuadrillas,4,FALSE))</f>
        <v>Cuadrilla</v>
      </c>
      <c r="I8661" s="394">
        <f>IF(A8661="","",VLOOKUP(A8661,AA_Cuadrillas,5,FALSE))</f>
        <v>186763</v>
      </c>
      <c r="J8661" s="273"/>
      <c r="K8661" s="9">
        <f>IF(A8661="","",F.P!$I$2)</f>
        <v>1.88</v>
      </c>
      <c r="L8661" s="97">
        <f>1/20</f>
        <v>0.05</v>
      </c>
      <c r="M8661" s="394">
        <f t="shared" ref="M8661:M8665" si="1173">IF(A8661="","",I8661*K8661*L8661)</f>
        <v>17555.722000000002</v>
      </c>
      <c r="N8661" s="273"/>
    </row>
    <row r="8662" spans="1:14" ht="12.75" customHeight="1" x14ac:dyDescent="0.25">
      <c r="A8662" s="393"/>
      <c r="B8662" s="271"/>
      <c r="C8662" s="271"/>
      <c r="D8662" s="271"/>
      <c r="E8662" s="271"/>
      <c r="F8662" s="271"/>
      <c r="G8662" s="273"/>
      <c r="H8662" s="29" t="str">
        <f>IF(A8662="","",VLOOKUP(A8662,AA_Cuadrillas,4,FALSE))</f>
        <v/>
      </c>
      <c r="I8662" s="394" t="str">
        <f>IF(A8662="","",VLOOKUP(A8662,AA_Cuadrillas,5,FALSE))</f>
        <v/>
      </c>
      <c r="J8662" s="273"/>
      <c r="K8662" s="9" t="str">
        <f>IF(A8662="","",F.P!$I$2)</f>
        <v/>
      </c>
      <c r="L8662" s="9"/>
      <c r="M8662" s="394" t="str">
        <f t="shared" si="1173"/>
        <v/>
      </c>
      <c r="N8662" s="273"/>
    </row>
    <row r="8663" spans="1:14" ht="12.75" customHeight="1" x14ac:dyDescent="0.25">
      <c r="A8663" s="393"/>
      <c r="B8663" s="271"/>
      <c r="C8663" s="271"/>
      <c r="D8663" s="271"/>
      <c r="E8663" s="271"/>
      <c r="F8663" s="271"/>
      <c r="G8663" s="273"/>
      <c r="H8663" s="29" t="str">
        <f>IF(A8663="","",VLOOKUP(A8663,AA_Cuadrillas,4,FALSE))</f>
        <v/>
      </c>
      <c r="I8663" s="394" t="str">
        <f>IF(A8663="","",VLOOKUP(A8663,AA_Cuadrillas,5,FALSE))</f>
        <v/>
      </c>
      <c r="J8663" s="273"/>
      <c r="K8663" s="9" t="str">
        <f>IF(A8663="","",F.P!$I$2)</f>
        <v/>
      </c>
      <c r="L8663" s="37"/>
      <c r="M8663" s="394" t="str">
        <f t="shared" si="1173"/>
        <v/>
      </c>
      <c r="N8663" s="273"/>
    </row>
    <row r="8664" spans="1:14" ht="12.75" customHeight="1" x14ac:dyDescent="0.25">
      <c r="A8664" s="393"/>
      <c r="B8664" s="271"/>
      <c r="C8664" s="271"/>
      <c r="D8664" s="271"/>
      <c r="E8664" s="271"/>
      <c r="F8664" s="271"/>
      <c r="G8664" s="273"/>
      <c r="H8664" s="29" t="str">
        <f>IF(A8664="","",VLOOKUP(A8664,AA_Cuadrillas,4,FALSE))</f>
        <v/>
      </c>
      <c r="I8664" s="394" t="str">
        <f>IF(A8664="","",VLOOKUP(A8664,AA_Cuadrillas,5,FALSE))</f>
        <v/>
      </c>
      <c r="J8664" s="273"/>
      <c r="K8664" s="9" t="str">
        <f>IF(A8664="","",F.P!$I$2)</f>
        <v/>
      </c>
      <c r="L8664" s="37"/>
      <c r="M8664" s="394" t="str">
        <f t="shared" si="1173"/>
        <v/>
      </c>
      <c r="N8664" s="273"/>
    </row>
    <row r="8665" spans="1:14" ht="12.75" customHeight="1" x14ac:dyDescent="0.25">
      <c r="A8665" s="393"/>
      <c r="B8665" s="271"/>
      <c r="C8665" s="271"/>
      <c r="D8665" s="271"/>
      <c r="E8665" s="271"/>
      <c r="F8665" s="271"/>
      <c r="G8665" s="273"/>
      <c r="H8665" s="29" t="str">
        <f>IF(A8665="","",VLOOKUP(A8665,AA_Cuadrillas,4,FALSE))</f>
        <v/>
      </c>
      <c r="I8665" s="394" t="str">
        <f>IF(A8665="","",VLOOKUP(A8665,AA_Cuadrillas,5,FALSE))</f>
        <v/>
      </c>
      <c r="J8665" s="273"/>
      <c r="K8665" s="9" t="str">
        <f>IF(A8665="","",F.P!$I$2)</f>
        <v/>
      </c>
      <c r="L8665" s="37"/>
      <c r="M8665" s="394" t="str">
        <f t="shared" si="1173"/>
        <v/>
      </c>
      <c r="N8665" s="273"/>
    </row>
    <row r="8666" spans="1:14" ht="12.75" customHeight="1" x14ac:dyDescent="0.25">
      <c r="A8666" s="4"/>
      <c r="B8666" s="4"/>
      <c r="C8666" s="4"/>
      <c r="D8666" s="4"/>
      <c r="E8666" s="4"/>
      <c r="F8666" s="4"/>
      <c r="G8666" s="4"/>
      <c r="H8666" s="4"/>
      <c r="I8666" s="4"/>
      <c r="J8666" s="4"/>
      <c r="K8666" s="396" t="s">
        <v>444</v>
      </c>
      <c r="L8666" s="273"/>
      <c r="M8666" s="394">
        <f>SUM(M8661:N8665)</f>
        <v>17555.722000000002</v>
      </c>
      <c r="N8666" s="273"/>
    </row>
    <row r="8667" spans="1:14" ht="12.75" customHeight="1" x14ac:dyDescent="0.2"/>
    <row r="8668" spans="1:14" ht="12.75" customHeight="1" x14ac:dyDescent="0.2">
      <c r="A8668" s="407" t="s">
        <v>1428</v>
      </c>
      <c r="B8668" s="275"/>
      <c r="C8668" s="275"/>
      <c r="D8668" s="275"/>
      <c r="E8668" s="275"/>
      <c r="F8668" s="275"/>
      <c r="G8668" s="275"/>
      <c r="H8668" s="275"/>
      <c r="I8668" s="275"/>
      <c r="J8668" s="275"/>
      <c r="K8668" s="275"/>
      <c r="L8668" s="275"/>
      <c r="M8668" s="275"/>
      <c r="N8668" s="276"/>
    </row>
    <row r="8669" spans="1:14" ht="12.75" customHeight="1" x14ac:dyDescent="0.2">
      <c r="A8669" s="277"/>
      <c r="B8669" s="278"/>
      <c r="C8669" s="278"/>
      <c r="D8669" s="278"/>
      <c r="E8669" s="278"/>
      <c r="F8669" s="278"/>
      <c r="G8669" s="278"/>
      <c r="H8669" s="278"/>
      <c r="I8669" s="278"/>
      <c r="J8669" s="278"/>
      <c r="K8669" s="278"/>
      <c r="L8669" s="278"/>
      <c r="M8669" s="278"/>
      <c r="N8669" s="279"/>
    </row>
    <row r="8670" spans="1:14" ht="12.75" customHeight="1" x14ac:dyDescent="0.2">
      <c r="A8670" s="75"/>
      <c r="B8670" s="75"/>
      <c r="C8670" s="75"/>
      <c r="D8670" s="75"/>
      <c r="E8670" s="75"/>
      <c r="F8670" s="75"/>
      <c r="G8670" s="75"/>
      <c r="H8670" s="75"/>
      <c r="I8670" s="75"/>
      <c r="J8670" s="75"/>
      <c r="K8670" s="75"/>
      <c r="L8670" s="75"/>
      <c r="M8670" s="75"/>
      <c r="N8670" s="75"/>
    </row>
    <row r="8671" spans="1:14" ht="12.75" customHeight="1" x14ac:dyDescent="0.3">
      <c r="A8671" s="79" t="s">
        <v>804</v>
      </c>
      <c r="B8671" s="80" t="str">
        <f>A8668</f>
        <v>SUMINISTRO E INSTALACIÓN CODO 11,25° Ø4" EN HIERRO DUCTIL CON UNIÓN MECÁNICA (INCLUYE MATERIALES, HERRAMIENTAS Y MANO DE OBRA)</v>
      </c>
      <c r="C8671" s="81" t="s">
        <v>916</v>
      </c>
      <c r="D8671" s="82" t="s">
        <v>999</v>
      </c>
      <c r="E8671" s="83" t="s">
        <v>445</v>
      </c>
      <c r="F8671" s="86">
        <f>H8671+J8671+L8671+N8671</f>
        <v>229483.50810000001</v>
      </c>
      <c r="G8671" s="83" t="s">
        <v>607</v>
      </c>
      <c r="H8671" s="86">
        <f>M8683</f>
        <v>201000</v>
      </c>
      <c r="I8671" s="83" t="s">
        <v>918</v>
      </c>
      <c r="J8671" s="86">
        <f>M8692</f>
        <v>877.78610000000015</v>
      </c>
      <c r="K8671" s="83" t="s">
        <v>609</v>
      </c>
      <c r="L8671" s="86">
        <f>M8701</f>
        <v>10050</v>
      </c>
      <c r="M8671" s="83" t="s">
        <v>610</v>
      </c>
      <c r="N8671" s="86">
        <f>M8710</f>
        <v>17555.722000000002</v>
      </c>
    </row>
    <row r="8672" spans="1:14" ht="12.75" customHeight="1" x14ac:dyDescent="0.25">
      <c r="A8672" s="87"/>
      <c r="B8672" s="87"/>
      <c r="C8672" s="87"/>
      <c r="D8672" s="87"/>
      <c r="E8672" s="87"/>
      <c r="F8672" s="87"/>
      <c r="G8672" s="87"/>
      <c r="J8672" s="87"/>
      <c r="K8672" s="215" t="s">
        <v>3217</v>
      </c>
      <c r="L8672" s="215">
        <f>+F8671*presup!$O$5</f>
        <v>298328.56053000002</v>
      </c>
      <c r="M8672" s="87"/>
      <c r="N8672" s="87"/>
    </row>
    <row r="8673" spans="1:14" ht="12.75" customHeight="1" x14ac:dyDescent="0.2">
      <c r="A8673" s="398" t="s">
        <v>919</v>
      </c>
      <c r="B8673" s="271"/>
      <c r="C8673" s="271"/>
      <c r="D8673" s="271"/>
      <c r="E8673" s="271"/>
      <c r="F8673" s="271"/>
      <c r="G8673" s="271"/>
      <c r="H8673" s="271"/>
      <c r="I8673" s="271"/>
      <c r="J8673" s="271"/>
      <c r="K8673" s="271"/>
      <c r="L8673" s="271"/>
      <c r="M8673" s="271"/>
      <c r="N8673" s="273"/>
    </row>
    <row r="8674" spans="1:14" ht="12.75" customHeight="1" x14ac:dyDescent="0.2">
      <c r="A8674" s="396" t="s">
        <v>76</v>
      </c>
      <c r="B8674" s="271"/>
      <c r="C8674" s="271"/>
      <c r="D8674" s="271"/>
      <c r="E8674" s="271"/>
      <c r="F8674" s="271"/>
      <c r="G8674" s="273"/>
      <c r="H8674" s="88" t="s">
        <v>77</v>
      </c>
      <c r="I8674" s="399" t="s">
        <v>920</v>
      </c>
      <c r="J8674" s="273"/>
      <c r="K8674" s="399" t="s">
        <v>453</v>
      </c>
      <c r="L8674" s="273"/>
      <c r="M8674" s="399" t="s">
        <v>921</v>
      </c>
      <c r="N8674" s="273"/>
    </row>
    <row r="8675" spans="1:14" ht="12.75" customHeight="1" x14ac:dyDescent="0.2">
      <c r="A8675" s="403" t="s">
        <v>1429</v>
      </c>
      <c r="B8675" s="271"/>
      <c r="C8675" s="271"/>
      <c r="D8675" s="271"/>
      <c r="E8675" s="271"/>
      <c r="F8675" s="271"/>
      <c r="G8675" s="273"/>
      <c r="H8675" s="29" t="str">
        <f t="shared" ref="H8675:H8682" si="1174">IF(A8675="","",VLOOKUP(A8675,AA_Materiales,7,FALSE))</f>
        <v>Unidad</v>
      </c>
      <c r="I8675" s="394">
        <f t="shared" ref="I8675:I8682" si="1175">IF(A8675="","",VLOOKUP(A8675,AA_Materiales,8,FALSE))</f>
        <v>201000</v>
      </c>
      <c r="J8675" s="273"/>
      <c r="K8675" s="395">
        <v>1</v>
      </c>
      <c r="L8675" s="273"/>
      <c r="M8675" s="394">
        <f t="shared" ref="M8675:M8682" si="1176">IF(A8675="","",I8675*K8675)</f>
        <v>201000</v>
      </c>
      <c r="N8675" s="273"/>
    </row>
    <row r="8676" spans="1:14" ht="12.75" customHeight="1" x14ac:dyDescent="0.2">
      <c r="A8676" s="403"/>
      <c r="B8676" s="271"/>
      <c r="C8676" s="271"/>
      <c r="D8676" s="271"/>
      <c r="E8676" s="271"/>
      <c r="F8676" s="271"/>
      <c r="G8676" s="273"/>
      <c r="H8676" s="29" t="str">
        <f t="shared" si="1174"/>
        <v/>
      </c>
      <c r="I8676" s="394" t="str">
        <f t="shared" si="1175"/>
        <v/>
      </c>
      <c r="J8676" s="273"/>
      <c r="K8676" s="395"/>
      <c r="L8676" s="273"/>
      <c r="M8676" s="394" t="str">
        <f t="shared" si="1176"/>
        <v/>
      </c>
      <c r="N8676" s="273"/>
    </row>
    <row r="8677" spans="1:14" ht="12.75" customHeight="1" x14ac:dyDescent="0.2">
      <c r="A8677" s="403"/>
      <c r="B8677" s="271"/>
      <c r="C8677" s="271"/>
      <c r="D8677" s="271"/>
      <c r="E8677" s="271"/>
      <c r="F8677" s="271"/>
      <c r="G8677" s="273"/>
      <c r="H8677" s="29" t="str">
        <f t="shared" si="1174"/>
        <v/>
      </c>
      <c r="I8677" s="394" t="str">
        <f t="shared" si="1175"/>
        <v/>
      </c>
      <c r="J8677" s="273"/>
      <c r="K8677" s="395"/>
      <c r="L8677" s="273"/>
      <c r="M8677" s="394" t="str">
        <f t="shared" si="1176"/>
        <v/>
      </c>
      <c r="N8677" s="273"/>
    </row>
    <row r="8678" spans="1:14" ht="12.75" customHeight="1" x14ac:dyDescent="0.2">
      <c r="A8678" s="403"/>
      <c r="B8678" s="271"/>
      <c r="C8678" s="271"/>
      <c r="D8678" s="271"/>
      <c r="E8678" s="271"/>
      <c r="F8678" s="271"/>
      <c r="G8678" s="273"/>
      <c r="H8678" s="29" t="str">
        <f t="shared" si="1174"/>
        <v/>
      </c>
      <c r="I8678" s="394" t="str">
        <f t="shared" si="1175"/>
        <v/>
      </c>
      <c r="J8678" s="273"/>
      <c r="K8678" s="395"/>
      <c r="L8678" s="273"/>
      <c r="M8678" s="394" t="str">
        <f t="shared" si="1176"/>
        <v/>
      </c>
      <c r="N8678" s="273"/>
    </row>
    <row r="8679" spans="1:14" ht="12.75" customHeight="1" x14ac:dyDescent="0.2">
      <c r="A8679" s="403"/>
      <c r="B8679" s="271"/>
      <c r="C8679" s="271"/>
      <c r="D8679" s="271"/>
      <c r="E8679" s="271"/>
      <c r="F8679" s="271"/>
      <c r="G8679" s="273"/>
      <c r="H8679" s="29" t="str">
        <f t="shared" si="1174"/>
        <v/>
      </c>
      <c r="I8679" s="394" t="str">
        <f t="shared" si="1175"/>
        <v/>
      </c>
      <c r="J8679" s="273"/>
      <c r="K8679" s="395"/>
      <c r="L8679" s="273"/>
      <c r="M8679" s="394" t="str">
        <f t="shared" si="1176"/>
        <v/>
      </c>
      <c r="N8679" s="273"/>
    </row>
    <row r="8680" spans="1:14" ht="12.75" customHeight="1" x14ac:dyDescent="0.2">
      <c r="A8680" s="403"/>
      <c r="B8680" s="271"/>
      <c r="C8680" s="271"/>
      <c r="D8680" s="271"/>
      <c r="E8680" s="271"/>
      <c r="F8680" s="271"/>
      <c r="G8680" s="273"/>
      <c r="H8680" s="29" t="str">
        <f t="shared" si="1174"/>
        <v/>
      </c>
      <c r="I8680" s="394" t="str">
        <f t="shared" si="1175"/>
        <v/>
      </c>
      <c r="J8680" s="273"/>
      <c r="K8680" s="395"/>
      <c r="L8680" s="273"/>
      <c r="M8680" s="394" t="str">
        <f t="shared" si="1176"/>
        <v/>
      </c>
      <c r="N8680" s="273"/>
    </row>
    <row r="8681" spans="1:14" ht="12.75" customHeight="1" x14ac:dyDescent="0.2">
      <c r="A8681" s="403"/>
      <c r="B8681" s="271"/>
      <c r="C8681" s="271"/>
      <c r="D8681" s="271"/>
      <c r="E8681" s="271"/>
      <c r="F8681" s="271"/>
      <c r="G8681" s="273"/>
      <c r="H8681" s="29" t="str">
        <f t="shared" si="1174"/>
        <v/>
      </c>
      <c r="I8681" s="394" t="str">
        <f t="shared" si="1175"/>
        <v/>
      </c>
      <c r="J8681" s="273"/>
      <c r="K8681" s="395"/>
      <c r="L8681" s="273"/>
      <c r="M8681" s="394" t="str">
        <f t="shared" si="1176"/>
        <v/>
      </c>
      <c r="N8681" s="273"/>
    </row>
    <row r="8682" spans="1:14" ht="12.75" customHeight="1" x14ac:dyDescent="0.2">
      <c r="A8682" s="403"/>
      <c r="B8682" s="271"/>
      <c r="C8682" s="271"/>
      <c r="D8682" s="271"/>
      <c r="E8682" s="271"/>
      <c r="F8682" s="271"/>
      <c r="G8682" s="273"/>
      <c r="H8682" s="29" t="str">
        <f t="shared" si="1174"/>
        <v/>
      </c>
      <c r="I8682" s="394" t="str">
        <f t="shared" si="1175"/>
        <v/>
      </c>
      <c r="J8682" s="273"/>
      <c r="K8682" s="395"/>
      <c r="L8682" s="273"/>
      <c r="M8682" s="394" t="str">
        <f t="shared" si="1176"/>
        <v/>
      </c>
      <c r="N8682" s="273"/>
    </row>
    <row r="8683" spans="1:14" ht="12.75" customHeight="1" x14ac:dyDescent="0.25">
      <c r="A8683" s="4"/>
      <c r="B8683" s="4"/>
      <c r="C8683" s="4"/>
      <c r="D8683" s="4"/>
      <c r="E8683" s="4"/>
      <c r="F8683" s="4"/>
      <c r="G8683" s="4"/>
      <c r="H8683" s="4"/>
      <c r="I8683" s="4"/>
      <c r="J8683" s="4"/>
      <c r="K8683" s="396" t="s">
        <v>444</v>
      </c>
      <c r="L8683" s="273"/>
      <c r="M8683" s="394">
        <f>SUM(M8675:N8682)</f>
        <v>201000</v>
      </c>
      <c r="N8683" s="273"/>
    </row>
    <row r="8684" spans="1:14" ht="12.75" customHeight="1" x14ac:dyDescent="0.25">
      <c r="A8684" s="4"/>
      <c r="B8684" s="4"/>
      <c r="C8684" s="4"/>
      <c r="D8684" s="4"/>
      <c r="E8684" s="4"/>
      <c r="F8684" s="4"/>
      <c r="G8684" s="4"/>
      <c r="H8684" s="4"/>
      <c r="I8684" s="4"/>
      <c r="J8684" s="4"/>
      <c r="K8684" s="4"/>
      <c r="L8684" s="4"/>
      <c r="M8684" s="4"/>
      <c r="N8684" s="4"/>
    </row>
    <row r="8685" spans="1:14" ht="12.75" customHeight="1" x14ac:dyDescent="0.2">
      <c r="A8685" s="398" t="s">
        <v>926</v>
      </c>
      <c r="B8685" s="271"/>
      <c r="C8685" s="271"/>
      <c r="D8685" s="271"/>
      <c r="E8685" s="271"/>
      <c r="F8685" s="271"/>
      <c r="G8685" s="271"/>
      <c r="H8685" s="271"/>
      <c r="I8685" s="271"/>
      <c r="J8685" s="271"/>
      <c r="K8685" s="271"/>
      <c r="L8685" s="271"/>
      <c r="M8685" s="271"/>
      <c r="N8685" s="273"/>
    </row>
    <row r="8686" spans="1:14" ht="12.75" customHeight="1" x14ac:dyDescent="0.2">
      <c r="A8686" s="396" t="s">
        <v>76</v>
      </c>
      <c r="B8686" s="271"/>
      <c r="C8686" s="271"/>
      <c r="D8686" s="271"/>
      <c r="E8686" s="271"/>
      <c r="F8686" s="271"/>
      <c r="G8686" s="273"/>
      <c r="H8686" s="88" t="s">
        <v>77</v>
      </c>
      <c r="I8686" s="399" t="s">
        <v>920</v>
      </c>
      <c r="J8686" s="273"/>
      <c r="K8686" s="399" t="s">
        <v>453</v>
      </c>
      <c r="L8686" s="273"/>
      <c r="M8686" s="399" t="s">
        <v>921</v>
      </c>
      <c r="N8686" s="273"/>
    </row>
    <row r="8687" spans="1:14" ht="12.75" customHeight="1" x14ac:dyDescent="0.2">
      <c r="A8687" s="400" t="s">
        <v>927</v>
      </c>
      <c r="B8687" s="271"/>
      <c r="C8687" s="271"/>
      <c r="D8687" s="271"/>
      <c r="E8687" s="271"/>
      <c r="F8687" s="271"/>
      <c r="G8687" s="273"/>
      <c r="H8687" s="29" t="str">
        <f>IF(A8687="","",VLOOKUP(A8687,AA_Equipos,7,FALSE))</f>
        <v>% M.O.</v>
      </c>
      <c r="I8687" s="394">
        <f>+M8710</f>
        <v>17555.722000000002</v>
      </c>
      <c r="J8687" s="273"/>
      <c r="K8687" s="404">
        <v>0.05</v>
      </c>
      <c r="L8687" s="273"/>
      <c r="M8687" s="394">
        <f t="shared" ref="M8687:M8691" si="1177">IF(A8687="","",I8687*K8687)</f>
        <v>877.78610000000015</v>
      </c>
      <c r="N8687" s="273"/>
    </row>
    <row r="8688" spans="1:14" ht="12.75" customHeight="1" x14ac:dyDescent="0.2">
      <c r="A8688" s="403"/>
      <c r="B8688" s="271"/>
      <c r="C8688" s="271"/>
      <c r="D8688" s="271"/>
      <c r="E8688" s="271"/>
      <c r="F8688" s="271"/>
      <c r="G8688" s="273"/>
      <c r="H8688" s="29" t="str">
        <f>IF(A8688="","",VLOOKUP(A8688,AA_Equipos,7,FALSE))</f>
        <v/>
      </c>
      <c r="I8688" s="394" t="str">
        <f>IF(A8688="","",VLOOKUP(A8688,AA_Equipos,8,FALSE))</f>
        <v/>
      </c>
      <c r="J8688" s="273"/>
      <c r="K8688" s="402"/>
      <c r="L8688" s="273"/>
      <c r="M8688" s="394" t="str">
        <f t="shared" si="1177"/>
        <v/>
      </c>
      <c r="N8688" s="273"/>
    </row>
    <row r="8689" spans="1:14" ht="12.75" customHeight="1" x14ac:dyDescent="0.2">
      <c r="A8689" s="400"/>
      <c r="B8689" s="271"/>
      <c r="C8689" s="271"/>
      <c r="D8689" s="271"/>
      <c r="E8689" s="271"/>
      <c r="F8689" s="271"/>
      <c r="G8689" s="273"/>
      <c r="H8689" s="29" t="str">
        <f>IF(A8689="","",VLOOKUP(A8689,AA_Equipos,7,FALSE))</f>
        <v/>
      </c>
      <c r="I8689" s="394" t="str">
        <f>IF(A8689="","",VLOOKUP(A8689,AA_Equipos,8,FALSE))</f>
        <v/>
      </c>
      <c r="J8689" s="273"/>
      <c r="K8689" s="401"/>
      <c r="L8689" s="273"/>
      <c r="M8689" s="394" t="str">
        <f t="shared" si="1177"/>
        <v/>
      </c>
      <c r="N8689" s="273"/>
    </row>
    <row r="8690" spans="1:14" ht="12.75" customHeight="1" x14ac:dyDescent="0.2">
      <c r="A8690" s="400"/>
      <c r="B8690" s="271"/>
      <c r="C8690" s="271"/>
      <c r="D8690" s="271"/>
      <c r="E8690" s="271"/>
      <c r="F8690" s="271"/>
      <c r="G8690" s="273"/>
      <c r="H8690" s="29" t="str">
        <f>IF(A8690="","",VLOOKUP(A8690,AA_Equipos,7,FALSE))</f>
        <v/>
      </c>
      <c r="I8690" s="394" t="str">
        <f>IF(A8690="","",VLOOKUP(A8690,AA_Equipos,8,FALSE))</f>
        <v/>
      </c>
      <c r="J8690" s="273"/>
      <c r="K8690" s="395"/>
      <c r="L8690" s="273"/>
      <c r="M8690" s="394" t="str">
        <f t="shared" si="1177"/>
        <v/>
      </c>
      <c r="N8690" s="273"/>
    </row>
    <row r="8691" spans="1:14" ht="12.75" customHeight="1" x14ac:dyDescent="0.2">
      <c r="A8691" s="400"/>
      <c r="B8691" s="271"/>
      <c r="C8691" s="271"/>
      <c r="D8691" s="271"/>
      <c r="E8691" s="271"/>
      <c r="F8691" s="271"/>
      <c r="G8691" s="273"/>
      <c r="H8691" s="29" t="str">
        <f>IF(A8691="","",VLOOKUP(A8691,AA_Equipos,7,FALSE))</f>
        <v/>
      </c>
      <c r="I8691" s="394" t="str">
        <f>IF(A8691="","",VLOOKUP(A8691,AA_Equipos,8,FALSE))</f>
        <v/>
      </c>
      <c r="J8691" s="273"/>
      <c r="K8691" s="395"/>
      <c r="L8691" s="273"/>
      <c r="M8691" s="394" t="str">
        <f t="shared" si="1177"/>
        <v/>
      </c>
      <c r="N8691" s="273"/>
    </row>
    <row r="8692" spans="1:14" ht="12.75" customHeight="1" x14ac:dyDescent="0.25">
      <c r="A8692" s="4"/>
      <c r="B8692" s="4"/>
      <c r="C8692" s="4"/>
      <c r="D8692" s="4"/>
      <c r="E8692" s="4"/>
      <c r="F8692" s="4"/>
      <c r="G8692" s="4"/>
      <c r="H8692" s="4"/>
      <c r="I8692" s="4"/>
      <c r="J8692" s="4"/>
      <c r="K8692" s="396" t="s">
        <v>444</v>
      </c>
      <c r="L8692" s="273"/>
      <c r="M8692" s="394">
        <f>SUM(M8687:N8691)</f>
        <v>877.78610000000015</v>
      </c>
      <c r="N8692" s="273"/>
    </row>
    <row r="8693" spans="1:14" ht="12.75" customHeight="1" x14ac:dyDescent="0.25">
      <c r="A8693" s="4"/>
      <c r="B8693" s="4"/>
      <c r="C8693" s="4"/>
      <c r="D8693" s="4"/>
      <c r="E8693" s="4"/>
      <c r="F8693" s="4"/>
      <c r="G8693" s="4"/>
      <c r="H8693" s="4"/>
      <c r="I8693" s="4"/>
      <c r="J8693" s="4"/>
      <c r="K8693" s="4"/>
      <c r="L8693" s="4"/>
      <c r="M8693" s="4"/>
      <c r="N8693" s="4"/>
    </row>
    <row r="8694" spans="1:14" ht="12.75" customHeight="1" x14ac:dyDescent="0.2">
      <c r="A8694" s="398" t="s">
        <v>929</v>
      </c>
      <c r="B8694" s="271"/>
      <c r="C8694" s="271"/>
      <c r="D8694" s="271"/>
      <c r="E8694" s="271"/>
      <c r="F8694" s="271"/>
      <c r="G8694" s="271"/>
      <c r="H8694" s="271"/>
      <c r="I8694" s="271"/>
      <c r="J8694" s="271"/>
      <c r="K8694" s="271"/>
      <c r="L8694" s="271"/>
      <c r="M8694" s="271"/>
      <c r="N8694" s="273"/>
    </row>
    <row r="8695" spans="1:14" ht="12.75" customHeight="1" x14ac:dyDescent="0.2">
      <c r="A8695" s="396" t="s">
        <v>76</v>
      </c>
      <c r="B8695" s="271"/>
      <c r="C8695" s="271"/>
      <c r="D8695" s="271"/>
      <c r="E8695" s="271"/>
      <c r="F8695" s="271"/>
      <c r="G8695" s="273"/>
      <c r="H8695" s="88" t="s">
        <v>77</v>
      </c>
      <c r="I8695" s="399" t="s">
        <v>920</v>
      </c>
      <c r="J8695" s="273"/>
      <c r="K8695" s="399" t="s">
        <v>453</v>
      </c>
      <c r="L8695" s="273"/>
      <c r="M8695" s="399" t="s">
        <v>921</v>
      </c>
      <c r="N8695" s="273"/>
    </row>
    <row r="8696" spans="1:14" ht="12.75" customHeight="1" x14ac:dyDescent="0.2">
      <c r="A8696" s="400" t="s">
        <v>960</v>
      </c>
      <c r="B8696" s="271"/>
      <c r="C8696" s="271"/>
      <c r="D8696" s="271"/>
      <c r="E8696" s="271"/>
      <c r="F8696" s="271"/>
      <c r="G8696" s="273"/>
      <c r="H8696" s="29" t="s">
        <v>950</v>
      </c>
      <c r="I8696" s="394">
        <f>+M8683</f>
        <v>201000</v>
      </c>
      <c r="J8696" s="273"/>
      <c r="K8696" s="404">
        <v>0.05</v>
      </c>
      <c r="L8696" s="273"/>
      <c r="M8696" s="394">
        <f t="shared" ref="M8696:M8700" si="1178">IF(A8696="","",I8696*K8696)</f>
        <v>10050</v>
      </c>
      <c r="N8696" s="273"/>
    </row>
    <row r="8697" spans="1:14" ht="12.75" customHeight="1" x14ac:dyDescent="0.2">
      <c r="A8697" s="403"/>
      <c r="B8697" s="271"/>
      <c r="C8697" s="271"/>
      <c r="D8697" s="271"/>
      <c r="E8697" s="271"/>
      <c r="F8697" s="271"/>
      <c r="G8697" s="273"/>
      <c r="H8697" s="29"/>
      <c r="I8697" s="394"/>
      <c r="J8697" s="273"/>
      <c r="K8697" s="404"/>
      <c r="L8697" s="273"/>
      <c r="M8697" s="394" t="str">
        <f t="shared" si="1178"/>
        <v/>
      </c>
      <c r="N8697" s="273"/>
    </row>
    <row r="8698" spans="1:14" ht="12.75" customHeight="1" x14ac:dyDescent="0.2">
      <c r="A8698" s="400"/>
      <c r="B8698" s="271"/>
      <c r="C8698" s="271"/>
      <c r="D8698" s="271"/>
      <c r="E8698" s="271"/>
      <c r="F8698" s="271"/>
      <c r="G8698" s="273"/>
      <c r="H8698" s="29"/>
      <c r="I8698" s="394"/>
      <c r="J8698" s="273"/>
      <c r="K8698" s="395"/>
      <c r="L8698" s="273"/>
      <c r="M8698" s="394" t="str">
        <f t="shared" si="1178"/>
        <v/>
      </c>
      <c r="N8698" s="273"/>
    </row>
    <row r="8699" spans="1:14" ht="12.75" customHeight="1" x14ac:dyDescent="0.2">
      <c r="A8699" s="400"/>
      <c r="B8699" s="271"/>
      <c r="C8699" s="271"/>
      <c r="D8699" s="271"/>
      <c r="E8699" s="271"/>
      <c r="F8699" s="271"/>
      <c r="G8699" s="273"/>
      <c r="H8699" s="29"/>
      <c r="I8699" s="394"/>
      <c r="J8699" s="273"/>
      <c r="K8699" s="395"/>
      <c r="L8699" s="273"/>
      <c r="M8699" s="394" t="str">
        <f t="shared" si="1178"/>
        <v/>
      </c>
      <c r="N8699" s="273"/>
    </row>
    <row r="8700" spans="1:14" ht="12.75" customHeight="1" x14ac:dyDescent="0.2">
      <c r="A8700" s="400"/>
      <c r="B8700" s="271"/>
      <c r="C8700" s="271"/>
      <c r="D8700" s="271"/>
      <c r="E8700" s="271"/>
      <c r="F8700" s="271"/>
      <c r="G8700" s="273"/>
      <c r="H8700" s="29"/>
      <c r="I8700" s="394"/>
      <c r="J8700" s="273"/>
      <c r="K8700" s="395"/>
      <c r="L8700" s="273"/>
      <c r="M8700" s="394" t="str">
        <f t="shared" si="1178"/>
        <v/>
      </c>
      <c r="N8700" s="273"/>
    </row>
    <row r="8701" spans="1:14" ht="12.75" customHeight="1" x14ac:dyDescent="0.25">
      <c r="A8701" s="4"/>
      <c r="B8701" s="4"/>
      <c r="C8701" s="4"/>
      <c r="D8701" s="4"/>
      <c r="E8701" s="4"/>
      <c r="F8701" s="4"/>
      <c r="G8701" s="4"/>
      <c r="H8701" s="4"/>
      <c r="I8701" s="4"/>
      <c r="J8701" s="4"/>
      <c r="K8701" s="396" t="s">
        <v>444</v>
      </c>
      <c r="L8701" s="273"/>
      <c r="M8701" s="394">
        <f>SUM(M8696:N8700)</f>
        <v>10050</v>
      </c>
      <c r="N8701" s="273"/>
    </row>
    <row r="8702" spans="1:14" ht="12.75" customHeight="1" x14ac:dyDescent="0.25">
      <c r="A8702" s="4"/>
      <c r="B8702" s="4"/>
      <c r="C8702" s="4"/>
      <c r="D8702" s="4"/>
      <c r="E8702" s="4"/>
      <c r="F8702" s="4"/>
      <c r="G8702" s="4"/>
      <c r="H8702" s="4"/>
      <c r="I8702" s="4"/>
      <c r="J8702" s="4"/>
      <c r="K8702" s="4"/>
      <c r="L8702" s="4"/>
      <c r="M8702" s="4"/>
      <c r="N8702" s="4"/>
    </row>
    <row r="8703" spans="1:14" ht="12.75" customHeight="1" x14ac:dyDescent="0.2">
      <c r="A8703" s="398" t="s">
        <v>931</v>
      </c>
      <c r="B8703" s="271"/>
      <c r="C8703" s="271"/>
      <c r="D8703" s="271"/>
      <c r="E8703" s="271"/>
      <c r="F8703" s="271"/>
      <c r="G8703" s="271"/>
      <c r="H8703" s="271"/>
      <c r="I8703" s="271"/>
      <c r="J8703" s="271"/>
      <c r="K8703" s="271"/>
      <c r="L8703" s="271"/>
      <c r="M8703" s="271"/>
      <c r="N8703" s="273"/>
    </row>
    <row r="8704" spans="1:14" ht="12.75" customHeight="1" x14ac:dyDescent="0.2">
      <c r="A8704" s="396" t="s">
        <v>76</v>
      </c>
      <c r="B8704" s="271"/>
      <c r="C8704" s="271"/>
      <c r="D8704" s="271"/>
      <c r="E8704" s="271"/>
      <c r="F8704" s="271"/>
      <c r="G8704" s="273"/>
      <c r="H8704" s="88" t="s">
        <v>77</v>
      </c>
      <c r="I8704" s="399" t="s">
        <v>920</v>
      </c>
      <c r="J8704" s="273"/>
      <c r="K8704" s="90" t="s">
        <v>514</v>
      </c>
      <c r="L8704" s="91" t="s">
        <v>932</v>
      </c>
      <c r="M8704" s="399" t="s">
        <v>921</v>
      </c>
      <c r="N8704" s="273"/>
    </row>
    <row r="8705" spans="1:14" ht="12.75" customHeight="1" x14ac:dyDescent="0.25">
      <c r="A8705" s="393" t="s">
        <v>986</v>
      </c>
      <c r="B8705" s="271"/>
      <c r="C8705" s="271"/>
      <c r="D8705" s="271"/>
      <c r="E8705" s="271"/>
      <c r="F8705" s="271"/>
      <c r="G8705" s="273"/>
      <c r="H8705" s="29" t="str">
        <f>IF(A8705="","",VLOOKUP(A8705,AA_Cuadrillas,4,FALSE))</f>
        <v>Cuadrilla</v>
      </c>
      <c r="I8705" s="394">
        <f>IF(A8705="","",VLOOKUP(A8705,AA_Cuadrillas,5,FALSE))</f>
        <v>186763</v>
      </c>
      <c r="J8705" s="273"/>
      <c r="K8705" s="9">
        <f>IF(A8705="","",F.P!$I$2)</f>
        <v>1.88</v>
      </c>
      <c r="L8705" s="97">
        <f>1/20</f>
        <v>0.05</v>
      </c>
      <c r="M8705" s="394">
        <f t="shared" ref="M8705:M8709" si="1179">IF(A8705="","",I8705*K8705*L8705)</f>
        <v>17555.722000000002</v>
      </c>
      <c r="N8705" s="273"/>
    </row>
    <row r="8706" spans="1:14" ht="12.75" customHeight="1" x14ac:dyDescent="0.25">
      <c r="A8706" s="393"/>
      <c r="B8706" s="271"/>
      <c r="C8706" s="271"/>
      <c r="D8706" s="271"/>
      <c r="E8706" s="271"/>
      <c r="F8706" s="271"/>
      <c r="G8706" s="273"/>
      <c r="H8706" s="29" t="str">
        <f>IF(A8706="","",VLOOKUP(A8706,AA_Cuadrillas,4,FALSE))</f>
        <v/>
      </c>
      <c r="I8706" s="394" t="str">
        <f>IF(A8706="","",VLOOKUP(A8706,AA_Cuadrillas,5,FALSE))</f>
        <v/>
      </c>
      <c r="J8706" s="273"/>
      <c r="K8706" s="9" t="str">
        <f>IF(A8706="","",F.P!$I$2)</f>
        <v/>
      </c>
      <c r="L8706" s="9"/>
      <c r="M8706" s="394" t="str">
        <f t="shared" si="1179"/>
        <v/>
      </c>
      <c r="N8706" s="273"/>
    </row>
    <row r="8707" spans="1:14" ht="12.75" customHeight="1" x14ac:dyDescent="0.25">
      <c r="A8707" s="393"/>
      <c r="B8707" s="271"/>
      <c r="C8707" s="271"/>
      <c r="D8707" s="271"/>
      <c r="E8707" s="271"/>
      <c r="F8707" s="271"/>
      <c r="G8707" s="273"/>
      <c r="H8707" s="29" t="str">
        <f>IF(A8707="","",VLOOKUP(A8707,AA_Cuadrillas,4,FALSE))</f>
        <v/>
      </c>
      <c r="I8707" s="394" t="str">
        <f>IF(A8707="","",VLOOKUP(A8707,AA_Cuadrillas,5,FALSE))</f>
        <v/>
      </c>
      <c r="J8707" s="273"/>
      <c r="K8707" s="9" t="str">
        <f>IF(A8707="","",F.P!$I$2)</f>
        <v/>
      </c>
      <c r="L8707" s="37"/>
      <c r="M8707" s="394" t="str">
        <f t="shared" si="1179"/>
        <v/>
      </c>
      <c r="N8707" s="273"/>
    </row>
    <row r="8708" spans="1:14" ht="12.75" customHeight="1" x14ac:dyDescent="0.25">
      <c r="A8708" s="393"/>
      <c r="B8708" s="271"/>
      <c r="C8708" s="271"/>
      <c r="D8708" s="271"/>
      <c r="E8708" s="271"/>
      <c r="F8708" s="271"/>
      <c r="G8708" s="273"/>
      <c r="H8708" s="29" t="str">
        <f>IF(A8708="","",VLOOKUP(A8708,AA_Cuadrillas,4,FALSE))</f>
        <v/>
      </c>
      <c r="I8708" s="394" t="str">
        <f>IF(A8708="","",VLOOKUP(A8708,AA_Cuadrillas,5,FALSE))</f>
        <v/>
      </c>
      <c r="J8708" s="273"/>
      <c r="K8708" s="9" t="str">
        <f>IF(A8708="","",F.P!$I$2)</f>
        <v/>
      </c>
      <c r="L8708" s="37"/>
      <c r="M8708" s="394" t="str">
        <f t="shared" si="1179"/>
        <v/>
      </c>
      <c r="N8708" s="273"/>
    </row>
    <row r="8709" spans="1:14" ht="12.75" customHeight="1" x14ac:dyDescent="0.25">
      <c r="A8709" s="393"/>
      <c r="B8709" s="271"/>
      <c r="C8709" s="271"/>
      <c r="D8709" s="271"/>
      <c r="E8709" s="271"/>
      <c r="F8709" s="271"/>
      <c r="G8709" s="273"/>
      <c r="H8709" s="29" t="str">
        <f>IF(A8709="","",VLOOKUP(A8709,AA_Cuadrillas,4,FALSE))</f>
        <v/>
      </c>
      <c r="I8709" s="394" t="str">
        <f>IF(A8709="","",VLOOKUP(A8709,AA_Cuadrillas,5,FALSE))</f>
        <v/>
      </c>
      <c r="J8709" s="273"/>
      <c r="K8709" s="9" t="str">
        <f>IF(A8709="","",F.P!$I$2)</f>
        <v/>
      </c>
      <c r="L8709" s="37"/>
      <c r="M8709" s="394" t="str">
        <f t="shared" si="1179"/>
        <v/>
      </c>
      <c r="N8709" s="273"/>
    </row>
    <row r="8710" spans="1:14" ht="12.75" customHeight="1" x14ac:dyDescent="0.25">
      <c r="A8710" s="4"/>
      <c r="B8710" s="4"/>
      <c r="C8710" s="4"/>
      <c r="D8710" s="4"/>
      <c r="E8710" s="4"/>
      <c r="F8710" s="4"/>
      <c r="G8710" s="4"/>
      <c r="H8710" s="4"/>
      <c r="I8710" s="4"/>
      <c r="J8710" s="4"/>
      <c r="K8710" s="396" t="s">
        <v>444</v>
      </c>
      <c r="L8710" s="273"/>
      <c r="M8710" s="394">
        <f>SUM(M8705:N8709)</f>
        <v>17555.722000000002</v>
      </c>
      <c r="N8710" s="273"/>
    </row>
    <row r="8711" spans="1:14" ht="12.75" customHeight="1" x14ac:dyDescent="0.2"/>
    <row r="8712" spans="1:14" ht="12.75" customHeight="1" x14ac:dyDescent="0.2">
      <c r="A8712" s="407" t="s">
        <v>1430</v>
      </c>
      <c r="B8712" s="275"/>
      <c r="C8712" s="275"/>
      <c r="D8712" s="275"/>
      <c r="E8712" s="275"/>
      <c r="F8712" s="275"/>
      <c r="G8712" s="275"/>
      <c r="H8712" s="275"/>
      <c r="I8712" s="275"/>
      <c r="J8712" s="275"/>
      <c r="K8712" s="275"/>
      <c r="L8712" s="275"/>
      <c r="M8712" s="275"/>
      <c r="N8712" s="276"/>
    </row>
    <row r="8713" spans="1:14" ht="12.75" customHeight="1" x14ac:dyDescent="0.2">
      <c r="A8713" s="277"/>
      <c r="B8713" s="278"/>
      <c r="C8713" s="278"/>
      <c r="D8713" s="278"/>
      <c r="E8713" s="278"/>
      <c r="F8713" s="278"/>
      <c r="G8713" s="278"/>
      <c r="H8713" s="278"/>
      <c r="I8713" s="278"/>
      <c r="J8713" s="278"/>
      <c r="K8713" s="278"/>
      <c r="L8713" s="278"/>
      <c r="M8713" s="278"/>
      <c r="N8713" s="279"/>
    </row>
    <row r="8714" spans="1:14" ht="12.75" customHeight="1" x14ac:dyDescent="0.2">
      <c r="A8714" s="75"/>
      <c r="B8714" s="75"/>
      <c r="C8714" s="75"/>
      <c r="D8714" s="75"/>
      <c r="E8714" s="75"/>
      <c r="F8714" s="75"/>
      <c r="G8714" s="75"/>
      <c r="H8714" s="75"/>
      <c r="I8714" s="75"/>
      <c r="J8714" s="75"/>
      <c r="K8714" s="75"/>
      <c r="L8714" s="75"/>
      <c r="M8714" s="75"/>
      <c r="N8714" s="75"/>
    </row>
    <row r="8715" spans="1:14" ht="12.75" customHeight="1" x14ac:dyDescent="0.3">
      <c r="A8715" s="79" t="s">
        <v>805</v>
      </c>
      <c r="B8715" s="80" t="str">
        <f>A8712</f>
        <v>SUMINISTRO E INSTALACIÓN CODO 22,5° Ø2" EN HIERRO DUCTIL CON UNIÓN MECÁNICA (INCLUYE MATERIALES, HERRAMIENTAS Y MANO DE OBRA)</v>
      </c>
      <c r="C8715" s="81" t="s">
        <v>916</v>
      </c>
      <c r="D8715" s="82" t="s">
        <v>999</v>
      </c>
      <c r="E8715" s="83" t="s">
        <v>445</v>
      </c>
      <c r="F8715" s="86">
        <f>H8715+J8715+L8715+N8715</f>
        <v>112933.50810000001</v>
      </c>
      <c r="G8715" s="83" t="s">
        <v>607</v>
      </c>
      <c r="H8715" s="86">
        <f>M8727</f>
        <v>90000</v>
      </c>
      <c r="I8715" s="83" t="s">
        <v>918</v>
      </c>
      <c r="J8715" s="86">
        <f>M8736</f>
        <v>877.78610000000015</v>
      </c>
      <c r="K8715" s="83" t="s">
        <v>609</v>
      </c>
      <c r="L8715" s="86">
        <f>M8745</f>
        <v>4500</v>
      </c>
      <c r="M8715" s="83" t="s">
        <v>610</v>
      </c>
      <c r="N8715" s="86">
        <f>M8754</f>
        <v>17555.722000000002</v>
      </c>
    </row>
    <row r="8716" spans="1:14" ht="12.75" customHeight="1" x14ac:dyDescent="0.25">
      <c r="A8716" s="87"/>
      <c r="B8716" s="87"/>
      <c r="C8716" s="87"/>
      <c r="D8716" s="87"/>
      <c r="E8716" s="87"/>
      <c r="F8716" s="87"/>
      <c r="G8716" s="87"/>
      <c r="J8716" s="87"/>
      <c r="K8716" s="215" t="s">
        <v>3217</v>
      </c>
      <c r="L8716" s="215">
        <f>+F8715*presup!$O$5</f>
        <v>146813.56053000002</v>
      </c>
      <c r="M8716" s="87"/>
      <c r="N8716" s="87"/>
    </row>
    <row r="8717" spans="1:14" ht="12.75" customHeight="1" x14ac:dyDescent="0.2">
      <c r="A8717" s="398" t="s">
        <v>919</v>
      </c>
      <c r="B8717" s="271"/>
      <c r="C8717" s="271"/>
      <c r="D8717" s="271"/>
      <c r="E8717" s="271"/>
      <c r="F8717" s="271"/>
      <c r="G8717" s="271"/>
      <c r="H8717" s="271"/>
      <c r="I8717" s="271"/>
      <c r="J8717" s="271"/>
      <c r="K8717" s="271"/>
      <c r="L8717" s="271"/>
      <c r="M8717" s="271"/>
      <c r="N8717" s="273"/>
    </row>
    <row r="8718" spans="1:14" ht="12.75" customHeight="1" x14ac:dyDescent="0.2">
      <c r="A8718" s="396" t="s">
        <v>76</v>
      </c>
      <c r="B8718" s="271"/>
      <c r="C8718" s="271"/>
      <c r="D8718" s="271"/>
      <c r="E8718" s="271"/>
      <c r="F8718" s="271"/>
      <c r="G8718" s="273"/>
      <c r="H8718" s="88" t="s">
        <v>77</v>
      </c>
      <c r="I8718" s="399" t="s">
        <v>920</v>
      </c>
      <c r="J8718" s="273"/>
      <c r="K8718" s="399" t="s">
        <v>453</v>
      </c>
      <c r="L8718" s="273"/>
      <c r="M8718" s="399" t="s">
        <v>921</v>
      </c>
      <c r="N8718" s="273"/>
    </row>
    <row r="8719" spans="1:14" ht="12.75" customHeight="1" x14ac:dyDescent="0.2">
      <c r="A8719" s="403" t="s">
        <v>1431</v>
      </c>
      <c r="B8719" s="271"/>
      <c r="C8719" s="271"/>
      <c r="D8719" s="271"/>
      <c r="E8719" s="271"/>
      <c r="F8719" s="271"/>
      <c r="G8719" s="273"/>
      <c r="H8719" s="29" t="str">
        <f t="shared" ref="H8719:H8726" si="1180">IF(A8719="","",VLOOKUP(A8719,AA_Materiales,7,FALSE))</f>
        <v>Unidad</v>
      </c>
      <c r="I8719" s="394">
        <f t="shared" ref="I8719:I8726" si="1181">IF(A8719="","",VLOOKUP(A8719,AA_Materiales,8,FALSE))</f>
        <v>90000</v>
      </c>
      <c r="J8719" s="273"/>
      <c r="K8719" s="395">
        <v>1</v>
      </c>
      <c r="L8719" s="273"/>
      <c r="M8719" s="394">
        <f t="shared" ref="M8719:M8726" si="1182">IF(A8719="","",I8719*K8719)</f>
        <v>90000</v>
      </c>
      <c r="N8719" s="273"/>
    </row>
    <row r="8720" spans="1:14" ht="12.75" customHeight="1" x14ac:dyDescent="0.2">
      <c r="A8720" s="403"/>
      <c r="B8720" s="271"/>
      <c r="C8720" s="271"/>
      <c r="D8720" s="271"/>
      <c r="E8720" s="271"/>
      <c r="F8720" s="271"/>
      <c r="G8720" s="273"/>
      <c r="H8720" s="29" t="str">
        <f t="shared" si="1180"/>
        <v/>
      </c>
      <c r="I8720" s="394" t="str">
        <f t="shared" si="1181"/>
        <v/>
      </c>
      <c r="J8720" s="273"/>
      <c r="K8720" s="395"/>
      <c r="L8720" s="273"/>
      <c r="M8720" s="394" t="str">
        <f t="shared" si="1182"/>
        <v/>
      </c>
      <c r="N8720" s="273"/>
    </row>
    <row r="8721" spans="1:14" ht="12.75" customHeight="1" x14ac:dyDescent="0.2">
      <c r="A8721" s="403"/>
      <c r="B8721" s="271"/>
      <c r="C8721" s="271"/>
      <c r="D8721" s="271"/>
      <c r="E8721" s="271"/>
      <c r="F8721" s="271"/>
      <c r="G8721" s="273"/>
      <c r="H8721" s="29" t="str">
        <f t="shared" si="1180"/>
        <v/>
      </c>
      <c r="I8721" s="394" t="str">
        <f t="shared" si="1181"/>
        <v/>
      </c>
      <c r="J8721" s="273"/>
      <c r="K8721" s="395"/>
      <c r="L8721" s="273"/>
      <c r="M8721" s="394" t="str">
        <f t="shared" si="1182"/>
        <v/>
      </c>
      <c r="N8721" s="273"/>
    </row>
    <row r="8722" spans="1:14" ht="12.75" customHeight="1" x14ac:dyDescent="0.2">
      <c r="A8722" s="403"/>
      <c r="B8722" s="271"/>
      <c r="C8722" s="271"/>
      <c r="D8722" s="271"/>
      <c r="E8722" s="271"/>
      <c r="F8722" s="271"/>
      <c r="G8722" s="273"/>
      <c r="H8722" s="29" t="str">
        <f t="shared" si="1180"/>
        <v/>
      </c>
      <c r="I8722" s="394" t="str">
        <f t="shared" si="1181"/>
        <v/>
      </c>
      <c r="J8722" s="273"/>
      <c r="K8722" s="395"/>
      <c r="L8722" s="273"/>
      <c r="M8722" s="394" t="str">
        <f t="shared" si="1182"/>
        <v/>
      </c>
      <c r="N8722" s="273"/>
    </row>
    <row r="8723" spans="1:14" ht="12.75" customHeight="1" x14ac:dyDescent="0.2">
      <c r="A8723" s="403"/>
      <c r="B8723" s="271"/>
      <c r="C8723" s="271"/>
      <c r="D8723" s="271"/>
      <c r="E8723" s="271"/>
      <c r="F8723" s="271"/>
      <c r="G8723" s="273"/>
      <c r="H8723" s="29" t="str">
        <f t="shared" si="1180"/>
        <v/>
      </c>
      <c r="I8723" s="394" t="str">
        <f t="shared" si="1181"/>
        <v/>
      </c>
      <c r="J8723" s="273"/>
      <c r="K8723" s="395"/>
      <c r="L8723" s="273"/>
      <c r="M8723" s="394" t="str">
        <f t="shared" si="1182"/>
        <v/>
      </c>
      <c r="N8723" s="273"/>
    </row>
    <row r="8724" spans="1:14" ht="12.75" customHeight="1" x14ac:dyDescent="0.2">
      <c r="A8724" s="403"/>
      <c r="B8724" s="271"/>
      <c r="C8724" s="271"/>
      <c r="D8724" s="271"/>
      <c r="E8724" s="271"/>
      <c r="F8724" s="271"/>
      <c r="G8724" s="273"/>
      <c r="H8724" s="29" t="str">
        <f t="shared" si="1180"/>
        <v/>
      </c>
      <c r="I8724" s="394" t="str">
        <f t="shared" si="1181"/>
        <v/>
      </c>
      <c r="J8724" s="273"/>
      <c r="K8724" s="395"/>
      <c r="L8724" s="273"/>
      <c r="M8724" s="394" t="str">
        <f t="shared" si="1182"/>
        <v/>
      </c>
      <c r="N8724" s="273"/>
    </row>
    <row r="8725" spans="1:14" ht="12.75" customHeight="1" x14ac:dyDescent="0.2">
      <c r="A8725" s="403"/>
      <c r="B8725" s="271"/>
      <c r="C8725" s="271"/>
      <c r="D8725" s="271"/>
      <c r="E8725" s="271"/>
      <c r="F8725" s="271"/>
      <c r="G8725" s="273"/>
      <c r="H8725" s="29" t="str">
        <f t="shared" si="1180"/>
        <v/>
      </c>
      <c r="I8725" s="394" t="str">
        <f t="shared" si="1181"/>
        <v/>
      </c>
      <c r="J8725" s="273"/>
      <c r="K8725" s="395"/>
      <c r="L8725" s="273"/>
      <c r="M8725" s="394" t="str">
        <f t="shared" si="1182"/>
        <v/>
      </c>
      <c r="N8725" s="273"/>
    </row>
    <row r="8726" spans="1:14" ht="12.75" customHeight="1" x14ac:dyDescent="0.2">
      <c r="A8726" s="403"/>
      <c r="B8726" s="271"/>
      <c r="C8726" s="271"/>
      <c r="D8726" s="271"/>
      <c r="E8726" s="271"/>
      <c r="F8726" s="271"/>
      <c r="G8726" s="273"/>
      <c r="H8726" s="29" t="str">
        <f t="shared" si="1180"/>
        <v/>
      </c>
      <c r="I8726" s="394" t="str">
        <f t="shared" si="1181"/>
        <v/>
      </c>
      <c r="J8726" s="273"/>
      <c r="K8726" s="395"/>
      <c r="L8726" s="273"/>
      <c r="M8726" s="394" t="str">
        <f t="shared" si="1182"/>
        <v/>
      </c>
      <c r="N8726" s="273"/>
    </row>
    <row r="8727" spans="1:14" ht="12.75" customHeight="1" x14ac:dyDescent="0.25">
      <c r="A8727" s="4"/>
      <c r="B8727" s="4"/>
      <c r="C8727" s="4"/>
      <c r="D8727" s="4"/>
      <c r="E8727" s="4"/>
      <c r="F8727" s="4"/>
      <c r="G8727" s="4"/>
      <c r="H8727" s="4"/>
      <c r="I8727" s="4"/>
      <c r="J8727" s="4"/>
      <c r="K8727" s="396" t="s">
        <v>444</v>
      </c>
      <c r="L8727" s="273"/>
      <c r="M8727" s="394">
        <f>SUM(M8719:N8726)</f>
        <v>90000</v>
      </c>
      <c r="N8727" s="273"/>
    </row>
    <row r="8728" spans="1:14" ht="12.75" customHeight="1" x14ac:dyDescent="0.25">
      <c r="A8728" s="4"/>
      <c r="B8728" s="4"/>
      <c r="C8728" s="4"/>
      <c r="D8728" s="4"/>
      <c r="E8728" s="4"/>
      <c r="F8728" s="4"/>
      <c r="G8728" s="4"/>
      <c r="H8728" s="4"/>
      <c r="I8728" s="4"/>
      <c r="J8728" s="4"/>
      <c r="K8728" s="4"/>
      <c r="L8728" s="4"/>
      <c r="M8728" s="4"/>
      <c r="N8728" s="4"/>
    </row>
    <row r="8729" spans="1:14" ht="12.75" customHeight="1" x14ac:dyDescent="0.2">
      <c r="A8729" s="398" t="s">
        <v>926</v>
      </c>
      <c r="B8729" s="271"/>
      <c r="C8729" s="271"/>
      <c r="D8729" s="271"/>
      <c r="E8729" s="271"/>
      <c r="F8729" s="271"/>
      <c r="G8729" s="271"/>
      <c r="H8729" s="271"/>
      <c r="I8729" s="271"/>
      <c r="J8729" s="271"/>
      <c r="K8729" s="271"/>
      <c r="L8729" s="271"/>
      <c r="M8729" s="271"/>
      <c r="N8729" s="273"/>
    </row>
    <row r="8730" spans="1:14" ht="12.75" customHeight="1" x14ac:dyDescent="0.2">
      <c r="A8730" s="396" t="s">
        <v>76</v>
      </c>
      <c r="B8730" s="271"/>
      <c r="C8730" s="271"/>
      <c r="D8730" s="271"/>
      <c r="E8730" s="271"/>
      <c r="F8730" s="271"/>
      <c r="G8730" s="273"/>
      <c r="H8730" s="88" t="s">
        <v>77</v>
      </c>
      <c r="I8730" s="399" t="s">
        <v>920</v>
      </c>
      <c r="J8730" s="273"/>
      <c r="K8730" s="399" t="s">
        <v>453</v>
      </c>
      <c r="L8730" s="273"/>
      <c r="M8730" s="399" t="s">
        <v>921</v>
      </c>
      <c r="N8730" s="273"/>
    </row>
    <row r="8731" spans="1:14" ht="12.75" customHeight="1" x14ac:dyDescent="0.2">
      <c r="A8731" s="400" t="s">
        <v>927</v>
      </c>
      <c r="B8731" s="271"/>
      <c r="C8731" s="271"/>
      <c r="D8731" s="271"/>
      <c r="E8731" s="271"/>
      <c r="F8731" s="271"/>
      <c r="G8731" s="273"/>
      <c r="H8731" s="29" t="str">
        <f>IF(A8731="","",VLOOKUP(A8731,AA_Equipos,7,FALSE))</f>
        <v>% M.O.</v>
      </c>
      <c r="I8731" s="394">
        <f>+M8754</f>
        <v>17555.722000000002</v>
      </c>
      <c r="J8731" s="273"/>
      <c r="K8731" s="404">
        <v>0.05</v>
      </c>
      <c r="L8731" s="273"/>
      <c r="M8731" s="394">
        <f t="shared" ref="M8731:M8735" si="1183">IF(A8731="","",I8731*K8731)</f>
        <v>877.78610000000015</v>
      </c>
      <c r="N8731" s="273"/>
    </row>
    <row r="8732" spans="1:14" ht="12.75" customHeight="1" x14ac:dyDescent="0.2">
      <c r="A8732" s="403"/>
      <c r="B8732" s="271"/>
      <c r="C8732" s="271"/>
      <c r="D8732" s="271"/>
      <c r="E8732" s="271"/>
      <c r="F8732" s="271"/>
      <c r="G8732" s="273"/>
      <c r="H8732" s="29" t="str">
        <f>IF(A8732="","",VLOOKUP(A8732,AA_Equipos,7,FALSE))</f>
        <v/>
      </c>
      <c r="I8732" s="394" t="str">
        <f>IF(A8732="","",VLOOKUP(A8732,AA_Equipos,8,FALSE))</f>
        <v/>
      </c>
      <c r="J8732" s="273"/>
      <c r="K8732" s="402"/>
      <c r="L8732" s="273"/>
      <c r="M8732" s="394" t="str">
        <f t="shared" si="1183"/>
        <v/>
      </c>
      <c r="N8732" s="273"/>
    </row>
    <row r="8733" spans="1:14" ht="12.75" customHeight="1" x14ac:dyDescent="0.2">
      <c r="A8733" s="400"/>
      <c r="B8733" s="271"/>
      <c r="C8733" s="271"/>
      <c r="D8733" s="271"/>
      <c r="E8733" s="271"/>
      <c r="F8733" s="271"/>
      <c r="G8733" s="273"/>
      <c r="H8733" s="29" t="str">
        <f>IF(A8733="","",VLOOKUP(A8733,AA_Equipos,7,FALSE))</f>
        <v/>
      </c>
      <c r="I8733" s="394" t="str">
        <f>IF(A8733="","",VLOOKUP(A8733,AA_Equipos,8,FALSE))</f>
        <v/>
      </c>
      <c r="J8733" s="273"/>
      <c r="K8733" s="401"/>
      <c r="L8733" s="273"/>
      <c r="M8733" s="394" t="str">
        <f t="shared" si="1183"/>
        <v/>
      </c>
      <c r="N8733" s="273"/>
    </row>
    <row r="8734" spans="1:14" ht="12.75" customHeight="1" x14ac:dyDescent="0.2">
      <c r="A8734" s="400"/>
      <c r="B8734" s="271"/>
      <c r="C8734" s="271"/>
      <c r="D8734" s="271"/>
      <c r="E8734" s="271"/>
      <c r="F8734" s="271"/>
      <c r="G8734" s="273"/>
      <c r="H8734" s="29" t="str">
        <f>IF(A8734="","",VLOOKUP(A8734,AA_Equipos,7,FALSE))</f>
        <v/>
      </c>
      <c r="I8734" s="394" t="str">
        <f>IF(A8734="","",VLOOKUP(A8734,AA_Equipos,8,FALSE))</f>
        <v/>
      </c>
      <c r="J8734" s="273"/>
      <c r="K8734" s="395"/>
      <c r="L8734" s="273"/>
      <c r="M8734" s="394" t="str">
        <f t="shared" si="1183"/>
        <v/>
      </c>
      <c r="N8734" s="273"/>
    </row>
    <row r="8735" spans="1:14" ht="12.75" customHeight="1" x14ac:dyDescent="0.2">
      <c r="A8735" s="400"/>
      <c r="B8735" s="271"/>
      <c r="C8735" s="271"/>
      <c r="D8735" s="271"/>
      <c r="E8735" s="271"/>
      <c r="F8735" s="271"/>
      <c r="G8735" s="273"/>
      <c r="H8735" s="29" t="str">
        <f>IF(A8735="","",VLOOKUP(A8735,AA_Equipos,7,FALSE))</f>
        <v/>
      </c>
      <c r="I8735" s="394" t="str">
        <f>IF(A8735="","",VLOOKUP(A8735,AA_Equipos,8,FALSE))</f>
        <v/>
      </c>
      <c r="J8735" s="273"/>
      <c r="K8735" s="395"/>
      <c r="L8735" s="273"/>
      <c r="M8735" s="394" t="str">
        <f t="shared" si="1183"/>
        <v/>
      </c>
      <c r="N8735" s="273"/>
    </row>
    <row r="8736" spans="1:14" ht="12.75" customHeight="1" x14ac:dyDescent="0.25">
      <c r="A8736" s="4"/>
      <c r="B8736" s="4"/>
      <c r="C8736" s="4"/>
      <c r="D8736" s="4"/>
      <c r="E8736" s="4"/>
      <c r="F8736" s="4"/>
      <c r="G8736" s="4"/>
      <c r="H8736" s="4"/>
      <c r="I8736" s="4"/>
      <c r="J8736" s="4"/>
      <c r="K8736" s="396" t="s">
        <v>444</v>
      </c>
      <c r="L8736" s="273"/>
      <c r="M8736" s="394">
        <f>SUM(M8731:N8735)</f>
        <v>877.78610000000015</v>
      </c>
      <c r="N8736" s="273"/>
    </row>
    <row r="8737" spans="1:14" ht="12.75" customHeight="1" x14ac:dyDescent="0.25">
      <c r="A8737" s="4"/>
      <c r="B8737" s="4"/>
      <c r="C8737" s="4"/>
      <c r="D8737" s="4"/>
      <c r="E8737" s="4"/>
      <c r="F8737" s="4"/>
      <c r="G8737" s="4"/>
      <c r="H8737" s="4"/>
      <c r="I8737" s="4"/>
      <c r="J8737" s="4"/>
      <c r="K8737" s="4"/>
      <c r="L8737" s="4"/>
      <c r="M8737" s="4"/>
      <c r="N8737" s="4"/>
    </row>
    <row r="8738" spans="1:14" ht="12.75" customHeight="1" x14ac:dyDescent="0.2">
      <c r="A8738" s="398" t="s">
        <v>929</v>
      </c>
      <c r="B8738" s="271"/>
      <c r="C8738" s="271"/>
      <c r="D8738" s="271"/>
      <c r="E8738" s="271"/>
      <c r="F8738" s="271"/>
      <c r="G8738" s="271"/>
      <c r="H8738" s="271"/>
      <c r="I8738" s="271"/>
      <c r="J8738" s="271"/>
      <c r="K8738" s="271"/>
      <c r="L8738" s="271"/>
      <c r="M8738" s="271"/>
      <c r="N8738" s="273"/>
    </row>
    <row r="8739" spans="1:14" ht="12.75" customHeight="1" x14ac:dyDescent="0.2">
      <c r="A8739" s="396" t="s">
        <v>76</v>
      </c>
      <c r="B8739" s="271"/>
      <c r="C8739" s="271"/>
      <c r="D8739" s="271"/>
      <c r="E8739" s="271"/>
      <c r="F8739" s="271"/>
      <c r="G8739" s="273"/>
      <c r="H8739" s="88" t="s">
        <v>77</v>
      </c>
      <c r="I8739" s="399" t="s">
        <v>920</v>
      </c>
      <c r="J8739" s="273"/>
      <c r="K8739" s="399" t="s">
        <v>453</v>
      </c>
      <c r="L8739" s="273"/>
      <c r="M8739" s="399" t="s">
        <v>921</v>
      </c>
      <c r="N8739" s="273"/>
    </row>
    <row r="8740" spans="1:14" ht="12.75" customHeight="1" x14ac:dyDescent="0.2">
      <c r="A8740" s="400" t="s">
        <v>960</v>
      </c>
      <c r="B8740" s="271"/>
      <c r="C8740" s="271"/>
      <c r="D8740" s="271"/>
      <c r="E8740" s="271"/>
      <c r="F8740" s="271"/>
      <c r="G8740" s="273"/>
      <c r="H8740" s="29" t="s">
        <v>950</v>
      </c>
      <c r="I8740" s="394">
        <f>+M8727</f>
        <v>90000</v>
      </c>
      <c r="J8740" s="273"/>
      <c r="K8740" s="404">
        <v>0.05</v>
      </c>
      <c r="L8740" s="273"/>
      <c r="M8740" s="394">
        <f t="shared" ref="M8740:M8744" si="1184">IF(A8740="","",I8740*K8740)</f>
        <v>4500</v>
      </c>
      <c r="N8740" s="273"/>
    </row>
    <row r="8741" spans="1:14" ht="12.75" customHeight="1" x14ac:dyDescent="0.2">
      <c r="A8741" s="403"/>
      <c r="B8741" s="271"/>
      <c r="C8741" s="271"/>
      <c r="D8741" s="271"/>
      <c r="E8741" s="271"/>
      <c r="F8741" s="271"/>
      <c r="G8741" s="273"/>
      <c r="H8741" s="29"/>
      <c r="I8741" s="394"/>
      <c r="J8741" s="273"/>
      <c r="K8741" s="404"/>
      <c r="L8741" s="273"/>
      <c r="M8741" s="394" t="str">
        <f t="shared" si="1184"/>
        <v/>
      </c>
      <c r="N8741" s="273"/>
    </row>
    <row r="8742" spans="1:14" ht="12.75" customHeight="1" x14ac:dyDescent="0.2">
      <c r="A8742" s="400"/>
      <c r="B8742" s="271"/>
      <c r="C8742" s="271"/>
      <c r="D8742" s="271"/>
      <c r="E8742" s="271"/>
      <c r="F8742" s="271"/>
      <c r="G8742" s="273"/>
      <c r="H8742" s="29"/>
      <c r="I8742" s="394"/>
      <c r="J8742" s="273"/>
      <c r="K8742" s="395"/>
      <c r="L8742" s="273"/>
      <c r="M8742" s="394" t="str">
        <f t="shared" si="1184"/>
        <v/>
      </c>
      <c r="N8742" s="273"/>
    </row>
    <row r="8743" spans="1:14" ht="12.75" customHeight="1" x14ac:dyDescent="0.2">
      <c r="A8743" s="400"/>
      <c r="B8743" s="271"/>
      <c r="C8743" s="271"/>
      <c r="D8743" s="271"/>
      <c r="E8743" s="271"/>
      <c r="F8743" s="271"/>
      <c r="G8743" s="273"/>
      <c r="H8743" s="29"/>
      <c r="I8743" s="394"/>
      <c r="J8743" s="273"/>
      <c r="K8743" s="395"/>
      <c r="L8743" s="273"/>
      <c r="M8743" s="394" t="str">
        <f t="shared" si="1184"/>
        <v/>
      </c>
      <c r="N8743" s="273"/>
    </row>
    <row r="8744" spans="1:14" ht="12.75" customHeight="1" x14ac:dyDescent="0.2">
      <c r="A8744" s="400"/>
      <c r="B8744" s="271"/>
      <c r="C8744" s="271"/>
      <c r="D8744" s="271"/>
      <c r="E8744" s="271"/>
      <c r="F8744" s="271"/>
      <c r="G8744" s="273"/>
      <c r="H8744" s="29"/>
      <c r="I8744" s="394"/>
      <c r="J8744" s="273"/>
      <c r="K8744" s="395"/>
      <c r="L8744" s="273"/>
      <c r="M8744" s="394" t="str">
        <f t="shared" si="1184"/>
        <v/>
      </c>
      <c r="N8744" s="273"/>
    </row>
    <row r="8745" spans="1:14" ht="12.75" customHeight="1" x14ac:dyDescent="0.25">
      <c r="A8745" s="4"/>
      <c r="B8745" s="4"/>
      <c r="C8745" s="4"/>
      <c r="D8745" s="4"/>
      <c r="E8745" s="4"/>
      <c r="F8745" s="4"/>
      <c r="G8745" s="4"/>
      <c r="H8745" s="4"/>
      <c r="I8745" s="4"/>
      <c r="J8745" s="4"/>
      <c r="K8745" s="396" t="s">
        <v>444</v>
      </c>
      <c r="L8745" s="273"/>
      <c r="M8745" s="394">
        <f>SUM(M8740:N8744)</f>
        <v>4500</v>
      </c>
      <c r="N8745" s="273"/>
    </row>
    <row r="8746" spans="1:14" ht="12.75" customHeight="1" x14ac:dyDescent="0.25">
      <c r="A8746" s="4"/>
      <c r="B8746" s="4"/>
      <c r="C8746" s="4"/>
      <c r="D8746" s="4"/>
      <c r="E8746" s="4"/>
      <c r="F8746" s="4"/>
      <c r="G8746" s="4"/>
      <c r="H8746" s="4"/>
      <c r="I8746" s="4"/>
      <c r="J8746" s="4"/>
      <c r="K8746" s="4"/>
      <c r="L8746" s="4"/>
      <c r="M8746" s="4"/>
      <c r="N8746" s="4"/>
    </row>
    <row r="8747" spans="1:14" ht="12.75" customHeight="1" x14ac:dyDescent="0.2">
      <c r="A8747" s="398" t="s">
        <v>931</v>
      </c>
      <c r="B8747" s="271"/>
      <c r="C8747" s="271"/>
      <c r="D8747" s="271"/>
      <c r="E8747" s="271"/>
      <c r="F8747" s="271"/>
      <c r="G8747" s="271"/>
      <c r="H8747" s="271"/>
      <c r="I8747" s="271"/>
      <c r="J8747" s="271"/>
      <c r="K8747" s="271"/>
      <c r="L8747" s="271"/>
      <c r="M8747" s="271"/>
      <c r="N8747" s="273"/>
    </row>
    <row r="8748" spans="1:14" ht="12.75" customHeight="1" x14ac:dyDescent="0.2">
      <c r="A8748" s="396" t="s">
        <v>76</v>
      </c>
      <c r="B8748" s="271"/>
      <c r="C8748" s="271"/>
      <c r="D8748" s="271"/>
      <c r="E8748" s="271"/>
      <c r="F8748" s="271"/>
      <c r="G8748" s="273"/>
      <c r="H8748" s="88" t="s">
        <v>77</v>
      </c>
      <c r="I8748" s="399" t="s">
        <v>920</v>
      </c>
      <c r="J8748" s="273"/>
      <c r="K8748" s="90" t="s">
        <v>514</v>
      </c>
      <c r="L8748" s="91" t="s">
        <v>932</v>
      </c>
      <c r="M8748" s="399" t="s">
        <v>921</v>
      </c>
      <c r="N8748" s="273"/>
    </row>
    <row r="8749" spans="1:14" ht="12.75" customHeight="1" x14ac:dyDescent="0.25">
      <c r="A8749" s="393" t="s">
        <v>986</v>
      </c>
      <c r="B8749" s="271"/>
      <c r="C8749" s="271"/>
      <c r="D8749" s="271"/>
      <c r="E8749" s="271"/>
      <c r="F8749" s="271"/>
      <c r="G8749" s="273"/>
      <c r="H8749" s="29" t="str">
        <f>IF(A8749="","",VLOOKUP(A8749,AA_Cuadrillas,4,FALSE))</f>
        <v>Cuadrilla</v>
      </c>
      <c r="I8749" s="394">
        <f>IF(A8749="","",VLOOKUP(A8749,AA_Cuadrillas,5,FALSE))</f>
        <v>186763</v>
      </c>
      <c r="J8749" s="273"/>
      <c r="K8749" s="9">
        <f>IF(A8749="","",F.P!$I$2)</f>
        <v>1.88</v>
      </c>
      <c r="L8749" s="97">
        <f>1/20</f>
        <v>0.05</v>
      </c>
      <c r="M8749" s="394">
        <f t="shared" ref="M8749:M8753" si="1185">IF(A8749="","",I8749*K8749*L8749)</f>
        <v>17555.722000000002</v>
      </c>
      <c r="N8749" s="273"/>
    </row>
    <row r="8750" spans="1:14" ht="12.75" customHeight="1" x14ac:dyDescent="0.25">
      <c r="A8750" s="393"/>
      <c r="B8750" s="271"/>
      <c r="C8750" s="271"/>
      <c r="D8750" s="271"/>
      <c r="E8750" s="271"/>
      <c r="F8750" s="271"/>
      <c r="G8750" s="273"/>
      <c r="H8750" s="29" t="str">
        <f>IF(A8750="","",VLOOKUP(A8750,AA_Cuadrillas,4,FALSE))</f>
        <v/>
      </c>
      <c r="I8750" s="394" t="str">
        <f>IF(A8750="","",VLOOKUP(A8750,AA_Cuadrillas,5,FALSE))</f>
        <v/>
      </c>
      <c r="J8750" s="273"/>
      <c r="K8750" s="9" t="str">
        <f>IF(A8750="","",F.P!$I$2)</f>
        <v/>
      </c>
      <c r="L8750" s="9"/>
      <c r="M8750" s="394" t="str">
        <f t="shared" si="1185"/>
        <v/>
      </c>
      <c r="N8750" s="273"/>
    </row>
    <row r="8751" spans="1:14" ht="12.75" customHeight="1" x14ac:dyDescent="0.25">
      <c r="A8751" s="393"/>
      <c r="B8751" s="271"/>
      <c r="C8751" s="271"/>
      <c r="D8751" s="271"/>
      <c r="E8751" s="271"/>
      <c r="F8751" s="271"/>
      <c r="G8751" s="273"/>
      <c r="H8751" s="29" t="str">
        <f>IF(A8751="","",VLOOKUP(A8751,AA_Cuadrillas,4,FALSE))</f>
        <v/>
      </c>
      <c r="I8751" s="394" t="str">
        <f>IF(A8751="","",VLOOKUP(A8751,AA_Cuadrillas,5,FALSE))</f>
        <v/>
      </c>
      <c r="J8751" s="273"/>
      <c r="K8751" s="9" t="str">
        <f>IF(A8751="","",F.P!$I$2)</f>
        <v/>
      </c>
      <c r="L8751" s="37"/>
      <c r="M8751" s="394" t="str">
        <f t="shared" si="1185"/>
        <v/>
      </c>
      <c r="N8751" s="273"/>
    </row>
    <row r="8752" spans="1:14" ht="12.75" customHeight="1" x14ac:dyDescent="0.25">
      <c r="A8752" s="393"/>
      <c r="B8752" s="271"/>
      <c r="C8752" s="271"/>
      <c r="D8752" s="271"/>
      <c r="E8752" s="271"/>
      <c r="F8752" s="271"/>
      <c r="G8752" s="273"/>
      <c r="H8752" s="29" t="str">
        <f>IF(A8752="","",VLOOKUP(A8752,AA_Cuadrillas,4,FALSE))</f>
        <v/>
      </c>
      <c r="I8752" s="394" t="str">
        <f>IF(A8752="","",VLOOKUP(A8752,AA_Cuadrillas,5,FALSE))</f>
        <v/>
      </c>
      <c r="J8752" s="273"/>
      <c r="K8752" s="9" t="str">
        <f>IF(A8752="","",F.P!$I$2)</f>
        <v/>
      </c>
      <c r="L8752" s="37"/>
      <c r="M8752" s="394" t="str">
        <f t="shared" si="1185"/>
        <v/>
      </c>
      <c r="N8752" s="273"/>
    </row>
    <row r="8753" spans="1:15" ht="12.75" customHeight="1" x14ac:dyDescent="0.25">
      <c r="A8753" s="393"/>
      <c r="B8753" s="271"/>
      <c r="C8753" s="271"/>
      <c r="D8753" s="271"/>
      <c r="E8753" s="271"/>
      <c r="F8753" s="271"/>
      <c r="G8753" s="273"/>
      <c r="H8753" s="29" t="str">
        <f>IF(A8753="","",VLOOKUP(A8753,AA_Cuadrillas,4,FALSE))</f>
        <v/>
      </c>
      <c r="I8753" s="394" t="str">
        <f>IF(A8753="","",VLOOKUP(A8753,AA_Cuadrillas,5,FALSE))</f>
        <v/>
      </c>
      <c r="J8753" s="273"/>
      <c r="K8753" s="9" t="str">
        <f>IF(A8753="","",F.P!$I$2)</f>
        <v/>
      </c>
      <c r="L8753" s="37"/>
      <c r="M8753" s="394" t="str">
        <f t="shared" si="1185"/>
        <v/>
      </c>
      <c r="N8753" s="273"/>
    </row>
    <row r="8754" spans="1:15" ht="12.75" customHeight="1" x14ac:dyDescent="0.25">
      <c r="A8754" s="4"/>
      <c r="B8754" s="4"/>
      <c r="C8754" s="4"/>
      <c r="D8754" s="4"/>
      <c r="E8754" s="4"/>
      <c r="F8754" s="4"/>
      <c r="G8754" s="4"/>
      <c r="H8754" s="4"/>
      <c r="I8754" s="4"/>
      <c r="J8754" s="4"/>
      <c r="K8754" s="396" t="s">
        <v>444</v>
      </c>
      <c r="L8754" s="273"/>
      <c r="M8754" s="394">
        <f>SUM(M8749:N8753)</f>
        <v>17555.722000000002</v>
      </c>
      <c r="N8754" s="273"/>
    </row>
    <row r="8755" spans="1:15" ht="12.75" customHeight="1" x14ac:dyDescent="0.2"/>
    <row r="8756" spans="1:15" ht="12.75" customHeight="1" x14ac:dyDescent="0.2">
      <c r="A8756" s="407" t="s">
        <v>370</v>
      </c>
      <c r="B8756" s="275"/>
      <c r="C8756" s="275"/>
      <c r="D8756" s="275"/>
      <c r="E8756" s="275"/>
      <c r="F8756" s="275"/>
      <c r="G8756" s="275"/>
      <c r="H8756" s="275"/>
      <c r="I8756" s="275"/>
      <c r="J8756" s="275"/>
      <c r="K8756" s="275"/>
      <c r="L8756" s="275"/>
      <c r="M8756" s="275"/>
      <c r="N8756" s="276"/>
      <c r="O8756" s="166"/>
    </row>
    <row r="8757" spans="1:15" ht="12.75" customHeight="1" x14ac:dyDescent="0.2">
      <c r="A8757" s="277"/>
      <c r="B8757" s="278"/>
      <c r="C8757" s="278"/>
      <c r="D8757" s="278"/>
      <c r="E8757" s="278"/>
      <c r="F8757" s="278"/>
      <c r="G8757" s="278"/>
      <c r="H8757" s="278"/>
      <c r="I8757" s="278"/>
      <c r="J8757" s="278"/>
      <c r="K8757" s="278"/>
      <c r="L8757" s="278"/>
      <c r="M8757" s="278"/>
      <c r="N8757" s="279"/>
      <c r="O8757" s="166"/>
    </row>
    <row r="8758" spans="1:15" ht="12.75" customHeight="1" x14ac:dyDescent="0.2">
      <c r="A8758" s="75"/>
      <c r="B8758" s="75"/>
      <c r="C8758" s="75"/>
      <c r="D8758" s="75"/>
      <c r="E8758" s="75"/>
      <c r="F8758" s="75"/>
      <c r="G8758" s="75"/>
      <c r="H8758" s="75"/>
      <c r="I8758" s="75"/>
      <c r="J8758" s="75"/>
      <c r="K8758" s="75"/>
      <c r="L8758" s="75"/>
      <c r="M8758" s="75"/>
      <c r="N8758" s="75"/>
    </row>
    <row r="8759" spans="1:15" ht="12.75" customHeight="1" x14ac:dyDescent="0.3">
      <c r="A8759" s="79" t="s">
        <v>806</v>
      </c>
      <c r="B8759" s="80" t="str">
        <f>A8756</f>
        <v>SUMINISTRO E INSTALACIÓN CODO 22,5° Ø3" EN HIERRO DUCTIL CON UNIÓN MECÁNICA (INCLUYE MATERIALES, HERRAMIENTAS Y MANO DE OBRA)</v>
      </c>
      <c r="C8759" s="81" t="s">
        <v>916</v>
      </c>
      <c r="D8759" s="82" t="s">
        <v>999</v>
      </c>
      <c r="E8759" s="83" t="s">
        <v>445</v>
      </c>
      <c r="F8759" s="234">
        <f>(H8759+J8759+L8759+N8759)*1.3</f>
        <v>269720.61662649998</v>
      </c>
      <c r="G8759" s="83" t="s">
        <v>607</v>
      </c>
      <c r="H8759" s="86">
        <f>M8780</f>
        <v>877.78610000000015</v>
      </c>
      <c r="I8759" s="83" t="s">
        <v>918</v>
      </c>
      <c r="J8759" s="86">
        <f>M8771</f>
        <v>180000</v>
      </c>
      <c r="K8759" s="83" t="s">
        <v>609</v>
      </c>
      <c r="L8759" s="86">
        <f>M8789</f>
        <v>9043.8893050000006</v>
      </c>
      <c r="M8759" s="83" t="s">
        <v>610</v>
      </c>
      <c r="N8759" s="86">
        <f>M8798</f>
        <v>17555.722000000002</v>
      </c>
    </row>
    <row r="8760" spans="1:15" ht="12.75" customHeight="1" x14ac:dyDescent="0.25">
      <c r="A8760" s="87"/>
      <c r="B8760" s="87"/>
      <c r="C8760" s="87"/>
      <c r="D8760" s="87"/>
      <c r="E8760" s="87"/>
      <c r="F8760" s="87"/>
      <c r="G8760" s="87"/>
      <c r="J8760" s="87"/>
      <c r="K8760" s="215" t="s">
        <v>3217</v>
      </c>
      <c r="L8760" s="215">
        <f>+F8759*presup!$O$5</f>
        <v>350636.80161445</v>
      </c>
      <c r="M8760" s="87"/>
      <c r="N8760" s="87"/>
    </row>
    <row r="8761" spans="1:15" ht="12.75" customHeight="1" x14ac:dyDescent="0.2">
      <c r="A8761" s="398" t="s">
        <v>919</v>
      </c>
      <c r="B8761" s="271"/>
      <c r="C8761" s="271"/>
      <c r="D8761" s="271"/>
      <c r="E8761" s="271"/>
      <c r="F8761" s="271"/>
      <c r="G8761" s="271"/>
      <c r="H8761" s="271"/>
      <c r="I8761" s="271"/>
      <c r="J8761" s="271"/>
      <c r="K8761" s="271"/>
      <c r="L8761" s="271"/>
      <c r="M8761" s="271"/>
      <c r="N8761" s="273"/>
    </row>
    <row r="8762" spans="1:15" ht="12.75" customHeight="1" x14ac:dyDescent="0.2">
      <c r="A8762" s="396" t="s">
        <v>76</v>
      </c>
      <c r="B8762" s="271"/>
      <c r="C8762" s="271"/>
      <c r="D8762" s="271"/>
      <c r="E8762" s="271"/>
      <c r="F8762" s="271"/>
      <c r="G8762" s="273"/>
      <c r="H8762" s="88" t="s">
        <v>77</v>
      </c>
      <c r="I8762" s="399" t="s">
        <v>920</v>
      </c>
      <c r="J8762" s="273"/>
      <c r="K8762" s="399" t="s">
        <v>453</v>
      </c>
      <c r="L8762" s="273"/>
      <c r="M8762" s="399" t="s">
        <v>921</v>
      </c>
      <c r="N8762" s="273"/>
    </row>
    <row r="8763" spans="1:15" ht="12.75" customHeight="1" x14ac:dyDescent="0.2">
      <c r="A8763" s="403" t="s">
        <v>1432</v>
      </c>
      <c r="B8763" s="271"/>
      <c r="C8763" s="271"/>
      <c r="D8763" s="271"/>
      <c r="E8763" s="271"/>
      <c r="F8763" s="271"/>
      <c r="G8763" s="273"/>
      <c r="H8763" s="29" t="str">
        <f t="shared" ref="H8763:H8770" si="1186">IF(A8763="","",VLOOKUP(A8763,AA_Materiales,7,FALSE))</f>
        <v>Unidad</v>
      </c>
      <c r="I8763" s="394">
        <f t="shared" ref="I8763:I8770" si="1187">IF(A8763="","",VLOOKUP(A8763,AA_Materiales,8,FALSE))</f>
        <v>180000</v>
      </c>
      <c r="J8763" s="273"/>
      <c r="K8763" s="395">
        <v>1</v>
      </c>
      <c r="L8763" s="273"/>
      <c r="M8763" s="394">
        <f t="shared" ref="M8763:M8770" si="1188">IF(A8763="","",I8763*K8763)</f>
        <v>180000</v>
      </c>
      <c r="N8763" s="273"/>
    </row>
    <row r="8764" spans="1:15" ht="12.75" customHeight="1" x14ac:dyDescent="0.2">
      <c r="A8764" s="403"/>
      <c r="B8764" s="271"/>
      <c r="C8764" s="271"/>
      <c r="D8764" s="271"/>
      <c r="E8764" s="271"/>
      <c r="F8764" s="271"/>
      <c r="G8764" s="273"/>
      <c r="H8764" s="29" t="str">
        <f t="shared" si="1186"/>
        <v/>
      </c>
      <c r="I8764" s="394" t="str">
        <f t="shared" si="1187"/>
        <v/>
      </c>
      <c r="J8764" s="273"/>
      <c r="K8764" s="395"/>
      <c r="L8764" s="273"/>
      <c r="M8764" s="394" t="str">
        <f t="shared" si="1188"/>
        <v/>
      </c>
      <c r="N8764" s="273"/>
    </row>
    <row r="8765" spans="1:15" ht="12.75" customHeight="1" x14ac:dyDescent="0.2">
      <c r="A8765" s="403"/>
      <c r="B8765" s="271"/>
      <c r="C8765" s="271"/>
      <c r="D8765" s="271"/>
      <c r="E8765" s="271"/>
      <c r="F8765" s="271"/>
      <c r="G8765" s="273"/>
      <c r="H8765" s="29" t="str">
        <f t="shared" si="1186"/>
        <v/>
      </c>
      <c r="I8765" s="394" t="str">
        <f t="shared" si="1187"/>
        <v/>
      </c>
      <c r="J8765" s="273"/>
      <c r="K8765" s="395"/>
      <c r="L8765" s="273"/>
      <c r="M8765" s="394" t="str">
        <f t="shared" si="1188"/>
        <v/>
      </c>
      <c r="N8765" s="273"/>
    </row>
    <row r="8766" spans="1:15" ht="12.75" customHeight="1" x14ac:dyDescent="0.2">
      <c r="A8766" s="403"/>
      <c r="B8766" s="271"/>
      <c r="C8766" s="271"/>
      <c r="D8766" s="271"/>
      <c r="E8766" s="271"/>
      <c r="F8766" s="271"/>
      <c r="G8766" s="273"/>
      <c r="H8766" s="29" t="str">
        <f t="shared" si="1186"/>
        <v/>
      </c>
      <c r="I8766" s="394" t="str">
        <f t="shared" si="1187"/>
        <v/>
      </c>
      <c r="J8766" s="273"/>
      <c r="K8766" s="395"/>
      <c r="L8766" s="273"/>
      <c r="M8766" s="394" t="str">
        <f t="shared" si="1188"/>
        <v/>
      </c>
      <c r="N8766" s="273"/>
    </row>
    <row r="8767" spans="1:15" ht="12.75" customHeight="1" x14ac:dyDescent="0.2">
      <c r="A8767" s="403"/>
      <c r="B8767" s="271"/>
      <c r="C8767" s="271"/>
      <c r="D8767" s="271"/>
      <c r="E8767" s="271"/>
      <c r="F8767" s="271"/>
      <c r="G8767" s="273"/>
      <c r="H8767" s="29" t="str">
        <f t="shared" si="1186"/>
        <v/>
      </c>
      <c r="I8767" s="394" t="str">
        <f t="shared" si="1187"/>
        <v/>
      </c>
      <c r="J8767" s="273"/>
      <c r="K8767" s="395"/>
      <c r="L8767" s="273"/>
      <c r="M8767" s="394" t="str">
        <f t="shared" si="1188"/>
        <v/>
      </c>
      <c r="N8767" s="273"/>
    </row>
    <row r="8768" spans="1:15" ht="12.75" customHeight="1" x14ac:dyDescent="0.2">
      <c r="A8768" s="403"/>
      <c r="B8768" s="271"/>
      <c r="C8768" s="271"/>
      <c r="D8768" s="271"/>
      <c r="E8768" s="271"/>
      <c r="F8768" s="271"/>
      <c r="G8768" s="273"/>
      <c r="H8768" s="29" t="str">
        <f t="shared" si="1186"/>
        <v/>
      </c>
      <c r="I8768" s="394" t="str">
        <f t="shared" si="1187"/>
        <v/>
      </c>
      <c r="J8768" s="273"/>
      <c r="K8768" s="395"/>
      <c r="L8768" s="273"/>
      <c r="M8768" s="394" t="str">
        <f t="shared" si="1188"/>
        <v/>
      </c>
      <c r="N8768" s="273"/>
    </row>
    <row r="8769" spans="1:14" ht="12.75" customHeight="1" x14ac:dyDescent="0.2">
      <c r="A8769" s="403"/>
      <c r="B8769" s="271"/>
      <c r="C8769" s="271"/>
      <c r="D8769" s="271"/>
      <c r="E8769" s="271"/>
      <c r="F8769" s="271"/>
      <c r="G8769" s="273"/>
      <c r="H8769" s="29" t="str">
        <f t="shared" si="1186"/>
        <v/>
      </c>
      <c r="I8769" s="394" t="str">
        <f t="shared" si="1187"/>
        <v/>
      </c>
      <c r="J8769" s="273"/>
      <c r="K8769" s="395"/>
      <c r="L8769" s="273"/>
      <c r="M8769" s="394" t="str">
        <f t="shared" si="1188"/>
        <v/>
      </c>
      <c r="N8769" s="273"/>
    </row>
    <row r="8770" spans="1:14" ht="12.75" customHeight="1" x14ac:dyDescent="0.2">
      <c r="A8770" s="403"/>
      <c r="B8770" s="271"/>
      <c r="C8770" s="271"/>
      <c r="D8770" s="271"/>
      <c r="E8770" s="271"/>
      <c r="F8770" s="271"/>
      <c r="G8770" s="273"/>
      <c r="H8770" s="29" t="str">
        <f t="shared" si="1186"/>
        <v/>
      </c>
      <c r="I8770" s="394" t="str">
        <f t="shared" si="1187"/>
        <v/>
      </c>
      <c r="J8770" s="273"/>
      <c r="K8770" s="395"/>
      <c r="L8770" s="273"/>
      <c r="M8770" s="394" t="str">
        <f t="shared" si="1188"/>
        <v/>
      </c>
      <c r="N8770" s="273"/>
    </row>
    <row r="8771" spans="1:14" ht="12.75" customHeight="1" x14ac:dyDescent="0.25">
      <c r="A8771" s="4"/>
      <c r="B8771" s="4"/>
      <c r="C8771" s="4"/>
      <c r="D8771" s="4"/>
      <c r="E8771" s="4"/>
      <c r="F8771" s="4"/>
      <c r="G8771" s="4"/>
      <c r="H8771" s="4"/>
      <c r="I8771" s="4"/>
      <c r="J8771" s="4"/>
      <c r="K8771" s="396" t="s">
        <v>444</v>
      </c>
      <c r="L8771" s="273"/>
      <c r="M8771" s="394">
        <f>SUM(M8763:N8770)</f>
        <v>180000</v>
      </c>
      <c r="N8771" s="273"/>
    </row>
    <row r="8772" spans="1:14" ht="12.75" customHeight="1" x14ac:dyDescent="0.25">
      <c r="A8772" s="4"/>
      <c r="B8772" s="4"/>
      <c r="C8772" s="4"/>
      <c r="D8772" s="4"/>
      <c r="E8772" s="4"/>
      <c r="F8772" s="4"/>
      <c r="G8772" s="4"/>
      <c r="H8772" s="4"/>
      <c r="I8772" s="4"/>
      <c r="J8772" s="4"/>
      <c r="K8772" s="4"/>
      <c r="L8772" s="4"/>
      <c r="M8772" s="4"/>
      <c r="N8772" s="4"/>
    </row>
    <row r="8773" spans="1:14" ht="12.75" customHeight="1" x14ac:dyDescent="0.2">
      <c r="A8773" s="398" t="s">
        <v>926</v>
      </c>
      <c r="B8773" s="271"/>
      <c r="C8773" s="271"/>
      <c r="D8773" s="271"/>
      <c r="E8773" s="271"/>
      <c r="F8773" s="271"/>
      <c r="G8773" s="271"/>
      <c r="H8773" s="271"/>
      <c r="I8773" s="271"/>
      <c r="J8773" s="271"/>
      <c r="K8773" s="271"/>
      <c r="L8773" s="271"/>
      <c r="M8773" s="271"/>
      <c r="N8773" s="273"/>
    </row>
    <row r="8774" spans="1:14" ht="12.75" customHeight="1" x14ac:dyDescent="0.2">
      <c r="A8774" s="396" t="s">
        <v>76</v>
      </c>
      <c r="B8774" s="271"/>
      <c r="C8774" s="271"/>
      <c r="D8774" s="271"/>
      <c r="E8774" s="271"/>
      <c r="F8774" s="271"/>
      <c r="G8774" s="273"/>
      <c r="H8774" s="88" t="s">
        <v>77</v>
      </c>
      <c r="I8774" s="399" t="s">
        <v>920</v>
      </c>
      <c r="J8774" s="273"/>
      <c r="K8774" s="399" t="s">
        <v>453</v>
      </c>
      <c r="L8774" s="273"/>
      <c r="M8774" s="399" t="s">
        <v>921</v>
      </c>
      <c r="N8774" s="273"/>
    </row>
    <row r="8775" spans="1:14" ht="12.75" customHeight="1" x14ac:dyDescent="0.2">
      <c r="A8775" s="400" t="s">
        <v>927</v>
      </c>
      <c r="B8775" s="271"/>
      <c r="C8775" s="271"/>
      <c r="D8775" s="271"/>
      <c r="E8775" s="271"/>
      <c r="F8775" s="271"/>
      <c r="G8775" s="273"/>
      <c r="H8775" s="29" t="str">
        <f>IF(A8775="","",VLOOKUP(A8775,AA_Equipos,7,FALSE))</f>
        <v>% M.O.</v>
      </c>
      <c r="I8775" s="394">
        <f>+M8798</f>
        <v>17555.722000000002</v>
      </c>
      <c r="J8775" s="273"/>
      <c r="K8775" s="404">
        <v>0.05</v>
      </c>
      <c r="L8775" s="273"/>
      <c r="M8775" s="394">
        <f t="shared" ref="M8775:M8779" si="1189">IF(A8775="","",I8775*K8775)</f>
        <v>877.78610000000015</v>
      </c>
      <c r="N8775" s="273"/>
    </row>
    <row r="8776" spans="1:14" ht="12.75" customHeight="1" x14ac:dyDescent="0.2">
      <c r="A8776" s="403"/>
      <c r="B8776" s="271"/>
      <c r="C8776" s="271"/>
      <c r="D8776" s="271"/>
      <c r="E8776" s="271"/>
      <c r="F8776" s="271"/>
      <c r="G8776" s="273"/>
      <c r="H8776" s="29" t="str">
        <f>IF(A8776="","",VLOOKUP(A8776,AA_Equipos,7,FALSE))</f>
        <v/>
      </c>
      <c r="I8776" s="394" t="str">
        <f>IF(A8776="","",VLOOKUP(A8776,AA_Equipos,8,FALSE))</f>
        <v/>
      </c>
      <c r="J8776" s="273"/>
      <c r="K8776" s="402"/>
      <c r="L8776" s="273"/>
      <c r="M8776" s="394" t="str">
        <f t="shared" si="1189"/>
        <v/>
      </c>
      <c r="N8776" s="273"/>
    </row>
    <row r="8777" spans="1:14" ht="12.75" customHeight="1" x14ac:dyDescent="0.2">
      <c r="A8777" s="400"/>
      <c r="B8777" s="271"/>
      <c r="C8777" s="271"/>
      <c r="D8777" s="271"/>
      <c r="E8777" s="271"/>
      <c r="F8777" s="271"/>
      <c r="G8777" s="273"/>
      <c r="H8777" s="29" t="str">
        <f>IF(A8777="","",VLOOKUP(A8777,AA_Equipos,7,FALSE))</f>
        <v/>
      </c>
      <c r="I8777" s="394" t="str">
        <f>IF(A8777="","",VLOOKUP(A8777,AA_Equipos,8,FALSE))</f>
        <v/>
      </c>
      <c r="J8777" s="273"/>
      <c r="K8777" s="401"/>
      <c r="L8777" s="273"/>
      <c r="M8777" s="394" t="str">
        <f t="shared" si="1189"/>
        <v/>
      </c>
      <c r="N8777" s="273"/>
    </row>
    <row r="8778" spans="1:14" ht="12.75" customHeight="1" x14ac:dyDescent="0.2">
      <c r="A8778" s="400"/>
      <c r="B8778" s="271"/>
      <c r="C8778" s="271"/>
      <c r="D8778" s="271"/>
      <c r="E8778" s="271"/>
      <c r="F8778" s="271"/>
      <c r="G8778" s="273"/>
      <c r="H8778" s="29" t="str">
        <f>IF(A8778="","",VLOOKUP(A8778,AA_Equipos,7,FALSE))</f>
        <v/>
      </c>
      <c r="I8778" s="394" t="str">
        <f>IF(A8778="","",VLOOKUP(A8778,AA_Equipos,8,FALSE))</f>
        <v/>
      </c>
      <c r="J8778" s="273"/>
      <c r="K8778" s="395"/>
      <c r="L8778" s="273"/>
      <c r="M8778" s="394" t="str">
        <f t="shared" si="1189"/>
        <v/>
      </c>
      <c r="N8778" s="273"/>
    </row>
    <row r="8779" spans="1:14" ht="12.75" customHeight="1" x14ac:dyDescent="0.2">
      <c r="A8779" s="400"/>
      <c r="B8779" s="271"/>
      <c r="C8779" s="271"/>
      <c r="D8779" s="271"/>
      <c r="E8779" s="271"/>
      <c r="F8779" s="271"/>
      <c r="G8779" s="273"/>
      <c r="H8779" s="29" t="str">
        <f>IF(A8779="","",VLOOKUP(A8779,AA_Equipos,7,FALSE))</f>
        <v/>
      </c>
      <c r="I8779" s="394" t="str">
        <f>IF(A8779="","",VLOOKUP(A8779,AA_Equipos,8,FALSE))</f>
        <v/>
      </c>
      <c r="J8779" s="273"/>
      <c r="K8779" s="395"/>
      <c r="L8779" s="273"/>
      <c r="M8779" s="394" t="str">
        <f t="shared" si="1189"/>
        <v/>
      </c>
      <c r="N8779" s="273"/>
    </row>
    <row r="8780" spans="1:14" ht="12.75" customHeight="1" x14ac:dyDescent="0.25">
      <c r="A8780" s="4"/>
      <c r="B8780" s="4"/>
      <c r="C8780" s="4"/>
      <c r="D8780" s="4"/>
      <c r="E8780" s="4"/>
      <c r="F8780" s="4"/>
      <c r="G8780" s="4"/>
      <c r="H8780" s="4"/>
      <c r="I8780" s="4"/>
      <c r="J8780" s="4"/>
      <c r="K8780" s="396" t="s">
        <v>444</v>
      </c>
      <c r="L8780" s="273"/>
      <c r="M8780" s="394">
        <f>SUM(M8775:N8779)</f>
        <v>877.78610000000015</v>
      </c>
      <c r="N8780" s="273"/>
    </row>
    <row r="8781" spans="1:14" ht="12.75" customHeight="1" x14ac:dyDescent="0.25">
      <c r="A8781" s="4"/>
      <c r="B8781" s="4"/>
      <c r="C8781" s="4"/>
      <c r="D8781" s="4"/>
      <c r="E8781" s="4"/>
      <c r="F8781" s="4"/>
      <c r="G8781" s="4"/>
      <c r="H8781" s="4"/>
      <c r="I8781" s="4"/>
      <c r="J8781" s="4"/>
      <c r="K8781" s="4"/>
      <c r="L8781" s="4"/>
      <c r="M8781" s="4"/>
      <c r="N8781" s="4"/>
    </row>
    <row r="8782" spans="1:14" ht="12.75" customHeight="1" x14ac:dyDescent="0.2">
      <c r="A8782" s="398" t="s">
        <v>929</v>
      </c>
      <c r="B8782" s="271"/>
      <c r="C8782" s="271"/>
      <c r="D8782" s="271"/>
      <c r="E8782" s="271"/>
      <c r="F8782" s="271"/>
      <c r="G8782" s="271"/>
      <c r="H8782" s="271"/>
      <c r="I8782" s="271"/>
      <c r="J8782" s="271"/>
      <c r="K8782" s="271"/>
      <c r="L8782" s="271"/>
      <c r="M8782" s="271"/>
      <c r="N8782" s="273"/>
    </row>
    <row r="8783" spans="1:14" ht="12.75" customHeight="1" x14ac:dyDescent="0.2">
      <c r="A8783" s="396" t="s">
        <v>76</v>
      </c>
      <c r="B8783" s="271"/>
      <c r="C8783" s="271"/>
      <c r="D8783" s="271"/>
      <c r="E8783" s="271"/>
      <c r="F8783" s="271"/>
      <c r="G8783" s="273"/>
      <c r="H8783" s="88" t="s">
        <v>77</v>
      </c>
      <c r="I8783" s="399" t="s">
        <v>920</v>
      </c>
      <c r="J8783" s="273"/>
      <c r="K8783" s="399" t="s">
        <v>453</v>
      </c>
      <c r="L8783" s="273"/>
      <c r="M8783" s="399" t="s">
        <v>921</v>
      </c>
      <c r="N8783" s="273"/>
    </row>
    <row r="8784" spans="1:14" ht="12.75" customHeight="1" x14ac:dyDescent="0.2">
      <c r="A8784" s="400" t="s">
        <v>960</v>
      </c>
      <c r="B8784" s="271"/>
      <c r="C8784" s="271"/>
      <c r="D8784" s="271"/>
      <c r="E8784" s="271"/>
      <c r="F8784" s="271"/>
      <c r="G8784" s="273"/>
      <c r="H8784" s="29" t="s">
        <v>950</v>
      </c>
      <c r="I8784" s="394">
        <f>+M8771</f>
        <v>180000</v>
      </c>
      <c r="J8784" s="273"/>
      <c r="K8784" s="404">
        <v>0.05</v>
      </c>
      <c r="L8784" s="273"/>
      <c r="M8784" s="394">
        <f t="shared" ref="M8784:M8788" si="1190">IF(A8784="","",I8784*K8784)</f>
        <v>9000</v>
      </c>
      <c r="N8784" s="273"/>
    </row>
    <row r="8785" spans="1:14" ht="12.75" customHeight="1" x14ac:dyDescent="0.2">
      <c r="A8785" s="403" t="s">
        <v>3174</v>
      </c>
      <c r="B8785" s="271"/>
      <c r="C8785" s="271"/>
      <c r="D8785" s="271"/>
      <c r="E8785" s="271"/>
      <c r="F8785" s="271"/>
      <c r="G8785" s="273"/>
      <c r="H8785" s="29" t="s">
        <v>24</v>
      </c>
      <c r="I8785" s="394">
        <f>+M8780</f>
        <v>877.78610000000015</v>
      </c>
      <c r="J8785" s="273"/>
      <c r="K8785" s="404">
        <v>0.05</v>
      </c>
      <c r="L8785" s="273"/>
      <c r="M8785" s="394">
        <f t="shared" si="1190"/>
        <v>43.889305000000007</v>
      </c>
      <c r="N8785" s="273"/>
    </row>
    <row r="8786" spans="1:14" ht="12.75" customHeight="1" x14ac:dyDescent="0.2">
      <c r="A8786" s="400"/>
      <c r="B8786" s="271"/>
      <c r="C8786" s="271"/>
      <c r="D8786" s="271"/>
      <c r="E8786" s="271"/>
      <c r="F8786" s="271"/>
      <c r="G8786" s="273"/>
      <c r="H8786" s="29"/>
      <c r="I8786" s="394"/>
      <c r="J8786" s="273"/>
      <c r="K8786" s="395"/>
      <c r="L8786" s="273"/>
      <c r="M8786" s="394" t="str">
        <f t="shared" si="1190"/>
        <v/>
      </c>
      <c r="N8786" s="273"/>
    </row>
    <row r="8787" spans="1:14" ht="12.75" customHeight="1" x14ac:dyDescent="0.2">
      <c r="A8787" s="400"/>
      <c r="B8787" s="271"/>
      <c r="C8787" s="271"/>
      <c r="D8787" s="271"/>
      <c r="E8787" s="271"/>
      <c r="F8787" s="271"/>
      <c r="G8787" s="273"/>
      <c r="H8787" s="29"/>
      <c r="I8787" s="394"/>
      <c r="J8787" s="273"/>
      <c r="K8787" s="395"/>
      <c r="L8787" s="273"/>
      <c r="M8787" s="394" t="str">
        <f t="shared" si="1190"/>
        <v/>
      </c>
      <c r="N8787" s="273"/>
    </row>
    <row r="8788" spans="1:14" ht="12.75" customHeight="1" x14ac:dyDescent="0.2">
      <c r="A8788" s="400"/>
      <c r="B8788" s="271"/>
      <c r="C8788" s="271"/>
      <c r="D8788" s="271"/>
      <c r="E8788" s="271"/>
      <c r="F8788" s="271"/>
      <c r="G8788" s="273"/>
      <c r="H8788" s="29"/>
      <c r="I8788" s="394"/>
      <c r="J8788" s="273"/>
      <c r="K8788" s="395"/>
      <c r="L8788" s="273"/>
      <c r="M8788" s="394" t="str">
        <f t="shared" si="1190"/>
        <v/>
      </c>
      <c r="N8788" s="273"/>
    </row>
    <row r="8789" spans="1:14" ht="12.75" customHeight="1" x14ac:dyDescent="0.25">
      <c r="A8789" s="4"/>
      <c r="B8789" s="4"/>
      <c r="C8789" s="4"/>
      <c r="D8789" s="4"/>
      <c r="E8789" s="4"/>
      <c r="F8789" s="4"/>
      <c r="G8789" s="4"/>
      <c r="H8789" s="4"/>
      <c r="I8789" s="4"/>
      <c r="J8789" s="4"/>
      <c r="K8789" s="396" t="s">
        <v>444</v>
      </c>
      <c r="L8789" s="273"/>
      <c r="M8789" s="394">
        <f>SUM(M8784:N8788)</f>
        <v>9043.8893050000006</v>
      </c>
      <c r="N8789" s="273"/>
    </row>
    <row r="8790" spans="1:14" ht="12.75" customHeight="1" x14ac:dyDescent="0.25">
      <c r="A8790" s="4"/>
      <c r="B8790" s="4"/>
      <c r="C8790" s="4"/>
      <c r="D8790" s="4"/>
      <c r="E8790" s="4"/>
      <c r="F8790" s="4"/>
      <c r="G8790" s="4"/>
      <c r="H8790" s="4"/>
      <c r="I8790" s="4"/>
      <c r="J8790" s="4"/>
      <c r="K8790" s="4"/>
      <c r="L8790" s="4"/>
      <c r="M8790" s="4"/>
      <c r="N8790" s="4"/>
    </row>
    <row r="8791" spans="1:14" ht="12.75" customHeight="1" x14ac:dyDescent="0.2">
      <c r="A8791" s="398" t="s">
        <v>931</v>
      </c>
      <c r="B8791" s="271"/>
      <c r="C8791" s="271"/>
      <c r="D8791" s="271"/>
      <c r="E8791" s="271"/>
      <c r="F8791" s="271"/>
      <c r="G8791" s="271"/>
      <c r="H8791" s="271"/>
      <c r="I8791" s="271"/>
      <c r="J8791" s="271"/>
      <c r="K8791" s="271"/>
      <c r="L8791" s="271"/>
      <c r="M8791" s="271"/>
      <c r="N8791" s="273"/>
    </row>
    <row r="8792" spans="1:14" ht="12.75" customHeight="1" x14ac:dyDescent="0.2">
      <c r="A8792" s="396" t="s">
        <v>76</v>
      </c>
      <c r="B8792" s="271"/>
      <c r="C8792" s="271"/>
      <c r="D8792" s="271"/>
      <c r="E8792" s="271"/>
      <c r="F8792" s="271"/>
      <c r="G8792" s="273"/>
      <c r="H8792" s="88" t="s">
        <v>77</v>
      </c>
      <c r="I8792" s="399" t="s">
        <v>920</v>
      </c>
      <c r="J8792" s="273"/>
      <c r="K8792" s="90" t="s">
        <v>514</v>
      </c>
      <c r="L8792" s="91" t="s">
        <v>932</v>
      </c>
      <c r="M8792" s="399" t="s">
        <v>921</v>
      </c>
      <c r="N8792" s="273"/>
    </row>
    <row r="8793" spans="1:14" ht="12.75" customHeight="1" x14ac:dyDescent="0.25">
      <c r="A8793" s="393" t="s">
        <v>986</v>
      </c>
      <c r="B8793" s="271"/>
      <c r="C8793" s="271"/>
      <c r="D8793" s="271"/>
      <c r="E8793" s="271"/>
      <c r="F8793" s="271"/>
      <c r="G8793" s="273"/>
      <c r="H8793" s="29" t="str">
        <f>IF(A8793="","",VLOOKUP(A8793,AA_Cuadrillas,4,FALSE))</f>
        <v>Cuadrilla</v>
      </c>
      <c r="I8793" s="394">
        <f>IF(A8793="","",VLOOKUP(A8793,AA_Cuadrillas,5,FALSE))</f>
        <v>186763</v>
      </c>
      <c r="J8793" s="273"/>
      <c r="K8793" s="9">
        <f>IF(A8793="","",F.P!$I$2)</f>
        <v>1.88</v>
      </c>
      <c r="L8793" s="97">
        <f>1/20</f>
        <v>0.05</v>
      </c>
      <c r="M8793" s="394">
        <f t="shared" ref="M8793:M8797" si="1191">IF(A8793="","",I8793*K8793*L8793)</f>
        <v>17555.722000000002</v>
      </c>
      <c r="N8793" s="273"/>
    </row>
    <row r="8794" spans="1:14" ht="12.75" customHeight="1" x14ac:dyDescent="0.25">
      <c r="A8794" s="393"/>
      <c r="B8794" s="271"/>
      <c r="C8794" s="271"/>
      <c r="D8794" s="271"/>
      <c r="E8794" s="271"/>
      <c r="F8794" s="271"/>
      <c r="G8794" s="273"/>
      <c r="H8794" s="29" t="str">
        <f>IF(A8794="","",VLOOKUP(A8794,AA_Cuadrillas,4,FALSE))</f>
        <v/>
      </c>
      <c r="I8794" s="394" t="str">
        <f>IF(A8794="","",VLOOKUP(A8794,AA_Cuadrillas,5,FALSE))</f>
        <v/>
      </c>
      <c r="J8794" s="273"/>
      <c r="K8794" s="9" t="str">
        <f>IF(A8794="","",F.P!$I$2)</f>
        <v/>
      </c>
      <c r="L8794" s="9"/>
      <c r="M8794" s="394" t="str">
        <f t="shared" si="1191"/>
        <v/>
      </c>
      <c r="N8794" s="273"/>
    </row>
    <row r="8795" spans="1:14" ht="12.75" customHeight="1" x14ac:dyDescent="0.25">
      <c r="A8795" s="393"/>
      <c r="B8795" s="271"/>
      <c r="C8795" s="271"/>
      <c r="D8795" s="271"/>
      <c r="E8795" s="271"/>
      <c r="F8795" s="271"/>
      <c r="G8795" s="273"/>
      <c r="H8795" s="29" t="str">
        <f>IF(A8795="","",VLOOKUP(A8795,AA_Cuadrillas,4,FALSE))</f>
        <v/>
      </c>
      <c r="I8795" s="394" t="str">
        <f>IF(A8795="","",VLOOKUP(A8795,AA_Cuadrillas,5,FALSE))</f>
        <v/>
      </c>
      <c r="J8795" s="273"/>
      <c r="K8795" s="9" t="str">
        <f>IF(A8795="","",F.P!$I$2)</f>
        <v/>
      </c>
      <c r="L8795" s="37"/>
      <c r="M8795" s="394" t="str">
        <f t="shared" si="1191"/>
        <v/>
      </c>
      <c r="N8795" s="273"/>
    </row>
    <row r="8796" spans="1:14" ht="12.75" customHeight="1" x14ac:dyDescent="0.25">
      <c r="A8796" s="393"/>
      <c r="B8796" s="271"/>
      <c r="C8796" s="271"/>
      <c r="D8796" s="271"/>
      <c r="E8796" s="271"/>
      <c r="F8796" s="271"/>
      <c r="G8796" s="273"/>
      <c r="H8796" s="29" t="str">
        <f>IF(A8796="","",VLOOKUP(A8796,AA_Cuadrillas,4,FALSE))</f>
        <v/>
      </c>
      <c r="I8796" s="394" t="str">
        <f>IF(A8796="","",VLOOKUP(A8796,AA_Cuadrillas,5,FALSE))</f>
        <v/>
      </c>
      <c r="J8796" s="273"/>
      <c r="K8796" s="9" t="str">
        <f>IF(A8796="","",F.P!$I$2)</f>
        <v/>
      </c>
      <c r="L8796" s="37"/>
      <c r="M8796" s="394" t="str">
        <f t="shared" si="1191"/>
        <v/>
      </c>
      <c r="N8796" s="273"/>
    </row>
    <row r="8797" spans="1:14" ht="12.75" customHeight="1" x14ac:dyDescent="0.25">
      <c r="A8797" s="393"/>
      <c r="B8797" s="271"/>
      <c r="C8797" s="271"/>
      <c r="D8797" s="271"/>
      <c r="E8797" s="271"/>
      <c r="F8797" s="271"/>
      <c r="G8797" s="273"/>
      <c r="H8797" s="29" t="str">
        <f>IF(A8797="","",VLOOKUP(A8797,AA_Cuadrillas,4,FALSE))</f>
        <v/>
      </c>
      <c r="I8797" s="394" t="str">
        <f>IF(A8797="","",VLOOKUP(A8797,AA_Cuadrillas,5,FALSE))</f>
        <v/>
      </c>
      <c r="J8797" s="273"/>
      <c r="K8797" s="9" t="str">
        <f>IF(A8797="","",F.P!$I$2)</f>
        <v/>
      </c>
      <c r="L8797" s="37"/>
      <c r="M8797" s="394" t="str">
        <f t="shared" si="1191"/>
        <v/>
      </c>
      <c r="N8797" s="273"/>
    </row>
    <row r="8798" spans="1:14" ht="12.75" customHeight="1" x14ac:dyDescent="0.25">
      <c r="A8798" s="4"/>
      <c r="B8798" s="4"/>
      <c r="C8798" s="4"/>
      <c r="D8798" s="4"/>
      <c r="E8798" s="4"/>
      <c r="F8798" s="4"/>
      <c r="G8798" s="4"/>
      <c r="H8798" s="4"/>
      <c r="I8798" s="4"/>
      <c r="J8798" s="4"/>
      <c r="K8798" s="396" t="s">
        <v>444</v>
      </c>
      <c r="L8798" s="273"/>
      <c r="M8798" s="394">
        <f>SUM(M8793:N8797)</f>
        <v>17555.722000000002</v>
      </c>
      <c r="N8798" s="273"/>
    </row>
    <row r="8799" spans="1:14" ht="12.75" customHeight="1" x14ac:dyDescent="0.2"/>
    <row r="8800" spans="1:14" ht="12.75" customHeight="1" x14ac:dyDescent="0.2">
      <c r="A8800" s="407" t="s">
        <v>1433</v>
      </c>
      <c r="B8800" s="275"/>
      <c r="C8800" s="275"/>
      <c r="D8800" s="275"/>
      <c r="E8800" s="275"/>
      <c r="F8800" s="275"/>
      <c r="G8800" s="275"/>
      <c r="H8800" s="275"/>
      <c r="I8800" s="275"/>
      <c r="J8800" s="275"/>
      <c r="K8800" s="275"/>
      <c r="L8800" s="275"/>
      <c r="M8800" s="275"/>
      <c r="N8800" s="276"/>
    </row>
    <row r="8801" spans="1:14" ht="12.75" customHeight="1" x14ac:dyDescent="0.2">
      <c r="A8801" s="277"/>
      <c r="B8801" s="278"/>
      <c r="C8801" s="278"/>
      <c r="D8801" s="278"/>
      <c r="E8801" s="278"/>
      <c r="F8801" s="278"/>
      <c r="G8801" s="278"/>
      <c r="H8801" s="278"/>
      <c r="I8801" s="278"/>
      <c r="J8801" s="278"/>
      <c r="K8801" s="278"/>
      <c r="L8801" s="278"/>
      <c r="M8801" s="278"/>
      <c r="N8801" s="279"/>
    </row>
    <row r="8802" spans="1:14" ht="12.75" customHeight="1" x14ac:dyDescent="0.2">
      <c r="A8802" s="75"/>
      <c r="B8802" s="75"/>
      <c r="C8802" s="75"/>
      <c r="D8802" s="75"/>
      <c r="E8802" s="75"/>
      <c r="F8802" s="75"/>
      <c r="G8802" s="75"/>
      <c r="H8802" s="75"/>
      <c r="I8802" s="75"/>
      <c r="J8802" s="75"/>
      <c r="K8802" s="75"/>
      <c r="L8802" s="75"/>
      <c r="M8802" s="75"/>
      <c r="N8802" s="75"/>
    </row>
    <row r="8803" spans="1:14" ht="12.75" customHeight="1" x14ac:dyDescent="0.3">
      <c r="A8803" s="79" t="s">
        <v>807</v>
      </c>
      <c r="B8803" s="80" t="str">
        <f>A8800</f>
        <v>SUMINISTRO E INSTALACIÓN CODO 22,5° Ø4" EN HIERRO DUCTIL CON UNIÓN MECÁNICA (INCLUYE MATERIALES, HERRAMIENTAS Y MANO DE OBRA)</v>
      </c>
      <c r="C8803" s="81" t="s">
        <v>916</v>
      </c>
      <c r="D8803" s="82" t="s">
        <v>999</v>
      </c>
      <c r="E8803" s="83" t="s">
        <v>445</v>
      </c>
      <c r="F8803" s="86">
        <f>H8803+J8803+L8803+N8803</f>
        <v>239983.50810000001</v>
      </c>
      <c r="G8803" s="83" t="s">
        <v>607</v>
      </c>
      <c r="H8803" s="86">
        <f>M8815</f>
        <v>211000</v>
      </c>
      <c r="I8803" s="83" t="s">
        <v>918</v>
      </c>
      <c r="J8803" s="86">
        <f>M8824</f>
        <v>877.78610000000015</v>
      </c>
      <c r="K8803" s="83" t="s">
        <v>609</v>
      </c>
      <c r="L8803" s="86">
        <f>M8833</f>
        <v>10550</v>
      </c>
      <c r="M8803" s="83" t="s">
        <v>610</v>
      </c>
      <c r="N8803" s="86">
        <f>M8842</f>
        <v>17555.722000000002</v>
      </c>
    </row>
    <row r="8804" spans="1:14" ht="12.75" customHeight="1" x14ac:dyDescent="0.25">
      <c r="A8804" s="87"/>
      <c r="B8804" s="87"/>
      <c r="C8804" s="87"/>
      <c r="D8804" s="87"/>
      <c r="E8804" s="87"/>
      <c r="F8804" s="87"/>
      <c r="G8804" s="87"/>
      <c r="J8804" s="87"/>
      <c r="K8804" s="215" t="s">
        <v>3217</v>
      </c>
      <c r="L8804" s="215">
        <f>+F8803*presup!$O$5</f>
        <v>311978.56053000002</v>
      </c>
      <c r="M8804" s="87"/>
      <c r="N8804" s="87"/>
    </row>
    <row r="8805" spans="1:14" ht="12.75" customHeight="1" x14ac:dyDescent="0.2">
      <c r="A8805" s="398" t="s">
        <v>919</v>
      </c>
      <c r="B8805" s="271"/>
      <c r="C8805" s="271"/>
      <c r="D8805" s="271"/>
      <c r="E8805" s="271"/>
      <c r="F8805" s="271"/>
      <c r="G8805" s="271"/>
      <c r="H8805" s="271"/>
      <c r="I8805" s="271"/>
      <c r="J8805" s="271"/>
      <c r="K8805" s="271"/>
      <c r="L8805" s="271"/>
      <c r="M8805" s="271"/>
      <c r="N8805" s="273"/>
    </row>
    <row r="8806" spans="1:14" ht="12.75" customHeight="1" x14ac:dyDescent="0.2">
      <c r="A8806" s="396" t="s">
        <v>76</v>
      </c>
      <c r="B8806" s="271"/>
      <c r="C8806" s="271"/>
      <c r="D8806" s="271"/>
      <c r="E8806" s="271"/>
      <c r="F8806" s="271"/>
      <c r="G8806" s="273"/>
      <c r="H8806" s="88" t="s">
        <v>77</v>
      </c>
      <c r="I8806" s="399" t="s">
        <v>920</v>
      </c>
      <c r="J8806" s="273"/>
      <c r="K8806" s="399" t="s">
        <v>453</v>
      </c>
      <c r="L8806" s="273"/>
      <c r="M8806" s="399" t="s">
        <v>921</v>
      </c>
      <c r="N8806" s="273"/>
    </row>
    <row r="8807" spans="1:14" ht="12.75" customHeight="1" x14ac:dyDescent="0.2">
      <c r="A8807" s="403" t="s">
        <v>1434</v>
      </c>
      <c r="B8807" s="271"/>
      <c r="C8807" s="271"/>
      <c r="D8807" s="271"/>
      <c r="E8807" s="271"/>
      <c r="F8807" s="271"/>
      <c r="G8807" s="273"/>
      <c r="H8807" s="29" t="str">
        <f t="shared" ref="H8807:H8814" si="1192">IF(A8807="","",VLOOKUP(A8807,AA_Materiales,7,FALSE))</f>
        <v>Unidad</v>
      </c>
      <c r="I8807" s="394">
        <f t="shared" ref="I8807:I8814" si="1193">IF(A8807="","",VLOOKUP(A8807,AA_Materiales,8,FALSE))</f>
        <v>211000</v>
      </c>
      <c r="J8807" s="273"/>
      <c r="K8807" s="395">
        <v>1</v>
      </c>
      <c r="L8807" s="273"/>
      <c r="M8807" s="394">
        <f t="shared" ref="M8807:M8814" si="1194">IF(A8807="","",I8807*K8807)</f>
        <v>211000</v>
      </c>
      <c r="N8807" s="273"/>
    </row>
    <row r="8808" spans="1:14" ht="12.75" customHeight="1" x14ac:dyDescent="0.2">
      <c r="A8808" s="403"/>
      <c r="B8808" s="271"/>
      <c r="C8808" s="271"/>
      <c r="D8808" s="271"/>
      <c r="E8808" s="271"/>
      <c r="F8808" s="271"/>
      <c r="G8808" s="273"/>
      <c r="H8808" s="29" t="str">
        <f t="shared" si="1192"/>
        <v/>
      </c>
      <c r="I8808" s="394" t="str">
        <f t="shared" si="1193"/>
        <v/>
      </c>
      <c r="J8808" s="273"/>
      <c r="K8808" s="395"/>
      <c r="L8808" s="273"/>
      <c r="M8808" s="394" t="str">
        <f t="shared" si="1194"/>
        <v/>
      </c>
      <c r="N8808" s="273"/>
    </row>
    <row r="8809" spans="1:14" ht="12.75" customHeight="1" x14ac:dyDescent="0.2">
      <c r="A8809" s="403"/>
      <c r="B8809" s="271"/>
      <c r="C8809" s="271"/>
      <c r="D8809" s="271"/>
      <c r="E8809" s="271"/>
      <c r="F8809" s="271"/>
      <c r="G8809" s="273"/>
      <c r="H8809" s="29" t="str">
        <f t="shared" si="1192"/>
        <v/>
      </c>
      <c r="I8809" s="394" t="str">
        <f t="shared" si="1193"/>
        <v/>
      </c>
      <c r="J8809" s="273"/>
      <c r="K8809" s="395"/>
      <c r="L8809" s="273"/>
      <c r="M8809" s="394" t="str">
        <f t="shared" si="1194"/>
        <v/>
      </c>
      <c r="N8809" s="273"/>
    </row>
    <row r="8810" spans="1:14" ht="12.75" customHeight="1" x14ac:dyDescent="0.2">
      <c r="A8810" s="403"/>
      <c r="B8810" s="271"/>
      <c r="C8810" s="271"/>
      <c r="D8810" s="271"/>
      <c r="E8810" s="271"/>
      <c r="F8810" s="271"/>
      <c r="G8810" s="273"/>
      <c r="H8810" s="29" t="str">
        <f t="shared" si="1192"/>
        <v/>
      </c>
      <c r="I8810" s="394" t="str">
        <f t="shared" si="1193"/>
        <v/>
      </c>
      <c r="J8810" s="273"/>
      <c r="K8810" s="395"/>
      <c r="L8810" s="273"/>
      <c r="M8810" s="394" t="str">
        <f t="shared" si="1194"/>
        <v/>
      </c>
      <c r="N8810" s="273"/>
    </row>
    <row r="8811" spans="1:14" ht="12.75" customHeight="1" x14ac:dyDescent="0.2">
      <c r="A8811" s="403"/>
      <c r="B8811" s="271"/>
      <c r="C8811" s="271"/>
      <c r="D8811" s="271"/>
      <c r="E8811" s="271"/>
      <c r="F8811" s="271"/>
      <c r="G8811" s="273"/>
      <c r="H8811" s="29" t="str">
        <f t="shared" si="1192"/>
        <v/>
      </c>
      <c r="I8811" s="394" t="str">
        <f t="shared" si="1193"/>
        <v/>
      </c>
      <c r="J8811" s="273"/>
      <c r="K8811" s="395"/>
      <c r="L8811" s="273"/>
      <c r="M8811" s="394" t="str">
        <f t="shared" si="1194"/>
        <v/>
      </c>
      <c r="N8811" s="273"/>
    </row>
    <row r="8812" spans="1:14" ht="12.75" customHeight="1" x14ac:dyDescent="0.2">
      <c r="A8812" s="403"/>
      <c r="B8812" s="271"/>
      <c r="C8812" s="271"/>
      <c r="D8812" s="271"/>
      <c r="E8812" s="271"/>
      <c r="F8812" s="271"/>
      <c r="G8812" s="273"/>
      <c r="H8812" s="29" t="str">
        <f t="shared" si="1192"/>
        <v/>
      </c>
      <c r="I8812" s="394" t="str">
        <f t="shared" si="1193"/>
        <v/>
      </c>
      <c r="J8812" s="273"/>
      <c r="K8812" s="395"/>
      <c r="L8812" s="273"/>
      <c r="M8812" s="394" t="str">
        <f t="shared" si="1194"/>
        <v/>
      </c>
      <c r="N8812" s="273"/>
    </row>
    <row r="8813" spans="1:14" ht="12.75" customHeight="1" x14ac:dyDescent="0.2">
      <c r="A8813" s="403"/>
      <c r="B8813" s="271"/>
      <c r="C8813" s="271"/>
      <c r="D8813" s="271"/>
      <c r="E8813" s="271"/>
      <c r="F8813" s="271"/>
      <c r="G8813" s="273"/>
      <c r="H8813" s="29" t="str">
        <f t="shared" si="1192"/>
        <v/>
      </c>
      <c r="I8813" s="394" t="str">
        <f t="shared" si="1193"/>
        <v/>
      </c>
      <c r="J8813" s="273"/>
      <c r="K8813" s="395"/>
      <c r="L8813" s="273"/>
      <c r="M8813" s="394" t="str">
        <f t="shared" si="1194"/>
        <v/>
      </c>
      <c r="N8813" s="273"/>
    </row>
    <row r="8814" spans="1:14" ht="12.75" customHeight="1" x14ac:dyDescent="0.2">
      <c r="A8814" s="403"/>
      <c r="B8814" s="271"/>
      <c r="C8814" s="271"/>
      <c r="D8814" s="271"/>
      <c r="E8814" s="271"/>
      <c r="F8814" s="271"/>
      <c r="G8814" s="273"/>
      <c r="H8814" s="29" t="str">
        <f t="shared" si="1192"/>
        <v/>
      </c>
      <c r="I8814" s="394" t="str">
        <f t="shared" si="1193"/>
        <v/>
      </c>
      <c r="J8814" s="273"/>
      <c r="K8814" s="395"/>
      <c r="L8814" s="273"/>
      <c r="M8814" s="394" t="str">
        <f t="shared" si="1194"/>
        <v/>
      </c>
      <c r="N8814" s="273"/>
    </row>
    <row r="8815" spans="1:14" ht="12.75" customHeight="1" x14ac:dyDescent="0.25">
      <c r="A8815" s="4"/>
      <c r="B8815" s="4"/>
      <c r="C8815" s="4"/>
      <c r="D8815" s="4"/>
      <c r="E8815" s="4"/>
      <c r="F8815" s="4"/>
      <c r="G8815" s="4"/>
      <c r="H8815" s="4"/>
      <c r="I8815" s="4"/>
      <c r="J8815" s="4"/>
      <c r="K8815" s="396" t="s">
        <v>444</v>
      </c>
      <c r="L8815" s="273"/>
      <c r="M8815" s="394">
        <f>SUM(M8807:N8814)</f>
        <v>211000</v>
      </c>
      <c r="N8815" s="273"/>
    </row>
    <row r="8816" spans="1:14" ht="12.75" customHeight="1" x14ac:dyDescent="0.25">
      <c r="A8816" s="4"/>
      <c r="B8816" s="4"/>
      <c r="C8816" s="4"/>
      <c r="D8816" s="4"/>
      <c r="E8816" s="4"/>
      <c r="F8816" s="4"/>
      <c r="G8816" s="4"/>
      <c r="H8816" s="4"/>
      <c r="I8816" s="4"/>
      <c r="J8816" s="4"/>
      <c r="K8816" s="4"/>
      <c r="L8816" s="4"/>
      <c r="M8816" s="4"/>
      <c r="N8816" s="4"/>
    </row>
    <row r="8817" spans="1:14" ht="12.75" customHeight="1" x14ac:dyDescent="0.2">
      <c r="A8817" s="398" t="s">
        <v>926</v>
      </c>
      <c r="B8817" s="271"/>
      <c r="C8817" s="271"/>
      <c r="D8817" s="271"/>
      <c r="E8817" s="271"/>
      <c r="F8817" s="271"/>
      <c r="G8817" s="271"/>
      <c r="H8817" s="271"/>
      <c r="I8817" s="271"/>
      <c r="J8817" s="271"/>
      <c r="K8817" s="271"/>
      <c r="L8817" s="271"/>
      <c r="M8817" s="271"/>
      <c r="N8817" s="273"/>
    </row>
    <row r="8818" spans="1:14" ht="12.75" customHeight="1" x14ac:dyDescent="0.2">
      <c r="A8818" s="396" t="s">
        <v>76</v>
      </c>
      <c r="B8818" s="271"/>
      <c r="C8818" s="271"/>
      <c r="D8818" s="271"/>
      <c r="E8818" s="271"/>
      <c r="F8818" s="271"/>
      <c r="G8818" s="273"/>
      <c r="H8818" s="88" t="s">
        <v>77</v>
      </c>
      <c r="I8818" s="399" t="s">
        <v>920</v>
      </c>
      <c r="J8818" s="273"/>
      <c r="K8818" s="399" t="s">
        <v>453</v>
      </c>
      <c r="L8818" s="273"/>
      <c r="M8818" s="399" t="s">
        <v>921</v>
      </c>
      <c r="N8818" s="273"/>
    </row>
    <row r="8819" spans="1:14" ht="12.75" customHeight="1" x14ac:dyDescent="0.2">
      <c r="A8819" s="400" t="s">
        <v>927</v>
      </c>
      <c r="B8819" s="271"/>
      <c r="C8819" s="271"/>
      <c r="D8819" s="271"/>
      <c r="E8819" s="271"/>
      <c r="F8819" s="271"/>
      <c r="G8819" s="273"/>
      <c r="H8819" s="29" t="str">
        <f>IF(A8819="","",VLOOKUP(A8819,AA_Equipos,7,FALSE))</f>
        <v>% M.O.</v>
      </c>
      <c r="I8819" s="394">
        <f>+M8842</f>
        <v>17555.722000000002</v>
      </c>
      <c r="J8819" s="273"/>
      <c r="K8819" s="404">
        <v>0.05</v>
      </c>
      <c r="L8819" s="273"/>
      <c r="M8819" s="394">
        <f t="shared" ref="M8819:M8823" si="1195">IF(A8819="","",I8819*K8819)</f>
        <v>877.78610000000015</v>
      </c>
      <c r="N8819" s="273"/>
    </row>
    <row r="8820" spans="1:14" ht="12.75" customHeight="1" x14ac:dyDescent="0.2">
      <c r="A8820" s="403"/>
      <c r="B8820" s="271"/>
      <c r="C8820" s="271"/>
      <c r="D8820" s="271"/>
      <c r="E8820" s="271"/>
      <c r="F8820" s="271"/>
      <c r="G8820" s="273"/>
      <c r="H8820" s="29" t="str">
        <f>IF(A8820="","",VLOOKUP(A8820,AA_Equipos,7,FALSE))</f>
        <v/>
      </c>
      <c r="I8820" s="394" t="str">
        <f>IF(A8820="","",VLOOKUP(A8820,AA_Equipos,8,FALSE))</f>
        <v/>
      </c>
      <c r="J8820" s="273"/>
      <c r="K8820" s="402"/>
      <c r="L8820" s="273"/>
      <c r="M8820" s="394" t="str">
        <f t="shared" si="1195"/>
        <v/>
      </c>
      <c r="N8820" s="273"/>
    </row>
    <row r="8821" spans="1:14" ht="12.75" customHeight="1" x14ac:dyDescent="0.2">
      <c r="A8821" s="400"/>
      <c r="B8821" s="271"/>
      <c r="C8821" s="271"/>
      <c r="D8821" s="271"/>
      <c r="E8821" s="271"/>
      <c r="F8821" s="271"/>
      <c r="G8821" s="273"/>
      <c r="H8821" s="29" t="str">
        <f>IF(A8821="","",VLOOKUP(A8821,AA_Equipos,7,FALSE))</f>
        <v/>
      </c>
      <c r="I8821" s="394" t="str">
        <f>IF(A8821="","",VLOOKUP(A8821,AA_Equipos,8,FALSE))</f>
        <v/>
      </c>
      <c r="J8821" s="273"/>
      <c r="K8821" s="401"/>
      <c r="L8821" s="273"/>
      <c r="M8821" s="394" t="str">
        <f t="shared" si="1195"/>
        <v/>
      </c>
      <c r="N8821" s="273"/>
    </row>
    <row r="8822" spans="1:14" ht="12.75" customHeight="1" x14ac:dyDescent="0.2">
      <c r="A8822" s="400"/>
      <c r="B8822" s="271"/>
      <c r="C8822" s="271"/>
      <c r="D8822" s="271"/>
      <c r="E8822" s="271"/>
      <c r="F8822" s="271"/>
      <c r="G8822" s="273"/>
      <c r="H8822" s="29" t="str">
        <f>IF(A8822="","",VLOOKUP(A8822,AA_Equipos,7,FALSE))</f>
        <v/>
      </c>
      <c r="I8822" s="394" t="str">
        <f>IF(A8822="","",VLOOKUP(A8822,AA_Equipos,8,FALSE))</f>
        <v/>
      </c>
      <c r="J8822" s="273"/>
      <c r="K8822" s="395"/>
      <c r="L8822" s="273"/>
      <c r="M8822" s="394" t="str">
        <f t="shared" si="1195"/>
        <v/>
      </c>
      <c r="N8822" s="273"/>
    </row>
    <row r="8823" spans="1:14" ht="12.75" customHeight="1" x14ac:dyDescent="0.2">
      <c r="A8823" s="400"/>
      <c r="B8823" s="271"/>
      <c r="C8823" s="271"/>
      <c r="D8823" s="271"/>
      <c r="E8823" s="271"/>
      <c r="F8823" s="271"/>
      <c r="G8823" s="273"/>
      <c r="H8823" s="29" t="str">
        <f>IF(A8823="","",VLOOKUP(A8823,AA_Equipos,7,FALSE))</f>
        <v/>
      </c>
      <c r="I8823" s="394" t="str">
        <f>IF(A8823="","",VLOOKUP(A8823,AA_Equipos,8,FALSE))</f>
        <v/>
      </c>
      <c r="J8823" s="273"/>
      <c r="K8823" s="395"/>
      <c r="L8823" s="273"/>
      <c r="M8823" s="394" t="str">
        <f t="shared" si="1195"/>
        <v/>
      </c>
      <c r="N8823" s="273"/>
    </row>
    <row r="8824" spans="1:14" ht="12.75" customHeight="1" x14ac:dyDescent="0.25">
      <c r="A8824" s="4"/>
      <c r="B8824" s="4"/>
      <c r="C8824" s="4"/>
      <c r="D8824" s="4"/>
      <c r="E8824" s="4"/>
      <c r="F8824" s="4"/>
      <c r="G8824" s="4"/>
      <c r="H8824" s="4"/>
      <c r="I8824" s="4"/>
      <c r="J8824" s="4"/>
      <c r="K8824" s="396" t="s">
        <v>444</v>
      </c>
      <c r="L8824" s="273"/>
      <c r="M8824" s="394">
        <f>SUM(M8819:N8823)</f>
        <v>877.78610000000015</v>
      </c>
      <c r="N8824" s="273"/>
    </row>
    <row r="8825" spans="1:14" ht="12.75" customHeight="1" x14ac:dyDescent="0.25">
      <c r="A8825" s="4"/>
      <c r="B8825" s="4"/>
      <c r="C8825" s="4"/>
      <c r="D8825" s="4"/>
      <c r="E8825" s="4"/>
      <c r="F8825" s="4"/>
      <c r="G8825" s="4"/>
      <c r="H8825" s="4"/>
      <c r="I8825" s="4"/>
      <c r="J8825" s="4"/>
      <c r="K8825" s="4"/>
      <c r="L8825" s="4"/>
      <c r="M8825" s="4"/>
      <c r="N8825" s="4"/>
    </row>
    <row r="8826" spans="1:14" ht="12.75" customHeight="1" x14ac:dyDescent="0.2">
      <c r="A8826" s="398" t="s">
        <v>929</v>
      </c>
      <c r="B8826" s="271"/>
      <c r="C8826" s="271"/>
      <c r="D8826" s="271"/>
      <c r="E8826" s="271"/>
      <c r="F8826" s="271"/>
      <c r="G8826" s="271"/>
      <c r="H8826" s="271"/>
      <c r="I8826" s="271"/>
      <c r="J8826" s="271"/>
      <c r="K8826" s="271"/>
      <c r="L8826" s="271"/>
      <c r="M8826" s="271"/>
      <c r="N8826" s="273"/>
    </row>
    <row r="8827" spans="1:14" ht="12.75" customHeight="1" x14ac:dyDescent="0.2">
      <c r="A8827" s="396" t="s">
        <v>76</v>
      </c>
      <c r="B8827" s="271"/>
      <c r="C8827" s="271"/>
      <c r="D8827" s="271"/>
      <c r="E8827" s="271"/>
      <c r="F8827" s="271"/>
      <c r="G8827" s="273"/>
      <c r="H8827" s="88" t="s">
        <v>77</v>
      </c>
      <c r="I8827" s="399" t="s">
        <v>920</v>
      </c>
      <c r="J8827" s="273"/>
      <c r="K8827" s="399" t="s">
        <v>453</v>
      </c>
      <c r="L8827" s="273"/>
      <c r="M8827" s="399" t="s">
        <v>921</v>
      </c>
      <c r="N8827" s="273"/>
    </row>
    <row r="8828" spans="1:14" ht="12.75" customHeight="1" x14ac:dyDescent="0.2">
      <c r="A8828" s="400" t="s">
        <v>960</v>
      </c>
      <c r="B8828" s="271"/>
      <c r="C8828" s="271"/>
      <c r="D8828" s="271"/>
      <c r="E8828" s="271"/>
      <c r="F8828" s="271"/>
      <c r="G8828" s="273"/>
      <c r="H8828" s="29" t="s">
        <v>950</v>
      </c>
      <c r="I8828" s="394">
        <f>+M8815</f>
        <v>211000</v>
      </c>
      <c r="J8828" s="273"/>
      <c r="K8828" s="404">
        <v>0.05</v>
      </c>
      <c r="L8828" s="273"/>
      <c r="M8828" s="394">
        <f t="shared" ref="M8828:M8832" si="1196">IF(A8828="","",I8828*K8828)</f>
        <v>10550</v>
      </c>
      <c r="N8828" s="273"/>
    </row>
    <row r="8829" spans="1:14" ht="12.75" customHeight="1" x14ac:dyDescent="0.2">
      <c r="A8829" s="403"/>
      <c r="B8829" s="271"/>
      <c r="C8829" s="271"/>
      <c r="D8829" s="271"/>
      <c r="E8829" s="271"/>
      <c r="F8829" s="271"/>
      <c r="G8829" s="273"/>
      <c r="H8829" s="29"/>
      <c r="I8829" s="394"/>
      <c r="J8829" s="273"/>
      <c r="K8829" s="404"/>
      <c r="L8829" s="273"/>
      <c r="M8829" s="394" t="str">
        <f t="shared" si="1196"/>
        <v/>
      </c>
      <c r="N8829" s="273"/>
    </row>
    <row r="8830" spans="1:14" ht="12.75" customHeight="1" x14ac:dyDescent="0.2">
      <c r="A8830" s="400"/>
      <c r="B8830" s="271"/>
      <c r="C8830" s="271"/>
      <c r="D8830" s="271"/>
      <c r="E8830" s="271"/>
      <c r="F8830" s="271"/>
      <c r="G8830" s="273"/>
      <c r="H8830" s="29"/>
      <c r="I8830" s="394"/>
      <c r="J8830" s="273"/>
      <c r="K8830" s="395"/>
      <c r="L8830" s="273"/>
      <c r="M8830" s="394" t="str">
        <f t="shared" si="1196"/>
        <v/>
      </c>
      <c r="N8830" s="273"/>
    </row>
    <row r="8831" spans="1:14" ht="12.75" customHeight="1" x14ac:dyDescent="0.2">
      <c r="A8831" s="400"/>
      <c r="B8831" s="271"/>
      <c r="C8831" s="271"/>
      <c r="D8831" s="271"/>
      <c r="E8831" s="271"/>
      <c r="F8831" s="271"/>
      <c r="G8831" s="273"/>
      <c r="H8831" s="29"/>
      <c r="I8831" s="394"/>
      <c r="J8831" s="273"/>
      <c r="K8831" s="395"/>
      <c r="L8831" s="273"/>
      <c r="M8831" s="394" t="str">
        <f t="shared" si="1196"/>
        <v/>
      </c>
      <c r="N8831" s="273"/>
    </row>
    <row r="8832" spans="1:14" ht="12.75" customHeight="1" x14ac:dyDescent="0.2">
      <c r="A8832" s="400"/>
      <c r="B8832" s="271"/>
      <c r="C8832" s="271"/>
      <c r="D8832" s="271"/>
      <c r="E8832" s="271"/>
      <c r="F8832" s="271"/>
      <c r="G8832" s="273"/>
      <c r="H8832" s="29"/>
      <c r="I8832" s="394"/>
      <c r="J8832" s="273"/>
      <c r="K8832" s="395"/>
      <c r="L8832" s="273"/>
      <c r="M8832" s="394" t="str">
        <f t="shared" si="1196"/>
        <v/>
      </c>
      <c r="N8832" s="273"/>
    </row>
    <row r="8833" spans="1:14" ht="12.75" customHeight="1" x14ac:dyDescent="0.25">
      <c r="A8833" s="4"/>
      <c r="B8833" s="4"/>
      <c r="C8833" s="4"/>
      <c r="D8833" s="4"/>
      <c r="E8833" s="4"/>
      <c r="F8833" s="4"/>
      <c r="G8833" s="4"/>
      <c r="H8833" s="4"/>
      <c r="I8833" s="4"/>
      <c r="J8833" s="4"/>
      <c r="K8833" s="396" t="s">
        <v>444</v>
      </c>
      <c r="L8833" s="273"/>
      <c r="M8833" s="394">
        <f>SUM(M8828:N8832)</f>
        <v>10550</v>
      </c>
      <c r="N8833" s="273"/>
    </row>
    <row r="8834" spans="1:14" ht="12.75" customHeight="1" x14ac:dyDescent="0.25">
      <c r="A8834" s="4"/>
      <c r="B8834" s="4"/>
      <c r="C8834" s="4"/>
      <c r="D8834" s="4"/>
      <c r="E8834" s="4"/>
      <c r="F8834" s="4"/>
      <c r="G8834" s="4"/>
      <c r="H8834" s="4"/>
      <c r="I8834" s="4"/>
      <c r="J8834" s="4"/>
      <c r="K8834" s="4"/>
      <c r="L8834" s="4"/>
      <c r="M8834" s="4"/>
      <c r="N8834" s="4"/>
    </row>
    <row r="8835" spans="1:14" ht="12.75" customHeight="1" x14ac:dyDescent="0.2">
      <c r="A8835" s="398" t="s">
        <v>931</v>
      </c>
      <c r="B8835" s="271"/>
      <c r="C8835" s="271"/>
      <c r="D8835" s="271"/>
      <c r="E8835" s="271"/>
      <c r="F8835" s="271"/>
      <c r="G8835" s="271"/>
      <c r="H8835" s="271"/>
      <c r="I8835" s="271"/>
      <c r="J8835" s="271"/>
      <c r="K8835" s="271"/>
      <c r="L8835" s="271"/>
      <c r="M8835" s="271"/>
      <c r="N8835" s="273"/>
    </row>
    <row r="8836" spans="1:14" ht="12.75" customHeight="1" x14ac:dyDescent="0.2">
      <c r="A8836" s="396" t="s">
        <v>76</v>
      </c>
      <c r="B8836" s="271"/>
      <c r="C8836" s="271"/>
      <c r="D8836" s="271"/>
      <c r="E8836" s="271"/>
      <c r="F8836" s="271"/>
      <c r="G8836" s="273"/>
      <c r="H8836" s="88" t="s">
        <v>77</v>
      </c>
      <c r="I8836" s="399" t="s">
        <v>920</v>
      </c>
      <c r="J8836" s="273"/>
      <c r="K8836" s="90" t="s">
        <v>514</v>
      </c>
      <c r="L8836" s="91" t="s">
        <v>932</v>
      </c>
      <c r="M8836" s="399" t="s">
        <v>921</v>
      </c>
      <c r="N8836" s="273"/>
    </row>
    <row r="8837" spans="1:14" ht="12.75" customHeight="1" x14ac:dyDescent="0.25">
      <c r="A8837" s="393" t="s">
        <v>986</v>
      </c>
      <c r="B8837" s="271"/>
      <c r="C8837" s="271"/>
      <c r="D8837" s="271"/>
      <c r="E8837" s="271"/>
      <c r="F8837" s="271"/>
      <c r="G8837" s="273"/>
      <c r="H8837" s="29" t="str">
        <f>IF(A8837="","",VLOOKUP(A8837,AA_Cuadrillas,4,FALSE))</f>
        <v>Cuadrilla</v>
      </c>
      <c r="I8837" s="394">
        <f>IF(A8837="","",VLOOKUP(A8837,AA_Cuadrillas,5,FALSE))</f>
        <v>186763</v>
      </c>
      <c r="J8837" s="273"/>
      <c r="K8837" s="9">
        <f>IF(A8837="","",F.P!$I$2)</f>
        <v>1.88</v>
      </c>
      <c r="L8837" s="97">
        <f>1/20</f>
        <v>0.05</v>
      </c>
      <c r="M8837" s="394">
        <f t="shared" ref="M8837:M8841" si="1197">IF(A8837="","",I8837*K8837*L8837)</f>
        <v>17555.722000000002</v>
      </c>
      <c r="N8837" s="273"/>
    </row>
    <row r="8838" spans="1:14" ht="12.75" customHeight="1" x14ac:dyDescent="0.25">
      <c r="A8838" s="393"/>
      <c r="B8838" s="271"/>
      <c r="C8838" s="271"/>
      <c r="D8838" s="271"/>
      <c r="E8838" s="271"/>
      <c r="F8838" s="271"/>
      <c r="G8838" s="273"/>
      <c r="H8838" s="29" t="str">
        <f>IF(A8838="","",VLOOKUP(A8838,AA_Cuadrillas,4,FALSE))</f>
        <v/>
      </c>
      <c r="I8838" s="394" t="str">
        <f>IF(A8838="","",VLOOKUP(A8838,AA_Cuadrillas,5,FALSE))</f>
        <v/>
      </c>
      <c r="J8838" s="273"/>
      <c r="K8838" s="9" t="str">
        <f>IF(A8838="","",F.P!$I$2)</f>
        <v/>
      </c>
      <c r="L8838" s="9"/>
      <c r="M8838" s="394" t="str">
        <f t="shared" si="1197"/>
        <v/>
      </c>
      <c r="N8838" s="273"/>
    </row>
    <row r="8839" spans="1:14" ht="12.75" customHeight="1" x14ac:dyDescent="0.25">
      <c r="A8839" s="393"/>
      <c r="B8839" s="271"/>
      <c r="C8839" s="271"/>
      <c r="D8839" s="271"/>
      <c r="E8839" s="271"/>
      <c r="F8839" s="271"/>
      <c r="G8839" s="273"/>
      <c r="H8839" s="29" t="str">
        <f>IF(A8839="","",VLOOKUP(A8839,AA_Cuadrillas,4,FALSE))</f>
        <v/>
      </c>
      <c r="I8839" s="394" t="str">
        <f>IF(A8839="","",VLOOKUP(A8839,AA_Cuadrillas,5,FALSE))</f>
        <v/>
      </c>
      <c r="J8839" s="273"/>
      <c r="K8839" s="9" t="str">
        <f>IF(A8839="","",F.P!$I$2)</f>
        <v/>
      </c>
      <c r="L8839" s="37"/>
      <c r="M8839" s="394" t="str">
        <f t="shared" si="1197"/>
        <v/>
      </c>
      <c r="N8839" s="273"/>
    </row>
    <row r="8840" spans="1:14" ht="12.75" customHeight="1" x14ac:dyDescent="0.25">
      <c r="A8840" s="393"/>
      <c r="B8840" s="271"/>
      <c r="C8840" s="271"/>
      <c r="D8840" s="271"/>
      <c r="E8840" s="271"/>
      <c r="F8840" s="271"/>
      <c r="G8840" s="273"/>
      <c r="H8840" s="29" t="str">
        <f>IF(A8840="","",VLOOKUP(A8840,AA_Cuadrillas,4,FALSE))</f>
        <v/>
      </c>
      <c r="I8840" s="394" t="str">
        <f>IF(A8840="","",VLOOKUP(A8840,AA_Cuadrillas,5,FALSE))</f>
        <v/>
      </c>
      <c r="J8840" s="273"/>
      <c r="K8840" s="9" t="str">
        <f>IF(A8840="","",F.P!$I$2)</f>
        <v/>
      </c>
      <c r="L8840" s="37"/>
      <c r="M8840" s="394" t="str">
        <f t="shared" si="1197"/>
        <v/>
      </c>
      <c r="N8840" s="273"/>
    </row>
    <row r="8841" spans="1:14" ht="12.75" customHeight="1" x14ac:dyDescent="0.25">
      <c r="A8841" s="393"/>
      <c r="B8841" s="271"/>
      <c r="C8841" s="271"/>
      <c r="D8841" s="271"/>
      <c r="E8841" s="271"/>
      <c r="F8841" s="271"/>
      <c r="G8841" s="273"/>
      <c r="H8841" s="29" t="str">
        <f>IF(A8841="","",VLOOKUP(A8841,AA_Cuadrillas,4,FALSE))</f>
        <v/>
      </c>
      <c r="I8841" s="394" t="str">
        <f>IF(A8841="","",VLOOKUP(A8841,AA_Cuadrillas,5,FALSE))</f>
        <v/>
      </c>
      <c r="J8841" s="273"/>
      <c r="K8841" s="9" t="str">
        <f>IF(A8841="","",F.P!$I$2)</f>
        <v/>
      </c>
      <c r="L8841" s="37"/>
      <c r="M8841" s="394" t="str">
        <f t="shared" si="1197"/>
        <v/>
      </c>
      <c r="N8841" s="273"/>
    </row>
    <row r="8842" spans="1:14" ht="12.75" customHeight="1" x14ac:dyDescent="0.25">
      <c r="A8842" s="4"/>
      <c r="B8842" s="4"/>
      <c r="C8842" s="4"/>
      <c r="D8842" s="4"/>
      <c r="E8842" s="4"/>
      <c r="F8842" s="4"/>
      <c r="G8842" s="4"/>
      <c r="H8842" s="4"/>
      <c r="I8842" s="4"/>
      <c r="J8842" s="4"/>
      <c r="K8842" s="396" t="s">
        <v>444</v>
      </c>
      <c r="L8842" s="273"/>
      <c r="M8842" s="394">
        <f>SUM(M8837:N8841)</f>
        <v>17555.722000000002</v>
      </c>
      <c r="N8842" s="273"/>
    </row>
    <row r="8843" spans="1:14" ht="12.75" customHeight="1" x14ac:dyDescent="0.2"/>
    <row r="8844" spans="1:14" ht="12.75" customHeight="1" x14ac:dyDescent="0.2">
      <c r="A8844" s="407" t="s">
        <v>1435</v>
      </c>
      <c r="B8844" s="275"/>
      <c r="C8844" s="275"/>
      <c r="D8844" s="275"/>
      <c r="E8844" s="275"/>
      <c r="F8844" s="275"/>
      <c r="G8844" s="275"/>
      <c r="H8844" s="275"/>
      <c r="I8844" s="275"/>
      <c r="J8844" s="275"/>
      <c r="K8844" s="275"/>
      <c r="L8844" s="275"/>
      <c r="M8844" s="275"/>
      <c r="N8844" s="276"/>
    </row>
    <row r="8845" spans="1:14" ht="12.75" customHeight="1" x14ac:dyDescent="0.2">
      <c r="A8845" s="277"/>
      <c r="B8845" s="278"/>
      <c r="C8845" s="278"/>
      <c r="D8845" s="278"/>
      <c r="E8845" s="278"/>
      <c r="F8845" s="278"/>
      <c r="G8845" s="278"/>
      <c r="H8845" s="278"/>
      <c r="I8845" s="278"/>
      <c r="J8845" s="278"/>
      <c r="K8845" s="278"/>
      <c r="L8845" s="278"/>
      <c r="M8845" s="278"/>
      <c r="N8845" s="279"/>
    </row>
    <row r="8846" spans="1:14" ht="12.75" customHeight="1" x14ac:dyDescent="0.2">
      <c r="A8846" s="75"/>
      <c r="B8846" s="75"/>
      <c r="C8846" s="75"/>
      <c r="D8846" s="75"/>
      <c r="E8846" s="75"/>
      <c r="F8846" s="75"/>
      <c r="G8846" s="75"/>
      <c r="H8846" s="75"/>
      <c r="I8846" s="75"/>
      <c r="J8846" s="75"/>
      <c r="K8846" s="75"/>
      <c r="L8846" s="75"/>
      <c r="M8846" s="75"/>
      <c r="N8846" s="75"/>
    </row>
    <row r="8847" spans="1:14" ht="12.75" customHeight="1" x14ac:dyDescent="0.3">
      <c r="A8847" s="79" t="s">
        <v>808</v>
      </c>
      <c r="B8847" s="80" t="str">
        <f>A8844</f>
        <v>SUMINISTRO E INSTALACIÓN CODO 45° Ø2" EN HIERRO DUCTIL CON UNIÓN MECÁNICA (INCLUYE MATERIALES, HERRAMIENTAS Y MANO DE OBRA)</v>
      </c>
      <c r="C8847" s="81" t="s">
        <v>916</v>
      </c>
      <c r="D8847" s="82" t="s">
        <v>999</v>
      </c>
      <c r="E8847" s="83" t="s">
        <v>445</v>
      </c>
      <c r="F8847" s="86">
        <f>H8847+J8847+L8847+N8847</f>
        <v>127633.50810000001</v>
      </c>
      <c r="G8847" s="83" t="s">
        <v>607</v>
      </c>
      <c r="H8847" s="86">
        <f>M8859</f>
        <v>104000</v>
      </c>
      <c r="I8847" s="83" t="s">
        <v>918</v>
      </c>
      <c r="J8847" s="86">
        <f>M8868</f>
        <v>877.78610000000015</v>
      </c>
      <c r="K8847" s="83" t="s">
        <v>609</v>
      </c>
      <c r="L8847" s="86">
        <f>M8877</f>
        <v>5200</v>
      </c>
      <c r="M8847" s="83" t="s">
        <v>610</v>
      </c>
      <c r="N8847" s="86">
        <f>M8886</f>
        <v>17555.722000000002</v>
      </c>
    </row>
    <row r="8848" spans="1:14" ht="12.75" customHeight="1" x14ac:dyDescent="0.25">
      <c r="A8848" s="87"/>
      <c r="B8848" s="87"/>
      <c r="C8848" s="87"/>
      <c r="D8848" s="87"/>
      <c r="E8848" s="87"/>
      <c r="F8848" s="87"/>
      <c r="G8848" s="87"/>
      <c r="J8848" s="87"/>
      <c r="K8848" s="215" t="s">
        <v>3217</v>
      </c>
      <c r="L8848" s="215">
        <f>+F8847*presup!$O$5</f>
        <v>165923.56053000002</v>
      </c>
      <c r="M8848" s="87"/>
      <c r="N8848" s="87"/>
    </row>
    <row r="8849" spans="1:14" ht="12.75" customHeight="1" x14ac:dyDescent="0.2">
      <c r="A8849" s="398" t="s">
        <v>919</v>
      </c>
      <c r="B8849" s="271"/>
      <c r="C8849" s="271"/>
      <c r="D8849" s="271"/>
      <c r="E8849" s="271"/>
      <c r="F8849" s="271"/>
      <c r="G8849" s="271"/>
      <c r="H8849" s="271"/>
      <c r="I8849" s="271"/>
      <c r="J8849" s="271"/>
      <c r="K8849" s="271"/>
      <c r="L8849" s="271"/>
      <c r="M8849" s="271"/>
      <c r="N8849" s="273"/>
    </row>
    <row r="8850" spans="1:14" ht="12.75" customHeight="1" x14ac:dyDescent="0.2">
      <c r="A8850" s="396" t="s">
        <v>76</v>
      </c>
      <c r="B8850" s="271"/>
      <c r="C8850" s="271"/>
      <c r="D8850" s="271"/>
      <c r="E8850" s="271"/>
      <c r="F8850" s="271"/>
      <c r="G8850" s="273"/>
      <c r="H8850" s="88" t="s">
        <v>77</v>
      </c>
      <c r="I8850" s="399" t="s">
        <v>920</v>
      </c>
      <c r="J8850" s="273"/>
      <c r="K8850" s="399" t="s">
        <v>453</v>
      </c>
      <c r="L8850" s="273"/>
      <c r="M8850" s="399" t="s">
        <v>921</v>
      </c>
      <c r="N8850" s="273"/>
    </row>
    <row r="8851" spans="1:14" ht="12.75" customHeight="1" x14ac:dyDescent="0.2">
      <c r="A8851" s="403" t="s">
        <v>1436</v>
      </c>
      <c r="B8851" s="271"/>
      <c r="C8851" s="271"/>
      <c r="D8851" s="271"/>
      <c r="E8851" s="271"/>
      <c r="F8851" s="271"/>
      <c r="G8851" s="273"/>
      <c r="H8851" s="29" t="str">
        <f t="shared" ref="H8851:H8858" si="1198">IF(A8851="","",VLOOKUP(A8851,AA_Materiales,7,FALSE))</f>
        <v>Unidad</v>
      </c>
      <c r="I8851" s="394">
        <f t="shared" ref="I8851:I8858" si="1199">IF(A8851="","",VLOOKUP(A8851,AA_Materiales,8,FALSE))</f>
        <v>104000</v>
      </c>
      <c r="J8851" s="273"/>
      <c r="K8851" s="395">
        <v>1</v>
      </c>
      <c r="L8851" s="273"/>
      <c r="M8851" s="394">
        <f t="shared" ref="M8851:M8858" si="1200">IF(A8851="","",I8851*K8851)</f>
        <v>104000</v>
      </c>
      <c r="N8851" s="273"/>
    </row>
    <row r="8852" spans="1:14" ht="12.75" customHeight="1" x14ac:dyDescent="0.2">
      <c r="A8852" s="403"/>
      <c r="B8852" s="271"/>
      <c r="C8852" s="271"/>
      <c r="D8852" s="271"/>
      <c r="E8852" s="271"/>
      <c r="F8852" s="271"/>
      <c r="G8852" s="273"/>
      <c r="H8852" s="29" t="str">
        <f t="shared" si="1198"/>
        <v/>
      </c>
      <c r="I8852" s="394" t="str">
        <f t="shared" si="1199"/>
        <v/>
      </c>
      <c r="J8852" s="273"/>
      <c r="K8852" s="395"/>
      <c r="L8852" s="273"/>
      <c r="M8852" s="394" t="str">
        <f t="shared" si="1200"/>
        <v/>
      </c>
      <c r="N8852" s="273"/>
    </row>
    <row r="8853" spans="1:14" ht="12.75" customHeight="1" x14ac:dyDescent="0.2">
      <c r="A8853" s="403"/>
      <c r="B8853" s="271"/>
      <c r="C8853" s="271"/>
      <c r="D8853" s="271"/>
      <c r="E8853" s="271"/>
      <c r="F8853" s="271"/>
      <c r="G8853" s="273"/>
      <c r="H8853" s="29" t="str">
        <f t="shared" si="1198"/>
        <v/>
      </c>
      <c r="I8853" s="394" t="str">
        <f t="shared" si="1199"/>
        <v/>
      </c>
      <c r="J8853" s="273"/>
      <c r="K8853" s="395"/>
      <c r="L8853" s="273"/>
      <c r="M8853" s="394" t="str">
        <f t="shared" si="1200"/>
        <v/>
      </c>
      <c r="N8853" s="273"/>
    </row>
    <row r="8854" spans="1:14" ht="12.75" customHeight="1" x14ac:dyDescent="0.2">
      <c r="A8854" s="403"/>
      <c r="B8854" s="271"/>
      <c r="C8854" s="271"/>
      <c r="D8854" s="271"/>
      <c r="E8854" s="271"/>
      <c r="F8854" s="271"/>
      <c r="G8854" s="273"/>
      <c r="H8854" s="29" t="str">
        <f t="shared" si="1198"/>
        <v/>
      </c>
      <c r="I8854" s="394" t="str">
        <f t="shared" si="1199"/>
        <v/>
      </c>
      <c r="J8854" s="273"/>
      <c r="K8854" s="395"/>
      <c r="L8854" s="273"/>
      <c r="M8854" s="394" t="str">
        <f t="shared" si="1200"/>
        <v/>
      </c>
      <c r="N8854" s="273"/>
    </row>
    <row r="8855" spans="1:14" ht="12.75" customHeight="1" x14ac:dyDescent="0.2">
      <c r="A8855" s="403"/>
      <c r="B8855" s="271"/>
      <c r="C8855" s="271"/>
      <c r="D8855" s="271"/>
      <c r="E8855" s="271"/>
      <c r="F8855" s="271"/>
      <c r="G8855" s="273"/>
      <c r="H8855" s="29" t="str">
        <f t="shared" si="1198"/>
        <v/>
      </c>
      <c r="I8855" s="394" t="str">
        <f t="shared" si="1199"/>
        <v/>
      </c>
      <c r="J8855" s="273"/>
      <c r="K8855" s="395"/>
      <c r="L8855" s="273"/>
      <c r="M8855" s="394" t="str">
        <f t="shared" si="1200"/>
        <v/>
      </c>
      <c r="N8855" s="273"/>
    </row>
    <row r="8856" spans="1:14" ht="12.75" customHeight="1" x14ac:dyDescent="0.2">
      <c r="A8856" s="403"/>
      <c r="B8856" s="271"/>
      <c r="C8856" s="271"/>
      <c r="D8856" s="271"/>
      <c r="E8856" s="271"/>
      <c r="F8856" s="271"/>
      <c r="G8856" s="273"/>
      <c r="H8856" s="29" t="str">
        <f t="shared" si="1198"/>
        <v/>
      </c>
      <c r="I8856" s="394" t="str">
        <f t="shared" si="1199"/>
        <v/>
      </c>
      <c r="J8856" s="273"/>
      <c r="K8856" s="395"/>
      <c r="L8856" s="273"/>
      <c r="M8856" s="394" t="str">
        <f t="shared" si="1200"/>
        <v/>
      </c>
      <c r="N8856" s="273"/>
    </row>
    <row r="8857" spans="1:14" ht="12.75" customHeight="1" x14ac:dyDescent="0.2">
      <c r="A8857" s="403"/>
      <c r="B8857" s="271"/>
      <c r="C8857" s="271"/>
      <c r="D8857" s="271"/>
      <c r="E8857" s="271"/>
      <c r="F8857" s="271"/>
      <c r="G8857" s="273"/>
      <c r="H8857" s="29" t="str">
        <f t="shared" si="1198"/>
        <v/>
      </c>
      <c r="I8857" s="394" t="str">
        <f t="shared" si="1199"/>
        <v/>
      </c>
      <c r="J8857" s="273"/>
      <c r="K8857" s="395"/>
      <c r="L8857" s="273"/>
      <c r="M8857" s="394" t="str">
        <f t="shared" si="1200"/>
        <v/>
      </c>
      <c r="N8857" s="273"/>
    </row>
    <row r="8858" spans="1:14" ht="12.75" customHeight="1" x14ac:dyDescent="0.2">
      <c r="A8858" s="403"/>
      <c r="B8858" s="271"/>
      <c r="C8858" s="271"/>
      <c r="D8858" s="271"/>
      <c r="E8858" s="271"/>
      <c r="F8858" s="271"/>
      <c r="G8858" s="273"/>
      <c r="H8858" s="29" t="str">
        <f t="shared" si="1198"/>
        <v/>
      </c>
      <c r="I8858" s="394" t="str">
        <f t="shared" si="1199"/>
        <v/>
      </c>
      <c r="J8858" s="273"/>
      <c r="K8858" s="395"/>
      <c r="L8858" s="273"/>
      <c r="M8858" s="394" t="str">
        <f t="shared" si="1200"/>
        <v/>
      </c>
      <c r="N8858" s="273"/>
    </row>
    <row r="8859" spans="1:14" ht="12.75" customHeight="1" x14ac:dyDescent="0.25">
      <c r="A8859" s="4"/>
      <c r="B8859" s="4"/>
      <c r="C8859" s="4"/>
      <c r="D8859" s="4"/>
      <c r="E8859" s="4"/>
      <c r="F8859" s="4"/>
      <c r="G8859" s="4"/>
      <c r="H8859" s="4"/>
      <c r="I8859" s="4"/>
      <c r="J8859" s="4"/>
      <c r="K8859" s="396" t="s">
        <v>444</v>
      </c>
      <c r="L8859" s="273"/>
      <c r="M8859" s="394">
        <f>SUM(M8851:N8858)</f>
        <v>104000</v>
      </c>
      <c r="N8859" s="273"/>
    </row>
    <row r="8860" spans="1:14" ht="12.75" customHeight="1" x14ac:dyDescent="0.25">
      <c r="A8860" s="4"/>
      <c r="B8860" s="4"/>
      <c r="C8860" s="4"/>
      <c r="D8860" s="4"/>
      <c r="E8860" s="4"/>
      <c r="F8860" s="4"/>
      <c r="G8860" s="4"/>
      <c r="H8860" s="4"/>
      <c r="I8860" s="4"/>
      <c r="J8860" s="4"/>
      <c r="K8860" s="4"/>
      <c r="L8860" s="4"/>
      <c r="M8860" s="4"/>
      <c r="N8860" s="4"/>
    </row>
    <row r="8861" spans="1:14" ht="12.75" customHeight="1" x14ac:dyDescent="0.2">
      <c r="A8861" s="398" t="s">
        <v>926</v>
      </c>
      <c r="B8861" s="271"/>
      <c r="C8861" s="271"/>
      <c r="D8861" s="271"/>
      <c r="E8861" s="271"/>
      <c r="F8861" s="271"/>
      <c r="G8861" s="271"/>
      <c r="H8861" s="271"/>
      <c r="I8861" s="271"/>
      <c r="J8861" s="271"/>
      <c r="K8861" s="271"/>
      <c r="L8861" s="271"/>
      <c r="M8861" s="271"/>
      <c r="N8861" s="273"/>
    </row>
    <row r="8862" spans="1:14" ht="12.75" customHeight="1" x14ac:dyDescent="0.2">
      <c r="A8862" s="396" t="s">
        <v>76</v>
      </c>
      <c r="B8862" s="271"/>
      <c r="C8862" s="271"/>
      <c r="D8862" s="271"/>
      <c r="E8862" s="271"/>
      <c r="F8862" s="271"/>
      <c r="G8862" s="273"/>
      <c r="H8862" s="88" t="s">
        <v>77</v>
      </c>
      <c r="I8862" s="399" t="s">
        <v>920</v>
      </c>
      <c r="J8862" s="273"/>
      <c r="K8862" s="399" t="s">
        <v>453</v>
      </c>
      <c r="L8862" s="273"/>
      <c r="M8862" s="399" t="s">
        <v>921</v>
      </c>
      <c r="N8862" s="273"/>
    </row>
    <row r="8863" spans="1:14" ht="12.75" customHeight="1" x14ac:dyDescent="0.2">
      <c r="A8863" s="400" t="s">
        <v>927</v>
      </c>
      <c r="B8863" s="271"/>
      <c r="C8863" s="271"/>
      <c r="D8863" s="271"/>
      <c r="E8863" s="271"/>
      <c r="F8863" s="271"/>
      <c r="G8863" s="273"/>
      <c r="H8863" s="29" t="str">
        <f>IF(A8863="","",VLOOKUP(A8863,AA_Equipos,7,FALSE))</f>
        <v>% M.O.</v>
      </c>
      <c r="I8863" s="394">
        <f>+M8886</f>
        <v>17555.722000000002</v>
      </c>
      <c r="J8863" s="273"/>
      <c r="K8863" s="404">
        <v>0.05</v>
      </c>
      <c r="L8863" s="273"/>
      <c r="M8863" s="394">
        <f t="shared" ref="M8863:M8867" si="1201">IF(A8863="","",I8863*K8863)</f>
        <v>877.78610000000015</v>
      </c>
      <c r="N8863" s="273"/>
    </row>
    <row r="8864" spans="1:14" ht="12.75" customHeight="1" x14ac:dyDescent="0.2">
      <c r="A8864" s="403"/>
      <c r="B8864" s="271"/>
      <c r="C8864" s="271"/>
      <c r="D8864" s="271"/>
      <c r="E8864" s="271"/>
      <c r="F8864" s="271"/>
      <c r="G8864" s="273"/>
      <c r="H8864" s="29" t="str">
        <f>IF(A8864="","",VLOOKUP(A8864,AA_Equipos,7,FALSE))</f>
        <v/>
      </c>
      <c r="I8864" s="394" t="str">
        <f>IF(A8864="","",VLOOKUP(A8864,AA_Equipos,8,FALSE))</f>
        <v/>
      </c>
      <c r="J8864" s="273"/>
      <c r="K8864" s="402"/>
      <c r="L8864" s="273"/>
      <c r="M8864" s="394" t="str">
        <f t="shared" si="1201"/>
        <v/>
      </c>
      <c r="N8864" s="273"/>
    </row>
    <row r="8865" spans="1:14" ht="12.75" customHeight="1" x14ac:dyDescent="0.2">
      <c r="A8865" s="400"/>
      <c r="B8865" s="271"/>
      <c r="C8865" s="271"/>
      <c r="D8865" s="271"/>
      <c r="E8865" s="271"/>
      <c r="F8865" s="271"/>
      <c r="G8865" s="273"/>
      <c r="H8865" s="29" t="str">
        <f>IF(A8865="","",VLOOKUP(A8865,AA_Equipos,7,FALSE))</f>
        <v/>
      </c>
      <c r="I8865" s="394" t="str">
        <f>IF(A8865="","",VLOOKUP(A8865,AA_Equipos,8,FALSE))</f>
        <v/>
      </c>
      <c r="J8865" s="273"/>
      <c r="K8865" s="401"/>
      <c r="L8865" s="273"/>
      <c r="M8865" s="394" t="str">
        <f t="shared" si="1201"/>
        <v/>
      </c>
      <c r="N8865" s="273"/>
    </row>
    <row r="8866" spans="1:14" ht="12.75" customHeight="1" x14ac:dyDescent="0.2">
      <c r="A8866" s="400"/>
      <c r="B8866" s="271"/>
      <c r="C8866" s="271"/>
      <c r="D8866" s="271"/>
      <c r="E8866" s="271"/>
      <c r="F8866" s="271"/>
      <c r="G8866" s="273"/>
      <c r="H8866" s="29" t="str">
        <f>IF(A8866="","",VLOOKUP(A8866,AA_Equipos,7,FALSE))</f>
        <v/>
      </c>
      <c r="I8866" s="394" t="str">
        <f>IF(A8866="","",VLOOKUP(A8866,AA_Equipos,8,FALSE))</f>
        <v/>
      </c>
      <c r="J8866" s="273"/>
      <c r="K8866" s="395"/>
      <c r="L8866" s="273"/>
      <c r="M8866" s="394" t="str">
        <f t="shared" si="1201"/>
        <v/>
      </c>
      <c r="N8866" s="273"/>
    </row>
    <row r="8867" spans="1:14" ht="12.75" customHeight="1" x14ac:dyDescent="0.2">
      <c r="A8867" s="400"/>
      <c r="B8867" s="271"/>
      <c r="C8867" s="271"/>
      <c r="D8867" s="271"/>
      <c r="E8867" s="271"/>
      <c r="F8867" s="271"/>
      <c r="G8867" s="273"/>
      <c r="H8867" s="29" t="str">
        <f>IF(A8867="","",VLOOKUP(A8867,AA_Equipos,7,FALSE))</f>
        <v/>
      </c>
      <c r="I8867" s="394" t="str">
        <f>IF(A8867="","",VLOOKUP(A8867,AA_Equipos,8,FALSE))</f>
        <v/>
      </c>
      <c r="J8867" s="273"/>
      <c r="K8867" s="395"/>
      <c r="L8867" s="273"/>
      <c r="M8867" s="394" t="str">
        <f t="shared" si="1201"/>
        <v/>
      </c>
      <c r="N8867" s="273"/>
    </row>
    <row r="8868" spans="1:14" ht="12.75" customHeight="1" x14ac:dyDescent="0.25">
      <c r="A8868" s="4"/>
      <c r="B8868" s="4"/>
      <c r="C8868" s="4"/>
      <c r="D8868" s="4"/>
      <c r="E8868" s="4"/>
      <c r="F8868" s="4"/>
      <c r="G8868" s="4"/>
      <c r="H8868" s="4"/>
      <c r="I8868" s="4"/>
      <c r="J8868" s="4"/>
      <c r="K8868" s="396" t="s">
        <v>444</v>
      </c>
      <c r="L8868" s="273"/>
      <c r="M8868" s="394">
        <f>SUM(M8863:N8867)</f>
        <v>877.78610000000015</v>
      </c>
      <c r="N8868" s="273"/>
    </row>
    <row r="8869" spans="1:14" ht="12.75" customHeight="1" x14ac:dyDescent="0.25">
      <c r="A8869" s="4"/>
      <c r="B8869" s="4"/>
      <c r="C8869" s="4"/>
      <c r="D8869" s="4"/>
      <c r="E8869" s="4"/>
      <c r="F8869" s="4"/>
      <c r="G8869" s="4"/>
      <c r="H8869" s="4"/>
      <c r="I8869" s="4"/>
      <c r="J8869" s="4"/>
      <c r="K8869" s="4"/>
      <c r="L8869" s="4"/>
      <c r="M8869" s="4"/>
      <c r="N8869" s="4"/>
    </row>
    <row r="8870" spans="1:14" ht="12.75" customHeight="1" x14ac:dyDescent="0.2">
      <c r="A8870" s="398" t="s">
        <v>929</v>
      </c>
      <c r="B8870" s="271"/>
      <c r="C8870" s="271"/>
      <c r="D8870" s="271"/>
      <c r="E8870" s="271"/>
      <c r="F8870" s="271"/>
      <c r="G8870" s="271"/>
      <c r="H8870" s="271"/>
      <c r="I8870" s="271"/>
      <c r="J8870" s="271"/>
      <c r="K8870" s="271"/>
      <c r="L8870" s="271"/>
      <c r="M8870" s="271"/>
      <c r="N8870" s="273"/>
    </row>
    <row r="8871" spans="1:14" ht="12.75" customHeight="1" x14ac:dyDescent="0.2">
      <c r="A8871" s="396" t="s">
        <v>76</v>
      </c>
      <c r="B8871" s="271"/>
      <c r="C8871" s="271"/>
      <c r="D8871" s="271"/>
      <c r="E8871" s="271"/>
      <c r="F8871" s="271"/>
      <c r="G8871" s="273"/>
      <c r="H8871" s="88" t="s">
        <v>77</v>
      </c>
      <c r="I8871" s="399" t="s">
        <v>920</v>
      </c>
      <c r="J8871" s="273"/>
      <c r="K8871" s="399" t="s">
        <v>453</v>
      </c>
      <c r="L8871" s="273"/>
      <c r="M8871" s="399" t="s">
        <v>921</v>
      </c>
      <c r="N8871" s="273"/>
    </row>
    <row r="8872" spans="1:14" ht="12.75" customHeight="1" x14ac:dyDescent="0.2">
      <c r="A8872" s="400" t="s">
        <v>960</v>
      </c>
      <c r="B8872" s="271"/>
      <c r="C8872" s="271"/>
      <c r="D8872" s="271"/>
      <c r="E8872" s="271"/>
      <c r="F8872" s="271"/>
      <c r="G8872" s="273"/>
      <c r="H8872" s="29" t="s">
        <v>950</v>
      </c>
      <c r="I8872" s="394">
        <f>+M8859</f>
        <v>104000</v>
      </c>
      <c r="J8872" s="273"/>
      <c r="K8872" s="404">
        <v>0.05</v>
      </c>
      <c r="L8872" s="273"/>
      <c r="M8872" s="394">
        <f t="shared" ref="M8872:M8876" si="1202">IF(A8872="","",I8872*K8872)</f>
        <v>5200</v>
      </c>
      <c r="N8872" s="273"/>
    </row>
    <row r="8873" spans="1:14" ht="12.75" customHeight="1" x14ac:dyDescent="0.2">
      <c r="A8873" s="403"/>
      <c r="B8873" s="271"/>
      <c r="C8873" s="271"/>
      <c r="D8873" s="271"/>
      <c r="E8873" s="271"/>
      <c r="F8873" s="271"/>
      <c r="G8873" s="273"/>
      <c r="H8873" s="29"/>
      <c r="I8873" s="394"/>
      <c r="J8873" s="273"/>
      <c r="K8873" s="404"/>
      <c r="L8873" s="273"/>
      <c r="M8873" s="394" t="str">
        <f t="shared" si="1202"/>
        <v/>
      </c>
      <c r="N8873" s="273"/>
    </row>
    <row r="8874" spans="1:14" ht="12.75" customHeight="1" x14ac:dyDescent="0.2">
      <c r="A8874" s="400"/>
      <c r="B8874" s="271"/>
      <c r="C8874" s="271"/>
      <c r="D8874" s="271"/>
      <c r="E8874" s="271"/>
      <c r="F8874" s="271"/>
      <c r="G8874" s="273"/>
      <c r="H8874" s="29"/>
      <c r="I8874" s="394"/>
      <c r="J8874" s="273"/>
      <c r="K8874" s="395"/>
      <c r="L8874" s="273"/>
      <c r="M8874" s="394" t="str">
        <f t="shared" si="1202"/>
        <v/>
      </c>
      <c r="N8874" s="273"/>
    </row>
    <row r="8875" spans="1:14" ht="12.75" customHeight="1" x14ac:dyDescent="0.2">
      <c r="A8875" s="400"/>
      <c r="B8875" s="271"/>
      <c r="C8875" s="271"/>
      <c r="D8875" s="271"/>
      <c r="E8875" s="271"/>
      <c r="F8875" s="271"/>
      <c r="G8875" s="273"/>
      <c r="H8875" s="29"/>
      <c r="I8875" s="394"/>
      <c r="J8875" s="273"/>
      <c r="K8875" s="395"/>
      <c r="L8875" s="273"/>
      <c r="M8875" s="394" t="str">
        <f t="shared" si="1202"/>
        <v/>
      </c>
      <c r="N8875" s="273"/>
    </row>
    <row r="8876" spans="1:14" ht="12.75" customHeight="1" x14ac:dyDescent="0.2">
      <c r="A8876" s="400"/>
      <c r="B8876" s="271"/>
      <c r="C8876" s="271"/>
      <c r="D8876" s="271"/>
      <c r="E8876" s="271"/>
      <c r="F8876" s="271"/>
      <c r="G8876" s="273"/>
      <c r="H8876" s="29"/>
      <c r="I8876" s="394"/>
      <c r="J8876" s="273"/>
      <c r="K8876" s="395"/>
      <c r="L8876" s="273"/>
      <c r="M8876" s="394" t="str">
        <f t="shared" si="1202"/>
        <v/>
      </c>
      <c r="N8876" s="273"/>
    </row>
    <row r="8877" spans="1:14" ht="12.75" customHeight="1" x14ac:dyDescent="0.25">
      <c r="A8877" s="4"/>
      <c r="B8877" s="4"/>
      <c r="C8877" s="4"/>
      <c r="D8877" s="4"/>
      <c r="E8877" s="4"/>
      <c r="F8877" s="4"/>
      <c r="G8877" s="4"/>
      <c r="H8877" s="4"/>
      <c r="I8877" s="4"/>
      <c r="J8877" s="4"/>
      <c r="K8877" s="396" t="s">
        <v>444</v>
      </c>
      <c r="L8877" s="273"/>
      <c r="M8877" s="394">
        <f>SUM(M8872:N8876)</f>
        <v>5200</v>
      </c>
      <c r="N8877" s="273"/>
    </row>
    <row r="8878" spans="1:14" ht="12.75" customHeight="1" x14ac:dyDescent="0.25">
      <c r="A8878" s="4"/>
      <c r="B8878" s="4"/>
      <c r="C8878" s="4"/>
      <c r="D8878" s="4"/>
      <c r="E8878" s="4"/>
      <c r="F8878" s="4"/>
      <c r="G8878" s="4"/>
      <c r="H8878" s="4"/>
      <c r="I8878" s="4"/>
      <c r="J8878" s="4"/>
      <c r="K8878" s="4"/>
      <c r="L8878" s="4"/>
      <c r="M8878" s="4"/>
      <c r="N8878" s="4"/>
    </row>
    <row r="8879" spans="1:14" ht="12.75" customHeight="1" x14ac:dyDescent="0.2">
      <c r="A8879" s="398" t="s">
        <v>931</v>
      </c>
      <c r="B8879" s="271"/>
      <c r="C8879" s="271"/>
      <c r="D8879" s="271"/>
      <c r="E8879" s="271"/>
      <c r="F8879" s="271"/>
      <c r="G8879" s="271"/>
      <c r="H8879" s="271"/>
      <c r="I8879" s="271"/>
      <c r="J8879" s="271"/>
      <c r="K8879" s="271"/>
      <c r="L8879" s="271"/>
      <c r="M8879" s="271"/>
      <c r="N8879" s="273"/>
    </row>
    <row r="8880" spans="1:14" ht="12.75" customHeight="1" x14ac:dyDescent="0.2">
      <c r="A8880" s="396" t="s">
        <v>76</v>
      </c>
      <c r="B8880" s="271"/>
      <c r="C8880" s="271"/>
      <c r="D8880" s="271"/>
      <c r="E8880" s="271"/>
      <c r="F8880" s="271"/>
      <c r="G8880" s="273"/>
      <c r="H8880" s="88" t="s">
        <v>77</v>
      </c>
      <c r="I8880" s="399" t="s">
        <v>920</v>
      </c>
      <c r="J8880" s="273"/>
      <c r="K8880" s="90" t="s">
        <v>514</v>
      </c>
      <c r="L8880" s="91" t="s">
        <v>932</v>
      </c>
      <c r="M8880" s="399" t="s">
        <v>921</v>
      </c>
      <c r="N8880" s="273"/>
    </row>
    <row r="8881" spans="1:14" ht="12.75" customHeight="1" x14ac:dyDescent="0.25">
      <c r="A8881" s="393" t="s">
        <v>986</v>
      </c>
      <c r="B8881" s="271"/>
      <c r="C8881" s="271"/>
      <c r="D8881" s="271"/>
      <c r="E8881" s="271"/>
      <c r="F8881" s="271"/>
      <c r="G8881" s="273"/>
      <c r="H8881" s="29" t="str">
        <f>IF(A8881="","",VLOOKUP(A8881,AA_Cuadrillas,4,FALSE))</f>
        <v>Cuadrilla</v>
      </c>
      <c r="I8881" s="394">
        <f>IF(A8881="","",VLOOKUP(A8881,AA_Cuadrillas,5,FALSE))</f>
        <v>186763</v>
      </c>
      <c r="J8881" s="273"/>
      <c r="K8881" s="9">
        <f>IF(A8881="","",F.P!$I$2)</f>
        <v>1.88</v>
      </c>
      <c r="L8881" s="97">
        <f>1/20</f>
        <v>0.05</v>
      </c>
      <c r="M8881" s="394">
        <f t="shared" ref="M8881:M8885" si="1203">IF(A8881="","",I8881*K8881*L8881)</f>
        <v>17555.722000000002</v>
      </c>
      <c r="N8881" s="273"/>
    </row>
    <row r="8882" spans="1:14" ht="12.75" customHeight="1" x14ac:dyDescent="0.25">
      <c r="A8882" s="393"/>
      <c r="B8882" s="271"/>
      <c r="C8882" s="271"/>
      <c r="D8882" s="271"/>
      <c r="E8882" s="271"/>
      <c r="F8882" s="271"/>
      <c r="G8882" s="273"/>
      <c r="H8882" s="29" t="str">
        <f>IF(A8882="","",VLOOKUP(A8882,AA_Cuadrillas,4,FALSE))</f>
        <v/>
      </c>
      <c r="I8882" s="394" t="str">
        <f>IF(A8882="","",VLOOKUP(A8882,AA_Cuadrillas,5,FALSE))</f>
        <v/>
      </c>
      <c r="J8882" s="273"/>
      <c r="K8882" s="9" t="str">
        <f>IF(A8882="","",F.P!$I$2)</f>
        <v/>
      </c>
      <c r="L8882" s="9"/>
      <c r="M8882" s="394" t="str">
        <f t="shared" si="1203"/>
        <v/>
      </c>
      <c r="N8882" s="273"/>
    </row>
    <row r="8883" spans="1:14" ht="12.75" customHeight="1" x14ac:dyDescent="0.25">
      <c r="A8883" s="393"/>
      <c r="B8883" s="271"/>
      <c r="C8883" s="271"/>
      <c r="D8883" s="271"/>
      <c r="E8883" s="271"/>
      <c r="F8883" s="271"/>
      <c r="G8883" s="273"/>
      <c r="H8883" s="29" t="str">
        <f>IF(A8883="","",VLOOKUP(A8883,AA_Cuadrillas,4,FALSE))</f>
        <v/>
      </c>
      <c r="I8883" s="394" t="str">
        <f>IF(A8883="","",VLOOKUP(A8883,AA_Cuadrillas,5,FALSE))</f>
        <v/>
      </c>
      <c r="J8883" s="273"/>
      <c r="K8883" s="9" t="str">
        <f>IF(A8883="","",F.P!$I$2)</f>
        <v/>
      </c>
      <c r="L8883" s="37"/>
      <c r="M8883" s="394" t="str">
        <f t="shared" si="1203"/>
        <v/>
      </c>
      <c r="N8883" s="273"/>
    </row>
    <row r="8884" spans="1:14" ht="12.75" customHeight="1" x14ac:dyDescent="0.25">
      <c r="A8884" s="393"/>
      <c r="B8884" s="271"/>
      <c r="C8884" s="271"/>
      <c r="D8884" s="271"/>
      <c r="E8884" s="271"/>
      <c r="F8884" s="271"/>
      <c r="G8884" s="273"/>
      <c r="H8884" s="29" t="str">
        <f>IF(A8884="","",VLOOKUP(A8884,AA_Cuadrillas,4,FALSE))</f>
        <v/>
      </c>
      <c r="I8884" s="394" t="str">
        <f>IF(A8884="","",VLOOKUP(A8884,AA_Cuadrillas,5,FALSE))</f>
        <v/>
      </c>
      <c r="J8884" s="273"/>
      <c r="K8884" s="9" t="str">
        <f>IF(A8884="","",F.P!$I$2)</f>
        <v/>
      </c>
      <c r="L8884" s="37"/>
      <c r="M8884" s="394" t="str">
        <f t="shared" si="1203"/>
        <v/>
      </c>
      <c r="N8884" s="273"/>
    </row>
    <row r="8885" spans="1:14" ht="12.75" customHeight="1" x14ac:dyDescent="0.25">
      <c r="A8885" s="393"/>
      <c r="B8885" s="271"/>
      <c r="C8885" s="271"/>
      <c r="D8885" s="271"/>
      <c r="E8885" s="271"/>
      <c r="F8885" s="271"/>
      <c r="G8885" s="273"/>
      <c r="H8885" s="29" t="str">
        <f>IF(A8885="","",VLOOKUP(A8885,AA_Cuadrillas,4,FALSE))</f>
        <v/>
      </c>
      <c r="I8885" s="394" t="str">
        <f>IF(A8885="","",VLOOKUP(A8885,AA_Cuadrillas,5,FALSE))</f>
        <v/>
      </c>
      <c r="J8885" s="273"/>
      <c r="K8885" s="9" t="str">
        <f>IF(A8885="","",F.P!$I$2)</f>
        <v/>
      </c>
      <c r="L8885" s="37"/>
      <c r="M8885" s="394" t="str">
        <f t="shared" si="1203"/>
        <v/>
      </c>
      <c r="N8885" s="273"/>
    </row>
    <row r="8886" spans="1:14" ht="12.75" customHeight="1" x14ac:dyDescent="0.25">
      <c r="A8886" s="4"/>
      <c r="B8886" s="4"/>
      <c r="C8886" s="4"/>
      <c r="D8886" s="4"/>
      <c r="E8886" s="4"/>
      <c r="F8886" s="4"/>
      <c r="G8886" s="4"/>
      <c r="H8886" s="4"/>
      <c r="I8886" s="4"/>
      <c r="J8886" s="4"/>
      <c r="K8886" s="396" t="s">
        <v>444</v>
      </c>
      <c r="L8886" s="273"/>
      <c r="M8886" s="394">
        <f>SUM(M8881:N8885)</f>
        <v>17555.722000000002</v>
      </c>
      <c r="N8886" s="273"/>
    </row>
    <row r="8887" spans="1:14" ht="12.75" customHeight="1" x14ac:dyDescent="0.2"/>
    <row r="8888" spans="1:14" ht="12.75" customHeight="1" x14ac:dyDescent="0.2">
      <c r="A8888" s="407" t="s">
        <v>371</v>
      </c>
      <c r="B8888" s="275"/>
      <c r="C8888" s="275"/>
      <c r="D8888" s="275"/>
      <c r="E8888" s="275"/>
      <c r="F8888" s="275"/>
      <c r="G8888" s="275"/>
      <c r="H8888" s="275"/>
      <c r="I8888" s="275"/>
      <c r="J8888" s="275"/>
      <c r="K8888" s="275"/>
      <c r="L8888" s="275"/>
      <c r="M8888" s="275"/>
      <c r="N8888" s="276"/>
    </row>
    <row r="8889" spans="1:14" ht="12.75" customHeight="1" x14ac:dyDescent="0.2">
      <c r="A8889" s="277"/>
      <c r="B8889" s="278"/>
      <c r="C8889" s="278"/>
      <c r="D8889" s="278"/>
      <c r="E8889" s="278"/>
      <c r="F8889" s="278"/>
      <c r="G8889" s="278"/>
      <c r="H8889" s="278"/>
      <c r="I8889" s="278"/>
      <c r="J8889" s="278"/>
      <c r="K8889" s="278"/>
      <c r="L8889" s="278"/>
      <c r="M8889" s="278"/>
      <c r="N8889" s="279"/>
    </row>
    <row r="8890" spans="1:14" ht="12.75" customHeight="1" x14ac:dyDescent="0.2">
      <c r="A8890" s="75"/>
      <c r="B8890" s="75"/>
      <c r="C8890" s="75"/>
      <c r="D8890" s="75"/>
      <c r="E8890" s="75"/>
      <c r="F8890" s="75"/>
      <c r="G8890" s="75"/>
      <c r="H8890" s="75"/>
      <c r="I8890" s="75"/>
      <c r="J8890" s="75"/>
      <c r="K8890" s="75"/>
      <c r="L8890" s="75"/>
      <c r="M8890" s="75"/>
      <c r="N8890" s="75"/>
    </row>
    <row r="8891" spans="1:14" ht="12.75" customHeight="1" x14ac:dyDescent="0.3">
      <c r="A8891" s="79" t="s">
        <v>809</v>
      </c>
      <c r="B8891" s="80" t="str">
        <f>A8888</f>
        <v>SUMINISTRO E INSTALACIÓN CODO 45° Ø3" EN HIERRO DUCTIL CON UNIÓN MECÁNICA (INCLUYE MATERIALES, HERRAMIENTAS Y MANO DE OBRA)</v>
      </c>
      <c r="C8891" s="81" t="s">
        <v>916</v>
      </c>
      <c r="D8891" s="82" t="s">
        <v>999</v>
      </c>
      <c r="E8891" s="83" t="s">
        <v>445</v>
      </c>
      <c r="F8891" s="86">
        <f>H8891+J8891+L8891+N8891</f>
        <v>174883.50810000001</v>
      </c>
      <c r="G8891" s="83" t="s">
        <v>607</v>
      </c>
      <c r="H8891" s="86">
        <f>M8912</f>
        <v>877.78610000000015</v>
      </c>
      <c r="I8891" s="83" t="s">
        <v>918</v>
      </c>
      <c r="J8891" s="86">
        <f>M8903</f>
        <v>149000</v>
      </c>
      <c r="K8891" s="83" t="s">
        <v>609</v>
      </c>
      <c r="L8891" s="86">
        <f>M8921</f>
        <v>7450</v>
      </c>
      <c r="M8891" s="83" t="s">
        <v>610</v>
      </c>
      <c r="N8891" s="86">
        <f>M8930</f>
        <v>17555.722000000002</v>
      </c>
    </row>
    <row r="8892" spans="1:14" ht="12.75" customHeight="1" x14ac:dyDescent="0.25">
      <c r="A8892" s="87"/>
      <c r="B8892" s="87"/>
      <c r="C8892" s="87"/>
      <c r="D8892" s="87"/>
      <c r="E8892" s="87"/>
      <c r="F8892" s="87"/>
      <c r="G8892" s="87"/>
      <c r="J8892" s="87"/>
      <c r="K8892" s="215" t="s">
        <v>3217</v>
      </c>
      <c r="L8892" s="215">
        <f>+F8891*presup!$O$5</f>
        <v>227348.56053000002</v>
      </c>
      <c r="M8892" s="87"/>
      <c r="N8892" s="87"/>
    </row>
    <row r="8893" spans="1:14" ht="12.75" customHeight="1" x14ac:dyDescent="0.2">
      <c r="A8893" s="398" t="s">
        <v>919</v>
      </c>
      <c r="B8893" s="271"/>
      <c r="C8893" s="271"/>
      <c r="D8893" s="271"/>
      <c r="E8893" s="271"/>
      <c r="F8893" s="271"/>
      <c r="G8893" s="271"/>
      <c r="H8893" s="271"/>
      <c r="I8893" s="271"/>
      <c r="J8893" s="271"/>
      <c r="K8893" s="271"/>
      <c r="L8893" s="271"/>
      <c r="M8893" s="271"/>
      <c r="N8893" s="273"/>
    </row>
    <row r="8894" spans="1:14" ht="12.75" customHeight="1" x14ac:dyDescent="0.2">
      <c r="A8894" s="396" t="s">
        <v>76</v>
      </c>
      <c r="B8894" s="271"/>
      <c r="C8894" s="271"/>
      <c r="D8894" s="271"/>
      <c r="E8894" s="271"/>
      <c r="F8894" s="271"/>
      <c r="G8894" s="273"/>
      <c r="H8894" s="88" t="s">
        <v>77</v>
      </c>
      <c r="I8894" s="399" t="s">
        <v>920</v>
      </c>
      <c r="J8894" s="273"/>
      <c r="K8894" s="399" t="s">
        <v>453</v>
      </c>
      <c r="L8894" s="273"/>
      <c r="M8894" s="399" t="s">
        <v>921</v>
      </c>
      <c r="N8894" s="273"/>
    </row>
    <row r="8895" spans="1:14" ht="12.75" customHeight="1" x14ac:dyDescent="0.2">
      <c r="A8895" s="403" t="s">
        <v>1437</v>
      </c>
      <c r="B8895" s="271"/>
      <c r="C8895" s="271"/>
      <c r="D8895" s="271"/>
      <c r="E8895" s="271"/>
      <c r="F8895" s="271"/>
      <c r="G8895" s="273"/>
      <c r="H8895" s="29" t="str">
        <f t="shared" ref="H8895:H8902" si="1204">IF(A8895="","",VLOOKUP(A8895,AA_Materiales,7,FALSE))</f>
        <v>Unidad</v>
      </c>
      <c r="I8895" s="394">
        <f t="shared" ref="I8895:I8902" si="1205">IF(A8895="","",VLOOKUP(A8895,AA_Materiales,8,FALSE))</f>
        <v>149000</v>
      </c>
      <c r="J8895" s="273"/>
      <c r="K8895" s="395">
        <v>1</v>
      </c>
      <c r="L8895" s="273"/>
      <c r="M8895" s="394">
        <f t="shared" ref="M8895:M8902" si="1206">IF(A8895="","",I8895*K8895)</f>
        <v>149000</v>
      </c>
      <c r="N8895" s="273"/>
    </row>
    <row r="8896" spans="1:14" ht="12.75" customHeight="1" x14ac:dyDescent="0.2">
      <c r="A8896" s="403"/>
      <c r="B8896" s="271"/>
      <c r="C8896" s="271"/>
      <c r="D8896" s="271"/>
      <c r="E8896" s="271"/>
      <c r="F8896" s="271"/>
      <c r="G8896" s="273"/>
      <c r="H8896" s="29" t="str">
        <f t="shared" si="1204"/>
        <v/>
      </c>
      <c r="I8896" s="394" t="str">
        <f t="shared" si="1205"/>
        <v/>
      </c>
      <c r="J8896" s="273"/>
      <c r="K8896" s="395"/>
      <c r="L8896" s="273"/>
      <c r="M8896" s="394" t="str">
        <f t="shared" si="1206"/>
        <v/>
      </c>
      <c r="N8896" s="273"/>
    </row>
    <row r="8897" spans="1:14" ht="12.75" customHeight="1" x14ac:dyDescent="0.2">
      <c r="A8897" s="403"/>
      <c r="B8897" s="271"/>
      <c r="C8897" s="271"/>
      <c r="D8897" s="271"/>
      <c r="E8897" s="271"/>
      <c r="F8897" s="271"/>
      <c r="G8897" s="273"/>
      <c r="H8897" s="29" t="str">
        <f t="shared" si="1204"/>
        <v/>
      </c>
      <c r="I8897" s="394" t="str">
        <f t="shared" si="1205"/>
        <v/>
      </c>
      <c r="J8897" s="273"/>
      <c r="K8897" s="395"/>
      <c r="L8897" s="273"/>
      <c r="M8897" s="394" t="str">
        <f t="shared" si="1206"/>
        <v/>
      </c>
      <c r="N8897" s="273"/>
    </row>
    <row r="8898" spans="1:14" ht="12.75" customHeight="1" x14ac:dyDescent="0.2">
      <c r="A8898" s="403"/>
      <c r="B8898" s="271"/>
      <c r="C8898" s="271"/>
      <c r="D8898" s="271"/>
      <c r="E8898" s="271"/>
      <c r="F8898" s="271"/>
      <c r="G8898" s="273"/>
      <c r="H8898" s="29" t="str">
        <f t="shared" si="1204"/>
        <v/>
      </c>
      <c r="I8898" s="394" t="str">
        <f t="shared" si="1205"/>
        <v/>
      </c>
      <c r="J8898" s="273"/>
      <c r="K8898" s="395"/>
      <c r="L8898" s="273"/>
      <c r="M8898" s="394" t="str">
        <f t="shared" si="1206"/>
        <v/>
      </c>
      <c r="N8898" s="273"/>
    </row>
    <row r="8899" spans="1:14" ht="12.75" customHeight="1" x14ac:dyDescent="0.2">
      <c r="A8899" s="403"/>
      <c r="B8899" s="271"/>
      <c r="C8899" s="271"/>
      <c r="D8899" s="271"/>
      <c r="E8899" s="271"/>
      <c r="F8899" s="271"/>
      <c r="G8899" s="273"/>
      <c r="H8899" s="29" t="str">
        <f t="shared" si="1204"/>
        <v/>
      </c>
      <c r="I8899" s="394" t="str">
        <f t="shared" si="1205"/>
        <v/>
      </c>
      <c r="J8899" s="273"/>
      <c r="K8899" s="395"/>
      <c r="L8899" s="273"/>
      <c r="M8899" s="394" t="str">
        <f t="shared" si="1206"/>
        <v/>
      </c>
      <c r="N8899" s="273"/>
    </row>
    <row r="8900" spans="1:14" ht="12.75" customHeight="1" x14ac:dyDescent="0.2">
      <c r="A8900" s="403"/>
      <c r="B8900" s="271"/>
      <c r="C8900" s="271"/>
      <c r="D8900" s="271"/>
      <c r="E8900" s="271"/>
      <c r="F8900" s="271"/>
      <c r="G8900" s="273"/>
      <c r="H8900" s="29" t="str">
        <f t="shared" si="1204"/>
        <v/>
      </c>
      <c r="I8900" s="394" t="str">
        <f t="shared" si="1205"/>
        <v/>
      </c>
      <c r="J8900" s="273"/>
      <c r="K8900" s="395"/>
      <c r="L8900" s="273"/>
      <c r="M8900" s="394" t="str">
        <f t="shared" si="1206"/>
        <v/>
      </c>
      <c r="N8900" s="273"/>
    </row>
    <row r="8901" spans="1:14" ht="12.75" customHeight="1" x14ac:dyDescent="0.2">
      <c r="A8901" s="403"/>
      <c r="B8901" s="271"/>
      <c r="C8901" s="271"/>
      <c r="D8901" s="271"/>
      <c r="E8901" s="271"/>
      <c r="F8901" s="271"/>
      <c r="G8901" s="273"/>
      <c r="H8901" s="29" t="str">
        <f t="shared" si="1204"/>
        <v/>
      </c>
      <c r="I8901" s="394" t="str">
        <f t="shared" si="1205"/>
        <v/>
      </c>
      <c r="J8901" s="273"/>
      <c r="K8901" s="395"/>
      <c r="L8901" s="273"/>
      <c r="M8901" s="394" t="str">
        <f t="shared" si="1206"/>
        <v/>
      </c>
      <c r="N8901" s="273"/>
    </row>
    <row r="8902" spans="1:14" ht="12.75" customHeight="1" x14ac:dyDescent="0.2">
      <c r="A8902" s="403"/>
      <c r="B8902" s="271"/>
      <c r="C8902" s="271"/>
      <c r="D8902" s="271"/>
      <c r="E8902" s="271"/>
      <c r="F8902" s="271"/>
      <c r="G8902" s="273"/>
      <c r="H8902" s="29" t="str">
        <f t="shared" si="1204"/>
        <v/>
      </c>
      <c r="I8902" s="394" t="str">
        <f t="shared" si="1205"/>
        <v/>
      </c>
      <c r="J8902" s="273"/>
      <c r="K8902" s="395"/>
      <c r="L8902" s="273"/>
      <c r="M8902" s="394" t="str">
        <f t="shared" si="1206"/>
        <v/>
      </c>
      <c r="N8902" s="273"/>
    </row>
    <row r="8903" spans="1:14" ht="12.75" customHeight="1" x14ac:dyDescent="0.25">
      <c r="A8903" s="4"/>
      <c r="B8903" s="4"/>
      <c r="C8903" s="4"/>
      <c r="D8903" s="4"/>
      <c r="E8903" s="4"/>
      <c r="F8903" s="4"/>
      <c r="G8903" s="4"/>
      <c r="H8903" s="4"/>
      <c r="I8903" s="4"/>
      <c r="J8903" s="4"/>
      <c r="K8903" s="396" t="s">
        <v>444</v>
      </c>
      <c r="L8903" s="273"/>
      <c r="M8903" s="394">
        <f>SUM(M8895:N8902)</f>
        <v>149000</v>
      </c>
      <c r="N8903" s="273"/>
    </row>
    <row r="8904" spans="1:14" ht="12.75" customHeight="1" x14ac:dyDescent="0.25">
      <c r="A8904" s="4"/>
      <c r="B8904" s="4"/>
      <c r="C8904" s="4"/>
      <c r="D8904" s="4"/>
      <c r="E8904" s="4"/>
      <c r="F8904" s="4"/>
      <c r="G8904" s="4"/>
      <c r="H8904" s="4"/>
      <c r="I8904" s="4"/>
      <c r="J8904" s="4"/>
      <c r="K8904" s="4"/>
      <c r="L8904" s="4"/>
      <c r="M8904" s="4"/>
      <c r="N8904" s="4"/>
    </row>
    <row r="8905" spans="1:14" ht="12.75" customHeight="1" x14ac:dyDescent="0.2">
      <c r="A8905" s="398" t="s">
        <v>926</v>
      </c>
      <c r="B8905" s="271"/>
      <c r="C8905" s="271"/>
      <c r="D8905" s="271"/>
      <c r="E8905" s="271"/>
      <c r="F8905" s="271"/>
      <c r="G8905" s="271"/>
      <c r="H8905" s="271"/>
      <c r="I8905" s="271"/>
      <c r="J8905" s="271"/>
      <c r="K8905" s="271"/>
      <c r="L8905" s="271"/>
      <c r="M8905" s="271"/>
      <c r="N8905" s="273"/>
    </row>
    <row r="8906" spans="1:14" ht="12.75" customHeight="1" x14ac:dyDescent="0.2">
      <c r="A8906" s="396" t="s">
        <v>76</v>
      </c>
      <c r="B8906" s="271"/>
      <c r="C8906" s="271"/>
      <c r="D8906" s="271"/>
      <c r="E8906" s="271"/>
      <c r="F8906" s="271"/>
      <c r="G8906" s="273"/>
      <c r="H8906" s="88" t="s">
        <v>77</v>
      </c>
      <c r="I8906" s="399" t="s">
        <v>920</v>
      </c>
      <c r="J8906" s="273"/>
      <c r="K8906" s="399" t="s">
        <v>453</v>
      </c>
      <c r="L8906" s="273"/>
      <c r="M8906" s="399" t="s">
        <v>921</v>
      </c>
      <c r="N8906" s="273"/>
    </row>
    <row r="8907" spans="1:14" ht="12.75" customHeight="1" x14ac:dyDescent="0.2">
      <c r="A8907" s="400" t="s">
        <v>927</v>
      </c>
      <c r="B8907" s="271"/>
      <c r="C8907" s="271"/>
      <c r="D8907" s="271"/>
      <c r="E8907" s="271"/>
      <c r="F8907" s="271"/>
      <c r="G8907" s="273"/>
      <c r="H8907" s="29" t="str">
        <f>IF(A8907="","",VLOOKUP(A8907,AA_Equipos,7,FALSE))</f>
        <v>% M.O.</v>
      </c>
      <c r="I8907" s="394">
        <f>+M8930</f>
        <v>17555.722000000002</v>
      </c>
      <c r="J8907" s="273"/>
      <c r="K8907" s="404">
        <v>0.05</v>
      </c>
      <c r="L8907" s="273"/>
      <c r="M8907" s="394">
        <f t="shared" ref="M8907:M8911" si="1207">IF(A8907="","",I8907*K8907)</f>
        <v>877.78610000000015</v>
      </c>
      <c r="N8907" s="273"/>
    </row>
    <row r="8908" spans="1:14" ht="12.75" customHeight="1" x14ac:dyDescent="0.2">
      <c r="A8908" s="403"/>
      <c r="B8908" s="271"/>
      <c r="C8908" s="271"/>
      <c r="D8908" s="271"/>
      <c r="E8908" s="271"/>
      <c r="F8908" s="271"/>
      <c r="G8908" s="273"/>
      <c r="H8908" s="29" t="str">
        <f>IF(A8908="","",VLOOKUP(A8908,AA_Equipos,7,FALSE))</f>
        <v/>
      </c>
      <c r="I8908" s="394" t="str">
        <f>IF(A8908="","",VLOOKUP(A8908,AA_Equipos,8,FALSE))</f>
        <v/>
      </c>
      <c r="J8908" s="273"/>
      <c r="K8908" s="402"/>
      <c r="L8908" s="273"/>
      <c r="M8908" s="394" t="str">
        <f t="shared" si="1207"/>
        <v/>
      </c>
      <c r="N8908" s="273"/>
    </row>
    <row r="8909" spans="1:14" ht="12.75" customHeight="1" x14ac:dyDescent="0.2">
      <c r="A8909" s="400"/>
      <c r="B8909" s="271"/>
      <c r="C8909" s="271"/>
      <c r="D8909" s="271"/>
      <c r="E8909" s="271"/>
      <c r="F8909" s="271"/>
      <c r="G8909" s="273"/>
      <c r="H8909" s="29" t="str">
        <f>IF(A8909="","",VLOOKUP(A8909,AA_Equipos,7,FALSE))</f>
        <v/>
      </c>
      <c r="I8909" s="394" t="str">
        <f>IF(A8909="","",VLOOKUP(A8909,AA_Equipos,8,FALSE))</f>
        <v/>
      </c>
      <c r="J8909" s="273"/>
      <c r="K8909" s="401"/>
      <c r="L8909" s="273"/>
      <c r="M8909" s="394" t="str">
        <f t="shared" si="1207"/>
        <v/>
      </c>
      <c r="N8909" s="273"/>
    </row>
    <row r="8910" spans="1:14" ht="12.75" customHeight="1" x14ac:dyDescent="0.2">
      <c r="A8910" s="400"/>
      <c r="B8910" s="271"/>
      <c r="C8910" s="271"/>
      <c r="D8910" s="271"/>
      <c r="E8910" s="271"/>
      <c r="F8910" s="271"/>
      <c r="G8910" s="273"/>
      <c r="H8910" s="29" t="str">
        <f>IF(A8910="","",VLOOKUP(A8910,AA_Equipos,7,FALSE))</f>
        <v/>
      </c>
      <c r="I8910" s="394" t="str">
        <f>IF(A8910="","",VLOOKUP(A8910,AA_Equipos,8,FALSE))</f>
        <v/>
      </c>
      <c r="J8910" s="273"/>
      <c r="K8910" s="395"/>
      <c r="L8910" s="273"/>
      <c r="M8910" s="394" t="str">
        <f t="shared" si="1207"/>
        <v/>
      </c>
      <c r="N8910" s="273"/>
    </row>
    <row r="8911" spans="1:14" ht="12.75" customHeight="1" x14ac:dyDescent="0.2">
      <c r="A8911" s="400"/>
      <c r="B8911" s="271"/>
      <c r="C8911" s="271"/>
      <c r="D8911" s="271"/>
      <c r="E8911" s="271"/>
      <c r="F8911" s="271"/>
      <c r="G8911" s="273"/>
      <c r="H8911" s="29" t="str">
        <f>IF(A8911="","",VLOOKUP(A8911,AA_Equipos,7,FALSE))</f>
        <v/>
      </c>
      <c r="I8911" s="394" t="str">
        <f>IF(A8911="","",VLOOKUP(A8911,AA_Equipos,8,FALSE))</f>
        <v/>
      </c>
      <c r="J8911" s="273"/>
      <c r="K8911" s="395"/>
      <c r="L8911" s="273"/>
      <c r="M8911" s="394" t="str">
        <f t="shared" si="1207"/>
        <v/>
      </c>
      <c r="N8911" s="273"/>
    </row>
    <row r="8912" spans="1:14" ht="12.75" customHeight="1" x14ac:dyDescent="0.25">
      <c r="A8912" s="4"/>
      <c r="B8912" s="4"/>
      <c r="C8912" s="4"/>
      <c r="D8912" s="4"/>
      <c r="E8912" s="4"/>
      <c r="F8912" s="4"/>
      <c r="G8912" s="4"/>
      <c r="H8912" s="4"/>
      <c r="I8912" s="4"/>
      <c r="J8912" s="4"/>
      <c r="K8912" s="396" t="s">
        <v>444</v>
      </c>
      <c r="L8912" s="273"/>
      <c r="M8912" s="394">
        <f>SUM(M8907:N8911)</f>
        <v>877.78610000000015</v>
      </c>
      <c r="N8912" s="273"/>
    </row>
    <row r="8913" spans="1:14" ht="12.75" customHeight="1" x14ac:dyDescent="0.25">
      <c r="A8913" s="4"/>
      <c r="B8913" s="4"/>
      <c r="C8913" s="4"/>
      <c r="D8913" s="4"/>
      <c r="E8913" s="4"/>
      <c r="F8913" s="4"/>
      <c r="G8913" s="4"/>
      <c r="H8913" s="4"/>
      <c r="I8913" s="4"/>
      <c r="J8913" s="4"/>
      <c r="K8913" s="4"/>
      <c r="L8913" s="4"/>
      <c r="M8913" s="4"/>
      <c r="N8913" s="4"/>
    </row>
    <row r="8914" spans="1:14" ht="12.75" customHeight="1" x14ac:dyDescent="0.2">
      <c r="A8914" s="398" t="s">
        <v>929</v>
      </c>
      <c r="B8914" s="271"/>
      <c r="C8914" s="271"/>
      <c r="D8914" s="271"/>
      <c r="E8914" s="271"/>
      <c r="F8914" s="271"/>
      <c r="G8914" s="271"/>
      <c r="H8914" s="271"/>
      <c r="I8914" s="271"/>
      <c r="J8914" s="271"/>
      <c r="K8914" s="271"/>
      <c r="L8914" s="271"/>
      <c r="M8914" s="271"/>
      <c r="N8914" s="273"/>
    </row>
    <row r="8915" spans="1:14" ht="12.75" customHeight="1" x14ac:dyDescent="0.2">
      <c r="A8915" s="396" t="s">
        <v>76</v>
      </c>
      <c r="B8915" s="271"/>
      <c r="C8915" s="271"/>
      <c r="D8915" s="271"/>
      <c r="E8915" s="271"/>
      <c r="F8915" s="271"/>
      <c r="G8915" s="273"/>
      <c r="H8915" s="88" t="s">
        <v>77</v>
      </c>
      <c r="I8915" s="399" t="s">
        <v>920</v>
      </c>
      <c r="J8915" s="273"/>
      <c r="K8915" s="399" t="s">
        <v>453</v>
      </c>
      <c r="L8915" s="273"/>
      <c r="M8915" s="399" t="s">
        <v>921</v>
      </c>
      <c r="N8915" s="273"/>
    </row>
    <row r="8916" spans="1:14" ht="12.75" customHeight="1" x14ac:dyDescent="0.2">
      <c r="A8916" s="400" t="s">
        <v>960</v>
      </c>
      <c r="B8916" s="271"/>
      <c r="C8916" s="271"/>
      <c r="D8916" s="271"/>
      <c r="E8916" s="271"/>
      <c r="F8916" s="271"/>
      <c r="G8916" s="273"/>
      <c r="H8916" s="29" t="s">
        <v>950</v>
      </c>
      <c r="I8916" s="394">
        <f>+M8903</f>
        <v>149000</v>
      </c>
      <c r="J8916" s="273"/>
      <c r="K8916" s="404">
        <v>0.05</v>
      </c>
      <c r="L8916" s="273"/>
      <c r="M8916" s="394">
        <f t="shared" ref="M8916:M8920" si="1208">IF(A8916="","",I8916*K8916)</f>
        <v>7450</v>
      </c>
      <c r="N8916" s="273"/>
    </row>
    <row r="8917" spans="1:14" ht="12.75" customHeight="1" x14ac:dyDescent="0.2">
      <c r="A8917" s="403"/>
      <c r="B8917" s="271"/>
      <c r="C8917" s="271"/>
      <c r="D8917" s="271"/>
      <c r="E8917" s="271"/>
      <c r="F8917" s="271"/>
      <c r="G8917" s="273"/>
      <c r="H8917" s="29"/>
      <c r="I8917" s="394"/>
      <c r="J8917" s="273"/>
      <c r="K8917" s="404"/>
      <c r="L8917" s="273"/>
      <c r="M8917" s="394" t="str">
        <f t="shared" si="1208"/>
        <v/>
      </c>
      <c r="N8917" s="273"/>
    </row>
    <row r="8918" spans="1:14" ht="12.75" customHeight="1" x14ac:dyDescent="0.2">
      <c r="A8918" s="400"/>
      <c r="B8918" s="271"/>
      <c r="C8918" s="271"/>
      <c r="D8918" s="271"/>
      <c r="E8918" s="271"/>
      <c r="F8918" s="271"/>
      <c r="G8918" s="273"/>
      <c r="H8918" s="29"/>
      <c r="I8918" s="394"/>
      <c r="J8918" s="273"/>
      <c r="K8918" s="395"/>
      <c r="L8918" s="273"/>
      <c r="M8918" s="394" t="str">
        <f t="shared" si="1208"/>
        <v/>
      </c>
      <c r="N8918" s="273"/>
    </row>
    <row r="8919" spans="1:14" ht="12.75" customHeight="1" x14ac:dyDescent="0.2">
      <c r="A8919" s="400"/>
      <c r="B8919" s="271"/>
      <c r="C8919" s="271"/>
      <c r="D8919" s="271"/>
      <c r="E8919" s="271"/>
      <c r="F8919" s="271"/>
      <c r="G8919" s="273"/>
      <c r="H8919" s="29"/>
      <c r="I8919" s="394"/>
      <c r="J8919" s="273"/>
      <c r="K8919" s="395"/>
      <c r="L8919" s="273"/>
      <c r="M8919" s="394" t="str">
        <f t="shared" si="1208"/>
        <v/>
      </c>
      <c r="N8919" s="273"/>
    </row>
    <row r="8920" spans="1:14" ht="12.75" customHeight="1" x14ac:dyDescent="0.2">
      <c r="A8920" s="400"/>
      <c r="B8920" s="271"/>
      <c r="C8920" s="271"/>
      <c r="D8920" s="271"/>
      <c r="E8920" s="271"/>
      <c r="F8920" s="271"/>
      <c r="G8920" s="273"/>
      <c r="H8920" s="29"/>
      <c r="I8920" s="394"/>
      <c r="J8920" s="273"/>
      <c r="K8920" s="395"/>
      <c r="L8920" s="273"/>
      <c r="M8920" s="394" t="str">
        <f t="shared" si="1208"/>
        <v/>
      </c>
      <c r="N8920" s="273"/>
    </row>
    <row r="8921" spans="1:14" ht="12.75" customHeight="1" x14ac:dyDescent="0.25">
      <c r="A8921" s="4"/>
      <c r="B8921" s="4"/>
      <c r="C8921" s="4"/>
      <c r="D8921" s="4"/>
      <c r="E8921" s="4"/>
      <c r="F8921" s="4"/>
      <c r="G8921" s="4"/>
      <c r="H8921" s="4"/>
      <c r="I8921" s="4"/>
      <c r="J8921" s="4"/>
      <c r="K8921" s="396" t="s">
        <v>444</v>
      </c>
      <c r="L8921" s="273"/>
      <c r="M8921" s="394">
        <f>SUM(M8916:N8920)</f>
        <v>7450</v>
      </c>
      <c r="N8921" s="273"/>
    </row>
    <row r="8922" spans="1:14" ht="12.75" customHeight="1" x14ac:dyDescent="0.25">
      <c r="A8922" s="4"/>
      <c r="B8922" s="4"/>
      <c r="C8922" s="4"/>
      <c r="D8922" s="4"/>
      <c r="E8922" s="4"/>
      <c r="F8922" s="4"/>
      <c r="G8922" s="4"/>
      <c r="H8922" s="4"/>
      <c r="I8922" s="4"/>
      <c r="J8922" s="4"/>
      <c r="K8922" s="4"/>
      <c r="L8922" s="4"/>
      <c r="M8922" s="4"/>
      <c r="N8922" s="4"/>
    </row>
    <row r="8923" spans="1:14" ht="12.75" customHeight="1" x14ac:dyDescent="0.2">
      <c r="A8923" s="398" t="s">
        <v>931</v>
      </c>
      <c r="B8923" s="271"/>
      <c r="C8923" s="271"/>
      <c r="D8923" s="271"/>
      <c r="E8923" s="271"/>
      <c r="F8923" s="271"/>
      <c r="G8923" s="271"/>
      <c r="H8923" s="271"/>
      <c r="I8923" s="271"/>
      <c r="J8923" s="271"/>
      <c r="K8923" s="271"/>
      <c r="L8923" s="271"/>
      <c r="M8923" s="271"/>
      <c r="N8923" s="273"/>
    </row>
    <row r="8924" spans="1:14" ht="12.75" customHeight="1" x14ac:dyDescent="0.2">
      <c r="A8924" s="396" t="s">
        <v>76</v>
      </c>
      <c r="B8924" s="271"/>
      <c r="C8924" s="271"/>
      <c r="D8924" s="271"/>
      <c r="E8924" s="271"/>
      <c r="F8924" s="271"/>
      <c r="G8924" s="273"/>
      <c r="H8924" s="88" t="s">
        <v>77</v>
      </c>
      <c r="I8924" s="399" t="s">
        <v>920</v>
      </c>
      <c r="J8924" s="273"/>
      <c r="K8924" s="90" t="s">
        <v>514</v>
      </c>
      <c r="L8924" s="91" t="s">
        <v>932</v>
      </c>
      <c r="M8924" s="399" t="s">
        <v>921</v>
      </c>
      <c r="N8924" s="273"/>
    </row>
    <row r="8925" spans="1:14" ht="12.75" customHeight="1" x14ac:dyDescent="0.25">
      <c r="A8925" s="393" t="s">
        <v>986</v>
      </c>
      <c r="B8925" s="271"/>
      <c r="C8925" s="271"/>
      <c r="D8925" s="271"/>
      <c r="E8925" s="271"/>
      <c r="F8925" s="271"/>
      <c r="G8925" s="273"/>
      <c r="H8925" s="29" t="str">
        <f>IF(A8925="","",VLOOKUP(A8925,AA_Cuadrillas,4,FALSE))</f>
        <v>Cuadrilla</v>
      </c>
      <c r="I8925" s="394">
        <f>IF(A8925="","",VLOOKUP(A8925,AA_Cuadrillas,5,FALSE))</f>
        <v>186763</v>
      </c>
      <c r="J8925" s="273"/>
      <c r="K8925" s="9">
        <f>IF(A8925="","",F.P!$I$2)</f>
        <v>1.88</v>
      </c>
      <c r="L8925" s="97">
        <f>1/20</f>
        <v>0.05</v>
      </c>
      <c r="M8925" s="394">
        <f t="shared" ref="M8925:M8929" si="1209">IF(A8925="","",I8925*K8925*L8925)</f>
        <v>17555.722000000002</v>
      </c>
      <c r="N8925" s="273"/>
    </row>
    <row r="8926" spans="1:14" ht="12.75" customHeight="1" x14ac:dyDescent="0.25">
      <c r="A8926" s="393"/>
      <c r="B8926" s="271"/>
      <c r="C8926" s="271"/>
      <c r="D8926" s="271"/>
      <c r="E8926" s="271"/>
      <c r="F8926" s="271"/>
      <c r="G8926" s="273"/>
      <c r="H8926" s="29" t="str">
        <f>IF(A8926="","",VLOOKUP(A8926,AA_Cuadrillas,4,FALSE))</f>
        <v/>
      </c>
      <c r="I8926" s="394" t="str">
        <f>IF(A8926="","",VLOOKUP(A8926,AA_Cuadrillas,5,FALSE))</f>
        <v/>
      </c>
      <c r="J8926" s="273"/>
      <c r="K8926" s="9" t="str">
        <f>IF(A8926="","",F.P!$I$2)</f>
        <v/>
      </c>
      <c r="L8926" s="9"/>
      <c r="M8926" s="394" t="str">
        <f t="shared" si="1209"/>
        <v/>
      </c>
      <c r="N8926" s="273"/>
    </row>
    <row r="8927" spans="1:14" ht="12.75" customHeight="1" x14ac:dyDescent="0.25">
      <c r="A8927" s="393"/>
      <c r="B8927" s="271"/>
      <c r="C8927" s="271"/>
      <c r="D8927" s="271"/>
      <c r="E8927" s="271"/>
      <c r="F8927" s="271"/>
      <c r="G8927" s="273"/>
      <c r="H8927" s="29" t="str">
        <f>IF(A8927="","",VLOOKUP(A8927,AA_Cuadrillas,4,FALSE))</f>
        <v/>
      </c>
      <c r="I8927" s="394" t="str">
        <f>IF(A8927="","",VLOOKUP(A8927,AA_Cuadrillas,5,FALSE))</f>
        <v/>
      </c>
      <c r="J8927" s="273"/>
      <c r="K8927" s="9" t="str">
        <f>IF(A8927="","",F.P!$I$2)</f>
        <v/>
      </c>
      <c r="L8927" s="37"/>
      <c r="M8927" s="394" t="str">
        <f t="shared" si="1209"/>
        <v/>
      </c>
      <c r="N8927" s="273"/>
    </row>
    <row r="8928" spans="1:14" ht="12.75" customHeight="1" x14ac:dyDescent="0.25">
      <c r="A8928" s="393"/>
      <c r="B8928" s="271"/>
      <c r="C8928" s="271"/>
      <c r="D8928" s="271"/>
      <c r="E8928" s="271"/>
      <c r="F8928" s="271"/>
      <c r="G8928" s="273"/>
      <c r="H8928" s="29" t="str">
        <f>IF(A8928="","",VLOOKUP(A8928,AA_Cuadrillas,4,FALSE))</f>
        <v/>
      </c>
      <c r="I8928" s="394" t="str">
        <f>IF(A8928="","",VLOOKUP(A8928,AA_Cuadrillas,5,FALSE))</f>
        <v/>
      </c>
      <c r="J8928" s="273"/>
      <c r="K8928" s="9" t="str">
        <f>IF(A8928="","",F.P!$I$2)</f>
        <v/>
      </c>
      <c r="L8928" s="37"/>
      <c r="M8928" s="394" t="str">
        <f t="shared" si="1209"/>
        <v/>
      </c>
      <c r="N8928" s="273"/>
    </row>
    <row r="8929" spans="1:14" ht="12.75" customHeight="1" x14ac:dyDescent="0.25">
      <c r="A8929" s="393"/>
      <c r="B8929" s="271"/>
      <c r="C8929" s="271"/>
      <c r="D8929" s="271"/>
      <c r="E8929" s="271"/>
      <c r="F8929" s="271"/>
      <c r="G8929" s="273"/>
      <c r="H8929" s="29" t="str">
        <f>IF(A8929="","",VLOOKUP(A8929,AA_Cuadrillas,4,FALSE))</f>
        <v/>
      </c>
      <c r="I8929" s="394" t="str">
        <f>IF(A8929="","",VLOOKUP(A8929,AA_Cuadrillas,5,FALSE))</f>
        <v/>
      </c>
      <c r="J8929" s="273"/>
      <c r="K8929" s="9" t="str">
        <f>IF(A8929="","",F.P!$I$2)</f>
        <v/>
      </c>
      <c r="L8929" s="37"/>
      <c r="M8929" s="394" t="str">
        <f t="shared" si="1209"/>
        <v/>
      </c>
      <c r="N8929" s="273"/>
    </row>
    <row r="8930" spans="1:14" ht="12.75" customHeight="1" x14ac:dyDescent="0.25">
      <c r="A8930" s="4"/>
      <c r="B8930" s="4"/>
      <c r="C8930" s="4"/>
      <c r="D8930" s="4"/>
      <c r="E8930" s="4"/>
      <c r="F8930" s="4"/>
      <c r="G8930" s="4"/>
      <c r="H8930" s="4"/>
      <c r="I8930" s="4"/>
      <c r="J8930" s="4"/>
      <c r="K8930" s="396" t="s">
        <v>444</v>
      </c>
      <c r="L8930" s="273"/>
      <c r="M8930" s="394">
        <f>SUM(M8925:N8929)</f>
        <v>17555.722000000002</v>
      </c>
      <c r="N8930" s="273"/>
    </row>
    <row r="8931" spans="1:14" ht="12.75" customHeight="1" x14ac:dyDescent="0.2"/>
    <row r="8932" spans="1:14" ht="12.75" customHeight="1" x14ac:dyDescent="0.2">
      <c r="A8932" s="407" t="s">
        <v>1438</v>
      </c>
      <c r="B8932" s="275"/>
      <c r="C8932" s="275"/>
      <c r="D8932" s="275"/>
      <c r="E8932" s="275"/>
      <c r="F8932" s="275"/>
      <c r="G8932" s="275"/>
      <c r="H8932" s="275"/>
      <c r="I8932" s="275"/>
      <c r="J8932" s="275"/>
      <c r="K8932" s="275"/>
      <c r="L8932" s="275"/>
      <c r="M8932" s="275"/>
      <c r="N8932" s="276"/>
    </row>
    <row r="8933" spans="1:14" ht="12.75" customHeight="1" x14ac:dyDescent="0.2">
      <c r="A8933" s="277"/>
      <c r="B8933" s="278"/>
      <c r="C8933" s="278"/>
      <c r="D8933" s="278"/>
      <c r="E8933" s="278"/>
      <c r="F8933" s="278"/>
      <c r="G8933" s="278"/>
      <c r="H8933" s="278"/>
      <c r="I8933" s="278"/>
      <c r="J8933" s="278"/>
      <c r="K8933" s="278"/>
      <c r="L8933" s="278"/>
      <c r="M8933" s="278"/>
      <c r="N8933" s="279"/>
    </row>
    <row r="8934" spans="1:14" ht="12.75" customHeight="1" x14ac:dyDescent="0.2">
      <c r="A8934" s="75"/>
      <c r="B8934" s="75"/>
      <c r="C8934" s="75"/>
      <c r="D8934" s="75"/>
      <c r="E8934" s="75"/>
      <c r="F8934" s="75"/>
      <c r="G8934" s="75"/>
      <c r="H8934" s="75"/>
      <c r="I8934" s="75"/>
      <c r="J8934" s="75"/>
      <c r="K8934" s="75"/>
      <c r="L8934" s="75"/>
      <c r="M8934" s="75"/>
      <c r="N8934" s="75"/>
    </row>
    <row r="8935" spans="1:14" ht="12.75" customHeight="1" x14ac:dyDescent="0.3">
      <c r="A8935" s="79" t="s">
        <v>810</v>
      </c>
      <c r="B8935" s="80" t="str">
        <f>A8932</f>
        <v>SUMINISTRO E INSTALACIÓN CODO 45° Ø4" EN HIERRO DUCTIL CON UNIÓN MECÁNICA (INCLUYE MATERIALES, HERRAMIENTAS Y MANO DE OBRA)</v>
      </c>
      <c r="C8935" s="81" t="s">
        <v>916</v>
      </c>
      <c r="D8935" s="82" t="s">
        <v>999</v>
      </c>
      <c r="E8935" s="83" t="s">
        <v>445</v>
      </c>
      <c r="F8935" s="86">
        <f>H8935+J8935+L8935+N8935</f>
        <v>239983.50810000001</v>
      </c>
      <c r="G8935" s="83" t="s">
        <v>607</v>
      </c>
      <c r="H8935" s="86">
        <f>M8947</f>
        <v>211000</v>
      </c>
      <c r="I8935" s="83" t="s">
        <v>918</v>
      </c>
      <c r="J8935" s="86">
        <f>M8956</f>
        <v>877.78610000000015</v>
      </c>
      <c r="K8935" s="83" t="s">
        <v>609</v>
      </c>
      <c r="L8935" s="86">
        <f>M8965</f>
        <v>10550</v>
      </c>
      <c r="M8935" s="83" t="s">
        <v>610</v>
      </c>
      <c r="N8935" s="86">
        <f>M8974</f>
        <v>17555.722000000002</v>
      </c>
    </row>
    <row r="8936" spans="1:14" ht="12.75" customHeight="1" x14ac:dyDescent="0.25">
      <c r="A8936" s="87"/>
      <c r="B8936" s="87"/>
      <c r="C8936" s="87"/>
      <c r="D8936" s="87"/>
      <c r="E8936" s="87"/>
      <c r="F8936" s="87"/>
      <c r="G8936" s="87"/>
      <c r="J8936" s="87"/>
      <c r="K8936" s="215" t="s">
        <v>3217</v>
      </c>
      <c r="L8936" s="215">
        <f>+F8935*presup!$O$5</f>
        <v>311978.56053000002</v>
      </c>
      <c r="M8936" s="87"/>
      <c r="N8936" s="87"/>
    </row>
    <row r="8937" spans="1:14" ht="12.75" customHeight="1" x14ac:dyDescent="0.2">
      <c r="A8937" s="398" t="s">
        <v>919</v>
      </c>
      <c r="B8937" s="271"/>
      <c r="C8937" s="271"/>
      <c r="D8937" s="271"/>
      <c r="E8937" s="271"/>
      <c r="F8937" s="271"/>
      <c r="G8937" s="271"/>
      <c r="H8937" s="271"/>
      <c r="I8937" s="271"/>
      <c r="J8937" s="271"/>
      <c r="K8937" s="271"/>
      <c r="L8937" s="271"/>
      <c r="M8937" s="271"/>
      <c r="N8937" s="273"/>
    </row>
    <row r="8938" spans="1:14" ht="12.75" customHeight="1" x14ac:dyDescent="0.2">
      <c r="A8938" s="396" t="s">
        <v>76</v>
      </c>
      <c r="B8938" s="271"/>
      <c r="C8938" s="271"/>
      <c r="D8938" s="271"/>
      <c r="E8938" s="271"/>
      <c r="F8938" s="271"/>
      <c r="G8938" s="273"/>
      <c r="H8938" s="88" t="s">
        <v>77</v>
      </c>
      <c r="I8938" s="399" t="s">
        <v>920</v>
      </c>
      <c r="J8938" s="273"/>
      <c r="K8938" s="399" t="s">
        <v>453</v>
      </c>
      <c r="L8938" s="273"/>
      <c r="M8938" s="399" t="s">
        <v>921</v>
      </c>
      <c r="N8938" s="273"/>
    </row>
    <row r="8939" spans="1:14" ht="12.75" customHeight="1" x14ac:dyDescent="0.2">
      <c r="A8939" s="403" t="s">
        <v>1439</v>
      </c>
      <c r="B8939" s="271"/>
      <c r="C8939" s="271"/>
      <c r="D8939" s="271"/>
      <c r="E8939" s="271"/>
      <c r="F8939" s="271"/>
      <c r="G8939" s="273"/>
      <c r="H8939" s="29" t="str">
        <f t="shared" ref="H8939:H8946" si="1210">IF(A8939="","",VLOOKUP(A8939,AA_Materiales,7,FALSE))</f>
        <v>Unidad</v>
      </c>
      <c r="I8939" s="394">
        <f t="shared" ref="I8939:I8946" si="1211">IF(A8939="","",VLOOKUP(A8939,AA_Materiales,8,FALSE))</f>
        <v>211000</v>
      </c>
      <c r="J8939" s="273"/>
      <c r="K8939" s="395">
        <v>1</v>
      </c>
      <c r="L8939" s="273"/>
      <c r="M8939" s="394">
        <f t="shared" ref="M8939:M8946" si="1212">IF(A8939="","",I8939*K8939)</f>
        <v>211000</v>
      </c>
      <c r="N8939" s="273"/>
    </row>
    <row r="8940" spans="1:14" ht="12.75" customHeight="1" x14ac:dyDescent="0.2">
      <c r="A8940" s="403"/>
      <c r="B8940" s="271"/>
      <c r="C8940" s="271"/>
      <c r="D8940" s="271"/>
      <c r="E8940" s="271"/>
      <c r="F8940" s="271"/>
      <c r="G8940" s="273"/>
      <c r="H8940" s="29" t="str">
        <f t="shared" si="1210"/>
        <v/>
      </c>
      <c r="I8940" s="394" t="str">
        <f t="shared" si="1211"/>
        <v/>
      </c>
      <c r="J8940" s="273"/>
      <c r="K8940" s="395"/>
      <c r="L8940" s="273"/>
      <c r="M8940" s="394" t="str">
        <f t="shared" si="1212"/>
        <v/>
      </c>
      <c r="N8940" s="273"/>
    </row>
    <row r="8941" spans="1:14" ht="12.75" customHeight="1" x14ac:dyDescent="0.2">
      <c r="A8941" s="403"/>
      <c r="B8941" s="271"/>
      <c r="C8941" s="271"/>
      <c r="D8941" s="271"/>
      <c r="E8941" s="271"/>
      <c r="F8941" s="271"/>
      <c r="G8941" s="273"/>
      <c r="H8941" s="29" t="str">
        <f t="shared" si="1210"/>
        <v/>
      </c>
      <c r="I8941" s="394" t="str">
        <f t="shared" si="1211"/>
        <v/>
      </c>
      <c r="J8941" s="273"/>
      <c r="K8941" s="395"/>
      <c r="L8941" s="273"/>
      <c r="M8941" s="394" t="str">
        <f t="shared" si="1212"/>
        <v/>
      </c>
      <c r="N8941" s="273"/>
    </row>
    <row r="8942" spans="1:14" ht="12.75" customHeight="1" x14ac:dyDescent="0.2">
      <c r="A8942" s="403"/>
      <c r="B8942" s="271"/>
      <c r="C8942" s="271"/>
      <c r="D8942" s="271"/>
      <c r="E8942" s="271"/>
      <c r="F8942" s="271"/>
      <c r="G8942" s="273"/>
      <c r="H8942" s="29" t="str">
        <f t="shared" si="1210"/>
        <v/>
      </c>
      <c r="I8942" s="394" t="str">
        <f t="shared" si="1211"/>
        <v/>
      </c>
      <c r="J8942" s="273"/>
      <c r="K8942" s="395"/>
      <c r="L8942" s="273"/>
      <c r="M8942" s="394" t="str">
        <f t="shared" si="1212"/>
        <v/>
      </c>
      <c r="N8942" s="273"/>
    </row>
    <row r="8943" spans="1:14" ht="12.75" customHeight="1" x14ac:dyDescent="0.2">
      <c r="A8943" s="403"/>
      <c r="B8943" s="271"/>
      <c r="C8943" s="271"/>
      <c r="D8943" s="271"/>
      <c r="E8943" s="271"/>
      <c r="F8943" s="271"/>
      <c r="G8943" s="273"/>
      <c r="H8943" s="29" t="str">
        <f t="shared" si="1210"/>
        <v/>
      </c>
      <c r="I8943" s="394" t="str">
        <f t="shared" si="1211"/>
        <v/>
      </c>
      <c r="J8943" s="273"/>
      <c r="K8943" s="395"/>
      <c r="L8943" s="273"/>
      <c r="M8943" s="394" t="str">
        <f t="shared" si="1212"/>
        <v/>
      </c>
      <c r="N8943" s="273"/>
    </row>
    <row r="8944" spans="1:14" ht="12.75" customHeight="1" x14ac:dyDescent="0.2">
      <c r="A8944" s="403"/>
      <c r="B8944" s="271"/>
      <c r="C8944" s="271"/>
      <c r="D8944" s="271"/>
      <c r="E8944" s="271"/>
      <c r="F8944" s="271"/>
      <c r="G8944" s="273"/>
      <c r="H8944" s="29" t="str">
        <f t="shared" si="1210"/>
        <v/>
      </c>
      <c r="I8944" s="394" t="str">
        <f t="shared" si="1211"/>
        <v/>
      </c>
      <c r="J8944" s="273"/>
      <c r="K8944" s="395"/>
      <c r="L8944" s="273"/>
      <c r="M8944" s="394" t="str">
        <f t="shared" si="1212"/>
        <v/>
      </c>
      <c r="N8944" s="273"/>
    </row>
    <row r="8945" spans="1:14" ht="12.75" customHeight="1" x14ac:dyDescent="0.2">
      <c r="A8945" s="403"/>
      <c r="B8945" s="271"/>
      <c r="C8945" s="271"/>
      <c r="D8945" s="271"/>
      <c r="E8945" s="271"/>
      <c r="F8945" s="271"/>
      <c r="G8945" s="273"/>
      <c r="H8945" s="29" t="str">
        <f t="shared" si="1210"/>
        <v/>
      </c>
      <c r="I8945" s="394" t="str">
        <f t="shared" si="1211"/>
        <v/>
      </c>
      <c r="J8945" s="273"/>
      <c r="K8945" s="395"/>
      <c r="L8945" s="273"/>
      <c r="M8945" s="394" t="str">
        <f t="shared" si="1212"/>
        <v/>
      </c>
      <c r="N8945" s="273"/>
    </row>
    <row r="8946" spans="1:14" ht="12.75" customHeight="1" x14ac:dyDescent="0.2">
      <c r="A8946" s="403"/>
      <c r="B8946" s="271"/>
      <c r="C8946" s="271"/>
      <c r="D8946" s="271"/>
      <c r="E8946" s="271"/>
      <c r="F8946" s="271"/>
      <c r="G8946" s="273"/>
      <c r="H8946" s="29" t="str">
        <f t="shared" si="1210"/>
        <v/>
      </c>
      <c r="I8946" s="394" t="str">
        <f t="shared" si="1211"/>
        <v/>
      </c>
      <c r="J8946" s="273"/>
      <c r="K8946" s="395"/>
      <c r="L8946" s="273"/>
      <c r="M8946" s="394" t="str">
        <f t="shared" si="1212"/>
        <v/>
      </c>
      <c r="N8946" s="273"/>
    </row>
    <row r="8947" spans="1:14" ht="12.75" customHeight="1" x14ac:dyDescent="0.25">
      <c r="A8947" s="4"/>
      <c r="B8947" s="4"/>
      <c r="C8947" s="4"/>
      <c r="D8947" s="4"/>
      <c r="E8947" s="4"/>
      <c r="F8947" s="4"/>
      <c r="G8947" s="4"/>
      <c r="H8947" s="4"/>
      <c r="I8947" s="4"/>
      <c r="J8947" s="4"/>
      <c r="K8947" s="396" t="s">
        <v>444</v>
      </c>
      <c r="L8947" s="273"/>
      <c r="M8947" s="394">
        <f>SUM(M8939:N8946)</f>
        <v>211000</v>
      </c>
      <c r="N8947" s="273"/>
    </row>
    <row r="8948" spans="1:14" ht="12.75" customHeight="1" x14ac:dyDescent="0.25">
      <c r="A8948" s="4"/>
      <c r="B8948" s="4"/>
      <c r="C8948" s="4"/>
      <c r="D8948" s="4"/>
      <c r="E8948" s="4"/>
      <c r="F8948" s="4"/>
      <c r="G8948" s="4"/>
      <c r="H8948" s="4"/>
      <c r="I8948" s="4"/>
      <c r="J8948" s="4"/>
      <c r="K8948" s="4"/>
      <c r="L8948" s="4"/>
      <c r="M8948" s="4"/>
      <c r="N8948" s="4"/>
    </row>
    <row r="8949" spans="1:14" ht="12.75" customHeight="1" x14ac:dyDescent="0.2">
      <c r="A8949" s="398" t="s">
        <v>926</v>
      </c>
      <c r="B8949" s="271"/>
      <c r="C8949" s="271"/>
      <c r="D8949" s="271"/>
      <c r="E8949" s="271"/>
      <c r="F8949" s="271"/>
      <c r="G8949" s="271"/>
      <c r="H8949" s="271"/>
      <c r="I8949" s="271"/>
      <c r="J8949" s="271"/>
      <c r="K8949" s="271"/>
      <c r="L8949" s="271"/>
      <c r="M8949" s="271"/>
      <c r="N8949" s="273"/>
    </row>
    <row r="8950" spans="1:14" ht="12.75" customHeight="1" x14ac:dyDescent="0.2">
      <c r="A8950" s="396" t="s">
        <v>76</v>
      </c>
      <c r="B8950" s="271"/>
      <c r="C8950" s="271"/>
      <c r="D8950" s="271"/>
      <c r="E8950" s="271"/>
      <c r="F8950" s="271"/>
      <c r="G8950" s="273"/>
      <c r="H8950" s="88" t="s">
        <v>77</v>
      </c>
      <c r="I8950" s="399" t="s">
        <v>920</v>
      </c>
      <c r="J8950" s="273"/>
      <c r="K8950" s="399" t="s">
        <v>453</v>
      </c>
      <c r="L8950" s="273"/>
      <c r="M8950" s="399" t="s">
        <v>921</v>
      </c>
      <c r="N8950" s="273"/>
    </row>
    <row r="8951" spans="1:14" ht="12.75" customHeight="1" x14ac:dyDescent="0.2">
      <c r="A8951" s="400" t="s">
        <v>927</v>
      </c>
      <c r="B8951" s="271"/>
      <c r="C8951" s="271"/>
      <c r="D8951" s="271"/>
      <c r="E8951" s="271"/>
      <c r="F8951" s="271"/>
      <c r="G8951" s="273"/>
      <c r="H8951" s="29" t="str">
        <f>IF(A8951="","",VLOOKUP(A8951,AA_Equipos,7,FALSE))</f>
        <v>% M.O.</v>
      </c>
      <c r="I8951" s="394">
        <f>+M8974</f>
        <v>17555.722000000002</v>
      </c>
      <c r="J8951" s="273"/>
      <c r="K8951" s="404">
        <v>0.05</v>
      </c>
      <c r="L8951" s="273"/>
      <c r="M8951" s="394">
        <f t="shared" ref="M8951:M8955" si="1213">IF(A8951="","",I8951*K8951)</f>
        <v>877.78610000000015</v>
      </c>
      <c r="N8951" s="273"/>
    </row>
    <row r="8952" spans="1:14" ht="12.75" customHeight="1" x14ac:dyDescent="0.2">
      <c r="A8952" s="403"/>
      <c r="B8952" s="271"/>
      <c r="C8952" s="271"/>
      <c r="D8952" s="271"/>
      <c r="E8952" s="271"/>
      <c r="F8952" s="271"/>
      <c r="G8952" s="273"/>
      <c r="H8952" s="29" t="str">
        <f>IF(A8952="","",VLOOKUP(A8952,AA_Equipos,7,FALSE))</f>
        <v/>
      </c>
      <c r="I8952" s="394" t="str">
        <f>IF(A8952="","",VLOOKUP(A8952,AA_Equipos,8,FALSE))</f>
        <v/>
      </c>
      <c r="J8952" s="273"/>
      <c r="K8952" s="402"/>
      <c r="L8952" s="273"/>
      <c r="M8952" s="394" t="str">
        <f t="shared" si="1213"/>
        <v/>
      </c>
      <c r="N8952" s="273"/>
    </row>
    <row r="8953" spans="1:14" ht="12.75" customHeight="1" x14ac:dyDescent="0.2">
      <c r="A8953" s="400"/>
      <c r="B8953" s="271"/>
      <c r="C8953" s="271"/>
      <c r="D8953" s="271"/>
      <c r="E8953" s="271"/>
      <c r="F8953" s="271"/>
      <c r="G8953" s="273"/>
      <c r="H8953" s="29" t="str">
        <f>IF(A8953="","",VLOOKUP(A8953,AA_Equipos,7,FALSE))</f>
        <v/>
      </c>
      <c r="I8953" s="394" t="str">
        <f>IF(A8953="","",VLOOKUP(A8953,AA_Equipos,8,FALSE))</f>
        <v/>
      </c>
      <c r="J8953" s="273"/>
      <c r="K8953" s="401"/>
      <c r="L8953" s="273"/>
      <c r="M8953" s="394" t="str">
        <f t="shared" si="1213"/>
        <v/>
      </c>
      <c r="N8953" s="273"/>
    </row>
    <row r="8954" spans="1:14" ht="12.75" customHeight="1" x14ac:dyDescent="0.2">
      <c r="A8954" s="400"/>
      <c r="B8954" s="271"/>
      <c r="C8954" s="271"/>
      <c r="D8954" s="271"/>
      <c r="E8954" s="271"/>
      <c r="F8954" s="271"/>
      <c r="G8954" s="273"/>
      <c r="H8954" s="29" t="str">
        <f>IF(A8954="","",VLOOKUP(A8954,AA_Equipos,7,FALSE))</f>
        <v/>
      </c>
      <c r="I8954" s="394" t="str">
        <f>IF(A8954="","",VLOOKUP(A8954,AA_Equipos,8,FALSE))</f>
        <v/>
      </c>
      <c r="J8954" s="273"/>
      <c r="K8954" s="395"/>
      <c r="L8954" s="273"/>
      <c r="M8954" s="394" t="str">
        <f t="shared" si="1213"/>
        <v/>
      </c>
      <c r="N8954" s="273"/>
    </row>
    <row r="8955" spans="1:14" ht="12.75" customHeight="1" x14ac:dyDescent="0.2">
      <c r="A8955" s="400"/>
      <c r="B8955" s="271"/>
      <c r="C8955" s="271"/>
      <c r="D8955" s="271"/>
      <c r="E8955" s="271"/>
      <c r="F8955" s="271"/>
      <c r="G8955" s="273"/>
      <c r="H8955" s="29" t="str">
        <f>IF(A8955="","",VLOOKUP(A8955,AA_Equipos,7,FALSE))</f>
        <v/>
      </c>
      <c r="I8955" s="394" t="str">
        <f>IF(A8955="","",VLOOKUP(A8955,AA_Equipos,8,FALSE))</f>
        <v/>
      </c>
      <c r="J8955" s="273"/>
      <c r="K8955" s="395"/>
      <c r="L8955" s="273"/>
      <c r="M8955" s="394" t="str">
        <f t="shared" si="1213"/>
        <v/>
      </c>
      <c r="N8955" s="273"/>
    </row>
    <row r="8956" spans="1:14" ht="12.75" customHeight="1" x14ac:dyDescent="0.25">
      <c r="A8956" s="4"/>
      <c r="B8956" s="4"/>
      <c r="C8956" s="4"/>
      <c r="D8956" s="4"/>
      <c r="E8956" s="4"/>
      <c r="F8956" s="4"/>
      <c r="G8956" s="4"/>
      <c r="H8956" s="4"/>
      <c r="I8956" s="4"/>
      <c r="J8956" s="4"/>
      <c r="K8956" s="396" t="s">
        <v>444</v>
      </c>
      <c r="L8956" s="273"/>
      <c r="M8956" s="394">
        <f>SUM(M8951:N8955)</f>
        <v>877.78610000000015</v>
      </c>
      <c r="N8956" s="273"/>
    </row>
    <row r="8957" spans="1:14" ht="12.75" customHeight="1" x14ac:dyDescent="0.25">
      <c r="A8957" s="4"/>
      <c r="B8957" s="4"/>
      <c r="C8957" s="4"/>
      <c r="D8957" s="4"/>
      <c r="E8957" s="4"/>
      <c r="F8957" s="4"/>
      <c r="G8957" s="4"/>
      <c r="H8957" s="4"/>
      <c r="I8957" s="4"/>
      <c r="J8957" s="4"/>
      <c r="K8957" s="4"/>
      <c r="L8957" s="4"/>
      <c r="M8957" s="4"/>
      <c r="N8957" s="4"/>
    </row>
    <row r="8958" spans="1:14" ht="12.75" customHeight="1" x14ac:dyDescent="0.2">
      <c r="A8958" s="398" t="s">
        <v>929</v>
      </c>
      <c r="B8958" s="271"/>
      <c r="C8958" s="271"/>
      <c r="D8958" s="271"/>
      <c r="E8958" s="271"/>
      <c r="F8958" s="271"/>
      <c r="G8958" s="271"/>
      <c r="H8958" s="271"/>
      <c r="I8958" s="271"/>
      <c r="J8958" s="271"/>
      <c r="K8958" s="271"/>
      <c r="L8958" s="271"/>
      <c r="M8958" s="271"/>
      <c r="N8958" s="273"/>
    </row>
    <row r="8959" spans="1:14" ht="12.75" customHeight="1" x14ac:dyDescent="0.2">
      <c r="A8959" s="396" t="s">
        <v>76</v>
      </c>
      <c r="B8959" s="271"/>
      <c r="C8959" s="271"/>
      <c r="D8959" s="271"/>
      <c r="E8959" s="271"/>
      <c r="F8959" s="271"/>
      <c r="G8959" s="273"/>
      <c r="H8959" s="88" t="s">
        <v>77</v>
      </c>
      <c r="I8959" s="399" t="s">
        <v>920</v>
      </c>
      <c r="J8959" s="273"/>
      <c r="K8959" s="399" t="s">
        <v>453</v>
      </c>
      <c r="L8959" s="273"/>
      <c r="M8959" s="399" t="s">
        <v>921</v>
      </c>
      <c r="N8959" s="273"/>
    </row>
    <row r="8960" spans="1:14" ht="12.75" customHeight="1" x14ac:dyDescent="0.2">
      <c r="A8960" s="400" t="s">
        <v>960</v>
      </c>
      <c r="B8960" s="271"/>
      <c r="C8960" s="271"/>
      <c r="D8960" s="271"/>
      <c r="E8960" s="271"/>
      <c r="F8960" s="271"/>
      <c r="G8960" s="273"/>
      <c r="H8960" s="29" t="s">
        <v>950</v>
      </c>
      <c r="I8960" s="394">
        <f>+M8947</f>
        <v>211000</v>
      </c>
      <c r="J8960" s="273"/>
      <c r="K8960" s="404">
        <v>0.05</v>
      </c>
      <c r="L8960" s="273"/>
      <c r="M8960" s="394">
        <f t="shared" ref="M8960:M8964" si="1214">IF(A8960="","",I8960*K8960)</f>
        <v>10550</v>
      </c>
      <c r="N8960" s="273"/>
    </row>
    <row r="8961" spans="1:14" ht="12.75" customHeight="1" x14ac:dyDescent="0.2">
      <c r="A8961" s="403"/>
      <c r="B8961" s="271"/>
      <c r="C8961" s="271"/>
      <c r="D8961" s="271"/>
      <c r="E8961" s="271"/>
      <c r="F8961" s="271"/>
      <c r="G8961" s="273"/>
      <c r="H8961" s="29"/>
      <c r="I8961" s="394"/>
      <c r="J8961" s="273"/>
      <c r="K8961" s="404"/>
      <c r="L8961" s="273"/>
      <c r="M8961" s="394" t="str">
        <f t="shared" si="1214"/>
        <v/>
      </c>
      <c r="N8961" s="273"/>
    </row>
    <row r="8962" spans="1:14" ht="12.75" customHeight="1" x14ac:dyDescent="0.2">
      <c r="A8962" s="400"/>
      <c r="B8962" s="271"/>
      <c r="C8962" s="271"/>
      <c r="D8962" s="271"/>
      <c r="E8962" s="271"/>
      <c r="F8962" s="271"/>
      <c r="G8962" s="273"/>
      <c r="H8962" s="29"/>
      <c r="I8962" s="394"/>
      <c r="J8962" s="273"/>
      <c r="K8962" s="395"/>
      <c r="L8962" s="273"/>
      <c r="M8962" s="394" t="str">
        <f t="shared" si="1214"/>
        <v/>
      </c>
      <c r="N8962" s="273"/>
    </row>
    <row r="8963" spans="1:14" ht="12.75" customHeight="1" x14ac:dyDescent="0.2">
      <c r="A8963" s="400"/>
      <c r="B8963" s="271"/>
      <c r="C8963" s="271"/>
      <c r="D8963" s="271"/>
      <c r="E8963" s="271"/>
      <c r="F8963" s="271"/>
      <c r="G8963" s="273"/>
      <c r="H8963" s="29"/>
      <c r="I8963" s="394"/>
      <c r="J8963" s="273"/>
      <c r="K8963" s="395"/>
      <c r="L8963" s="273"/>
      <c r="M8963" s="394" t="str">
        <f t="shared" si="1214"/>
        <v/>
      </c>
      <c r="N8963" s="273"/>
    </row>
    <row r="8964" spans="1:14" ht="12.75" customHeight="1" x14ac:dyDescent="0.2">
      <c r="A8964" s="400"/>
      <c r="B8964" s="271"/>
      <c r="C8964" s="271"/>
      <c r="D8964" s="271"/>
      <c r="E8964" s="271"/>
      <c r="F8964" s="271"/>
      <c r="G8964" s="273"/>
      <c r="H8964" s="29"/>
      <c r="I8964" s="394"/>
      <c r="J8964" s="273"/>
      <c r="K8964" s="395"/>
      <c r="L8964" s="273"/>
      <c r="M8964" s="394" t="str">
        <f t="shared" si="1214"/>
        <v/>
      </c>
      <c r="N8964" s="273"/>
    </row>
    <row r="8965" spans="1:14" ht="12.75" customHeight="1" x14ac:dyDescent="0.25">
      <c r="A8965" s="4"/>
      <c r="B8965" s="4"/>
      <c r="C8965" s="4"/>
      <c r="D8965" s="4"/>
      <c r="E8965" s="4"/>
      <c r="F8965" s="4"/>
      <c r="G8965" s="4"/>
      <c r="H8965" s="4"/>
      <c r="I8965" s="4"/>
      <c r="J8965" s="4"/>
      <c r="K8965" s="396" t="s">
        <v>444</v>
      </c>
      <c r="L8965" s="273"/>
      <c r="M8965" s="394">
        <f>SUM(M8960:N8964)</f>
        <v>10550</v>
      </c>
      <c r="N8965" s="273"/>
    </row>
    <row r="8966" spans="1:14" ht="12.75" customHeight="1" x14ac:dyDescent="0.25">
      <c r="A8966" s="4"/>
      <c r="B8966" s="4"/>
      <c r="C8966" s="4"/>
      <c r="D8966" s="4"/>
      <c r="E8966" s="4"/>
      <c r="F8966" s="4"/>
      <c r="G8966" s="4"/>
      <c r="H8966" s="4"/>
      <c r="I8966" s="4"/>
      <c r="J8966" s="4"/>
      <c r="K8966" s="4"/>
      <c r="L8966" s="4"/>
      <c r="M8966" s="4"/>
      <c r="N8966" s="4"/>
    </row>
    <row r="8967" spans="1:14" ht="12.75" customHeight="1" x14ac:dyDescent="0.2">
      <c r="A8967" s="398" t="s">
        <v>931</v>
      </c>
      <c r="B8967" s="271"/>
      <c r="C8967" s="271"/>
      <c r="D8967" s="271"/>
      <c r="E8967" s="271"/>
      <c r="F8967" s="271"/>
      <c r="G8967" s="271"/>
      <c r="H8967" s="271"/>
      <c r="I8967" s="271"/>
      <c r="J8967" s="271"/>
      <c r="K8967" s="271"/>
      <c r="L8967" s="271"/>
      <c r="M8967" s="271"/>
      <c r="N8967" s="273"/>
    </row>
    <row r="8968" spans="1:14" ht="12.75" customHeight="1" x14ac:dyDescent="0.2">
      <c r="A8968" s="396" t="s">
        <v>76</v>
      </c>
      <c r="B8968" s="271"/>
      <c r="C8968" s="271"/>
      <c r="D8968" s="271"/>
      <c r="E8968" s="271"/>
      <c r="F8968" s="271"/>
      <c r="G8968" s="273"/>
      <c r="H8968" s="88" t="s">
        <v>77</v>
      </c>
      <c r="I8968" s="399" t="s">
        <v>920</v>
      </c>
      <c r="J8968" s="273"/>
      <c r="K8968" s="90" t="s">
        <v>514</v>
      </c>
      <c r="L8968" s="91" t="s">
        <v>932</v>
      </c>
      <c r="M8968" s="399" t="s">
        <v>921</v>
      </c>
      <c r="N8968" s="273"/>
    </row>
    <row r="8969" spans="1:14" ht="12.75" customHeight="1" x14ac:dyDescent="0.25">
      <c r="A8969" s="393" t="s">
        <v>986</v>
      </c>
      <c r="B8969" s="271"/>
      <c r="C8969" s="271"/>
      <c r="D8969" s="271"/>
      <c r="E8969" s="271"/>
      <c r="F8969" s="271"/>
      <c r="G8969" s="273"/>
      <c r="H8969" s="29" t="str">
        <f>IF(A8969="","",VLOOKUP(A8969,AA_Cuadrillas,4,FALSE))</f>
        <v>Cuadrilla</v>
      </c>
      <c r="I8969" s="394">
        <f>IF(A8969="","",VLOOKUP(A8969,AA_Cuadrillas,5,FALSE))</f>
        <v>186763</v>
      </c>
      <c r="J8969" s="273"/>
      <c r="K8969" s="9">
        <f>IF(A8969="","",F.P!$I$2)</f>
        <v>1.88</v>
      </c>
      <c r="L8969" s="97">
        <f>1/20</f>
        <v>0.05</v>
      </c>
      <c r="M8969" s="394">
        <f t="shared" ref="M8969:M8973" si="1215">IF(A8969="","",I8969*K8969*L8969)</f>
        <v>17555.722000000002</v>
      </c>
      <c r="N8969" s="273"/>
    </row>
    <row r="8970" spans="1:14" ht="12.75" customHeight="1" x14ac:dyDescent="0.25">
      <c r="A8970" s="393"/>
      <c r="B8970" s="271"/>
      <c r="C8970" s="271"/>
      <c r="D8970" s="271"/>
      <c r="E8970" s="271"/>
      <c r="F8970" s="271"/>
      <c r="G8970" s="273"/>
      <c r="H8970" s="29" t="str">
        <f>IF(A8970="","",VLOOKUP(A8970,AA_Cuadrillas,4,FALSE))</f>
        <v/>
      </c>
      <c r="I8970" s="394" t="str">
        <f>IF(A8970="","",VLOOKUP(A8970,AA_Cuadrillas,5,FALSE))</f>
        <v/>
      </c>
      <c r="J8970" s="273"/>
      <c r="K8970" s="9" t="str">
        <f>IF(A8970="","",F.P!$I$2)</f>
        <v/>
      </c>
      <c r="L8970" s="9"/>
      <c r="M8970" s="394" t="str">
        <f t="shared" si="1215"/>
        <v/>
      </c>
      <c r="N8970" s="273"/>
    </row>
    <row r="8971" spans="1:14" ht="12.75" customHeight="1" x14ac:dyDescent="0.25">
      <c r="A8971" s="393"/>
      <c r="B8971" s="271"/>
      <c r="C8971" s="271"/>
      <c r="D8971" s="271"/>
      <c r="E8971" s="271"/>
      <c r="F8971" s="271"/>
      <c r="G8971" s="273"/>
      <c r="H8971" s="29" t="str">
        <f>IF(A8971="","",VLOOKUP(A8971,AA_Cuadrillas,4,FALSE))</f>
        <v/>
      </c>
      <c r="I8971" s="394" t="str">
        <f>IF(A8971="","",VLOOKUP(A8971,AA_Cuadrillas,5,FALSE))</f>
        <v/>
      </c>
      <c r="J8971" s="273"/>
      <c r="K8971" s="9" t="str">
        <f>IF(A8971="","",F.P!$I$2)</f>
        <v/>
      </c>
      <c r="L8971" s="37"/>
      <c r="M8971" s="394" t="str">
        <f t="shared" si="1215"/>
        <v/>
      </c>
      <c r="N8971" s="273"/>
    </row>
    <row r="8972" spans="1:14" ht="12.75" customHeight="1" x14ac:dyDescent="0.25">
      <c r="A8972" s="393"/>
      <c r="B8972" s="271"/>
      <c r="C8972" s="271"/>
      <c r="D8972" s="271"/>
      <c r="E8972" s="271"/>
      <c r="F8972" s="271"/>
      <c r="G8972" s="273"/>
      <c r="H8972" s="29" t="str">
        <f>IF(A8972="","",VLOOKUP(A8972,AA_Cuadrillas,4,FALSE))</f>
        <v/>
      </c>
      <c r="I8972" s="394" t="str">
        <f>IF(A8972="","",VLOOKUP(A8972,AA_Cuadrillas,5,FALSE))</f>
        <v/>
      </c>
      <c r="J8972" s="273"/>
      <c r="K8972" s="9" t="str">
        <f>IF(A8972="","",F.P!$I$2)</f>
        <v/>
      </c>
      <c r="L8972" s="37"/>
      <c r="M8972" s="394" t="str">
        <f t="shared" si="1215"/>
        <v/>
      </c>
      <c r="N8972" s="273"/>
    </row>
    <row r="8973" spans="1:14" ht="12.75" customHeight="1" x14ac:dyDescent="0.25">
      <c r="A8973" s="393"/>
      <c r="B8973" s="271"/>
      <c r="C8973" s="271"/>
      <c r="D8973" s="271"/>
      <c r="E8973" s="271"/>
      <c r="F8973" s="271"/>
      <c r="G8973" s="273"/>
      <c r="H8973" s="29" t="str">
        <f>IF(A8973="","",VLOOKUP(A8973,AA_Cuadrillas,4,FALSE))</f>
        <v/>
      </c>
      <c r="I8973" s="394" t="str">
        <f>IF(A8973="","",VLOOKUP(A8973,AA_Cuadrillas,5,FALSE))</f>
        <v/>
      </c>
      <c r="J8973" s="273"/>
      <c r="K8973" s="9" t="str">
        <f>IF(A8973="","",F.P!$I$2)</f>
        <v/>
      </c>
      <c r="L8973" s="37"/>
      <c r="M8973" s="394" t="str">
        <f t="shared" si="1215"/>
        <v/>
      </c>
      <c r="N8973" s="273"/>
    </row>
    <row r="8974" spans="1:14" ht="12.75" customHeight="1" x14ac:dyDescent="0.25">
      <c r="A8974" s="4"/>
      <c r="B8974" s="4"/>
      <c r="C8974" s="4"/>
      <c r="D8974" s="4"/>
      <c r="E8974" s="4"/>
      <c r="F8974" s="4"/>
      <c r="G8974" s="4"/>
      <c r="H8974" s="4"/>
      <c r="I8974" s="4"/>
      <c r="J8974" s="4"/>
      <c r="K8974" s="396" t="s">
        <v>444</v>
      </c>
      <c r="L8974" s="273"/>
      <c r="M8974" s="394">
        <f>SUM(M8969:N8973)</f>
        <v>17555.722000000002</v>
      </c>
      <c r="N8974" s="273"/>
    </row>
    <row r="8975" spans="1:14" ht="12.75" customHeight="1" x14ac:dyDescent="0.2"/>
    <row r="8976" spans="1:14" ht="12.75" customHeight="1" x14ac:dyDescent="0.2">
      <c r="A8976" s="407" t="s">
        <v>1440</v>
      </c>
      <c r="B8976" s="275"/>
      <c r="C8976" s="275"/>
      <c r="D8976" s="275"/>
      <c r="E8976" s="275"/>
      <c r="F8976" s="275"/>
      <c r="G8976" s="275"/>
      <c r="H8976" s="275"/>
      <c r="I8976" s="275"/>
      <c r="J8976" s="275"/>
      <c r="K8976" s="275"/>
      <c r="L8976" s="275"/>
      <c r="M8976" s="275"/>
      <c r="N8976" s="276"/>
    </row>
    <row r="8977" spans="1:14" ht="12.75" customHeight="1" x14ac:dyDescent="0.2">
      <c r="A8977" s="277"/>
      <c r="B8977" s="278"/>
      <c r="C8977" s="278"/>
      <c r="D8977" s="278"/>
      <c r="E8977" s="278"/>
      <c r="F8977" s="278"/>
      <c r="G8977" s="278"/>
      <c r="H8977" s="278"/>
      <c r="I8977" s="278"/>
      <c r="J8977" s="278"/>
      <c r="K8977" s="278"/>
      <c r="L8977" s="278"/>
      <c r="M8977" s="278"/>
      <c r="N8977" s="279"/>
    </row>
    <row r="8978" spans="1:14" ht="12.75" customHeight="1" x14ac:dyDescent="0.2">
      <c r="A8978" s="75"/>
      <c r="B8978" s="75"/>
      <c r="C8978" s="75"/>
      <c r="D8978" s="75"/>
      <c r="E8978" s="75"/>
      <c r="F8978" s="75"/>
      <c r="G8978" s="75"/>
      <c r="H8978" s="75"/>
      <c r="I8978" s="75"/>
      <c r="J8978" s="75"/>
      <c r="K8978" s="75"/>
      <c r="L8978" s="75"/>
      <c r="M8978" s="75"/>
      <c r="N8978" s="75"/>
    </row>
    <row r="8979" spans="1:14" ht="12.75" customHeight="1" x14ac:dyDescent="0.3">
      <c r="A8979" s="79" t="s">
        <v>811</v>
      </c>
      <c r="B8979" s="80" t="str">
        <f>A8976</f>
        <v>SUMINISTRO E INSTALACIÓN CODO 90° Ø2" EN HIERRO DUCTIL CON UNIÓN MECÁNICA (INCLUYE MATERIALES, HERRAMIENTAS Y MANO DE OBRA)</v>
      </c>
      <c r="C8979" s="81" t="s">
        <v>916</v>
      </c>
      <c r="D8979" s="82" t="s">
        <v>999</v>
      </c>
      <c r="E8979" s="83" t="s">
        <v>445</v>
      </c>
      <c r="F8979" s="86">
        <f>H8979+J8979+L8979+N8979</f>
        <v>134983.50810000001</v>
      </c>
      <c r="G8979" s="83" t="s">
        <v>607</v>
      </c>
      <c r="H8979" s="86">
        <f>M8991</f>
        <v>111000</v>
      </c>
      <c r="I8979" s="83" t="s">
        <v>918</v>
      </c>
      <c r="J8979" s="86">
        <f>M9000</f>
        <v>877.78610000000015</v>
      </c>
      <c r="K8979" s="83" t="s">
        <v>609</v>
      </c>
      <c r="L8979" s="86">
        <f>M9009</f>
        <v>5550</v>
      </c>
      <c r="M8979" s="83" t="s">
        <v>610</v>
      </c>
      <c r="N8979" s="86">
        <f>M9018</f>
        <v>17555.722000000002</v>
      </c>
    </row>
    <row r="8980" spans="1:14" ht="12.75" customHeight="1" x14ac:dyDescent="0.25">
      <c r="A8980" s="87"/>
      <c r="B8980" s="87"/>
      <c r="C8980" s="87"/>
      <c r="D8980" s="87"/>
      <c r="E8980" s="87"/>
      <c r="F8980" s="87"/>
      <c r="G8980" s="87"/>
      <c r="J8980" s="87"/>
      <c r="K8980" s="215" t="s">
        <v>3217</v>
      </c>
      <c r="L8980" s="215">
        <f>+F8979*presup!$O$5</f>
        <v>175478.56053000002</v>
      </c>
      <c r="M8980" s="87"/>
      <c r="N8980" s="87"/>
    </row>
    <row r="8981" spans="1:14" ht="12.75" customHeight="1" x14ac:dyDescent="0.2">
      <c r="A8981" s="398" t="s">
        <v>919</v>
      </c>
      <c r="B8981" s="271"/>
      <c r="C8981" s="271"/>
      <c r="D8981" s="271"/>
      <c r="E8981" s="271"/>
      <c r="F8981" s="271"/>
      <c r="G8981" s="271"/>
      <c r="H8981" s="271"/>
      <c r="I8981" s="271"/>
      <c r="J8981" s="271"/>
      <c r="K8981" s="271"/>
      <c r="L8981" s="271"/>
      <c r="M8981" s="271"/>
      <c r="N8981" s="273"/>
    </row>
    <row r="8982" spans="1:14" ht="12.75" customHeight="1" x14ac:dyDescent="0.2">
      <c r="A8982" s="396" t="s">
        <v>76</v>
      </c>
      <c r="B8982" s="271"/>
      <c r="C8982" s="271"/>
      <c r="D8982" s="271"/>
      <c r="E8982" s="271"/>
      <c r="F8982" s="271"/>
      <c r="G8982" s="273"/>
      <c r="H8982" s="88" t="s">
        <v>77</v>
      </c>
      <c r="I8982" s="399" t="s">
        <v>920</v>
      </c>
      <c r="J8982" s="273"/>
      <c r="K8982" s="399" t="s">
        <v>453</v>
      </c>
      <c r="L8982" s="273"/>
      <c r="M8982" s="399" t="s">
        <v>921</v>
      </c>
      <c r="N8982" s="273"/>
    </row>
    <row r="8983" spans="1:14" ht="12.75" customHeight="1" x14ac:dyDescent="0.2">
      <c r="A8983" s="403" t="s">
        <v>1441</v>
      </c>
      <c r="B8983" s="271"/>
      <c r="C8983" s="271"/>
      <c r="D8983" s="271"/>
      <c r="E8983" s="271"/>
      <c r="F8983" s="271"/>
      <c r="G8983" s="273"/>
      <c r="H8983" s="29" t="str">
        <f t="shared" ref="H8983:H8990" si="1216">IF(A8983="","",VLOOKUP(A8983,AA_Materiales,7,FALSE))</f>
        <v>Unidad</v>
      </c>
      <c r="I8983" s="394">
        <f t="shared" ref="I8983:I8990" si="1217">IF(A8983="","",VLOOKUP(A8983,AA_Materiales,8,FALSE))</f>
        <v>111000</v>
      </c>
      <c r="J8983" s="273"/>
      <c r="K8983" s="395">
        <v>1</v>
      </c>
      <c r="L8983" s="273"/>
      <c r="M8983" s="394">
        <f t="shared" ref="M8983:M8990" si="1218">IF(A8983="","",I8983*K8983)</f>
        <v>111000</v>
      </c>
      <c r="N8983" s="273"/>
    </row>
    <row r="8984" spans="1:14" ht="12.75" customHeight="1" x14ac:dyDescent="0.2">
      <c r="A8984" s="403"/>
      <c r="B8984" s="271"/>
      <c r="C8984" s="271"/>
      <c r="D8984" s="271"/>
      <c r="E8984" s="271"/>
      <c r="F8984" s="271"/>
      <c r="G8984" s="273"/>
      <c r="H8984" s="29" t="str">
        <f t="shared" si="1216"/>
        <v/>
      </c>
      <c r="I8984" s="394" t="str">
        <f t="shared" si="1217"/>
        <v/>
      </c>
      <c r="J8984" s="273"/>
      <c r="K8984" s="395"/>
      <c r="L8984" s="273"/>
      <c r="M8984" s="394" t="str">
        <f t="shared" si="1218"/>
        <v/>
      </c>
      <c r="N8984" s="273"/>
    </row>
    <row r="8985" spans="1:14" ht="12.75" customHeight="1" x14ac:dyDescent="0.2">
      <c r="A8985" s="403"/>
      <c r="B8985" s="271"/>
      <c r="C8985" s="271"/>
      <c r="D8985" s="271"/>
      <c r="E8985" s="271"/>
      <c r="F8985" s="271"/>
      <c r="G8985" s="273"/>
      <c r="H8985" s="29" t="str">
        <f t="shared" si="1216"/>
        <v/>
      </c>
      <c r="I8985" s="394" t="str">
        <f t="shared" si="1217"/>
        <v/>
      </c>
      <c r="J8985" s="273"/>
      <c r="K8985" s="395"/>
      <c r="L8985" s="273"/>
      <c r="M8985" s="394" t="str">
        <f t="shared" si="1218"/>
        <v/>
      </c>
      <c r="N8985" s="273"/>
    </row>
    <row r="8986" spans="1:14" ht="12.75" customHeight="1" x14ac:dyDescent="0.2">
      <c r="A8986" s="403"/>
      <c r="B8986" s="271"/>
      <c r="C8986" s="271"/>
      <c r="D8986" s="271"/>
      <c r="E8986" s="271"/>
      <c r="F8986" s="271"/>
      <c r="G8986" s="273"/>
      <c r="H8986" s="29" t="str">
        <f t="shared" si="1216"/>
        <v/>
      </c>
      <c r="I8986" s="394" t="str">
        <f t="shared" si="1217"/>
        <v/>
      </c>
      <c r="J8986" s="273"/>
      <c r="K8986" s="395"/>
      <c r="L8986" s="273"/>
      <c r="M8986" s="394" t="str">
        <f t="shared" si="1218"/>
        <v/>
      </c>
      <c r="N8986" s="273"/>
    </row>
    <row r="8987" spans="1:14" ht="12.75" customHeight="1" x14ac:dyDescent="0.2">
      <c r="A8987" s="403"/>
      <c r="B8987" s="271"/>
      <c r="C8987" s="271"/>
      <c r="D8987" s="271"/>
      <c r="E8987" s="271"/>
      <c r="F8987" s="271"/>
      <c r="G8987" s="273"/>
      <c r="H8987" s="29" t="str">
        <f t="shared" si="1216"/>
        <v/>
      </c>
      <c r="I8987" s="394" t="str">
        <f t="shared" si="1217"/>
        <v/>
      </c>
      <c r="J8987" s="273"/>
      <c r="K8987" s="395"/>
      <c r="L8987" s="273"/>
      <c r="M8987" s="394" t="str">
        <f t="shared" si="1218"/>
        <v/>
      </c>
      <c r="N8987" s="273"/>
    </row>
    <row r="8988" spans="1:14" ht="12.75" customHeight="1" x14ac:dyDescent="0.2">
      <c r="A8988" s="403"/>
      <c r="B8988" s="271"/>
      <c r="C8988" s="271"/>
      <c r="D8988" s="271"/>
      <c r="E8988" s="271"/>
      <c r="F8988" s="271"/>
      <c r="G8988" s="273"/>
      <c r="H8988" s="29" t="str">
        <f t="shared" si="1216"/>
        <v/>
      </c>
      <c r="I8988" s="394" t="str">
        <f t="shared" si="1217"/>
        <v/>
      </c>
      <c r="J8988" s="273"/>
      <c r="K8988" s="395"/>
      <c r="L8988" s="273"/>
      <c r="M8988" s="394" t="str">
        <f t="shared" si="1218"/>
        <v/>
      </c>
      <c r="N8988" s="273"/>
    </row>
    <row r="8989" spans="1:14" ht="12.75" customHeight="1" x14ac:dyDescent="0.2">
      <c r="A8989" s="403"/>
      <c r="B8989" s="271"/>
      <c r="C8989" s="271"/>
      <c r="D8989" s="271"/>
      <c r="E8989" s="271"/>
      <c r="F8989" s="271"/>
      <c r="G8989" s="273"/>
      <c r="H8989" s="29" t="str">
        <f t="shared" si="1216"/>
        <v/>
      </c>
      <c r="I8989" s="394" t="str">
        <f t="shared" si="1217"/>
        <v/>
      </c>
      <c r="J8989" s="273"/>
      <c r="K8989" s="395"/>
      <c r="L8989" s="273"/>
      <c r="M8989" s="394" t="str">
        <f t="shared" si="1218"/>
        <v/>
      </c>
      <c r="N8989" s="273"/>
    </row>
    <row r="8990" spans="1:14" ht="12.75" customHeight="1" x14ac:dyDescent="0.2">
      <c r="A8990" s="403"/>
      <c r="B8990" s="271"/>
      <c r="C8990" s="271"/>
      <c r="D8990" s="271"/>
      <c r="E8990" s="271"/>
      <c r="F8990" s="271"/>
      <c r="G8990" s="273"/>
      <c r="H8990" s="29" t="str">
        <f t="shared" si="1216"/>
        <v/>
      </c>
      <c r="I8990" s="394" t="str">
        <f t="shared" si="1217"/>
        <v/>
      </c>
      <c r="J8990" s="273"/>
      <c r="K8990" s="395"/>
      <c r="L8990" s="273"/>
      <c r="M8990" s="394" t="str">
        <f t="shared" si="1218"/>
        <v/>
      </c>
      <c r="N8990" s="273"/>
    </row>
    <row r="8991" spans="1:14" ht="12.75" customHeight="1" x14ac:dyDescent="0.25">
      <c r="A8991" s="4"/>
      <c r="B8991" s="4"/>
      <c r="C8991" s="4"/>
      <c r="D8991" s="4"/>
      <c r="E8991" s="4"/>
      <c r="F8991" s="4"/>
      <c r="G8991" s="4"/>
      <c r="H8991" s="4"/>
      <c r="I8991" s="4"/>
      <c r="J8991" s="4"/>
      <c r="K8991" s="396" t="s">
        <v>444</v>
      </c>
      <c r="L8991" s="273"/>
      <c r="M8991" s="394">
        <f>SUM(M8983:N8990)</f>
        <v>111000</v>
      </c>
      <c r="N8991" s="273"/>
    </row>
    <row r="8992" spans="1:14" ht="12.75" customHeight="1" x14ac:dyDescent="0.25">
      <c r="A8992" s="4"/>
      <c r="B8992" s="4"/>
      <c r="C8992" s="4"/>
      <c r="D8992" s="4"/>
      <c r="E8992" s="4"/>
      <c r="F8992" s="4"/>
      <c r="G8992" s="4"/>
      <c r="H8992" s="4"/>
      <c r="I8992" s="4"/>
      <c r="J8992" s="4"/>
      <c r="K8992" s="4"/>
      <c r="L8992" s="4"/>
      <c r="M8992" s="4"/>
      <c r="N8992" s="4"/>
    </row>
    <row r="8993" spans="1:14" ht="12.75" customHeight="1" x14ac:dyDescent="0.2">
      <c r="A8993" s="398" t="s">
        <v>926</v>
      </c>
      <c r="B8993" s="271"/>
      <c r="C8993" s="271"/>
      <c r="D8993" s="271"/>
      <c r="E8993" s="271"/>
      <c r="F8993" s="271"/>
      <c r="G8993" s="271"/>
      <c r="H8993" s="271"/>
      <c r="I8993" s="271"/>
      <c r="J8993" s="271"/>
      <c r="K8993" s="271"/>
      <c r="L8993" s="271"/>
      <c r="M8993" s="271"/>
      <c r="N8993" s="273"/>
    </row>
    <row r="8994" spans="1:14" ht="12.75" customHeight="1" x14ac:dyDescent="0.2">
      <c r="A8994" s="396" t="s">
        <v>76</v>
      </c>
      <c r="B8994" s="271"/>
      <c r="C8994" s="271"/>
      <c r="D8994" s="271"/>
      <c r="E8994" s="271"/>
      <c r="F8994" s="271"/>
      <c r="G8994" s="273"/>
      <c r="H8994" s="88" t="s">
        <v>77</v>
      </c>
      <c r="I8994" s="399" t="s">
        <v>920</v>
      </c>
      <c r="J8994" s="273"/>
      <c r="K8994" s="399" t="s">
        <v>453</v>
      </c>
      <c r="L8994" s="273"/>
      <c r="M8994" s="399" t="s">
        <v>921</v>
      </c>
      <c r="N8994" s="273"/>
    </row>
    <row r="8995" spans="1:14" ht="12.75" customHeight="1" x14ac:dyDescent="0.2">
      <c r="A8995" s="400" t="s">
        <v>927</v>
      </c>
      <c r="B8995" s="271"/>
      <c r="C8995" s="271"/>
      <c r="D8995" s="271"/>
      <c r="E8995" s="271"/>
      <c r="F8995" s="271"/>
      <c r="G8995" s="273"/>
      <c r="H8995" s="29" t="str">
        <f>IF(A8995="","",VLOOKUP(A8995,AA_Equipos,7,FALSE))</f>
        <v>% M.O.</v>
      </c>
      <c r="I8995" s="394">
        <f>+M9018</f>
        <v>17555.722000000002</v>
      </c>
      <c r="J8995" s="273"/>
      <c r="K8995" s="404">
        <v>0.05</v>
      </c>
      <c r="L8995" s="273"/>
      <c r="M8995" s="394">
        <f t="shared" ref="M8995:M8999" si="1219">IF(A8995="","",I8995*K8995)</f>
        <v>877.78610000000015</v>
      </c>
      <c r="N8995" s="273"/>
    </row>
    <row r="8996" spans="1:14" ht="12.75" customHeight="1" x14ac:dyDescent="0.2">
      <c r="A8996" s="403"/>
      <c r="B8996" s="271"/>
      <c r="C8996" s="271"/>
      <c r="D8996" s="271"/>
      <c r="E8996" s="271"/>
      <c r="F8996" s="271"/>
      <c r="G8996" s="273"/>
      <c r="H8996" s="29" t="str">
        <f>IF(A8996="","",VLOOKUP(A8996,AA_Equipos,7,FALSE))</f>
        <v/>
      </c>
      <c r="I8996" s="394" t="str">
        <f>IF(A8996="","",VLOOKUP(A8996,AA_Equipos,8,FALSE))</f>
        <v/>
      </c>
      <c r="J8996" s="273"/>
      <c r="K8996" s="402"/>
      <c r="L8996" s="273"/>
      <c r="M8996" s="394" t="str">
        <f t="shared" si="1219"/>
        <v/>
      </c>
      <c r="N8996" s="273"/>
    </row>
    <row r="8997" spans="1:14" ht="12.75" customHeight="1" x14ac:dyDescent="0.2">
      <c r="A8997" s="400"/>
      <c r="B8997" s="271"/>
      <c r="C8997" s="271"/>
      <c r="D8997" s="271"/>
      <c r="E8997" s="271"/>
      <c r="F8997" s="271"/>
      <c r="G8997" s="273"/>
      <c r="H8997" s="29" t="str">
        <f>IF(A8997="","",VLOOKUP(A8997,AA_Equipos,7,FALSE))</f>
        <v/>
      </c>
      <c r="I8997" s="394" t="str">
        <f>IF(A8997="","",VLOOKUP(A8997,AA_Equipos,8,FALSE))</f>
        <v/>
      </c>
      <c r="J8997" s="273"/>
      <c r="K8997" s="401"/>
      <c r="L8997" s="273"/>
      <c r="M8997" s="394" t="str">
        <f t="shared" si="1219"/>
        <v/>
      </c>
      <c r="N8997" s="273"/>
    </row>
    <row r="8998" spans="1:14" ht="12.75" customHeight="1" x14ac:dyDescent="0.2">
      <c r="A8998" s="400"/>
      <c r="B8998" s="271"/>
      <c r="C8998" s="271"/>
      <c r="D8998" s="271"/>
      <c r="E8998" s="271"/>
      <c r="F8998" s="271"/>
      <c r="G8998" s="273"/>
      <c r="H8998" s="29" t="str">
        <f>IF(A8998="","",VLOOKUP(A8998,AA_Equipos,7,FALSE))</f>
        <v/>
      </c>
      <c r="I8998" s="394" t="str">
        <f>IF(A8998="","",VLOOKUP(A8998,AA_Equipos,8,FALSE))</f>
        <v/>
      </c>
      <c r="J8998" s="273"/>
      <c r="K8998" s="395"/>
      <c r="L8998" s="273"/>
      <c r="M8998" s="394" t="str">
        <f t="shared" si="1219"/>
        <v/>
      </c>
      <c r="N8998" s="273"/>
    </row>
    <row r="8999" spans="1:14" ht="12.75" customHeight="1" x14ac:dyDescent="0.2">
      <c r="A8999" s="400"/>
      <c r="B8999" s="271"/>
      <c r="C8999" s="271"/>
      <c r="D8999" s="271"/>
      <c r="E8999" s="271"/>
      <c r="F8999" s="271"/>
      <c r="G8999" s="273"/>
      <c r="H8999" s="29" t="str">
        <f>IF(A8999="","",VLOOKUP(A8999,AA_Equipos,7,FALSE))</f>
        <v/>
      </c>
      <c r="I8999" s="394" t="str">
        <f>IF(A8999="","",VLOOKUP(A8999,AA_Equipos,8,FALSE))</f>
        <v/>
      </c>
      <c r="J8999" s="273"/>
      <c r="K8999" s="395"/>
      <c r="L8999" s="273"/>
      <c r="M8999" s="394" t="str">
        <f t="shared" si="1219"/>
        <v/>
      </c>
      <c r="N8999" s="273"/>
    </row>
    <row r="9000" spans="1:14" ht="12.75" customHeight="1" x14ac:dyDescent="0.25">
      <c r="A9000" s="4"/>
      <c r="B9000" s="4"/>
      <c r="C9000" s="4"/>
      <c r="D9000" s="4"/>
      <c r="E9000" s="4"/>
      <c r="F9000" s="4"/>
      <c r="G9000" s="4"/>
      <c r="H9000" s="4"/>
      <c r="I9000" s="4"/>
      <c r="J9000" s="4"/>
      <c r="K9000" s="396" t="s">
        <v>444</v>
      </c>
      <c r="L9000" s="273"/>
      <c r="M9000" s="394">
        <f>SUM(M8995:N8999)</f>
        <v>877.78610000000015</v>
      </c>
      <c r="N9000" s="273"/>
    </row>
    <row r="9001" spans="1:14" ht="12.75" customHeight="1" x14ac:dyDescent="0.25">
      <c r="A9001" s="4"/>
      <c r="B9001" s="4"/>
      <c r="C9001" s="4"/>
      <c r="D9001" s="4"/>
      <c r="E9001" s="4"/>
      <c r="F9001" s="4"/>
      <c r="G9001" s="4"/>
      <c r="H9001" s="4"/>
      <c r="I9001" s="4"/>
      <c r="J9001" s="4"/>
      <c r="K9001" s="4"/>
      <c r="L9001" s="4"/>
      <c r="M9001" s="4"/>
      <c r="N9001" s="4"/>
    </row>
    <row r="9002" spans="1:14" ht="12.75" customHeight="1" x14ac:dyDescent="0.2">
      <c r="A9002" s="398" t="s">
        <v>929</v>
      </c>
      <c r="B9002" s="271"/>
      <c r="C9002" s="271"/>
      <c r="D9002" s="271"/>
      <c r="E9002" s="271"/>
      <c r="F9002" s="271"/>
      <c r="G9002" s="271"/>
      <c r="H9002" s="271"/>
      <c r="I9002" s="271"/>
      <c r="J9002" s="271"/>
      <c r="K9002" s="271"/>
      <c r="L9002" s="271"/>
      <c r="M9002" s="271"/>
      <c r="N9002" s="273"/>
    </row>
    <row r="9003" spans="1:14" ht="12.75" customHeight="1" x14ac:dyDescent="0.2">
      <c r="A9003" s="396" t="s">
        <v>76</v>
      </c>
      <c r="B9003" s="271"/>
      <c r="C9003" s="271"/>
      <c r="D9003" s="271"/>
      <c r="E9003" s="271"/>
      <c r="F9003" s="271"/>
      <c r="G9003" s="273"/>
      <c r="H9003" s="88" t="s">
        <v>77</v>
      </c>
      <c r="I9003" s="399" t="s">
        <v>920</v>
      </c>
      <c r="J9003" s="273"/>
      <c r="K9003" s="399" t="s">
        <v>453</v>
      </c>
      <c r="L9003" s="273"/>
      <c r="M9003" s="399" t="s">
        <v>921</v>
      </c>
      <c r="N9003" s="273"/>
    </row>
    <row r="9004" spans="1:14" ht="12.75" customHeight="1" x14ac:dyDescent="0.2">
      <c r="A9004" s="400" t="s">
        <v>960</v>
      </c>
      <c r="B9004" s="271"/>
      <c r="C9004" s="271"/>
      <c r="D9004" s="271"/>
      <c r="E9004" s="271"/>
      <c r="F9004" s="271"/>
      <c r="G9004" s="273"/>
      <c r="H9004" s="29" t="s">
        <v>950</v>
      </c>
      <c r="I9004" s="394">
        <f>+M8991</f>
        <v>111000</v>
      </c>
      <c r="J9004" s="273"/>
      <c r="K9004" s="404">
        <v>0.05</v>
      </c>
      <c r="L9004" s="273"/>
      <c r="M9004" s="394">
        <f t="shared" ref="M9004:M9008" si="1220">IF(A9004="","",I9004*K9004)</f>
        <v>5550</v>
      </c>
      <c r="N9004" s="273"/>
    </row>
    <row r="9005" spans="1:14" ht="12.75" customHeight="1" x14ac:dyDescent="0.2">
      <c r="A9005" s="403"/>
      <c r="B9005" s="271"/>
      <c r="C9005" s="271"/>
      <c r="D9005" s="271"/>
      <c r="E9005" s="271"/>
      <c r="F9005" s="271"/>
      <c r="G9005" s="273"/>
      <c r="H9005" s="29"/>
      <c r="I9005" s="394"/>
      <c r="J9005" s="273"/>
      <c r="K9005" s="404"/>
      <c r="L9005" s="273"/>
      <c r="M9005" s="394" t="str">
        <f t="shared" si="1220"/>
        <v/>
      </c>
      <c r="N9005" s="273"/>
    </row>
    <row r="9006" spans="1:14" ht="12.75" customHeight="1" x14ac:dyDescent="0.2">
      <c r="A9006" s="400"/>
      <c r="B9006" s="271"/>
      <c r="C9006" s="271"/>
      <c r="D9006" s="271"/>
      <c r="E9006" s="271"/>
      <c r="F9006" s="271"/>
      <c r="G9006" s="273"/>
      <c r="H9006" s="29"/>
      <c r="I9006" s="394"/>
      <c r="J9006" s="273"/>
      <c r="K9006" s="395"/>
      <c r="L9006" s="273"/>
      <c r="M9006" s="394" t="str">
        <f t="shared" si="1220"/>
        <v/>
      </c>
      <c r="N9006" s="273"/>
    </row>
    <row r="9007" spans="1:14" ht="12.75" customHeight="1" x14ac:dyDescent="0.2">
      <c r="A9007" s="400"/>
      <c r="B9007" s="271"/>
      <c r="C9007" s="271"/>
      <c r="D9007" s="271"/>
      <c r="E9007" s="271"/>
      <c r="F9007" s="271"/>
      <c r="G9007" s="273"/>
      <c r="H9007" s="29"/>
      <c r="I9007" s="394"/>
      <c r="J9007" s="273"/>
      <c r="K9007" s="395"/>
      <c r="L9007" s="273"/>
      <c r="M9007" s="394" t="str">
        <f t="shared" si="1220"/>
        <v/>
      </c>
      <c r="N9007" s="273"/>
    </row>
    <row r="9008" spans="1:14" ht="12.75" customHeight="1" x14ac:dyDescent="0.2">
      <c r="A9008" s="400"/>
      <c r="B9008" s="271"/>
      <c r="C9008" s="271"/>
      <c r="D9008" s="271"/>
      <c r="E9008" s="271"/>
      <c r="F9008" s="271"/>
      <c r="G9008" s="273"/>
      <c r="H9008" s="29"/>
      <c r="I9008" s="394"/>
      <c r="J9008" s="273"/>
      <c r="K9008" s="395"/>
      <c r="L9008" s="273"/>
      <c r="M9008" s="394" t="str">
        <f t="shared" si="1220"/>
        <v/>
      </c>
      <c r="N9008" s="273"/>
    </row>
    <row r="9009" spans="1:15" ht="12.75" customHeight="1" x14ac:dyDescent="0.25">
      <c r="A9009" s="4"/>
      <c r="B9009" s="4"/>
      <c r="C9009" s="4"/>
      <c r="D9009" s="4"/>
      <c r="E9009" s="4"/>
      <c r="F9009" s="4"/>
      <c r="G9009" s="4"/>
      <c r="H9009" s="4"/>
      <c r="I9009" s="4"/>
      <c r="J9009" s="4"/>
      <c r="K9009" s="396" t="s">
        <v>444</v>
      </c>
      <c r="L9009" s="273"/>
      <c r="M9009" s="394">
        <f>SUM(M9004:N9008)</f>
        <v>5550</v>
      </c>
      <c r="N9009" s="273"/>
    </row>
    <row r="9010" spans="1:15" ht="12.75" customHeight="1" x14ac:dyDescent="0.25">
      <c r="A9010" s="4"/>
      <c r="B9010" s="4"/>
      <c r="C9010" s="4"/>
      <c r="D9010" s="4"/>
      <c r="E9010" s="4"/>
      <c r="F9010" s="4"/>
      <c r="G9010" s="4"/>
      <c r="H9010" s="4"/>
      <c r="I9010" s="4"/>
      <c r="J9010" s="4"/>
      <c r="K9010" s="4"/>
      <c r="L9010" s="4"/>
      <c r="M9010" s="4"/>
      <c r="N9010" s="4"/>
    </row>
    <row r="9011" spans="1:15" ht="12.75" customHeight="1" x14ac:dyDescent="0.2">
      <c r="A9011" s="398" t="s">
        <v>931</v>
      </c>
      <c r="B9011" s="271"/>
      <c r="C9011" s="271"/>
      <c r="D9011" s="271"/>
      <c r="E9011" s="271"/>
      <c r="F9011" s="271"/>
      <c r="G9011" s="271"/>
      <c r="H9011" s="271"/>
      <c r="I9011" s="271"/>
      <c r="J9011" s="271"/>
      <c r="K9011" s="271"/>
      <c r="L9011" s="271"/>
      <c r="M9011" s="271"/>
      <c r="N9011" s="273"/>
    </row>
    <row r="9012" spans="1:15" ht="12.75" customHeight="1" x14ac:dyDescent="0.2">
      <c r="A9012" s="396" t="s">
        <v>76</v>
      </c>
      <c r="B9012" s="271"/>
      <c r="C9012" s="271"/>
      <c r="D9012" s="271"/>
      <c r="E9012" s="271"/>
      <c r="F9012" s="271"/>
      <c r="G9012" s="273"/>
      <c r="H9012" s="88" t="s">
        <v>77</v>
      </c>
      <c r="I9012" s="399" t="s">
        <v>920</v>
      </c>
      <c r="J9012" s="273"/>
      <c r="K9012" s="90" t="s">
        <v>514</v>
      </c>
      <c r="L9012" s="91" t="s">
        <v>932</v>
      </c>
      <c r="M9012" s="399" t="s">
        <v>921</v>
      </c>
      <c r="N9012" s="273"/>
    </row>
    <row r="9013" spans="1:15" ht="12.75" customHeight="1" x14ac:dyDescent="0.25">
      <c r="A9013" s="393" t="s">
        <v>986</v>
      </c>
      <c r="B9013" s="271"/>
      <c r="C9013" s="271"/>
      <c r="D9013" s="271"/>
      <c r="E9013" s="271"/>
      <c r="F9013" s="271"/>
      <c r="G9013" s="273"/>
      <c r="H9013" s="29" t="str">
        <f>IF(A9013="","",VLOOKUP(A9013,AA_Cuadrillas,4,FALSE))</f>
        <v>Cuadrilla</v>
      </c>
      <c r="I9013" s="394">
        <f>IF(A9013="","",VLOOKUP(A9013,AA_Cuadrillas,5,FALSE))</f>
        <v>186763</v>
      </c>
      <c r="J9013" s="273"/>
      <c r="K9013" s="9">
        <f>IF(A9013="","",F.P!$I$2)</f>
        <v>1.88</v>
      </c>
      <c r="L9013" s="97">
        <f>1/20</f>
        <v>0.05</v>
      </c>
      <c r="M9013" s="394">
        <f t="shared" ref="M9013:M9017" si="1221">IF(A9013="","",I9013*K9013*L9013)</f>
        <v>17555.722000000002</v>
      </c>
      <c r="N9013" s="273"/>
    </row>
    <row r="9014" spans="1:15" ht="12.75" customHeight="1" x14ac:dyDescent="0.25">
      <c r="A9014" s="393"/>
      <c r="B9014" s="271"/>
      <c r="C9014" s="271"/>
      <c r="D9014" s="271"/>
      <c r="E9014" s="271"/>
      <c r="F9014" s="271"/>
      <c r="G9014" s="273"/>
      <c r="H9014" s="29" t="str">
        <f>IF(A9014="","",VLOOKUP(A9014,AA_Cuadrillas,4,FALSE))</f>
        <v/>
      </c>
      <c r="I9014" s="394" t="str">
        <f>IF(A9014="","",VLOOKUP(A9014,AA_Cuadrillas,5,FALSE))</f>
        <v/>
      </c>
      <c r="J9014" s="273"/>
      <c r="K9014" s="9" t="str">
        <f>IF(A9014="","",F.P!$I$2)</f>
        <v/>
      </c>
      <c r="L9014" s="9"/>
      <c r="M9014" s="394" t="str">
        <f t="shared" si="1221"/>
        <v/>
      </c>
      <c r="N9014" s="273"/>
    </row>
    <row r="9015" spans="1:15" ht="12.75" customHeight="1" x14ac:dyDescent="0.25">
      <c r="A9015" s="393"/>
      <c r="B9015" s="271"/>
      <c r="C9015" s="271"/>
      <c r="D9015" s="271"/>
      <c r="E9015" s="271"/>
      <c r="F9015" s="271"/>
      <c r="G9015" s="273"/>
      <c r="H9015" s="29" t="str">
        <f>IF(A9015="","",VLOOKUP(A9015,AA_Cuadrillas,4,FALSE))</f>
        <v/>
      </c>
      <c r="I9015" s="394" t="str">
        <f>IF(A9015="","",VLOOKUP(A9015,AA_Cuadrillas,5,FALSE))</f>
        <v/>
      </c>
      <c r="J9015" s="273"/>
      <c r="K9015" s="9" t="str">
        <f>IF(A9015="","",F.P!$I$2)</f>
        <v/>
      </c>
      <c r="L9015" s="37"/>
      <c r="M9015" s="394" t="str">
        <f t="shared" si="1221"/>
        <v/>
      </c>
      <c r="N9015" s="273"/>
    </row>
    <row r="9016" spans="1:15" ht="12.75" customHeight="1" x14ac:dyDescent="0.25">
      <c r="A9016" s="393"/>
      <c r="B9016" s="271"/>
      <c r="C9016" s="271"/>
      <c r="D9016" s="271"/>
      <c r="E9016" s="271"/>
      <c r="F9016" s="271"/>
      <c r="G9016" s="273"/>
      <c r="H9016" s="29" t="str">
        <f>IF(A9016="","",VLOOKUP(A9016,AA_Cuadrillas,4,FALSE))</f>
        <v/>
      </c>
      <c r="I9016" s="394" t="str">
        <f>IF(A9016="","",VLOOKUP(A9016,AA_Cuadrillas,5,FALSE))</f>
        <v/>
      </c>
      <c r="J9016" s="273"/>
      <c r="K9016" s="9" t="str">
        <f>IF(A9016="","",F.P!$I$2)</f>
        <v/>
      </c>
      <c r="L9016" s="37"/>
      <c r="M9016" s="394" t="str">
        <f t="shared" si="1221"/>
        <v/>
      </c>
      <c r="N9016" s="273"/>
    </row>
    <row r="9017" spans="1:15" ht="12.75" customHeight="1" x14ac:dyDescent="0.25">
      <c r="A9017" s="393"/>
      <c r="B9017" s="271"/>
      <c r="C9017" s="271"/>
      <c r="D9017" s="271"/>
      <c r="E9017" s="271"/>
      <c r="F9017" s="271"/>
      <c r="G9017" s="273"/>
      <c r="H9017" s="29" t="str">
        <f>IF(A9017="","",VLOOKUP(A9017,AA_Cuadrillas,4,FALSE))</f>
        <v/>
      </c>
      <c r="I9017" s="394" t="str">
        <f>IF(A9017="","",VLOOKUP(A9017,AA_Cuadrillas,5,FALSE))</f>
        <v/>
      </c>
      <c r="J9017" s="273"/>
      <c r="K9017" s="9" t="str">
        <f>IF(A9017="","",F.P!$I$2)</f>
        <v/>
      </c>
      <c r="L9017" s="37"/>
      <c r="M9017" s="394" t="str">
        <f t="shared" si="1221"/>
        <v/>
      </c>
      <c r="N9017" s="273"/>
    </row>
    <row r="9018" spans="1:15" ht="12.75" customHeight="1" x14ac:dyDescent="0.25">
      <c r="A9018" s="4"/>
      <c r="B9018" s="4"/>
      <c r="C9018" s="4"/>
      <c r="D9018" s="4"/>
      <c r="E9018" s="4"/>
      <c r="F9018" s="4"/>
      <c r="G9018" s="4"/>
      <c r="H9018" s="4"/>
      <c r="I9018" s="4"/>
      <c r="J9018" s="4"/>
      <c r="K9018" s="396" t="s">
        <v>444</v>
      </c>
      <c r="L9018" s="273"/>
      <c r="M9018" s="394">
        <f>SUM(M9013:N9017)</f>
        <v>17555.722000000002</v>
      </c>
      <c r="N9018" s="273"/>
    </row>
    <row r="9019" spans="1:15" ht="12.75" customHeight="1" x14ac:dyDescent="0.2"/>
    <row r="9020" spans="1:15" ht="12.75" customHeight="1" x14ac:dyDescent="0.2">
      <c r="A9020" s="407" t="s">
        <v>372</v>
      </c>
      <c r="B9020" s="275"/>
      <c r="C9020" s="275"/>
      <c r="D9020" s="275"/>
      <c r="E9020" s="275"/>
      <c r="F9020" s="275"/>
      <c r="G9020" s="275"/>
      <c r="H9020" s="275"/>
      <c r="I9020" s="275"/>
      <c r="J9020" s="275"/>
      <c r="K9020" s="275"/>
      <c r="L9020" s="275"/>
      <c r="M9020" s="275"/>
      <c r="N9020" s="276"/>
      <c r="O9020" s="166"/>
    </row>
    <row r="9021" spans="1:15" ht="12.75" customHeight="1" x14ac:dyDescent="0.2">
      <c r="A9021" s="277"/>
      <c r="B9021" s="278"/>
      <c r="C9021" s="278"/>
      <c r="D9021" s="278"/>
      <c r="E9021" s="278"/>
      <c r="F9021" s="278"/>
      <c r="G9021" s="278"/>
      <c r="H9021" s="278"/>
      <c r="I9021" s="278"/>
      <c r="J9021" s="278"/>
      <c r="K9021" s="278"/>
      <c r="L9021" s="278"/>
      <c r="M9021" s="278"/>
      <c r="N9021" s="279"/>
      <c r="O9021" s="166"/>
    </row>
    <row r="9022" spans="1:15" ht="12.75" customHeight="1" x14ac:dyDescent="0.2">
      <c r="A9022" s="75"/>
      <c r="B9022" s="75"/>
      <c r="C9022" s="75"/>
      <c r="D9022" s="75"/>
      <c r="E9022" s="75"/>
      <c r="F9022" s="75"/>
      <c r="G9022" s="75"/>
      <c r="H9022" s="75"/>
      <c r="I9022" s="75"/>
      <c r="J9022" s="75"/>
      <c r="K9022" s="75"/>
      <c r="L9022" s="75"/>
      <c r="M9022" s="75"/>
      <c r="N9022" s="75"/>
    </row>
    <row r="9023" spans="1:15" ht="12.75" customHeight="1" x14ac:dyDescent="0.3">
      <c r="A9023" s="79" t="s">
        <v>812</v>
      </c>
      <c r="B9023" s="80" t="str">
        <f>A9020</f>
        <v>SUMINISTRO E INSTALACIÓN CODO 90° Ø3" EN HIERRO DUCTIL CON UNIÓN MECÁNICA (INCLUYE MATERIALES, HERRAMIENTAS Y MANO DE OBRA)</v>
      </c>
      <c r="C9023" s="81" t="s">
        <v>916</v>
      </c>
      <c r="D9023" s="82" t="s">
        <v>999</v>
      </c>
      <c r="E9023" s="83" t="s">
        <v>445</v>
      </c>
      <c r="F9023" s="234">
        <f>(H9023+J9023+L9023+N9023)*1.3</f>
        <v>302480.61662649998</v>
      </c>
      <c r="G9023" s="83" t="s">
        <v>607</v>
      </c>
      <c r="H9023" s="86">
        <f>M9044</f>
        <v>877.78610000000015</v>
      </c>
      <c r="I9023" s="83" t="s">
        <v>918</v>
      </c>
      <c r="J9023" s="86">
        <f>M9035</f>
        <v>204000</v>
      </c>
      <c r="K9023" s="83" t="s">
        <v>609</v>
      </c>
      <c r="L9023" s="86">
        <f>M9053</f>
        <v>10243.889305000001</v>
      </c>
      <c r="M9023" s="83" t="s">
        <v>610</v>
      </c>
      <c r="N9023" s="86">
        <f>M9062</f>
        <v>17555.722000000002</v>
      </c>
    </row>
    <row r="9024" spans="1:15" ht="12.75" customHeight="1" x14ac:dyDescent="0.25">
      <c r="A9024" s="87"/>
      <c r="B9024" s="87"/>
      <c r="C9024" s="87"/>
      <c r="D9024" s="87"/>
      <c r="E9024" s="87"/>
      <c r="F9024" s="87"/>
      <c r="G9024" s="87"/>
      <c r="J9024" s="87"/>
      <c r="K9024" s="215" t="s">
        <v>3217</v>
      </c>
      <c r="L9024" s="215">
        <f>+F9023*presup!$O$5</f>
        <v>393224.80161445</v>
      </c>
      <c r="M9024" s="87"/>
      <c r="N9024" s="87"/>
    </row>
    <row r="9025" spans="1:14" ht="12.75" customHeight="1" x14ac:dyDescent="0.2">
      <c r="A9025" s="398" t="s">
        <v>919</v>
      </c>
      <c r="B9025" s="271"/>
      <c r="C9025" s="271"/>
      <c r="D9025" s="271"/>
      <c r="E9025" s="271"/>
      <c r="F9025" s="271"/>
      <c r="G9025" s="271"/>
      <c r="H9025" s="271"/>
      <c r="I9025" s="271"/>
      <c r="J9025" s="271"/>
      <c r="K9025" s="271"/>
      <c r="L9025" s="271"/>
      <c r="M9025" s="271"/>
      <c r="N9025" s="273"/>
    </row>
    <row r="9026" spans="1:14" ht="12.75" customHeight="1" x14ac:dyDescent="0.2">
      <c r="A9026" s="396" t="s">
        <v>76</v>
      </c>
      <c r="B9026" s="271"/>
      <c r="C9026" s="271"/>
      <c r="D9026" s="271"/>
      <c r="E9026" s="271"/>
      <c r="F9026" s="271"/>
      <c r="G9026" s="273"/>
      <c r="H9026" s="88" t="s">
        <v>77</v>
      </c>
      <c r="I9026" s="399" t="s">
        <v>920</v>
      </c>
      <c r="J9026" s="273"/>
      <c r="K9026" s="399" t="s">
        <v>453</v>
      </c>
      <c r="L9026" s="273"/>
      <c r="M9026" s="399" t="s">
        <v>921</v>
      </c>
      <c r="N9026" s="273"/>
    </row>
    <row r="9027" spans="1:14" ht="12.75" customHeight="1" x14ac:dyDescent="0.2">
      <c r="A9027" s="403" t="s">
        <v>1442</v>
      </c>
      <c r="B9027" s="271"/>
      <c r="C9027" s="271"/>
      <c r="D9027" s="271"/>
      <c r="E9027" s="271"/>
      <c r="F9027" s="271"/>
      <c r="G9027" s="273"/>
      <c r="H9027" s="29" t="str">
        <f t="shared" ref="H9027:H9034" si="1222">IF(A9027="","",VLOOKUP(A9027,AA_Materiales,7,FALSE))</f>
        <v>Unidad</v>
      </c>
      <c r="I9027" s="394">
        <f t="shared" ref="I9027:I9034" si="1223">IF(A9027="","",VLOOKUP(A9027,AA_Materiales,8,FALSE))</f>
        <v>204000</v>
      </c>
      <c r="J9027" s="273"/>
      <c r="K9027" s="395">
        <v>1</v>
      </c>
      <c r="L9027" s="273"/>
      <c r="M9027" s="394">
        <f t="shared" ref="M9027:M9034" si="1224">IF(A9027="","",I9027*K9027)</f>
        <v>204000</v>
      </c>
      <c r="N9027" s="273"/>
    </row>
    <row r="9028" spans="1:14" ht="12.75" customHeight="1" x14ac:dyDescent="0.2">
      <c r="A9028" s="403"/>
      <c r="B9028" s="271"/>
      <c r="C9028" s="271"/>
      <c r="D9028" s="271"/>
      <c r="E9028" s="271"/>
      <c r="F9028" s="271"/>
      <c r="G9028" s="273"/>
      <c r="H9028" s="29" t="str">
        <f t="shared" si="1222"/>
        <v/>
      </c>
      <c r="I9028" s="394" t="str">
        <f t="shared" si="1223"/>
        <v/>
      </c>
      <c r="J9028" s="273"/>
      <c r="K9028" s="395"/>
      <c r="L9028" s="273"/>
      <c r="M9028" s="394" t="str">
        <f t="shared" si="1224"/>
        <v/>
      </c>
      <c r="N9028" s="273"/>
    </row>
    <row r="9029" spans="1:14" ht="12.75" customHeight="1" x14ac:dyDescent="0.2">
      <c r="A9029" s="403"/>
      <c r="B9029" s="271"/>
      <c r="C9029" s="271"/>
      <c r="D9029" s="271"/>
      <c r="E9029" s="271"/>
      <c r="F9029" s="271"/>
      <c r="G9029" s="273"/>
      <c r="H9029" s="29" t="str">
        <f t="shared" si="1222"/>
        <v/>
      </c>
      <c r="I9029" s="394" t="str">
        <f t="shared" si="1223"/>
        <v/>
      </c>
      <c r="J9029" s="273"/>
      <c r="K9029" s="395"/>
      <c r="L9029" s="273"/>
      <c r="M9029" s="394" t="str">
        <f t="shared" si="1224"/>
        <v/>
      </c>
      <c r="N9029" s="273"/>
    </row>
    <row r="9030" spans="1:14" ht="12.75" customHeight="1" x14ac:dyDescent="0.2">
      <c r="A9030" s="403"/>
      <c r="B9030" s="271"/>
      <c r="C9030" s="271"/>
      <c r="D9030" s="271"/>
      <c r="E9030" s="271"/>
      <c r="F9030" s="271"/>
      <c r="G9030" s="273"/>
      <c r="H9030" s="29" t="str">
        <f t="shared" si="1222"/>
        <v/>
      </c>
      <c r="I9030" s="394" t="str">
        <f t="shared" si="1223"/>
        <v/>
      </c>
      <c r="J9030" s="273"/>
      <c r="K9030" s="395"/>
      <c r="L9030" s="273"/>
      <c r="M9030" s="394" t="str">
        <f t="shared" si="1224"/>
        <v/>
      </c>
      <c r="N9030" s="273"/>
    </row>
    <row r="9031" spans="1:14" ht="12.75" customHeight="1" x14ac:dyDescent="0.2">
      <c r="A9031" s="403"/>
      <c r="B9031" s="271"/>
      <c r="C9031" s="271"/>
      <c r="D9031" s="271"/>
      <c r="E9031" s="271"/>
      <c r="F9031" s="271"/>
      <c r="G9031" s="273"/>
      <c r="H9031" s="29" t="str">
        <f t="shared" si="1222"/>
        <v/>
      </c>
      <c r="I9031" s="394" t="str">
        <f t="shared" si="1223"/>
        <v/>
      </c>
      <c r="J9031" s="273"/>
      <c r="K9031" s="395"/>
      <c r="L9031" s="273"/>
      <c r="M9031" s="394" t="str">
        <f t="shared" si="1224"/>
        <v/>
      </c>
      <c r="N9031" s="273"/>
    </row>
    <row r="9032" spans="1:14" ht="12.75" customHeight="1" x14ac:dyDescent="0.2">
      <c r="A9032" s="403"/>
      <c r="B9032" s="271"/>
      <c r="C9032" s="271"/>
      <c r="D9032" s="271"/>
      <c r="E9032" s="271"/>
      <c r="F9032" s="271"/>
      <c r="G9032" s="273"/>
      <c r="H9032" s="29" t="str">
        <f t="shared" si="1222"/>
        <v/>
      </c>
      <c r="I9032" s="394" t="str">
        <f t="shared" si="1223"/>
        <v/>
      </c>
      <c r="J9032" s="273"/>
      <c r="K9032" s="395"/>
      <c r="L9032" s="273"/>
      <c r="M9032" s="394" t="str">
        <f t="shared" si="1224"/>
        <v/>
      </c>
      <c r="N9032" s="273"/>
    </row>
    <row r="9033" spans="1:14" ht="12.75" customHeight="1" x14ac:dyDescent="0.2">
      <c r="A9033" s="403"/>
      <c r="B9033" s="271"/>
      <c r="C9033" s="271"/>
      <c r="D9033" s="271"/>
      <c r="E9033" s="271"/>
      <c r="F9033" s="271"/>
      <c r="G9033" s="273"/>
      <c r="H9033" s="29" t="str">
        <f t="shared" si="1222"/>
        <v/>
      </c>
      <c r="I9033" s="394" t="str">
        <f t="shared" si="1223"/>
        <v/>
      </c>
      <c r="J9033" s="273"/>
      <c r="K9033" s="395"/>
      <c r="L9033" s="273"/>
      <c r="M9033" s="394" t="str">
        <f t="shared" si="1224"/>
        <v/>
      </c>
      <c r="N9033" s="273"/>
    </row>
    <row r="9034" spans="1:14" ht="12.75" customHeight="1" x14ac:dyDescent="0.2">
      <c r="A9034" s="403"/>
      <c r="B9034" s="271"/>
      <c r="C9034" s="271"/>
      <c r="D9034" s="271"/>
      <c r="E9034" s="271"/>
      <c r="F9034" s="271"/>
      <c r="G9034" s="273"/>
      <c r="H9034" s="29" t="str">
        <f t="shared" si="1222"/>
        <v/>
      </c>
      <c r="I9034" s="394" t="str">
        <f t="shared" si="1223"/>
        <v/>
      </c>
      <c r="J9034" s="273"/>
      <c r="K9034" s="395"/>
      <c r="L9034" s="273"/>
      <c r="M9034" s="394" t="str">
        <f t="shared" si="1224"/>
        <v/>
      </c>
      <c r="N9034" s="273"/>
    </row>
    <row r="9035" spans="1:14" ht="12.75" customHeight="1" x14ac:dyDescent="0.25">
      <c r="A9035" s="4"/>
      <c r="B9035" s="4"/>
      <c r="C9035" s="4"/>
      <c r="D9035" s="4"/>
      <c r="E9035" s="4"/>
      <c r="F9035" s="4"/>
      <c r="G9035" s="4"/>
      <c r="H9035" s="4"/>
      <c r="I9035" s="4"/>
      <c r="J9035" s="4"/>
      <c r="K9035" s="396" t="s">
        <v>444</v>
      </c>
      <c r="L9035" s="273"/>
      <c r="M9035" s="394">
        <f>SUM(M9027:N9034)</f>
        <v>204000</v>
      </c>
      <c r="N9035" s="273"/>
    </row>
    <row r="9036" spans="1:14" ht="12.75" customHeight="1" x14ac:dyDescent="0.25">
      <c r="A9036" s="4"/>
      <c r="B9036" s="4"/>
      <c r="C9036" s="4"/>
      <c r="D9036" s="4"/>
      <c r="E9036" s="4"/>
      <c r="F9036" s="4"/>
      <c r="G9036" s="4"/>
      <c r="H9036" s="4"/>
      <c r="I9036" s="4"/>
      <c r="J9036" s="4"/>
      <c r="K9036" s="4"/>
      <c r="L9036" s="4"/>
      <c r="M9036" s="4"/>
      <c r="N9036" s="4"/>
    </row>
    <row r="9037" spans="1:14" ht="12.75" customHeight="1" x14ac:dyDescent="0.2">
      <c r="A9037" s="398" t="s">
        <v>926</v>
      </c>
      <c r="B9037" s="271"/>
      <c r="C9037" s="271"/>
      <c r="D9037" s="271"/>
      <c r="E9037" s="271"/>
      <c r="F9037" s="271"/>
      <c r="G9037" s="271"/>
      <c r="H9037" s="271"/>
      <c r="I9037" s="271"/>
      <c r="J9037" s="271"/>
      <c r="K9037" s="271"/>
      <c r="L9037" s="271"/>
      <c r="M9037" s="271"/>
      <c r="N9037" s="273"/>
    </row>
    <row r="9038" spans="1:14" ht="12.75" customHeight="1" x14ac:dyDescent="0.2">
      <c r="A9038" s="396" t="s">
        <v>76</v>
      </c>
      <c r="B9038" s="271"/>
      <c r="C9038" s="271"/>
      <c r="D9038" s="271"/>
      <c r="E9038" s="271"/>
      <c r="F9038" s="271"/>
      <c r="G9038" s="273"/>
      <c r="H9038" s="88" t="s">
        <v>77</v>
      </c>
      <c r="I9038" s="399" t="s">
        <v>920</v>
      </c>
      <c r="J9038" s="273"/>
      <c r="K9038" s="399" t="s">
        <v>453</v>
      </c>
      <c r="L9038" s="273"/>
      <c r="M9038" s="399" t="s">
        <v>921</v>
      </c>
      <c r="N9038" s="273"/>
    </row>
    <row r="9039" spans="1:14" ht="12.75" customHeight="1" x14ac:dyDescent="0.2">
      <c r="A9039" s="400" t="s">
        <v>927</v>
      </c>
      <c r="B9039" s="271"/>
      <c r="C9039" s="271"/>
      <c r="D9039" s="271"/>
      <c r="E9039" s="271"/>
      <c r="F9039" s="271"/>
      <c r="G9039" s="273"/>
      <c r="H9039" s="29" t="str">
        <f>IF(A9039="","",VLOOKUP(A9039,AA_Equipos,7,FALSE))</f>
        <v>% M.O.</v>
      </c>
      <c r="I9039" s="394">
        <f>+M9062</f>
        <v>17555.722000000002</v>
      </c>
      <c r="J9039" s="273"/>
      <c r="K9039" s="404">
        <v>0.05</v>
      </c>
      <c r="L9039" s="273"/>
      <c r="M9039" s="394">
        <f t="shared" ref="M9039:M9043" si="1225">IF(A9039="","",I9039*K9039)</f>
        <v>877.78610000000015</v>
      </c>
      <c r="N9039" s="273"/>
    </row>
    <row r="9040" spans="1:14" ht="12.75" customHeight="1" x14ac:dyDescent="0.2">
      <c r="A9040" s="403"/>
      <c r="B9040" s="271"/>
      <c r="C9040" s="271"/>
      <c r="D9040" s="271"/>
      <c r="E9040" s="271"/>
      <c r="F9040" s="271"/>
      <c r="G9040" s="273"/>
      <c r="H9040" s="29" t="str">
        <f>IF(A9040="","",VLOOKUP(A9040,AA_Equipos,7,FALSE))</f>
        <v/>
      </c>
      <c r="I9040" s="394" t="str">
        <f>IF(A9040="","",VLOOKUP(A9040,AA_Equipos,8,FALSE))</f>
        <v/>
      </c>
      <c r="J9040" s="273"/>
      <c r="K9040" s="402"/>
      <c r="L9040" s="273"/>
      <c r="M9040" s="394" t="str">
        <f t="shared" si="1225"/>
        <v/>
      </c>
      <c r="N9040" s="273"/>
    </row>
    <row r="9041" spans="1:14" ht="12.75" customHeight="1" x14ac:dyDescent="0.2">
      <c r="A9041" s="400"/>
      <c r="B9041" s="271"/>
      <c r="C9041" s="271"/>
      <c r="D9041" s="271"/>
      <c r="E9041" s="271"/>
      <c r="F9041" s="271"/>
      <c r="G9041" s="273"/>
      <c r="H9041" s="29" t="str">
        <f>IF(A9041="","",VLOOKUP(A9041,AA_Equipos,7,FALSE))</f>
        <v/>
      </c>
      <c r="I9041" s="394" t="str">
        <f>IF(A9041="","",VLOOKUP(A9041,AA_Equipos,8,FALSE))</f>
        <v/>
      </c>
      <c r="J9041" s="273"/>
      <c r="K9041" s="401"/>
      <c r="L9041" s="273"/>
      <c r="M9041" s="394" t="str">
        <f t="shared" si="1225"/>
        <v/>
      </c>
      <c r="N9041" s="273"/>
    </row>
    <row r="9042" spans="1:14" ht="12.75" customHeight="1" x14ac:dyDescent="0.2">
      <c r="A9042" s="400"/>
      <c r="B9042" s="271"/>
      <c r="C9042" s="271"/>
      <c r="D9042" s="271"/>
      <c r="E9042" s="271"/>
      <c r="F9042" s="271"/>
      <c r="G9042" s="273"/>
      <c r="H9042" s="29" t="str">
        <f>IF(A9042="","",VLOOKUP(A9042,AA_Equipos,7,FALSE))</f>
        <v/>
      </c>
      <c r="I9042" s="394" t="str">
        <f>IF(A9042="","",VLOOKUP(A9042,AA_Equipos,8,FALSE))</f>
        <v/>
      </c>
      <c r="J9042" s="273"/>
      <c r="K9042" s="395"/>
      <c r="L9042" s="273"/>
      <c r="M9042" s="394" t="str">
        <f t="shared" si="1225"/>
        <v/>
      </c>
      <c r="N9042" s="273"/>
    </row>
    <row r="9043" spans="1:14" ht="12.75" customHeight="1" x14ac:dyDescent="0.2">
      <c r="A9043" s="400"/>
      <c r="B9043" s="271"/>
      <c r="C9043" s="271"/>
      <c r="D9043" s="271"/>
      <c r="E9043" s="271"/>
      <c r="F9043" s="271"/>
      <c r="G9043" s="273"/>
      <c r="H9043" s="29" t="str">
        <f>IF(A9043="","",VLOOKUP(A9043,AA_Equipos,7,FALSE))</f>
        <v/>
      </c>
      <c r="I9043" s="394" t="str">
        <f>IF(A9043="","",VLOOKUP(A9043,AA_Equipos,8,FALSE))</f>
        <v/>
      </c>
      <c r="J9043" s="273"/>
      <c r="K9043" s="395"/>
      <c r="L9043" s="273"/>
      <c r="M9043" s="394" t="str">
        <f t="shared" si="1225"/>
        <v/>
      </c>
      <c r="N9043" s="273"/>
    </row>
    <row r="9044" spans="1:14" ht="12.75" customHeight="1" x14ac:dyDescent="0.25">
      <c r="A9044" s="4"/>
      <c r="B9044" s="4"/>
      <c r="C9044" s="4"/>
      <c r="D9044" s="4"/>
      <c r="E9044" s="4"/>
      <c r="F9044" s="4"/>
      <c r="G9044" s="4"/>
      <c r="H9044" s="4"/>
      <c r="I9044" s="4"/>
      <c r="J9044" s="4"/>
      <c r="K9044" s="396" t="s">
        <v>444</v>
      </c>
      <c r="L9044" s="273"/>
      <c r="M9044" s="394">
        <f>SUM(M9039:N9043)</f>
        <v>877.78610000000015</v>
      </c>
      <c r="N9044" s="273"/>
    </row>
    <row r="9045" spans="1:14" ht="12.75" customHeight="1" x14ac:dyDescent="0.25">
      <c r="A9045" s="4"/>
      <c r="B9045" s="4"/>
      <c r="C9045" s="4"/>
      <c r="D9045" s="4"/>
      <c r="E9045" s="4"/>
      <c r="F9045" s="4"/>
      <c r="G9045" s="4"/>
      <c r="H9045" s="4"/>
      <c r="I9045" s="4"/>
      <c r="J9045" s="4"/>
      <c r="K9045" s="4"/>
      <c r="L9045" s="4"/>
      <c r="M9045" s="4"/>
      <c r="N9045" s="4"/>
    </row>
    <row r="9046" spans="1:14" ht="12.75" customHeight="1" x14ac:dyDescent="0.2">
      <c r="A9046" s="398" t="s">
        <v>929</v>
      </c>
      <c r="B9046" s="271"/>
      <c r="C9046" s="271"/>
      <c r="D9046" s="271"/>
      <c r="E9046" s="271"/>
      <c r="F9046" s="271"/>
      <c r="G9046" s="271"/>
      <c r="H9046" s="271"/>
      <c r="I9046" s="271"/>
      <c r="J9046" s="271"/>
      <c r="K9046" s="271"/>
      <c r="L9046" s="271"/>
      <c r="M9046" s="271"/>
      <c r="N9046" s="273"/>
    </row>
    <row r="9047" spans="1:14" ht="12.75" customHeight="1" x14ac:dyDescent="0.2">
      <c r="A9047" s="396" t="s">
        <v>76</v>
      </c>
      <c r="B9047" s="271"/>
      <c r="C9047" s="271"/>
      <c r="D9047" s="271"/>
      <c r="E9047" s="271"/>
      <c r="F9047" s="271"/>
      <c r="G9047" s="273"/>
      <c r="H9047" s="88" t="s">
        <v>77</v>
      </c>
      <c r="I9047" s="399" t="s">
        <v>920</v>
      </c>
      <c r="J9047" s="273"/>
      <c r="K9047" s="399" t="s">
        <v>453</v>
      </c>
      <c r="L9047" s="273"/>
      <c r="M9047" s="399" t="s">
        <v>921</v>
      </c>
      <c r="N9047" s="273"/>
    </row>
    <row r="9048" spans="1:14" ht="12.75" customHeight="1" x14ac:dyDescent="0.2">
      <c r="A9048" s="400" t="s">
        <v>960</v>
      </c>
      <c r="B9048" s="271"/>
      <c r="C9048" s="271"/>
      <c r="D9048" s="271"/>
      <c r="E9048" s="271"/>
      <c r="F9048" s="271"/>
      <c r="G9048" s="273"/>
      <c r="H9048" s="29" t="s">
        <v>950</v>
      </c>
      <c r="I9048" s="394">
        <f>+M9035</f>
        <v>204000</v>
      </c>
      <c r="J9048" s="273"/>
      <c r="K9048" s="404">
        <v>0.05</v>
      </c>
      <c r="L9048" s="273"/>
      <c r="M9048" s="394">
        <f t="shared" ref="M9048:M9052" si="1226">IF(A9048="","",I9048*K9048)</f>
        <v>10200</v>
      </c>
      <c r="N9048" s="273"/>
    </row>
    <row r="9049" spans="1:14" ht="12.75" customHeight="1" x14ac:dyDescent="0.2">
      <c r="A9049" s="403" t="s">
        <v>3174</v>
      </c>
      <c r="B9049" s="271"/>
      <c r="C9049" s="271"/>
      <c r="D9049" s="271"/>
      <c r="E9049" s="271"/>
      <c r="F9049" s="271"/>
      <c r="G9049" s="273"/>
      <c r="H9049" s="29" t="s">
        <v>24</v>
      </c>
      <c r="I9049" s="394">
        <f>+M9044</f>
        <v>877.78610000000015</v>
      </c>
      <c r="J9049" s="273"/>
      <c r="K9049" s="404">
        <v>0.05</v>
      </c>
      <c r="L9049" s="273"/>
      <c r="M9049" s="394">
        <f t="shared" si="1226"/>
        <v>43.889305000000007</v>
      </c>
      <c r="N9049" s="273"/>
    </row>
    <row r="9050" spans="1:14" ht="12.75" customHeight="1" x14ac:dyDescent="0.2">
      <c r="A9050" s="400"/>
      <c r="B9050" s="271"/>
      <c r="C9050" s="271"/>
      <c r="D9050" s="271"/>
      <c r="E9050" s="271"/>
      <c r="F9050" s="271"/>
      <c r="G9050" s="273"/>
      <c r="H9050" s="29"/>
      <c r="I9050" s="394"/>
      <c r="J9050" s="273"/>
      <c r="K9050" s="395"/>
      <c r="L9050" s="273"/>
      <c r="M9050" s="394" t="str">
        <f t="shared" si="1226"/>
        <v/>
      </c>
      <c r="N9050" s="273"/>
    </row>
    <row r="9051" spans="1:14" ht="12.75" customHeight="1" x14ac:dyDescent="0.2">
      <c r="A9051" s="400"/>
      <c r="B9051" s="271"/>
      <c r="C9051" s="271"/>
      <c r="D9051" s="271"/>
      <c r="E9051" s="271"/>
      <c r="F9051" s="271"/>
      <c r="G9051" s="273"/>
      <c r="H9051" s="29"/>
      <c r="I9051" s="394"/>
      <c r="J9051" s="273"/>
      <c r="K9051" s="395"/>
      <c r="L9051" s="273"/>
      <c r="M9051" s="394" t="str">
        <f t="shared" si="1226"/>
        <v/>
      </c>
      <c r="N9051" s="273"/>
    </row>
    <row r="9052" spans="1:14" ht="12.75" customHeight="1" x14ac:dyDescent="0.2">
      <c r="A9052" s="400"/>
      <c r="B9052" s="271"/>
      <c r="C9052" s="271"/>
      <c r="D9052" s="271"/>
      <c r="E9052" s="271"/>
      <c r="F9052" s="271"/>
      <c r="G9052" s="273"/>
      <c r="H9052" s="29"/>
      <c r="I9052" s="394"/>
      <c r="J9052" s="273"/>
      <c r="K9052" s="395"/>
      <c r="L9052" s="273"/>
      <c r="M9052" s="394" t="str">
        <f t="shared" si="1226"/>
        <v/>
      </c>
      <c r="N9052" s="273"/>
    </row>
    <row r="9053" spans="1:14" ht="12.75" customHeight="1" x14ac:dyDescent="0.25">
      <c r="A9053" s="4"/>
      <c r="B9053" s="4"/>
      <c r="C9053" s="4"/>
      <c r="D9053" s="4"/>
      <c r="E9053" s="4"/>
      <c r="F9053" s="4"/>
      <c r="G9053" s="4"/>
      <c r="H9053" s="4"/>
      <c r="I9053" s="4"/>
      <c r="J9053" s="4"/>
      <c r="K9053" s="396" t="s">
        <v>444</v>
      </c>
      <c r="L9053" s="273"/>
      <c r="M9053" s="394">
        <f>SUM(M9048:N9052)</f>
        <v>10243.889305000001</v>
      </c>
      <c r="N9053" s="273"/>
    </row>
    <row r="9054" spans="1:14" ht="12.75" customHeight="1" x14ac:dyDescent="0.25">
      <c r="A9054" s="4"/>
      <c r="B9054" s="4"/>
      <c r="C9054" s="4"/>
      <c r="D9054" s="4"/>
      <c r="E9054" s="4"/>
      <c r="F9054" s="4"/>
      <c r="G9054" s="4"/>
      <c r="H9054" s="4"/>
      <c r="I9054" s="4"/>
      <c r="J9054" s="4"/>
      <c r="K9054" s="4"/>
      <c r="L9054" s="4"/>
      <c r="M9054" s="4"/>
      <c r="N9054" s="4"/>
    </row>
    <row r="9055" spans="1:14" ht="12.75" customHeight="1" x14ac:dyDescent="0.2">
      <c r="A9055" s="398" t="s">
        <v>931</v>
      </c>
      <c r="B9055" s="271"/>
      <c r="C9055" s="271"/>
      <c r="D9055" s="271"/>
      <c r="E9055" s="271"/>
      <c r="F9055" s="271"/>
      <c r="G9055" s="271"/>
      <c r="H9055" s="271"/>
      <c r="I9055" s="271"/>
      <c r="J9055" s="271"/>
      <c r="K9055" s="271"/>
      <c r="L9055" s="271"/>
      <c r="M9055" s="271"/>
      <c r="N9055" s="273"/>
    </row>
    <row r="9056" spans="1:14" ht="12.75" customHeight="1" x14ac:dyDescent="0.2">
      <c r="A9056" s="396" t="s">
        <v>76</v>
      </c>
      <c r="B9056" s="271"/>
      <c r="C9056" s="271"/>
      <c r="D9056" s="271"/>
      <c r="E9056" s="271"/>
      <c r="F9056" s="271"/>
      <c r="G9056" s="273"/>
      <c r="H9056" s="88" t="s">
        <v>77</v>
      </c>
      <c r="I9056" s="399" t="s">
        <v>920</v>
      </c>
      <c r="J9056" s="273"/>
      <c r="K9056" s="90" t="s">
        <v>514</v>
      </c>
      <c r="L9056" s="91" t="s">
        <v>932</v>
      </c>
      <c r="M9056" s="399" t="s">
        <v>921</v>
      </c>
      <c r="N9056" s="273"/>
    </row>
    <row r="9057" spans="1:14" ht="12.75" customHeight="1" x14ac:dyDescent="0.25">
      <c r="A9057" s="393" t="s">
        <v>986</v>
      </c>
      <c r="B9057" s="271"/>
      <c r="C9057" s="271"/>
      <c r="D9057" s="271"/>
      <c r="E9057" s="271"/>
      <c r="F9057" s="271"/>
      <c r="G9057" s="273"/>
      <c r="H9057" s="29" t="str">
        <f>IF(A9057="","",VLOOKUP(A9057,AA_Cuadrillas,4,FALSE))</f>
        <v>Cuadrilla</v>
      </c>
      <c r="I9057" s="394">
        <f>IF(A9057="","",VLOOKUP(A9057,AA_Cuadrillas,5,FALSE))</f>
        <v>186763</v>
      </c>
      <c r="J9057" s="273"/>
      <c r="K9057" s="9">
        <f>IF(A9057="","",F.P!$I$2)</f>
        <v>1.88</v>
      </c>
      <c r="L9057" s="97">
        <f>1/20</f>
        <v>0.05</v>
      </c>
      <c r="M9057" s="394">
        <f t="shared" ref="M9057:M9061" si="1227">IF(A9057="","",I9057*K9057*L9057)</f>
        <v>17555.722000000002</v>
      </c>
      <c r="N9057" s="273"/>
    </row>
    <row r="9058" spans="1:14" ht="12.75" customHeight="1" x14ac:dyDescent="0.25">
      <c r="A9058" s="393"/>
      <c r="B9058" s="271"/>
      <c r="C9058" s="271"/>
      <c r="D9058" s="271"/>
      <c r="E9058" s="271"/>
      <c r="F9058" s="271"/>
      <c r="G9058" s="273"/>
      <c r="H9058" s="29" t="str">
        <f>IF(A9058="","",VLOOKUP(A9058,AA_Cuadrillas,4,FALSE))</f>
        <v/>
      </c>
      <c r="I9058" s="394" t="str">
        <f>IF(A9058="","",VLOOKUP(A9058,AA_Cuadrillas,5,FALSE))</f>
        <v/>
      </c>
      <c r="J9058" s="273"/>
      <c r="K9058" s="9" t="str">
        <f>IF(A9058="","",F.P!$I$2)</f>
        <v/>
      </c>
      <c r="L9058" s="9"/>
      <c r="M9058" s="394" t="str">
        <f t="shared" si="1227"/>
        <v/>
      </c>
      <c r="N9058" s="273"/>
    </row>
    <row r="9059" spans="1:14" ht="12.75" customHeight="1" x14ac:dyDescent="0.25">
      <c r="A9059" s="393"/>
      <c r="B9059" s="271"/>
      <c r="C9059" s="271"/>
      <c r="D9059" s="271"/>
      <c r="E9059" s="271"/>
      <c r="F9059" s="271"/>
      <c r="G9059" s="273"/>
      <c r="H9059" s="29" t="str">
        <f>IF(A9059="","",VLOOKUP(A9059,AA_Cuadrillas,4,FALSE))</f>
        <v/>
      </c>
      <c r="I9059" s="394" t="str">
        <f>IF(A9059="","",VLOOKUP(A9059,AA_Cuadrillas,5,FALSE))</f>
        <v/>
      </c>
      <c r="J9059" s="273"/>
      <c r="K9059" s="9" t="str">
        <f>IF(A9059="","",F.P!$I$2)</f>
        <v/>
      </c>
      <c r="L9059" s="37"/>
      <c r="M9059" s="394" t="str">
        <f t="shared" si="1227"/>
        <v/>
      </c>
      <c r="N9059" s="273"/>
    </row>
    <row r="9060" spans="1:14" ht="12.75" customHeight="1" x14ac:dyDescent="0.25">
      <c r="A9060" s="393"/>
      <c r="B9060" s="271"/>
      <c r="C9060" s="271"/>
      <c r="D9060" s="271"/>
      <c r="E9060" s="271"/>
      <c r="F9060" s="271"/>
      <c r="G9060" s="273"/>
      <c r="H9060" s="29" t="str">
        <f>IF(A9060="","",VLOOKUP(A9060,AA_Cuadrillas,4,FALSE))</f>
        <v/>
      </c>
      <c r="I9060" s="394" t="str">
        <f>IF(A9060="","",VLOOKUP(A9060,AA_Cuadrillas,5,FALSE))</f>
        <v/>
      </c>
      <c r="J9060" s="273"/>
      <c r="K9060" s="9" t="str">
        <f>IF(A9060="","",F.P!$I$2)</f>
        <v/>
      </c>
      <c r="L9060" s="37"/>
      <c r="M9060" s="394" t="str">
        <f t="shared" si="1227"/>
        <v/>
      </c>
      <c r="N9060" s="273"/>
    </row>
    <row r="9061" spans="1:14" ht="12.75" customHeight="1" x14ac:dyDescent="0.25">
      <c r="A9061" s="393"/>
      <c r="B9061" s="271"/>
      <c r="C9061" s="271"/>
      <c r="D9061" s="271"/>
      <c r="E9061" s="271"/>
      <c r="F9061" s="271"/>
      <c r="G9061" s="273"/>
      <c r="H9061" s="29" t="str">
        <f>IF(A9061="","",VLOOKUP(A9061,AA_Cuadrillas,4,FALSE))</f>
        <v/>
      </c>
      <c r="I9061" s="394" t="str">
        <f>IF(A9061="","",VLOOKUP(A9061,AA_Cuadrillas,5,FALSE))</f>
        <v/>
      </c>
      <c r="J9061" s="273"/>
      <c r="K9061" s="9" t="str">
        <f>IF(A9061="","",F.P!$I$2)</f>
        <v/>
      </c>
      <c r="L9061" s="37"/>
      <c r="M9061" s="394" t="str">
        <f t="shared" si="1227"/>
        <v/>
      </c>
      <c r="N9061" s="273"/>
    </row>
    <row r="9062" spans="1:14" ht="12.75" customHeight="1" x14ac:dyDescent="0.25">
      <c r="A9062" s="4"/>
      <c r="B9062" s="4"/>
      <c r="C9062" s="4"/>
      <c r="D9062" s="4"/>
      <c r="E9062" s="4"/>
      <c r="F9062" s="4"/>
      <c r="G9062" s="4"/>
      <c r="H9062" s="4"/>
      <c r="I9062" s="4"/>
      <c r="J9062" s="4"/>
      <c r="K9062" s="396" t="s">
        <v>444</v>
      </c>
      <c r="L9062" s="273"/>
      <c r="M9062" s="394">
        <f>SUM(M9057:N9061)</f>
        <v>17555.722000000002</v>
      </c>
      <c r="N9062" s="273"/>
    </row>
    <row r="9063" spans="1:14" ht="12.75" customHeight="1" x14ac:dyDescent="0.2"/>
    <row r="9064" spans="1:14" ht="12.75" customHeight="1" x14ac:dyDescent="0.2">
      <c r="A9064" s="407" t="s">
        <v>1443</v>
      </c>
      <c r="B9064" s="275"/>
      <c r="C9064" s="275"/>
      <c r="D9064" s="275"/>
      <c r="E9064" s="275"/>
      <c r="F9064" s="275"/>
      <c r="G9064" s="275"/>
      <c r="H9064" s="275"/>
      <c r="I9064" s="275"/>
      <c r="J9064" s="275"/>
      <c r="K9064" s="275"/>
      <c r="L9064" s="275"/>
      <c r="M9064" s="275"/>
      <c r="N9064" s="276"/>
    </row>
    <row r="9065" spans="1:14" ht="12.75" customHeight="1" x14ac:dyDescent="0.2">
      <c r="A9065" s="277"/>
      <c r="B9065" s="278"/>
      <c r="C9065" s="278"/>
      <c r="D9065" s="278"/>
      <c r="E9065" s="278"/>
      <c r="F9065" s="278"/>
      <c r="G9065" s="278"/>
      <c r="H9065" s="278"/>
      <c r="I9065" s="278"/>
      <c r="J9065" s="278"/>
      <c r="K9065" s="278"/>
      <c r="L9065" s="278"/>
      <c r="M9065" s="278"/>
      <c r="N9065" s="279"/>
    </row>
    <row r="9066" spans="1:14" ht="12.75" customHeight="1" x14ac:dyDescent="0.2">
      <c r="A9066" s="75"/>
      <c r="B9066" s="75"/>
      <c r="C9066" s="75"/>
      <c r="D9066" s="75"/>
      <c r="E9066" s="75"/>
      <c r="F9066" s="75"/>
      <c r="G9066" s="75"/>
      <c r="H9066" s="75"/>
      <c r="I9066" s="75"/>
      <c r="J9066" s="75"/>
      <c r="K9066" s="75"/>
      <c r="L9066" s="75"/>
      <c r="M9066" s="75"/>
      <c r="N9066" s="75"/>
    </row>
    <row r="9067" spans="1:14" ht="12.75" customHeight="1" x14ac:dyDescent="0.3">
      <c r="A9067" s="79" t="s">
        <v>813</v>
      </c>
      <c r="B9067" s="80" t="str">
        <f>A9064</f>
        <v>SUMINISTRO E INSTALACIÓN CODO 90° Ø4" EN HIERRO DUCTIL CON UNIÓN MECÁNICA (INCLUYE MATERIALES, HERRAMIENTAS Y MANO DE OBRA)</v>
      </c>
      <c r="C9067" s="81" t="s">
        <v>916</v>
      </c>
      <c r="D9067" s="82" t="s">
        <v>999</v>
      </c>
      <c r="E9067" s="83" t="s">
        <v>445</v>
      </c>
      <c r="F9067" s="86">
        <f>H9067+J9067+L9067+N9067</f>
        <v>323983.50810000004</v>
      </c>
      <c r="G9067" s="83" t="s">
        <v>607</v>
      </c>
      <c r="H9067" s="86">
        <f>M9079</f>
        <v>291000</v>
      </c>
      <c r="I9067" s="83" t="s">
        <v>918</v>
      </c>
      <c r="J9067" s="86">
        <f>M9088</f>
        <v>877.78610000000015</v>
      </c>
      <c r="K9067" s="83" t="s">
        <v>609</v>
      </c>
      <c r="L9067" s="86">
        <f>M9097</f>
        <v>14550</v>
      </c>
      <c r="M9067" s="83" t="s">
        <v>610</v>
      </c>
      <c r="N9067" s="86">
        <f>M9106</f>
        <v>17555.722000000002</v>
      </c>
    </row>
    <row r="9068" spans="1:14" ht="12.75" customHeight="1" x14ac:dyDescent="0.25">
      <c r="A9068" s="87"/>
      <c r="B9068" s="87"/>
      <c r="C9068" s="87"/>
      <c r="D9068" s="87"/>
      <c r="E9068" s="87"/>
      <c r="F9068" s="87"/>
      <c r="G9068" s="87"/>
      <c r="J9068" s="87"/>
      <c r="K9068" s="215" t="s">
        <v>3217</v>
      </c>
      <c r="L9068" s="215">
        <f>+F9067*presup!$O$5</f>
        <v>421178.56053000008</v>
      </c>
      <c r="M9068" s="87"/>
      <c r="N9068" s="87"/>
    </row>
    <row r="9069" spans="1:14" ht="12.75" customHeight="1" x14ac:dyDescent="0.2">
      <c r="A9069" s="398" t="s">
        <v>919</v>
      </c>
      <c r="B9069" s="271"/>
      <c r="C9069" s="271"/>
      <c r="D9069" s="271"/>
      <c r="E9069" s="271"/>
      <c r="F9069" s="271"/>
      <c r="G9069" s="271"/>
      <c r="H9069" s="271"/>
      <c r="I9069" s="271"/>
      <c r="J9069" s="271"/>
      <c r="K9069" s="271"/>
      <c r="L9069" s="271"/>
      <c r="M9069" s="271"/>
      <c r="N9069" s="273"/>
    </row>
    <row r="9070" spans="1:14" ht="12.75" customHeight="1" x14ac:dyDescent="0.2">
      <c r="A9070" s="396" t="s">
        <v>76</v>
      </c>
      <c r="B9070" s="271"/>
      <c r="C9070" s="271"/>
      <c r="D9070" s="271"/>
      <c r="E9070" s="271"/>
      <c r="F9070" s="271"/>
      <c r="G9070" s="273"/>
      <c r="H9070" s="88" t="s">
        <v>77</v>
      </c>
      <c r="I9070" s="399" t="s">
        <v>920</v>
      </c>
      <c r="J9070" s="273"/>
      <c r="K9070" s="399" t="s">
        <v>453</v>
      </c>
      <c r="L9070" s="273"/>
      <c r="M9070" s="399" t="s">
        <v>921</v>
      </c>
      <c r="N9070" s="273"/>
    </row>
    <row r="9071" spans="1:14" ht="12.75" customHeight="1" x14ac:dyDescent="0.2">
      <c r="A9071" s="403" t="s">
        <v>1444</v>
      </c>
      <c r="B9071" s="271"/>
      <c r="C9071" s="271"/>
      <c r="D9071" s="271"/>
      <c r="E9071" s="271"/>
      <c r="F9071" s="271"/>
      <c r="G9071" s="273"/>
      <c r="H9071" s="29" t="str">
        <f t="shared" ref="H9071:H9078" si="1228">IF(A9071="","",VLOOKUP(A9071,AA_Materiales,7,FALSE))</f>
        <v>Unidad</v>
      </c>
      <c r="I9071" s="394">
        <f t="shared" ref="I9071:I9078" si="1229">IF(A9071="","",VLOOKUP(A9071,AA_Materiales,8,FALSE))</f>
        <v>291000</v>
      </c>
      <c r="J9071" s="273"/>
      <c r="K9071" s="395">
        <v>1</v>
      </c>
      <c r="L9071" s="273"/>
      <c r="M9071" s="394">
        <f t="shared" ref="M9071:M9078" si="1230">IF(A9071="","",I9071*K9071)</f>
        <v>291000</v>
      </c>
      <c r="N9071" s="273"/>
    </row>
    <row r="9072" spans="1:14" ht="12.75" customHeight="1" x14ac:dyDescent="0.2">
      <c r="A9072" s="403"/>
      <c r="B9072" s="271"/>
      <c r="C9072" s="271"/>
      <c r="D9072" s="271"/>
      <c r="E9072" s="271"/>
      <c r="F9072" s="271"/>
      <c r="G9072" s="273"/>
      <c r="H9072" s="29" t="str">
        <f t="shared" si="1228"/>
        <v/>
      </c>
      <c r="I9072" s="394" t="str">
        <f t="shared" si="1229"/>
        <v/>
      </c>
      <c r="J9072" s="273"/>
      <c r="K9072" s="395"/>
      <c r="L9072" s="273"/>
      <c r="M9072" s="394" t="str">
        <f t="shared" si="1230"/>
        <v/>
      </c>
      <c r="N9072" s="273"/>
    </row>
    <row r="9073" spans="1:14" ht="12.75" customHeight="1" x14ac:dyDescent="0.2">
      <c r="A9073" s="403"/>
      <c r="B9073" s="271"/>
      <c r="C9073" s="271"/>
      <c r="D9073" s="271"/>
      <c r="E9073" s="271"/>
      <c r="F9073" s="271"/>
      <c r="G9073" s="273"/>
      <c r="H9073" s="29" t="str">
        <f t="shared" si="1228"/>
        <v/>
      </c>
      <c r="I9073" s="394" t="str">
        <f t="shared" si="1229"/>
        <v/>
      </c>
      <c r="J9073" s="273"/>
      <c r="K9073" s="395"/>
      <c r="L9073" s="273"/>
      <c r="M9073" s="394" t="str">
        <f t="shared" si="1230"/>
        <v/>
      </c>
      <c r="N9073" s="273"/>
    </row>
    <row r="9074" spans="1:14" ht="12.75" customHeight="1" x14ac:dyDescent="0.2">
      <c r="A9074" s="403"/>
      <c r="B9074" s="271"/>
      <c r="C9074" s="271"/>
      <c r="D9074" s="271"/>
      <c r="E9074" s="271"/>
      <c r="F9074" s="271"/>
      <c r="G9074" s="273"/>
      <c r="H9074" s="29" t="str">
        <f t="shared" si="1228"/>
        <v/>
      </c>
      <c r="I9074" s="394" t="str">
        <f t="shared" si="1229"/>
        <v/>
      </c>
      <c r="J9074" s="273"/>
      <c r="K9074" s="395"/>
      <c r="L9074" s="273"/>
      <c r="M9074" s="394" t="str">
        <f t="shared" si="1230"/>
        <v/>
      </c>
      <c r="N9074" s="273"/>
    </row>
    <row r="9075" spans="1:14" ht="12.75" customHeight="1" x14ac:dyDescent="0.2">
      <c r="A9075" s="403"/>
      <c r="B9075" s="271"/>
      <c r="C9075" s="271"/>
      <c r="D9075" s="271"/>
      <c r="E9075" s="271"/>
      <c r="F9075" s="271"/>
      <c r="G9075" s="273"/>
      <c r="H9075" s="29" t="str">
        <f t="shared" si="1228"/>
        <v/>
      </c>
      <c r="I9075" s="394" t="str">
        <f t="shared" si="1229"/>
        <v/>
      </c>
      <c r="J9075" s="273"/>
      <c r="K9075" s="395"/>
      <c r="L9075" s="273"/>
      <c r="M9075" s="394" t="str">
        <f t="shared" si="1230"/>
        <v/>
      </c>
      <c r="N9075" s="273"/>
    </row>
    <row r="9076" spans="1:14" ht="12.75" customHeight="1" x14ac:dyDescent="0.2">
      <c r="A9076" s="403"/>
      <c r="B9076" s="271"/>
      <c r="C9076" s="271"/>
      <c r="D9076" s="271"/>
      <c r="E9076" s="271"/>
      <c r="F9076" s="271"/>
      <c r="G9076" s="273"/>
      <c r="H9076" s="29" t="str">
        <f t="shared" si="1228"/>
        <v/>
      </c>
      <c r="I9076" s="394" t="str">
        <f t="shared" si="1229"/>
        <v/>
      </c>
      <c r="J9076" s="273"/>
      <c r="K9076" s="395"/>
      <c r="L9076" s="273"/>
      <c r="M9076" s="394" t="str">
        <f t="shared" si="1230"/>
        <v/>
      </c>
      <c r="N9076" s="273"/>
    </row>
    <row r="9077" spans="1:14" ht="12.75" customHeight="1" x14ac:dyDescent="0.2">
      <c r="A9077" s="403"/>
      <c r="B9077" s="271"/>
      <c r="C9077" s="271"/>
      <c r="D9077" s="271"/>
      <c r="E9077" s="271"/>
      <c r="F9077" s="271"/>
      <c r="G9077" s="273"/>
      <c r="H9077" s="29" t="str">
        <f t="shared" si="1228"/>
        <v/>
      </c>
      <c r="I9077" s="394" t="str">
        <f t="shared" si="1229"/>
        <v/>
      </c>
      <c r="J9077" s="273"/>
      <c r="K9077" s="395"/>
      <c r="L9077" s="273"/>
      <c r="M9077" s="394" t="str">
        <f t="shared" si="1230"/>
        <v/>
      </c>
      <c r="N9077" s="273"/>
    </row>
    <row r="9078" spans="1:14" ht="12.75" customHeight="1" x14ac:dyDescent="0.2">
      <c r="A9078" s="403"/>
      <c r="B9078" s="271"/>
      <c r="C9078" s="271"/>
      <c r="D9078" s="271"/>
      <c r="E9078" s="271"/>
      <c r="F9078" s="271"/>
      <c r="G9078" s="273"/>
      <c r="H9078" s="29" t="str">
        <f t="shared" si="1228"/>
        <v/>
      </c>
      <c r="I9078" s="394" t="str">
        <f t="shared" si="1229"/>
        <v/>
      </c>
      <c r="J9078" s="273"/>
      <c r="K9078" s="395"/>
      <c r="L9078" s="273"/>
      <c r="M9078" s="394" t="str">
        <f t="shared" si="1230"/>
        <v/>
      </c>
      <c r="N9078" s="273"/>
    </row>
    <row r="9079" spans="1:14" ht="12.75" customHeight="1" x14ac:dyDescent="0.25">
      <c r="A9079" s="4"/>
      <c r="B9079" s="4"/>
      <c r="C9079" s="4"/>
      <c r="D9079" s="4"/>
      <c r="E9079" s="4"/>
      <c r="F9079" s="4"/>
      <c r="G9079" s="4"/>
      <c r="H9079" s="4"/>
      <c r="I9079" s="4"/>
      <c r="J9079" s="4"/>
      <c r="K9079" s="396" t="s">
        <v>444</v>
      </c>
      <c r="L9079" s="273"/>
      <c r="M9079" s="394">
        <f>SUM(M9071:N9078)</f>
        <v>291000</v>
      </c>
      <c r="N9079" s="273"/>
    </row>
    <row r="9080" spans="1:14" ht="12.75" customHeight="1" x14ac:dyDescent="0.25">
      <c r="A9080" s="4"/>
      <c r="B9080" s="4"/>
      <c r="C9080" s="4"/>
      <c r="D9080" s="4"/>
      <c r="E9080" s="4"/>
      <c r="F9080" s="4"/>
      <c r="G9080" s="4"/>
      <c r="H9080" s="4"/>
      <c r="I9080" s="4"/>
      <c r="J9080" s="4"/>
      <c r="K9080" s="4"/>
      <c r="L9080" s="4"/>
      <c r="M9080" s="4"/>
      <c r="N9080" s="4"/>
    </row>
    <row r="9081" spans="1:14" ht="12.75" customHeight="1" x14ac:dyDescent="0.2">
      <c r="A9081" s="398" t="s">
        <v>926</v>
      </c>
      <c r="B9081" s="271"/>
      <c r="C9081" s="271"/>
      <c r="D9081" s="271"/>
      <c r="E9081" s="271"/>
      <c r="F9081" s="271"/>
      <c r="G9081" s="271"/>
      <c r="H9081" s="271"/>
      <c r="I9081" s="271"/>
      <c r="J9081" s="271"/>
      <c r="K9081" s="271"/>
      <c r="L9081" s="271"/>
      <c r="M9081" s="271"/>
      <c r="N9081" s="273"/>
    </row>
    <row r="9082" spans="1:14" ht="12.75" customHeight="1" x14ac:dyDescent="0.2">
      <c r="A9082" s="396" t="s">
        <v>76</v>
      </c>
      <c r="B9082" s="271"/>
      <c r="C9082" s="271"/>
      <c r="D9082" s="271"/>
      <c r="E9082" s="271"/>
      <c r="F9082" s="271"/>
      <c r="G9082" s="273"/>
      <c r="H9082" s="88" t="s">
        <v>77</v>
      </c>
      <c r="I9082" s="399" t="s">
        <v>920</v>
      </c>
      <c r="J9082" s="273"/>
      <c r="K9082" s="399" t="s">
        <v>453</v>
      </c>
      <c r="L9082" s="273"/>
      <c r="M9082" s="399" t="s">
        <v>921</v>
      </c>
      <c r="N9082" s="273"/>
    </row>
    <row r="9083" spans="1:14" ht="12.75" customHeight="1" x14ac:dyDescent="0.2">
      <c r="A9083" s="400" t="s">
        <v>927</v>
      </c>
      <c r="B9083" s="271"/>
      <c r="C9083" s="271"/>
      <c r="D9083" s="271"/>
      <c r="E9083" s="271"/>
      <c r="F9083" s="271"/>
      <c r="G9083" s="273"/>
      <c r="H9083" s="29" t="str">
        <f>IF(A9083="","",VLOOKUP(A9083,AA_Equipos,7,FALSE))</f>
        <v>% M.O.</v>
      </c>
      <c r="I9083" s="394">
        <f>+M9106</f>
        <v>17555.722000000002</v>
      </c>
      <c r="J9083" s="273"/>
      <c r="K9083" s="404">
        <v>0.05</v>
      </c>
      <c r="L9083" s="273"/>
      <c r="M9083" s="394">
        <f t="shared" ref="M9083:M9087" si="1231">IF(A9083="","",I9083*K9083)</f>
        <v>877.78610000000015</v>
      </c>
      <c r="N9083" s="273"/>
    </row>
    <row r="9084" spans="1:14" ht="12.75" customHeight="1" x14ac:dyDescent="0.2">
      <c r="A9084" s="403"/>
      <c r="B9084" s="271"/>
      <c r="C9084" s="271"/>
      <c r="D9084" s="271"/>
      <c r="E9084" s="271"/>
      <c r="F9084" s="271"/>
      <c r="G9084" s="273"/>
      <c r="H9084" s="29" t="str">
        <f>IF(A9084="","",VLOOKUP(A9084,AA_Equipos,7,FALSE))</f>
        <v/>
      </c>
      <c r="I9084" s="394" t="str">
        <f>IF(A9084="","",VLOOKUP(A9084,AA_Equipos,8,FALSE))</f>
        <v/>
      </c>
      <c r="J9084" s="273"/>
      <c r="K9084" s="402"/>
      <c r="L9084" s="273"/>
      <c r="M9084" s="394" t="str">
        <f t="shared" si="1231"/>
        <v/>
      </c>
      <c r="N9084" s="273"/>
    </row>
    <row r="9085" spans="1:14" ht="12.75" customHeight="1" x14ac:dyDescent="0.2">
      <c r="A9085" s="400"/>
      <c r="B9085" s="271"/>
      <c r="C9085" s="271"/>
      <c r="D9085" s="271"/>
      <c r="E9085" s="271"/>
      <c r="F9085" s="271"/>
      <c r="G9085" s="273"/>
      <c r="H9085" s="29" t="str">
        <f>IF(A9085="","",VLOOKUP(A9085,AA_Equipos,7,FALSE))</f>
        <v/>
      </c>
      <c r="I9085" s="394" t="str">
        <f>IF(A9085="","",VLOOKUP(A9085,AA_Equipos,8,FALSE))</f>
        <v/>
      </c>
      <c r="J9085" s="273"/>
      <c r="K9085" s="401"/>
      <c r="L9085" s="273"/>
      <c r="M9085" s="394" t="str">
        <f t="shared" si="1231"/>
        <v/>
      </c>
      <c r="N9085" s="273"/>
    </row>
    <row r="9086" spans="1:14" ht="12.75" customHeight="1" x14ac:dyDescent="0.2">
      <c r="A9086" s="400"/>
      <c r="B9086" s="271"/>
      <c r="C9086" s="271"/>
      <c r="D9086" s="271"/>
      <c r="E9086" s="271"/>
      <c r="F9086" s="271"/>
      <c r="G9086" s="273"/>
      <c r="H9086" s="29" t="str">
        <f>IF(A9086="","",VLOOKUP(A9086,AA_Equipos,7,FALSE))</f>
        <v/>
      </c>
      <c r="I9086" s="394" t="str">
        <f>IF(A9086="","",VLOOKUP(A9086,AA_Equipos,8,FALSE))</f>
        <v/>
      </c>
      <c r="J9086" s="273"/>
      <c r="K9086" s="395"/>
      <c r="L9086" s="273"/>
      <c r="M9086" s="394" t="str">
        <f t="shared" si="1231"/>
        <v/>
      </c>
      <c r="N9086" s="273"/>
    </row>
    <row r="9087" spans="1:14" ht="12.75" customHeight="1" x14ac:dyDescent="0.2">
      <c r="A9087" s="400"/>
      <c r="B9087" s="271"/>
      <c r="C9087" s="271"/>
      <c r="D9087" s="271"/>
      <c r="E9087" s="271"/>
      <c r="F9087" s="271"/>
      <c r="G9087" s="273"/>
      <c r="H9087" s="29" t="str">
        <f>IF(A9087="","",VLOOKUP(A9087,AA_Equipos,7,FALSE))</f>
        <v/>
      </c>
      <c r="I9087" s="394" t="str">
        <f>IF(A9087="","",VLOOKUP(A9087,AA_Equipos,8,FALSE))</f>
        <v/>
      </c>
      <c r="J9087" s="273"/>
      <c r="K9087" s="395"/>
      <c r="L9087" s="273"/>
      <c r="M9087" s="394" t="str">
        <f t="shared" si="1231"/>
        <v/>
      </c>
      <c r="N9087" s="273"/>
    </row>
    <row r="9088" spans="1:14" ht="12.75" customHeight="1" x14ac:dyDescent="0.25">
      <c r="A9088" s="4"/>
      <c r="B9088" s="4"/>
      <c r="C9088" s="4"/>
      <c r="D9088" s="4"/>
      <c r="E9088" s="4"/>
      <c r="F9088" s="4"/>
      <c r="G9088" s="4"/>
      <c r="H9088" s="4"/>
      <c r="I9088" s="4"/>
      <c r="J9088" s="4"/>
      <c r="K9088" s="396" t="s">
        <v>444</v>
      </c>
      <c r="L9088" s="273"/>
      <c r="M9088" s="394">
        <f>SUM(M9083:N9087)</f>
        <v>877.78610000000015</v>
      </c>
      <c r="N9088" s="273"/>
    </row>
    <row r="9089" spans="1:14" ht="12.75" customHeight="1" x14ac:dyDescent="0.25">
      <c r="A9089" s="4"/>
      <c r="B9089" s="4"/>
      <c r="C9089" s="4"/>
      <c r="D9089" s="4"/>
      <c r="E9089" s="4"/>
      <c r="F9089" s="4"/>
      <c r="G9089" s="4"/>
      <c r="H9089" s="4"/>
      <c r="I9089" s="4"/>
      <c r="J9089" s="4"/>
      <c r="K9089" s="4"/>
      <c r="L9089" s="4"/>
      <c r="M9089" s="4"/>
      <c r="N9089" s="4"/>
    </row>
    <row r="9090" spans="1:14" ht="12.75" customHeight="1" x14ac:dyDescent="0.2">
      <c r="A9090" s="398" t="s">
        <v>929</v>
      </c>
      <c r="B9090" s="271"/>
      <c r="C9090" s="271"/>
      <c r="D9090" s="271"/>
      <c r="E9090" s="271"/>
      <c r="F9090" s="271"/>
      <c r="G9090" s="271"/>
      <c r="H9090" s="271"/>
      <c r="I9090" s="271"/>
      <c r="J9090" s="271"/>
      <c r="K9090" s="271"/>
      <c r="L9090" s="271"/>
      <c r="M9090" s="271"/>
      <c r="N9090" s="273"/>
    </row>
    <row r="9091" spans="1:14" ht="12.75" customHeight="1" x14ac:dyDescent="0.2">
      <c r="A9091" s="396" t="s">
        <v>76</v>
      </c>
      <c r="B9091" s="271"/>
      <c r="C9091" s="271"/>
      <c r="D9091" s="271"/>
      <c r="E9091" s="271"/>
      <c r="F9091" s="271"/>
      <c r="G9091" s="273"/>
      <c r="H9091" s="88" t="s">
        <v>77</v>
      </c>
      <c r="I9091" s="399" t="s">
        <v>920</v>
      </c>
      <c r="J9091" s="273"/>
      <c r="K9091" s="399" t="s">
        <v>453</v>
      </c>
      <c r="L9091" s="273"/>
      <c r="M9091" s="399" t="s">
        <v>921</v>
      </c>
      <c r="N9091" s="273"/>
    </row>
    <row r="9092" spans="1:14" ht="12.75" customHeight="1" x14ac:dyDescent="0.2">
      <c r="A9092" s="400" t="s">
        <v>960</v>
      </c>
      <c r="B9092" s="271"/>
      <c r="C9092" s="271"/>
      <c r="D9092" s="271"/>
      <c r="E9092" s="271"/>
      <c r="F9092" s="271"/>
      <c r="G9092" s="273"/>
      <c r="H9092" s="29" t="s">
        <v>950</v>
      </c>
      <c r="I9092" s="394">
        <f>+M9079</f>
        <v>291000</v>
      </c>
      <c r="J9092" s="273"/>
      <c r="K9092" s="404">
        <v>0.05</v>
      </c>
      <c r="L9092" s="273"/>
      <c r="M9092" s="394">
        <f t="shared" ref="M9092:M9096" si="1232">IF(A9092="","",I9092*K9092)</f>
        <v>14550</v>
      </c>
      <c r="N9092" s="273"/>
    </row>
    <row r="9093" spans="1:14" ht="12.75" customHeight="1" x14ac:dyDescent="0.2">
      <c r="A9093" s="403"/>
      <c r="B9093" s="271"/>
      <c r="C9093" s="271"/>
      <c r="D9093" s="271"/>
      <c r="E9093" s="271"/>
      <c r="F9093" s="271"/>
      <c r="G9093" s="273"/>
      <c r="H9093" s="29"/>
      <c r="I9093" s="394"/>
      <c r="J9093" s="273"/>
      <c r="K9093" s="404"/>
      <c r="L9093" s="273"/>
      <c r="M9093" s="394" t="str">
        <f t="shared" si="1232"/>
        <v/>
      </c>
      <c r="N9093" s="273"/>
    </row>
    <row r="9094" spans="1:14" ht="12.75" customHeight="1" x14ac:dyDescent="0.2">
      <c r="A9094" s="400"/>
      <c r="B9094" s="271"/>
      <c r="C9094" s="271"/>
      <c r="D9094" s="271"/>
      <c r="E9094" s="271"/>
      <c r="F9094" s="271"/>
      <c r="G9094" s="273"/>
      <c r="H9094" s="29"/>
      <c r="I9094" s="394"/>
      <c r="J9094" s="273"/>
      <c r="K9094" s="395"/>
      <c r="L9094" s="273"/>
      <c r="M9094" s="394" t="str">
        <f t="shared" si="1232"/>
        <v/>
      </c>
      <c r="N9094" s="273"/>
    </row>
    <row r="9095" spans="1:14" ht="12.75" customHeight="1" x14ac:dyDescent="0.2">
      <c r="A9095" s="400"/>
      <c r="B9095" s="271"/>
      <c r="C9095" s="271"/>
      <c r="D9095" s="271"/>
      <c r="E9095" s="271"/>
      <c r="F9095" s="271"/>
      <c r="G9095" s="273"/>
      <c r="H9095" s="29"/>
      <c r="I9095" s="394"/>
      <c r="J9095" s="273"/>
      <c r="K9095" s="395"/>
      <c r="L9095" s="273"/>
      <c r="M9095" s="394" t="str">
        <f t="shared" si="1232"/>
        <v/>
      </c>
      <c r="N9095" s="273"/>
    </row>
    <row r="9096" spans="1:14" ht="12.75" customHeight="1" x14ac:dyDescent="0.2">
      <c r="A9096" s="400"/>
      <c r="B9096" s="271"/>
      <c r="C9096" s="271"/>
      <c r="D9096" s="271"/>
      <c r="E9096" s="271"/>
      <c r="F9096" s="271"/>
      <c r="G9096" s="273"/>
      <c r="H9096" s="29"/>
      <c r="I9096" s="394"/>
      <c r="J9096" s="273"/>
      <c r="K9096" s="395"/>
      <c r="L9096" s="273"/>
      <c r="M9096" s="394" t="str">
        <f t="shared" si="1232"/>
        <v/>
      </c>
      <c r="N9096" s="273"/>
    </row>
    <row r="9097" spans="1:14" ht="12.75" customHeight="1" x14ac:dyDescent="0.25">
      <c r="A9097" s="4"/>
      <c r="B9097" s="4"/>
      <c r="C9097" s="4"/>
      <c r="D9097" s="4"/>
      <c r="E9097" s="4"/>
      <c r="F9097" s="4"/>
      <c r="G9097" s="4"/>
      <c r="H9097" s="4"/>
      <c r="I9097" s="4"/>
      <c r="J9097" s="4"/>
      <c r="K9097" s="396" t="s">
        <v>444</v>
      </c>
      <c r="L9097" s="273"/>
      <c r="M9097" s="394">
        <f>SUM(M9092:N9096)</f>
        <v>14550</v>
      </c>
      <c r="N9097" s="273"/>
    </row>
    <row r="9098" spans="1:14" ht="12.75" customHeight="1" x14ac:dyDescent="0.25">
      <c r="A9098" s="4"/>
      <c r="B9098" s="4"/>
      <c r="C9098" s="4"/>
      <c r="D9098" s="4"/>
      <c r="E9098" s="4"/>
      <c r="F9098" s="4"/>
      <c r="G9098" s="4"/>
      <c r="H9098" s="4"/>
      <c r="I9098" s="4"/>
      <c r="J9098" s="4"/>
      <c r="K9098" s="4"/>
      <c r="L9098" s="4"/>
      <c r="M9098" s="4"/>
      <c r="N9098" s="4"/>
    </row>
    <row r="9099" spans="1:14" ht="12.75" customHeight="1" x14ac:dyDescent="0.2">
      <c r="A9099" s="398" t="s">
        <v>931</v>
      </c>
      <c r="B9099" s="271"/>
      <c r="C9099" s="271"/>
      <c r="D9099" s="271"/>
      <c r="E9099" s="271"/>
      <c r="F9099" s="271"/>
      <c r="G9099" s="271"/>
      <c r="H9099" s="271"/>
      <c r="I9099" s="271"/>
      <c r="J9099" s="271"/>
      <c r="K9099" s="271"/>
      <c r="L9099" s="271"/>
      <c r="M9099" s="271"/>
      <c r="N9099" s="273"/>
    </row>
    <row r="9100" spans="1:14" ht="12.75" customHeight="1" x14ac:dyDescent="0.2">
      <c r="A9100" s="396" t="s">
        <v>76</v>
      </c>
      <c r="B9100" s="271"/>
      <c r="C9100" s="271"/>
      <c r="D9100" s="271"/>
      <c r="E9100" s="271"/>
      <c r="F9100" s="271"/>
      <c r="G9100" s="273"/>
      <c r="H9100" s="88" t="s">
        <v>77</v>
      </c>
      <c r="I9100" s="399" t="s">
        <v>920</v>
      </c>
      <c r="J9100" s="273"/>
      <c r="K9100" s="90" t="s">
        <v>514</v>
      </c>
      <c r="L9100" s="91" t="s">
        <v>932</v>
      </c>
      <c r="M9100" s="399" t="s">
        <v>921</v>
      </c>
      <c r="N9100" s="273"/>
    </row>
    <row r="9101" spans="1:14" ht="12.75" customHeight="1" x14ac:dyDescent="0.25">
      <c r="A9101" s="393" t="s">
        <v>986</v>
      </c>
      <c r="B9101" s="271"/>
      <c r="C9101" s="271"/>
      <c r="D9101" s="271"/>
      <c r="E9101" s="271"/>
      <c r="F9101" s="271"/>
      <c r="G9101" s="273"/>
      <c r="H9101" s="29" t="str">
        <f>IF(A9101="","",VLOOKUP(A9101,AA_Cuadrillas,4,FALSE))</f>
        <v>Cuadrilla</v>
      </c>
      <c r="I9101" s="394">
        <f>IF(A9101="","",VLOOKUP(A9101,AA_Cuadrillas,5,FALSE))</f>
        <v>186763</v>
      </c>
      <c r="J9101" s="273"/>
      <c r="K9101" s="9">
        <f>IF(A9101="","",F.P!$I$2)</f>
        <v>1.88</v>
      </c>
      <c r="L9101" s="97">
        <f>1/20</f>
        <v>0.05</v>
      </c>
      <c r="M9101" s="394">
        <f t="shared" ref="M9101:M9105" si="1233">IF(A9101="","",I9101*K9101*L9101)</f>
        <v>17555.722000000002</v>
      </c>
      <c r="N9101" s="273"/>
    </row>
    <row r="9102" spans="1:14" ht="12.75" customHeight="1" x14ac:dyDescent="0.25">
      <c r="A9102" s="393"/>
      <c r="B9102" s="271"/>
      <c r="C9102" s="271"/>
      <c r="D9102" s="271"/>
      <c r="E9102" s="271"/>
      <c r="F9102" s="271"/>
      <c r="G9102" s="273"/>
      <c r="H9102" s="29" t="str">
        <f>IF(A9102="","",VLOOKUP(A9102,AA_Cuadrillas,4,FALSE))</f>
        <v/>
      </c>
      <c r="I9102" s="394" t="str">
        <f>IF(A9102="","",VLOOKUP(A9102,AA_Cuadrillas,5,FALSE))</f>
        <v/>
      </c>
      <c r="J9102" s="273"/>
      <c r="K9102" s="9" t="str">
        <f>IF(A9102="","",F.P!$I$2)</f>
        <v/>
      </c>
      <c r="L9102" s="9"/>
      <c r="M9102" s="394" t="str">
        <f t="shared" si="1233"/>
        <v/>
      </c>
      <c r="N9102" s="273"/>
    </row>
    <row r="9103" spans="1:14" ht="12.75" customHeight="1" x14ac:dyDescent="0.25">
      <c r="A9103" s="393"/>
      <c r="B9103" s="271"/>
      <c r="C9103" s="271"/>
      <c r="D9103" s="271"/>
      <c r="E9103" s="271"/>
      <c r="F9103" s="271"/>
      <c r="G9103" s="273"/>
      <c r="H9103" s="29" t="str">
        <f>IF(A9103="","",VLOOKUP(A9103,AA_Cuadrillas,4,FALSE))</f>
        <v/>
      </c>
      <c r="I9103" s="394" t="str">
        <f>IF(A9103="","",VLOOKUP(A9103,AA_Cuadrillas,5,FALSE))</f>
        <v/>
      </c>
      <c r="J9103" s="273"/>
      <c r="K9103" s="9" t="str">
        <f>IF(A9103="","",F.P!$I$2)</f>
        <v/>
      </c>
      <c r="L9103" s="37"/>
      <c r="M9103" s="394" t="str">
        <f t="shared" si="1233"/>
        <v/>
      </c>
      <c r="N9103" s="273"/>
    </row>
    <row r="9104" spans="1:14" ht="12.75" customHeight="1" x14ac:dyDescent="0.25">
      <c r="A9104" s="393"/>
      <c r="B9104" s="271"/>
      <c r="C9104" s="271"/>
      <c r="D9104" s="271"/>
      <c r="E9104" s="271"/>
      <c r="F9104" s="271"/>
      <c r="G9104" s="273"/>
      <c r="H9104" s="29" t="str">
        <f>IF(A9104="","",VLOOKUP(A9104,AA_Cuadrillas,4,FALSE))</f>
        <v/>
      </c>
      <c r="I9104" s="394" t="str">
        <f>IF(A9104="","",VLOOKUP(A9104,AA_Cuadrillas,5,FALSE))</f>
        <v/>
      </c>
      <c r="J9104" s="273"/>
      <c r="K9104" s="9" t="str">
        <f>IF(A9104="","",F.P!$I$2)</f>
        <v/>
      </c>
      <c r="L9104" s="37"/>
      <c r="M9104" s="394" t="str">
        <f t="shared" si="1233"/>
        <v/>
      </c>
      <c r="N9104" s="273"/>
    </row>
    <row r="9105" spans="1:14" ht="12.75" customHeight="1" x14ac:dyDescent="0.25">
      <c r="A9105" s="393"/>
      <c r="B9105" s="271"/>
      <c r="C9105" s="271"/>
      <c r="D9105" s="271"/>
      <c r="E9105" s="271"/>
      <c r="F9105" s="271"/>
      <c r="G9105" s="273"/>
      <c r="H9105" s="29" t="str">
        <f>IF(A9105="","",VLOOKUP(A9105,AA_Cuadrillas,4,FALSE))</f>
        <v/>
      </c>
      <c r="I9105" s="394" t="str">
        <f>IF(A9105="","",VLOOKUP(A9105,AA_Cuadrillas,5,FALSE))</f>
        <v/>
      </c>
      <c r="J9105" s="273"/>
      <c r="K9105" s="9" t="str">
        <f>IF(A9105="","",F.P!$I$2)</f>
        <v/>
      </c>
      <c r="L9105" s="37"/>
      <c r="M9105" s="394" t="str">
        <f t="shared" si="1233"/>
        <v/>
      </c>
      <c r="N9105" s="273"/>
    </row>
    <row r="9106" spans="1:14" ht="12.75" customHeight="1" x14ac:dyDescent="0.25">
      <c r="A9106" s="4"/>
      <c r="B9106" s="4"/>
      <c r="C9106" s="4"/>
      <c r="D9106" s="4"/>
      <c r="E9106" s="4"/>
      <c r="F9106" s="4"/>
      <c r="G9106" s="4"/>
      <c r="H9106" s="4"/>
      <c r="I9106" s="4"/>
      <c r="J9106" s="4"/>
      <c r="K9106" s="396" t="s">
        <v>444</v>
      </c>
      <c r="L9106" s="273"/>
      <c r="M9106" s="394">
        <f>SUM(M9101:N9105)</f>
        <v>17555.722000000002</v>
      </c>
      <c r="N9106" s="273"/>
    </row>
    <row r="9107" spans="1:14" ht="12.75" customHeight="1" x14ac:dyDescent="0.2"/>
    <row r="9108" spans="1:14" ht="12.75" customHeight="1" x14ac:dyDescent="0.2">
      <c r="A9108" s="407" t="s">
        <v>1445</v>
      </c>
      <c r="B9108" s="275"/>
      <c r="C9108" s="275"/>
      <c r="D9108" s="275"/>
      <c r="E9108" s="275"/>
      <c r="F9108" s="275"/>
      <c r="G9108" s="275"/>
      <c r="H9108" s="275"/>
      <c r="I9108" s="275"/>
      <c r="J9108" s="275"/>
      <c r="K9108" s="275"/>
      <c r="L9108" s="275"/>
      <c r="M9108" s="275"/>
      <c r="N9108" s="276"/>
    </row>
    <row r="9109" spans="1:14" ht="12.75" customHeight="1" x14ac:dyDescent="0.2">
      <c r="A9109" s="277"/>
      <c r="B9109" s="278"/>
      <c r="C9109" s="278"/>
      <c r="D9109" s="278"/>
      <c r="E9109" s="278"/>
      <c r="F9109" s="278"/>
      <c r="G9109" s="278"/>
      <c r="H9109" s="278"/>
      <c r="I9109" s="278"/>
      <c r="J9109" s="278"/>
      <c r="K9109" s="278"/>
      <c r="L9109" s="278"/>
      <c r="M9109" s="278"/>
      <c r="N9109" s="279"/>
    </row>
    <row r="9110" spans="1:14" ht="12.75" customHeight="1" x14ac:dyDescent="0.2">
      <c r="A9110" s="75"/>
      <c r="B9110" s="75"/>
      <c r="C9110" s="75"/>
      <c r="D9110" s="75"/>
      <c r="E9110" s="75"/>
      <c r="F9110" s="75"/>
      <c r="G9110" s="75"/>
      <c r="H9110" s="75"/>
      <c r="I9110" s="75"/>
      <c r="J9110" s="75"/>
      <c r="K9110" s="75"/>
      <c r="L9110" s="75"/>
      <c r="M9110" s="75"/>
      <c r="N9110" s="75"/>
    </row>
    <row r="9111" spans="1:14" ht="12.75" customHeight="1" x14ac:dyDescent="0.3">
      <c r="A9111" s="79" t="s">
        <v>814</v>
      </c>
      <c r="B9111" s="80" t="str">
        <f>A9108</f>
        <v>SUMINISTRO E INSTALACIÓN TEE Ø2" EN HIERRO DUCTIL CON UNIÓN MECÁNICA (INCLUYE MATERIALES, HERRAMIENTAS Y MANO DE OBRA)</v>
      </c>
      <c r="C9111" s="81" t="s">
        <v>916</v>
      </c>
      <c r="D9111" s="82" t="s">
        <v>999</v>
      </c>
      <c r="E9111" s="83" t="s">
        <v>445</v>
      </c>
      <c r="F9111" s="86">
        <f>H9111+J9111+L9111+N9111</f>
        <v>151783.50810000001</v>
      </c>
      <c r="G9111" s="83" t="s">
        <v>607</v>
      </c>
      <c r="H9111" s="86">
        <f>M9123</f>
        <v>127000</v>
      </c>
      <c r="I9111" s="83" t="s">
        <v>918</v>
      </c>
      <c r="J9111" s="86">
        <f>M9132</f>
        <v>877.78610000000015</v>
      </c>
      <c r="K9111" s="83" t="s">
        <v>609</v>
      </c>
      <c r="L9111" s="86">
        <f>M9141</f>
        <v>6350</v>
      </c>
      <c r="M9111" s="83" t="s">
        <v>610</v>
      </c>
      <c r="N9111" s="86">
        <f>M9150</f>
        <v>17555.722000000002</v>
      </c>
    </row>
    <row r="9112" spans="1:14" ht="12.75" customHeight="1" x14ac:dyDescent="0.25">
      <c r="A9112" s="87"/>
      <c r="B9112" s="87"/>
      <c r="C9112" s="87"/>
      <c r="D9112" s="87"/>
      <c r="E9112" s="87"/>
      <c r="F9112" s="87"/>
      <c r="G9112" s="87"/>
      <c r="J9112" s="87"/>
      <c r="K9112" s="215" t="s">
        <v>3217</v>
      </c>
      <c r="L9112" s="215">
        <f>+F9111*presup!$O$5</f>
        <v>197318.56053000002</v>
      </c>
      <c r="M9112" s="87"/>
      <c r="N9112" s="87"/>
    </row>
    <row r="9113" spans="1:14" ht="12.75" customHeight="1" x14ac:dyDescent="0.2">
      <c r="A9113" s="398" t="s">
        <v>919</v>
      </c>
      <c r="B9113" s="271"/>
      <c r="C9113" s="271"/>
      <c r="D9113" s="271"/>
      <c r="E9113" s="271"/>
      <c r="F9113" s="271"/>
      <c r="G9113" s="271"/>
      <c r="H9113" s="271"/>
      <c r="I9113" s="271"/>
      <c r="J9113" s="271"/>
      <c r="K9113" s="271"/>
      <c r="L9113" s="271"/>
      <c r="M9113" s="271"/>
      <c r="N9113" s="273"/>
    </row>
    <row r="9114" spans="1:14" ht="12.75" customHeight="1" x14ac:dyDescent="0.2">
      <c r="A9114" s="396" t="s">
        <v>76</v>
      </c>
      <c r="B9114" s="271"/>
      <c r="C9114" s="271"/>
      <c r="D9114" s="271"/>
      <c r="E9114" s="271"/>
      <c r="F9114" s="271"/>
      <c r="G9114" s="273"/>
      <c r="H9114" s="88" t="s">
        <v>77</v>
      </c>
      <c r="I9114" s="399" t="s">
        <v>920</v>
      </c>
      <c r="J9114" s="273"/>
      <c r="K9114" s="399" t="s">
        <v>453</v>
      </c>
      <c r="L9114" s="273"/>
      <c r="M9114" s="399" t="s">
        <v>921</v>
      </c>
      <c r="N9114" s="273"/>
    </row>
    <row r="9115" spans="1:14" ht="12.75" customHeight="1" x14ac:dyDescent="0.2">
      <c r="A9115" s="403" t="s">
        <v>1446</v>
      </c>
      <c r="B9115" s="271"/>
      <c r="C9115" s="271"/>
      <c r="D9115" s="271"/>
      <c r="E9115" s="271"/>
      <c r="F9115" s="271"/>
      <c r="G9115" s="273"/>
      <c r="H9115" s="29" t="str">
        <f t="shared" ref="H9115:H9122" si="1234">IF(A9115="","",VLOOKUP(A9115,AA_Materiales,7,FALSE))</f>
        <v>Unidad</v>
      </c>
      <c r="I9115" s="394">
        <f t="shared" ref="I9115:I9122" si="1235">IF(A9115="","",VLOOKUP(A9115,AA_Materiales,8,FALSE))</f>
        <v>127000</v>
      </c>
      <c r="J9115" s="273"/>
      <c r="K9115" s="395">
        <v>1</v>
      </c>
      <c r="L9115" s="273"/>
      <c r="M9115" s="394">
        <f t="shared" ref="M9115:M9122" si="1236">IF(A9115="","",I9115*K9115)</f>
        <v>127000</v>
      </c>
      <c r="N9115" s="273"/>
    </row>
    <row r="9116" spans="1:14" ht="12.75" customHeight="1" x14ac:dyDescent="0.2">
      <c r="A9116" s="403"/>
      <c r="B9116" s="271"/>
      <c r="C9116" s="271"/>
      <c r="D9116" s="271"/>
      <c r="E9116" s="271"/>
      <c r="F9116" s="271"/>
      <c r="G9116" s="273"/>
      <c r="H9116" s="29" t="str">
        <f t="shared" si="1234"/>
        <v/>
      </c>
      <c r="I9116" s="394" t="str">
        <f t="shared" si="1235"/>
        <v/>
      </c>
      <c r="J9116" s="273"/>
      <c r="K9116" s="395"/>
      <c r="L9116" s="273"/>
      <c r="M9116" s="394" t="str">
        <f t="shared" si="1236"/>
        <v/>
      </c>
      <c r="N9116" s="273"/>
    </row>
    <row r="9117" spans="1:14" ht="12.75" customHeight="1" x14ac:dyDescent="0.2">
      <c r="A9117" s="403"/>
      <c r="B9117" s="271"/>
      <c r="C9117" s="271"/>
      <c r="D9117" s="271"/>
      <c r="E9117" s="271"/>
      <c r="F9117" s="271"/>
      <c r="G9117" s="273"/>
      <c r="H9117" s="29" t="str">
        <f t="shared" si="1234"/>
        <v/>
      </c>
      <c r="I9117" s="394" t="str">
        <f t="shared" si="1235"/>
        <v/>
      </c>
      <c r="J9117" s="273"/>
      <c r="K9117" s="395"/>
      <c r="L9117" s="273"/>
      <c r="M9117" s="394" t="str">
        <f t="shared" si="1236"/>
        <v/>
      </c>
      <c r="N9117" s="273"/>
    </row>
    <row r="9118" spans="1:14" ht="12.75" customHeight="1" x14ac:dyDescent="0.2">
      <c r="A9118" s="403"/>
      <c r="B9118" s="271"/>
      <c r="C9118" s="271"/>
      <c r="D9118" s="271"/>
      <c r="E9118" s="271"/>
      <c r="F9118" s="271"/>
      <c r="G9118" s="273"/>
      <c r="H9118" s="29" t="str">
        <f t="shared" si="1234"/>
        <v/>
      </c>
      <c r="I9118" s="394" t="str">
        <f t="shared" si="1235"/>
        <v/>
      </c>
      <c r="J9118" s="273"/>
      <c r="K9118" s="395"/>
      <c r="L9118" s="273"/>
      <c r="M9118" s="394" t="str">
        <f t="shared" si="1236"/>
        <v/>
      </c>
      <c r="N9118" s="273"/>
    </row>
    <row r="9119" spans="1:14" ht="12.75" customHeight="1" x14ac:dyDescent="0.2">
      <c r="A9119" s="403"/>
      <c r="B9119" s="271"/>
      <c r="C9119" s="271"/>
      <c r="D9119" s="271"/>
      <c r="E9119" s="271"/>
      <c r="F9119" s="271"/>
      <c r="G9119" s="273"/>
      <c r="H9119" s="29" t="str">
        <f t="shared" si="1234"/>
        <v/>
      </c>
      <c r="I9119" s="394" t="str">
        <f t="shared" si="1235"/>
        <v/>
      </c>
      <c r="J9119" s="273"/>
      <c r="K9119" s="395"/>
      <c r="L9119" s="273"/>
      <c r="M9119" s="394" t="str">
        <f t="shared" si="1236"/>
        <v/>
      </c>
      <c r="N9119" s="273"/>
    </row>
    <row r="9120" spans="1:14" ht="12.75" customHeight="1" x14ac:dyDescent="0.2">
      <c r="A9120" s="403"/>
      <c r="B9120" s="271"/>
      <c r="C9120" s="271"/>
      <c r="D9120" s="271"/>
      <c r="E9120" s="271"/>
      <c r="F9120" s="271"/>
      <c r="G9120" s="273"/>
      <c r="H9120" s="29" t="str">
        <f t="shared" si="1234"/>
        <v/>
      </c>
      <c r="I9120" s="394" t="str">
        <f t="shared" si="1235"/>
        <v/>
      </c>
      <c r="J9120" s="273"/>
      <c r="K9120" s="395"/>
      <c r="L9120" s="273"/>
      <c r="M9120" s="394" t="str">
        <f t="shared" si="1236"/>
        <v/>
      </c>
      <c r="N9120" s="273"/>
    </row>
    <row r="9121" spans="1:14" ht="12.75" customHeight="1" x14ac:dyDescent="0.2">
      <c r="A9121" s="403"/>
      <c r="B9121" s="271"/>
      <c r="C9121" s="271"/>
      <c r="D9121" s="271"/>
      <c r="E9121" s="271"/>
      <c r="F9121" s="271"/>
      <c r="G9121" s="273"/>
      <c r="H9121" s="29" t="str">
        <f t="shared" si="1234"/>
        <v/>
      </c>
      <c r="I9121" s="394" t="str">
        <f t="shared" si="1235"/>
        <v/>
      </c>
      <c r="J9121" s="273"/>
      <c r="K9121" s="395"/>
      <c r="L9121" s="273"/>
      <c r="M9121" s="394" t="str">
        <f t="shared" si="1236"/>
        <v/>
      </c>
      <c r="N9121" s="273"/>
    </row>
    <row r="9122" spans="1:14" ht="12.75" customHeight="1" x14ac:dyDescent="0.2">
      <c r="A9122" s="403"/>
      <c r="B9122" s="271"/>
      <c r="C9122" s="271"/>
      <c r="D9122" s="271"/>
      <c r="E9122" s="271"/>
      <c r="F9122" s="271"/>
      <c r="G9122" s="273"/>
      <c r="H9122" s="29" t="str">
        <f t="shared" si="1234"/>
        <v/>
      </c>
      <c r="I9122" s="394" t="str">
        <f t="shared" si="1235"/>
        <v/>
      </c>
      <c r="J9122" s="273"/>
      <c r="K9122" s="395"/>
      <c r="L9122" s="273"/>
      <c r="M9122" s="394" t="str">
        <f t="shared" si="1236"/>
        <v/>
      </c>
      <c r="N9122" s="273"/>
    </row>
    <row r="9123" spans="1:14" ht="12.75" customHeight="1" x14ac:dyDescent="0.25">
      <c r="A9123" s="4"/>
      <c r="B9123" s="4"/>
      <c r="C9123" s="4"/>
      <c r="D9123" s="4"/>
      <c r="E9123" s="4"/>
      <c r="F9123" s="4"/>
      <c r="G9123" s="4"/>
      <c r="H9123" s="4"/>
      <c r="I9123" s="4"/>
      <c r="J9123" s="4"/>
      <c r="K9123" s="396" t="s">
        <v>444</v>
      </c>
      <c r="L9123" s="273"/>
      <c r="M9123" s="394">
        <f>SUM(M9115:N9122)</f>
        <v>127000</v>
      </c>
      <c r="N9123" s="273"/>
    </row>
    <row r="9124" spans="1:14" ht="12.75" customHeight="1" x14ac:dyDescent="0.25">
      <c r="A9124" s="4"/>
      <c r="B9124" s="4"/>
      <c r="C9124" s="4"/>
      <c r="D9124" s="4"/>
      <c r="E9124" s="4"/>
      <c r="F9124" s="4"/>
      <c r="G9124" s="4"/>
      <c r="H9124" s="4"/>
      <c r="I9124" s="4"/>
      <c r="J9124" s="4"/>
      <c r="K9124" s="4"/>
      <c r="L9124" s="4"/>
      <c r="M9124" s="4"/>
      <c r="N9124" s="4"/>
    </row>
    <row r="9125" spans="1:14" ht="12.75" customHeight="1" x14ac:dyDescent="0.2">
      <c r="A9125" s="398" t="s">
        <v>926</v>
      </c>
      <c r="B9125" s="271"/>
      <c r="C9125" s="271"/>
      <c r="D9125" s="271"/>
      <c r="E9125" s="271"/>
      <c r="F9125" s="271"/>
      <c r="G9125" s="271"/>
      <c r="H9125" s="271"/>
      <c r="I9125" s="271"/>
      <c r="J9125" s="271"/>
      <c r="K9125" s="271"/>
      <c r="L9125" s="271"/>
      <c r="M9125" s="271"/>
      <c r="N9125" s="273"/>
    </row>
    <row r="9126" spans="1:14" ht="12.75" customHeight="1" x14ac:dyDescent="0.2">
      <c r="A9126" s="396" t="s">
        <v>76</v>
      </c>
      <c r="B9126" s="271"/>
      <c r="C9126" s="271"/>
      <c r="D9126" s="271"/>
      <c r="E9126" s="271"/>
      <c r="F9126" s="271"/>
      <c r="G9126" s="273"/>
      <c r="H9126" s="88" t="s">
        <v>77</v>
      </c>
      <c r="I9126" s="399" t="s">
        <v>920</v>
      </c>
      <c r="J9126" s="273"/>
      <c r="K9126" s="399" t="s">
        <v>453</v>
      </c>
      <c r="L9126" s="273"/>
      <c r="M9126" s="399" t="s">
        <v>921</v>
      </c>
      <c r="N9126" s="273"/>
    </row>
    <row r="9127" spans="1:14" ht="12.75" customHeight="1" x14ac:dyDescent="0.2">
      <c r="A9127" s="400" t="s">
        <v>927</v>
      </c>
      <c r="B9127" s="271"/>
      <c r="C9127" s="271"/>
      <c r="D9127" s="271"/>
      <c r="E9127" s="271"/>
      <c r="F9127" s="271"/>
      <c r="G9127" s="273"/>
      <c r="H9127" s="29" t="str">
        <f>IF(A9127="","",VLOOKUP(A9127,AA_Equipos,7,FALSE))</f>
        <v>% M.O.</v>
      </c>
      <c r="I9127" s="394">
        <f>+M9150</f>
        <v>17555.722000000002</v>
      </c>
      <c r="J9127" s="273"/>
      <c r="K9127" s="404">
        <v>0.05</v>
      </c>
      <c r="L9127" s="273"/>
      <c r="M9127" s="394">
        <f t="shared" ref="M9127:M9131" si="1237">IF(A9127="","",I9127*K9127)</f>
        <v>877.78610000000015</v>
      </c>
      <c r="N9127" s="273"/>
    </row>
    <row r="9128" spans="1:14" ht="12.75" customHeight="1" x14ac:dyDescent="0.2">
      <c r="A9128" s="403"/>
      <c r="B9128" s="271"/>
      <c r="C9128" s="271"/>
      <c r="D9128" s="271"/>
      <c r="E9128" s="271"/>
      <c r="F9128" s="271"/>
      <c r="G9128" s="273"/>
      <c r="H9128" s="29" t="str">
        <f>IF(A9128="","",VLOOKUP(A9128,AA_Equipos,7,FALSE))</f>
        <v/>
      </c>
      <c r="I9128" s="394" t="str">
        <f>IF(A9128="","",VLOOKUP(A9128,AA_Equipos,8,FALSE))</f>
        <v/>
      </c>
      <c r="J9128" s="273"/>
      <c r="K9128" s="402"/>
      <c r="L9128" s="273"/>
      <c r="M9128" s="394" t="str">
        <f t="shared" si="1237"/>
        <v/>
      </c>
      <c r="N9128" s="273"/>
    </row>
    <row r="9129" spans="1:14" ht="12.75" customHeight="1" x14ac:dyDescent="0.2">
      <c r="A9129" s="400"/>
      <c r="B9129" s="271"/>
      <c r="C9129" s="271"/>
      <c r="D9129" s="271"/>
      <c r="E9129" s="271"/>
      <c r="F9129" s="271"/>
      <c r="G9129" s="273"/>
      <c r="H9129" s="29" t="str">
        <f>IF(A9129="","",VLOOKUP(A9129,AA_Equipos,7,FALSE))</f>
        <v/>
      </c>
      <c r="I9129" s="394" t="str">
        <f>IF(A9129="","",VLOOKUP(A9129,AA_Equipos,8,FALSE))</f>
        <v/>
      </c>
      <c r="J9129" s="273"/>
      <c r="K9129" s="401"/>
      <c r="L9129" s="273"/>
      <c r="M9129" s="394" t="str">
        <f t="shared" si="1237"/>
        <v/>
      </c>
      <c r="N9129" s="273"/>
    </row>
    <row r="9130" spans="1:14" ht="12.75" customHeight="1" x14ac:dyDescent="0.2">
      <c r="A9130" s="400"/>
      <c r="B9130" s="271"/>
      <c r="C9130" s="271"/>
      <c r="D9130" s="271"/>
      <c r="E9130" s="271"/>
      <c r="F9130" s="271"/>
      <c r="G9130" s="273"/>
      <c r="H9130" s="29" t="str">
        <f>IF(A9130="","",VLOOKUP(A9130,AA_Equipos,7,FALSE))</f>
        <v/>
      </c>
      <c r="I9130" s="394" t="str">
        <f>IF(A9130="","",VLOOKUP(A9130,AA_Equipos,8,FALSE))</f>
        <v/>
      </c>
      <c r="J9130" s="273"/>
      <c r="K9130" s="395"/>
      <c r="L9130" s="273"/>
      <c r="M9130" s="394" t="str">
        <f t="shared" si="1237"/>
        <v/>
      </c>
      <c r="N9130" s="273"/>
    </row>
    <row r="9131" spans="1:14" ht="12.75" customHeight="1" x14ac:dyDescent="0.2">
      <c r="A9131" s="400"/>
      <c r="B9131" s="271"/>
      <c r="C9131" s="271"/>
      <c r="D9131" s="271"/>
      <c r="E9131" s="271"/>
      <c r="F9131" s="271"/>
      <c r="G9131" s="273"/>
      <c r="H9131" s="29" t="str">
        <f>IF(A9131="","",VLOOKUP(A9131,AA_Equipos,7,FALSE))</f>
        <v/>
      </c>
      <c r="I9131" s="394" t="str">
        <f>IF(A9131="","",VLOOKUP(A9131,AA_Equipos,8,FALSE))</f>
        <v/>
      </c>
      <c r="J9131" s="273"/>
      <c r="K9131" s="395"/>
      <c r="L9131" s="273"/>
      <c r="M9131" s="394" t="str">
        <f t="shared" si="1237"/>
        <v/>
      </c>
      <c r="N9131" s="273"/>
    </row>
    <row r="9132" spans="1:14" ht="12.75" customHeight="1" x14ac:dyDescent="0.25">
      <c r="A9132" s="4"/>
      <c r="B9132" s="4"/>
      <c r="C9132" s="4"/>
      <c r="D9132" s="4"/>
      <c r="E9132" s="4"/>
      <c r="F9132" s="4"/>
      <c r="G9132" s="4"/>
      <c r="H9132" s="4"/>
      <c r="I9132" s="4"/>
      <c r="J9132" s="4"/>
      <c r="K9132" s="396" t="s">
        <v>444</v>
      </c>
      <c r="L9132" s="273"/>
      <c r="M9132" s="394">
        <f>SUM(M9127:N9131)</f>
        <v>877.78610000000015</v>
      </c>
      <c r="N9132" s="273"/>
    </row>
    <row r="9133" spans="1:14" ht="12.75" customHeight="1" x14ac:dyDescent="0.25">
      <c r="A9133" s="4"/>
      <c r="B9133" s="4"/>
      <c r="C9133" s="4"/>
      <c r="D9133" s="4"/>
      <c r="E9133" s="4"/>
      <c r="F9133" s="4"/>
      <c r="G9133" s="4"/>
      <c r="H9133" s="4"/>
      <c r="I9133" s="4"/>
      <c r="J9133" s="4"/>
      <c r="K9133" s="4"/>
      <c r="L9133" s="4"/>
      <c r="M9133" s="4"/>
      <c r="N9133" s="4"/>
    </row>
    <row r="9134" spans="1:14" ht="12.75" customHeight="1" x14ac:dyDescent="0.2">
      <c r="A9134" s="398" t="s">
        <v>929</v>
      </c>
      <c r="B9134" s="271"/>
      <c r="C9134" s="271"/>
      <c r="D9134" s="271"/>
      <c r="E9134" s="271"/>
      <c r="F9134" s="271"/>
      <c r="G9134" s="271"/>
      <c r="H9134" s="271"/>
      <c r="I9134" s="271"/>
      <c r="J9134" s="271"/>
      <c r="K9134" s="271"/>
      <c r="L9134" s="271"/>
      <c r="M9134" s="271"/>
      <c r="N9134" s="273"/>
    </row>
    <row r="9135" spans="1:14" ht="12.75" customHeight="1" x14ac:dyDescent="0.2">
      <c r="A9135" s="396" t="s">
        <v>76</v>
      </c>
      <c r="B9135" s="271"/>
      <c r="C9135" s="271"/>
      <c r="D9135" s="271"/>
      <c r="E9135" s="271"/>
      <c r="F9135" s="271"/>
      <c r="G9135" s="273"/>
      <c r="H9135" s="88" t="s">
        <v>77</v>
      </c>
      <c r="I9135" s="399" t="s">
        <v>920</v>
      </c>
      <c r="J9135" s="273"/>
      <c r="K9135" s="399" t="s">
        <v>453</v>
      </c>
      <c r="L9135" s="273"/>
      <c r="M9135" s="399" t="s">
        <v>921</v>
      </c>
      <c r="N9135" s="273"/>
    </row>
    <row r="9136" spans="1:14" ht="12.75" customHeight="1" x14ac:dyDescent="0.2">
      <c r="A9136" s="400" t="s">
        <v>960</v>
      </c>
      <c r="B9136" s="271"/>
      <c r="C9136" s="271"/>
      <c r="D9136" s="271"/>
      <c r="E9136" s="271"/>
      <c r="F9136" s="271"/>
      <c r="G9136" s="273"/>
      <c r="H9136" s="29" t="s">
        <v>950</v>
      </c>
      <c r="I9136" s="394">
        <f>+M9123</f>
        <v>127000</v>
      </c>
      <c r="J9136" s="273"/>
      <c r="K9136" s="404">
        <v>0.05</v>
      </c>
      <c r="L9136" s="273"/>
      <c r="M9136" s="394">
        <f t="shared" ref="M9136:M9140" si="1238">IF(A9136="","",I9136*K9136)</f>
        <v>6350</v>
      </c>
      <c r="N9136" s="273"/>
    </row>
    <row r="9137" spans="1:15" ht="12.75" customHeight="1" x14ac:dyDescent="0.2">
      <c r="A9137" s="403"/>
      <c r="B9137" s="271"/>
      <c r="C9137" s="271"/>
      <c r="D9137" s="271"/>
      <c r="E9137" s="271"/>
      <c r="F9137" s="271"/>
      <c r="G9137" s="273"/>
      <c r="H9137" s="29"/>
      <c r="I9137" s="394"/>
      <c r="J9137" s="273"/>
      <c r="K9137" s="404"/>
      <c r="L9137" s="273"/>
      <c r="M9137" s="394" t="str">
        <f t="shared" si="1238"/>
        <v/>
      </c>
      <c r="N9137" s="273"/>
    </row>
    <row r="9138" spans="1:15" ht="12.75" customHeight="1" x14ac:dyDescent="0.2">
      <c r="A9138" s="400"/>
      <c r="B9138" s="271"/>
      <c r="C9138" s="271"/>
      <c r="D9138" s="271"/>
      <c r="E9138" s="271"/>
      <c r="F9138" s="271"/>
      <c r="G9138" s="273"/>
      <c r="H9138" s="29"/>
      <c r="I9138" s="394"/>
      <c r="J9138" s="273"/>
      <c r="K9138" s="395"/>
      <c r="L9138" s="273"/>
      <c r="M9138" s="394" t="str">
        <f t="shared" si="1238"/>
        <v/>
      </c>
      <c r="N9138" s="273"/>
    </row>
    <row r="9139" spans="1:15" ht="12.75" customHeight="1" x14ac:dyDescent="0.2">
      <c r="A9139" s="400"/>
      <c r="B9139" s="271"/>
      <c r="C9139" s="271"/>
      <c r="D9139" s="271"/>
      <c r="E9139" s="271"/>
      <c r="F9139" s="271"/>
      <c r="G9139" s="273"/>
      <c r="H9139" s="29"/>
      <c r="I9139" s="394"/>
      <c r="J9139" s="273"/>
      <c r="K9139" s="395"/>
      <c r="L9139" s="273"/>
      <c r="M9139" s="394" t="str">
        <f t="shared" si="1238"/>
        <v/>
      </c>
      <c r="N9139" s="273"/>
    </row>
    <row r="9140" spans="1:15" ht="12.75" customHeight="1" x14ac:dyDescent="0.2">
      <c r="A9140" s="400"/>
      <c r="B9140" s="271"/>
      <c r="C9140" s="271"/>
      <c r="D9140" s="271"/>
      <c r="E9140" s="271"/>
      <c r="F9140" s="271"/>
      <c r="G9140" s="273"/>
      <c r="H9140" s="29"/>
      <c r="I9140" s="394"/>
      <c r="J9140" s="273"/>
      <c r="K9140" s="395"/>
      <c r="L9140" s="273"/>
      <c r="M9140" s="394" t="str">
        <f t="shared" si="1238"/>
        <v/>
      </c>
      <c r="N9140" s="273"/>
    </row>
    <row r="9141" spans="1:15" ht="12.75" customHeight="1" x14ac:dyDescent="0.25">
      <c r="A9141" s="4"/>
      <c r="B9141" s="4"/>
      <c r="C9141" s="4"/>
      <c r="D9141" s="4"/>
      <c r="E9141" s="4"/>
      <c r="F9141" s="4"/>
      <c r="G9141" s="4"/>
      <c r="H9141" s="4"/>
      <c r="I9141" s="4"/>
      <c r="J9141" s="4"/>
      <c r="K9141" s="396" t="s">
        <v>444</v>
      </c>
      <c r="L9141" s="273"/>
      <c r="M9141" s="394">
        <f>SUM(M9136:N9140)</f>
        <v>6350</v>
      </c>
      <c r="N9141" s="273"/>
    </row>
    <row r="9142" spans="1:15" ht="12.75" customHeight="1" x14ac:dyDescent="0.25">
      <c r="A9142" s="4"/>
      <c r="B9142" s="4"/>
      <c r="C9142" s="4"/>
      <c r="D9142" s="4"/>
      <c r="E9142" s="4"/>
      <c r="F9142" s="4"/>
      <c r="G9142" s="4"/>
      <c r="H9142" s="4"/>
      <c r="I9142" s="4"/>
      <c r="J9142" s="4"/>
      <c r="K9142" s="4"/>
      <c r="L9142" s="4"/>
      <c r="M9142" s="4"/>
      <c r="N9142" s="4"/>
    </row>
    <row r="9143" spans="1:15" ht="12.75" customHeight="1" x14ac:dyDescent="0.2">
      <c r="A9143" s="398" t="s">
        <v>931</v>
      </c>
      <c r="B9143" s="271"/>
      <c r="C9143" s="271"/>
      <c r="D9143" s="271"/>
      <c r="E9143" s="271"/>
      <c r="F9143" s="271"/>
      <c r="G9143" s="271"/>
      <c r="H9143" s="271"/>
      <c r="I9143" s="271"/>
      <c r="J9143" s="271"/>
      <c r="K9143" s="271"/>
      <c r="L9143" s="271"/>
      <c r="M9143" s="271"/>
      <c r="N9143" s="273"/>
    </row>
    <row r="9144" spans="1:15" ht="12.75" customHeight="1" x14ac:dyDescent="0.2">
      <c r="A9144" s="396" t="s">
        <v>76</v>
      </c>
      <c r="B9144" s="271"/>
      <c r="C9144" s="271"/>
      <c r="D9144" s="271"/>
      <c r="E9144" s="271"/>
      <c r="F9144" s="271"/>
      <c r="G9144" s="273"/>
      <c r="H9144" s="88" t="s">
        <v>77</v>
      </c>
      <c r="I9144" s="399" t="s">
        <v>920</v>
      </c>
      <c r="J9144" s="273"/>
      <c r="K9144" s="90" t="s">
        <v>514</v>
      </c>
      <c r="L9144" s="91" t="s">
        <v>932</v>
      </c>
      <c r="M9144" s="399" t="s">
        <v>921</v>
      </c>
      <c r="N9144" s="273"/>
    </row>
    <row r="9145" spans="1:15" ht="12.75" customHeight="1" x14ac:dyDescent="0.25">
      <c r="A9145" s="393" t="s">
        <v>986</v>
      </c>
      <c r="B9145" s="271"/>
      <c r="C9145" s="271"/>
      <c r="D9145" s="271"/>
      <c r="E9145" s="271"/>
      <c r="F9145" s="271"/>
      <c r="G9145" s="273"/>
      <c r="H9145" s="29" t="str">
        <f>IF(A9145="","",VLOOKUP(A9145,AA_Cuadrillas,4,FALSE))</f>
        <v>Cuadrilla</v>
      </c>
      <c r="I9145" s="394">
        <f>IF(A9145="","",VLOOKUP(A9145,AA_Cuadrillas,5,FALSE))</f>
        <v>186763</v>
      </c>
      <c r="J9145" s="273"/>
      <c r="K9145" s="9">
        <f>IF(A9145="","",F.P!$I$2)</f>
        <v>1.88</v>
      </c>
      <c r="L9145" s="97">
        <f>1/20</f>
        <v>0.05</v>
      </c>
      <c r="M9145" s="394">
        <f t="shared" ref="M9145:M9149" si="1239">IF(A9145="","",I9145*K9145*L9145)</f>
        <v>17555.722000000002</v>
      </c>
      <c r="N9145" s="273"/>
    </row>
    <row r="9146" spans="1:15" ht="12.75" customHeight="1" x14ac:dyDescent="0.25">
      <c r="A9146" s="393"/>
      <c r="B9146" s="271"/>
      <c r="C9146" s="271"/>
      <c r="D9146" s="271"/>
      <c r="E9146" s="271"/>
      <c r="F9146" s="271"/>
      <c r="G9146" s="273"/>
      <c r="H9146" s="29" t="str">
        <f>IF(A9146="","",VLOOKUP(A9146,AA_Cuadrillas,4,FALSE))</f>
        <v/>
      </c>
      <c r="I9146" s="394" t="str">
        <f>IF(A9146="","",VLOOKUP(A9146,AA_Cuadrillas,5,FALSE))</f>
        <v/>
      </c>
      <c r="J9146" s="273"/>
      <c r="K9146" s="9" t="str">
        <f>IF(A9146="","",F.P!$I$2)</f>
        <v/>
      </c>
      <c r="L9146" s="9"/>
      <c r="M9146" s="394" t="str">
        <f t="shared" si="1239"/>
        <v/>
      </c>
      <c r="N9146" s="273"/>
    </row>
    <row r="9147" spans="1:15" ht="12.75" customHeight="1" x14ac:dyDescent="0.25">
      <c r="A9147" s="393"/>
      <c r="B9147" s="271"/>
      <c r="C9147" s="271"/>
      <c r="D9147" s="271"/>
      <c r="E9147" s="271"/>
      <c r="F9147" s="271"/>
      <c r="G9147" s="273"/>
      <c r="H9147" s="29" t="str">
        <f>IF(A9147="","",VLOOKUP(A9147,AA_Cuadrillas,4,FALSE))</f>
        <v/>
      </c>
      <c r="I9147" s="394" t="str">
        <f>IF(A9147="","",VLOOKUP(A9147,AA_Cuadrillas,5,FALSE))</f>
        <v/>
      </c>
      <c r="J9147" s="273"/>
      <c r="K9147" s="9" t="str">
        <f>IF(A9147="","",F.P!$I$2)</f>
        <v/>
      </c>
      <c r="L9147" s="37"/>
      <c r="M9147" s="394" t="str">
        <f t="shared" si="1239"/>
        <v/>
      </c>
      <c r="N9147" s="273"/>
    </row>
    <row r="9148" spans="1:15" ht="12.75" customHeight="1" x14ac:dyDescent="0.25">
      <c r="A9148" s="393"/>
      <c r="B9148" s="271"/>
      <c r="C9148" s="271"/>
      <c r="D9148" s="271"/>
      <c r="E9148" s="271"/>
      <c r="F9148" s="271"/>
      <c r="G9148" s="273"/>
      <c r="H9148" s="29" t="str">
        <f>IF(A9148="","",VLOOKUP(A9148,AA_Cuadrillas,4,FALSE))</f>
        <v/>
      </c>
      <c r="I9148" s="394" t="str">
        <f>IF(A9148="","",VLOOKUP(A9148,AA_Cuadrillas,5,FALSE))</f>
        <v/>
      </c>
      <c r="J9148" s="273"/>
      <c r="K9148" s="9" t="str">
        <f>IF(A9148="","",F.P!$I$2)</f>
        <v/>
      </c>
      <c r="L9148" s="37"/>
      <c r="M9148" s="394" t="str">
        <f t="shared" si="1239"/>
        <v/>
      </c>
      <c r="N9148" s="273"/>
    </row>
    <row r="9149" spans="1:15" ht="12.75" customHeight="1" x14ac:dyDescent="0.25">
      <c r="A9149" s="393"/>
      <c r="B9149" s="271"/>
      <c r="C9149" s="271"/>
      <c r="D9149" s="271"/>
      <c r="E9149" s="271"/>
      <c r="F9149" s="271"/>
      <c r="G9149" s="273"/>
      <c r="H9149" s="29" t="str">
        <f>IF(A9149="","",VLOOKUP(A9149,AA_Cuadrillas,4,FALSE))</f>
        <v/>
      </c>
      <c r="I9149" s="394" t="str">
        <f>IF(A9149="","",VLOOKUP(A9149,AA_Cuadrillas,5,FALSE))</f>
        <v/>
      </c>
      <c r="J9149" s="273"/>
      <c r="K9149" s="9" t="str">
        <f>IF(A9149="","",F.P!$I$2)</f>
        <v/>
      </c>
      <c r="L9149" s="37"/>
      <c r="M9149" s="394" t="str">
        <f t="shared" si="1239"/>
        <v/>
      </c>
      <c r="N9149" s="273"/>
    </row>
    <row r="9150" spans="1:15" ht="12.75" customHeight="1" x14ac:dyDescent="0.25">
      <c r="A9150" s="4"/>
      <c r="B9150" s="4"/>
      <c r="C9150" s="4"/>
      <c r="D9150" s="4"/>
      <c r="E9150" s="4"/>
      <c r="F9150" s="4"/>
      <c r="G9150" s="4"/>
      <c r="H9150" s="4"/>
      <c r="I9150" s="4"/>
      <c r="J9150" s="4"/>
      <c r="K9150" s="396" t="s">
        <v>444</v>
      </c>
      <c r="L9150" s="273"/>
      <c r="M9150" s="394">
        <f>SUM(M9145:N9149)</f>
        <v>17555.722000000002</v>
      </c>
      <c r="N9150" s="273"/>
    </row>
    <row r="9151" spans="1:15" ht="12.75" customHeight="1" x14ac:dyDescent="0.2"/>
    <row r="9152" spans="1:15" ht="12.75" customHeight="1" x14ac:dyDescent="0.2">
      <c r="A9152" s="407" t="s">
        <v>373</v>
      </c>
      <c r="B9152" s="275"/>
      <c r="C9152" s="275"/>
      <c r="D9152" s="275"/>
      <c r="E9152" s="275"/>
      <c r="F9152" s="275"/>
      <c r="G9152" s="275"/>
      <c r="H9152" s="275"/>
      <c r="I9152" s="275"/>
      <c r="J9152" s="275"/>
      <c r="K9152" s="275"/>
      <c r="L9152" s="275"/>
      <c r="M9152" s="275"/>
      <c r="N9152" s="276"/>
      <c r="O9152" s="166"/>
    </row>
    <row r="9153" spans="1:15" ht="12.75" customHeight="1" x14ac:dyDescent="0.2">
      <c r="A9153" s="277"/>
      <c r="B9153" s="278"/>
      <c r="C9153" s="278"/>
      <c r="D9153" s="278"/>
      <c r="E9153" s="278"/>
      <c r="F9153" s="278"/>
      <c r="G9153" s="278"/>
      <c r="H9153" s="278"/>
      <c r="I9153" s="278"/>
      <c r="J9153" s="278"/>
      <c r="K9153" s="278"/>
      <c r="L9153" s="278"/>
      <c r="M9153" s="278"/>
      <c r="N9153" s="279"/>
      <c r="O9153" s="166"/>
    </row>
    <row r="9154" spans="1:15" ht="12.75" customHeight="1" x14ac:dyDescent="0.2">
      <c r="A9154" s="75"/>
      <c r="B9154" s="75"/>
      <c r="C9154" s="75"/>
      <c r="D9154" s="75"/>
      <c r="E9154" s="75"/>
      <c r="F9154" s="75"/>
      <c r="G9154" s="75"/>
      <c r="H9154" s="75"/>
      <c r="I9154" s="75"/>
      <c r="J9154" s="75"/>
      <c r="K9154" s="75"/>
      <c r="L9154" s="75"/>
      <c r="M9154" s="75"/>
      <c r="N9154" s="75"/>
    </row>
    <row r="9155" spans="1:15" ht="12.75" customHeight="1" x14ac:dyDescent="0.3">
      <c r="A9155" s="79" t="s">
        <v>815</v>
      </c>
      <c r="B9155" s="80" t="str">
        <f>A9152</f>
        <v>SUMINISTRO E INSTALACIÓN TEE Ø3" EN HIERRO DUCTIL CON UNIÓN MECÁNICA (INCLUYE MATERIALES, HERRAMIENTAS Y MANO DE OBRA)</v>
      </c>
      <c r="C9155" s="81" t="s">
        <v>916</v>
      </c>
      <c r="D9155" s="82" t="s">
        <v>999</v>
      </c>
      <c r="E9155" s="83" t="s">
        <v>445</v>
      </c>
      <c r="F9155" s="234">
        <f>(H9155+J9155+L9155+N9155)*1.3</f>
        <v>402125.61662650009</v>
      </c>
      <c r="G9155" s="83" t="s">
        <v>607</v>
      </c>
      <c r="H9155" s="86">
        <f>M9176</f>
        <v>877.78610000000015</v>
      </c>
      <c r="I9155" s="83" t="s">
        <v>918</v>
      </c>
      <c r="J9155" s="86">
        <f>M9167</f>
        <v>277000</v>
      </c>
      <c r="K9155" s="83" t="s">
        <v>609</v>
      </c>
      <c r="L9155" s="86">
        <f>M9185</f>
        <v>13893.889305000001</v>
      </c>
      <c r="M9155" s="83" t="s">
        <v>610</v>
      </c>
      <c r="N9155" s="86">
        <f>M9194</f>
        <v>17555.722000000002</v>
      </c>
    </row>
    <row r="9156" spans="1:15" ht="12.75" customHeight="1" x14ac:dyDescent="0.25">
      <c r="A9156" s="87"/>
      <c r="B9156" s="87"/>
      <c r="C9156" s="87"/>
      <c r="D9156" s="87"/>
      <c r="E9156" s="87"/>
      <c r="F9156" s="87"/>
      <c r="G9156" s="87"/>
      <c r="J9156" s="87"/>
      <c r="K9156" s="215" t="s">
        <v>3217</v>
      </c>
      <c r="L9156" s="215">
        <f>+F9155*presup!$O$5</f>
        <v>522763.30161445012</v>
      </c>
      <c r="M9156" s="87"/>
      <c r="N9156" s="87"/>
    </row>
    <row r="9157" spans="1:15" ht="12.75" customHeight="1" x14ac:dyDescent="0.2">
      <c r="A9157" s="398" t="s">
        <v>919</v>
      </c>
      <c r="B9157" s="271"/>
      <c r="C9157" s="271"/>
      <c r="D9157" s="271"/>
      <c r="E9157" s="271"/>
      <c r="F9157" s="271"/>
      <c r="G9157" s="271"/>
      <c r="H9157" s="271"/>
      <c r="I9157" s="271"/>
      <c r="J9157" s="271"/>
      <c r="K9157" s="271"/>
      <c r="L9157" s="271"/>
      <c r="M9157" s="271"/>
      <c r="N9157" s="273"/>
    </row>
    <row r="9158" spans="1:15" ht="12.75" customHeight="1" x14ac:dyDescent="0.2">
      <c r="A9158" s="396" t="s">
        <v>76</v>
      </c>
      <c r="B9158" s="271"/>
      <c r="C9158" s="271"/>
      <c r="D9158" s="271"/>
      <c r="E9158" s="271"/>
      <c r="F9158" s="271"/>
      <c r="G9158" s="273"/>
      <c r="H9158" s="88" t="s">
        <v>77</v>
      </c>
      <c r="I9158" s="399" t="s">
        <v>920</v>
      </c>
      <c r="J9158" s="273"/>
      <c r="K9158" s="399" t="s">
        <v>453</v>
      </c>
      <c r="L9158" s="273"/>
      <c r="M9158" s="399" t="s">
        <v>921</v>
      </c>
      <c r="N9158" s="273"/>
    </row>
    <row r="9159" spans="1:15" ht="12.75" customHeight="1" x14ac:dyDescent="0.2">
      <c r="A9159" s="403" t="s">
        <v>1447</v>
      </c>
      <c r="B9159" s="271"/>
      <c r="C9159" s="271"/>
      <c r="D9159" s="271"/>
      <c r="E9159" s="271"/>
      <c r="F9159" s="271"/>
      <c r="G9159" s="273"/>
      <c r="H9159" s="29" t="str">
        <f t="shared" ref="H9159:H9166" si="1240">IF(A9159="","",VLOOKUP(A9159,AA_Materiales,7,FALSE))</f>
        <v>Unidad</v>
      </c>
      <c r="I9159" s="394">
        <f t="shared" ref="I9159:I9166" si="1241">IF(A9159="","",VLOOKUP(A9159,AA_Materiales,8,FALSE))</f>
        <v>277000</v>
      </c>
      <c r="J9159" s="273"/>
      <c r="K9159" s="395">
        <v>1</v>
      </c>
      <c r="L9159" s="273"/>
      <c r="M9159" s="394">
        <f t="shared" ref="M9159:M9166" si="1242">IF(A9159="","",I9159*K9159)</f>
        <v>277000</v>
      </c>
      <c r="N9159" s="273"/>
    </row>
    <row r="9160" spans="1:15" ht="12.75" customHeight="1" x14ac:dyDescent="0.2">
      <c r="A9160" s="403"/>
      <c r="B9160" s="271"/>
      <c r="C9160" s="271"/>
      <c r="D9160" s="271"/>
      <c r="E9160" s="271"/>
      <c r="F9160" s="271"/>
      <c r="G9160" s="273"/>
      <c r="H9160" s="29" t="str">
        <f t="shared" si="1240"/>
        <v/>
      </c>
      <c r="I9160" s="394" t="str">
        <f t="shared" si="1241"/>
        <v/>
      </c>
      <c r="J9160" s="273"/>
      <c r="K9160" s="395"/>
      <c r="L9160" s="273"/>
      <c r="M9160" s="394" t="str">
        <f t="shared" si="1242"/>
        <v/>
      </c>
      <c r="N9160" s="273"/>
    </row>
    <row r="9161" spans="1:15" ht="12.75" customHeight="1" x14ac:dyDescent="0.2">
      <c r="A9161" s="403"/>
      <c r="B9161" s="271"/>
      <c r="C9161" s="271"/>
      <c r="D9161" s="271"/>
      <c r="E9161" s="271"/>
      <c r="F9161" s="271"/>
      <c r="G9161" s="273"/>
      <c r="H9161" s="29" t="str">
        <f t="shared" si="1240"/>
        <v/>
      </c>
      <c r="I9161" s="394" t="str">
        <f t="shared" si="1241"/>
        <v/>
      </c>
      <c r="J9161" s="273"/>
      <c r="K9161" s="395"/>
      <c r="L9161" s="273"/>
      <c r="M9161" s="394" t="str">
        <f t="shared" si="1242"/>
        <v/>
      </c>
      <c r="N9161" s="273"/>
    </row>
    <row r="9162" spans="1:15" ht="12.75" customHeight="1" x14ac:dyDescent="0.2">
      <c r="A9162" s="403"/>
      <c r="B9162" s="271"/>
      <c r="C9162" s="271"/>
      <c r="D9162" s="271"/>
      <c r="E9162" s="271"/>
      <c r="F9162" s="271"/>
      <c r="G9162" s="273"/>
      <c r="H9162" s="29" t="str">
        <f t="shared" si="1240"/>
        <v/>
      </c>
      <c r="I9162" s="394" t="str">
        <f t="shared" si="1241"/>
        <v/>
      </c>
      <c r="J9162" s="273"/>
      <c r="K9162" s="395"/>
      <c r="L9162" s="273"/>
      <c r="M9162" s="394" t="str">
        <f t="shared" si="1242"/>
        <v/>
      </c>
      <c r="N9162" s="273"/>
    </row>
    <row r="9163" spans="1:15" ht="12.75" customHeight="1" x14ac:dyDescent="0.2">
      <c r="A9163" s="403"/>
      <c r="B9163" s="271"/>
      <c r="C9163" s="271"/>
      <c r="D9163" s="271"/>
      <c r="E9163" s="271"/>
      <c r="F9163" s="271"/>
      <c r="G9163" s="273"/>
      <c r="H9163" s="29" t="str">
        <f t="shared" si="1240"/>
        <v/>
      </c>
      <c r="I9163" s="394" t="str">
        <f t="shared" si="1241"/>
        <v/>
      </c>
      <c r="J9163" s="273"/>
      <c r="K9163" s="395"/>
      <c r="L9163" s="273"/>
      <c r="M9163" s="394" t="str">
        <f t="shared" si="1242"/>
        <v/>
      </c>
      <c r="N9163" s="273"/>
    </row>
    <row r="9164" spans="1:15" ht="12.75" customHeight="1" x14ac:dyDescent="0.2">
      <c r="A9164" s="403"/>
      <c r="B9164" s="271"/>
      <c r="C9164" s="271"/>
      <c r="D9164" s="271"/>
      <c r="E9164" s="271"/>
      <c r="F9164" s="271"/>
      <c r="G9164" s="273"/>
      <c r="H9164" s="29" t="str">
        <f t="shared" si="1240"/>
        <v/>
      </c>
      <c r="I9164" s="394" t="str">
        <f t="shared" si="1241"/>
        <v/>
      </c>
      <c r="J9164" s="273"/>
      <c r="K9164" s="395"/>
      <c r="L9164" s="273"/>
      <c r="M9164" s="394" t="str">
        <f t="shared" si="1242"/>
        <v/>
      </c>
      <c r="N9164" s="273"/>
    </row>
    <row r="9165" spans="1:15" ht="12.75" customHeight="1" x14ac:dyDescent="0.2">
      <c r="A9165" s="403"/>
      <c r="B9165" s="271"/>
      <c r="C9165" s="271"/>
      <c r="D9165" s="271"/>
      <c r="E9165" s="271"/>
      <c r="F9165" s="271"/>
      <c r="G9165" s="273"/>
      <c r="H9165" s="29" t="str">
        <f t="shared" si="1240"/>
        <v/>
      </c>
      <c r="I9165" s="394" t="str">
        <f t="shared" si="1241"/>
        <v/>
      </c>
      <c r="J9165" s="273"/>
      <c r="K9165" s="395"/>
      <c r="L9165" s="273"/>
      <c r="M9165" s="394" t="str">
        <f t="shared" si="1242"/>
        <v/>
      </c>
      <c r="N9165" s="273"/>
    </row>
    <row r="9166" spans="1:15" ht="12.75" customHeight="1" x14ac:dyDescent="0.2">
      <c r="A9166" s="403"/>
      <c r="B9166" s="271"/>
      <c r="C9166" s="271"/>
      <c r="D9166" s="271"/>
      <c r="E9166" s="271"/>
      <c r="F9166" s="271"/>
      <c r="G9166" s="273"/>
      <c r="H9166" s="29" t="str">
        <f t="shared" si="1240"/>
        <v/>
      </c>
      <c r="I9166" s="394" t="str">
        <f t="shared" si="1241"/>
        <v/>
      </c>
      <c r="J9166" s="273"/>
      <c r="K9166" s="395"/>
      <c r="L9166" s="273"/>
      <c r="M9166" s="394" t="str">
        <f t="shared" si="1242"/>
        <v/>
      </c>
      <c r="N9166" s="273"/>
    </row>
    <row r="9167" spans="1:15" ht="12.75" customHeight="1" x14ac:dyDescent="0.25">
      <c r="A9167" s="4"/>
      <c r="B9167" s="4"/>
      <c r="C9167" s="4"/>
      <c r="D9167" s="4"/>
      <c r="E9167" s="4"/>
      <c r="F9167" s="4"/>
      <c r="G9167" s="4"/>
      <c r="H9167" s="4"/>
      <c r="I9167" s="4"/>
      <c r="J9167" s="4"/>
      <c r="K9167" s="396" t="s">
        <v>444</v>
      </c>
      <c r="L9167" s="273"/>
      <c r="M9167" s="394">
        <f>SUM(M9159:N9166)</f>
        <v>277000</v>
      </c>
      <c r="N9167" s="273"/>
    </row>
    <row r="9168" spans="1:15" ht="12.75" customHeight="1" x14ac:dyDescent="0.25">
      <c r="A9168" s="4"/>
      <c r="B9168" s="4"/>
      <c r="C9168" s="4"/>
      <c r="D9168" s="4"/>
      <c r="E9168" s="4"/>
      <c r="F9168" s="4"/>
      <c r="G9168" s="4"/>
      <c r="H9168" s="4"/>
      <c r="I9168" s="4"/>
      <c r="J9168" s="4"/>
      <c r="K9168" s="4"/>
      <c r="L9168" s="4"/>
      <c r="M9168" s="4"/>
      <c r="N9168" s="4"/>
    </row>
    <row r="9169" spans="1:14" ht="12.75" customHeight="1" x14ac:dyDescent="0.2">
      <c r="A9169" s="398" t="s">
        <v>926</v>
      </c>
      <c r="B9169" s="271"/>
      <c r="C9169" s="271"/>
      <c r="D9169" s="271"/>
      <c r="E9169" s="271"/>
      <c r="F9169" s="271"/>
      <c r="G9169" s="271"/>
      <c r="H9169" s="271"/>
      <c r="I9169" s="271"/>
      <c r="J9169" s="271"/>
      <c r="K9169" s="271"/>
      <c r="L9169" s="271"/>
      <c r="M9169" s="271"/>
      <c r="N9169" s="273"/>
    </row>
    <row r="9170" spans="1:14" ht="12.75" customHeight="1" x14ac:dyDescent="0.2">
      <c r="A9170" s="396" t="s">
        <v>76</v>
      </c>
      <c r="B9170" s="271"/>
      <c r="C9170" s="271"/>
      <c r="D9170" s="271"/>
      <c r="E9170" s="271"/>
      <c r="F9170" s="271"/>
      <c r="G9170" s="273"/>
      <c r="H9170" s="88" t="s">
        <v>77</v>
      </c>
      <c r="I9170" s="399" t="s">
        <v>920</v>
      </c>
      <c r="J9170" s="273"/>
      <c r="K9170" s="399" t="s">
        <v>453</v>
      </c>
      <c r="L9170" s="273"/>
      <c r="M9170" s="399" t="s">
        <v>921</v>
      </c>
      <c r="N9170" s="273"/>
    </row>
    <row r="9171" spans="1:14" ht="12.75" customHeight="1" x14ac:dyDescent="0.2">
      <c r="A9171" s="400" t="s">
        <v>927</v>
      </c>
      <c r="B9171" s="271"/>
      <c r="C9171" s="271"/>
      <c r="D9171" s="271"/>
      <c r="E9171" s="271"/>
      <c r="F9171" s="271"/>
      <c r="G9171" s="273"/>
      <c r="H9171" s="29" t="str">
        <f>IF(A9171="","",VLOOKUP(A9171,AA_Equipos,7,FALSE))</f>
        <v>% M.O.</v>
      </c>
      <c r="I9171" s="394">
        <f>+M9194</f>
        <v>17555.722000000002</v>
      </c>
      <c r="J9171" s="273"/>
      <c r="K9171" s="404">
        <v>0.05</v>
      </c>
      <c r="L9171" s="273"/>
      <c r="M9171" s="394">
        <f t="shared" ref="M9171:M9175" si="1243">IF(A9171="","",I9171*K9171)</f>
        <v>877.78610000000015</v>
      </c>
      <c r="N9171" s="273"/>
    </row>
    <row r="9172" spans="1:14" ht="12.75" customHeight="1" x14ac:dyDescent="0.2">
      <c r="A9172" s="403"/>
      <c r="B9172" s="271"/>
      <c r="C9172" s="271"/>
      <c r="D9172" s="271"/>
      <c r="E9172" s="271"/>
      <c r="F9172" s="271"/>
      <c r="G9172" s="273"/>
      <c r="H9172" s="29" t="str">
        <f>IF(A9172="","",VLOOKUP(A9172,AA_Equipos,7,FALSE))</f>
        <v/>
      </c>
      <c r="I9172" s="394" t="str">
        <f>IF(A9172="","",VLOOKUP(A9172,AA_Equipos,8,FALSE))</f>
        <v/>
      </c>
      <c r="J9172" s="273"/>
      <c r="K9172" s="402"/>
      <c r="L9172" s="273"/>
      <c r="M9172" s="394" t="str">
        <f t="shared" si="1243"/>
        <v/>
      </c>
      <c r="N9172" s="273"/>
    </row>
    <row r="9173" spans="1:14" ht="12.75" customHeight="1" x14ac:dyDescent="0.2">
      <c r="A9173" s="400"/>
      <c r="B9173" s="271"/>
      <c r="C9173" s="271"/>
      <c r="D9173" s="271"/>
      <c r="E9173" s="271"/>
      <c r="F9173" s="271"/>
      <c r="G9173" s="273"/>
      <c r="H9173" s="29" t="str">
        <f>IF(A9173="","",VLOOKUP(A9173,AA_Equipos,7,FALSE))</f>
        <v/>
      </c>
      <c r="I9173" s="394" t="str">
        <f>IF(A9173="","",VLOOKUP(A9173,AA_Equipos,8,FALSE))</f>
        <v/>
      </c>
      <c r="J9173" s="273"/>
      <c r="K9173" s="401"/>
      <c r="L9173" s="273"/>
      <c r="M9173" s="394" t="str">
        <f t="shared" si="1243"/>
        <v/>
      </c>
      <c r="N9173" s="273"/>
    </row>
    <row r="9174" spans="1:14" ht="12.75" customHeight="1" x14ac:dyDescent="0.2">
      <c r="A9174" s="400"/>
      <c r="B9174" s="271"/>
      <c r="C9174" s="271"/>
      <c r="D9174" s="271"/>
      <c r="E9174" s="271"/>
      <c r="F9174" s="271"/>
      <c r="G9174" s="273"/>
      <c r="H9174" s="29" t="str">
        <f>IF(A9174="","",VLOOKUP(A9174,AA_Equipos,7,FALSE))</f>
        <v/>
      </c>
      <c r="I9174" s="394" t="str">
        <f>IF(A9174="","",VLOOKUP(A9174,AA_Equipos,8,FALSE))</f>
        <v/>
      </c>
      <c r="J9174" s="273"/>
      <c r="K9174" s="395"/>
      <c r="L9174" s="273"/>
      <c r="M9174" s="394" t="str">
        <f t="shared" si="1243"/>
        <v/>
      </c>
      <c r="N9174" s="273"/>
    </row>
    <row r="9175" spans="1:14" ht="12.75" customHeight="1" x14ac:dyDescent="0.2">
      <c r="A9175" s="400"/>
      <c r="B9175" s="271"/>
      <c r="C9175" s="271"/>
      <c r="D9175" s="271"/>
      <c r="E9175" s="271"/>
      <c r="F9175" s="271"/>
      <c r="G9175" s="273"/>
      <c r="H9175" s="29" t="str">
        <f>IF(A9175="","",VLOOKUP(A9175,AA_Equipos,7,FALSE))</f>
        <v/>
      </c>
      <c r="I9175" s="394" t="str">
        <f>IF(A9175="","",VLOOKUP(A9175,AA_Equipos,8,FALSE))</f>
        <v/>
      </c>
      <c r="J9175" s="273"/>
      <c r="K9175" s="395"/>
      <c r="L9175" s="273"/>
      <c r="M9175" s="394" t="str">
        <f t="shared" si="1243"/>
        <v/>
      </c>
      <c r="N9175" s="273"/>
    </row>
    <row r="9176" spans="1:14" ht="12.75" customHeight="1" x14ac:dyDescent="0.25">
      <c r="A9176" s="4"/>
      <c r="B9176" s="4"/>
      <c r="C9176" s="4"/>
      <c r="D9176" s="4"/>
      <c r="E9176" s="4"/>
      <c r="F9176" s="4"/>
      <c r="G9176" s="4"/>
      <c r="H9176" s="4"/>
      <c r="I9176" s="4"/>
      <c r="J9176" s="4"/>
      <c r="K9176" s="396" t="s">
        <v>444</v>
      </c>
      <c r="L9176" s="273"/>
      <c r="M9176" s="394">
        <f>SUM(M9171:N9175)</f>
        <v>877.78610000000015</v>
      </c>
      <c r="N9176" s="273"/>
    </row>
    <row r="9177" spans="1:14" ht="12.75" customHeight="1" x14ac:dyDescent="0.25">
      <c r="A9177" s="4"/>
      <c r="B9177" s="4"/>
      <c r="C9177" s="4"/>
      <c r="D9177" s="4"/>
      <c r="E9177" s="4"/>
      <c r="F9177" s="4"/>
      <c r="G9177" s="4"/>
      <c r="H9177" s="4"/>
      <c r="I9177" s="4"/>
      <c r="J9177" s="4"/>
      <c r="K9177" s="4"/>
      <c r="L9177" s="4"/>
      <c r="M9177" s="4"/>
      <c r="N9177" s="4"/>
    </row>
    <row r="9178" spans="1:14" ht="12.75" customHeight="1" x14ac:dyDescent="0.2">
      <c r="A9178" s="398" t="s">
        <v>929</v>
      </c>
      <c r="B9178" s="271"/>
      <c r="C9178" s="271"/>
      <c r="D9178" s="271"/>
      <c r="E9178" s="271"/>
      <c r="F9178" s="271"/>
      <c r="G9178" s="271"/>
      <c r="H9178" s="271"/>
      <c r="I9178" s="271"/>
      <c r="J9178" s="271"/>
      <c r="K9178" s="271"/>
      <c r="L9178" s="271"/>
      <c r="M9178" s="271"/>
      <c r="N9178" s="273"/>
    </row>
    <row r="9179" spans="1:14" ht="12.75" customHeight="1" x14ac:dyDescent="0.2">
      <c r="A9179" s="396" t="s">
        <v>76</v>
      </c>
      <c r="B9179" s="271"/>
      <c r="C9179" s="271"/>
      <c r="D9179" s="271"/>
      <c r="E9179" s="271"/>
      <c r="F9179" s="271"/>
      <c r="G9179" s="273"/>
      <c r="H9179" s="88" t="s">
        <v>77</v>
      </c>
      <c r="I9179" s="399" t="s">
        <v>920</v>
      </c>
      <c r="J9179" s="273"/>
      <c r="K9179" s="399" t="s">
        <v>453</v>
      </c>
      <c r="L9179" s="273"/>
      <c r="M9179" s="399" t="s">
        <v>921</v>
      </c>
      <c r="N9179" s="273"/>
    </row>
    <row r="9180" spans="1:14" ht="12.75" customHeight="1" x14ac:dyDescent="0.2">
      <c r="A9180" s="400" t="s">
        <v>960</v>
      </c>
      <c r="B9180" s="271"/>
      <c r="C9180" s="271"/>
      <c r="D9180" s="271"/>
      <c r="E9180" s="271"/>
      <c r="F9180" s="271"/>
      <c r="G9180" s="273"/>
      <c r="H9180" s="29" t="s">
        <v>950</v>
      </c>
      <c r="I9180" s="394">
        <f>+M9167</f>
        <v>277000</v>
      </c>
      <c r="J9180" s="273"/>
      <c r="K9180" s="404">
        <v>0.05</v>
      </c>
      <c r="L9180" s="273"/>
      <c r="M9180" s="394">
        <f t="shared" ref="M9180:M9184" si="1244">IF(A9180="","",I9180*K9180)</f>
        <v>13850</v>
      </c>
      <c r="N9180" s="273"/>
    </row>
    <row r="9181" spans="1:14" ht="12.75" customHeight="1" x14ac:dyDescent="0.2">
      <c r="A9181" s="403" t="s">
        <v>3174</v>
      </c>
      <c r="B9181" s="271"/>
      <c r="C9181" s="271"/>
      <c r="D9181" s="271"/>
      <c r="E9181" s="271"/>
      <c r="F9181" s="271"/>
      <c r="G9181" s="273"/>
      <c r="H9181" s="29" t="s">
        <v>24</v>
      </c>
      <c r="I9181" s="394">
        <f>+M9176</f>
        <v>877.78610000000015</v>
      </c>
      <c r="J9181" s="273"/>
      <c r="K9181" s="404">
        <v>0.05</v>
      </c>
      <c r="L9181" s="273"/>
      <c r="M9181" s="394">
        <f t="shared" si="1244"/>
        <v>43.889305000000007</v>
      </c>
      <c r="N9181" s="273"/>
    </row>
    <row r="9182" spans="1:14" ht="12.75" customHeight="1" x14ac:dyDescent="0.2">
      <c r="A9182" s="400"/>
      <c r="B9182" s="271"/>
      <c r="C9182" s="271"/>
      <c r="D9182" s="271"/>
      <c r="E9182" s="271"/>
      <c r="F9182" s="271"/>
      <c r="G9182" s="273"/>
      <c r="H9182" s="29"/>
      <c r="I9182" s="394"/>
      <c r="J9182" s="273"/>
      <c r="K9182" s="395"/>
      <c r="L9182" s="273"/>
      <c r="M9182" s="394" t="str">
        <f t="shared" si="1244"/>
        <v/>
      </c>
      <c r="N9182" s="273"/>
    </row>
    <row r="9183" spans="1:14" ht="12.75" customHeight="1" x14ac:dyDescent="0.2">
      <c r="A9183" s="400"/>
      <c r="B9183" s="271"/>
      <c r="C9183" s="271"/>
      <c r="D9183" s="271"/>
      <c r="E9183" s="271"/>
      <c r="F9183" s="271"/>
      <c r="G9183" s="273"/>
      <c r="H9183" s="29"/>
      <c r="I9183" s="394"/>
      <c r="J9183" s="273"/>
      <c r="K9183" s="395"/>
      <c r="L9183" s="273"/>
      <c r="M9183" s="394" t="str">
        <f t="shared" si="1244"/>
        <v/>
      </c>
      <c r="N9183" s="273"/>
    </row>
    <row r="9184" spans="1:14" ht="12.75" customHeight="1" x14ac:dyDescent="0.2">
      <c r="A9184" s="400"/>
      <c r="B9184" s="271"/>
      <c r="C9184" s="271"/>
      <c r="D9184" s="271"/>
      <c r="E9184" s="271"/>
      <c r="F9184" s="271"/>
      <c r="G9184" s="273"/>
      <c r="H9184" s="29"/>
      <c r="I9184" s="394"/>
      <c r="J9184" s="273"/>
      <c r="K9184" s="395"/>
      <c r="L9184" s="273"/>
      <c r="M9184" s="394" t="str">
        <f t="shared" si="1244"/>
        <v/>
      </c>
      <c r="N9184" s="273"/>
    </row>
    <row r="9185" spans="1:15" ht="12.75" customHeight="1" x14ac:dyDescent="0.25">
      <c r="A9185" s="4"/>
      <c r="B9185" s="4"/>
      <c r="C9185" s="4"/>
      <c r="D9185" s="4"/>
      <c r="E9185" s="4"/>
      <c r="F9185" s="4"/>
      <c r="G9185" s="4"/>
      <c r="H9185" s="4"/>
      <c r="I9185" s="4"/>
      <c r="J9185" s="4"/>
      <c r="K9185" s="396" t="s">
        <v>444</v>
      </c>
      <c r="L9185" s="273"/>
      <c r="M9185" s="394">
        <f>SUM(M9180:N9184)</f>
        <v>13893.889305000001</v>
      </c>
      <c r="N9185" s="273"/>
    </row>
    <row r="9186" spans="1:15" ht="12.75" customHeight="1" x14ac:dyDescent="0.25">
      <c r="A9186" s="4"/>
      <c r="B9186" s="4"/>
      <c r="C9186" s="4"/>
      <c r="D9186" s="4"/>
      <c r="E9186" s="4"/>
      <c r="F9186" s="4"/>
      <c r="G9186" s="4"/>
      <c r="H9186" s="4"/>
      <c r="I9186" s="4"/>
      <c r="J9186" s="4"/>
      <c r="K9186" s="4"/>
      <c r="L9186" s="4"/>
      <c r="M9186" s="4"/>
      <c r="N9186" s="4"/>
    </row>
    <row r="9187" spans="1:15" ht="12.75" customHeight="1" x14ac:dyDescent="0.2">
      <c r="A9187" s="398" t="s">
        <v>931</v>
      </c>
      <c r="B9187" s="271"/>
      <c r="C9187" s="271"/>
      <c r="D9187" s="271"/>
      <c r="E9187" s="271"/>
      <c r="F9187" s="271"/>
      <c r="G9187" s="271"/>
      <c r="H9187" s="271"/>
      <c r="I9187" s="271"/>
      <c r="J9187" s="271"/>
      <c r="K9187" s="271"/>
      <c r="L9187" s="271"/>
      <c r="M9187" s="271"/>
      <c r="N9187" s="273"/>
    </row>
    <row r="9188" spans="1:15" ht="12.75" customHeight="1" x14ac:dyDescent="0.2">
      <c r="A9188" s="396" t="s">
        <v>76</v>
      </c>
      <c r="B9188" s="271"/>
      <c r="C9188" s="271"/>
      <c r="D9188" s="271"/>
      <c r="E9188" s="271"/>
      <c r="F9188" s="271"/>
      <c r="G9188" s="273"/>
      <c r="H9188" s="88" t="s">
        <v>77</v>
      </c>
      <c r="I9188" s="399" t="s">
        <v>920</v>
      </c>
      <c r="J9188" s="273"/>
      <c r="K9188" s="90" t="s">
        <v>514</v>
      </c>
      <c r="L9188" s="91" t="s">
        <v>932</v>
      </c>
      <c r="M9188" s="399" t="s">
        <v>921</v>
      </c>
      <c r="N9188" s="273"/>
    </row>
    <row r="9189" spans="1:15" ht="12.75" customHeight="1" x14ac:dyDescent="0.25">
      <c r="A9189" s="393" t="s">
        <v>986</v>
      </c>
      <c r="B9189" s="271"/>
      <c r="C9189" s="271"/>
      <c r="D9189" s="271"/>
      <c r="E9189" s="271"/>
      <c r="F9189" s="271"/>
      <c r="G9189" s="273"/>
      <c r="H9189" s="29" t="str">
        <f>IF(A9189="","",VLOOKUP(A9189,AA_Cuadrillas,4,FALSE))</f>
        <v>Cuadrilla</v>
      </c>
      <c r="I9189" s="394">
        <f>IF(A9189="","",VLOOKUP(A9189,AA_Cuadrillas,5,FALSE))</f>
        <v>186763</v>
      </c>
      <c r="J9189" s="273"/>
      <c r="K9189" s="9">
        <f>IF(A9189="","",F.P!$I$2)</f>
        <v>1.88</v>
      </c>
      <c r="L9189" s="97">
        <f>1/20</f>
        <v>0.05</v>
      </c>
      <c r="M9189" s="394">
        <f t="shared" ref="M9189:M9193" si="1245">IF(A9189="","",I9189*K9189*L9189)</f>
        <v>17555.722000000002</v>
      </c>
      <c r="N9189" s="273"/>
    </row>
    <row r="9190" spans="1:15" ht="12.75" customHeight="1" x14ac:dyDescent="0.25">
      <c r="A9190" s="393"/>
      <c r="B9190" s="271"/>
      <c r="C9190" s="271"/>
      <c r="D9190" s="271"/>
      <c r="E9190" s="271"/>
      <c r="F9190" s="271"/>
      <c r="G9190" s="273"/>
      <c r="H9190" s="29" t="str">
        <f>IF(A9190="","",VLOOKUP(A9190,AA_Cuadrillas,4,FALSE))</f>
        <v/>
      </c>
      <c r="I9190" s="394" t="str">
        <f>IF(A9190="","",VLOOKUP(A9190,AA_Cuadrillas,5,FALSE))</f>
        <v/>
      </c>
      <c r="J9190" s="273"/>
      <c r="K9190" s="9" t="str">
        <f>IF(A9190="","",F.P!$I$2)</f>
        <v/>
      </c>
      <c r="L9190" s="9"/>
      <c r="M9190" s="394" t="str">
        <f t="shared" si="1245"/>
        <v/>
      </c>
      <c r="N9190" s="273"/>
    </row>
    <row r="9191" spans="1:15" ht="12.75" customHeight="1" x14ac:dyDescent="0.25">
      <c r="A9191" s="393"/>
      <c r="B9191" s="271"/>
      <c r="C9191" s="271"/>
      <c r="D9191" s="271"/>
      <c r="E9191" s="271"/>
      <c r="F9191" s="271"/>
      <c r="G9191" s="273"/>
      <c r="H9191" s="29" t="str">
        <f>IF(A9191="","",VLOOKUP(A9191,AA_Cuadrillas,4,FALSE))</f>
        <v/>
      </c>
      <c r="I9191" s="394" t="str">
        <f>IF(A9191="","",VLOOKUP(A9191,AA_Cuadrillas,5,FALSE))</f>
        <v/>
      </c>
      <c r="J9191" s="273"/>
      <c r="K9191" s="9" t="str">
        <f>IF(A9191="","",F.P!$I$2)</f>
        <v/>
      </c>
      <c r="L9191" s="37"/>
      <c r="M9191" s="394" t="str">
        <f t="shared" si="1245"/>
        <v/>
      </c>
      <c r="N9191" s="273"/>
    </row>
    <row r="9192" spans="1:15" ht="12.75" customHeight="1" x14ac:dyDescent="0.25">
      <c r="A9192" s="393"/>
      <c r="B9192" s="271"/>
      <c r="C9192" s="271"/>
      <c r="D9192" s="271"/>
      <c r="E9192" s="271"/>
      <c r="F9192" s="271"/>
      <c r="G9192" s="273"/>
      <c r="H9192" s="29" t="str">
        <f>IF(A9192="","",VLOOKUP(A9192,AA_Cuadrillas,4,FALSE))</f>
        <v/>
      </c>
      <c r="I9192" s="394" t="str">
        <f>IF(A9192="","",VLOOKUP(A9192,AA_Cuadrillas,5,FALSE))</f>
        <v/>
      </c>
      <c r="J9192" s="273"/>
      <c r="K9192" s="9" t="str">
        <f>IF(A9192="","",F.P!$I$2)</f>
        <v/>
      </c>
      <c r="L9192" s="37"/>
      <c r="M9192" s="394" t="str">
        <f t="shared" si="1245"/>
        <v/>
      </c>
      <c r="N9192" s="273"/>
    </row>
    <row r="9193" spans="1:15" ht="12.75" customHeight="1" x14ac:dyDescent="0.25">
      <c r="A9193" s="393"/>
      <c r="B9193" s="271"/>
      <c r="C9193" s="271"/>
      <c r="D9193" s="271"/>
      <c r="E9193" s="271"/>
      <c r="F9193" s="271"/>
      <c r="G9193" s="273"/>
      <c r="H9193" s="29" t="str">
        <f>IF(A9193="","",VLOOKUP(A9193,AA_Cuadrillas,4,FALSE))</f>
        <v/>
      </c>
      <c r="I9193" s="394" t="str">
        <f>IF(A9193="","",VLOOKUP(A9193,AA_Cuadrillas,5,FALSE))</f>
        <v/>
      </c>
      <c r="J9193" s="273"/>
      <c r="K9193" s="9" t="str">
        <f>IF(A9193="","",F.P!$I$2)</f>
        <v/>
      </c>
      <c r="L9193" s="37"/>
      <c r="M9193" s="394" t="str">
        <f t="shared" si="1245"/>
        <v/>
      </c>
      <c r="N9193" s="273"/>
    </row>
    <row r="9194" spans="1:15" ht="12.75" customHeight="1" x14ac:dyDescent="0.25">
      <c r="A9194" s="4"/>
      <c r="B9194" s="4"/>
      <c r="C9194" s="4"/>
      <c r="D9194" s="4"/>
      <c r="E9194" s="4"/>
      <c r="F9194" s="4"/>
      <c r="G9194" s="4"/>
      <c r="H9194" s="4"/>
      <c r="I9194" s="4"/>
      <c r="J9194" s="4"/>
      <c r="K9194" s="396" t="s">
        <v>444</v>
      </c>
      <c r="L9194" s="273"/>
      <c r="M9194" s="394">
        <f>SUM(M9189:N9193)</f>
        <v>17555.722000000002</v>
      </c>
      <c r="N9194" s="273"/>
    </row>
    <row r="9195" spans="1:15" ht="12.75" customHeight="1" x14ac:dyDescent="0.2"/>
    <row r="9196" spans="1:15" ht="12.75" customHeight="1" x14ac:dyDescent="0.2">
      <c r="A9196" s="407" t="s">
        <v>1448</v>
      </c>
      <c r="B9196" s="275"/>
      <c r="C9196" s="275"/>
      <c r="D9196" s="275"/>
      <c r="E9196" s="275"/>
      <c r="F9196" s="275"/>
      <c r="G9196" s="275"/>
      <c r="H9196" s="275"/>
      <c r="I9196" s="275"/>
      <c r="J9196" s="275"/>
      <c r="K9196" s="275"/>
      <c r="L9196" s="275"/>
      <c r="M9196" s="275"/>
      <c r="N9196" s="276"/>
    </row>
    <row r="9197" spans="1:15" ht="12.75" customHeight="1" x14ac:dyDescent="0.2">
      <c r="A9197" s="277"/>
      <c r="B9197" s="278"/>
      <c r="C9197" s="278"/>
      <c r="D9197" s="278"/>
      <c r="E9197" s="278"/>
      <c r="F9197" s="278"/>
      <c r="G9197" s="278"/>
      <c r="H9197" s="278"/>
      <c r="I9197" s="278"/>
      <c r="J9197" s="278"/>
      <c r="K9197" s="278"/>
      <c r="L9197" s="278"/>
      <c r="M9197" s="278"/>
      <c r="N9197" s="279"/>
    </row>
    <row r="9198" spans="1:15" ht="12.75" customHeight="1" x14ac:dyDescent="0.2">
      <c r="A9198" s="75"/>
      <c r="B9198" s="75"/>
      <c r="C9198" s="75"/>
      <c r="D9198" s="75"/>
      <c r="E9198" s="75"/>
      <c r="F9198" s="75"/>
      <c r="G9198" s="75"/>
      <c r="H9198" s="75"/>
      <c r="I9198" s="75"/>
      <c r="J9198" s="75"/>
      <c r="K9198" s="75"/>
      <c r="L9198" s="75"/>
      <c r="M9198" s="75"/>
      <c r="N9198" s="75"/>
    </row>
    <row r="9199" spans="1:15" ht="12.75" customHeight="1" x14ac:dyDescent="0.3">
      <c r="A9199" s="79" t="s">
        <v>816</v>
      </c>
      <c r="B9199" s="80" t="str">
        <f>A9196</f>
        <v>SUMINISTRO E INSTALACIÓN TEE Ø4" EN HIERRO DUCTIL CON UNIÓN MECÁNICA (INCLUYE MATERIALES, HERRAMIENTAS Y MANO DE OBRA)</v>
      </c>
      <c r="C9199" s="81" t="s">
        <v>916</v>
      </c>
      <c r="D9199" s="82" t="s">
        <v>999</v>
      </c>
      <c r="E9199" s="83" t="s">
        <v>445</v>
      </c>
      <c r="F9199" s="240">
        <f>H9199+J9199+L9199+N9199</f>
        <v>501433.50810000004</v>
      </c>
      <c r="G9199" s="83" t="s">
        <v>607</v>
      </c>
      <c r="H9199" s="86">
        <f>M9211</f>
        <v>460000</v>
      </c>
      <c r="I9199" s="83" t="s">
        <v>918</v>
      </c>
      <c r="J9199" s="86">
        <f>M9220</f>
        <v>877.78610000000015</v>
      </c>
      <c r="K9199" s="83" t="s">
        <v>609</v>
      </c>
      <c r="L9199" s="86">
        <f>M9229</f>
        <v>23000</v>
      </c>
      <c r="M9199" s="83" t="s">
        <v>610</v>
      </c>
      <c r="N9199" s="86">
        <f>M9238</f>
        <v>17555.722000000002</v>
      </c>
      <c r="O9199" t="s">
        <v>3222</v>
      </c>
    </row>
    <row r="9200" spans="1:15" ht="12.75" customHeight="1" x14ac:dyDescent="0.25">
      <c r="A9200" s="87"/>
      <c r="B9200" s="87"/>
      <c r="C9200" s="87"/>
      <c r="D9200" s="87"/>
      <c r="E9200" s="87"/>
      <c r="F9200" s="259">
        <f>F9199*1.3</f>
        <v>651863.56053000002</v>
      </c>
      <c r="G9200" s="87"/>
      <c r="J9200" s="87"/>
      <c r="K9200" s="215" t="s">
        <v>3217</v>
      </c>
      <c r="L9200" s="215"/>
      <c r="M9200" s="87"/>
      <c r="N9200" s="87"/>
    </row>
    <row r="9201" spans="1:14" ht="12.75" customHeight="1" x14ac:dyDescent="0.2">
      <c r="A9201" s="398" t="s">
        <v>919</v>
      </c>
      <c r="B9201" s="271"/>
      <c r="C9201" s="271"/>
      <c r="D9201" s="271"/>
      <c r="E9201" s="271"/>
      <c r="F9201" s="271"/>
      <c r="G9201" s="271"/>
      <c r="H9201" s="271"/>
      <c r="I9201" s="271"/>
      <c r="J9201" s="271"/>
      <c r="K9201" s="271"/>
      <c r="L9201" s="271"/>
      <c r="M9201" s="271"/>
      <c r="N9201" s="273"/>
    </row>
    <row r="9202" spans="1:14" ht="12.75" customHeight="1" x14ac:dyDescent="0.2">
      <c r="A9202" s="396" t="s">
        <v>76</v>
      </c>
      <c r="B9202" s="271"/>
      <c r="C9202" s="271"/>
      <c r="D9202" s="271"/>
      <c r="E9202" s="271"/>
      <c r="F9202" s="271"/>
      <c r="G9202" s="273"/>
      <c r="H9202" s="88" t="s">
        <v>77</v>
      </c>
      <c r="I9202" s="399" t="s">
        <v>920</v>
      </c>
      <c r="J9202" s="273"/>
      <c r="K9202" s="399" t="s">
        <v>453</v>
      </c>
      <c r="L9202" s="273"/>
      <c r="M9202" s="399" t="s">
        <v>921</v>
      </c>
      <c r="N9202" s="273"/>
    </row>
    <row r="9203" spans="1:14" ht="12.75" customHeight="1" x14ac:dyDescent="0.2">
      <c r="A9203" s="429" t="s">
        <v>1449</v>
      </c>
      <c r="B9203" s="373"/>
      <c r="C9203" s="373"/>
      <c r="D9203" s="373"/>
      <c r="E9203" s="373"/>
      <c r="F9203" s="373"/>
      <c r="G9203" s="361"/>
      <c r="H9203" s="29" t="str">
        <f t="shared" ref="H9203:H9210" si="1246">IF(A9203="","",VLOOKUP(A9203,AA_Materiales,7,FALSE))</f>
        <v>Unidad</v>
      </c>
      <c r="I9203" s="394">
        <f t="shared" ref="I9203:I9210" si="1247">IF(A9203="","",VLOOKUP(A9203,AA_Materiales,8,FALSE))</f>
        <v>460000</v>
      </c>
      <c r="J9203" s="273"/>
      <c r="K9203" s="395">
        <v>1</v>
      </c>
      <c r="L9203" s="273"/>
      <c r="M9203" s="394">
        <f t="shared" ref="M9203:M9210" si="1248">IF(A9203="","",I9203*K9203)</f>
        <v>460000</v>
      </c>
      <c r="N9203" s="273"/>
    </row>
    <row r="9204" spans="1:14" ht="12.75" customHeight="1" x14ac:dyDescent="0.2">
      <c r="A9204" s="403"/>
      <c r="B9204" s="271"/>
      <c r="C9204" s="271"/>
      <c r="D9204" s="271"/>
      <c r="E9204" s="271"/>
      <c r="F9204" s="271"/>
      <c r="G9204" s="273"/>
      <c r="H9204" s="29" t="str">
        <f t="shared" si="1246"/>
        <v/>
      </c>
      <c r="I9204" s="394" t="str">
        <f t="shared" si="1247"/>
        <v/>
      </c>
      <c r="J9204" s="273"/>
      <c r="K9204" s="395"/>
      <c r="L9204" s="273"/>
      <c r="M9204" s="394" t="str">
        <f t="shared" si="1248"/>
        <v/>
      </c>
      <c r="N9204" s="273"/>
    </row>
    <row r="9205" spans="1:14" ht="12.75" customHeight="1" x14ac:dyDescent="0.2">
      <c r="A9205" s="403"/>
      <c r="B9205" s="271"/>
      <c r="C9205" s="271"/>
      <c r="D9205" s="271"/>
      <c r="E9205" s="271"/>
      <c r="F9205" s="271"/>
      <c r="G9205" s="273"/>
      <c r="H9205" s="29" t="str">
        <f t="shared" si="1246"/>
        <v/>
      </c>
      <c r="I9205" s="394" t="str">
        <f t="shared" si="1247"/>
        <v/>
      </c>
      <c r="J9205" s="273"/>
      <c r="K9205" s="395"/>
      <c r="L9205" s="273"/>
      <c r="M9205" s="394" t="str">
        <f t="shared" si="1248"/>
        <v/>
      </c>
      <c r="N9205" s="273"/>
    </row>
    <row r="9206" spans="1:14" ht="12.75" customHeight="1" x14ac:dyDescent="0.2">
      <c r="A9206" s="403"/>
      <c r="B9206" s="271"/>
      <c r="C9206" s="271"/>
      <c r="D9206" s="271"/>
      <c r="E9206" s="271"/>
      <c r="F9206" s="271"/>
      <c r="G9206" s="273"/>
      <c r="H9206" s="29" t="str">
        <f t="shared" si="1246"/>
        <v/>
      </c>
      <c r="I9206" s="394" t="str">
        <f t="shared" si="1247"/>
        <v/>
      </c>
      <c r="J9206" s="273"/>
      <c r="K9206" s="395"/>
      <c r="L9206" s="273"/>
      <c r="M9206" s="394" t="str">
        <f t="shared" si="1248"/>
        <v/>
      </c>
      <c r="N9206" s="273"/>
    </row>
    <row r="9207" spans="1:14" ht="12.75" customHeight="1" x14ac:dyDescent="0.2">
      <c r="A9207" s="403"/>
      <c r="B9207" s="271"/>
      <c r="C9207" s="271"/>
      <c r="D9207" s="271"/>
      <c r="E9207" s="271"/>
      <c r="F9207" s="271"/>
      <c r="G9207" s="273"/>
      <c r="H9207" s="29" t="str">
        <f t="shared" si="1246"/>
        <v/>
      </c>
      <c r="I9207" s="394" t="str">
        <f t="shared" si="1247"/>
        <v/>
      </c>
      <c r="J9207" s="273"/>
      <c r="K9207" s="395"/>
      <c r="L9207" s="273"/>
      <c r="M9207" s="394" t="str">
        <f t="shared" si="1248"/>
        <v/>
      </c>
      <c r="N9207" s="273"/>
    </row>
    <row r="9208" spans="1:14" ht="12.75" customHeight="1" x14ac:dyDescent="0.2">
      <c r="A9208" s="403"/>
      <c r="B9208" s="271"/>
      <c r="C9208" s="271"/>
      <c r="D9208" s="271"/>
      <c r="E9208" s="271"/>
      <c r="F9208" s="271"/>
      <c r="G9208" s="273"/>
      <c r="H9208" s="29" t="str">
        <f t="shared" si="1246"/>
        <v/>
      </c>
      <c r="I9208" s="394" t="str">
        <f t="shared" si="1247"/>
        <v/>
      </c>
      <c r="J9208" s="273"/>
      <c r="K9208" s="395"/>
      <c r="L9208" s="273"/>
      <c r="M9208" s="394" t="str">
        <f t="shared" si="1248"/>
        <v/>
      </c>
      <c r="N9208" s="273"/>
    </row>
    <row r="9209" spans="1:14" ht="12.75" customHeight="1" x14ac:dyDescent="0.2">
      <c r="A9209" s="403"/>
      <c r="B9209" s="271"/>
      <c r="C9209" s="271"/>
      <c r="D9209" s="271"/>
      <c r="E9209" s="271"/>
      <c r="F9209" s="271"/>
      <c r="G9209" s="273"/>
      <c r="H9209" s="29" t="str">
        <f t="shared" si="1246"/>
        <v/>
      </c>
      <c r="I9209" s="394" t="str">
        <f t="shared" si="1247"/>
        <v/>
      </c>
      <c r="J9209" s="273"/>
      <c r="K9209" s="395"/>
      <c r="L9209" s="273"/>
      <c r="M9209" s="394" t="str">
        <f t="shared" si="1248"/>
        <v/>
      </c>
      <c r="N9209" s="273"/>
    </row>
    <row r="9210" spans="1:14" ht="12.75" customHeight="1" x14ac:dyDescent="0.2">
      <c r="A9210" s="403"/>
      <c r="B9210" s="271"/>
      <c r="C9210" s="271"/>
      <c r="D9210" s="271"/>
      <c r="E9210" s="271"/>
      <c r="F9210" s="271"/>
      <c r="G9210" s="273"/>
      <c r="H9210" s="29" t="str">
        <f t="shared" si="1246"/>
        <v/>
      </c>
      <c r="I9210" s="394" t="str">
        <f t="shared" si="1247"/>
        <v/>
      </c>
      <c r="J9210" s="273"/>
      <c r="K9210" s="395"/>
      <c r="L9210" s="273"/>
      <c r="M9210" s="394" t="str">
        <f t="shared" si="1248"/>
        <v/>
      </c>
      <c r="N9210" s="273"/>
    </row>
    <row r="9211" spans="1:14" ht="12.75" customHeight="1" x14ac:dyDescent="0.25">
      <c r="A9211" s="4"/>
      <c r="B9211" s="4"/>
      <c r="C9211" s="4"/>
      <c r="D9211" s="4"/>
      <c r="E9211" s="4"/>
      <c r="F9211" s="4"/>
      <c r="G9211" s="4"/>
      <c r="H9211" s="4"/>
      <c r="I9211" s="4"/>
      <c r="J9211" s="4"/>
      <c r="K9211" s="396" t="s">
        <v>444</v>
      </c>
      <c r="L9211" s="273"/>
      <c r="M9211" s="394">
        <f>SUM(M9203:N9210)</f>
        <v>460000</v>
      </c>
      <c r="N9211" s="273"/>
    </row>
    <row r="9212" spans="1:14" ht="12.75" customHeight="1" x14ac:dyDescent="0.25">
      <c r="A9212" s="4"/>
      <c r="B9212" s="4"/>
      <c r="C9212" s="4"/>
      <c r="D9212" s="4"/>
      <c r="E9212" s="4"/>
      <c r="F9212" s="4"/>
      <c r="G9212" s="4"/>
      <c r="H9212" s="4"/>
      <c r="I9212" s="4"/>
      <c r="J9212" s="4"/>
      <c r="K9212" s="4"/>
      <c r="L9212" s="4"/>
      <c r="M9212" s="4"/>
      <c r="N9212" s="4"/>
    </row>
    <row r="9213" spans="1:14" ht="12.75" customHeight="1" x14ac:dyDescent="0.2">
      <c r="A9213" s="398" t="s">
        <v>926</v>
      </c>
      <c r="B9213" s="271"/>
      <c r="C9213" s="271"/>
      <c r="D9213" s="271"/>
      <c r="E9213" s="271"/>
      <c r="F9213" s="271"/>
      <c r="G9213" s="271"/>
      <c r="H9213" s="271"/>
      <c r="I9213" s="271"/>
      <c r="J9213" s="271"/>
      <c r="K9213" s="271"/>
      <c r="L9213" s="271"/>
      <c r="M9213" s="271"/>
      <c r="N9213" s="273"/>
    </row>
    <row r="9214" spans="1:14" ht="12.75" customHeight="1" x14ac:dyDescent="0.2">
      <c r="A9214" s="396" t="s">
        <v>76</v>
      </c>
      <c r="B9214" s="271"/>
      <c r="C9214" s="271"/>
      <c r="D9214" s="271"/>
      <c r="E9214" s="271"/>
      <c r="F9214" s="271"/>
      <c r="G9214" s="273"/>
      <c r="H9214" s="88" t="s">
        <v>77</v>
      </c>
      <c r="I9214" s="399" t="s">
        <v>920</v>
      </c>
      <c r="J9214" s="273"/>
      <c r="K9214" s="399" t="s">
        <v>453</v>
      </c>
      <c r="L9214" s="273"/>
      <c r="M9214" s="399" t="s">
        <v>921</v>
      </c>
      <c r="N9214" s="273"/>
    </row>
    <row r="9215" spans="1:14" ht="12.75" customHeight="1" x14ac:dyDescent="0.2">
      <c r="A9215" s="400" t="s">
        <v>927</v>
      </c>
      <c r="B9215" s="271"/>
      <c r="C9215" s="271"/>
      <c r="D9215" s="271"/>
      <c r="E9215" s="271"/>
      <c r="F9215" s="271"/>
      <c r="G9215" s="273"/>
      <c r="H9215" s="29" t="str">
        <f>IF(A9215="","",VLOOKUP(A9215,AA_Equipos,7,FALSE))</f>
        <v>% M.O.</v>
      </c>
      <c r="I9215" s="394">
        <f>+M9238</f>
        <v>17555.722000000002</v>
      </c>
      <c r="J9215" s="273"/>
      <c r="K9215" s="404">
        <v>0.05</v>
      </c>
      <c r="L9215" s="273"/>
      <c r="M9215" s="394">
        <f t="shared" ref="M9215:M9219" si="1249">IF(A9215="","",I9215*K9215)</f>
        <v>877.78610000000015</v>
      </c>
      <c r="N9215" s="273"/>
    </row>
    <row r="9216" spans="1:14" ht="12.75" customHeight="1" x14ac:dyDescent="0.2">
      <c r="A9216" s="403"/>
      <c r="B9216" s="271"/>
      <c r="C9216" s="271"/>
      <c r="D9216" s="271"/>
      <c r="E9216" s="271"/>
      <c r="F9216" s="271"/>
      <c r="G9216" s="273"/>
      <c r="H9216" s="29" t="str">
        <f>IF(A9216="","",VLOOKUP(A9216,AA_Equipos,7,FALSE))</f>
        <v/>
      </c>
      <c r="I9216" s="394" t="str">
        <f>IF(A9216="","",VLOOKUP(A9216,AA_Equipos,8,FALSE))</f>
        <v/>
      </c>
      <c r="J9216" s="273"/>
      <c r="K9216" s="402"/>
      <c r="L9216" s="273"/>
      <c r="M9216" s="394" t="str">
        <f t="shared" si="1249"/>
        <v/>
      </c>
      <c r="N9216" s="273"/>
    </row>
    <row r="9217" spans="1:14" ht="12.75" customHeight="1" x14ac:dyDescent="0.2">
      <c r="A9217" s="400"/>
      <c r="B9217" s="271"/>
      <c r="C9217" s="271"/>
      <c r="D9217" s="271"/>
      <c r="E9217" s="271"/>
      <c r="F9217" s="271"/>
      <c r="G9217" s="273"/>
      <c r="H9217" s="29" t="str">
        <f>IF(A9217="","",VLOOKUP(A9217,AA_Equipos,7,FALSE))</f>
        <v/>
      </c>
      <c r="I9217" s="394" t="str">
        <f>IF(A9217="","",VLOOKUP(A9217,AA_Equipos,8,FALSE))</f>
        <v/>
      </c>
      <c r="J9217" s="273"/>
      <c r="K9217" s="401"/>
      <c r="L9217" s="273"/>
      <c r="M9217" s="394" t="str">
        <f t="shared" si="1249"/>
        <v/>
      </c>
      <c r="N9217" s="273"/>
    </row>
    <row r="9218" spans="1:14" ht="12.75" customHeight="1" x14ac:dyDescent="0.2">
      <c r="A9218" s="400"/>
      <c r="B9218" s="271"/>
      <c r="C9218" s="271"/>
      <c r="D9218" s="271"/>
      <c r="E9218" s="271"/>
      <c r="F9218" s="271"/>
      <c r="G9218" s="273"/>
      <c r="H9218" s="29" t="str">
        <f>IF(A9218="","",VLOOKUP(A9218,AA_Equipos,7,FALSE))</f>
        <v/>
      </c>
      <c r="I9218" s="394" t="str">
        <f>IF(A9218="","",VLOOKUP(A9218,AA_Equipos,8,FALSE))</f>
        <v/>
      </c>
      <c r="J9218" s="273"/>
      <c r="K9218" s="395"/>
      <c r="L9218" s="273"/>
      <c r="M9218" s="394" t="str">
        <f t="shared" si="1249"/>
        <v/>
      </c>
      <c r="N9218" s="273"/>
    </row>
    <row r="9219" spans="1:14" ht="12.75" customHeight="1" x14ac:dyDescent="0.2">
      <c r="A9219" s="400"/>
      <c r="B9219" s="271"/>
      <c r="C9219" s="271"/>
      <c r="D9219" s="271"/>
      <c r="E9219" s="271"/>
      <c r="F9219" s="271"/>
      <c r="G9219" s="273"/>
      <c r="H9219" s="29" t="str">
        <f>IF(A9219="","",VLOOKUP(A9219,AA_Equipos,7,FALSE))</f>
        <v/>
      </c>
      <c r="I9219" s="394" t="str">
        <f>IF(A9219="","",VLOOKUP(A9219,AA_Equipos,8,FALSE))</f>
        <v/>
      </c>
      <c r="J9219" s="273"/>
      <c r="K9219" s="395"/>
      <c r="L9219" s="273"/>
      <c r="M9219" s="394" t="str">
        <f t="shared" si="1249"/>
        <v/>
      </c>
      <c r="N9219" s="273"/>
    </row>
    <row r="9220" spans="1:14" ht="12.75" customHeight="1" x14ac:dyDescent="0.25">
      <c r="A9220" s="4"/>
      <c r="B9220" s="4"/>
      <c r="C9220" s="4"/>
      <c r="D9220" s="4"/>
      <c r="E9220" s="4"/>
      <c r="F9220" s="4"/>
      <c r="G9220" s="4"/>
      <c r="H9220" s="4"/>
      <c r="I9220" s="4"/>
      <c r="J9220" s="4"/>
      <c r="K9220" s="396" t="s">
        <v>444</v>
      </c>
      <c r="L9220" s="273"/>
      <c r="M9220" s="394">
        <f>SUM(M9215:N9219)</f>
        <v>877.78610000000015</v>
      </c>
      <c r="N9220" s="273"/>
    </row>
    <row r="9221" spans="1:14" ht="12.75" customHeight="1" x14ac:dyDescent="0.25">
      <c r="A9221" s="4"/>
      <c r="B9221" s="4"/>
      <c r="C9221" s="4"/>
      <c r="D9221" s="4"/>
      <c r="E9221" s="4"/>
      <c r="F9221" s="4"/>
      <c r="G9221" s="4"/>
      <c r="H9221" s="4"/>
      <c r="I9221" s="4"/>
      <c r="J9221" s="4"/>
      <c r="K9221" s="4"/>
      <c r="L9221" s="4"/>
      <c r="M9221" s="4"/>
      <c r="N9221" s="4"/>
    </row>
    <row r="9222" spans="1:14" ht="12.75" customHeight="1" x14ac:dyDescent="0.2">
      <c r="A9222" s="398" t="s">
        <v>929</v>
      </c>
      <c r="B9222" s="271"/>
      <c r="C9222" s="271"/>
      <c r="D9222" s="271"/>
      <c r="E9222" s="271"/>
      <c r="F9222" s="271"/>
      <c r="G9222" s="271"/>
      <c r="H9222" s="271"/>
      <c r="I9222" s="271"/>
      <c r="J9222" s="271"/>
      <c r="K9222" s="271"/>
      <c r="L9222" s="271"/>
      <c r="M9222" s="271"/>
      <c r="N9222" s="273"/>
    </row>
    <row r="9223" spans="1:14" ht="12.75" customHeight="1" x14ac:dyDescent="0.2">
      <c r="A9223" s="396" t="s">
        <v>76</v>
      </c>
      <c r="B9223" s="271"/>
      <c r="C9223" s="271"/>
      <c r="D9223" s="271"/>
      <c r="E9223" s="271"/>
      <c r="F9223" s="271"/>
      <c r="G9223" s="273"/>
      <c r="H9223" s="88" t="s">
        <v>77</v>
      </c>
      <c r="I9223" s="399" t="s">
        <v>920</v>
      </c>
      <c r="J9223" s="273"/>
      <c r="K9223" s="399" t="s">
        <v>453</v>
      </c>
      <c r="L9223" s="273"/>
      <c r="M9223" s="399" t="s">
        <v>921</v>
      </c>
      <c r="N9223" s="273"/>
    </row>
    <row r="9224" spans="1:14" ht="12.75" customHeight="1" x14ac:dyDescent="0.2">
      <c r="A9224" s="400" t="s">
        <v>960</v>
      </c>
      <c r="B9224" s="271"/>
      <c r="C9224" s="271"/>
      <c r="D9224" s="271"/>
      <c r="E9224" s="271"/>
      <c r="F9224" s="271"/>
      <c r="G9224" s="273"/>
      <c r="H9224" s="29" t="s">
        <v>950</v>
      </c>
      <c r="I9224" s="394">
        <f>+M9211</f>
        <v>460000</v>
      </c>
      <c r="J9224" s="273"/>
      <c r="K9224" s="404">
        <v>0.05</v>
      </c>
      <c r="L9224" s="273"/>
      <c r="M9224" s="394">
        <f t="shared" ref="M9224:M9228" si="1250">IF(A9224="","",I9224*K9224)</f>
        <v>23000</v>
      </c>
      <c r="N9224" s="273"/>
    </row>
    <row r="9225" spans="1:14" ht="12.75" customHeight="1" x14ac:dyDescent="0.2">
      <c r="A9225" s="403"/>
      <c r="B9225" s="271"/>
      <c r="C9225" s="271"/>
      <c r="D9225" s="271"/>
      <c r="E9225" s="271"/>
      <c r="F9225" s="271"/>
      <c r="G9225" s="273"/>
      <c r="H9225" s="29"/>
      <c r="I9225" s="394"/>
      <c r="J9225" s="273"/>
      <c r="K9225" s="404"/>
      <c r="L9225" s="273"/>
      <c r="M9225" s="394" t="str">
        <f t="shared" si="1250"/>
        <v/>
      </c>
      <c r="N9225" s="273"/>
    </row>
    <row r="9226" spans="1:14" ht="12.75" customHeight="1" x14ac:dyDescent="0.2">
      <c r="A9226" s="400"/>
      <c r="B9226" s="271"/>
      <c r="C9226" s="271"/>
      <c r="D9226" s="271"/>
      <c r="E9226" s="271"/>
      <c r="F9226" s="271"/>
      <c r="G9226" s="273"/>
      <c r="H9226" s="29"/>
      <c r="I9226" s="394"/>
      <c r="J9226" s="273"/>
      <c r="K9226" s="395"/>
      <c r="L9226" s="273"/>
      <c r="M9226" s="394" t="str">
        <f t="shared" si="1250"/>
        <v/>
      </c>
      <c r="N9226" s="273"/>
    </row>
    <row r="9227" spans="1:14" ht="12.75" customHeight="1" x14ac:dyDescent="0.2">
      <c r="A9227" s="400"/>
      <c r="B9227" s="271"/>
      <c r="C9227" s="271"/>
      <c r="D9227" s="271"/>
      <c r="E9227" s="271"/>
      <c r="F9227" s="271"/>
      <c r="G9227" s="273"/>
      <c r="H9227" s="29"/>
      <c r="I9227" s="394"/>
      <c r="J9227" s="273"/>
      <c r="K9227" s="395"/>
      <c r="L9227" s="273"/>
      <c r="M9227" s="394" t="str">
        <f t="shared" si="1250"/>
        <v/>
      </c>
      <c r="N9227" s="273"/>
    </row>
    <row r="9228" spans="1:14" ht="12.75" customHeight="1" x14ac:dyDescent="0.2">
      <c r="A9228" s="400"/>
      <c r="B9228" s="271"/>
      <c r="C9228" s="271"/>
      <c r="D9228" s="271"/>
      <c r="E9228" s="271"/>
      <c r="F9228" s="271"/>
      <c r="G9228" s="273"/>
      <c r="H9228" s="29"/>
      <c r="I9228" s="394"/>
      <c r="J9228" s="273"/>
      <c r="K9228" s="395"/>
      <c r="L9228" s="273"/>
      <c r="M9228" s="394" t="str">
        <f t="shared" si="1250"/>
        <v/>
      </c>
      <c r="N9228" s="273"/>
    </row>
    <row r="9229" spans="1:14" ht="12.75" customHeight="1" x14ac:dyDescent="0.25">
      <c r="A9229" s="4"/>
      <c r="B9229" s="4"/>
      <c r="C9229" s="4"/>
      <c r="D9229" s="4"/>
      <c r="E9229" s="4"/>
      <c r="F9229" s="4"/>
      <c r="G9229" s="4"/>
      <c r="H9229" s="4"/>
      <c r="I9229" s="4"/>
      <c r="J9229" s="4"/>
      <c r="K9229" s="396" t="s">
        <v>444</v>
      </c>
      <c r="L9229" s="273"/>
      <c r="M9229" s="394">
        <f>SUM(M9224:N9228)</f>
        <v>23000</v>
      </c>
      <c r="N9229" s="273"/>
    </row>
    <row r="9230" spans="1:14" ht="12.75" customHeight="1" x14ac:dyDescent="0.25">
      <c r="A9230" s="4"/>
      <c r="B9230" s="4"/>
      <c r="C9230" s="4"/>
      <c r="D9230" s="4"/>
      <c r="E9230" s="4"/>
      <c r="F9230" s="4"/>
      <c r="G9230" s="4"/>
      <c r="H9230" s="4"/>
      <c r="I9230" s="4"/>
      <c r="J9230" s="4"/>
      <c r="K9230" s="4"/>
      <c r="L9230" s="4"/>
      <c r="M9230" s="4"/>
      <c r="N9230" s="4"/>
    </row>
    <row r="9231" spans="1:14" ht="12.75" customHeight="1" x14ac:dyDescent="0.2">
      <c r="A9231" s="398" t="s">
        <v>931</v>
      </c>
      <c r="B9231" s="271"/>
      <c r="C9231" s="271"/>
      <c r="D9231" s="271"/>
      <c r="E9231" s="271"/>
      <c r="F9231" s="271"/>
      <c r="G9231" s="271"/>
      <c r="H9231" s="271"/>
      <c r="I9231" s="271"/>
      <c r="J9231" s="271"/>
      <c r="K9231" s="271"/>
      <c r="L9231" s="271"/>
      <c r="M9231" s="271"/>
      <c r="N9231" s="273"/>
    </row>
    <row r="9232" spans="1:14" ht="12.75" customHeight="1" x14ac:dyDescent="0.2">
      <c r="A9232" s="396" t="s">
        <v>76</v>
      </c>
      <c r="B9232" s="271"/>
      <c r="C9232" s="271"/>
      <c r="D9232" s="271"/>
      <c r="E9232" s="271"/>
      <c r="F9232" s="271"/>
      <c r="G9232" s="273"/>
      <c r="H9232" s="88" t="s">
        <v>77</v>
      </c>
      <c r="I9232" s="399" t="s">
        <v>920</v>
      </c>
      <c r="J9232" s="273"/>
      <c r="K9232" s="90" t="s">
        <v>514</v>
      </c>
      <c r="L9232" s="91" t="s">
        <v>932</v>
      </c>
      <c r="M9232" s="399" t="s">
        <v>921</v>
      </c>
      <c r="N9232" s="273"/>
    </row>
    <row r="9233" spans="1:14" ht="12.75" customHeight="1" x14ac:dyDescent="0.25">
      <c r="A9233" s="393" t="s">
        <v>986</v>
      </c>
      <c r="B9233" s="271"/>
      <c r="C9233" s="271"/>
      <c r="D9233" s="271"/>
      <c r="E9233" s="271"/>
      <c r="F9233" s="271"/>
      <c r="G9233" s="273"/>
      <c r="H9233" s="29" t="str">
        <f>IF(A9233="","",VLOOKUP(A9233,AA_Cuadrillas,4,FALSE))</f>
        <v>Cuadrilla</v>
      </c>
      <c r="I9233" s="394">
        <f>IF(A9233="","",VLOOKUP(A9233,AA_Cuadrillas,5,FALSE))</f>
        <v>186763</v>
      </c>
      <c r="J9233" s="273"/>
      <c r="K9233" s="9">
        <f>IF(A9233="","",F.P!$I$2)</f>
        <v>1.88</v>
      </c>
      <c r="L9233" s="97">
        <f>1/20</f>
        <v>0.05</v>
      </c>
      <c r="M9233" s="394">
        <f t="shared" ref="M9233:M9237" si="1251">IF(A9233="","",I9233*K9233*L9233)</f>
        <v>17555.722000000002</v>
      </c>
      <c r="N9233" s="273"/>
    </row>
    <row r="9234" spans="1:14" ht="12.75" customHeight="1" x14ac:dyDescent="0.25">
      <c r="A9234" s="393"/>
      <c r="B9234" s="271"/>
      <c r="C9234" s="271"/>
      <c r="D9234" s="271"/>
      <c r="E9234" s="271"/>
      <c r="F9234" s="271"/>
      <c r="G9234" s="273"/>
      <c r="H9234" s="29" t="str">
        <f>IF(A9234="","",VLOOKUP(A9234,AA_Cuadrillas,4,FALSE))</f>
        <v/>
      </c>
      <c r="I9234" s="394" t="str">
        <f>IF(A9234="","",VLOOKUP(A9234,AA_Cuadrillas,5,FALSE))</f>
        <v/>
      </c>
      <c r="J9234" s="273"/>
      <c r="K9234" s="9" t="str">
        <f>IF(A9234="","",F.P!$I$2)</f>
        <v/>
      </c>
      <c r="L9234" s="9"/>
      <c r="M9234" s="394" t="str">
        <f t="shared" si="1251"/>
        <v/>
      </c>
      <c r="N9234" s="273"/>
    </row>
    <row r="9235" spans="1:14" ht="12.75" customHeight="1" x14ac:dyDescent="0.25">
      <c r="A9235" s="393"/>
      <c r="B9235" s="271"/>
      <c r="C9235" s="271"/>
      <c r="D9235" s="271"/>
      <c r="E9235" s="271"/>
      <c r="F9235" s="271"/>
      <c r="G9235" s="273"/>
      <c r="H9235" s="29" t="str">
        <f>IF(A9235="","",VLOOKUP(A9235,AA_Cuadrillas,4,FALSE))</f>
        <v/>
      </c>
      <c r="I9235" s="394" t="str">
        <f>IF(A9235="","",VLOOKUP(A9235,AA_Cuadrillas,5,FALSE))</f>
        <v/>
      </c>
      <c r="J9235" s="273"/>
      <c r="K9235" s="9" t="str">
        <f>IF(A9235="","",F.P!$I$2)</f>
        <v/>
      </c>
      <c r="L9235" s="37"/>
      <c r="M9235" s="394" t="str">
        <f t="shared" si="1251"/>
        <v/>
      </c>
      <c r="N9235" s="273"/>
    </row>
    <row r="9236" spans="1:14" ht="12.75" customHeight="1" x14ac:dyDescent="0.25">
      <c r="A9236" s="393"/>
      <c r="B9236" s="271"/>
      <c r="C9236" s="271"/>
      <c r="D9236" s="271"/>
      <c r="E9236" s="271"/>
      <c r="F9236" s="271"/>
      <c r="G9236" s="273"/>
      <c r="H9236" s="29" t="str">
        <f>IF(A9236="","",VLOOKUP(A9236,AA_Cuadrillas,4,FALSE))</f>
        <v/>
      </c>
      <c r="I9236" s="394" t="str">
        <f>IF(A9236="","",VLOOKUP(A9236,AA_Cuadrillas,5,FALSE))</f>
        <v/>
      </c>
      <c r="J9236" s="273"/>
      <c r="K9236" s="9" t="str">
        <f>IF(A9236="","",F.P!$I$2)</f>
        <v/>
      </c>
      <c r="L9236" s="37"/>
      <c r="M9236" s="394" t="str">
        <f t="shared" si="1251"/>
        <v/>
      </c>
      <c r="N9236" s="273"/>
    </row>
    <row r="9237" spans="1:14" ht="12.75" customHeight="1" x14ac:dyDescent="0.25">
      <c r="A9237" s="393"/>
      <c r="B9237" s="271"/>
      <c r="C9237" s="271"/>
      <c r="D9237" s="271"/>
      <c r="E9237" s="271"/>
      <c r="F9237" s="271"/>
      <c r="G9237" s="273"/>
      <c r="H9237" s="29" t="str">
        <f>IF(A9237="","",VLOOKUP(A9237,AA_Cuadrillas,4,FALSE))</f>
        <v/>
      </c>
      <c r="I9237" s="394" t="str">
        <f>IF(A9237="","",VLOOKUP(A9237,AA_Cuadrillas,5,FALSE))</f>
        <v/>
      </c>
      <c r="J9237" s="273"/>
      <c r="K9237" s="9" t="str">
        <f>IF(A9237="","",F.P!$I$2)</f>
        <v/>
      </c>
      <c r="L9237" s="37"/>
      <c r="M9237" s="394" t="str">
        <f t="shared" si="1251"/>
        <v/>
      </c>
      <c r="N9237" s="273"/>
    </row>
    <row r="9238" spans="1:14" ht="12.75" customHeight="1" x14ac:dyDescent="0.25">
      <c r="A9238" s="4"/>
      <c r="B9238" s="4"/>
      <c r="C9238" s="4"/>
      <c r="D9238" s="4"/>
      <c r="E9238" s="4"/>
      <c r="F9238" s="4"/>
      <c r="G9238" s="4"/>
      <c r="H9238" s="4"/>
      <c r="I9238" s="4"/>
      <c r="J9238" s="4"/>
      <c r="K9238" s="396" t="s">
        <v>444</v>
      </c>
      <c r="L9238" s="273"/>
      <c r="M9238" s="394">
        <f>SUM(M9233:N9237)</f>
        <v>17555.722000000002</v>
      </c>
      <c r="N9238" s="273"/>
    </row>
    <row r="9239" spans="1:14" ht="12.75" customHeight="1" x14ac:dyDescent="0.2"/>
    <row r="9240" spans="1:14" ht="12.75" customHeight="1" x14ac:dyDescent="0.2">
      <c r="A9240" s="397" t="s">
        <v>365</v>
      </c>
      <c r="B9240" s="275"/>
      <c r="C9240" s="275"/>
      <c r="D9240" s="275"/>
      <c r="E9240" s="275"/>
      <c r="F9240" s="275"/>
      <c r="G9240" s="275"/>
      <c r="H9240" s="275"/>
      <c r="I9240" s="275"/>
      <c r="J9240" s="275"/>
      <c r="K9240" s="275"/>
      <c r="L9240" s="275"/>
      <c r="M9240" s="275"/>
      <c r="N9240" s="276"/>
    </row>
    <row r="9241" spans="1:14" ht="12.75" customHeight="1" x14ac:dyDescent="0.2">
      <c r="A9241" s="277"/>
      <c r="B9241" s="278"/>
      <c r="C9241" s="278"/>
      <c r="D9241" s="278"/>
      <c r="E9241" s="278"/>
      <c r="F9241" s="278"/>
      <c r="G9241" s="278"/>
      <c r="H9241" s="278"/>
      <c r="I9241" s="278"/>
      <c r="J9241" s="278"/>
      <c r="K9241" s="278"/>
      <c r="L9241" s="278"/>
      <c r="M9241" s="278"/>
      <c r="N9241" s="279"/>
    </row>
    <row r="9242" spans="1:14" ht="12.75" customHeight="1" x14ac:dyDescent="0.2">
      <c r="A9242" s="75"/>
      <c r="B9242" s="75"/>
      <c r="C9242" s="75"/>
      <c r="D9242" s="75"/>
      <c r="E9242" s="75"/>
      <c r="F9242" s="75"/>
      <c r="G9242" s="75"/>
      <c r="H9242" s="75"/>
      <c r="I9242" s="75"/>
      <c r="J9242" s="75"/>
      <c r="K9242" s="75"/>
      <c r="L9242" s="75"/>
      <c r="M9242" s="75"/>
      <c r="N9242" s="75"/>
    </row>
    <row r="9243" spans="1:14" ht="12.75" customHeight="1" x14ac:dyDescent="0.3">
      <c r="A9243" s="79" t="s">
        <v>817</v>
      </c>
      <c r="B9243" s="80" t="str">
        <f>A9240</f>
        <v>VÁLVULA DE CORTE TIPO CHOROTE DE Ø2" (INCLUYE LLAVE PARA VÁLVULA, TAPA DE SEGURIDAD, TUBERÁ SANITARIA, VÁLVULA DE COMPUERTA, MATERIALES, HERRAMIENTAS Y MANO DE OBRA)</v>
      </c>
      <c r="C9243" s="81" t="s">
        <v>916</v>
      </c>
      <c r="D9243" s="82" t="s">
        <v>999</v>
      </c>
      <c r="E9243" s="83" t="s">
        <v>445</v>
      </c>
      <c r="F9243" s="86">
        <f>H9243+J9243+L9243+N9243</f>
        <v>2252651.690995554</v>
      </c>
      <c r="G9243" s="83" t="s">
        <v>607</v>
      </c>
      <c r="H9243" s="86">
        <f>M9269</f>
        <v>31919.494545454545</v>
      </c>
      <c r="I9243" s="83" t="s">
        <v>918</v>
      </c>
      <c r="J9243" s="86">
        <f>M9260</f>
        <v>1506992.6719438175</v>
      </c>
      <c r="K9243" s="83" t="s">
        <v>609</v>
      </c>
      <c r="L9243" s="86">
        <f>M9278</f>
        <v>75349.633597190885</v>
      </c>
      <c r="M9243" s="83" t="s">
        <v>610</v>
      </c>
      <c r="N9243" s="86">
        <f>M9287</f>
        <v>638389.89090909087</v>
      </c>
    </row>
    <row r="9244" spans="1:14" ht="12.75" customHeight="1" x14ac:dyDescent="0.25">
      <c r="A9244" s="87"/>
      <c r="B9244" s="87"/>
      <c r="C9244" s="87"/>
      <c r="D9244" s="87"/>
      <c r="E9244" s="87"/>
      <c r="F9244" s="87"/>
      <c r="G9244" s="87"/>
      <c r="J9244" s="87"/>
      <c r="K9244" s="215" t="s">
        <v>3217</v>
      </c>
      <c r="L9244" s="215">
        <f>+F9243*presup!$O$5</f>
        <v>2928447.1982942205</v>
      </c>
      <c r="M9244" s="87"/>
      <c r="N9244" s="87"/>
    </row>
    <row r="9245" spans="1:14" ht="12.75" customHeight="1" x14ac:dyDescent="0.2">
      <c r="A9245" s="398" t="s">
        <v>919</v>
      </c>
      <c r="B9245" s="271"/>
      <c r="C9245" s="271"/>
      <c r="D9245" s="271"/>
      <c r="E9245" s="271"/>
      <c r="F9245" s="271"/>
      <c r="G9245" s="271"/>
      <c r="H9245" s="271"/>
      <c r="I9245" s="271"/>
      <c r="J9245" s="271"/>
      <c r="K9245" s="271"/>
      <c r="L9245" s="271"/>
      <c r="M9245" s="271"/>
      <c r="N9245" s="273"/>
    </row>
    <row r="9246" spans="1:14" ht="12.75" customHeight="1" x14ac:dyDescent="0.2">
      <c r="A9246" s="396" t="s">
        <v>76</v>
      </c>
      <c r="B9246" s="271"/>
      <c r="C9246" s="271"/>
      <c r="D9246" s="271"/>
      <c r="E9246" s="271"/>
      <c r="F9246" s="271"/>
      <c r="G9246" s="273"/>
      <c r="H9246" s="88" t="s">
        <v>77</v>
      </c>
      <c r="I9246" s="399" t="s">
        <v>920</v>
      </c>
      <c r="J9246" s="273"/>
      <c r="K9246" s="399" t="s">
        <v>453</v>
      </c>
      <c r="L9246" s="273"/>
      <c r="M9246" s="399" t="s">
        <v>921</v>
      </c>
      <c r="N9246" s="273"/>
    </row>
    <row r="9247" spans="1:14" ht="12.75" customHeight="1" x14ac:dyDescent="0.2">
      <c r="A9247" s="403" t="s">
        <v>1307</v>
      </c>
      <c r="B9247" s="271"/>
      <c r="C9247" s="271"/>
      <c r="D9247" s="271"/>
      <c r="E9247" s="271"/>
      <c r="F9247" s="271"/>
      <c r="G9247" s="273"/>
      <c r="H9247" s="29" t="str">
        <f t="shared" ref="H9247:H9259" si="1252">IF(A9247="","",VLOOKUP(A9247,AA_Materiales,7,FALSE))</f>
        <v>m2</v>
      </c>
      <c r="I9247" s="394">
        <f t="shared" ref="I9247:I9259" si="1253">IF(A9247="","",VLOOKUP(A9247,AA_Materiales,8,FALSE))</f>
        <v>5395.0282271600026</v>
      </c>
      <c r="J9247" s="273"/>
      <c r="K9247" s="395">
        <f>0.5*0.5</f>
        <v>0.25</v>
      </c>
      <c r="L9247" s="273"/>
      <c r="M9247" s="394">
        <f t="shared" ref="M9247:M9259" si="1254">IF(A9247="","",I9247*K9247)</f>
        <v>1348.7570567900007</v>
      </c>
      <c r="N9247" s="273"/>
    </row>
    <row r="9248" spans="1:14" ht="12.75" customHeight="1" x14ac:dyDescent="0.2">
      <c r="A9248" s="403" t="s">
        <v>1308</v>
      </c>
      <c r="B9248" s="271"/>
      <c r="C9248" s="271"/>
      <c r="D9248" s="271"/>
      <c r="E9248" s="271"/>
      <c r="F9248" s="271"/>
      <c r="G9248" s="273"/>
      <c r="H9248" s="29" t="str">
        <f t="shared" si="1252"/>
        <v>m3</v>
      </c>
      <c r="I9248" s="394">
        <f t="shared" si="1253"/>
        <v>68458.635200799996</v>
      </c>
      <c r="J9248" s="273"/>
      <c r="K9248" s="395">
        <f>0.5*0.5*2</f>
        <v>0.5</v>
      </c>
      <c r="L9248" s="273"/>
      <c r="M9248" s="394">
        <f t="shared" si="1254"/>
        <v>34229.317600399998</v>
      </c>
      <c r="N9248" s="273"/>
    </row>
    <row r="9249" spans="1:14" ht="12.75" customHeight="1" x14ac:dyDescent="0.2">
      <c r="A9249" s="403" t="s">
        <v>1311</v>
      </c>
      <c r="B9249" s="271"/>
      <c r="C9249" s="271"/>
      <c r="D9249" s="271"/>
      <c r="E9249" s="271"/>
      <c r="F9249" s="271"/>
      <c r="G9249" s="273"/>
      <c r="H9249" s="29" t="str">
        <f t="shared" si="1252"/>
        <v>Kg</v>
      </c>
      <c r="I9249" s="394">
        <f t="shared" si="1253"/>
        <v>10407.86484233889</v>
      </c>
      <c r="J9249" s="273"/>
      <c r="K9249" s="395">
        <v>3</v>
      </c>
      <c r="L9249" s="273"/>
      <c r="M9249" s="394">
        <f t="shared" si="1254"/>
        <v>31223.59452701667</v>
      </c>
      <c r="N9249" s="273"/>
    </row>
    <row r="9250" spans="1:14" ht="12.75" customHeight="1" x14ac:dyDescent="0.2">
      <c r="A9250" s="403" t="s">
        <v>1371</v>
      </c>
      <c r="B9250" s="271"/>
      <c r="C9250" s="271"/>
      <c r="D9250" s="271"/>
      <c r="E9250" s="271"/>
      <c r="F9250" s="271"/>
      <c r="G9250" s="273"/>
      <c r="H9250" s="29" t="str">
        <f t="shared" si="1252"/>
        <v>m3</v>
      </c>
      <c r="I9250" s="394">
        <f t="shared" si="1253"/>
        <v>1389173.4069229569</v>
      </c>
      <c r="J9250" s="273"/>
      <c r="K9250" s="395">
        <f>(0.5*0.5*0.1)+(0.5*0.5*0.05)</f>
        <v>3.7500000000000006E-2</v>
      </c>
      <c r="L9250" s="273"/>
      <c r="M9250" s="394">
        <f t="shared" si="1254"/>
        <v>52094.002759610892</v>
      </c>
      <c r="N9250" s="273"/>
    </row>
    <row r="9251" spans="1:14" ht="12.75" customHeight="1" x14ac:dyDescent="0.2">
      <c r="A9251" s="403" t="s">
        <v>1450</v>
      </c>
      <c r="B9251" s="271"/>
      <c r="C9251" s="271"/>
      <c r="D9251" s="271"/>
      <c r="E9251" s="271"/>
      <c r="F9251" s="271"/>
      <c r="G9251" s="273"/>
      <c r="H9251" s="29" t="str">
        <f t="shared" si="1252"/>
        <v>Unidad</v>
      </c>
      <c r="I9251" s="394">
        <f t="shared" si="1253"/>
        <v>560347</v>
      </c>
      <c r="J9251" s="273"/>
      <c r="K9251" s="395">
        <v>1</v>
      </c>
      <c r="L9251" s="273"/>
      <c r="M9251" s="394">
        <f t="shared" si="1254"/>
        <v>560347</v>
      </c>
      <c r="N9251" s="273"/>
    </row>
    <row r="9252" spans="1:14" ht="12.75" customHeight="1" x14ac:dyDescent="0.2">
      <c r="A9252" s="403" t="s">
        <v>1451</v>
      </c>
      <c r="B9252" s="271"/>
      <c r="C9252" s="271"/>
      <c r="D9252" s="271"/>
      <c r="E9252" s="271"/>
      <c r="F9252" s="271"/>
      <c r="G9252" s="273"/>
      <c r="H9252" s="29" t="str">
        <f t="shared" si="1252"/>
        <v>Unidad</v>
      </c>
      <c r="I9252" s="394">
        <f t="shared" si="1253"/>
        <v>253000</v>
      </c>
      <c r="J9252" s="273"/>
      <c r="K9252" s="395">
        <v>1</v>
      </c>
      <c r="L9252" s="273"/>
      <c r="M9252" s="394">
        <f t="shared" si="1254"/>
        <v>253000</v>
      </c>
      <c r="N9252" s="273"/>
    </row>
    <row r="9253" spans="1:14" ht="12.75" customHeight="1" x14ac:dyDescent="0.2">
      <c r="A9253" s="403" t="s">
        <v>1190</v>
      </c>
      <c r="B9253" s="271"/>
      <c r="C9253" s="271"/>
      <c r="D9253" s="271"/>
      <c r="E9253" s="271"/>
      <c r="F9253" s="271"/>
      <c r="G9253" s="273"/>
      <c r="H9253" s="29" t="str">
        <f t="shared" si="1252"/>
        <v>ml</v>
      </c>
      <c r="I9253" s="394">
        <f t="shared" si="1253"/>
        <v>54300</v>
      </c>
      <c r="J9253" s="273"/>
      <c r="K9253" s="395">
        <v>1.5</v>
      </c>
      <c r="L9253" s="273"/>
      <c r="M9253" s="394">
        <f t="shared" si="1254"/>
        <v>81450</v>
      </c>
      <c r="N9253" s="273"/>
    </row>
    <row r="9254" spans="1:14" ht="12.75" customHeight="1" x14ac:dyDescent="0.2">
      <c r="A9254" s="403" t="s">
        <v>1452</v>
      </c>
      <c r="B9254" s="271"/>
      <c r="C9254" s="271"/>
      <c r="D9254" s="271"/>
      <c r="E9254" s="271"/>
      <c r="F9254" s="271"/>
      <c r="G9254" s="273"/>
      <c r="H9254" s="29" t="str">
        <f t="shared" si="1252"/>
        <v>Unidad</v>
      </c>
      <c r="I9254" s="394">
        <f t="shared" si="1253"/>
        <v>460000</v>
      </c>
      <c r="J9254" s="273"/>
      <c r="K9254" s="395">
        <v>1</v>
      </c>
      <c r="L9254" s="273"/>
      <c r="M9254" s="394">
        <f t="shared" si="1254"/>
        <v>460000</v>
      </c>
      <c r="N9254" s="273"/>
    </row>
    <row r="9255" spans="1:14" ht="12.75" customHeight="1" x14ac:dyDescent="0.2">
      <c r="A9255" s="403" t="s">
        <v>1453</v>
      </c>
      <c r="B9255" s="271"/>
      <c r="C9255" s="271"/>
      <c r="D9255" s="271"/>
      <c r="E9255" s="271"/>
      <c r="F9255" s="271"/>
      <c r="G9255" s="273"/>
      <c r="H9255" s="29" t="str">
        <f t="shared" si="1252"/>
        <v>ml</v>
      </c>
      <c r="I9255" s="394">
        <f t="shared" si="1253"/>
        <v>33300</v>
      </c>
      <c r="J9255" s="273"/>
      <c r="K9255" s="395">
        <v>1</v>
      </c>
      <c r="L9255" s="273"/>
      <c r="M9255" s="394">
        <f t="shared" si="1254"/>
        <v>33300</v>
      </c>
      <c r="N9255" s="273"/>
    </row>
    <row r="9256" spans="1:14" ht="12.75" customHeight="1" x14ac:dyDescent="0.2">
      <c r="A9256" s="403"/>
      <c r="B9256" s="271"/>
      <c r="C9256" s="271"/>
      <c r="D9256" s="271"/>
      <c r="E9256" s="271"/>
      <c r="F9256" s="271"/>
      <c r="G9256" s="273"/>
      <c r="H9256" s="29" t="str">
        <f t="shared" si="1252"/>
        <v/>
      </c>
      <c r="I9256" s="394" t="str">
        <f t="shared" si="1253"/>
        <v/>
      </c>
      <c r="J9256" s="273"/>
      <c r="K9256" s="395"/>
      <c r="L9256" s="273"/>
      <c r="M9256" s="394" t="str">
        <f t="shared" si="1254"/>
        <v/>
      </c>
      <c r="N9256" s="273"/>
    </row>
    <row r="9257" spans="1:14" ht="12.75" customHeight="1" x14ac:dyDescent="0.2">
      <c r="A9257" s="403"/>
      <c r="B9257" s="271"/>
      <c r="C9257" s="271"/>
      <c r="D9257" s="271"/>
      <c r="E9257" s="271"/>
      <c r="F9257" s="271"/>
      <c r="G9257" s="273"/>
      <c r="H9257" s="29" t="str">
        <f t="shared" si="1252"/>
        <v/>
      </c>
      <c r="I9257" s="394" t="str">
        <f t="shared" si="1253"/>
        <v/>
      </c>
      <c r="J9257" s="273"/>
      <c r="K9257" s="395"/>
      <c r="L9257" s="273"/>
      <c r="M9257" s="394" t="str">
        <f t="shared" si="1254"/>
        <v/>
      </c>
      <c r="N9257" s="273"/>
    </row>
    <row r="9258" spans="1:14" ht="12.75" customHeight="1" x14ac:dyDescent="0.2">
      <c r="A9258" s="403"/>
      <c r="B9258" s="271"/>
      <c r="C9258" s="271"/>
      <c r="D9258" s="271"/>
      <c r="E9258" s="271"/>
      <c r="F9258" s="271"/>
      <c r="G9258" s="273"/>
      <c r="H9258" s="29" t="str">
        <f t="shared" si="1252"/>
        <v/>
      </c>
      <c r="I9258" s="394" t="str">
        <f t="shared" si="1253"/>
        <v/>
      </c>
      <c r="J9258" s="273"/>
      <c r="K9258" s="395"/>
      <c r="L9258" s="273"/>
      <c r="M9258" s="394" t="str">
        <f t="shared" si="1254"/>
        <v/>
      </c>
      <c r="N9258" s="273"/>
    </row>
    <row r="9259" spans="1:14" ht="12.75" customHeight="1" x14ac:dyDescent="0.2">
      <c r="A9259" s="403"/>
      <c r="B9259" s="271"/>
      <c r="C9259" s="271"/>
      <c r="D9259" s="271"/>
      <c r="E9259" s="271"/>
      <c r="F9259" s="271"/>
      <c r="G9259" s="273"/>
      <c r="H9259" s="29" t="str">
        <f t="shared" si="1252"/>
        <v/>
      </c>
      <c r="I9259" s="394" t="str">
        <f t="shared" si="1253"/>
        <v/>
      </c>
      <c r="J9259" s="273"/>
      <c r="K9259" s="395"/>
      <c r="L9259" s="273"/>
      <c r="M9259" s="394" t="str">
        <f t="shared" si="1254"/>
        <v/>
      </c>
      <c r="N9259" s="273"/>
    </row>
    <row r="9260" spans="1:14" ht="12.75" customHeight="1" x14ac:dyDescent="0.25">
      <c r="A9260" s="4"/>
      <c r="B9260" s="4"/>
      <c r="C9260" s="4"/>
      <c r="D9260" s="4"/>
      <c r="E9260" s="4"/>
      <c r="F9260" s="4"/>
      <c r="G9260" s="4"/>
      <c r="H9260" s="4"/>
      <c r="I9260" s="4"/>
      <c r="J9260" s="4"/>
      <c r="K9260" s="396" t="s">
        <v>444</v>
      </c>
      <c r="L9260" s="273"/>
      <c r="M9260" s="394">
        <f>SUM(M9247:N9259)</f>
        <v>1506992.6719438175</v>
      </c>
      <c r="N9260" s="273"/>
    </row>
    <row r="9261" spans="1:14" ht="12.75" customHeight="1" x14ac:dyDescent="0.25">
      <c r="A9261" s="4"/>
      <c r="B9261" s="4"/>
      <c r="C9261" s="4"/>
      <c r="D9261" s="4"/>
      <c r="E9261" s="4"/>
      <c r="F9261" s="4"/>
      <c r="G9261" s="4"/>
      <c r="H9261" s="4"/>
      <c r="I9261" s="4"/>
      <c r="J9261" s="4"/>
      <c r="K9261" s="4"/>
      <c r="L9261" s="4"/>
      <c r="M9261" s="4"/>
      <c r="N9261" s="4"/>
    </row>
    <row r="9262" spans="1:14" ht="12.75" customHeight="1" x14ac:dyDescent="0.2">
      <c r="A9262" s="398" t="s">
        <v>926</v>
      </c>
      <c r="B9262" s="271"/>
      <c r="C9262" s="271"/>
      <c r="D9262" s="271"/>
      <c r="E9262" s="271"/>
      <c r="F9262" s="271"/>
      <c r="G9262" s="271"/>
      <c r="H9262" s="271"/>
      <c r="I9262" s="271"/>
      <c r="J9262" s="271"/>
      <c r="K9262" s="271"/>
      <c r="L9262" s="271"/>
      <c r="M9262" s="271"/>
      <c r="N9262" s="273"/>
    </row>
    <row r="9263" spans="1:14" ht="12.75" customHeight="1" x14ac:dyDescent="0.2">
      <c r="A9263" s="396" t="s">
        <v>76</v>
      </c>
      <c r="B9263" s="271"/>
      <c r="C9263" s="271"/>
      <c r="D9263" s="271"/>
      <c r="E9263" s="271"/>
      <c r="F9263" s="271"/>
      <c r="G9263" s="273"/>
      <c r="H9263" s="88" t="s">
        <v>77</v>
      </c>
      <c r="I9263" s="399" t="s">
        <v>920</v>
      </c>
      <c r="J9263" s="273"/>
      <c r="K9263" s="399" t="s">
        <v>453</v>
      </c>
      <c r="L9263" s="273"/>
      <c r="M9263" s="399" t="s">
        <v>921</v>
      </c>
      <c r="N9263" s="273"/>
    </row>
    <row r="9264" spans="1:14" ht="12.75" customHeight="1" x14ac:dyDescent="0.2">
      <c r="A9264" s="400" t="s">
        <v>927</v>
      </c>
      <c r="B9264" s="271"/>
      <c r="C9264" s="271"/>
      <c r="D9264" s="271"/>
      <c r="E9264" s="271"/>
      <c r="F9264" s="271"/>
      <c r="G9264" s="273"/>
      <c r="H9264" s="29" t="str">
        <f>IF(A9264="","",VLOOKUP(A9264,AA_Equipos,7,FALSE))</f>
        <v>% M.O.</v>
      </c>
      <c r="I9264" s="394">
        <f>+M9287</f>
        <v>638389.89090909087</v>
      </c>
      <c r="J9264" s="273"/>
      <c r="K9264" s="404">
        <v>0.05</v>
      </c>
      <c r="L9264" s="273"/>
      <c r="M9264" s="394">
        <f t="shared" ref="M9264:M9268" si="1255">IF(A9264="","",I9264*K9264)</f>
        <v>31919.494545454545</v>
      </c>
      <c r="N9264" s="273"/>
    </row>
    <row r="9265" spans="1:14" ht="12.75" customHeight="1" x14ac:dyDescent="0.2">
      <c r="A9265" s="403"/>
      <c r="B9265" s="271"/>
      <c r="C9265" s="271"/>
      <c r="D9265" s="271"/>
      <c r="E9265" s="271"/>
      <c r="F9265" s="271"/>
      <c r="G9265" s="273"/>
      <c r="H9265" s="29" t="str">
        <f>IF(A9265="","",VLOOKUP(A9265,AA_Equipos,7,FALSE))</f>
        <v/>
      </c>
      <c r="I9265" s="394" t="str">
        <f>IF(A9265="","",VLOOKUP(A9265,AA_Equipos,8,FALSE))</f>
        <v/>
      </c>
      <c r="J9265" s="273"/>
      <c r="K9265" s="402"/>
      <c r="L9265" s="273"/>
      <c r="M9265" s="394" t="str">
        <f t="shared" si="1255"/>
        <v/>
      </c>
      <c r="N9265" s="273"/>
    </row>
    <row r="9266" spans="1:14" ht="12.75" customHeight="1" x14ac:dyDescent="0.2">
      <c r="A9266" s="400"/>
      <c r="B9266" s="271"/>
      <c r="C9266" s="271"/>
      <c r="D9266" s="271"/>
      <c r="E9266" s="271"/>
      <c r="F9266" s="271"/>
      <c r="G9266" s="273"/>
      <c r="H9266" s="29" t="str">
        <f>IF(A9266="","",VLOOKUP(A9266,AA_Equipos,7,FALSE))</f>
        <v/>
      </c>
      <c r="I9266" s="394" t="str">
        <f>IF(A9266="","",VLOOKUP(A9266,AA_Equipos,8,FALSE))</f>
        <v/>
      </c>
      <c r="J9266" s="273"/>
      <c r="K9266" s="401"/>
      <c r="L9266" s="273"/>
      <c r="M9266" s="394" t="str">
        <f t="shared" si="1255"/>
        <v/>
      </c>
      <c r="N9266" s="273"/>
    </row>
    <row r="9267" spans="1:14" ht="12.75" customHeight="1" x14ac:dyDescent="0.2">
      <c r="A9267" s="400"/>
      <c r="B9267" s="271"/>
      <c r="C9267" s="271"/>
      <c r="D9267" s="271"/>
      <c r="E9267" s="271"/>
      <c r="F9267" s="271"/>
      <c r="G9267" s="273"/>
      <c r="H9267" s="29" t="str">
        <f>IF(A9267="","",VLOOKUP(A9267,AA_Equipos,7,FALSE))</f>
        <v/>
      </c>
      <c r="I9267" s="394" t="str">
        <f>IF(A9267="","",VLOOKUP(A9267,AA_Equipos,8,FALSE))</f>
        <v/>
      </c>
      <c r="J9267" s="273"/>
      <c r="K9267" s="395"/>
      <c r="L9267" s="273"/>
      <c r="M9267" s="394" t="str">
        <f t="shared" si="1255"/>
        <v/>
      </c>
      <c r="N9267" s="273"/>
    </row>
    <row r="9268" spans="1:14" ht="12.75" customHeight="1" x14ac:dyDescent="0.2">
      <c r="A9268" s="400"/>
      <c r="B9268" s="271"/>
      <c r="C9268" s="271"/>
      <c r="D9268" s="271"/>
      <c r="E9268" s="271"/>
      <c r="F9268" s="271"/>
      <c r="G9268" s="273"/>
      <c r="H9268" s="29" t="str">
        <f>IF(A9268="","",VLOOKUP(A9268,AA_Equipos,7,FALSE))</f>
        <v/>
      </c>
      <c r="I9268" s="394" t="str">
        <f>IF(A9268="","",VLOOKUP(A9268,AA_Equipos,8,FALSE))</f>
        <v/>
      </c>
      <c r="J9268" s="273"/>
      <c r="K9268" s="395"/>
      <c r="L9268" s="273"/>
      <c r="M9268" s="394" t="str">
        <f t="shared" si="1255"/>
        <v/>
      </c>
      <c r="N9268" s="273"/>
    </row>
    <row r="9269" spans="1:14" ht="12.75" customHeight="1" x14ac:dyDescent="0.25">
      <c r="A9269" s="4"/>
      <c r="B9269" s="4"/>
      <c r="C9269" s="4"/>
      <c r="D9269" s="4"/>
      <c r="E9269" s="4"/>
      <c r="F9269" s="4"/>
      <c r="G9269" s="4"/>
      <c r="H9269" s="4"/>
      <c r="I9269" s="4"/>
      <c r="J9269" s="4"/>
      <c r="K9269" s="396" t="s">
        <v>444</v>
      </c>
      <c r="L9269" s="273"/>
      <c r="M9269" s="394">
        <f>SUM(M9264:N9268)</f>
        <v>31919.494545454545</v>
      </c>
      <c r="N9269" s="273"/>
    </row>
    <row r="9270" spans="1:14" ht="12.75" customHeight="1" x14ac:dyDescent="0.25">
      <c r="A9270" s="4"/>
      <c r="B9270" s="4"/>
      <c r="C9270" s="4"/>
      <c r="D9270" s="4"/>
      <c r="E9270" s="4"/>
      <c r="F9270" s="4"/>
      <c r="G9270" s="4"/>
      <c r="H9270" s="4"/>
      <c r="I9270" s="4"/>
      <c r="J9270" s="4"/>
      <c r="K9270" s="4"/>
      <c r="L9270" s="4"/>
      <c r="M9270" s="4"/>
      <c r="N9270" s="4"/>
    </row>
    <row r="9271" spans="1:14" ht="12.75" customHeight="1" x14ac:dyDescent="0.2">
      <c r="A9271" s="398" t="s">
        <v>929</v>
      </c>
      <c r="B9271" s="271"/>
      <c r="C9271" s="271"/>
      <c r="D9271" s="271"/>
      <c r="E9271" s="271"/>
      <c r="F9271" s="271"/>
      <c r="G9271" s="271"/>
      <c r="H9271" s="271"/>
      <c r="I9271" s="271"/>
      <c r="J9271" s="271"/>
      <c r="K9271" s="271"/>
      <c r="L9271" s="271"/>
      <c r="M9271" s="271"/>
      <c r="N9271" s="273"/>
    </row>
    <row r="9272" spans="1:14" ht="12.75" customHeight="1" x14ac:dyDescent="0.2">
      <c r="A9272" s="396" t="s">
        <v>76</v>
      </c>
      <c r="B9272" s="271"/>
      <c r="C9272" s="271"/>
      <c r="D9272" s="271"/>
      <c r="E9272" s="271"/>
      <c r="F9272" s="271"/>
      <c r="G9272" s="273"/>
      <c r="H9272" s="88" t="s">
        <v>77</v>
      </c>
      <c r="I9272" s="399" t="s">
        <v>920</v>
      </c>
      <c r="J9272" s="273"/>
      <c r="K9272" s="399" t="s">
        <v>453</v>
      </c>
      <c r="L9272" s="273"/>
      <c r="M9272" s="399" t="s">
        <v>921</v>
      </c>
      <c r="N9272" s="273"/>
    </row>
    <row r="9273" spans="1:14" ht="12.75" customHeight="1" x14ac:dyDescent="0.2">
      <c r="A9273" s="400" t="s">
        <v>960</v>
      </c>
      <c r="B9273" s="271"/>
      <c r="C9273" s="271"/>
      <c r="D9273" s="271"/>
      <c r="E9273" s="271"/>
      <c r="F9273" s="271"/>
      <c r="G9273" s="273"/>
      <c r="H9273" s="29" t="s">
        <v>950</v>
      </c>
      <c r="I9273" s="394">
        <f>+M9260</f>
        <v>1506992.6719438175</v>
      </c>
      <c r="J9273" s="273"/>
      <c r="K9273" s="404">
        <v>0.05</v>
      </c>
      <c r="L9273" s="273"/>
      <c r="M9273" s="394">
        <f t="shared" ref="M9273:M9277" si="1256">IF(A9273="","",I9273*K9273)</f>
        <v>75349.633597190885</v>
      </c>
      <c r="N9273" s="273"/>
    </row>
    <row r="9274" spans="1:14" ht="12.75" customHeight="1" x14ac:dyDescent="0.2">
      <c r="A9274" s="403"/>
      <c r="B9274" s="271"/>
      <c r="C9274" s="271"/>
      <c r="D9274" s="271"/>
      <c r="E9274" s="271"/>
      <c r="F9274" s="271"/>
      <c r="G9274" s="273"/>
      <c r="H9274" s="29"/>
      <c r="I9274" s="394"/>
      <c r="J9274" s="273"/>
      <c r="K9274" s="404"/>
      <c r="L9274" s="273"/>
      <c r="M9274" s="394" t="str">
        <f t="shared" si="1256"/>
        <v/>
      </c>
      <c r="N9274" s="273"/>
    </row>
    <row r="9275" spans="1:14" ht="12.75" customHeight="1" x14ac:dyDescent="0.2">
      <c r="A9275" s="400"/>
      <c r="B9275" s="271"/>
      <c r="C9275" s="271"/>
      <c r="D9275" s="271"/>
      <c r="E9275" s="271"/>
      <c r="F9275" s="271"/>
      <c r="G9275" s="273"/>
      <c r="H9275" s="29"/>
      <c r="I9275" s="394"/>
      <c r="J9275" s="273"/>
      <c r="K9275" s="395"/>
      <c r="L9275" s="273"/>
      <c r="M9275" s="394" t="str">
        <f t="shared" si="1256"/>
        <v/>
      </c>
      <c r="N9275" s="273"/>
    </row>
    <row r="9276" spans="1:14" ht="12.75" customHeight="1" x14ac:dyDescent="0.2">
      <c r="A9276" s="400"/>
      <c r="B9276" s="271"/>
      <c r="C9276" s="271"/>
      <c r="D9276" s="271"/>
      <c r="E9276" s="271"/>
      <c r="F9276" s="271"/>
      <c r="G9276" s="273"/>
      <c r="H9276" s="29"/>
      <c r="I9276" s="394"/>
      <c r="J9276" s="273"/>
      <c r="K9276" s="395"/>
      <c r="L9276" s="273"/>
      <c r="M9276" s="394" t="str">
        <f t="shared" si="1256"/>
        <v/>
      </c>
      <c r="N9276" s="273"/>
    </row>
    <row r="9277" spans="1:14" ht="12.75" customHeight="1" x14ac:dyDescent="0.2">
      <c r="A9277" s="400"/>
      <c r="B9277" s="271"/>
      <c r="C9277" s="271"/>
      <c r="D9277" s="271"/>
      <c r="E9277" s="271"/>
      <c r="F9277" s="271"/>
      <c r="G9277" s="273"/>
      <c r="H9277" s="29"/>
      <c r="I9277" s="394"/>
      <c r="J9277" s="273"/>
      <c r="K9277" s="395"/>
      <c r="L9277" s="273"/>
      <c r="M9277" s="394" t="str">
        <f t="shared" si="1256"/>
        <v/>
      </c>
      <c r="N9277" s="273"/>
    </row>
    <row r="9278" spans="1:14" ht="12.75" customHeight="1" x14ac:dyDescent="0.25">
      <c r="A9278" s="4"/>
      <c r="B9278" s="4"/>
      <c r="C9278" s="4"/>
      <c r="D9278" s="4"/>
      <c r="E9278" s="4"/>
      <c r="F9278" s="4"/>
      <c r="G9278" s="4"/>
      <c r="H9278" s="4"/>
      <c r="I9278" s="4"/>
      <c r="J9278" s="4"/>
      <c r="K9278" s="396" t="s">
        <v>444</v>
      </c>
      <c r="L9278" s="273"/>
      <c r="M9278" s="394">
        <f>SUM(M9273:N9277)</f>
        <v>75349.633597190885</v>
      </c>
      <c r="N9278" s="273"/>
    </row>
    <row r="9279" spans="1:14" ht="12.75" customHeight="1" x14ac:dyDescent="0.25">
      <c r="A9279" s="4"/>
      <c r="B9279" s="4"/>
      <c r="C9279" s="4"/>
      <c r="D9279" s="4"/>
      <c r="E9279" s="4"/>
      <c r="F9279" s="4"/>
      <c r="G9279" s="4"/>
      <c r="H9279" s="4"/>
      <c r="I9279" s="4"/>
      <c r="J9279" s="4"/>
      <c r="K9279" s="4"/>
      <c r="L9279" s="4"/>
      <c r="M9279" s="4"/>
      <c r="N9279" s="4"/>
    </row>
    <row r="9280" spans="1:14" ht="12.75" customHeight="1" x14ac:dyDescent="0.2">
      <c r="A9280" s="398" t="s">
        <v>931</v>
      </c>
      <c r="B9280" s="271"/>
      <c r="C9280" s="271"/>
      <c r="D9280" s="271"/>
      <c r="E9280" s="271"/>
      <c r="F9280" s="271"/>
      <c r="G9280" s="271"/>
      <c r="H9280" s="271"/>
      <c r="I9280" s="271"/>
      <c r="J9280" s="271"/>
      <c r="K9280" s="271"/>
      <c r="L9280" s="271"/>
      <c r="M9280" s="271"/>
      <c r="N9280" s="273"/>
    </row>
    <row r="9281" spans="1:15" ht="12.75" customHeight="1" x14ac:dyDescent="0.2">
      <c r="A9281" s="396" t="s">
        <v>76</v>
      </c>
      <c r="B9281" s="271"/>
      <c r="C9281" s="271"/>
      <c r="D9281" s="271"/>
      <c r="E9281" s="271"/>
      <c r="F9281" s="271"/>
      <c r="G9281" s="273"/>
      <c r="H9281" s="88" t="s">
        <v>77</v>
      </c>
      <c r="I9281" s="399" t="s">
        <v>920</v>
      </c>
      <c r="J9281" s="273"/>
      <c r="K9281" s="90" t="s">
        <v>514</v>
      </c>
      <c r="L9281" s="91" t="s">
        <v>932</v>
      </c>
      <c r="M9281" s="399" t="s">
        <v>921</v>
      </c>
      <c r="N9281" s="273"/>
    </row>
    <row r="9282" spans="1:15" ht="12.75" customHeight="1" x14ac:dyDescent="0.25">
      <c r="A9282" s="393" t="s">
        <v>986</v>
      </c>
      <c r="B9282" s="271"/>
      <c r="C9282" s="271"/>
      <c r="D9282" s="271"/>
      <c r="E9282" s="271"/>
      <c r="F9282" s="271"/>
      <c r="G9282" s="273"/>
      <c r="H9282" s="29" t="str">
        <f>IF(A9282="","",VLOOKUP(A9282,AA_Cuadrillas,4,FALSE))</f>
        <v>Cuadrilla</v>
      </c>
      <c r="I9282" s="394">
        <f>IF(A9282="","",VLOOKUP(A9282,AA_Cuadrillas,5,FALSE))</f>
        <v>186763</v>
      </c>
      <c r="J9282" s="273"/>
      <c r="K9282" s="9">
        <f>IF(A9282="","",F.P!$I$2)</f>
        <v>1.88</v>
      </c>
      <c r="L9282" s="97">
        <f>1/0.55</f>
        <v>1.8181818181818181</v>
      </c>
      <c r="M9282" s="394">
        <f t="shared" ref="M9282:M9286" si="1257">IF(A9282="","",I9282*K9282*L9282)</f>
        <v>638389.89090909087</v>
      </c>
      <c r="N9282" s="273"/>
    </row>
    <row r="9283" spans="1:15" ht="12.75" customHeight="1" x14ac:dyDescent="0.25">
      <c r="A9283" s="393"/>
      <c r="B9283" s="271"/>
      <c r="C9283" s="271"/>
      <c r="D9283" s="271"/>
      <c r="E9283" s="271"/>
      <c r="F9283" s="271"/>
      <c r="G9283" s="273"/>
      <c r="H9283" s="29" t="str">
        <f>IF(A9283="","",VLOOKUP(A9283,AA_Cuadrillas,4,FALSE))</f>
        <v/>
      </c>
      <c r="I9283" s="394" t="str">
        <f>IF(A9283="","",VLOOKUP(A9283,AA_Cuadrillas,5,FALSE))</f>
        <v/>
      </c>
      <c r="J9283" s="273"/>
      <c r="K9283" s="9" t="str">
        <f>IF(A9283="","",F.P!$I$2)</f>
        <v/>
      </c>
      <c r="L9283" s="9"/>
      <c r="M9283" s="394" t="str">
        <f t="shared" si="1257"/>
        <v/>
      </c>
      <c r="N9283" s="273"/>
    </row>
    <row r="9284" spans="1:15" ht="12.75" customHeight="1" x14ac:dyDescent="0.25">
      <c r="A9284" s="393"/>
      <c r="B9284" s="271"/>
      <c r="C9284" s="271"/>
      <c r="D9284" s="271"/>
      <c r="E9284" s="271"/>
      <c r="F9284" s="271"/>
      <c r="G9284" s="273"/>
      <c r="H9284" s="29" t="str">
        <f>IF(A9284="","",VLOOKUP(A9284,AA_Cuadrillas,4,FALSE))</f>
        <v/>
      </c>
      <c r="I9284" s="394" t="str">
        <f>IF(A9284="","",VLOOKUP(A9284,AA_Cuadrillas,5,FALSE))</f>
        <v/>
      </c>
      <c r="J9284" s="273"/>
      <c r="K9284" s="9" t="str">
        <f>IF(A9284="","",F.P!$I$2)</f>
        <v/>
      </c>
      <c r="L9284" s="37"/>
      <c r="M9284" s="394" t="str">
        <f t="shared" si="1257"/>
        <v/>
      </c>
      <c r="N9284" s="273"/>
    </row>
    <row r="9285" spans="1:15" ht="12.75" customHeight="1" x14ac:dyDescent="0.25">
      <c r="A9285" s="393"/>
      <c r="B9285" s="271"/>
      <c r="C9285" s="271"/>
      <c r="D9285" s="271"/>
      <c r="E9285" s="271"/>
      <c r="F9285" s="271"/>
      <c r="G9285" s="273"/>
      <c r="H9285" s="29" t="str">
        <f>IF(A9285="","",VLOOKUP(A9285,AA_Cuadrillas,4,FALSE))</f>
        <v/>
      </c>
      <c r="I9285" s="394" t="str">
        <f>IF(A9285="","",VLOOKUP(A9285,AA_Cuadrillas,5,FALSE))</f>
        <v/>
      </c>
      <c r="J9285" s="273"/>
      <c r="K9285" s="9" t="str">
        <f>IF(A9285="","",F.P!$I$2)</f>
        <v/>
      </c>
      <c r="L9285" s="37"/>
      <c r="M9285" s="394" t="str">
        <f t="shared" si="1257"/>
        <v/>
      </c>
      <c r="N9285" s="273"/>
    </row>
    <row r="9286" spans="1:15" ht="12.75" customHeight="1" x14ac:dyDescent="0.25">
      <c r="A9286" s="393"/>
      <c r="B9286" s="271"/>
      <c r="C9286" s="271"/>
      <c r="D9286" s="271"/>
      <c r="E9286" s="271"/>
      <c r="F9286" s="271"/>
      <c r="G9286" s="273"/>
      <c r="H9286" s="29" t="str">
        <f>IF(A9286="","",VLOOKUP(A9286,AA_Cuadrillas,4,FALSE))</f>
        <v/>
      </c>
      <c r="I9286" s="394" t="str">
        <f>IF(A9286="","",VLOOKUP(A9286,AA_Cuadrillas,5,FALSE))</f>
        <v/>
      </c>
      <c r="J9286" s="273"/>
      <c r="K9286" s="9" t="str">
        <f>IF(A9286="","",F.P!$I$2)</f>
        <v/>
      </c>
      <c r="L9286" s="37"/>
      <c r="M9286" s="394" t="str">
        <f t="shared" si="1257"/>
        <v/>
      </c>
      <c r="N9286" s="273"/>
    </row>
    <row r="9287" spans="1:15" ht="12.75" customHeight="1" x14ac:dyDescent="0.25">
      <c r="A9287" s="4"/>
      <c r="B9287" s="4"/>
      <c r="C9287" s="4"/>
      <c r="D9287" s="4"/>
      <c r="E9287" s="4"/>
      <c r="F9287" s="4"/>
      <c r="G9287" s="4"/>
      <c r="H9287" s="4"/>
      <c r="I9287" s="4"/>
      <c r="J9287" s="4"/>
      <c r="K9287" s="396" t="s">
        <v>444</v>
      </c>
      <c r="L9287" s="273"/>
      <c r="M9287" s="394">
        <f>SUM(M9282:N9286)</f>
        <v>638389.89090909087</v>
      </c>
      <c r="N9287" s="273"/>
    </row>
    <row r="9288" spans="1:15" ht="12.75" customHeight="1" x14ac:dyDescent="0.2"/>
    <row r="9289" spans="1:15" ht="12.75" customHeight="1" x14ac:dyDescent="0.2">
      <c r="A9289" s="397" t="s">
        <v>367</v>
      </c>
      <c r="B9289" s="275"/>
      <c r="C9289" s="275"/>
      <c r="D9289" s="275"/>
      <c r="E9289" s="275"/>
      <c r="F9289" s="275"/>
      <c r="G9289" s="275"/>
      <c r="H9289" s="275"/>
      <c r="I9289" s="275"/>
      <c r="J9289" s="275"/>
      <c r="K9289" s="275"/>
      <c r="L9289" s="275"/>
      <c r="M9289" s="275"/>
      <c r="N9289" s="276"/>
      <c r="O9289" s="166"/>
    </row>
    <row r="9290" spans="1:15" ht="12.75" customHeight="1" x14ac:dyDescent="0.2">
      <c r="A9290" s="277"/>
      <c r="B9290" s="278"/>
      <c r="C9290" s="278"/>
      <c r="D9290" s="278"/>
      <c r="E9290" s="278"/>
      <c r="F9290" s="278"/>
      <c r="G9290" s="278"/>
      <c r="H9290" s="278"/>
      <c r="I9290" s="278"/>
      <c r="J9290" s="278"/>
      <c r="K9290" s="278"/>
      <c r="L9290" s="278"/>
      <c r="M9290" s="278"/>
      <c r="N9290" s="279"/>
      <c r="O9290" s="166"/>
    </row>
    <row r="9291" spans="1:15" ht="12.75" customHeight="1" x14ac:dyDescent="0.2">
      <c r="A9291" s="75"/>
      <c r="B9291" s="75"/>
      <c r="C9291" s="75"/>
      <c r="D9291" s="75"/>
      <c r="E9291" s="75"/>
      <c r="F9291" s="75"/>
      <c r="G9291" s="75"/>
      <c r="H9291" s="75"/>
      <c r="I9291" s="75"/>
      <c r="J9291" s="75"/>
      <c r="K9291" s="75"/>
      <c r="L9291" s="75"/>
      <c r="M9291" s="75"/>
      <c r="N9291" s="75"/>
    </row>
    <row r="9292" spans="1:15" ht="12.75" customHeight="1" x14ac:dyDescent="0.3">
      <c r="A9292" s="79" t="s">
        <v>818</v>
      </c>
      <c r="B9292" s="80" t="str">
        <f>A9289</f>
        <v>VÁLVULA DE CORTE TIPO CHOROTE DE Ø3" (INCLUYE LLAVE PARA VÁLVULA, TAPA DE SEGURIDAD, TUBERÁ SANITARIA, VÁLVULA DE COMPUERTA, MATERIALES, HERRAMIENTAS Y MANO DE OBRA)</v>
      </c>
      <c r="C9292" s="81" t="s">
        <v>916</v>
      </c>
      <c r="D9292" s="82" t="s">
        <v>999</v>
      </c>
      <c r="E9292" s="83" t="s">
        <v>445</v>
      </c>
      <c r="F9292" s="234">
        <f>(H9292+J9292+L9292+N9292)*1.3</f>
        <v>2662634.9767080643</v>
      </c>
      <c r="G9292" s="83" t="s">
        <v>607</v>
      </c>
      <c r="H9292" s="86">
        <f>M9309</f>
        <v>1314808.8321320775</v>
      </c>
      <c r="I9292" s="83" t="s">
        <v>918</v>
      </c>
      <c r="J9292" s="86">
        <f>M9318</f>
        <v>31919.494545454545</v>
      </c>
      <c r="K9292" s="83" t="s">
        <v>609</v>
      </c>
      <c r="L9292" s="86">
        <f>M9327</f>
        <v>63062.533727272734</v>
      </c>
      <c r="M9292" s="83" t="s">
        <v>610</v>
      </c>
      <c r="N9292" s="86">
        <f>M9336</f>
        <v>638389.89090909087</v>
      </c>
    </row>
    <row r="9293" spans="1:15" ht="12.75" customHeight="1" x14ac:dyDescent="0.25">
      <c r="A9293" s="87"/>
      <c r="B9293" s="87"/>
      <c r="C9293" s="87"/>
      <c r="D9293" s="87"/>
      <c r="E9293" s="87"/>
      <c r="F9293" s="87"/>
      <c r="G9293" s="87"/>
      <c r="J9293" s="87"/>
      <c r="K9293" s="215" t="s">
        <v>3217</v>
      </c>
      <c r="L9293" s="215">
        <f>+F9292*presup!$O$5</f>
        <v>3461425.4697204838</v>
      </c>
      <c r="M9293" s="87"/>
      <c r="N9293" s="87"/>
    </row>
    <row r="9294" spans="1:15" ht="12.75" customHeight="1" x14ac:dyDescent="0.2">
      <c r="A9294" s="398" t="s">
        <v>919</v>
      </c>
      <c r="B9294" s="271"/>
      <c r="C9294" s="271"/>
      <c r="D9294" s="271"/>
      <c r="E9294" s="271"/>
      <c r="F9294" s="271"/>
      <c r="G9294" s="271"/>
      <c r="H9294" s="271"/>
      <c r="I9294" s="271"/>
      <c r="J9294" s="271"/>
      <c r="K9294" s="271"/>
      <c r="L9294" s="271"/>
      <c r="M9294" s="271"/>
      <c r="N9294" s="273"/>
    </row>
    <row r="9295" spans="1:15" ht="12.75" customHeight="1" x14ac:dyDescent="0.2">
      <c r="A9295" s="396" t="s">
        <v>76</v>
      </c>
      <c r="B9295" s="271"/>
      <c r="C9295" s="271"/>
      <c r="D9295" s="271"/>
      <c r="E9295" s="271"/>
      <c r="F9295" s="271"/>
      <c r="G9295" s="273"/>
      <c r="H9295" s="88" t="s">
        <v>77</v>
      </c>
      <c r="I9295" s="399" t="s">
        <v>920</v>
      </c>
      <c r="J9295" s="273"/>
      <c r="K9295" s="399" t="s">
        <v>453</v>
      </c>
      <c r="L9295" s="273"/>
      <c r="M9295" s="399" t="s">
        <v>921</v>
      </c>
      <c r="N9295" s="273"/>
    </row>
    <row r="9296" spans="1:15" ht="12.75" customHeight="1" x14ac:dyDescent="0.2">
      <c r="A9296" s="403" t="s">
        <v>1307</v>
      </c>
      <c r="B9296" s="271"/>
      <c r="C9296" s="271"/>
      <c r="D9296" s="271"/>
      <c r="E9296" s="271"/>
      <c r="F9296" s="271"/>
      <c r="G9296" s="273"/>
      <c r="H9296" s="29" t="str">
        <f t="shared" ref="H9296:H9308" si="1258">IF(A9296="","",VLOOKUP(A9296,AA_Materiales,7,FALSE))</f>
        <v>m2</v>
      </c>
      <c r="I9296" s="409">
        <f>'BASICOS SIN AIU '!F267</f>
        <v>4150.0217132000016</v>
      </c>
      <c r="J9296" s="410"/>
      <c r="K9296" s="395">
        <f>0.5*0.5</f>
        <v>0.25</v>
      </c>
      <c r="L9296" s="273"/>
      <c r="M9296" s="394">
        <f t="shared" ref="M9296:M9308" si="1259">IF(A9296="","",I9296*K9296)</f>
        <v>1037.5054283000004</v>
      </c>
      <c r="N9296" s="273"/>
    </row>
    <row r="9297" spans="1:14" ht="12.75" customHeight="1" x14ac:dyDescent="0.2">
      <c r="A9297" s="403" t="s">
        <v>1308</v>
      </c>
      <c r="B9297" s="271"/>
      <c r="C9297" s="271"/>
      <c r="D9297" s="271"/>
      <c r="E9297" s="271"/>
      <c r="F9297" s="271"/>
      <c r="G9297" s="273"/>
      <c r="H9297" s="29" t="str">
        <f t="shared" si="1258"/>
        <v>m3</v>
      </c>
      <c r="I9297" s="409">
        <f>'BASICOS SIN AIU '!F4</f>
        <v>52660.488615999995</v>
      </c>
      <c r="J9297" s="410"/>
      <c r="K9297" s="395">
        <f>0.5*0.5*2</f>
        <v>0.5</v>
      </c>
      <c r="L9297" s="273"/>
      <c r="M9297" s="394">
        <f t="shared" si="1259"/>
        <v>26330.244307999998</v>
      </c>
      <c r="N9297" s="273"/>
    </row>
    <row r="9298" spans="1:14" ht="12.75" customHeight="1" x14ac:dyDescent="0.2">
      <c r="A9298" s="403" t="s">
        <v>1311</v>
      </c>
      <c r="B9298" s="271"/>
      <c r="C9298" s="271"/>
      <c r="D9298" s="271"/>
      <c r="E9298" s="271"/>
      <c r="F9298" s="271"/>
      <c r="G9298" s="273"/>
      <c r="H9298" s="29" t="str">
        <f t="shared" si="1258"/>
        <v>Kg</v>
      </c>
      <c r="I9298" s="409">
        <f>'BASICOS SIN AIU '!F309</f>
        <v>8006.0498787222223</v>
      </c>
      <c r="J9298" s="410"/>
      <c r="K9298" s="395">
        <v>3</v>
      </c>
      <c r="L9298" s="273"/>
      <c r="M9298" s="394">
        <f t="shared" si="1259"/>
        <v>24018.149636166665</v>
      </c>
      <c r="N9298" s="273"/>
    </row>
    <row r="9299" spans="1:14" ht="12.75" customHeight="1" x14ac:dyDescent="0.2">
      <c r="A9299" s="403" t="s">
        <v>1371</v>
      </c>
      <c r="B9299" s="271"/>
      <c r="C9299" s="271"/>
      <c r="D9299" s="271"/>
      <c r="E9299" s="271"/>
      <c r="F9299" s="271"/>
      <c r="G9299" s="273"/>
      <c r="H9299" s="29" t="str">
        <f t="shared" si="1258"/>
        <v>m3</v>
      </c>
      <c r="I9299" s="409">
        <f>'BASICOS SIN AIU '!F486</f>
        <v>909113.4069229567</v>
      </c>
      <c r="J9299" s="410"/>
      <c r="K9299" s="395">
        <f>(0.5*0.5*0.1)+(0.5*0.5*0.05)</f>
        <v>3.7500000000000006E-2</v>
      </c>
      <c r="L9299" s="273"/>
      <c r="M9299" s="394">
        <f t="shared" si="1259"/>
        <v>34091.752759610878</v>
      </c>
      <c r="N9299" s="273"/>
    </row>
    <row r="9300" spans="1:14" ht="12.75" customHeight="1" x14ac:dyDescent="0.2">
      <c r="A9300" s="403" t="s">
        <v>1450</v>
      </c>
      <c r="B9300" s="271"/>
      <c r="C9300" s="271"/>
      <c r="D9300" s="271"/>
      <c r="E9300" s="271"/>
      <c r="F9300" s="271"/>
      <c r="G9300" s="273"/>
      <c r="H9300" s="29" t="str">
        <f t="shared" si="1258"/>
        <v>Unidad</v>
      </c>
      <c r="I9300" s="409">
        <f t="shared" ref="I9300:I9308" si="1260">IF(A9300="","",VLOOKUP(A9300,AA_Materiales,8,FALSE))</f>
        <v>560347</v>
      </c>
      <c r="J9300" s="410"/>
      <c r="K9300" s="425">
        <v>0.33</v>
      </c>
      <c r="L9300" s="368"/>
      <c r="M9300" s="394">
        <f t="shared" si="1259"/>
        <v>184914.51</v>
      </c>
      <c r="N9300" s="273"/>
    </row>
    <row r="9301" spans="1:14" ht="12.75" customHeight="1" x14ac:dyDescent="0.2">
      <c r="A9301" s="403" t="s">
        <v>1451</v>
      </c>
      <c r="B9301" s="271"/>
      <c r="C9301" s="271"/>
      <c r="D9301" s="271"/>
      <c r="E9301" s="271"/>
      <c r="F9301" s="271"/>
      <c r="G9301" s="273"/>
      <c r="H9301" s="29" t="str">
        <f t="shared" si="1258"/>
        <v>Unidad</v>
      </c>
      <c r="I9301" s="394">
        <f t="shared" si="1260"/>
        <v>253000</v>
      </c>
      <c r="J9301" s="273"/>
      <c r="K9301" s="395">
        <v>1</v>
      </c>
      <c r="L9301" s="273"/>
      <c r="M9301" s="394">
        <f t="shared" si="1259"/>
        <v>253000</v>
      </c>
      <c r="N9301" s="273"/>
    </row>
    <row r="9302" spans="1:14" ht="12.75" customHeight="1" x14ac:dyDescent="0.2">
      <c r="A9302" s="403" t="s">
        <v>1190</v>
      </c>
      <c r="B9302" s="271"/>
      <c r="C9302" s="271"/>
      <c r="D9302" s="271"/>
      <c r="E9302" s="271"/>
      <c r="F9302" s="271"/>
      <c r="G9302" s="273"/>
      <c r="H9302" s="29" t="str">
        <f t="shared" si="1258"/>
        <v>ml</v>
      </c>
      <c r="I9302" s="394">
        <f t="shared" si="1260"/>
        <v>54300</v>
      </c>
      <c r="J9302" s="273"/>
      <c r="K9302" s="395">
        <v>1.5</v>
      </c>
      <c r="L9302" s="273"/>
      <c r="M9302" s="394">
        <f t="shared" si="1259"/>
        <v>81450</v>
      </c>
      <c r="N9302" s="273"/>
    </row>
    <row r="9303" spans="1:14" ht="12.75" customHeight="1" x14ac:dyDescent="0.2">
      <c r="A9303" s="403" t="s">
        <v>1454</v>
      </c>
      <c r="B9303" s="271"/>
      <c r="C9303" s="271"/>
      <c r="D9303" s="271"/>
      <c r="E9303" s="271"/>
      <c r="F9303" s="271"/>
      <c r="G9303" s="273"/>
      <c r="H9303" s="29" t="str">
        <f t="shared" si="1258"/>
        <v>Unidad</v>
      </c>
      <c r="I9303" s="394">
        <f t="shared" si="1260"/>
        <v>655000</v>
      </c>
      <c r="J9303" s="273"/>
      <c r="K9303" s="395">
        <v>1</v>
      </c>
      <c r="L9303" s="273"/>
      <c r="M9303" s="394">
        <f t="shared" si="1259"/>
        <v>655000</v>
      </c>
      <c r="N9303" s="273"/>
    </row>
    <row r="9304" spans="1:14" ht="12.75" customHeight="1" x14ac:dyDescent="0.2">
      <c r="A9304" s="403" t="s">
        <v>1455</v>
      </c>
      <c r="B9304" s="271"/>
      <c r="C9304" s="271"/>
      <c r="D9304" s="271"/>
      <c r="E9304" s="271"/>
      <c r="F9304" s="271"/>
      <c r="G9304" s="273"/>
      <c r="H9304" s="29" t="str">
        <f t="shared" si="1258"/>
        <v>ml</v>
      </c>
      <c r="I9304" s="394">
        <f t="shared" si="1260"/>
        <v>54966.67</v>
      </c>
      <c r="J9304" s="273"/>
      <c r="K9304" s="395">
        <v>1</v>
      </c>
      <c r="L9304" s="273"/>
      <c r="M9304" s="394">
        <f t="shared" si="1259"/>
        <v>54966.67</v>
      </c>
      <c r="N9304" s="273"/>
    </row>
    <row r="9305" spans="1:14" ht="12.75" customHeight="1" x14ac:dyDescent="0.2">
      <c r="A9305" s="403"/>
      <c r="B9305" s="271"/>
      <c r="C9305" s="271"/>
      <c r="D9305" s="271"/>
      <c r="E9305" s="271"/>
      <c r="F9305" s="271"/>
      <c r="G9305" s="273"/>
      <c r="H9305" s="29" t="str">
        <f t="shared" si="1258"/>
        <v/>
      </c>
      <c r="I9305" s="394" t="str">
        <f t="shared" si="1260"/>
        <v/>
      </c>
      <c r="J9305" s="273"/>
      <c r="K9305" s="395"/>
      <c r="L9305" s="273"/>
      <c r="M9305" s="394" t="str">
        <f t="shared" si="1259"/>
        <v/>
      </c>
      <c r="N9305" s="273"/>
    </row>
    <row r="9306" spans="1:14" ht="12.75" customHeight="1" x14ac:dyDescent="0.2">
      <c r="A9306" s="403"/>
      <c r="B9306" s="271"/>
      <c r="C9306" s="271"/>
      <c r="D9306" s="271"/>
      <c r="E9306" s="271"/>
      <c r="F9306" s="271"/>
      <c r="G9306" s="273"/>
      <c r="H9306" s="29" t="str">
        <f t="shared" si="1258"/>
        <v/>
      </c>
      <c r="I9306" s="394" t="str">
        <f t="shared" si="1260"/>
        <v/>
      </c>
      <c r="J9306" s="273"/>
      <c r="K9306" s="395"/>
      <c r="L9306" s="273"/>
      <c r="M9306" s="394" t="str">
        <f t="shared" si="1259"/>
        <v/>
      </c>
      <c r="N9306" s="273"/>
    </row>
    <row r="9307" spans="1:14" ht="12.75" customHeight="1" x14ac:dyDescent="0.2">
      <c r="A9307" s="403"/>
      <c r="B9307" s="271"/>
      <c r="C9307" s="271"/>
      <c r="D9307" s="271"/>
      <c r="E9307" s="271"/>
      <c r="F9307" s="271"/>
      <c r="G9307" s="273"/>
      <c r="H9307" s="29" t="str">
        <f t="shared" si="1258"/>
        <v/>
      </c>
      <c r="I9307" s="394" t="str">
        <f t="shared" si="1260"/>
        <v/>
      </c>
      <c r="J9307" s="273"/>
      <c r="K9307" s="395"/>
      <c r="L9307" s="273"/>
      <c r="M9307" s="394" t="str">
        <f t="shared" si="1259"/>
        <v/>
      </c>
      <c r="N9307" s="273"/>
    </row>
    <row r="9308" spans="1:14" ht="12.75" customHeight="1" x14ac:dyDescent="0.2">
      <c r="A9308" s="403"/>
      <c r="B9308" s="271"/>
      <c r="C9308" s="271"/>
      <c r="D9308" s="271"/>
      <c r="E9308" s="271"/>
      <c r="F9308" s="271"/>
      <c r="G9308" s="273"/>
      <c r="H9308" s="29" t="str">
        <f t="shared" si="1258"/>
        <v/>
      </c>
      <c r="I9308" s="394" t="str">
        <f t="shared" si="1260"/>
        <v/>
      </c>
      <c r="J9308" s="273"/>
      <c r="K9308" s="395"/>
      <c r="L9308" s="273"/>
      <c r="M9308" s="394" t="str">
        <f t="shared" si="1259"/>
        <v/>
      </c>
      <c r="N9308" s="273"/>
    </row>
    <row r="9309" spans="1:14" ht="12.75" customHeight="1" x14ac:dyDescent="0.25">
      <c r="A9309" s="4"/>
      <c r="B9309" s="4"/>
      <c r="C9309" s="4"/>
      <c r="D9309" s="4"/>
      <c r="E9309" s="4"/>
      <c r="F9309" s="4"/>
      <c r="G9309" s="4"/>
      <c r="H9309" s="4"/>
      <c r="I9309" s="4"/>
      <c r="J9309" s="4"/>
      <c r="K9309" s="396" t="s">
        <v>444</v>
      </c>
      <c r="L9309" s="273"/>
      <c r="M9309" s="394">
        <f>SUM(M9296:N9308)</f>
        <v>1314808.8321320775</v>
      </c>
      <c r="N9309" s="273"/>
    </row>
    <row r="9310" spans="1:14" ht="12.75" customHeight="1" x14ac:dyDescent="0.25">
      <c r="A9310" s="4"/>
      <c r="B9310" s="4"/>
      <c r="C9310" s="4"/>
      <c r="D9310" s="4"/>
      <c r="E9310" s="4"/>
      <c r="F9310" s="4"/>
      <c r="G9310" s="4"/>
      <c r="H9310" s="4"/>
      <c r="I9310" s="4"/>
      <c r="J9310" s="4"/>
      <c r="K9310" s="4"/>
      <c r="L9310" s="4"/>
      <c r="M9310" s="4"/>
      <c r="N9310" s="4"/>
    </row>
    <row r="9311" spans="1:14" ht="12.75" customHeight="1" x14ac:dyDescent="0.2">
      <c r="A9311" s="398" t="s">
        <v>926</v>
      </c>
      <c r="B9311" s="271"/>
      <c r="C9311" s="271"/>
      <c r="D9311" s="271"/>
      <c r="E9311" s="271"/>
      <c r="F9311" s="271"/>
      <c r="G9311" s="271"/>
      <c r="H9311" s="271"/>
      <c r="I9311" s="271"/>
      <c r="J9311" s="271"/>
      <c r="K9311" s="271"/>
      <c r="L9311" s="271"/>
      <c r="M9311" s="271"/>
      <c r="N9311" s="273"/>
    </row>
    <row r="9312" spans="1:14" ht="12.75" customHeight="1" x14ac:dyDescent="0.2">
      <c r="A9312" s="396" t="s">
        <v>76</v>
      </c>
      <c r="B9312" s="271"/>
      <c r="C9312" s="271"/>
      <c r="D9312" s="271"/>
      <c r="E9312" s="271"/>
      <c r="F9312" s="271"/>
      <c r="G9312" s="273"/>
      <c r="H9312" s="88" t="s">
        <v>77</v>
      </c>
      <c r="I9312" s="399" t="s">
        <v>920</v>
      </c>
      <c r="J9312" s="273"/>
      <c r="K9312" s="399" t="s">
        <v>453</v>
      </c>
      <c r="L9312" s="273"/>
      <c r="M9312" s="399" t="s">
        <v>921</v>
      </c>
      <c r="N9312" s="273"/>
    </row>
    <row r="9313" spans="1:14" ht="12.75" customHeight="1" x14ac:dyDescent="0.2">
      <c r="A9313" s="400" t="s">
        <v>927</v>
      </c>
      <c r="B9313" s="271"/>
      <c r="C9313" s="271"/>
      <c r="D9313" s="271"/>
      <c r="E9313" s="271"/>
      <c r="F9313" s="271"/>
      <c r="G9313" s="273"/>
      <c r="H9313" s="29" t="str">
        <f>IF(A9313="","",VLOOKUP(A9313,AA_Equipos,7,FALSE))</f>
        <v>% M.O.</v>
      </c>
      <c r="I9313" s="394">
        <f>+M9336</f>
        <v>638389.89090909087</v>
      </c>
      <c r="J9313" s="273"/>
      <c r="K9313" s="404">
        <v>0.05</v>
      </c>
      <c r="L9313" s="273"/>
      <c r="M9313" s="394">
        <f t="shared" ref="M9313:M9317" si="1261">IF(A9313="","",I9313*K9313)</f>
        <v>31919.494545454545</v>
      </c>
      <c r="N9313" s="273"/>
    </row>
    <row r="9314" spans="1:14" ht="12.75" customHeight="1" x14ac:dyDescent="0.2">
      <c r="A9314" s="403"/>
      <c r="B9314" s="271"/>
      <c r="C9314" s="271"/>
      <c r="D9314" s="271"/>
      <c r="E9314" s="271"/>
      <c r="F9314" s="271"/>
      <c r="G9314" s="273"/>
      <c r="H9314" s="29" t="str">
        <f>IF(A9314="","",VLOOKUP(A9314,AA_Equipos,7,FALSE))</f>
        <v/>
      </c>
      <c r="I9314" s="394" t="str">
        <f>IF(A9314="","",VLOOKUP(A9314,AA_Equipos,8,FALSE))</f>
        <v/>
      </c>
      <c r="J9314" s="273"/>
      <c r="K9314" s="402"/>
      <c r="L9314" s="273"/>
      <c r="M9314" s="394" t="str">
        <f t="shared" si="1261"/>
        <v/>
      </c>
      <c r="N9314" s="273"/>
    </row>
    <row r="9315" spans="1:14" ht="12.75" customHeight="1" x14ac:dyDescent="0.2">
      <c r="A9315" s="400"/>
      <c r="B9315" s="271"/>
      <c r="C9315" s="271"/>
      <c r="D9315" s="271"/>
      <c r="E9315" s="271"/>
      <c r="F9315" s="271"/>
      <c r="G9315" s="273"/>
      <c r="H9315" s="29" t="str">
        <f>IF(A9315="","",VLOOKUP(A9315,AA_Equipos,7,FALSE))</f>
        <v/>
      </c>
      <c r="I9315" s="394" t="str">
        <f>IF(A9315="","",VLOOKUP(A9315,AA_Equipos,8,FALSE))</f>
        <v/>
      </c>
      <c r="J9315" s="273"/>
      <c r="K9315" s="401"/>
      <c r="L9315" s="273"/>
      <c r="M9315" s="394" t="str">
        <f t="shared" si="1261"/>
        <v/>
      </c>
      <c r="N9315" s="273"/>
    </row>
    <row r="9316" spans="1:14" ht="12.75" customHeight="1" x14ac:dyDescent="0.2">
      <c r="A9316" s="400"/>
      <c r="B9316" s="271"/>
      <c r="C9316" s="271"/>
      <c r="D9316" s="271"/>
      <c r="E9316" s="271"/>
      <c r="F9316" s="271"/>
      <c r="G9316" s="273"/>
      <c r="H9316" s="29" t="str">
        <f>IF(A9316="","",VLOOKUP(A9316,AA_Equipos,7,FALSE))</f>
        <v/>
      </c>
      <c r="I9316" s="394" t="str">
        <f>IF(A9316="","",VLOOKUP(A9316,AA_Equipos,8,FALSE))</f>
        <v/>
      </c>
      <c r="J9316" s="273"/>
      <c r="K9316" s="395"/>
      <c r="L9316" s="273"/>
      <c r="M9316" s="394" t="str">
        <f t="shared" si="1261"/>
        <v/>
      </c>
      <c r="N9316" s="273"/>
    </row>
    <row r="9317" spans="1:14" ht="12.75" customHeight="1" x14ac:dyDescent="0.2">
      <c r="A9317" s="400"/>
      <c r="B9317" s="271"/>
      <c r="C9317" s="271"/>
      <c r="D9317" s="271"/>
      <c r="E9317" s="271"/>
      <c r="F9317" s="271"/>
      <c r="G9317" s="273"/>
      <c r="H9317" s="29" t="str">
        <f>IF(A9317="","",VLOOKUP(A9317,AA_Equipos,7,FALSE))</f>
        <v/>
      </c>
      <c r="I9317" s="394" t="str">
        <f>IF(A9317="","",VLOOKUP(A9317,AA_Equipos,8,FALSE))</f>
        <v/>
      </c>
      <c r="J9317" s="273"/>
      <c r="K9317" s="395"/>
      <c r="L9317" s="273"/>
      <c r="M9317" s="394" t="str">
        <f t="shared" si="1261"/>
        <v/>
      </c>
      <c r="N9317" s="273"/>
    </row>
    <row r="9318" spans="1:14" ht="12.75" customHeight="1" x14ac:dyDescent="0.25">
      <c r="A9318" s="4"/>
      <c r="B9318" s="4"/>
      <c r="C9318" s="4"/>
      <c r="D9318" s="4"/>
      <c r="E9318" s="4"/>
      <c r="F9318" s="4"/>
      <c r="G9318" s="4"/>
      <c r="H9318" s="4"/>
      <c r="I9318" s="4"/>
      <c r="J9318" s="4"/>
      <c r="K9318" s="396" t="s">
        <v>444</v>
      </c>
      <c r="L9318" s="273"/>
      <c r="M9318" s="394">
        <f>SUM(M9313:N9317)</f>
        <v>31919.494545454545</v>
      </c>
      <c r="N9318" s="273"/>
    </row>
    <row r="9319" spans="1:14" ht="12.75" customHeight="1" x14ac:dyDescent="0.25">
      <c r="A9319" s="4"/>
      <c r="B9319" s="4"/>
      <c r="C9319" s="4"/>
      <c r="D9319" s="4"/>
      <c r="E9319" s="4"/>
      <c r="F9319" s="4"/>
      <c r="G9319" s="4"/>
      <c r="H9319" s="4"/>
      <c r="I9319" s="4"/>
      <c r="J9319" s="4"/>
      <c r="K9319" s="4"/>
      <c r="L9319" s="4"/>
      <c r="M9319" s="4"/>
      <c r="N9319" s="4"/>
    </row>
    <row r="9320" spans="1:14" ht="12.75" customHeight="1" x14ac:dyDescent="0.2">
      <c r="A9320" s="398" t="s">
        <v>929</v>
      </c>
      <c r="B9320" s="271"/>
      <c r="C9320" s="271"/>
      <c r="D9320" s="271"/>
      <c r="E9320" s="271"/>
      <c r="F9320" s="271"/>
      <c r="G9320" s="271"/>
      <c r="H9320" s="271"/>
      <c r="I9320" s="271"/>
      <c r="J9320" s="271"/>
      <c r="K9320" s="271"/>
      <c r="L9320" s="271"/>
      <c r="M9320" s="271"/>
      <c r="N9320" s="273"/>
    </row>
    <row r="9321" spans="1:14" ht="12.75" customHeight="1" x14ac:dyDescent="0.2">
      <c r="A9321" s="396" t="s">
        <v>76</v>
      </c>
      <c r="B9321" s="271"/>
      <c r="C9321" s="271"/>
      <c r="D9321" s="271"/>
      <c r="E9321" s="271"/>
      <c r="F9321" s="271"/>
      <c r="G9321" s="273"/>
      <c r="H9321" s="88" t="s">
        <v>77</v>
      </c>
      <c r="I9321" s="399" t="s">
        <v>920</v>
      </c>
      <c r="J9321" s="273"/>
      <c r="K9321" s="399" t="s">
        <v>453</v>
      </c>
      <c r="L9321" s="273"/>
      <c r="M9321" s="399" t="s">
        <v>921</v>
      </c>
      <c r="N9321" s="273"/>
    </row>
    <row r="9322" spans="1:14" ht="12.75" customHeight="1" x14ac:dyDescent="0.2">
      <c r="A9322" s="400" t="s">
        <v>966</v>
      </c>
      <c r="B9322" s="271"/>
      <c r="C9322" s="271"/>
      <c r="D9322" s="271"/>
      <c r="E9322" s="271"/>
      <c r="F9322" s="271"/>
      <c r="G9322" s="273"/>
      <c r="H9322" s="29" t="s">
        <v>24</v>
      </c>
      <c r="I9322" s="394">
        <f>+M9304+M9303+M9302+M9301+M9300</f>
        <v>1229331.1800000002</v>
      </c>
      <c r="J9322" s="273"/>
      <c r="K9322" s="404">
        <v>0.05</v>
      </c>
      <c r="L9322" s="273"/>
      <c r="M9322" s="394">
        <f t="shared" ref="M9322:M9326" si="1262">IF(A9322="","",I9322*K9322)</f>
        <v>61466.559000000008</v>
      </c>
      <c r="N9322" s="273"/>
    </row>
    <row r="9323" spans="1:14" ht="12.75" customHeight="1" x14ac:dyDescent="0.2">
      <c r="A9323" s="403" t="s">
        <v>3174</v>
      </c>
      <c r="B9323" s="271"/>
      <c r="C9323" s="271"/>
      <c r="D9323" s="271"/>
      <c r="E9323" s="271"/>
      <c r="F9323" s="271"/>
      <c r="G9323" s="273"/>
      <c r="H9323" s="29" t="s">
        <v>24</v>
      </c>
      <c r="I9323" s="394">
        <f>+M9318</f>
        <v>31919.494545454545</v>
      </c>
      <c r="J9323" s="273"/>
      <c r="K9323" s="404">
        <v>0.05</v>
      </c>
      <c r="L9323" s="273"/>
      <c r="M9323" s="394">
        <f t="shared" si="1262"/>
        <v>1595.9747272727273</v>
      </c>
      <c r="N9323" s="273"/>
    </row>
    <row r="9324" spans="1:14" ht="12.75" customHeight="1" x14ac:dyDescent="0.2">
      <c r="A9324" s="400"/>
      <c r="B9324" s="271"/>
      <c r="C9324" s="271"/>
      <c r="D9324" s="271"/>
      <c r="E9324" s="271"/>
      <c r="F9324" s="271"/>
      <c r="G9324" s="273"/>
      <c r="H9324" s="29"/>
      <c r="I9324" s="394"/>
      <c r="J9324" s="273"/>
      <c r="K9324" s="395"/>
      <c r="L9324" s="273"/>
      <c r="M9324" s="394" t="str">
        <f t="shared" si="1262"/>
        <v/>
      </c>
      <c r="N9324" s="273"/>
    </row>
    <row r="9325" spans="1:14" ht="12.75" customHeight="1" x14ac:dyDescent="0.2">
      <c r="A9325" s="400"/>
      <c r="B9325" s="271"/>
      <c r="C9325" s="271"/>
      <c r="D9325" s="271"/>
      <c r="E9325" s="271"/>
      <c r="F9325" s="271"/>
      <c r="G9325" s="273"/>
      <c r="H9325" s="29"/>
      <c r="I9325" s="394"/>
      <c r="J9325" s="273"/>
      <c r="K9325" s="395"/>
      <c r="L9325" s="273"/>
      <c r="M9325" s="394" t="str">
        <f t="shared" si="1262"/>
        <v/>
      </c>
      <c r="N9325" s="273"/>
    </row>
    <row r="9326" spans="1:14" ht="12.75" customHeight="1" x14ac:dyDescent="0.2">
      <c r="A9326" s="400"/>
      <c r="B9326" s="271"/>
      <c r="C9326" s="271"/>
      <c r="D9326" s="271"/>
      <c r="E9326" s="271"/>
      <c r="F9326" s="271"/>
      <c r="G9326" s="273"/>
      <c r="H9326" s="29"/>
      <c r="I9326" s="394"/>
      <c r="J9326" s="273"/>
      <c r="K9326" s="395"/>
      <c r="L9326" s="273"/>
      <c r="M9326" s="394" t="str">
        <f t="shared" si="1262"/>
        <v/>
      </c>
      <c r="N9326" s="273"/>
    </row>
    <row r="9327" spans="1:14" ht="12.75" customHeight="1" x14ac:dyDescent="0.25">
      <c r="A9327" s="4"/>
      <c r="B9327" s="4"/>
      <c r="C9327" s="4"/>
      <c r="D9327" s="4"/>
      <c r="E9327" s="4"/>
      <c r="F9327" s="4"/>
      <c r="G9327" s="4"/>
      <c r="H9327" s="4"/>
      <c r="I9327" s="4"/>
      <c r="J9327" s="4"/>
      <c r="K9327" s="396" t="s">
        <v>444</v>
      </c>
      <c r="L9327" s="273"/>
      <c r="M9327" s="394">
        <f>SUM(M9322:N9326)</f>
        <v>63062.533727272734</v>
      </c>
      <c r="N9327" s="273"/>
    </row>
    <row r="9328" spans="1:14" ht="12.75" customHeight="1" x14ac:dyDescent="0.25">
      <c r="A9328" s="4"/>
      <c r="B9328" s="4"/>
      <c r="C9328" s="4"/>
      <c r="D9328" s="4"/>
      <c r="E9328" s="4"/>
      <c r="F9328" s="4"/>
      <c r="G9328" s="4"/>
      <c r="H9328" s="4"/>
      <c r="I9328" s="4"/>
      <c r="J9328" s="4"/>
      <c r="K9328" s="4"/>
      <c r="L9328" s="4"/>
      <c r="M9328" s="4"/>
      <c r="N9328" s="4"/>
    </row>
    <row r="9329" spans="1:14" ht="12.75" customHeight="1" x14ac:dyDescent="0.2">
      <c r="A9329" s="398" t="s">
        <v>931</v>
      </c>
      <c r="B9329" s="271"/>
      <c r="C9329" s="271"/>
      <c r="D9329" s="271"/>
      <c r="E9329" s="271"/>
      <c r="F9329" s="271"/>
      <c r="G9329" s="271"/>
      <c r="H9329" s="271"/>
      <c r="I9329" s="271"/>
      <c r="J9329" s="271"/>
      <c r="K9329" s="271"/>
      <c r="L9329" s="271"/>
      <c r="M9329" s="271"/>
      <c r="N9329" s="273"/>
    </row>
    <row r="9330" spans="1:14" ht="12.75" customHeight="1" x14ac:dyDescent="0.2">
      <c r="A9330" s="396" t="s">
        <v>76</v>
      </c>
      <c r="B9330" s="271"/>
      <c r="C9330" s="271"/>
      <c r="D9330" s="271"/>
      <c r="E9330" s="271"/>
      <c r="F9330" s="271"/>
      <c r="G9330" s="273"/>
      <c r="H9330" s="88" t="s">
        <v>77</v>
      </c>
      <c r="I9330" s="399" t="s">
        <v>920</v>
      </c>
      <c r="J9330" s="273"/>
      <c r="K9330" s="90" t="s">
        <v>514</v>
      </c>
      <c r="L9330" s="91" t="s">
        <v>932</v>
      </c>
      <c r="M9330" s="399" t="s">
        <v>921</v>
      </c>
      <c r="N9330" s="273"/>
    </row>
    <row r="9331" spans="1:14" ht="12.75" customHeight="1" x14ac:dyDescent="0.25">
      <c r="A9331" s="393" t="s">
        <v>986</v>
      </c>
      <c r="B9331" s="271"/>
      <c r="C9331" s="271"/>
      <c r="D9331" s="271"/>
      <c r="E9331" s="271"/>
      <c r="F9331" s="271"/>
      <c r="G9331" s="273"/>
      <c r="H9331" s="29" t="str">
        <f>IF(A9331="","",VLOOKUP(A9331,AA_Cuadrillas,4,FALSE))</f>
        <v>Cuadrilla</v>
      </c>
      <c r="I9331" s="394">
        <f>IF(A9331="","",VLOOKUP(A9331,AA_Cuadrillas,5,FALSE))</f>
        <v>186763</v>
      </c>
      <c r="J9331" s="273"/>
      <c r="K9331" s="9">
        <f>IF(A9331="","",F.P!$I$2)</f>
        <v>1.88</v>
      </c>
      <c r="L9331" s="97">
        <f>1/0.55</f>
        <v>1.8181818181818181</v>
      </c>
      <c r="M9331" s="394">
        <f t="shared" ref="M9331:M9335" si="1263">IF(A9331="","",I9331*K9331*L9331)</f>
        <v>638389.89090909087</v>
      </c>
      <c r="N9331" s="273"/>
    </row>
    <row r="9332" spans="1:14" ht="12.75" customHeight="1" x14ac:dyDescent="0.25">
      <c r="A9332" s="393"/>
      <c r="B9332" s="271"/>
      <c r="C9332" s="271"/>
      <c r="D9332" s="271"/>
      <c r="E9332" s="271"/>
      <c r="F9332" s="271"/>
      <c r="G9332" s="273"/>
      <c r="H9332" s="29" t="str">
        <f>IF(A9332="","",VLOOKUP(A9332,AA_Cuadrillas,4,FALSE))</f>
        <v/>
      </c>
      <c r="I9332" s="394" t="str">
        <f>IF(A9332="","",VLOOKUP(A9332,AA_Cuadrillas,5,FALSE))</f>
        <v/>
      </c>
      <c r="J9332" s="273"/>
      <c r="K9332" s="9" t="str">
        <f>IF(A9332="","",F.P!$I$2)</f>
        <v/>
      </c>
      <c r="L9332" s="9"/>
      <c r="M9332" s="394" t="str">
        <f t="shared" si="1263"/>
        <v/>
      </c>
      <c r="N9332" s="273"/>
    </row>
    <row r="9333" spans="1:14" ht="12.75" customHeight="1" x14ac:dyDescent="0.25">
      <c r="A9333" s="393"/>
      <c r="B9333" s="271"/>
      <c r="C9333" s="271"/>
      <c r="D9333" s="271"/>
      <c r="E9333" s="271"/>
      <c r="F9333" s="271"/>
      <c r="G9333" s="273"/>
      <c r="H9333" s="29" t="str">
        <f>IF(A9333="","",VLOOKUP(A9333,AA_Cuadrillas,4,FALSE))</f>
        <v/>
      </c>
      <c r="I9333" s="394" t="str">
        <f>IF(A9333="","",VLOOKUP(A9333,AA_Cuadrillas,5,FALSE))</f>
        <v/>
      </c>
      <c r="J9333" s="273"/>
      <c r="K9333" s="9" t="str">
        <f>IF(A9333="","",F.P!$I$2)</f>
        <v/>
      </c>
      <c r="L9333" s="37"/>
      <c r="M9333" s="394" t="str">
        <f t="shared" si="1263"/>
        <v/>
      </c>
      <c r="N9333" s="273"/>
    </row>
    <row r="9334" spans="1:14" ht="12.75" customHeight="1" x14ac:dyDescent="0.25">
      <c r="A9334" s="393"/>
      <c r="B9334" s="271"/>
      <c r="C9334" s="271"/>
      <c r="D9334" s="271"/>
      <c r="E9334" s="271"/>
      <c r="F9334" s="271"/>
      <c r="G9334" s="273"/>
      <c r="H9334" s="29" t="str">
        <f>IF(A9334="","",VLOOKUP(A9334,AA_Cuadrillas,4,FALSE))</f>
        <v/>
      </c>
      <c r="I9334" s="394" t="str">
        <f>IF(A9334="","",VLOOKUP(A9334,AA_Cuadrillas,5,FALSE))</f>
        <v/>
      </c>
      <c r="J9334" s="273"/>
      <c r="K9334" s="9" t="str">
        <f>IF(A9334="","",F.P!$I$2)</f>
        <v/>
      </c>
      <c r="L9334" s="37"/>
      <c r="M9334" s="394" t="str">
        <f t="shared" si="1263"/>
        <v/>
      </c>
      <c r="N9334" s="273"/>
    </row>
    <row r="9335" spans="1:14" ht="12.75" customHeight="1" x14ac:dyDescent="0.25">
      <c r="A9335" s="393"/>
      <c r="B9335" s="271"/>
      <c r="C9335" s="271"/>
      <c r="D9335" s="271"/>
      <c r="E9335" s="271"/>
      <c r="F9335" s="271"/>
      <c r="G9335" s="273"/>
      <c r="H9335" s="29" t="str">
        <f>IF(A9335="","",VLOOKUP(A9335,AA_Cuadrillas,4,FALSE))</f>
        <v/>
      </c>
      <c r="I9335" s="394" t="str">
        <f>IF(A9335="","",VLOOKUP(A9335,AA_Cuadrillas,5,FALSE))</f>
        <v/>
      </c>
      <c r="J9335" s="273"/>
      <c r="K9335" s="9" t="str">
        <f>IF(A9335="","",F.P!$I$2)</f>
        <v/>
      </c>
      <c r="L9335" s="37"/>
      <c r="M9335" s="394" t="str">
        <f t="shared" si="1263"/>
        <v/>
      </c>
      <c r="N9335" s="273"/>
    </row>
    <row r="9336" spans="1:14" ht="12.75" customHeight="1" x14ac:dyDescent="0.25">
      <c r="A9336" s="4"/>
      <c r="B9336" s="4"/>
      <c r="C9336" s="4"/>
      <c r="D9336" s="4"/>
      <c r="E9336" s="4"/>
      <c r="F9336" s="4"/>
      <c r="G9336" s="4"/>
      <c r="H9336" s="4"/>
      <c r="I9336" s="4"/>
      <c r="J9336" s="4"/>
      <c r="K9336" s="396" t="s">
        <v>444</v>
      </c>
      <c r="L9336" s="273"/>
      <c r="M9336" s="394">
        <f>SUM(M9331:N9335)</f>
        <v>638389.89090909087</v>
      </c>
      <c r="N9336" s="273"/>
    </row>
    <row r="9337" spans="1:14" ht="12.75" customHeight="1" x14ac:dyDescent="0.2"/>
    <row r="9338" spans="1:14" ht="13.5" customHeight="1" x14ac:dyDescent="0.2">
      <c r="A9338" s="397" t="s">
        <v>1456</v>
      </c>
      <c r="B9338" s="275"/>
      <c r="C9338" s="275"/>
      <c r="D9338" s="275"/>
      <c r="E9338" s="275"/>
      <c r="F9338" s="275"/>
      <c r="G9338" s="275"/>
      <c r="H9338" s="275"/>
      <c r="I9338" s="275"/>
      <c r="J9338" s="275"/>
      <c r="K9338" s="275"/>
      <c r="L9338" s="275"/>
      <c r="M9338" s="275"/>
      <c r="N9338" s="276"/>
    </row>
    <row r="9339" spans="1:14" ht="13.5" customHeight="1" x14ac:dyDescent="0.2">
      <c r="A9339" s="277"/>
      <c r="B9339" s="278"/>
      <c r="C9339" s="278"/>
      <c r="D9339" s="278"/>
      <c r="E9339" s="278"/>
      <c r="F9339" s="278"/>
      <c r="G9339" s="278"/>
      <c r="H9339" s="278"/>
      <c r="I9339" s="278"/>
      <c r="J9339" s="278"/>
      <c r="K9339" s="278"/>
      <c r="L9339" s="278"/>
      <c r="M9339" s="278"/>
      <c r="N9339" s="279"/>
    </row>
    <row r="9340" spans="1:14" ht="12.75" customHeight="1" x14ac:dyDescent="0.2">
      <c r="A9340" s="75"/>
      <c r="B9340" s="75"/>
      <c r="C9340" s="75"/>
      <c r="D9340" s="75"/>
      <c r="E9340" s="75"/>
      <c r="F9340" s="75"/>
      <c r="G9340" s="75"/>
      <c r="H9340" s="75"/>
      <c r="I9340" s="75"/>
      <c r="J9340" s="75"/>
      <c r="K9340" s="75"/>
      <c r="L9340" s="75"/>
      <c r="M9340" s="75"/>
      <c r="N9340" s="75"/>
    </row>
    <row r="9341" spans="1:14" ht="12.75" customHeight="1" x14ac:dyDescent="0.3">
      <c r="A9341" s="79" t="s">
        <v>819</v>
      </c>
      <c r="B9341" s="80" t="str">
        <f>A9338</f>
        <v>VÁLVULA DE CORTE TIPO CHOROTE DE Ø4" (INCLUYE LLAVE PARA VÁLVULA, TAPA DE SEGURIDAD, TUBERÁ SANITARIA, VÁLVULA DE COMPUERTA, MATERIALES, HERRAMIENTAS Y MANO DE OBRA)</v>
      </c>
      <c r="C9341" s="81" t="s">
        <v>916</v>
      </c>
      <c r="D9341" s="82" t="s">
        <v>999</v>
      </c>
      <c r="E9341" s="83" t="s">
        <v>445</v>
      </c>
      <c r="F9341" s="86">
        <f>H9341+J9341+L9341+N9341</f>
        <v>2618635.3573983628</v>
      </c>
      <c r="G9341" s="83" t="s">
        <v>607</v>
      </c>
      <c r="H9341" s="86">
        <f>M9367</f>
        <v>31919.494545454545</v>
      </c>
      <c r="I9341" s="83" t="s">
        <v>918</v>
      </c>
      <c r="J9341" s="86">
        <f>M9358</f>
        <v>1948325.9719438176</v>
      </c>
      <c r="K9341" s="83" t="s">
        <v>609</v>
      </c>
      <c r="L9341" s="86">
        <f>M9376</f>
        <v>0</v>
      </c>
      <c r="M9341" s="83" t="s">
        <v>610</v>
      </c>
      <c r="N9341" s="86">
        <f>M9385</f>
        <v>638389.89090909087</v>
      </c>
    </row>
    <row r="9342" spans="1:14" ht="12.75" customHeight="1" x14ac:dyDescent="0.25">
      <c r="A9342" s="87"/>
      <c r="B9342" s="87"/>
      <c r="C9342" s="87"/>
      <c r="D9342" s="87"/>
      <c r="E9342" s="87"/>
      <c r="F9342" s="87"/>
      <c r="G9342" s="87"/>
      <c r="J9342" s="87"/>
      <c r="K9342" s="215" t="s">
        <v>3217</v>
      </c>
      <c r="L9342" s="215">
        <f>+F9341*presup!$O$5</f>
        <v>3404225.9646178717</v>
      </c>
      <c r="M9342" s="87"/>
      <c r="N9342" s="87"/>
    </row>
    <row r="9343" spans="1:14" ht="12.75" customHeight="1" x14ac:dyDescent="0.2">
      <c r="A9343" s="398" t="s">
        <v>919</v>
      </c>
      <c r="B9343" s="271"/>
      <c r="C9343" s="271"/>
      <c r="D9343" s="271"/>
      <c r="E9343" s="271"/>
      <c r="F9343" s="271"/>
      <c r="G9343" s="271"/>
      <c r="H9343" s="271"/>
      <c r="I9343" s="271"/>
      <c r="J9343" s="271"/>
      <c r="K9343" s="271"/>
      <c r="L9343" s="271"/>
      <c r="M9343" s="271"/>
      <c r="N9343" s="273"/>
    </row>
    <row r="9344" spans="1:14" ht="12.75" customHeight="1" x14ac:dyDescent="0.2">
      <c r="A9344" s="396" t="s">
        <v>76</v>
      </c>
      <c r="B9344" s="271"/>
      <c r="C9344" s="271"/>
      <c r="D9344" s="271"/>
      <c r="E9344" s="271"/>
      <c r="F9344" s="271"/>
      <c r="G9344" s="273"/>
      <c r="H9344" s="88" t="s">
        <v>77</v>
      </c>
      <c r="I9344" s="399" t="s">
        <v>920</v>
      </c>
      <c r="J9344" s="273"/>
      <c r="K9344" s="399" t="s">
        <v>453</v>
      </c>
      <c r="L9344" s="273"/>
      <c r="M9344" s="399" t="s">
        <v>921</v>
      </c>
      <c r="N9344" s="273"/>
    </row>
    <row r="9345" spans="1:14" ht="12.75" customHeight="1" x14ac:dyDescent="0.2">
      <c r="A9345" s="403" t="s">
        <v>1307</v>
      </c>
      <c r="B9345" s="271"/>
      <c r="C9345" s="271"/>
      <c r="D9345" s="271"/>
      <c r="E9345" s="271"/>
      <c r="F9345" s="271"/>
      <c r="G9345" s="273"/>
      <c r="H9345" s="29" t="str">
        <f t="shared" ref="H9345:H9357" si="1264">IF(A9345="","",VLOOKUP(A9345,AA_Materiales,7,FALSE))</f>
        <v>m2</v>
      </c>
      <c r="I9345" s="394">
        <f t="shared" ref="I9345:I9357" si="1265">IF(A9345="","",VLOOKUP(A9345,AA_Materiales,8,FALSE))</f>
        <v>5395.0282271600026</v>
      </c>
      <c r="J9345" s="273"/>
      <c r="K9345" s="395">
        <f>0.5*0.5</f>
        <v>0.25</v>
      </c>
      <c r="L9345" s="273"/>
      <c r="M9345" s="394">
        <f t="shared" ref="M9345:M9357" si="1266">IF(A9345="","",I9345*K9345)</f>
        <v>1348.7570567900007</v>
      </c>
      <c r="N9345" s="273"/>
    </row>
    <row r="9346" spans="1:14" ht="12.75" customHeight="1" x14ac:dyDescent="0.2">
      <c r="A9346" s="403" t="s">
        <v>1308</v>
      </c>
      <c r="B9346" s="271"/>
      <c r="C9346" s="271"/>
      <c r="D9346" s="271"/>
      <c r="E9346" s="271"/>
      <c r="F9346" s="271"/>
      <c r="G9346" s="273"/>
      <c r="H9346" s="29" t="str">
        <f t="shared" si="1264"/>
        <v>m3</v>
      </c>
      <c r="I9346" s="394">
        <f t="shared" si="1265"/>
        <v>68458.635200799996</v>
      </c>
      <c r="J9346" s="273"/>
      <c r="K9346" s="395">
        <f>0.5*0.5*2</f>
        <v>0.5</v>
      </c>
      <c r="L9346" s="273"/>
      <c r="M9346" s="394">
        <f t="shared" si="1266"/>
        <v>34229.317600399998</v>
      </c>
      <c r="N9346" s="273"/>
    </row>
    <row r="9347" spans="1:14" ht="12.75" customHeight="1" x14ac:dyDescent="0.2">
      <c r="A9347" s="403" t="s">
        <v>1311</v>
      </c>
      <c r="B9347" s="271"/>
      <c r="C9347" s="271"/>
      <c r="D9347" s="271"/>
      <c r="E9347" s="271"/>
      <c r="F9347" s="271"/>
      <c r="G9347" s="273"/>
      <c r="H9347" s="29" t="str">
        <f t="shared" si="1264"/>
        <v>Kg</v>
      </c>
      <c r="I9347" s="394">
        <f t="shared" si="1265"/>
        <v>10407.86484233889</v>
      </c>
      <c r="J9347" s="273"/>
      <c r="K9347" s="395">
        <v>3</v>
      </c>
      <c r="L9347" s="273"/>
      <c r="M9347" s="394">
        <f t="shared" si="1266"/>
        <v>31223.59452701667</v>
      </c>
      <c r="N9347" s="273"/>
    </row>
    <row r="9348" spans="1:14" ht="12.75" customHeight="1" x14ac:dyDescent="0.2">
      <c r="A9348" s="403" t="s">
        <v>1371</v>
      </c>
      <c r="B9348" s="271"/>
      <c r="C9348" s="271"/>
      <c r="D9348" s="271"/>
      <c r="E9348" s="271"/>
      <c r="F9348" s="271"/>
      <c r="G9348" s="273"/>
      <c r="H9348" s="29" t="str">
        <f t="shared" si="1264"/>
        <v>m3</v>
      </c>
      <c r="I9348" s="394">
        <f t="shared" si="1265"/>
        <v>1389173.4069229569</v>
      </c>
      <c r="J9348" s="273"/>
      <c r="K9348" s="395">
        <f>(0.5*0.5*0.1)+(0.5*0.5*0.05)</f>
        <v>3.7500000000000006E-2</v>
      </c>
      <c r="L9348" s="273"/>
      <c r="M9348" s="394">
        <f t="shared" si="1266"/>
        <v>52094.002759610892</v>
      </c>
      <c r="N9348" s="273"/>
    </row>
    <row r="9349" spans="1:14" ht="12.75" customHeight="1" x14ac:dyDescent="0.2">
      <c r="A9349" s="403" t="s">
        <v>1450</v>
      </c>
      <c r="B9349" s="271"/>
      <c r="C9349" s="271"/>
      <c r="D9349" s="271"/>
      <c r="E9349" s="271"/>
      <c r="F9349" s="271"/>
      <c r="G9349" s="273"/>
      <c r="H9349" s="29" t="str">
        <f t="shared" si="1264"/>
        <v>Unidad</v>
      </c>
      <c r="I9349" s="394">
        <f t="shared" si="1265"/>
        <v>560347</v>
      </c>
      <c r="J9349" s="273"/>
      <c r="K9349" s="395">
        <v>1</v>
      </c>
      <c r="L9349" s="273"/>
      <c r="M9349" s="394">
        <f t="shared" si="1266"/>
        <v>560347</v>
      </c>
      <c r="N9349" s="273"/>
    </row>
    <row r="9350" spans="1:14" ht="12.75" customHeight="1" x14ac:dyDescent="0.2">
      <c r="A9350" s="403" t="s">
        <v>1451</v>
      </c>
      <c r="B9350" s="271"/>
      <c r="C9350" s="271"/>
      <c r="D9350" s="271"/>
      <c r="E9350" s="271"/>
      <c r="F9350" s="271"/>
      <c r="G9350" s="273"/>
      <c r="H9350" s="29" t="str">
        <f t="shared" si="1264"/>
        <v>Unidad</v>
      </c>
      <c r="I9350" s="394">
        <f t="shared" si="1265"/>
        <v>253000</v>
      </c>
      <c r="J9350" s="273"/>
      <c r="K9350" s="395">
        <v>1</v>
      </c>
      <c r="L9350" s="273"/>
      <c r="M9350" s="394">
        <f t="shared" si="1266"/>
        <v>253000</v>
      </c>
      <c r="N9350" s="273"/>
    </row>
    <row r="9351" spans="1:14" ht="12.75" customHeight="1" x14ac:dyDescent="0.2">
      <c r="A9351" s="403" t="s">
        <v>1190</v>
      </c>
      <c r="B9351" s="271"/>
      <c r="C9351" s="271"/>
      <c r="D9351" s="271"/>
      <c r="E9351" s="271"/>
      <c r="F9351" s="271"/>
      <c r="G9351" s="273"/>
      <c r="H9351" s="29" t="str">
        <f t="shared" si="1264"/>
        <v>ml</v>
      </c>
      <c r="I9351" s="394">
        <f t="shared" si="1265"/>
        <v>54300</v>
      </c>
      <c r="J9351" s="273"/>
      <c r="K9351" s="395">
        <v>1.5</v>
      </c>
      <c r="L9351" s="273"/>
      <c r="M9351" s="394">
        <f t="shared" si="1266"/>
        <v>81450</v>
      </c>
      <c r="N9351" s="273"/>
    </row>
    <row r="9352" spans="1:14" ht="12.75" customHeight="1" x14ac:dyDescent="0.2">
      <c r="A9352" s="403" t="s">
        <v>1457</v>
      </c>
      <c r="B9352" s="271"/>
      <c r="C9352" s="271"/>
      <c r="D9352" s="271"/>
      <c r="E9352" s="271"/>
      <c r="F9352" s="271"/>
      <c r="G9352" s="273"/>
      <c r="H9352" s="29" t="str">
        <f t="shared" si="1264"/>
        <v>Unidad</v>
      </c>
      <c r="I9352" s="394">
        <f t="shared" si="1265"/>
        <v>868000</v>
      </c>
      <c r="J9352" s="273"/>
      <c r="K9352" s="395">
        <v>1</v>
      </c>
      <c r="L9352" s="273"/>
      <c r="M9352" s="394">
        <f t="shared" si="1266"/>
        <v>868000</v>
      </c>
      <c r="N9352" s="273"/>
    </row>
    <row r="9353" spans="1:14" ht="12.75" customHeight="1" x14ac:dyDescent="0.2">
      <c r="A9353" s="403" t="s">
        <v>1458</v>
      </c>
      <c r="B9353" s="271"/>
      <c r="C9353" s="271"/>
      <c r="D9353" s="271"/>
      <c r="E9353" s="271"/>
      <c r="F9353" s="271"/>
      <c r="G9353" s="273"/>
      <c r="H9353" s="29" t="str">
        <f t="shared" si="1264"/>
        <v>ml</v>
      </c>
      <c r="I9353" s="394">
        <f t="shared" si="1265"/>
        <v>66633.3</v>
      </c>
      <c r="J9353" s="273"/>
      <c r="K9353" s="395">
        <v>1</v>
      </c>
      <c r="L9353" s="273"/>
      <c r="M9353" s="394">
        <f t="shared" si="1266"/>
        <v>66633.3</v>
      </c>
      <c r="N9353" s="273"/>
    </row>
    <row r="9354" spans="1:14" ht="12.75" customHeight="1" x14ac:dyDescent="0.2">
      <c r="A9354" s="403"/>
      <c r="B9354" s="271"/>
      <c r="C9354" s="271"/>
      <c r="D9354" s="271"/>
      <c r="E9354" s="271"/>
      <c r="F9354" s="271"/>
      <c r="G9354" s="273"/>
      <c r="H9354" s="29" t="str">
        <f t="shared" si="1264"/>
        <v/>
      </c>
      <c r="I9354" s="394" t="str">
        <f t="shared" si="1265"/>
        <v/>
      </c>
      <c r="J9354" s="273"/>
      <c r="K9354" s="395"/>
      <c r="L9354" s="273"/>
      <c r="M9354" s="394" t="str">
        <f t="shared" si="1266"/>
        <v/>
      </c>
      <c r="N9354" s="273"/>
    </row>
    <row r="9355" spans="1:14" ht="12.75" customHeight="1" x14ac:dyDescent="0.2">
      <c r="A9355" s="403"/>
      <c r="B9355" s="271"/>
      <c r="C9355" s="271"/>
      <c r="D9355" s="271"/>
      <c r="E9355" s="271"/>
      <c r="F9355" s="271"/>
      <c r="G9355" s="273"/>
      <c r="H9355" s="29" t="str">
        <f t="shared" si="1264"/>
        <v/>
      </c>
      <c r="I9355" s="394" t="str">
        <f t="shared" si="1265"/>
        <v/>
      </c>
      <c r="J9355" s="273"/>
      <c r="K9355" s="395"/>
      <c r="L9355" s="273"/>
      <c r="M9355" s="394" t="str">
        <f t="shared" si="1266"/>
        <v/>
      </c>
      <c r="N9355" s="273"/>
    </row>
    <row r="9356" spans="1:14" ht="12.75" customHeight="1" x14ac:dyDescent="0.2">
      <c r="A9356" s="403"/>
      <c r="B9356" s="271"/>
      <c r="C9356" s="271"/>
      <c r="D9356" s="271"/>
      <c r="E9356" s="271"/>
      <c r="F9356" s="271"/>
      <c r="G9356" s="273"/>
      <c r="H9356" s="29" t="str">
        <f t="shared" si="1264"/>
        <v/>
      </c>
      <c r="I9356" s="394" t="str">
        <f t="shared" si="1265"/>
        <v/>
      </c>
      <c r="J9356" s="273"/>
      <c r="K9356" s="395"/>
      <c r="L9356" s="273"/>
      <c r="M9356" s="394" t="str">
        <f t="shared" si="1266"/>
        <v/>
      </c>
      <c r="N9356" s="273"/>
    </row>
    <row r="9357" spans="1:14" ht="12.75" customHeight="1" x14ac:dyDescent="0.2">
      <c r="A9357" s="403"/>
      <c r="B9357" s="271"/>
      <c r="C9357" s="271"/>
      <c r="D9357" s="271"/>
      <c r="E9357" s="271"/>
      <c r="F9357" s="271"/>
      <c r="G9357" s="273"/>
      <c r="H9357" s="29" t="str">
        <f t="shared" si="1264"/>
        <v/>
      </c>
      <c r="I9357" s="394" t="str">
        <f t="shared" si="1265"/>
        <v/>
      </c>
      <c r="J9357" s="273"/>
      <c r="K9357" s="395"/>
      <c r="L9357" s="273"/>
      <c r="M9357" s="394" t="str">
        <f t="shared" si="1266"/>
        <v/>
      </c>
      <c r="N9357" s="273"/>
    </row>
    <row r="9358" spans="1:14" ht="12.75" customHeight="1" x14ac:dyDescent="0.25">
      <c r="A9358" s="4"/>
      <c r="B9358" s="4"/>
      <c r="C9358" s="4"/>
      <c r="D9358" s="4"/>
      <c r="E9358" s="4"/>
      <c r="F9358" s="4"/>
      <c r="G9358" s="4"/>
      <c r="H9358" s="4"/>
      <c r="I9358" s="4"/>
      <c r="J9358" s="4"/>
      <c r="K9358" s="396" t="s">
        <v>444</v>
      </c>
      <c r="L9358" s="273"/>
      <c r="M9358" s="394">
        <f>SUM(M9345:N9357)</f>
        <v>1948325.9719438176</v>
      </c>
      <c r="N9358" s="273"/>
    </row>
    <row r="9359" spans="1:14" ht="12.75" customHeight="1" x14ac:dyDescent="0.25">
      <c r="A9359" s="4"/>
      <c r="B9359" s="4"/>
      <c r="C9359" s="4"/>
      <c r="D9359" s="4"/>
      <c r="E9359" s="4"/>
      <c r="F9359" s="4"/>
      <c r="G9359" s="4"/>
      <c r="H9359" s="4"/>
      <c r="I9359" s="4"/>
      <c r="J9359" s="4"/>
      <c r="K9359" s="4"/>
      <c r="L9359" s="4"/>
      <c r="M9359" s="4"/>
      <c r="N9359" s="4"/>
    </row>
    <row r="9360" spans="1:14" ht="12.75" customHeight="1" x14ac:dyDescent="0.2">
      <c r="A9360" s="398" t="s">
        <v>926</v>
      </c>
      <c r="B9360" s="271"/>
      <c r="C9360" s="271"/>
      <c r="D9360" s="271"/>
      <c r="E9360" s="271"/>
      <c r="F9360" s="271"/>
      <c r="G9360" s="271"/>
      <c r="H9360" s="271"/>
      <c r="I9360" s="271"/>
      <c r="J9360" s="271"/>
      <c r="K9360" s="271"/>
      <c r="L9360" s="271"/>
      <c r="M9360" s="271"/>
      <c r="N9360" s="273"/>
    </row>
    <row r="9361" spans="1:14" ht="12.75" customHeight="1" x14ac:dyDescent="0.2">
      <c r="A9361" s="396" t="s">
        <v>76</v>
      </c>
      <c r="B9361" s="271"/>
      <c r="C9361" s="271"/>
      <c r="D9361" s="271"/>
      <c r="E9361" s="271"/>
      <c r="F9361" s="271"/>
      <c r="G9361" s="273"/>
      <c r="H9361" s="88" t="s">
        <v>77</v>
      </c>
      <c r="I9361" s="399" t="s">
        <v>920</v>
      </c>
      <c r="J9361" s="273"/>
      <c r="K9361" s="399" t="s">
        <v>453</v>
      </c>
      <c r="L9361" s="273"/>
      <c r="M9361" s="399" t="s">
        <v>921</v>
      </c>
      <c r="N9361" s="273"/>
    </row>
    <row r="9362" spans="1:14" ht="12.75" customHeight="1" x14ac:dyDescent="0.2">
      <c r="A9362" s="400" t="s">
        <v>927</v>
      </c>
      <c r="B9362" s="271"/>
      <c r="C9362" s="271"/>
      <c r="D9362" s="271"/>
      <c r="E9362" s="271"/>
      <c r="F9362" s="271"/>
      <c r="G9362" s="273"/>
      <c r="H9362" s="29" t="str">
        <f>IF(A9362="","",VLOOKUP(A9362,AA_Equipos,7,FALSE))</f>
        <v>% M.O.</v>
      </c>
      <c r="I9362" s="394">
        <f>+M9385</f>
        <v>638389.89090909087</v>
      </c>
      <c r="J9362" s="273"/>
      <c r="K9362" s="404">
        <v>0.05</v>
      </c>
      <c r="L9362" s="273"/>
      <c r="M9362" s="394">
        <f t="shared" ref="M9362:M9366" si="1267">IF(A9362="","",I9362*K9362)</f>
        <v>31919.494545454545</v>
      </c>
      <c r="N9362" s="273"/>
    </row>
    <row r="9363" spans="1:14" ht="12.75" customHeight="1" x14ac:dyDescent="0.2">
      <c r="A9363" s="403"/>
      <c r="B9363" s="271"/>
      <c r="C9363" s="271"/>
      <c r="D9363" s="271"/>
      <c r="E9363" s="271"/>
      <c r="F9363" s="271"/>
      <c r="G9363" s="273"/>
      <c r="H9363" s="29" t="str">
        <f>IF(A9363="","",VLOOKUP(A9363,AA_Equipos,7,FALSE))</f>
        <v/>
      </c>
      <c r="I9363" s="394" t="str">
        <f>IF(A9363="","",VLOOKUP(A9363,AA_Equipos,8,FALSE))</f>
        <v/>
      </c>
      <c r="J9363" s="273"/>
      <c r="K9363" s="402"/>
      <c r="L9363" s="273"/>
      <c r="M9363" s="394" t="str">
        <f t="shared" si="1267"/>
        <v/>
      </c>
      <c r="N9363" s="273"/>
    </row>
    <row r="9364" spans="1:14" ht="12.75" customHeight="1" x14ac:dyDescent="0.2">
      <c r="A9364" s="400"/>
      <c r="B9364" s="271"/>
      <c r="C9364" s="271"/>
      <c r="D9364" s="271"/>
      <c r="E9364" s="271"/>
      <c r="F9364" s="271"/>
      <c r="G9364" s="273"/>
      <c r="H9364" s="29" t="str">
        <f>IF(A9364="","",VLOOKUP(A9364,AA_Equipos,7,FALSE))</f>
        <v/>
      </c>
      <c r="I9364" s="394" t="str">
        <f>IF(A9364="","",VLOOKUP(A9364,AA_Equipos,8,FALSE))</f>
        <v/>
      </c>
      <c r="J9364" s="273"/>
      <c r="K9364" s="401"/>
      <c r="L9364" s="273"/>
      <c r="M9364" s="394" t="str">
        <f t="shared" si="1267"/>
        <v/>
      </c>
      <c r="N9364" s="273"/>
    </row>
    <row r="9365" spans="1:14" ht="12.75" customHeight="1" x14ac:dyDescent="0.2">
      <c r="A9365" s="400"/>
      <c r="B9365" s="271"/>
      <c r="C9365" s="271"/>
      <c r="D9365" s="271"/>
      <c r="E9365" s="271"/>
      <c r="F9365" s="271"/>
      <c r="G9365" s="273"/>
      <c r="H9365" s="29" t="str">
        <f>IF(A9365="","",VLOOKUP(A9365,AA_Equipos,7,FALSE))</f>
        <v/>
      </c>
      <c r="I9365" s="394" t="str">
        <f>IF(A9365="","",VLOOKUP(A9365,AA_Equipos,8,FALSE))</f>
        <v/>
      </c>
      <c r="J9365" s="273"/>
      <c r="K9365" s="395"/>
      <c r="L9365" s="273"/>
      <c r="M9365" s="394" t="str">
        <f t="shared" si="1267"/>
        <v/>
      </c>
      <c r="N9365" s="273"/>
    </row>
    <row r="9366" spans="1:14" ht="12.75" customHeight="1" x14ac:dyDescent="0.2">
      <c r="A9366" s="400"/>
      <c r="B9366" s="271"/>
      <c r="C9366" s="271"/>
      <c r="D9366" s="271"/>
      <c r="E9366" s="271"/>
      <c r="F9366" s="271"/>
      <c r="G9366" s="273"/>
      <c r="H9366" s="29" t="str">
        <f>IF(A9366="","",VLOOKUP(A9366,AA_Equipos,7,FALSE))</f>
        <v/>
      </c>
      <c r="I9366" s="394" t="str">
        <f>IF(A9366="","",VLOOKUP(A9366,AA_Equipos,8,FALSE))</f>
        <v/>
      </c>
      <c r="J9366" s="273"/>
      <c r="K9366" s="395"/>
      <c r="L9366" s="273"/>
      <c r="M9366" s="394" t="str">
        <f t="shared" si="1267"/>
        <v/>
      </c>
      <c r="N9366" s="273"/>
    </row>
    <row r="9367" spans="1:14" ht="12.75" customHeight="1" x14ac:dyDescent="0.25">
      <c r="A9367" s="4"/>
      <c r="B9367" s="4"/>
      <c r="C9367" s="4"/>
      <c r="D9367" s="4"/>
      <c r="E9367" s="4"/>
      <c r="F9367" s="4"/>
      <c r="G9367" s="4"/>
      <c r="H9367" s="4"/>
      <c r="I9367" s="4"/>
      <c r="J9367" s="4"/>
      <c r="K9367" s="396" t="s">
        <v>444</v>
      </c>
      <c r="L9367" s="273"/>
      <c r="M9367" s="394">
        <f>SUM(M9362:N9366)</f>
        <v>31919.494545454545</v>
      </c>
      <c r="N9367" s="273"/>
    </row>
    <row r="9368" spans="1:14" ht="12.75" customHeight="1" x14ac:dyDescent="0.25">
      <c r="A9368" s="4"/>
      <c r="B9368" s="4"/>
      <c r="C9368" s="4"/>
      <c r="D9368" s="4"/>
      <c r="E9368" s="4"/>
      <c r="F9368" s="4"/>
      <c r="G9368" s="4"/>
      <c r="H9368" s="4"/>
      <c r="I9368" s="4"/>
      <c r="J9368" s="4"/>
      <c r="K9368" s="4"/>
      <c r="L9368" s="4"/>
      <c r="M9368" s="4"/>
      <c r="N9368" s="4"/>
    </row>
    <row r="9369" spans="1:14" ht="12.75" customHeight="1" x14ac:dyDescent="0.2">
      <c r="A9369" s="398" t="s">
        <v>929</v>
      </c>
      <c r="B9369" s="271"/>
      <c r="C9369" s="271"/>
      <c r="D9369" s="271"/>
      <c r="E9369" s="271"/>
      <c r="F9369" s="271"/>
      <c r="G9369" s="271"/>
      <c r="H9369" s="271"/>
      <c r="I9369" s="271"/>
      <c r="J9369" s="271"/>
      <c r="K9369" s="271"/>
      <c r="L9369" s="271"/>
      <c r="M9369" s="271"/>
      <c r="N9369" s="273"/>
    </row>
    <row r="9370" spans="1:14" ht="12.75" customHeight="1" x14ac:dyDescent="0.2">
      <c r="A9370" s="396" t="s">
        <v>76</v>
      </c>
      <c r="B9370" s="271"/>
      <c r="C9370" s="271"/>
      <c r="D9370" s="271"/>
      <c r="E9370" s="271"/>
      <c r="F9370" s="271"/>
      <c r="G9370" s="273"/>
      <c r="H9370" s="88" t="s">
        <v>77</v>
      </c>
      <c r="I9370" s="399" t="s">
        <v>920</v>
      </c>
      <c r="J9370" s="273"/>
      <c r="K9370" s="399" t="s">
        <v>453</v>
      </c>
      <c r="L9370" s="273"/>
      <c r="M9370" s="399" t="s">
        <v>921</v>
      </c>
      <c r="N9370" s="273"/>
    </row>
    <row r="9371" spans="1:14" ht="12.75" customHeight="1" x14ac:dyDescent="0.2">
      <c r="A9371" s="400"/>
      <c r="B9371" s="271"/>
      <c r="C9371" s="271"/>
      <c r="D9371" s="271"/>
      <c r="E9371" s="271"/>
      <c r="F9371" s="271"/>
      <c r="G9371" s="273"/>
      <c r="H9371" s="29"/>
      <c r="I9371" s="394"/>
      <c r="J9371" s="273"/>
      <c r="K9371" s="404"/>
      <c r="L9371" s="273"/>
      <c r="M9371" s="394" t="str">
        <f t="shared" ref="M9371:M9375" si="1268">IF(A9371="","",I9371*K9371)</f>
        <v/>
      </c>
      <c r="N9371" s="273"/>
    </row>
    <row r="9372" spans="1:14" ht="12.75" customHeight="1" x14ac:dyDescent="0.2">
      <c r="A9372" s="403"/>
      <c r="B9372" s="271"/>
      <c r="C9372" s="271"/>
      <c r="D9372" s="271"/>
      <c r="E9372" s="271"/>
      <c r="F9372" s="271"/>
      <c r="G9372" s="273"/>
      <c r="H9372" s="29"/>
      <c r="I9372" s="394"/>
      <c r="J9372" s="273"/>
      <c r="K9372" s="404"/>
      <c r="L9372" s="273"/>
      <c r="M9372" s="394" t="str">
        <f t="shared" si="1268"/>
        <v/>
      </c>
      <c r="N9372" s="273"/>
    </row>
    <row r="9373" spans="1:14" ht="12.75" customHeight="1" x14ac:dyDescent="0.2">
      <c r="A9373" s="400"/>
      <c r="B9373" s="271"/>
      <c r="C9373" s="271"/>
      <c r="D9373" s="271"/>
      <c r="E9373" s="271"/>
      <c r="F9373" s="271"/>
      <c r="G9373" s="273"/>
      <c r="H9373" s="29"/>
      <c r="I9373" s="394"/>
      <c r="J9373" s="273"/>
      <c r="K9373" s="395"/>
      <c r="L9373" s="273"/>
      <c r="M9373" s="394" t="str">
        <f t="shared" si="1268"/>
        <v/>
      </c>
      <c r="N9373" s="273"/>
    </row>
    <row r="9374" spans="1:14" ht="12.75" customHeight="1" x14ac:dyDescent="0.2">
      <c r="A9374" s="400"/>
      <c r="B9374" s="271"/>
      <c r="C9374" s="271"/>
      <c r="D9374" s="271"/>
      <c r="E9374" s="271"/>
      <c r="F9374" s="271"/>
      <c r="G9374" s="273"/>
      <c r="H9374" s="29"/>
      <c r="I9374" s="394"/>
      <c r="J9374" s="273"/>
      <c r="K9374" s="395"/>
      <c r="L9374" s="273"/>
      <c r="M9374" s="394" t="str">
        <f t="shared" si="1268"/>
        <v/>
      </c>
      <c r="N9374" s="273"/>
    </row>
    <row r="9375" spans="1:14" ht="12.75" customHeight="1" x14ac:dyDescent="0.2">
      <c r="A9375" s="400"/>
      <c r="B9375" s="271"/>
      <c r="C9375" s="271"/>
      <c r="D9375" s="271"/>
      <c r="E9375" s="271"/>
      <c r="F9375" s="271"/>
      <c r="G9375" s="273"/>
      <c r="H9375" s="29"/>
      <c r="I9375" s="394"/>
      <c r="J9375" s="273"/>
      <c r="K9375" s="395"/>
      <c r="L9375" s="273"/>
      <c r="M9375" s="394" t="str">
        <f t="shared" si="1268"/>
        <v/>
      </c>
      <c r="N9375" s="273"/>
    </row>
    <row r="9376" spans="1:14" ht="12.75" customHeight="1" x14ac:dyDescent="0.25">
      <c r="A9376" s="4"/>
      <c r="B9376" s="4"/>
      <c r="C9376" s="4"/>
      <c r="D9376" s="4"/>
      <c r="E9376" s="4"/>
      <c r="F9376" s="4"/>
      <c r="G9376" s="4"/>
      <c r="H9376" s="4"/>
      <c r="I9376" s="4"/>
      <c r="J9376" s="4"/>
      <c r="K9376" s="396" t="s">
        <v>444</v>
      </c>
      <c r="L9376" s="273"/>
      <c r="M9376" s="394">
        <f>SUM(M9371:N9375)</f>
        <v>0</v>
      </c>
      <c r="N9376" s="273"/>
    </row>
    <row r="9377" spans="1:14" ht="12.75" customHeight="1" x14ac:dyDescent="0.25">
      <c r="A9377" s="4"/>
      <c r="B9377" s="4"/>
      <c r="C9377" s="4"/>
      <c r="D9377" s="4"/>
      <c r="E9377" s="4"/>
      <c r="F9377" s="4"/>
      <c r="G9377" s="4"/>
      <c r="H9377" s="4"/>
      <c r="I9377" s="4"/>
      <c r="J9377" s="4"/>
      <c r="K9377" s="4"/>
      <c r="L9377" s="4"/>
      <c r="M9377" s="4"/>
      <c r="N9377" s="4"/>
    </row>
    <row r="9378" spans="1:14" ht="12.75" customHeight="1" x14ac:dyDescent="0.2">
      <c r="A9378" s="398" t="s">
        <v>931</v>
      </c>
      <c r="B9378" s="271"/>
      <c r="C9378" s="271"/>
      <c r="D9378" s="271"/>
      <c r="E9378" s="271"/>
      <c r="F9378" s="271"/>
      <c r="G9378" s="271"/>
      <c r="H9378" s="271"/>
      <c r="I9378" s="271"/>
      <c r="J9378" s="271"/>
      <c r="K9378" s="271"/>
      <c r="L9378" s="271"/>
      <c r="M9378" s="271"/>
      <c r="N9378" s="273"/>
    </row>
    <row r="9379" spans="1:14" ht="12.75" customHeight="1" x14ac:dyDescent="0.2">
      <c r="A9379" s="396" t="s">
        <v>76</v>
      </c>
      <c r="B9379" s="271"/>
      <c r="C9379" s="271"/>
      <c r="D9379" s="271"/>
      <c r="E9379" s="271"/>
      <c r="F9379" s="271"/>
      <c r="G9379" s="273"/>
      <c r="H9379" s="88" t="s">
        <v>77</v>
      </c>
      <c r="I9379" s="399" t="s">
        <v>920</v>
      </c>
      <c r="J9379" s="273"/>
      <c r="K9379" s="90" t="s">
        <v>514</v>
      </c>
      <c r="L9379" s="91" t="s">
        <v>932</v>
      </c>
      <c r="M9379" s="399" t="s">
        <v>921</v>
      </c>
      <c r="N9379" s="273"/>
    </row>
    <row r="9380" spans="1:14" ht="12.75" customHeight="1" x14ac:dyDescent="0.25">
      <c r="A9380" s="393" t="s">
        <v>986</v>
      </c>
      <c r="B9380" s="271"/>
      <c r="C9380" s="271"/>
      <c r="D9380" s="271"/>
      <c r="E9380" s="271"/>
      <c r="F9380" s="271"/>
      <c r="G9380" s="273"/>
      <c r="H9380" s="29" t="str">
        <f>IF(A9380="","",VLOOKUP(A9380,AA_Cuadrillas,4,FALSE))</f>
        <v>Cuadrilla</v>
      </c>
      <c r="I9380" s="394">
        <f>IF(A9380="","",VLOOKUP(A9380,AA_Cuadrillas,5,FALSE))</f>
        <v>186763</v>
      </c>
      <c r="J9380" s="273"/>
      <c r="K9380" s="9">
        <f>IF(A9380="","",F.P!$I$2)</f>
        <v>1.88</v>
      </c>
      <c r="L9380" s="97">
        <f>1/0.55</f>
        <v>1.8181818181818181</v>
      </c>
      <c r="M9380" s="394">
        <f t="shared" ref="M9380:M9384" si="1269">IF(A9380="","",I9380*K9380*L9380)</f>
        <v>638389.89090909087</v>
      </c>
      <c r="N9380" s="273"/>
    </row>
    <row r="9381" spans="1:14" ht="12.75" customHeight="1" x14ac:dyDescent="0.25">
      <c r="A9381" s="393"/>
      <c r="B9381" s="271"/>
      <c r="C9381" s="271"/>
      <c r="D9381" s="271"/>
      <c r="E9381" s="271"/>
      <c r="F9381" s="271"/>
      <c r="G9381" s="273"/>
      <c r="H9381" s="29" t="str">
        <f>IF(A9381="","",VLOOKUP(A9381,AA_Cuadrillas,4,FALSE))</f>
        <v/>
      </c>
      <c r="I9381" s="394" t="str">
        <f>IF(A9381="","",VLOOKUP(A9381,AA_Cuadrillas,5,FALSE))</f>
        <v/>
      </c>
      <c r="J9381" s="273"/>
      <c r="K9381" s="9" t="str">
        <f>IF(A9381="","",F.P!$I$2)</f>
        <v/>
      </c>
      <c r="L9381" s="9"/>
      <c r="M9381" s="394" t="str">
        <f t="shared" si="1269"/>
        <v/>
      </c>
      <c r="N9381" s="273"/>
    </row>
    <row r="9382" spans="1:14" ht="12.75" customHeight="1" x14ac:dyDescent="0.25">
      <c r="A9382" s="393"/>
      <c r="B9382" s="271"/>
      <c r="C9382" s="271"/>
      <c r="D9382" s="271"/>
      <c r="E9382" s="271"/>
      <c r="F9382" s="271"/>
      <c r="G9382" s="273"/>
      <c r="H9382" s="29" t="str">
        <f>IF(A9382="","",VLOOKUP(A9382,AA_Cuadrillas,4,FALSE))</f>
        <v/>
      </c>
      <c r="I9382" s="394" t="str">
        <f>IF(A9382="","",VLOOKUP(A9382,AA_Cuadrillas,5,FALSE))</f>
        <v/>
      </c>
      <c r="J9382" s="273"/>
      <c r="K9382" s="9" t="str">
        <f>IF(A9382="","",F.P!$I$2)</f>
        <v/>
      </c>
      <c r="L9382" s="37"/>
      <c r="M9382" s="394" t="str">
        <f t="shared" si="1269"/>
        <v/>
      </c>
      <c r="N9382" s="273"/>
    </row>
    <row r="9383" spans="1:14" ht="12.75" customHeight="1" x14ac:dyDescent="0.25">
      <c r="A9383" s="393"/>
      <c r="B9383" s="271"/>
      <c r="C9383" s="271"/>
      <c r="D9383" s="271"/>
      <c r="E9383" s="271"/>
      <c r="F9383" s="271"/>
      <c r="G9383" s="273"/>
      <c r="H9383" s="29" t="str">
        <f>IF(A9383="","",VLOOKUP(A9383,AA_Cuadrillas,4,FALSE))</f>
        <v/>
      </c>
      <c r="I9383" s="394" t="str">
        <f>IF(A9383="","",VLOOKUP(A9383,AA_Cuadrillas,5,FALSE))</f>
        <v/>
      </c>
      <c r="J9383" s="273"/>
      <c r="K9383" s="9" t="str">
        <f>IF(A9383="","",F.P!$I$2)</f>
        <v/>
      </c>
      <c r="L9383" s="37"/>
      <c r="M9383" s="394" t="str">
        <f t="shared" si="1269"/>
        <v/>
      </c>
      <c r="N9383" s="273"/>
    </row>
    <row r="9384" spans="1:14" ht="12.75" customHeight="1" x14ac:dyDescent="0.25">
      <c r="A9384" s="393"/>
      <c r="B9384" s="271"/>
      <c r="C9384" s="271"/>
      <c r="D9384" s="271"/>
      <c r="E9384" s="271"/>
      <c r="F9384" s="271"/>
      <c r="G9384" s="273"/>
      <c r="H9384" s="29" t="str">
        <f>IF(A9384="","",VLOOKUP(A9384,AA_Cuadrillas,4,FALSE))</f>
        <v/>
      </c>
      <c r="I9384" s="394" t="str">
        <f>IF(A9384="","",VLOOKUP(A9384,AA_Cuadrillas,5,FALSE))</f>
        <v/>
      </c>
      <c r="J9384" s="273"/>
      <c r="K9384" s="9" t="str">
        <f>IF(A9384="","",F.P!$I$2)</f>
        <v/>
      </c>
      <c r="L9384" s="37"/>
      <c r="M9384" s="394" t="str">
        <f t="shared" si="1269"/>
        <v/>
      </c>
      <c r="N9384" s="273"/>
    </row>
    <row r="9385" spans="1:14" ht="12.75" customHeight="1" x14ac:dyDescent="0.25">
      <c r="A9385" s="4"/>
      <c r="B9385" s="4"/>
      <c r="C9385" s="4"/>
      <c r="D9385" s="4"/>
      <c r="E9385" s="4"/>
      <c r="F9385" s="4"/>
      <c r="G9385" s="4"/>
      <c r="H9385" s="4"/>
      <c r="I9385" s="4"/>
      <c r="J9385" s="4"/>
      <c r="K9385" s="396" t="s">
        <v>444</v>
      </c>
      <c r="L9385" s="273"/>
      <c r="M9385" s="394">
        <f>SUM(M9380:N9384)</f>
        <v>638389.89090909087</v>
      </c>
      <c r="N9385" s="273"/>
    </row>
    <row r="9386" spans="1:14" ht="12.75" customHeight="1" x14ac:dyDescent="0.25">
      <c r="A9386" s="4"/>
      <c r="B9386" s="4"/>
      <c r="C9386" s="4"/>
      <c r="D9386" s="4"/>
      <c r="E9386" s="4"/>
      <c r="F9386" s="4"/>
      <c r="G9386" s="4"/>
      <c r="H9386" s="4"/>
      <c r="I9386" s="4"/>
      <c r="J9386" s="4"/>
      <c r="K9386" s="4"/>
      <c r="L9386" s="4"/>
      <c r="M9386" s="4"/>
      <c r="N9386" s="4"/>
    </row>
    <row r="9387" spans="1:14" ht="12.75" customHeight="1" x14ac:dyDescent="0.2">
      <c r="A9387" s="407" t="s">
        <v>1459</v>
      </c>
      <c r="B9387" s="275"/>
      <c r="C9387" s="275"/>
      <c r="D9387" s="275"/>
      <c r="E9387" s="275"/>
      <c r="F9387" s="275"/>
      <c r="G9387" s="275"/>
      <c r="H9387" s="275"/>
      <c r="I9387" s="275"/>
      <c r="J9387" s="275"/>
      <c r="K9387" s="275"/>
      <c r="L9387" s="275"/>
      <c r="M9387" s="275"/>
      <c r="N9387" s="276"/>
    </row>
    <row r="9388" spans="1:14" ht="12.75" customHeight="1" x14ac:dyDescent="0.2">
      <c r="A9388" s="277"/>
      <c r="B9388" s="278"/>
      <c r="C9388" s="278"/>
      <c r="D9388" s="278"/>
      <c r="E9388" s="278"/>
      <c r="F9388" s="278"/>
      <c r="G9388" s="278"/>
      <c r="H9388" s="278"/>
      <c r="I9388" s="278"/>
      <c r="J9388" s="278"/>
      <c r="K9388" s="278"/>
      <c r="L9388" s="278"/>
      <c r="M9388" s="278"/>
      <c r="N9388" s="279"/>
    </row>
    <row r="9389" spans="1:14" ht="12.75" customHeight="1" x14ac:dyDescent="0.2">
      <c r="A9389" s="75"/>
      <c r="B9389" s="75"/>
      <c r="C9389" s="75"/>
      <c r="D9389" s="75"/>
      <c r="E9389" s="75"/>
      <c r="F9389" s="75"/>
      <c r="G9389" s="75"/>
      <c r="H9389" s="75"/>
      <c r="I9389" s="75"/>
      <c r="J9389" s="75"/>
      <c r="K9389" s="75"/>
      <c r="L9389" s="75"/>
      <c r="M9389" s="75"/>
      <c r="N9389" s="75"/>
    </row>
    <row r="9390" spans="1:14" ht="12.75" customHeight="1" x14ac:dyDescent="0.3">
      <c r="A9390" s="79" t="s">
        <v>820</v>
      </c>
      <c r="B9390" s="80" t="str">
        <f>A9387</f>
        <v>SUMINISTRO E INSTALACIÓN DE MACROMEDIDOR TIPO WOLTMAN Ø2"</v>
      </c>
      <c r="C9390" s="81" t="s">
        <v>916</v>
      </c>
      <c r="D9390" s="82" t="s">
        <v>999</v>
      </c>
      <c r="E9390" s="83" t="s">
        <v>445</v>
      </c>
      <c r="F9390" s="86">
        <f>H9390+J9390+L9390+N9390</f>
        <v>25796892.267816257</v>
      </c>
      <c r="G9390" s="83" t="s">
        <v>607</v>
      </c>
      <c r="H9390" s="86">
        <f>M9402</f>
        <v>20727680.007816259</v>
      </c>
      <c r="I9390" s="83" t="s">
        <v>918</v>
      </c>
      <c r="J9390" s="86">
        <f>M9411</f>
        <v>241391.06000000003</v>
      </c>
      <c r="K9390" s="83" t="s">
        <v>609</v>
      </c>
      <c r="L9390" s="86">
        <f>M9420</f>
        <v>0</v>
      </c>
      <c r="M9390" s="83" t="s">
        <v>610</v>
      </c>
      <c r="N9390" s="86">
        <f>M9429</f>
        <v>4827821.2</v>
      </c>
    </row>
    <row r="9391" spans="1:14" ht="12.75" customHeight="1" x14ac:dyDescent="0.25">
      <c r="A9391" s="87"/>
      <c r="B9391" s="87"/>
      <c r="C9391" s="87"/>
      <c r="D9391" s="87"/>
      <c r="E9391" s="87"/>
      <c r="F9391" s="87"/>
      <c r="G9391" s="87"/>
      <c r="J9391" s="87"/>
      <c r="K9391" s="215" t="s">
        <v>3217</v>
      </c>
      <c r="L9391" s="215">
        <f>+F9390*presup!$O$5</f>
        <v>33535959.948161136</v>
      </c>
      <c r="M9391" s="87"/>
      <c r="N9391" s="87"/>
    </row>
    <row r="9392" spans="1:14" ht="12.75" customHeight="1" x14ac:dyDescent="0.2">
      <c r="A9392" s="398" t="s">
        <v>919</v>
      </c>
      <c r="B9392" s="271"/>
      <c r="C9392" s="271"/>
      <c r="D9392" s="271"/>
      <c r="E9392" s="271"/>
      <c r="F9392" s="271"/>
      <c r="G9392" s="271"/>
      <c r="H9392" s="271"/>
      <c r="I9392" s="271"/>
      <c r="J9392" s="271"/>
      <c r="K9392" s="271"/>
      <c r="L9392" s="271"/>
      <c r="M9392" s="271"/>
      <c r="N9392" s="273"/>
    </row>
    <row r="9393" spans="1:14" ht="12.75" customHeight="1" x14ac:dyDescent="0.2">
      <c r="A9393" s="396" t="s">
        <v>76</v>
      </c>
      <c r="B9393" s="271"/>
      <c r="C9393" s="271"/>
      <c r="D9393" s="271"/>
      <c r="E9393" s="271"/>
      <c r="F9393" s="271"/>
      <c r="G9393" s="273"/>
      <c r="H9393" s="88" t="s">
        <v>77</v>
      </c>
      <c r="I9393" s="399" t="s">
        <v>920</v>
      </c>
      <c r="J9393" s="273"/>
      <c r="K9393" s="399" t="s">
        <v>453</v>
      </c>
      <c r="L9393" s="273"/>
      <c r="M9393" s="399" t="s">
        <v>921</v>
      </c>
      <c r="N9393" s="273"/>
    </row>
    <row r="9394" spans="1:14" ht="12.75" customHeight="1" x14ac:dyDescent="0.2">
      <c r="A9394" s="400" t="s">
        <v>1460</v>
      </c>
      <c r="B9394" s="271"/>
      <c r="C9394" s="271"/>
      <c r="D9394" s="271"/>
      <c r="E9394" s="271"/>
      <c r="F9394" s="271"/>
      <c r="G9394" s="273"/>
      <c r="H9394" s="29" t="str">
        <f t="shared" ref="H9394:H9401" si="1270">IF(A9394="","",VLOOKUP(A9394,AA_Materiales,7,FALSE))</f>
        <v>Unidad</v>
      </c>
      <c r="I9394" s="394">
        <f t="shared" ref="I9394:I9401" si="1271">IF(A9394="","",VLOOKUP(A9394,AA_Materiales,8,FALSE))</f>
        <v>1500000</v>
      </c>
      <c r="J9394" s="273"/>
      <c r="K9394" s="395">
        <v>1</v>
      </c>
      <c r="L9394" s="273"/>
      <c r="M9394" s="394">
        <f t="shared" ref="M9394:M9401" si="1272">IF(A9394="","",I9394*K9394)</f>
        <v>1500000</v>
      </c>
      <c r="N9394" s="273"/>
    </row>
    <row r="9395" spans="1:14" ht="12.75" customHeight="1" x14ac:dyDescent="0.2">
      <c r="A9395" s="400" t="s">
        <v>1214</v>
      </c>
      <c r="B9395" s="271"/>
      <c r="C9395" s="271"/>
      <c r="D9395" s="271"/>
      <c r="E9395" s="271"/>
      <c r="F9395" s="271"/>
      <c r="G9395" s="273"/>
      <c r="H9395" s="29" t="str">
        <f t="shared" si="1270"/>
        <v>Unidad</v>
      </c>
      <c r="I9395" s="394">
        <f t="shared" si="1271"/>
        <v>1600000</v>
      </c>
      <c r="J9395" s="273"/>
      <c r="K9395" s="395">
        <v>1</v>
      </c>
      <c r="L9395" s="273"/>
      <c r="M9395" s="394">
        <f t="shared" si="1272"/>
        <v>1600000</v>
      </c>
      <c r="N9395" s="273"/>
    </row>
    <row r="9396" spans="1:14" ht="12.75" customHeight="1" x14ac:dyDescent="0.2">
      <c r="A9396" s="400" t="s">
        <v>1215</v>
      </c>
      <c r="B9396" s="271"/>
      <c r="C9396" s="271"/>
      <c r="D9396" s="271"/>
      <c r="E9396" s="271"/>
      <c r="F9396" s="271"/>
      <c r="G9396" s="273"/>
      <c r="H9396" s="29" t="str">
        <f t="shared" si="1270"/>
        <v>m3</v>
      </c>
      <c r="I9396" s="394">
        <f t="shared" si="1271"/>
        <v>790161.82467906782</v>
      </c>
      <c r="J9396" s="273"/>
      <c r="K9396" s="395">
        <v>10.45</v>
      </c>
      <c r="L9396" s="273"/>
      <c r="M9396" s="394">
        <f t="shared" si="1272"/>
        <v>8257191.0678962581</v>
      </c>
      <c r="N9396" s="273"/>
    </row>
    <row r="9397" spans="1:14" ht="12.75" customHeight="1" x14ac:dyDescent="0.2">
      <c r="A9397" s="400" t="s">
        <v>970</v>
      </c>
      <c r="B9397" s="271"/>
      <c r="C9397" s="271"/>
      <c r="D9397" s="271"/>
      <c r="E9397" s="271"/>
      <c r="F9397" s="271"/>
      <c r="G9397" s="273"/>
      <c r="H9397" s="29" t="str">
        <f t="shared" si="1270"/>
        <v>Kg</v>
      </c>
      <c r="I9397" s="394">
        <f t="shared" si="1271"/>
        <v>5883.1369999999997</v>
      </c>
      <c r="J9397" s="273"/>
      <c r="K9397" s="395">
        <v>836.16</v>
      </c>
      <c r="L9397" s="273"/>
      <c r="M9397" s="394">
        <f t="shared" si="1272"/>
        <v>4919243.8339199992</v>
      </c>
      <c r="N9397" s="273"/>
    </row>
    <row r="9398" spans="1:14" ht="12.75" customHeight="1" x14ac:dyDescent="0.2">
      <c r="A9398" s="400" t="s">
        <v>1216</v>
      </c>
      <c r="B9398" s="271"/>
      <c r="C9398" s="271"/>
      <c r="D9398" s="271"/>
      <c r="E9398" s="271"/>
      <c r="F9398" s="271"/>
      <c r="G9398" s="273"/>
      <c r="H9398" s="29" t="str">
        <f t="shared" si="1270"/>
        <v>Unidad</v>
      </c>
      <c r="I9398" s="394">
        <f t="shared" si="1271"/>
        <v>276410.71000000002</v>
      </c>
      <c r="J9398" s="273"/>
      <c r="K9398" s="395">
        <v>2</v>
      </c>
      <c r="L9398" s="273"/>
      <c r="M9398" s="394">
        <f t="shared" si="1272"/>
        <v>552821.42000000004</v>
      </c>
      <c r="N9398" s="273"/>
    </row>
    <row r="9399" spans="1:14" ht="12.75" customHeight="1" x14ac:dyDescent="0.2">
      <c r="A9399" s="400" t="s">
        <v>1217</v>
      </c>
      <c r="B9399" s="271"/>
      <c r="C9399" s="271"/>
      <c r="D9399" s="271"/>
      <c r="E9399" s="271"/>
      <c r="F9399" s="271"/>
      <c r="G9399" s="273"/>
      <c r="H9399" s="29" t="str">
        <f t="shared" si="1270"/>
        <v>Unidad</v>
      </c>
      <c r="I9399" s="394">
        <f t="shared" si="1271"/>
        <v>291900</v>
      </c>
      <c r="J9399" s="273"/>
      <c r="K9399" s="395">
        <v>8</v>
      </c>
      <c r="L9399" s="273"/>
      <c r="M9399" s="394">
        <f t="shared" si="1272"/>
        <v>2335200</v>
      </c>
      <c r="N9399" s="273"/>
    </row>
    <row r="9400" spans="1:14" ht="12.75" customHeight="1" x14ac:dyDescent="0.2">
      <c r="A9400" s="400" t="s">
        <v>1218</v>
      </c>
      <c r="B9400" s="271"/>
      <c r="C9400" s="271"/>
      <c r="D9400" s="271"/>
      <c r="E9400" s="271"/>
      <c r="F9400" s="271"/>
      <c r="G9400" s="273"/>
      <c r="H9400" s="29" t="str">
        <f t="shared" si="1270"/>
        <v>Kg</v>
      </c>
      <c r="I9400" s="394">
        <f t="shared" si="1271"/>
        <v>11869.58</v>
      </c>
      <c r="J9400" s="273"/>
      <c r="K9400" s="395">
        <v>131.69999999999999</v>
      </c>
      <c r="L9400" s="273"/>
      <c r="M9400" s="394">
        <f t="shared" si="1272"/>
        <v>1563223.6859999998</v>
      </c>
      <c r="N9400" s="273"/>
    </row>
    <row r="9401" spans="1:14" ht="12.75" customHeight="1" x14ac:dyDescent="0.2">
      <c r="A9401" s="400"/>
      <c r="B9401" s="271"/>
      <c r="C9401" s="271"/>
      <c r="D9401" s="271"/>
      <c r="E9401" s="271"/>
      <c r="F9401" s="271"/>
      <c r="G9401" s="273"/>
      <c r="H9401" s="29" t="str">
        <f t="shared" si="1270"/>
        <v/>
      </c>
      <c r="I9401" s="394" t="str">
        <f t="shared" si="1271"/>
        <v/>
      </c>
      <c r="J9401" s="273"/>
      <c r="K9401" s="395"/>
      <c r="L9401" s="273"/>
      <c r="M9401" s="394" t="str">
        <f t="shared" si="1272"/>
        <v/>
      </c>
      <c r="N9401" s="273"/>
    </row>
    <row r="9402" spans="1:14" ht="12.75" customHeight="1" x14ac:dyDescent="0.25">
      <c r="A9402" s="4"/>
      <c r="B9402" s="4"/>
      <c r="C9402" s="4"/>
      <c r="D9402" s="4"/>
      <c r="E9402" s="4"/>
      <c r="F9402" s="4"/>
      <c r="G9402" s="4"/>
      <c r="H9402" s="4"/>
      <c r="I9402" s="4"/>
      <c r="J9402" s="4"/>
      <c r="K9402" s="396" t="s">
        <v>444</v>
      </c>
      <c r="L9402" s="273"/>
      <c r="M9402" s="394">
        <f>SUM(M9394:N9401)</f>
        <v>20727680.007816259</v>
      </c>
      <c r="N9402" s="273"/>
    </row>
    <row r="9403" spans="1:14" ht="12.75" customHeight="1" x14ac:dyDescent="0.25">
      <c r="A9403" s="4"/>
      <c r="B9403" s="4"/>
      <c r="C9403" s="4"/>
      <c r="D9403" s="4"/>
      <c r="E9403" s="4"/>
      <c r="F9403" s="4"/>
      <c r="G9403" s="4"/>
      <c r="H9403" s="4"/>
      <c r="I9403" s="4"/>
      <c r="J9403" s="4"/>
      <c r="K9403" s="4"/>
      <c r="L9403" s="4"/>
      <c r="M9403" s="4"/>
      <c r="N9403" s="4"/>
    </row>
    <row r="9404" spans="1:14" ht="12.75" customHeight="1" x14ac:dyDescent="0.2">
      <c r="A9404" s="398" t="s">
        <v>926</v>
      </c>
      <c r="B9404" s="271"/>
      <c r="C9404" s="271"/>
      <c r="D9404" s="271"/>
      <c r="E9404" s="271"/>
      <c r="F9404" s="271"/>
      <c r="G9404" s="271"/>
      <c r="H9404" s="271"/>
      <c r="I9404" s="271"/>
      <c r="J9404" s="271"/>
      <c r="K9404" s="271"/>
      <c r="L9404" s="271"/>
      <c r="M9404" s="271"/>
      <c r="N9404" s="273"/>
    </row>
    <row r="9405" spans="1:14" ht="12.75" customHeight="1" x14ac:dyDescent="0.2">
      <c r="A9405" s="396" t="s">
        <v>76</v>
      </c>
      <c r="B9405" s="271"/>
      <c r="C9405" s="271"/>
      <c r="D9405" s="271"/>
      <c r="E9405" s="271"/>
      <c r="F9405" s="271"/>
      <c r="G9405" s="273"/>
      <c r="H9405" s="88" t="s">
        <v>77</v>
      </c>
      <c r="I9405" s="399" t="s">
        <v>920</v>
      </c>
      <c r="J9405" s="273"/>
      <c r="K9405" s="399" t="s">
        <v>453</v>
      </c>
      <c r="L9405" s="273"/>
      <c r="M9405" s="399" t="s">
        <v>921</v>
      </c>
      <c r="N9405" s="273"/>
    </row>
    <row r="9406" spans="1:14" ht="12.75" customHeight="1" x14ac:dyDescent="0.2">
      <c r="A9406" s="400" t="s">
        <v>927</v>
      </c>
      <c r="B9406" s="271"/>
      <c r="C9406" s="271"/>
      <c r="D9406" s="271"/>
      <c r="E9406" s="271"/>
      <c r="F9406" s="271"/>
      <c r="G9406" s="273"/>
      <c r="H9406" s="29" t="str">
        <f>IF(A9406="","",VLOOKUP(A9406,AA_Equipos,7,FALSE))</f>
        <v>% M.O.</v>
      </c>
      <c r="I9406" s="394">
        <f>+M9429</f>
        <v>4827821.2</v>
      </c>
      <c r="J9406" s="273"/>
      <c r="K9406" s="404">
        <v>0.05</v>
      </c>
      <c r="L9406" s="273"/>
      <c r="M9406" s="394">
        <f t="shared" ref="M9406:M9410" si="1273">IF(A9406="","",I9406*K9406)</f>
        <v>241391.06000000003</v>
      </c>
      <c r="N9406" s="273"/>
    </row>
    <row r="9407" spans="1:14" ht="12.75" customHeight="1" x14ac:dyDescent="0.2">
      <c r="A9407" s="403"/>
      <c r="B9407" s="271"/>
      <c r="C9407" s="271"/>
      <c r="D9407" s="271"/>
      <c r="E9407" s="271"/>
      <c r="F9407" s="271"/>
      <c r="G9407" s="273"/>
      <c r="H9407" s="29" t="str">
        <f>IF(A9407="","",VLOOKUP(A9407,AA_Equipos,7,FALSE))</f>
        <v/>
      </c>
      <c r="I9407" s="394" t="str">
        <f>IF(A9407="","",VLOOKUP(A9407,AA_Equipos,8,FALSE))</f>
        <v/>
      </c>
      <c r="J9407" s="273"/>
      <c r="K9407" s="402"/>
      <c r="L9407" s="273"/>
      <c r="M9407" s="394" t="str">
        <f t="shared" si="1273"/>
        <v/>
      </c>
      <c r="N9407" s="273"/>
    </row>
    <row r="9408" spans="1:14" ht="12.75" customHeight="1" x14ac:dyDescent="0.2">
      <c r="A9408" s="400"/>
      <c r="B9408" s="271"/>
      <c r="C9408" s="271"/>
      <c r="D9408" s="271"/>
      <c r="E9408" s="271"/>
      <c r="F9408" s="271"/>
      <c r="G9408" s="273"/>
      <c r="H9408" s="29" t="str">
        <f>IF(A9408="","",VLOOKUP(A9408,AA_Equipos,7,FALSE))</f>
        <v/>
      </c>
      <c r="I9408" s="394"/>
      <c r="J9408" s="273"/>
      <c r="K9408" s="404"/>
      <c r="L9408" s="273"/>
      <c r="M9408" s="394" t="str">
        <f t="shared" si="1273"/>
        <v/>
      </c>
      <c r="N9408" s="273"/>
    </row>
    <row r="9409" spans="1:14" ht="12.75" customHeight="1" x14ac:dyDescent="0.2">
      <c r="A9409" s="400"/>
      <c r="B9409" s="271"/>
      <c r="C9409" s="271"/>
      <c r="D9409" s="271"/>
      <c r="E9409" s="271"/>
      <c r="F9409" s="271"/>
      <c r="G9409" s="273"/>
      <c r="H9409" s="29" t="str">
        <f>IF(A9409="","",VLOOKUP(A9409,AA_Equipos,7,FALSE))</f>
        <v/>
      </c>
      <c r="I9409" s="394" t="str">
        <f>IF(A9409="","",VLOOKUP(A9409,AA_Equipos,8,FALSE))</f>
        <v/>
      </c>
      <c r="J9409" s="273"/>
      <c r="K9409" s="395"/>
      <c r="L9409" s="273"/>
      <c r="M9409" s="394" t="str">
        <f t="shared" si="1273"/>
        <v/>
      </c>
      <c r="N9409" s="273"/>
    </row>
    <row r="9410" spans="1:14" ht="12.75" customHeight="1" x14ac:dyDescent="0.2">
      <c r="A9410" s="400"/>
      <c r="B9410" s="271"/>
      <c r="C9410" s="271"/>
      <c r="D9410" s="271"/>
      <c r="E9410" s="271"/>
      <c r="F9410" s="271"/>
      <c r="G9410" s="273"/>
      <c r="H9410" s="29" t="str">
        <f>IF(A9410="","",VLOOKUP(A9410,AA_Equipos,7,FALSE))</f>
        <v/>
      </c>
      <c r="I9410" s="394" t="str">
        <f>IF(A9410="","",VLOOKUP(A9410,AA_Equipos,8,FALSE))</f>
        <v/>
      </c>
      <c r="J9410" s="273"/>
      <c r="K9410" s="395"/>
      <c r="L9410" s="273"/>
      <c r="M9410" s="394" t="str">
        <f t="shared" si="1273"/>
        <v/>
      </c>
      <c r="N9410" s="273"/>
    </row>
    <row r="9411" spans="1:14" ht="12.75" customHeight="1" x14ac:dyDescent="0.25">
      <c r="A9411" s="4"/>
      <c r="B9411" s="4"/>
      <c r="C9411" s="4"/>
      <c r="D9411" s="4"/>
      <c r="E9411" s="4"/>
      <c r="F9411" s="4"/>
      <c r="G9411" s="4"/>
      <c r="H9411" s="4"/>
      <c r="I9411" s="4"/>
      <c r="J9411" s="4"/>
      <c r="K9411" s="396" t="s">
        <v>444</v>
      </c>
      <c r="L9411" s="273"/>
      <c r="M9411" s="394">
        <f>SUM(M9406:N9410)</f>
        <v>241391.06000000003</v>
      </c>
      <c r="N9411" s="273"/>
    </row>
    <row r="9412" spans="1:14" ht="12.75" customHeight="1" x14ac:dyDescent="0.25">
      <c r="A9412" s="4"/>
      <c r="B9412" s="4"/>
      <c r="C9412" s="4"/>
      <c r="D9412" s="4"/>
      <c r="E9412" s="4"/>
      <c r="F9412" s="4"/>
      <c r="G9412" s="4"/>
      <c r="H9412" s="4"/>
      <c r="I9412" s="4"/>
      <c r="J9412" s="4"/>
      <c r="K9412" s="4"/>
      <c r="L9412" s="4"/>
      <c r="M9412" s="4"/>
      <c r="N9412" s="4"/>
    </row>
    <row r="9413" spans="1:14" ht="12.75" customHeight="1" x14ac:dyDescent="0.2">
      <c r="A9413" s="398" t="s">
        <v>929</v>
      </c>
      <c r="B9413" s="271"/>
      <c r="C9413" s="271"/>
      <c r="D9413" s="271"/>
      <c r="E9413" s="271"/>
      <c r="F9413" s="271"/>
      <c r="G9413" s="271"/>
      <c r="H9413" s="271"/>
      <c r="I9413" s="271"/>
      <c r="J9413" s="271"/>
      <c r="K9413" s="271"/>
      <c r="L9413" s="271"/>
      <c r="M9413" s="271"/>
      <c r="N9413" s="273"/>
    </row>
    <row r="9414" spans="1:14" ht="12.75" customHeight="1" x14ac:dyDescent="0.2">
      <c r="A9414" s="396" t="s">
        <v>76</v>
      </c>
      <c r="B9414" s="271"/>
      <c r="C9414" s="271"/>
      <c r="D9414" s="271"/>
      <c r="E9414" s="271"/>
      <c r="F9414" s="271"/>
      <c r="G9414" s="273"/>
      <c r="H9414" s="88" t="s">
        <v>77</v>
      </c>
      <c r="I9414" s="399" t="s">
        <v>920</v>
      </c>
      <c r="J9414" s="273"/>
      <c r="K9414" s="399" t="s">
        <v>453</v>
      </c>
      <c r="L9414" s="273"/>
      <c r="M9414" s="399" t="s">
        <v>921</v>
      </c>
      <c r="N9414" s="273"/>
    </row>
    <row r="9415" spans="1:14" ht="12.75" customHeight="1" x14ac:dyDescent="0.2">
      <c r="A9415" s="400"/>
      <c r="B9415" s="271"/>
      <c r="C9415" s="271"/>
      <c r="D9415" s="271"/>
      <c r="E9415" s="271"/>
      <c r="F9415" s="271"/>
      <c r="G9415" s="273"/>
      <c r="H9415" s="29"/>
      <c r="I9415" s="394"/>
      <c r="J9415" s="273"/>
      <c r="K9415" s="404"/>
      <c r="L9415" s="273"/>
      <c r="M9415" s="394" t="str">
        <f t="shared" ref="M9415:M9419" si="1274">IF(A9415="","",I9415*K9415)</f>
        <v/>
      </c>
      <c r="N9415" s="273"/>
    </row>
    <row r="9416" spans="1:14" ht="12.75" customHeight="1" x14ac:dyDescent="0.2">
      <c r="A9416" s="403"/>
      <c r="B9416" s="271"/>
      <c r="C9416" s="271"/>
      <c r="D9416" s="271"/>
      <c r="E9416" s="271"/>
      <c r="F9416" s="271"/>
      <c r="G9416" s="273"/>
      <c r="H9416" s="29"/>
      <c r="I9416" s="394"/>
      <c r="J9416" s="273"/>
      <c r="K9416" s="404"/>
      <c r="L9416" s="273"/>
      <c r="M9416" s="394" t="str">
        <f t="shared" si="1274"/>
        <v/>
      </c>
      <c r="N9416" s="273"/>
    </row>
    <row r="9417" spans="1:14" ht="12.75" customHeight="1" x14ac:dyDescent="0.2">
      <c r="A9417" s="400"/>
      <c r="B9417" s="271"/>
      <c r="C9417" s="271"/>
      <c r="D9417" s="271"/>
      <c r="E9417" s="271"/>
      <c r="F9417" s="271"/>
      <c r="G9417" s="273"/>
      <c r="H9417" s="29"/>
      <c r="I9417" s="394"/>
      <c r="J9417" s="273"/>
      <c r="K9417" s="395"/>
      <c r="L9417" s="273"/>
      <c r="M9417" s="394" t="str">
        <f t="shared" si="1274"/>
        <v/>
      </c>
      <c r="N9417" s="273"/>
    </row>
    <row r="9418" spans="1:14" ht="12.75" customHeight="1" x14ac:dyDescent="0.2">
      <c r="A9418" s="400"/>
      <c r="B9418" s="271"/>
      <c r="C9418" s="271"/>
      <c r="D9418" s="271"/>
      <c r="E9418" s="271"/>
      <c r="F9418" s="271"/>
      <c r="G9418" s="273"/>
      <c r="H9418" s="29"/>
      <c r="I9418" s="394"/>
      <c r="J9418" s="273"/>
      <c r="K9418" s="395"/>
      <c r="L9418" s="273"/>
      <c r="M9418" s="394" t="str">
        <f t="shared" si="1274"/>
        <v/>
      </c>
      <c r="N9418" s="273"/>
    </row>
    <row r="9419" spans="1:14" ht="12.75" customHeight="1" x14ac:dyDescent="0.2">
      <c r="A9419" s="400"/>
      <c r="B9419" s="271"/>
      <c r="C9419" s="271"/>
      <c r="D9419" s="271"/>
      <c r="E9419" s="271"/>
      <c r="F9419" s="271"/>
      <c r="G9419" s="273"/>
      <c r="H9419" s="29"/>
      <c r="I9419" s="394"/>
      <c r="J9419" s="273"/>
      <c r="K9419" s="395"/>
      <c r="L9419" s="273"/>
      <c r="M9419" s="394" t="str">
        <f t="shared" si="1274"/>
        <v/>
      </c>
      <c r="N9419" s="273"/>
    </row>
    <row r="9420" spans="1:14" ht="12.75" customHeight="1" x14ac:dyDescent="0.25">
      <c r="A9420" s="4"/>
      <c r="B9420" s="4"/>
      <c r="C9420" s="4"/>
      <c r="D9420" s="4"/>
      <c r="E9420" s="4"/>
      <c r="F9420" s="4"/>
      <c r="G9420" s="4"/>
      <c r="H9420" s="4"/>
      <c r="I9420" s="4"/>
      <c r="J9420" s="4"/>
      <c r="K9420" s="396" t="s">
        <v>444</v>
      </c>
      <c r="L9420" s="273"/>
      <c r="M9420" s="394">
        <f>SUM(M9415:N9419)</f>
        <v>0</v>
      </c>
      <c r="N9420" s="273"/>
    </row>
    <row r="9421" spans="1:14" ht="12.75" customHeight="1" x14ac:dyDescent="0.25">
      <c r="A9421" s="4"/>
      <c r="B9421" s="4"/>
      <c r="C9421" s="4"/>
      <c r="D9421" s="4"/>
      <c r="E9421" s="4"/>
      <c r="F9421" s="4"/>
      <c r="G9421" s="4"/>
      <c r="H9421" s="4"/>
      <c r="I9421" s="4"/>
      <c r="J9421" s="4"/>
      <c r="K9421" s="4"/>
      <c r="L9421" s="4"/>
      <c r="M9421" s="4"/>
      <c r="N9421" s="4"/>
    </row>
    <row r="9422" spans="1:14" ht="12.75" customHeight="1" x14ac:dyDescent="0.2">
      <c r="A9422" s="398" t="s">
        <v>931</v>
      </c>
      <c r="B9422" s="271"/>
      <c r="C9422" s="271"/>
      <c r="D9422" s="271"/>
      <c r="E9422" s="271"/>
      <c r="F9422" s="271"/>
      <c r="G9422" s="271"/>
      <c r="H9422" s="271"/>
      <c r="I9422" s="271"/>
      <c r="J9422" s="271"/>
      <c r="K9422" s="271"/>
      <c r="L9422" s="271"/>
      <c r="M9422" s="271"/>
      <c r="N9422" s="273"/>
    </row>
    <row r="9423" spans="1:14" ht="12.75" customHeight="1" x14ac:dyDescent="0.2">
      <c r="A9423" s="396" t="s">
        <v>76</v>
      </c>
      <c r="B9423" s="271"/>
      <c r="C9423" s="271"/>
      <c r="D9423" s="271"/>
      <c r="E9423" s="271"/>
      <c r="F9423" s="271"/>
      <c r="G9423" s="273"/>
      <c r="H9423" s="88" t="s">
        <v>77</v>
      </c>
      <c r="I9423" s="399" t="s">
        <v>920</v>
      </c>
      <c r="J9423" s="273"/>
      <c r="K9423" s="90" t="s">
        <v>514</v>
      </c>
      <c r="L9423" s="91" t="s">
        <v>932</v>
      </c>
      <c r="M9423" s="399" t="s">
        <v>921</v>
      </c>
      <c r="N9423" s="273"/>
    </row>
    <row r="9424" spans="1:14" ht="12.75" customHeight="1" x14ac:dyDescent="0.25">
      <c r="A9424" s="393" t="s">
        <v>1106</v>
      </c>
      <c r="B9424" s="271"/>
      <c r="C9424" s="271"/>
      <c r="D9424" s="271"/>
      <c r="E9424" s="271"/>
      <c r="F9424" s="271"/>
      <c r="G9424" s="273"/>
      <c r="H9424" s="29" t="str">
        <f>IF(A9424="","",VLOOKUP(A9424,AA_Cuadrillas,4,FALSE))</f>
        <v>Cuadrilla</v>
      </c>
      <c r="I9424" s="394">
        <f>IF(A9424="","",VLOOKUP(A9424,AA_Cuadrillas,5,FALSE))</f>
        <v>256799</v>
      </c>
      <c r="J9424" s="273"/>
      <c r="K9424" s="9">
        <f>IF(A9424="","",F.P!$I$2)</f>
        <v>1.88</v>
      </c>
      <c r="L9424" s="93">
        <f>1/0.1</f>
        <v>10</v>
      </c>
      <c r="M9424" s="394">
        <f t="shared" ref="M9424:M9428" si="1275">IF(A9424="","",I9424*K9424*L9424)</f>
        <v>4827821.2</v>
      </c>
      <c r="N9424" s="273"/>
    </row>
    <row r="9425" spans="1:14" ht="12.75" customHeight="1" x14ac:dyDescent="0.25">
      <c r="A9425" s="393"/>
      <c r="B9425" s="271"/>
      <c r="C9425" s="271"/>
      <c r="D9425" s="271"/>
      <c r="E9425" s="271"/>
      <c r="F9425" s="271"/>
      <c r="G9425" s="273"/>
      <c r="H9425" s="29" t="str">
        <f>IF(A9425="","",VLOOKUP(A9425,AA_Cuadrillas,4,FALSE))</f>
        <v/>
      </c>
      <c r="I9425" s="394" t="str">
        <f>IF(A9425="","",VLOOKUP(A9425,AA_Cuadrillas,5,FALSE))</f>
        <v/>
      </c>
      <c r="J9425" s="273"/>
      <c r="K9425" s="9" t="str">
        <f>IF(A9425="","",F.P!$I$2)</f>
        <v/>
      </c>
      <c r="L9425" s="9"/>
      <c r="M9425" s="394" t="str">
        <f t="shared" si="1275"/>
        <v/>
      </c>
      <c r="N9425" s="273"/>
    </row>
    <row r="9426" spans="1:14" ht="12.75" customHeight="1" x14ac:dyDescent="0.25">
      <c r="A9426" s="393"/>
      <c r="B9426" s="271"/>
      <c r="C9426" s="271"/>
      <c r="D9426" s="271"/>
      <c r="E9426" s="271"/>
      <c r="F9426" s="271"/>
      <c r="G9426" s="273"/>
      <c r="H9426" s="29" t="str">
        <f>IF(A9426="","",VLOOKUP(A9426,AA_Cuadrillas,4,FALSE))</f>
        <v/>
      </c>
      <c r="I9426" s="394" t="str">
        <f>IF(A9426="","",VLOOKUP(A9426,AA_Cuadrillas,5,FALSE))</f>
        <v/>
      </c>
      <c r="J9426" s="273"/>
      <c r="K9426" s="9" t="str">
        <f>IF(A9426="","",F.P!$I$2)</f>
        <v/>
      </c>
      <c r="L9426" s="37"/>
      <c r="M9426" s="394" t="str">
        <f t="shared" si="1275"/>
        <v/>
      </c>
      <c r="N9426" s="273"/>
    </row>
    <row r="9427" spans="1:14" ht="12.75" customHeight="1" x14ac:dyDescent="0.25">
      <c r="A9427" s="393"/>
      <c r="B9427" s="271"/>
      <c r="C9427" s="271"/>
      <c r="D9427" s="271"/>
      <c r="E9427" s="271"/>
      <c r="F9427" s="271"/>
      <c r="G9427" s="273"/>
      <c r="H9427" s="29" t="str">
        <f>IF(A9427="","",VLOOKUP(A9427,AA_Cuadrillas,4,FALSE))</f>
        <v/>
      </c>
      <c r="I9427" s="394" t="str">
        <f>IF(A9427="","",VLOOKUP(A9427,AA_Cuadrillas,5,FALSE))</f>
        <v/>
      </c>
      <c r="J9427" s="273"/>
      <c r="K9427" s="9" t="str">
        <f>IF(A9427="","",F.P!$I$2)</f>
        <v/>
      </c>
      <c r="L9427" s="37"/>
      <c r="M9427" s="394" t="str">
        <f t="shared" si="1275"/>
        <v/>
      </c>
      <c r="N9427" s="273"/>
    </row>
    <row r="9428" spans="1:14" ht="12.75" customHeight="1" x14ac:dyDescent="0.25">
      <c r="A9428" s="393"/>
      <c r="B9428" s="271"/>
      <c r="C9428" s="271"/>
      <c r="D9428" s="271"/>
      <c r="E9428" s="271"/>
      <c r="F9428" s="271"/>
      <c r="G9428" s="273"/>
      <c r="H9428" s="29" t="str">
        <f>IF(A9428="","",VLOOKUP(A9428,AA_Cuadrillas,4,FALSE))</f>
        <v/>
      </c>
      <c r="I9428" s="394" t="str">
        <f>IF(A9428="","",VLOOKUP(A9428,AA_Cuadrillas,5,FALSE))</f>
        <v/>
      </c>
      <c r="J9428" s="273"/>
      <c r="K9428" s="9" t="str">
        <f>IF(A9428="","",F.P!$I$2)</f>
        <v/>
      </c>
      <c r="L9428" s="37"/>
      <c r="M9428" s="394" t="str">
        <f t="shared" si="1275"/>
        <v/>
      </c>
      <c r="N9428" s="273"/>
    </row>
    <row r="9429" spans="1:14" ht="12.75" customHeight="1" x14ac:dyDescent="0.25">
      <c r="A9429" s="4"/>
      <c r="B9429" s="4"/>
      <c r="C9429" s="4"/>
      <c r="D9429" s="4"/>
      <c r="E9429" s="4"/>
      <c r="F9429" s="4"/>
      <c r="G9429" s="4"/>
      <c r="H9429" s="4"/>
      <c r="I9429" s="4"/>
      <c r="J9429" s="4"/>
      <c r="K9429" s="396" t="s">
        <v>444</v>
      </c>
      <c r="L9429" s="273"/>
      <c r="M9429" s="394">
        <f>SUM(M9424:N9428)</f>
        <v>4827821.2</v>
      </c>
      <c r="N9429" s="273"/>
    </row>
    <row r="9430" spans="1:14" ht="12.75" customHeight="1" x14ac:dyDescent="0.25">
      <c r="A9430" s="4"/>
      <c r="B9430" s="4"/>
      <c r="C9430" s="4"/>
      <c r="D9430" s="4"/>
      <c r="E9430" s="4"/>
      <c r="F9430" s="4"/>
      <c r="G9430" s="4"/>
      <c r="H9430" s="4"/>
      <c r="I9430" s="4"/>
      <c r="J9430" s="4"/>
      <c r="K9430" s="4"/>
      <c r="L9430" s="4"/>
      <c r="M9430" s="4"/>
      <c r="N9430" s="4"/>
    </row>
    <row r="9431" spans="1:14" ht="12.75" customHeight="1" x14ac:dyDescent="0.2">
      <c r="A9431" s="397" t="s">
        <v>1461</v>
      </c>
      <c r="B9431" s="275"/>
      <c r="C9431" s="275"/>
      <c r="D9431" s="275"/>
      <c r="E9431" s="275"/>
      <c r="F9431" s="275"/>
      <c r="G9431" s="275"/>
      <c r="H9431" s="275"/>
      <c r="I9431" s="275"/>
      <c r="J9431" s="275"/>
      <c r="K9431" s="275"/>
      <c r="L9431" s="275"/>
      <c r="M9431" s="275"/>
      <c r="N9431" s="276"/>
    </row>
    <row r="9432" spans="1:14" ht="12.75" customHeight="1" x14ac:dyDescent="0.2">
      <c r="A9432" s="277"/>
      <c r="B9432" s="278"/>
      <c r="C9432" s="278"/>
      <c r="D9432" s="278"/>
      <c r="E9432" s="278"/>
      <c r="F9432" s="278"/>
      <c r="G9432" s="278"/>
      <c r="H9432" s="278"/>
      <c r="I9432" s="278"/>
      <c r="J9432" s="278"/>
      <c r="K9432" s="278"/>
      <c r="L9432" s="278"/>
      <c r="M9432" s="278"/>
      <c r="N9432" s="279"/>
    </row>
    <row r="9433" spans="1:14" ht="12.75" customHeight="1" x14ac:dyDescent="0.2">
      <c r="A9433" s="75"/>
      <c r="B9433" s="75"/>
      <c r="C9433" s="75"/>
      <c r="D9433" s="75"/>
      <c r="E9433" s="75"/>
      <c r="F9433" s="75"/>
      <c r="G9433" s="75"/>
      <c r="H9433" s="75"/>
      <c r="I9433" s="75"/>
      <c r="J9433" s="75"/>
      <c r="K9433" s="75"/>
      <c r="L9433" s="75"/>
      <c r="M9433" s="75"/>
      <c r="N9433" s="75"/>
    </row>
    <row r="9434" spans="1:14" ht="12.75" customHeight="1" x14ac:dyDescent="0.3">
      <c r="A9434" s="79" t="s">
        <v>821</v>
      </c>
      <c r="B9434" s="80" t="str">
        <f>A9431</f>
        <v>ESTACIÓN DE MACROMEDICIÓN DE Ø2" (INCLUYE CAJA DE CONCRETO CON TAPA Y ESCALERA DE GATO, VÁLVULAS, CODOS, TEES, UNIONES, FILTRO EN YEE, NIPLES, PASAMUROS, MACROMEDIDOR, MATERIALES, HERRAMIENTAS, TRANSPORTE Y MANO DE OBRA)</v>
      </c>
      <c r="C9434" s="81" t="s">
        <v>916</v>
      </c>
      <c r="D9434" s="82" t="s">
        <v>999</v>
      </c>
      <c r="E9434" s="83" t="s">
        <v>445</v>
      </c>
      <c r="F9434" s="86">
        <f>H9434+J9434+L9434+N9434</f>
        <v>31218224.360627066</v>
      </c>
      <c r="G9434" s="83" t="s">
        <v>607</v>
      </c>
      <c r="H9434" s="86">
        <f>M9458</f>
        <v>29128164.598216254</v>
      </c>
      <c r="I9434" s="83" t="s">
        <v>918</v>
      </c>
      <c r="J9434" s="86">
        <f>M9467</f>
        <v>30173.882499999996</v>
      </c>
      <c r="K9434" s="83" t="s">
        <v>609</v>
      </c>
      <c r="L9434" s="86">
        <f>M9476</f>
        <v>1456408.2299108128</v>
      </c>
      <c r="M9434" s="83" t="s">
        <v>610</v>
      </c>
      <c r="N9434" s="86">
        <f>M9485</f>
        <v>603477.64999999991</v>
      </c>
    </row>
    <row r="9435" spans="1:14" ht="12.75" customHeight="1" x14ac:dyDescent="0.25">
      <c r="A9435" s="87"/>
      <c r="B9435" s="87"/>
      <c r="C9435" s="87"/>
      <c r="D9435" s="87"/>
      <c r="E9435" s="87"/>
      <c r="F9435" s="87"/>
      <c r="G9435" s="87"/>
      <c r="J9435" s="87"/>
      <c r="K9435" s="215" t="s">
        <v>3217</v>
      </c>
      <c r="L9435" s="215">
        <f>+F9434*presup!$O$5</f>
        <v>40583691.668815188</v>
      </c>
      <c r="M9435" s="87"/>
      <c r="N9435" s="87"/>
    </row>
    <row r="9436" spans="1:14" ht="12.75" customHeight="1" x14ac:dyDescent="0.2">
      <c r="A9436" s="398" t="s">
        <v>919</v>
      </c>
      <c r="B9436" s="271"/>
      <c r="C9436" s="271"/>
      <c r="D9436" s="271"/>
      <c r="E9436" s="271"/>
      <c r="F9436" s="271"/>
      <c r="G9436" s="271"/>
      <c r="H9436" s="271"/>
      <c r="I9436" s="271"/>
      <c r="J9436" s="271"/>
      <c r="K9436" s="271"/>
      <c r="L9436" s="271"/>
      <c r="M9436" s="271"/>
      <c r="N9436" s="273"/>
    </row>
    <row r="9437" spans="1:14" ht="12.75" customHeight="1" x14ac:dyDescent="0.2">
      <c r="A9437" s="396" t="s">
        <v>76</v>
      </c>
      <c r="B9437" s="271"/>
      <c r="C9437" s="271"/>
      <c r="D9437" s="271"/>
      <c r="E9437" s="271"/>
      <c r="F9437" s="271"/>
      <c r="G9437" s="273"/>
      <c r="H9437" s="88" t="s">
        <v>77</v>
      </c>
      <c r="I9437" s="399" t="s">
        <v>920</v>
      </c>
      <c r="J9437" s="273"/>
      <c r="K9437" s="399" t="s">
        <v>453</v>
      </c>
      <c r="L9437" s="273"/>
      <c r="M9437" s="399" t="s">
        <v>921</v>
      </c>
      <c r="N9437" s="273"/>
    </row>
    <row r="9438" spans="1:14" ht="12.75" customHeight="1" x14ac:dyDescent="0.2">
      <c r="A9438" s="403" t="s">
        <v>1307</v>
      </c>
      <c r="B9438" s="271"/>
      <c r="C9438" s="271"/>
      <c r="D9438" s="271"/>
      <c r="E9438" s="271"/>
      <c r="F9438" s="271"/>
      <c r="G9438" s="273"/>
      <c r="H9438" s="29" t="str">
        <f t="shared" ref="H9438:H9457" si="1276">IF(A9438="","",VLOOKUP(A9438,AA_Materiales,7,FALSE))</f>
        <v>m2</v>
      </c>
      <c r="I9438" s="394">
        <f t="shared" ref="I9438:I9457" si="1277">IF(A9438="","",VLOOKUP(A9438,AA_Materiales,8,FALSE))</f>
        <v>5395.0282271600026</v>
      </c>
      <c r="J9438" s="273"/>
      <c r="K9438" s="395">
        <f>+'MICRO Y MACRO'!$C$128</f>
        <v>3.04</v>
      </c>
      <c r="L9438" s="273"/>
      <c r="M9438" s="394">
        <f t="shared" ref="M9438:M9457" si="1278">IF(A9438="","",I9438*K9438)</f>
        <v>16400.885810566408</v>
      </c>
      <c r="N9438" s="273"/>
    </row>
    <row r="9439" spans="1:14" ht="12.75" customHeight="1" x14ac:dyDescent="0.2">
      <c r="A9439" s="403" t="s">
        <v>1308</v>
      </c>
      <c r="B9439" s="271"/>
      <c r="C9439" s="271"/>
      <c r="D9439" s="271"/>
      <c r="E9439" s="271"/>
      <c r="F9439" s="271"/>
      <c r="G9439" s="273"/>
      <c r="H9439" s="29" t="str">
        <f t="shared" si="1276"/>
        <v>m3</v>
      </c>
      <c r="I9439" s="394">
        <f t="shared" si="1277"/>
        <v>68458.635200799996</v>
      </c>
      <c r="J9439" s="273"/>
      <c r="K9439" s="395">
        <f>+'MICRO Y MACRO'!$C$129</f>
        <v>5.4720000000000004</v>
      </c>
      <c r="L9439" s="273"/>
      <c r="M9439" s="394">
        <f t="shared" si="1278"/>
        <v>374605.65181877761</v>
      </c>
      <c r="N9439" s="273"/>
    </row>
    <row r="9440" spans="1:14" ht="12.75" customHeight="1" x14ac:dyDescent="0.2">
      <c r="A9440" s="403" t="s">
        <v>1309</v>
      </c>
      <c r="B9440" s="271"/>
      <c r="C9440" s="271"/>
      <c r="D9440" s="271"/>
      <c r="E9440" s="271"/>
      <c r="F9440" s="271"/>
      <c r="G9440" s="273"/>
      <c r="H9440" s="29" t="str">
        <f t="shared" si="1276"/>
        <v>m3</v>
      </c>
      <c r="I9440" s="394">
        <f t="shared" si="1277"/>
        <v>229192.31748567708</v>
      </c>
      <c r="J9440" s="273"/>
      <c r="K9440" s="395">
        <f>+'MICRO Y MACRO'!$C$130</f>
        <v>0.6080000000000001</v>
      </c>
      <c r="L9440" s="273"/>
      <c r="M9440" s="394">
        <f t="shared" si="1278"/>
        <v>139348.92903129169</v>
      </c>
      <c r="N9440" s="273"/>
    </row>
    <row r="9441" spans="1:14" ht="12.75" customHeight="1" x14ac:dyDescent="0.2">
      <c r="A9441" s="403" t="s">
        <v>1332</v>
      </c>
      <c r="B9441" s="271"/>
      <c r="C9441" s="271"/>
      <c r="D9441" s="271"/>
      <c r="E9441" s="271"/>
      <c r="F9441" s="271"/>
      <c r="G9441" s="273"/>
      <c r="H9441" s="29" t="str">
        <f t="shared" si="1276"/>
        <v>m3</v>
      </c>
      <c r="I9441" s="394">
        <f t="shared" si="1277"/>
        <v>18218.939999999999</v>
      </c>
      <c r="J9441" s="273"/>
      <c r="K9441" s="395">
        <f>+'MICRO Y MACRO'!$C$131</f>
        <v>0</v>
      </c>
      <c r="L9441" s="273"/>
      <c r="M9441" s="394">
        <f t="shared" si="1278"/>
        <v>0</v>
      </c>
      <c r="N9441" s="273"/>
    </row>
    <row r="9442" spans="1:14" ht="12.75" customHeight="1" x14ac:dyDescent="0.2">
      <c r="A9442" s="403" t="s">
        <v>1310</v>
      </c>
      <c r="B9442" s="271"/>
      <c r="C9442" s="271"/>
      <c r="D9442" s="271"/>
      <c r="E9442" s="271"/>
      <c r="F9442" s="271"/>
      <c r="G9442" s="273"/>
      <c r="H9442" s="29" t="str">
        <f t="shared" si="1276"/>
        <v>m3</v>
      </c>
      <c r="I9442" s="394">
        <f t="shared" si="1277"/>
        <v>619876.4246790678</v>
      </c>
      <c r="J9442" s="273"/>
      <c r="K9442" s="395">
        <f>+'MICRO Y MACRO'!$C$132</f>
        <v>0.15200000000000002</v>
      </c>
      <c r="L9442" s="273"/>
      <c r="M9442" s="394">
        <f t="shared" si="1278"/>
        <v>94221.216551218327</v>
      </c>
      <c r="N9442" s="273"/>
    </row>
    <row r="9443" spans="1:14" ht="12.75" customHeight="1" x14ac:dyDescent="0.2">
      <c r="A9443" s="403" t="s">
        <v>1311</v>
      </c>
      <c r="B9443" s="271"/>
      <c r="C9443" s="271"/>
      <c r="D9443" s="271"/>
      <c r="E9443" s="271"/>
      <c r="F9443" s="271"/>
      <c r="G9443" s="273"/>
      <c r="H9443" s="29" t="str">
        <f t="shared" si="1276"/>
        <v>Kg</v>
      </c>
      <c r="I9443" s="394">
        <f t="shared" si="1277"/>
        <v>10407.86484233889</v>
      </c>
      <c r="J9443" s="273"/>
      <c r="K9443" s="395">
        <f>+'MICRO Y MACRO'!$C$133</f>
        <v>225.92</v>
      </c>
      <c r="L9443" s="273"/>
      <c r="M9443" s="394">
        <f t="shared" si="1278"/>
        <v>2351344.8251812016</v>
      </c>
      <c r="N9443" s="273"/>
    </row>
    <row r="9444" spans="1:14" ht="12.75" customHeight="1" x14ac:dyDescent="0.2">
      <c r="A9444" s="403" t="s">
        <v>1462</v>
      </c>
      <c r="B9444" s="271"/>
      <c r="C9444" s="271"/>
      <c r="D9444" s="271"/>
      <c r="E9444" s="271"/>
      <c r="F9444" s="271"/>
      <c r="G9444" s="273"/>
      <c r="H9444" s="29" t="str">
        <f t="shared" si="1276"/>
        <v>m3</v>
      </c>
      <c r="I9444" s="394">
        <f t="shared" si="1277"/>
        <v>844782.11970906786</v>
      </c>
      <c r="J9444" s="273"/>
      <c r="K9444" s="395">
        <f>+'MICRO Y MACRO'!$C$134</f>
        <v>0.6080000000000001</v>
      </c>
      <c r="L9444" s="273"/>
      <c r="M9444" s="394">
        <f t="shared" si="1278"/>
        <v>513627.52878311335</v>
      </c>
      <c r="N9444" s="273"/>
    </row>
    <row r="9445" spans="1:14" ht="12.75" customHeight="1" x14ac:dyDescent="0.2">
      <c r="A9445" s="403" t="s">
        <v>1463</v>
      </c>
      <c r="B9445" s="271"/>
      <c r="C9445" s="271"/>
      <c r="D9445" s="271"/>
      <c r="E9445" s="271"/>
      <c r="F9445" s="271"/>
      <c r="G9445" s="273"/>
      <c r="H9445" s="29" t="str">
        <f t="shared" si="1276"/>
        <v>m3</v>
      </c>
      <c r="I9445" s="394">
        <f t="shared" si="1277"/>
        <v>1917601.7724229568</v>
      </c>
      <c r="J9445" s="273"/>
      <c r="K9445" s="395">
        <f>+'MICRO Y MACRO'!$C$135</f>
        <v>1.2960000000000003</v>
      </c>
      <c r="L9445" s="273"/>
      <c r="M9445" s="394">
        <f t="shared" si="1278"/>
        <v>2485211.8970601526</v>
      </c>
      <c r="N9445" s="273"/>
    </row>
    <row r="9446" spans="1:14" ht="12.75" customHeight="1" x14ac:dyDescent="0.2">
      <c r="A9446" s="403" t="s">
        <v>1371</v>
      </c>
      <c r="B9446" s="271"/>
      <c r="C9446" s="271"/>
      <c r="D9446" s="271"/>
      <c r="E9446" s="271"/>
      <c r="F9446" s="271"/>
      <c r="G9446" s="273"/>
      <c r="H9446" s="29" t="str">
        <f t="shared" si="1276"/>
        <v>m3</v>
      </c>
      <c r="I9446" s="394">
        <f t="shared" si="1277"/>
        <v>1389173.4069229569</v>
      </c>
      <c r="J9446" s="273"/>
      <c r="K9446" s="395">
        <f>+'MICRO Y MACRO'!$C$136</f>
        <v>0.45599999999999996</v>
      </c>
      <c r="L9446" s="273"/>
      <c r="M9446" s="394">
        <f t="shared" si="1278"/>
        <v>633463.07355686836</v>
      </c>
      <c r="N9446" s="273"/>
    </row>
    <row r="9447" spans="1:14" ht="12.75" customHeight="1" x14ac:dyDescent="0.2">
      <c r="A9447" s="403" t="s">
        <v>1056</v>
      </c>
      <c r="B9447" s="271"/>
      <c r="C9447" s="271"/>
      <c r="D9447" s="271"/>
      <c r="E9447" s="271"/>
      <c r="F9447" s="271"/>
      <c r="G9447" s="273"/>
      <c r="H9447" s="29" t="str">
        <f t="shared" si="1276"/>
        <v>Unidad</v>
      </c>
      <c r="I9447" s="394">
        <f t="shared" si="1277"/>
        <v>78000</v>
      </c>
      <c r="J9447" s="273"/>
      <c r="K9447" s="395">
        <f>+'MICRO Y MACRO'!$C$137</f>
        <v>4</v>
      </c>
      <c r="L9447" s="273"/>
      <c r="M9447" s="394">
        <f t="shared" si="1278"/>
        <v>312000</v>
      </c>
      <c r="N9447" s="273"/>
    </row>
    <row r="9448" spans="1:14" ht="12.75" customHeight="1" x14ac:dyDescent="0.2">
      <c r="A9448" s="403" t="s">
        <v>1316</v>
      </c>
      <c r="B9448" s="271"/>
      <c r="C9448" s="271"/>
      <c r="D9448" s="271"/>
      <c r="E9448" s="271"/>
      <c r="F9448" s="271"/>
      <c r="G9448" s="273"/>
      <c r="H9448" s="29" t="str">
        <f t="shared" si="1276"/>
        <v>Unidad</v>
      </c>
      <c r="I9448" s="394">
        <f t="shared" si="1277"/>
        <v>833487.79</v>
      </c>
      <c r="J9448" s="273"/>
      <c r="K9448" s="395">
        <f>+'MICRO Y MACRO'!$C$138</f>
        <v>1</v>
      </c>
      <c r="L9448" s="273"/>
      <c r="M9448" s="394">
        <f t="shared" si="1278"/>
        <v>833487.79</v>
      </c>
      <c r="N9448" s="273"/>
    </row>
    <row r="9449" spans="1:14" ht="12.75" customHeight="1" x14ac:dyDescent="0.2">
      <c r="A9449" s="403" t="s">
        <v>1464</v>
      </c>
      <c r="B9449" s="271"/>
      <c r="C9449" s="271"/>
      <c r="D9449" s="271"/>
      <c r="E9449" s="271"/>
      <c r="F9449" s="271"/>
      <c r="G9449" s="273"/>
      <c r="H9449" s="29" t="str">
        <f t="shared" si="1276"/>
        <v>Unidad</v>
      </c>
      <c r="I9449" s="394">
        <f t="shared" si="1277"/>
        <v>151783.50810000001</v>
      </c>
      <c r="J9449" s="273"/>
      <c r="K9449" s="395">
        <f>+'MICRO Y MACRO'!$E$115</f>
        <v>2</v>
      </c>
      <c r="L9449" s="273"/>
      <c r="M9449" s="394">
        <f t="shared" si="1278"/>
        <v>303567.01620000001</v>
      </c>
      <c r="N9449" s="273"/>
    </row>
    <row r="9450" spans="1:14" ht="12.75" customHeight="1" x14ac:dyDescent="0.2">
      <c r="A9450" s="403" t="s">
        <v>1134</v>
      </c>
      <c r="B9450" s="271"/>
      <c r="C9450" s="271"/>
      <c r="D9450" s="271"/>
      <c r="E9450" s="271"/>
      <c r="F9450" s="271"/>
      <c r="G9450" s="273"/>
      <c r="H9450" s="29" t="str">
        <f t="shared" si="1276"/>
        <v>Unidad</v>
      </c>
      <c r="I9450" s="394">
        <f t="shared" si="1277"/>
        <v>564000</v>
      </c>
      <c r="J9450" s="273"/>
      <c r="K9450" s="395">
        <f>+'MICRO Y MACRO'!$E$117</f>
        <v>3</v>
      </c>
      <c r="L9450" s="273"/>
      <c r="M9450" s="394">
        <f t="shared" si="1278"/>
        <v>1692000</v>
      </c>
      <c r="N9450" s="273"/>
    </row>
    <row r="9451" spans="1:14" ht="12.75" customHeight="1" x14ac:dyDescent="0.2">
      <c r="A9451" s="403" t="s">
        <v>1465</v>
      </c>
      <c r="B9451" s="271"/>
      <c r="C9451" s="271"/>
      <c r="D9451" s="271"/>
      <c r="E9451" s="271"/>
      <c r="F9451" s="271"/>
      <c r="G9451" s="273"/>
      <c r="H9451" s="29" t="str">
        <f t="shared" si="1276"/>
        <v>Unidad</v>
      </c>
      <c r="I9451" s="394">
        <f t="shared" si="1277"/>
        <v>25796892.267816257</v>
      </c>
      <c r="J9451" s="273"/>
      <c r="K9451" s="395">
        <f>+'MICRO Y MACRO'!$E$123</f>
        <v>1</v>
      </c>
      <c r="L9451" s="273"/>
      <c r="M9451" s="394">
        <f t="shared" si="1278"/>
        <v>25796892.267816257</v>
      </c>
      <c r="N9451" s="273"/>
    </row>
    <row r="9452" spans="1:14" ht="12.75" customHeight="1" x14ac:dyDescent="0.2">
      <c r="A9452" s="403" t="s">
        <v>1466</v>
      </c>
      <c r="B9452" s="271"/>
      <c r="C9452" s="271"/>
      <c r="D9452" s="271"/>
      <c r="E9452" s="271"/>
      <c r="F9452" s="271"/>
      <c r="G9452" s="273"/>
      <c r="H9452" s="29" t="str">
        <f t="shared" si="1276"/>
        <v>Unidad</v>
      </c>
      <c r="I9452" s="394">
        <f t="shared" si="1277"/>
        <v>440738.29800000001</v>
      </c>
      <c r="J9452" s="273"/>
      <c r="K9452" s="395">
        <f>+'MICRO Y MACRO'!$E$120</f>
        <v>1</v>
      </c>
      <c r="L9452" s="273"/>
      <c r="M9452" s="394">
        <f t="shared" si="1278"/>
        <v>440738.29800000001</v>
      </c>
      <c r="N9452" s="273"/>
    </row>
    <row r="9453" spans="1:14" ht="12.75" customHeight="1" x14ac:dyDescent="0.2">
      <c r="A9453" s="403" t="s">
        <v>1467</v>
      </c>
      <c r="B9453" s="271"/>
      <c r="C9453" s="271"/>
      <c r="D9453" s="271"/>
      <c r="E9453" s="271"/>
      <c r="F9453" s="271"/>
      <c r="G9453" s="273"/>
      <c r="H9453" s="29" t="str">
        <f t="shared" si="1276"/>
        <v>Unidad</v>
      </c>
      <c r="I9453" s="394">
        <f t="shared" si="1277"/>
        <v>134983.50810000001</v>
      </c>
      <c r="J9453" s="273"/>
      <c r="K9453" s="395">
        <f>+'MICRO Y MACRO'!$E$116</f>
        <v>2</v>
      </c>
      <c r="L9453" s="273"/>
      <c r="M9453" s="394">
        <f t="shared" si="1278"/>
        <v>269967.01620000001</v>
      </c>
      <c r="N9453" s="273"/>
    </row>
    <row r="9454" spans="1:14" ht="12.75" customHeight="1" x14ac:dyDescent="0.2">
      <c r="A9454" s="403" t="s">
        <v>1118</v>
      </c>
      <c r="B9454" s="271"/>
      <c r="C9454" s="271"/>
      <c r="D9454" s="271"/>
      <c r="E9454" s="271"/>
      <c r="F9454" s="271"/>
      <c r="G9454" s="273"/>
      <c r="H9454" s="29" t="str">
        <f t="shared" si="1276"/>
        <v>Unidad</v>
      </c>
      <c r="I9454" s="394">
        <f t="shared" si="1277"/>
        <v>140000</v>
      </c>
      <c r="J9454" s="273"/>
      <c r="K9454" s="395">
        <f>+'MICRO Y MACRO'!$E$119</f>
        <v>2</v>
      </c>
      <c r="L9454" s="273"/>
      <c r="M9454" s="394">
        <f t="shared" si="1278"/>
        <v>280000</v>
      </c>
      <c r="N9454" s="273"/>
    </row>
    <row r="9455" spans="1:14" ht="12.75" customHeight="1" x14ac:dyDescent="0.2">
      <c r="A9455" s="403" t="s">
        <v>1139</v>
      </c>
      <c r="B9455" s="271"/>
      <c r="C9455" s="271"/>
      <c r="D9455" s="271"/>
      <c r="E9455" s="271"/>
      <c r="F9455" s="271"/>
      <c r="G9455" s="273"/>
      <c r="H9455" s="29" t="str">
        <f t="shared" si="1276"/>
        <v>Unidad</v>
      </c>
      <c r="I9455" s="394">
        <f t="shared" si="1277"/>
        <v>90000</v>
      </c>
      <c r="J9455" s="273"/>
      <c r="K9455" s="395">
        <f>+'MICRO Y MACRO'!$E$122</f>
        <v>2</v>
      </c>
      <c r="L9455" s="273"/>
      <c r="M9455" s="394">
        <f t="shared" si="1278"/>
        <v>180000</v>
      </c>
      <c r="N9455" s="273"/>
    </row>
    <row r="9456" spans="1:14" ht="12.75" customHeight="1" x14ac:dyDescent="0.2">
      <c r="A9456" s="403" t="s">
        <v>1468</v>
      </c>
      <c r="B9456" s="271"/>
      <c r="C9456" s="271"/>
      <c r="D9456" s="271"/>
      <c r="E9456" s="271"/>
      <c r="F9456" s="271"/>
      <c r="G9456" s="273"/>
      <c r="H9456" s="29" t="str">
        <f t="shared" si="1276"/>
        <v>Unidad</v>
      </c>
      <c r="I9456" s="394">
        <f t="shared" si="1277"/>
        <v>165000</v>
      </c>
      <c r="J9456" s="273"/>
      <c r="K9456" s="395">
        <f>+'MICRO Y MACRO'!$E$121</f>
        <v>1</v>
      </c>
      <c r="L9456" s="273"/>
      <c r="M9456" s="394">
        <f t="shared" si="1278"/>
        <v>165000</v>
      </c>
      <c r="N9456" s="273"/>
    </row>
    <row r="9457" spans="1:14" ht="12.75" customHeight="1" x14ac:dyDescent="0.2">
      <c r="A9457" s="403"/>
      <c r="B9457" s="271"/>
      <c r="C9457" s="271"/>
      <c r="D9457" s="271"/>
      <c r="E9457" s="271"/>
      <c r="F9457" s="271"/>
      <c r="G9457" s="273"/>
      <c r="H9457" s="29" t="str">
        <f t="shared" si="1276"/>
        <v/>
      </c>
      <c r="I9457" s="394" t="str">
        <f t="shared" si="1277"/>
        <v/>
      </c>
      <c r="J9457" s="273"/>
      <c r="K9457" s="395"/>
      <c r="L9457" s="273"/>
      <c r="M9457" s="394" t="str">
        <f t="shared" si="1278"/>
        <v/>
      </c>
      <c r="N9457" s="273"/>
    </row>
    <row r="9458" spans="1:14" ht="12.75" customHeight="1" x14ac:dyDescent="0.25">
      <c r="A9458" s="4"/>
      <c r="B9458" s="4"/>
      <c r="C9458" s="4"/>
      <c r="D9458" s="4"/>
      <c r="E9458" s="4"/>
      <c r="F9458" s="4"/>
      <c r="G9458" s="4"/>
      <c r="H9458" s="4"/>
      <c r="I9458" s="4"/>
      <c r="J9458" s="4"/>
      <c r="K9458" s="396" t="s">
        <v>444</v>
      </c>
      <c r="L9458" s="273"/>
      <c r="M9458" s="394">
        <f>SUM(M9449:N9457)</f>
        <v>29128164.598216254</v>
      </c>
      <c r="N9458" s="273"/>
    </row>
    <row r="9459" spans="1:14" ht="12.75" customHeight="1" x14ac:dyDescent="0.25">
      <c r="A9459" s="4"/>
      <c r="B9459" s="4"/>
      <c r="C9459" s="4"/>
      <c r="D9459" s="4"/>
      <c r="E9459" s="4"/>
      <c r="F9459" s="4"/>
      <c r="G9459" s="4"/>
      <c r="H9459" s="4"/>
      <c r="I9459" s="4"/>
      <c r="J9459" s="4"/>
      <c r="K9459" s="4"/>
      <c r="L9459" s="4"/>
      <c r="M9459" s="4"/>
      <c r="N9459" s="4"/>
    </row>
    <row r="9460" spans="1:14" ht="12.75" customHeight="1" x14ac:dyDescent="0.2">
      <c r="A9460" s="398" t="s">
        <v>926</v>
      </c>
      <c r="B9460" s="271"/>
      <c r="C9460" s="271"/>
      <c r="D9460" s="271"/>
      <c r="E9460" s="271"/>
      <c r="F9460" s="271"/>
      <c r="G9460" s="271"/>
      <c r="H9460" s="271"/>
      <c r="I9460" s="271"/>
      <c r="J9460" s="271"/>
      <c r="K9460" s="271"/>
      <c r="L9460" s="271"/>
      <c r="M9460" s="271"/>
      <c r="N9460" s="273"/>
    </row>
    <row r="9461" spans="1:14" ht="12.75" customHeight="1" x14ac:dyDescent="0.2">
      <c r="A9461" s="396" t="s">
        <v>76</v>
      </c>
      <c r="B9461" s="271"/>
      <c r="C9461" s="271"/>
      <c r="D9461" s="271"/>
      <c r="E9461" s="271"/>
      <c r="F9461" s="271"/>
      <c r="G9461" s="273"/>
      <c r="H9461" s="88" t="s">
        <v>77</v>
      </c>
      <c r="I9461" s="399" t="s">
        <v>920</v>
      </c>
      <c r="J9461" s="273"/>
      <c r="K9461" s="399" t="s">
        <v>453</v>
      </c>
      <c r="L9461" s="273"/>
      <c r="M9461" s="399" t="s">
        <v>921</v>
      </c>
      <c r="N9461" s="273"/>
    </row>
    <row r="9462" spans="1:14" ht="12.75" customHeight="1" x14ac:dyDescent="0.2">
      <c r="A9462" s="400" t="s">
        <v>1469</v>
      </c>
      <c r="B9462" s="271"/>
      <c r="C9462" s="271"/>
      <c r="D9462" s="271"/>
      <c r="E9462" s="271"/>
      <c r="F9462" s="271"/>
      <c r="G9462" s="273"/>
      <c r="H9462" s="29" t="str">
        <f>IF(A9462="","",VLOOKUP(A9462,AA_Equipos,7,FALSE))</f>
        <v>% M.O.</v>
      </c>
      <c r="I9462" s="394">
        <f>+M9485</f>
        <v>603477.64999999991</v>
      </c>
      <c r="J9462" s="273"/>
      <c r="K9462" s="404">
        <v>0.05</v>
      </c>
      <c r="L9462" s="273"/>
      <c r="M9462" s="394">
        <f t="shared" ref="M9462:M9466" si="1279">IF(A9462="","",I9462*K9462)</f>
        <v>30173.882499999996</v>
      </c>
      <c r="N9462" s="273"/>
    </row>
    <row r="9463" spans="1:14" ht="12.75" customHeight="1" x14ac:dyDescent="0.2">
      <c r="A9463" s="403"/>
      <c r="B9463" s="271"/>
      <c r="C9463" s="271"/>
      <c r="D9463" s="271"/>
      <c r="E9463" s="271"/>
      <c r="F9463" s="271"/>
      <c r="G9463" s="273"/>
      <c r="H9463" s="29" t="str">
        <f>IF(A9463="","",VLOOKUP(A9463,AA_Equipos,7,FALSE))</f>
        <v/>
      </c>
      <c r="I9463" s="394" t="str">
        <f>IF(A9463="","",VLOOKUP(A9463,AA_Equipos,8,FALSE))</f>
        <v/>
      </c>
      <c r="J9463" s="273"/>
      <c r="K9463" s="402"/>
      <c r="L9463" s="273"/>
      <c r="M9463" s="394" t="str">
        <f t="shared" si="1279"/>
        <v/>
      </c>
      <c r="N9463" s="273"/>
    </row>
    <row r="9464" spans="1:14" ht="12.75" customHeight="1" x14ac:dyDescent="0.2">
      <c r="A9464" s="400"/>
      <c r="B9464" s="271"/>
      <c r="C9464" s="271"/>
      <c r="D9464" s="271"/>
      <c r="E9464" s="271"/>
      <c r="F9464" s="271"/>
      <c r="G9464" s="273"/>
      <c r="H9464" s="29" t="str">
        <f>IF(A9464="","",VLOOKUP(A9464,AA_Equipos,7,FALSE))</f>
        <v/>
      </c>
      <c r="I9464" s="394" t="str">
        <f>IF(A9464="","",VLOOKUP(A9464,AA_Equipos,8,FALSE))</f>
        <v/>
      </c>
      <c r="J9464" s="273"/>
      <c r="K9464" s="401"/>
      <c r="L9464" s="273"/>
      <c r="M9464" s="394" t="str">
        <f t="shared" si="1279"/>
        <v/>
      </c>
      <c r="N9464" s="273"/>
    </row>
    <row r="9465" spans="1:14" ht="12.75" customHeight="1" x14ac:dyDescent="0.2">
      <c r="A9465" s="400"/>
      <c r="B9465" s="271"/>
      <c r="C9465" s="271"/>
      <c r="D9465" s="271"/>
      <c r="E9465" s="271"/>
      <c r="F9465" s="271"/>
      <c r="G9465" s="273"/>
      <c r="H9465" s="29" t="str">
        <f>IF(A9465="","",VLOOKUP(A9465,AA_Equipos,7,FALSE))</f>
        <v/>
      </c>
      <c r="I9465" s="394" t="str">
        <f>IF(A9465="","",VLOOKUP(A9465,AA_Equipos,8,FALSE))</f>
        <v/>
      </c>
      <c r="J9465" s="273"/>
      <c r="K9465" s="395"/>
      <c r="L9465" s="273"/>
      <c r="M9465" s="394" t="str">
        <f t="shared" si="1279"/>
        <v/>
      </c>
      <c r="N9465" s="273"/>
    </row>
    <row r="9466" spans="1:14" ht="12.75" customHeight="1" x14ac:dyDescent="0.2">
      <c r="A9466" s="400"/>
      <c r="B9466" s="271"/>
      <c r="C9466" s="271"/>
      <c r="D9466" s="271"/>
      <c r="E9466" s="271"/>
      <c r="F9466" s="271"/>
      <c r="G9466" s="273"/>
      <c r="H9466" s="29" t="str">
        <f>IF(A9466="","",VLOOKUP(A9466,AA_Equipos,7,FALSE))</f>
        <v/>
      </c>
      <c r="I9466" s="394" t="str">
        <f>IF(A9466="","",VLOOKUP(A9466,AA_Equipos,8,FALSE))</f>
        <v/>
      </c>
      <c r="J9466" s="273"/>
      <c r="K9466" s="395"/>
      <c r="L9466" s="273"/>
      <c r="M9466" s="394" t="str">
        <f t="shared" si="1279"/>
        <v/>
      </c>
      <c r="N9466" s="273"/>
    </row>
    <row r="9467" spans="1:14" ht="12.75" customHeight="1" x14ac:dyDescent="0.25">
      <c r="A9467" s="4"/>
      <c r="B9467" s="4"/>
      <c r="C9467" s="4"/>
      <c r="D9467" s="4"/>
      <c r="E9467" s="4"/>
      <c r="F9467" s="4"/>
      <c r="G9467" s="4"/>
      <c r="H9467" s="4"/>
      <c r="I9467" s="4"/>
      <c r="J9467" s="4"/>
      <c r="K9467" s="396" t="s">
        <v>444</v>
      </c>
      <c r="L9467" s="273"/>
      <c r="M9467" s="394">
        <f>SUM(M9462:N9466)</f>
        <v>30173.882499999996</v>
      </c>
      <c r="N9467" s="273"/>
    </row>
    <row r="9468" spans="1:14" ht="12.75" customHeight="1" x14ac:dyDescent="0.25">
      <c r="A9468" s="4"/>
      <c r="B9468" s="4"/>
      <c r="C9468" s="4"/>
      <c r="D9468" s="4"/>
      <c r="E9468" s="4"/>
      <c r="F9468" s="4"/>
      <c r="G9468" s="4"/>
      <c r="H9468" s="4"/>
      <c r="I9468" s="4"/>
      <c r="J9468" s="4"/>
      <c r="K9468" s="4"/>
      <c r="L9468" s="4"/>
      <c r="M9468" s="4"/>
      <c r="N9468" s="4"/>
    </row>
    <row r="9469" spans="1:14" ht="12.75" customHeight="1" x14ac:dyDescent="0.2">
      <c r="A9469" s="398" t="s">
        <v>929</v>
      </c>
      <c r="B9469" s="271"/>
      <c r="C9469" s="271"/>
      <c r="D9469" s="271"/>
      <c r="E9469" s="271"/>
      <c r="F9469" s="271"/>
      <c r="G9469" s="271"/>
      <c r="H9469" s="271"/>
      <c r="I9469" s="271"/>
      <c r="J9469" s="271"/>
      <c r="K9469" s="271"/>
      <c r="L9469" s="271"/>
      <c r="M9469" s="271"/>
      <c r="N9469" s="273"/>
    </row>
    <row r="9470" spans="1:14" ht="12.75" customHeight="1" x14ac:dyDescent="0.2">
      <c r="A9470" s="396" t="s">
        <v>76</v>
      </c>
      <c r="B9470" s="271"/>
      <c r="C9470" s="271"/>
      <c r="D9470" s="271"/>
      <c r="E9470" s="271"/>
      <c r="F9470" s="271"/>
      <c r="G9470" s="273"/>
      <c r="H9470" s="88" t="s">
        <v>77</v>
      </c>
      <c r="I9470" s="399" t="s">
        <v>920</v>
      </c>
      <c r="J9470" s="273"/>
      <c r="K9470" s="399" t="s">
        <v>453</v>
      </c>
      <c r="L9470" s="273"/>
      <c r="M9470" s="399" t="s">
        <v>921</v>
      </c>
      <c r="N9470" s="273"/>
    </row>
    <row r="9471" spans="1:14" ht="12.75" customHeight="1" x14ac:dyDescent="0.2">
      <c r="A9471" s="400" t="s">
        <v>966</v>
      </c>
      <c r="B9471" s="271"/>
      <c r="C9471" s="271"/>
      <c r="D9471" s="271"/>
      <c r="E9471" s="271"/>
      <c r="F9471" s="271"/>
      <c r="G9471" s="273"/>
      <c r="H9471" s="29" t="s">
        <v>950</v>
      </c>
      <c r="I9471" s="394">
        <f>+M9458</f>
        <v>29128164.598216254</v>
      </c>
      <c r="J9471" s="273"/>
      <c r="K9471" s="404">
        <v>0.05</v>
      </c>
      <c r="L9471" s="273"/>
      <c r="M9471" s="394">
        <f t="shared" ref="M9471:M9475" si="1280">IF(A9471="","",I9471*K9471)</f>
        <v>1456408.2299108128</v>
      </c>
      <c r="N9471" s="273"/>
    </row>
    <row r="9472" spans="1:14" ht="12.75" customHeight="1" x14ac:dyDescent="0.2">
      <c r="A9472" s="403"/>
      <c r="B9472" s="271"/>
      <c r="C9472" s="271"/>
      <c r="D9472" s="271"/>
      <c r="E9472" s="271"/>
      <c r="F9472" s="271"/>
      <c r="G9472" s="273"/>
      <c r="H9472" s="29"/>
      <c r="I9472" s="394"/>
      <c r="J9472" s="273"/>
      <c r="K9472" s="404"/>
      <c r="L9472" s="273"/>
      <c r="M9472" s="394" t="str">
        <f t="shared" si="1280"/>
        <v/>
      </c>
      <c r="N9472" s="273"/>
    </row>
    <row r="9473" spans="1:15" ht="12.75" customHeight="1" x14ac:dyDescent="0.2">
      <c r="A9473" s="400"/>
      <c r="B9473" s="271"/>
      <c r="C9473" s="271"/>
      <c r="D9473" s="271"/>
      <c r="E9473" s="271"/>
      <c r="F9473" s="271"/>
      <c r="G9473" s="273"/>
      <c r="H9473" s="29"/>
      <c r="I9473" s="394"/>
      <c r="J9473" s="273"/>
      <c r="K9473" s="395"/>
      <c r="L9473" s="273"/>
      <c r="M9473" s="394" t="str">
        <f t="shared" si="1280"/>
        <v/>
      </c>
      <c r="N9473" s="273"/>
    </row>
    <row r="9474" spans="1:15" ht="12.75" customHeight="1" x14ac:dyDescent="0.2">
      <c r="A9474" s="400"/>
      <c r="B9474" s="271"/>
      <c r="C9474" s="271"/>
      <c r="D9474" s="271"/>
      <c r="E9474" s="271"/>
      <c r="F9474" s="271"/>
      <c r="G9474" s="273"/>
      <c r="H9474" s="29"/>
      <c r="I9474" s="394"/>
      <c r="J9474" s="273"/>
      <c r="K9474" s="395"/>
      <c r="L9474" s="273"/>
      <c r="M9474" s="394" t="str">
        <f t="shared" si="1280"/>
        <v/>
      </c>
      <c r="N9474" s="273"/>
    </row>
    <row r="9475" spans="1:15" ht="12.75" customHeight="1" x14ac:dyDescent="0.2">
      <c r="A9475" s="400"/>
      <c r="B9475" s="271"/>
      <c r="C9475" s="271"/>
      <c r="D9475" s="271"/>
      <c r="E9475" s="271"/>
      <c r="F9475" s="271"/>
      <c r="G9475" s="273"/>
      <c r="H9475" s="29"/>
      <c r="I9475" s="394"/>
      <c r="J9475" s="273"/>
      <c r="K9475" s="395"/>
      <c r="L9475" s="273"/>
      <c r="M9475" s="394" t="str">
        <f t="shared" si="1280"/>
        <v/>
      </c>
      <c r="N9475" s="273"/>
    </row>
    <row r="9476" spans="1:15" ht="12.75" customHeight="1" x14ac:dyDescent="0.25">
      <c r="A9476" s="4"/>
      <c r="B9476" s="4"/>
      <c r="C9476" s="4"/>
      <c r="D9476" s="4"/>
      <c r="E9476" s="4"/>
      <c r="F9476" s="4"/>
      <c r="G9476" s="4"/>
      <c r="H9476" s="4"/>
      <c r="I9476" s="4"/>
      <c r="J9476" s="4"/>
      <c r="K9476" s="396" t="s">
        <v>444</v>
      </c>
      <c r="L9476" s="273"/>
      <c r="M9476" s="394">
        <f>SUM(M9471:N9475)</f>
        <v>1456408.2299108128</v>
      </c>
      <c r="N9476" s="273"/>
    </row>
    <row r="9477" spans="1:15" ht="12.75" customHeight="1" x14ac:dyDescent="0.25">
      <c r="A9477" s="4"/>
      <c r="B9477" s="4"/>
      <c r="C9477" s="4"/>
      <c r="D9477" s="4"/>
      <c r="E9477" s="4"/>
      <c r="F9477" s="4"/>
      <c r="G9477" s="4"/>
      <c r="H9477" s="4"/>
      <c r="I9477" s="4"/>
      <c r="J9477" s="4"/>
      <c r="K9477" s="4"/>
      <c r="L9477" s="4"/>
      <c r="M9477" s="4"/>
      <c r="N9477" s="4"/>
    </row>
    <row r="9478" spans="1:15" ht="12.75" customHeight="1" x14ac:dyDescent="0.2">
      <c r="A9478" s="398" t="s">
        <v>931</v>
      </c>
      <c r="B9478" s="271"/>
      <c r="C9478" s="271"/>
      <c r="D9478" s="271"/>
      <c r="E9478" s="271"/>
      <c r="F9478" s="271"/>
      <c r="G9478" s="271"/>
      <c r="H9478" s="271"/>
      <c r="I9478" s="271"/>
      <c r="J9478" s="271"/>
      <c r="K9478" s="271"/>
      <c r="L9478" s="271"/>
      <c r="M9478" s="271"/>
      <c r="N9478" s="273"/>
    </row>
    <row r="9479" spans="1:15" ht="12.75" customHeight="1" x14ac:dyDescent="0.2">
      <c r="A9479" s="396" t="s">
        <v>76</v>
      </c>
      <c r="B9479" s="271"/>
      <c r="C9479" s="271"/>
      <c r="D9479" s="271"/>
      <c r="E9479" s="271"/>
      <c r="F9479" s="271"/>
      <c r="G9479" s="273"/>
      <c r="H9479" s="88" t="s">
        <v>77</v>
      </c>
      <c r="I9479" s="399" t="s">
        <v>920</v>
      </c>
      <c r="J9479" s="273"/>
      <c r="K9479" s="90" t="s">
        <v>514</v>
      </c>
      <c r="L9479" s="91" t="s">
        <v>932</v>
      </c>
      <c r="M9479" s="399" t="s">
        <v>921</v>
      </c>
      <c r="N9479" s="273"/>
    </row>
    <row r="9480" spans="1:15" ht="12.75" customHeight="1" x14ac:dyDescent="0.25">
      <c r="A9480" s="393" t="s">
        <v>973</v>
      </c>
      <c r="B9480" s="271"/>
      <c r="C9480" s="271"/>
      <c r="D9480" s="271"/>
      <c r="E9480" s="271"/>
      <c r="F9480" s="271"/>
      <c r="G9480" s="273"/>
      <c r="H9480" s="29" t="str">
        <f>IF(A9480="","",VLOOKUP(A9480,AA_Cuadrillas,4,FALSE))</f>
        <v>Cuadrilla</v>
      </c>
      <c r="I9480" s="394">
        <f>IF(A9480="","",VLOOKUP(A9480,AA_Cuadrillas,5,FALSE))</f>
        <v>256799</v>
      </c>
      <c r="J9480" s="273"/>
      <c r="K9480" s="9">
        <f>IF(A9480="","",F.P!$I$2)</f>
        <v>1.88</v>
      </c>
      <c r="L9480" s="97">
        <v>0.75</v>
      </c>
      <c r="M9480" s="394">
        <f t="shared" ref="M9480:M9484" si="1281">IF(A9480="","",I9480*K9480*L9480)</f>
        <v>362086.58999999997</v>
      </c>
      <c r="N9480" s="273"/>
    </row>
    <row r="9481" spans="1:15" ht="12.75" customHeight="1" x14ac:dyDescent="0.25">
      <c r="A9481" s="393" t="s">
        <v>1106</v>
      </c>
      <c r="B9481" s="271"/>
      <c r="C9481" s="271"/>
      <c r="D9481" s="271"/>
      <c r="E9481" s="271"/>
      <c r="F9481" s="271"/>
      <c r="G9481" s="273"/>
      <c r="H9481" s="29" t="str">
        <f>IF(A9481="","",VLOOKUP(A9481,AA_Cuadrillas,4,FALSE))</f>
        <v>Cuadrilla</v>
      </c>
      <c r="I9481" s="394">
        <f>IF(A9481="","",VLOOKUP(A9481,AA_Cuadrillas,5,FALSE))</f>
        <v>256799</v>
      </c>
      <c r="J9481" s="273"/>
      <c r="K9481" s="9">
        <f>IF(A9481="","",F.P!$I$2)</f>
        <v>1.88</v>
      </c>
      <c r="L9481" s="9">
        <v>0.5</v>
      </c>
      <c r="M9481" s="394">
        <f t="shared" si="1281"/>
        <v>241391.06</v>
      </c>
      <c r="N9481" s="273"/>
    </row>
    <row r="9482" spans="1:15" ht="12.75" customHeight="1" x14ac:dyDescent="0.25">
      <c r="A9482" s="393"/>
      <c r="B9482" s="271"/>
      <c r="C9482" s="271"/>
      <c r="D9482" s="271"/>
      <c r="E9482" s="271"/>
      <c r="F9482" s="271"/>
      <c r="G9482" s="273"/>
      <c r="H9482" s="29" t="str">
        <f>IF(A9482="","",VLOOKUP(A9482,AA_Cuadrillas,4,FALSE))</f>
        <v/>
      </c>
      <c r="I9482" s="394" t="str">
        <f>IF(A9482="","",VLOOKUP(A9482,AA_Cuadrillas,5,FALSE))</f>
        <v/>
      </c>
      <c r="J9482" s="273"/>
      <c r="K9482" s="9" t="str">
        <f>IF(A9482="","",F.P!$I$2)</f>
        <v/>
      </c>
      <c r="L9482" s="37"/>
      <c r="M9482" s="394" t="str">
        <f t="shared" si="1281"/>
        <v/>
      </c>
      <c r="N9482" s="273"/>
    </row>
    <row r="9483" spans="1:15" ht="12.75" customHeight="1" x14ac:dyDescent="0.25">
      <c r="A9483" s="393"/>
      <c r="B9483" s="271"/>
      <c r="C9483" s="271"/>
      <c r="D9483" s="271"/>
      <c r="E9483" s="271"/>
      <c r="F9483" s="271"/>
      <c r="G9483" s="273"/>
      <c r="H9483" s="29" t="str">
        <f>IF(A9483="","",VLOOKUP(A9483,AA_Cuadrillas,4,FALSE))</f>
        <v/>
      </c>
      <c r="I9483" s="394" t="str">
        <f>IF(A9483="","",VLOOKUP(A9483,AA_Cuadrillas,5,FALSE))</f>
        <v/>
      </c>
      <c r="J9483" s="273"/>
      <c r="K9483" s="9" t="str">
        <f>IF(A9483="","",F.P!$I$2)</f>
        <v/>
      </c>
      <c r="L9483" s="37"/>
      <c r="M9483" s="394" t="str">
        <f t="shared" si="1281"/>
        <v/>
      </c>
      <c r="N9483" s="273"/>
    </row>
    <row r="9484" spans="1:15" ht="12.75" customHeight="1" x14ac:dyDescent="0.25">
      <c r="A9484" s="393"/>
      <c r="B9484" s="271"/>
      <c r="C9484" s="271"/>
      <c r="D9484" s="271"/>
      <c r="E9484" s="271"/>
      <c r="F9484" s="271"/>
      <c r="G9484" s="273"/>
      <c r="H9484" s="29" t="str">
        <f>IF(A9484="","",VLOOKUP(A9484,AA_Cuadrillas,4,FALSE))</f>
        <v/>
      </c>
      <c r="I9484" s="394" t="str">
        <f>IF(A9484="","",VLOOKUP(A9484,AA_Cuadrillas,5,FALSE))</f>
        <v/>
      </c>
      <c r="J9484" s="273"/>
      <c r="K9484" s="9" t="str">
        <f>IF(A9484="","",F.P!$I$2)</f>
        <v/>
      </c>
      <c r="L9484" s="37"/>
      <c r="M9484" s="394" t="str">
        <f t="shared" si="1281"/>
        <v/>
      </c>
      <c r="N9484" s="273"/>
    </row>
    <row r="9485" spans="1:15" ht="12.75" customHeight="1" x14ac:dyDescent="0.25">
      <c r="A9485" s="4"/>
      <c r="B9485" s="4"/>
      <c r="C9485" s="4"/>
      <c r="D9485" s="4"/>
      <c r="E9485" s="4"/>
      <c r="F9485" s="4"/>
      <c r="G9485" s="4"/>
      <c r="H9485" s="4"/>
      <c r="I9485" s="4"/>
      <c r="J9485" s="4"/>
      <c r="K9485" s="396" t="s">
        <v>444</v>
      </c>
      <c r="L9485" s="273"/>
      <c r="M9485" s="394">
        <f>SUM(M9480:N9484)</f>
        <v>603477.64999999991</v>
      </c>
      <c r="N9485" s="273"/>
    </row>
    <row r="9486" spans="1:15" ht="12.75" customHeight="1" x14ac:dyDescent="0.2"/>
    <row r="9487" spans="1:15" ht="12.75" customHeight="1" x14ac:dyDescent="0.2">
      <c r="A9487" s="397" t="s">
        <v>363</v>
      </c>
      <c r="B9487" s="275"/>
      <c r="C9487" s="275"/>
      <c r="D9487" s="275"/>
      <c r="E9487" s="275"/>
      <c r="F9487" s="275"/>
      <c r="G9487" s="275"/>
      <c r="H9487" s="275"/>
      <c r="I9487" s="275"/>
      <c r="J9487" s="275"/>
      <c r="K9487" s="275"/>
      <c r="L9487" s="275"/>
      <c r="M9487" s="275"/>
      <c r="N9487" s="276"/>
      <c r="O9487" s="166"/>
    </row>
    <row r="9488" spans="1:15" ht="12.75" customHeight="1" x14ac:dyDescent="0.2">
      <c r="A9488" s="277"/>
      <c r="B9488" s="278"/>
      <c r="C9488" s="278"/>
      <c r="D9488" s="278"/>
      <c r="E9488" s="278"/>
      <c r="F9488" s="278"/>
      <c r="G9488" s="278"/>
      <c r="H9488" s="278"/>
      <c r="I9488" s="278"/>
      <c r="J9488" s="278"/>
      <c r="K9488" s="278"/>
      <c r="L9488" s="278"/>
      <c r="M9488" s="278"/>
      <c r="N9488" s="279"/>
      <c r="O9488" s="166"/>
    </row>
    <row r="9489" spans="1:14" ht="12.75" customHeight="1" x14ac:dyDescent="0.2">
      <c r="A9489" s="75"/>
      <c r="B9489" s="75"/>
      <c r="C9489" s="75"/>
      <c r="D9489" s="75"/>
      <c r="E9489" s="75"/>
      <c r="F9489" s="75"/>
      <c r="G9489" s="75"/>
      <c r="H9489" s="75"/>
      <c r="I9489" s="75"/>
      <c r="J9489" s="75"/>
      <c r="K9489" s="75"/>
      <c r="L9489" s="75"/>
      <c r="M9489" s="75"/>
      <c r="N9489" s="75"/>
    </row>
    <row r="9490" spans="1:14" ht="12.75" customHeight="1" x14ac:dyDescent="0.3">
      <c r="A9490" s="79" t="s">
        <v>822</v>
      </c>
      <c r="B9490" s="80" t="str">
        <f>A9487</f>
        <v>ESTACIÓN DE MACROMEDICIÓN DE Ø3" (INCLUYE CAJA DE CONCRETO CON TAPA Y ESCALERA DE GATO, VÁLVULAS, CODOS, TEES, UNIONES, FILTRO EN YEE, NIPLES, PASAMUROS, MACROMEDIDOR, MATERIALES, HERRAMIENTAS, TRANSPORTE Y MANO DE OBRA)</v>
      </c>
      <c r="C9490" s="81" t="s">
        <v>916</v>
      </c>
      <c r="D9490" s="82" t="s">
        <v>999</v>
      </c>
      <c r="E9490" s="83" t="s">
        <v>445</v>
      </c>
      <c r="F9490" s="234">
        <f>(H9490+J9490+L9490+N9490)*1.3</f>
        <v>18744228.0246078</v>
      </c>
      <c r="G9490" s="83" t="s">
        <v>607</v>
      </c>
      <c r="H9490" s="86">
        <f>M9523</f>
        <v>27979.405500000001</v>
      </c>
      <c r="I9490" s="83" t="s">
        <v>918</v>
      </c>
      <c r="J9490" s="86">
        <f>M9514</f>
        <v>13628469.426506</v>
      </c>
      <c r="K9490" s="83" t="s">
        <v>609</v>
      </c>
      <c r="L9490" s="86">
        <f>M9532</f>
        <v>202600</v>
      </c>
      <c r="M9490" s="83" t="s">
        <v>610</v>
      </c>
      <c r="N9490" s="86">
        <f>M9541</f>
        <v>559588.11</v>
      </c>
    </row>
    <row r="9491" spans="1:14" ht="12.75" customHeight="1" x14ac:dyDescent="0.25">
      <c r="A9491" s="87"/>
      <c r="B9491" s="87"/>
      <c r="C9491" s="87"/>
      <c r="D9491" s="87"/>
      <c r="E9491" s="87"/>
      <c r="F9491" s="87"/>
      <c r="G9491" s="87"/>
      <c r="J9491" s="87"/>
      <c r="K9491" s="215" t="s">
        <v>3217</v>
      </c>
      <c r="L9491" s="215">
        <f>+F9490*presup!$O$5</f>
        <v>24367496.431990139</v>
      </c>
      <c r="M9491" s="87"/>
      <c r="N9491" s="87"/>
    </row>
    <row r="9492" spans="1:14" ht="12.75" customHeight="1" x14ac:dyDescent="0.2">
      <c r="A9492" s="398" t="s">
        <v>919</v>
      </c>
      <c r="B9492" s="271"/>
      <c r="C9492" s="271"/>
      <c r="D9492" s="271"/>
      <c r="E9492" s="271"/>
      <c r="F9492" s="271"/>
      <c r="G9492" s="271"/>
      <c r="H9492" s="271"/>
      <c r="I9492" s="271"/>
      <c r="J9492" s="271"/>
      <c r="K9492" s="271"/>
      <c r="L9492" s="271"/>
      <c r="M9492" s="271"/>
      <c r="N9492" s="273"/>
    </row>
    <row r="9493" spans="1:14" ht="12.75" customHeight="1" x14ac:dyDescent="0.2">
      <c r="A9493" s="396" t="s">
        <v>76</v>
      </c>
      <c r="B9493" s="271"/>
      <c r="C9493" s="271"/>
      <c r="D9493" s="271"/>
      <c r="E9493" s="271"/>
      <c r="F9493" s="271"/>
      <c r="G9493" s="273"/>
      <c r="H9493" s="88" t="s">
        <v>77</v>
      </c>
      <c r="I9493" s="399" t="s">
        <v>920</v>
      </c>
      <c r="J9493" s="273"/>
      <c r="K9493" s="399" t="s">
        <v>453</v>
      </c>
      <c r="L9493" s="273"/>
      <c r="M9493" s="399" t="s">
        <v>921</v>
      </c>
      <c r="N9493" s="273"/>
    </row>
    <row r="9494" spans="1:14" ht="12.75" customHeight="1" x14ac:dyDescent="0.2">
      <c r="A9494" s="403" t="s">
        <v>1307</v>
      </c>
      <c r="B9494" s="271"/>
      <c r="C9494" s="271"/>
      <c r="D9494" s="271"/>
      <c r="E9494" s="271"/>
      <c r="F9494" s="271"/>
      <c r="G9494" s="273"/>
      <c r="H9494" s="29" t="str">
        <f t="shared" ref="H9494:H9513" si="1282">IF(A9494="","",VLOOKUP(A9494,AA_Materiales,7,FALSE))</f>
        <v>m2</v>
      </c>
      <c r="I9494" s="409">
        <f>'BASICOS SIN AIU '!F267</f>
        <v>4150.0217132000016</v>
      </c>
      <c r="J9494" s="410"/>
      <c r="K9494" s="395">
        <f>+'MICRO Y MACRO'!$C$128</f>
        <v>3.04</v>
      </c>
      <c r="L9494" s="273"/>
      <c r="M9494" s="394">
        <f t="shared" ref="M9494:M9513" si="1283">IF(A9494="","",I9494*K9494)</f>
        <v>12616.066008128006</v>
      </c>
      <c r="N9494" s="273"/>
    </row>
    <row r="9495" spans="1:14" ht="12.75" customHeight="1" x14ac:dyDescent="0.2">
      <c r="A9495" s="403" t="s">
        <v>1308</v>
      </c>
      <c r="B9495" s="271"/>
      <c r="C9495" s="271"/>
      <c r="D9495" s="271"/>
      <c r="E9495" s="271"/>
      <c r="F9495" s="271"/>
      <c r="G9495" s="273"/>
      <c r="H9495" s="29" t="str">
        <f t="shared" si="1282"/>
        <v>m3</v>
      </c>
      <c r="I9495" s="409">
        <f>'BASICOS SIN AIU '!F4</f>
        <v>52660.488615999995</v>
      </c>
      <c r="J9495" s="410"/>
      <c r="K9495" s="395">
        <f>+'MICRO Y MACRO'!$C$129</f>
        <v>5.4720000000000004</v>
      </c>
      <c r="L9495" s="273"/>
      <c r="M9495" s="394">
        <f t="shared" si="1283"/>
        <v>288158.19370675198</v>
      </c>
      <c r="N9495" s="273"/>
    </row>
    <row r="9496" spans="1:14" ht="12.75" customHeight="1" x14ac:dyDescent="0.2">
      <c r="A9496" s="403" t="s">
        <v>1309</v>
      </c>
      <c r="B9496" s="271"/>
      <c r="C9496" s="271"/>
      <c r="D9496" s="271"/>
      <c r="E9496" s="271"/>
      <c r="F9496" s="271"/>
      <c r="G9496" s="273"/>
      <c r="H9496" s="29" t="str">
        <f t="shared" si="1282"/>
        <v>m3</v>
      </c>
      <c r="I9496" s="409">
        <f>'BASICOS SIN AIU '!F47</f>
        <v>176301.78268129006</v>
      </c>
      <c r="J9496" s="410"/>
      <c r="K9496" s="395">
        <f>+'MICRO Y MACRO'!$C$130</f>
        <v>0.6080000000000001</v>
      </c>
      <c r="L9496" s="273"/>
      <c r="M9496" s="394">
        <f t="shared" si="1283"/>
        <v>107191.48387022437</v>
      </c>
      <c r="N9496" s="273"/>
    </row>
    <row r="9497" spans="1:14" ht="30.75" customHeight="1" x14ac:dyDescent="0.2">
      <c r="A9497" s="403" t="s">
        <v>1332</v>
      </c>
      <c r="B9497" s="271"/>
      <c r="C9497" s="271"/>
      <c r="D9497" s="271"/>
      <c r="E9497" s="271"/>
      <c r="F9497" s="271"/>
      <c r="G9497" s="273"/>
      <c r="H9497" s="29" t="str">
        <f t="shared" si="1282"/>
        <v>m3</v>
      </c>
      <c r="I9497" s="409">
        <f t="shared" ref="I9497:I9513" si="1284">IF(A9497="","",VLOOKUP(A9497,AA_Materiales,8,FALSE))</f>
        <v>18218.939999999999</v>
      </c>
      <c r="J9497" s="410"/>
      <c r="K9497" s="395">
        <f>+'MICRO Y MACRO'!$C$131</f>
        <v>0</v>
      </c>
      <c r="L9497" s="273"/>
      <c r="M9497" s="394">
        <f t="shared" si="1283"/>
        <v>0</v>
      </c>
      <c r="N9497" s="273"/>
    </row>
    <row r="9498" spans="1:14" ht="12.75" customHeight="1" x14ac:dyDescent="0.2">
      <c r="A9498" s="403" t="s">
        <v>1310</v>
      </c>
      <c r="B9498" s="271"/>
      <c r="C9498" s="271"/>
      <c r="D9498" s="271"/>
      <c r="E9498" s="271"/>
      <c r="F9498" s="271"/>
      <c r="G9498" s="273"/>
      <c r="H9498" s="29" t="str">
        <f t="shared" si="1282"/>
        <v>m3</v>
      </c>
      <c r="I9498" s="409">
        <f>'BASICOS SIN AIU '!F218</f>
        <v>619876.4246790678</v>
      </c>
      <c r="J9498" s="410"/>
      <c r="K9498" s="395">
        <f>+'MICRO Y MACRO'!$C$132</f>
        <v>0.15200000000000002</v>
      </c>
      <c r="L9498" s="273"/>
      <c r="M9498" s="394">
        <f t="shared" si="1283"/>
        <v>94221.216551218327</v>
      </c>
      <c r="N9498" s="273"/>
    </row>
    <row r="9499" spans="1:14" ht="12.75" customHeight="1" x14ac:dyDescent="0.2">
      <c r="A9499" s="403" t="s">
        <v>1311</v>
      </c>
      <c r="B9499" s="271"/>
      <c r="C9499" s="271"/>
      <c r="D9499" s="271"/>
      <c r="E9499" s="271"/>
      <c r="F9499" s="271"/>
      <c r="G9499" s="273"/>
      <c r="H9499" s="29" t="str">
        <f t="shared" si="1282"/>
        <v>Kg</v>
      </c>
      <c r="I9499" s="409">
        <f>'BASICOS SIN AIU '!F309</f>
        <v>8006.0498787222223</v>
      </c>
      <c r="J9499" s="410"/>
      <c r="K9499" s="395">
        <f>+'MICRO Y MACRO'!$C$133</f>
        <v>225.92</v>
      </c>
      <c r="L9499" s="273"/>
      <c r="M9499" s="394">
        <f t="shared" si="1283"/>
        <v>1808726.7886009244</v>
      </c>
      <c r="N9499" s="273"/>
    </row>
    <row r="9500" spans="1:14" ht="12.75" customHeight="1" x14ac:dyDescent="0.2">
      <c r="A9500" s="403" t="s">
        <v>1462</v>
      </c>
      <c r="B9500" s="271"/>
      <c r="C9500" s="271"/>
      <c r="D9500" s="271"/>
      <c r="E9500" s="271"/>
      <c r="F9500" s="271"/>
      <c r="G9500" s="273"/>
      <c r="H9500" s="29" t="str">
        <f t="shared" si="1282"/>
        <v>m3</v>
      </c>
      <c r="I9500" s="411">
        <f>'BASICOS SIN AIU '!F440</f>
        <v>844782.11970906786</v>
      </c>
      <c r="J9500" s="368"/>
      <c r="K9500" s="395">
        <f>+'MICRO Y MACRO'!$C$134</f>
        <v>0.6080000000000001</v>
      </c>
      <c r="L9500" s="273"/>
      <c r="M9500" s="394">
        <f t="shared" si="1283"/>
        <v>513627.52878311335</v>
      </c>
      <c r="N9500" s="273"/>
    </row>
    <row r="9501" spans="1:14" ht="12.75" customHeight="1" x14ac:dyDescent="0.2">
      <c r="A9501" s="403" t="s">
        <v>1463</v>
      </c>
      <c r="B9501" s="271"/>
      <c r="C9501" s="271"/>
      <c r="D9501" s="271"/>
      <c r="E9501" s="271"/>
      <c r="F9501" s="271"/>
      <c r="G9501" s="273"/>
      <c r="H9501" s="29" t="str">
        <f t="shared" si="1282"/>
        <v>m3</v>
      </c>
      <c r="I9501" s="411">
        <f>'BASICOS SIN AIU '!F394</f>
        <v>935642.83752499998</v>
      </c>
      <c r="J9501" s="368"/>
      <c r="K9501" s="395">
        <f>+'MICRO Y MACRO'!$C$135</f>
        <v>1.2960000000000003</v>
      </c>
      <c r="L9501" s="273"/>
      <c r="M9501" s="394">
        <f t="shared" si="1283"/>
        <v>1212593.1174324001</v>
      </c>
      <c r="N9501" s="273"/>
    </row>
    <row r="9502" spans="1:14" ht="12.75" customHeight="1" x14ac:dyDescent="0.2">
      <c r="A9502" s="403" t="s">
        <v>1371</v>
      </c>
      <c r="B9502" s="271"/>
      <c r="C9502" s="271"/>
      <c r="D9502" s="271"/>
      <c r="E9502" s="271"/>
      <c r="F9502" s="271"/>
      <c r="G9502" s="273"/>
      <c r="H9502" s="29" t="str">
        <f t="shared" si="1282"/>
        <v>m3</v>
      </c>
      <c r="I9502" s="411">
        <f>'BASICOS SIN AIU '!F486</f>
        <v>909113.4069229567</v>
      </c>
      <c r="J9502" s="368"/>
      <c r="K9502" s="395">
        <f>+'MICRO Y MACRO'!$C$136</f>
        <v>0.45599999999999996</v>
      </c>
      <c r="L9502" s="273"/>
      <c r="M9502" s="394">
        <f t="shared" si="1283"/>
        <v>414555.7135568682</v>
      </c>
      <c r="N9502" s="273"/>
    </row>
    <row r="9503" spans="1:14" ht="12.75" customHeight="1" x14ac:dyDescent="0.2">
      <c r="A9503" s="403" t="s">
        <v>1056</v>
      </c>
      <c r="B9503" s="271"/>
      <c r="C9503" s="271"/>
      <c r="D9503" s="271"/>
      <c r="E9503" s="271"/>
      <c r="F9503" s="271"/>
      <c r="G9503" s="273"/>
      <c r="H9503" s="29" t="str">
        <f t="shared" si="1282"/>
        <v>Unidad</v>
      </c>
      <c r="I9503" s="411">
        <f t="shared" si="1284"/>
        <v>78000</v>
      </c>
      <c r="J9503" s="368"/>
      <c r="K9503" s="395">
        <f>+'MICRO Y MACRO'!$C$137</f>
        <v>4</v>
      </c>
      <c r="L9503" s="273"/>
      <c r="M9503" s="394">
        <f t="shared" si="1283"/>
        <v>312000</v>
      </c>
      <c r="N9503" s="273"/>
    </row>
    <row r="9504" spans="1:14" ht="12.75" customHeight="1" x14ac:dyDescent="0.2">
      <c r="A9504" s="403" t="s">
        <v>1316</v>
      </c>
      <c r="B9504" s="271"/>
      <c r="C9504" s="271"/>
      <c r="D9504" s="271"/>
      <c r="E9504" s="271"/>
      <c r="F9504" s="271"/>
      <c r="G9504" s="273"/>
      <c r="H9504" s="29" t="str">
        <f t="shared" si="1282"/>
        <v>Unidad</v>
      </c>
      <c r="I9504" s="411">
        <f t="shared" si="1284"/>
        <v>833487.79</v>
      </c>
      <c r="J9504" s="368"/>
      <c r="K9504" s="395">
        <f>+'MICRO Y MACRO'!$C$138</f>
        <v>1</v>
      </c>
      <c r="L9504" s="273"/>
      <c r="M9504" s="394">
        <f t="shared" si="1283"/>
        <v>833487.79</v>
      </c>
      <c r="N9504" s="273"/>
    </row>
    <row r="9505" spans="1:14" ht="12.75" customHeight="1" x14ac:dyDescent="0.2">
      <c r="A9505" s="430" t="s">
        <v>1470</v>
      </c>
      <c r="B9505" s="370"/>
      <c r="C9505" s="370"/>
      <c r="D9505" s="370"/>
      <c r="E9505" s="370"/>
      <c r="F9505" s="370"/>
      <c r="G9505" s="368"/>
      <c r="H9505" s="228" t="str">
        <f t="shared" si="1282"/>
        <v>Unidad</v>
      </c>
      <c r="I9505" s="411">
        <f t="shared" si="1284"/>
        <v>402125.61662650009</v>
      </c>
      <c r="J9505" s="368"/>
      <c r="K9505" s="425">
        <f>+'MICRO Y MACRO'!$E$115</f>
        <v>2</v>
      </c>
      <c r="L9505" s="368"/>
      <c r="M9505" s="394">
        <f t="shared" si="1283"/>
        <v>804251.23325300019</v>
      </c>
      <c r="N9505" s="273"/>
    </row>
    <row r="9506" spans="1:14" ht="12.75" customHeight="1" x14ac:dyDescent="0.2">
      <c r="A9506" s="430" t="s">
        <v>1135</v>
      </c>
      <c r="B9506" s="370"/>
      <c r="C9506" s="370"/>
      <c r="D9506" s="370"/>
      <c r="E9506" s="370"/>
      <c r="F9506" s="370"/>
      <c r="G9506" s="368"/>
      <c r="H9506" s="228" t="str">
        <f t="shared" si="1282"/>
        <v>Unidad</v>
      </c>
      <c r="I9506" s="411">
        <f t="shared" si="1284"/>
        <v>886000</v>
      </c>
      <c r="J9506" s="368"/>
      <c r="K9506" s="425">
        <f>+'MICRO Y MACRO'!$E$117</f>
        <v>3</v>
      </c>
      <c r="L9506" s="368"/>
      <c r="M9506" s="394">
        <f t="shared" si="1283"/>
        <v>2658000</v>
      </c>
      <c r="N9506" s="273"/>
    </row>
    <row r="9507" spans="1:14" ht="12.75" customHeight="1" x14ac:dyDescent="0.2">
      <c r="A9507" s="430" t="s">
        <v>1471</v>
      </c>
      <c r="B9507" s="370"/>
      <c r="C9507" s="370"/>
      <c r="D9507" s="370"/>
      <c r="E9507" s="370"/>
      <c r="F9507" s="370"/>
      <c r="G9507" s="368"/>
      <c r="H9507" s="228" t="str">
        <f t="shared" si="1282"/>
        <v>Unidad</v>
      </c>
      <c r="I9507" s="411">
        <f t="shared" si="1284"/>
        <v>8167256.96</v>
      </c>
      <c r="J9507" s="368"/>
      <c r="K9507" s="425">
        <f>+'MICRO Y MACRO'!$E$123</f>
        <v>1</v>
      </c>
      <c r="L9507" s="368"/>
      <c r="M9507" s="394">
        <f t="shared" si="1283"/>
        <v>8167256.96</v>
      </c>
      <c r="N9507" s="273"/>
    </row>
    <row r="9508" spans="1:14" ht="12.75" customHeight="1" x14ac:dyDescent="0.2">
      <c r="A9508" s="430" t="s">
        <v>1152</v>
      </c>
      <c r="B9508" s="370"/>
      <c r="C9508" s="370"/>
      <c r="D9508" s="370"/>
      <c r="E9508" s="370"/>
      <c r="F9508" s="370"/>
      <c r="G9508" s="368"/>
      <c r="H9508" s="228" t="str">
        <f t="shared" si="1282"/>
        <v>Unidad</v>
      </c>
      <c r="I9508" s="411">
        <f t="shared" si="1284"/>
        <v>504000</v>
      </c>
      <c r="J9508" s="368"/>
      <c r="K9508" s="425">
        <f>+'MICRO Y MACRO'!$E$120</f>
        <v>1</v>
      </c>
      <c r="L9508" s="368"/>
      <c r="M9508" s="394">
        <f t="shared" si="1283"/>
        <v>504000</v>
      </c>
      <c r="N9508" s="273"/>
    </row>
    <row r="9509" spans="1:14" ht="12.75" customHeight="1" x14ac:dyDescent="0.2">
      <c r="A9509" s="430" t="s">
        <v>1472</v>
      </c>
      <c r="B9509" s="370"/>
      <c r="C9509" s="370"/>
      <c r="D9509" s="370"/>
      <c r="E9509" s="370"/>
      <c r="F9509" s="370"/>
      <c r="G9509" s="368"/>
      <c r="H9509" s="228" t="str">
        <f t="shared" si="1282"/>
        <v>Unidad</v>
      </c>
      <c r="I9509" s="411">
        <f t="shared" si="1284"/>
        <v>302480.61662649998</v>
      </c>
      <c r="J9509" s="368"/>
      <c r="K9509" s="425">
        <f>+'MICRO Y MACRO'!$E$116</f>
        <v>2</v>
      </c>
      <c r="L9509" s="368"/>
      <c r="M9509" s="394">
        <f t="shared" si="1283"/>
        <v>604961.23325299995</v>
      </c>
      <c r="N9509" s="273"/>
    </row>
    <row r="9510" spans="1:14" ht="12.75" customHeight="1" x14ac:dyDescent="0.2">
      <c r="A9510" s="430" t="s">
        <v>1124</v>
      </c>
      <c r="B9510" s="370"/>
      <c r="C9510" s="370"/>
      <c r="D9510" s="370"/>
      <c r="E9510" s="370"/>
      <c r="F9510" s="370"/>
      <c r="G9510" s="368"/>
      <c r="H9510" s="228" t="str">
        <f t="shared" si="1282"/>
        <v>Unidad</v>
      </c>
      <c r="I9510" s="411">
        <f t="shared" si="1284"/>
        <v>190000</v>
      </c>
      <c r="J9510" s="368"/>
      <c r="K9510" s="425">
        <f>+'MICRO Y MACRO'!$E$119</f>
        <v>2</v>
      </c>
      <c r="L9510" s="368"/>
      <c r="M9510" s="394">
        <f t="shared" si="1283"/>
        <v>380000</v>
      </c>
      <c r="N9510" s="273"/>
    </row>
    <row r="9511" spans="1:14" ht="12.75" customHeight="1" x14ac:dyDescent="0.2">
      <c r="A9511" s="430" t="s">
        <v>1145</v>
      </c>
      <c r="B9511" s="370"/>
      <c r="C9511" s="370"/>
      <c r="D9511" s="370"/>
      <c r="E9511" s="370"/>
      <c r="F9511" s="370"/>
      <c r="G9511" s="368"/>
      <c r="H9511" s="228" t="str">
        <f t="shared" si="1282"/>
        <v>Unidad</v>
      </c>
      <c r="I9511" s="411">
        <f t="shared" si="1284"/>
        <v>130000</v>
      </c>
      <c r="J9511" s="368"/>
      <c r="K9511" s="425">
        <f>+'MICRO Y MACRO'!$E$122</f>
        <v>2</v>
      </c>
      <c r="L9511" s="368"/>
      <c r="M9511" s="394">
        <f t="shared" si="1283"/>
        <v>260000</v>
      </c>
      <c r="N9511" s="273"/>
    </row>
    <row r="9512" spans="1:14" ht="12.75" customHeight="1" x14ac:dyDescent="0.2">
      <c r="A9512" s="430" t="s">
        <v>1473</v>
      </c>
      <c r="B9512" s="370"/>
      <c r="C9512" s="370"/>
      <c r="D9512" s="370"/>
      <c r="E9512" s="370"/>
      <c r="F9512" s="370"/>
      <c r="G9512" s="368"/>
      <c r="H9512" s="228" t="str">
        <f t="shared" si="1282"/>
        <v>Unidad</v>
      </c>
      <c r="I9512" s="411">
        <f t="shared" si="1284"/>
        <v>250000</v>
      </c>
      <c r="J9512" s="368"/>
      <c r="K9512" s="425">
        <f>+'MICRO Y MACRO'!$E$121</f>
        <v>1</v>
      </c>
      <c r="L9512" s="368"/>
      <c r="M9512" s="394">
        <f t="shared" si="1283"/>
        <v>250000</v>
      </c>
      <c r="N9512" s="273"/>
    </row>
    <row r="9513" spans="1:14" ht="12.75" customHeight="1" x14ac:dyDescent="0.2">
      <c r="A9513" s="403"/>
      <c r="B9513" s="271"/>
      <c r="C9513" s="271"/>
      <c r="D9513" s="271"/>
      <c r="E9513" s="271"/>
      <c r="F9513" s="271"/>
      <c r="G9513" s="273"/>
      <c r="H9513" s="29" t="str">
        <f t="shared" si="1282"/>
        <v/>
      </c>
      <c r="I9513" s="394" t="str">
        <f t="shared" si="1284"/>
        <v/>
      </c>
      <c r="J9513" s="273"/>
      <c r="K9513" s="395"/>
      <c r="L9513" s="273"/>
      <c r="M9513" s="394" t="str">
        <f t="shared" si="1283"/>
        <v/>
      </c>
      <c r="N9513" s="273"/>
    </row>
    <row r="9514" spans="1:14" ht="12.75" customHeight="1" x14ac:dyDescent="0.25">
      <c r="A9514" s="4"/>
      <c r="B9514" s="4"/>
      <c r="C9514" s="4"/>
      <c r="D9514" s="4"/>
      <c r="E9514" s="4"/>
      <c r="F9514" s="4"/>
      <c r="G9514" s="4"/>
      <c r="H9514" s="4"/>
      <c r="I9514" s="4"/>
      <c r="J9514" s="4"/>
      <c r="K9514" s="396" t="s">
        <v>444</v>
      </c>
      <c r="L9514" s="273"/>
      <c r="M9514" s="394">
        <f>SUM(M9505:N9513)</f>
        <v>13628469.426506</v>
      </c>
      <c r="N9514" s="273"/>
    </row>
    <row r="9515" spans="1:14" ht="12.75" customHeight="1" x14ac:dyDescent="0.25">
      <c r="A9515" s="4"/>
      <c r="B9515" s="4"/>
      <c r="C9515" s="4"/>
      <c r="D9515" s="4"/>
      <c r="E9515" s="4"/>
      <c r="F9515" s="4"/>
      <c r="G9515" s="4"/>
      <c r="H9515" s="4"/>
      <c r="I9515" s="4"/>
      <c r="J9515" s="4"/>
      <c r="K9515" s="4"/>
      <c r="L9515" s="4"/>
      <c r="M9515" s="4"/>
      <c r="N9515" s="4"/>
    </row>
    <row r="9516" spans="1:14" ht="12.75" customHeight="1" x14ac:dyDescent="0.2">
      <c r="A9516" s="398" t="s">
        <v>926</v>
      </c>
      <c r="B9516" s="271"/>
      <c r="C9516" s="271"/>
      <c r="D9516" s="271"/>
      <c r="E9516" s="271"/>
      <c r="F9516" s="271"/>
      <c r="G9516" s="271"/>
      <c r="H9516" s="271"/>
      <c r="I9516" s="271"/>
      <c r="J9516" s="271"/>
      <c r="K9516" s="271"/>
      <c r="L9516" s="271"/>
      <c r="M9516" s="271"/>
      <c r="N9516" s="273"/>
    </row>
    <row r="9517" spans="1:14" ht="12.75" customHeight="1" x14ac:dyDescent="0.2">
      <c r="A9517" s="396" t="s">
        <v>76</v>
      </c>
      <c r="B9517" s="271"/>
      <c r="C9517" s="271"/>
      <c r="D9517" s="271"/>
      <c r="E9517" s="271"/>
      <c r="F9517" s="271"/>
      <c r="G9517" s="273"/>
      <c r="H9517" s="88" t="s">
        <v>77</v>
      </c>
      <c r="I9517" s="399" t="s">
        <v>920</v>
      </c>
      <c r="J9517" s="273"/>
      <c r="K9517" s="399" t="s">
        <v>453</v>
      </c>
      <c r="L9517" s="273"/>
      <c r="M9517" s="399" t="s">
        <v>921</v>
      </c>
      <c r="N9517" s="273"/>
    </row>
    <row r="9518" spans="1:14" ht="12.75" customHeight="1" x14ac:dyDescent="0.2">
      <c r="A9518" s="400" t="s">
        <v>1469</v>
      </c>
      <c r="B9518" s="271"/>
      <c r="C9518" s="271"/>
      <c r="D9518" s="271"/>
      <c r="E9518" s="271"/>
      <c r="F9518" s="271"/>
      <c r="G9518" s="273"/>
      <c r="H9518" s="29" t="str">
        <f>IF(A9518="","",VLOOKUP(A9518,AA_Equipos,7,FALSE))</f>
        <v>% M.O.</v>
      </c>
      <c r="I9518" s="394">
        <f>+M9541</f>
        <v>559588.11</v>
      </c>
      <c r="J9518" s="273"/>
      <c r="K9518" s="404">
        <v>0.05</v>
      </c>
      <c r="L9518" s="273"/>
      <c r="M9518" s="394">
        <f t="shared" ref="M9518:M9522" si="1285">IF(A9518="","",I9518*K9518)</f>
        <v>27979.405500000001</v>
      </c>
      <c r="N9518" s="273"/>
    </row>
    <row r="9519" spans="1:14" ht="12.75" customHeight="1" x14ac:dyDescent="0.2">
      <c r="A9519" s="403"/>
      <c r="B9519" s="271"/>
      <c r="C9519" s="271"/>
      <c r="D9519" s="271"/>
      <c r="E9519" s="271"/>
      <c r="F9519" s="271"/>
      <c r="G9519" s="273"/>
      <c r="H9519" s="29" t="str">
        <f>IF(A9519="","",VLOOKUP(A9519,AA_Equipos,7,FALSE))</f>
        <v/>
      </c>
      <c r="I9519" s="394" t="str">
        <f>IF(A9519="","",VLOOKUP(A9519,AA_Equipos,8,FALSE))</f>
        <v/>
      </c>
      <c r="J9519" s="273"/>
      <c r="K9519" s="402"/>
      <c r="L9519" s="273"/>
      <c r="M9519" s="394" t="str">
        <f t="shared" si="1285"/>
        <v/>
      </c>
      <c r="N9519" s="273"/>
    </row>
    <row r="9520" spans="1:14" ht="12.75" customHeight="1" x14ac:dyDescent="0.2">
      <c r="A9520" s="400"/>
      <c r="B9520" s="271"/>
      <c r="C9520" s="271"/>
      <c r="D9520" s="271"/>
      <c r="E9520" s="271"/>
      <c r="F9520" s="271"/>
      <c r="G9520" s="273"/>
      <c r="H9520" s="29" t="str">
        <f>IF(A9520="","",VLOOKUP(A9520,AA_Equipos,7,FALSE))</f>
        <v/>
      </c>
      <c r="I9520" s="394" t="str">
        <f>IF(A9520="","",VLOOKUP(A9520,AA_Equipos,8,FALSE))</f>
        <v/>
      </c>
      <c r="J9520" s="273"/>
      <c r="K9520" s="401"/>
      <c r="L9520" s="273"/>
      <c r="M9520" s="394" t="str">
        <f t="shared" si="1285"/>
        <v/>
      </c>
      <c r="N9520" s="273"/>
    </row>
    <row r="9521" spans="1:14" ht="12.75" customHeight="1" x14ac:dyDescent="0.2">
      <c r="A9521" s="400"/>
      <c r="B9521" s="271"/>
      <c r="C9521" s="271"/>
      <c r="D9521" s="271"/>
      <c r="E9521" s="271"/>
      <c r="F9521" s="271"/>
      <c r="G9521" s="273"/>
      <c r="H9521" s="29" t="str">
        <f>IF(A9521="","",VLOOKUP(A9521,AA_Equipos,7,FALSE))</f>
        <v/>
      </c>
      <c r="I9521" s="394" t="str">
        <f>IF(A9521="","",VLOOKUP(A9521,AA_Equipos,8,FALSE))</f>
        <v/>
      </c>
      <c r="J9521" s="273"/>
      <c r="K9521" s="395"/>
      <c r="L9521" s="273"/>
      <c r="M9521" s="394" t="str">
        <f t="shared" si="1285"/>
        <v/>
      </c>
      <c r="N9521" s="273"/>
    </row>
    <row r="9522" spans="1:14" ht="12.75" customHeight="1" x14ac:dyDescent="0.2">
      <c r="A9522" s="400"/>
      <c r="B9522" s="271"/>
      <c r="C9522" s="271"/>
      <c r="D9522" s="271"/>
      <c r="E9522" s="271"/>
      <c r="F9522" s="271"/>
      <c r="G9522" s="273"/>
      <c r="H9522" s="29" t="str">
        <f>IF(A9522="","",VLOOKUP(A9522,AA_Equipos,7,FALSE))</f>
        <v/>
      </c>
      <c r="I9522" s="394" t="str">
        <f>IF(A9522="","",VLOOKUP(A9522,AA_Equipos,8,FALSE))</f>
        <v/>
      </c>
      <c r="J9522" s="273"/>
      <c r="K9522" s="395"/>
      <c r="L9522" s="273"/>
      <c r="M9522" s="394" t="str">
        <f t="shared" si="1285"/>
        <v/>
      </c>
      <c r="N9522" s="273"/>
    </row>
    <row r="9523" spans="1:14" ht="12.75" customHeight="1" x14ac:dyDescent="0.25">
      <c r="A9523" s="4"/>
      <c r="B9523" s="4"/>
      <c r="C9523" s="4"/>
      <c r="D9523" s="4"/>
      <c r="E9523" s="4"/>
      <c r="F9523" s="4"/>
      <c r="G9523" s="4"/>
      <c r="H9523" s="4"/>
      <c r="I9523" s="4"/>
      <c r="J9523" s="4"/>
      <c r="K9523" s="396" t="s">
        <v>444</v>
      </c>
      <c r="L9523" s="273"/>
      <c r="M9523" s="394">
        <f>SUM(M9518:N9522)</f>
        <v>27979.405500000001</v>
      </c>
      <c r="N9523" s="273"/>
    </row>
    <row r="9524" spans="1:14" ht="12.75" customHeight="1" x14ac:dyDescent="0.25">
      <c r="A9524" s="4"/>
      <c r="B9524" s="4"/>
      <c r="C9524" s="4"/>
      <c r="D9524" s="4"/>
      <c r="E9524" s="4"/>
      <c r="F9524" s="4"/>
      <c r="G9524" s="4"/>
      <c r="H9524" s="4"/>
      <c r="I9524" s="4"/>
      <c r="J9524" s="4"/>
      <c r="K9524" s="4"/>
      <c r="L9524" s="4"/>
      <c r="M9524" s="4"/>
      <c r="N9524" s="4"/>
    </row>
    <row r="9525" spans="1:14" ht="12.75" customHeight="1" x14ac:dyDescent="0.2">
      <c r="A9525" s="398" t="s">
        <v>929</v>
      </c>
      <c r="B9525" s="271"/>
      <c r="C9525" s="271"/>
      <c r="D9525" s="271"/>
      <c r="E9525" s="271"/>
      <c r="F9525" s="271"/>
      <c r="G9525" s="271"/>
      <c r="H9525" s="271"/>
      <c r="I9525" s="271"/>
      <c r="J9525" s="271"/>
      <c r="K9525" s="271"/>
      <c r="L9525" s="271"/>
      <c r="M9525" s="271"/>
      <c r="N9525" s="273"/>
    </row>
    <row r="9526" spans="1:14" ht="12.75" customHeight="1" x14ac:dyDescent="0.2">
      <c r="A9526" s="396" t="s">
        <v>76</v>
      </c>
      <c r="B9526" s="271"/>
      <c r="C9526" s="271"/>
      <c r="D9526" s="271"/>
      <c r="E9526" s="271"/>
      <c r="F9526" s="271"/>
      <c r="G9526" s="273"/>
      <c r="H9526" s="88" t="s">
        <v>77</v>
      </c>
      <c r="I9526" s="399" t="s">
        <v>920</v>
      </c>
      <c r="J9526" s="273"/>
      <c r="K9526" s="399" t="s">
        <v>453</v>
      </c>
      <c r="L9526" s="273"/>
      <c r="M9526" s="399" t="s">
        <v>921</v>
      </c>
      <c r="N9526" s="273"/>
    </row>
    <row r="9527" spans="1:14" ht="12.75" customHeight="1" x14ac:dyDescent="0.2">
      <c r="A9527" s="400" t="s">
        <v>966</v>
      </c>
      <c r="B9527" s="271"/>
      <c r="C9527" s="271"/>
      <c r="D9527" s="271"/>
      <c r="E9527" s="271"/>
      <c r="F9527" s="271"/>
      <c r="G9527" s="273"/>
      <c r="H9527" s="29" t="s">
        <v>950</v>
      </c>
      <c r="I9527" s="394">
        <f>+M9512+M9511+M9510+M9508+M9506</f>
        <v>4052000</v>
      </c>
      <c r="J9527" s="273"/>
      <c r="K9527" s="404">
        <v>0.05</v>
      </c>
      <c r="L9527" s="273"/>
      <c r="M9527" s="394">
        <f t="shared" ref="M9527:M9531" si="1286">IF(A9527="","",I9527*K9527)</f>
        <v>202600</v>
      </c>
      <c r="N9527" s="273"/>
    </row>
    <row r="9528" spans="1:14" ht="12.75" customHeight="1" x14ac:dyDescent="0.2">
      <c r="A9528" s="403"/>
      <c r="B9528" s="271"/>
      <c r="C9528" s="271"/>
      <c r="D9528" s="271"/>
      <c r="E9528" s="271"/>
      <c r="F9528" s="271"/>
      <c r="G9528" s="273"/>
      <c r="H9528" s="29"/>
      <c r="I9528" s="394"/>
      <c r="J9528" s="273"/>
      <c r="K9528" s="404"/>
      <c r="L9528" s="273"/>
      <c r="M9528" s="394" t="str">
        <f t="shared" si="1286"/>
        <v/>
      </c>
      <c r="N9528" s="273"/>
    </row>
    <row r="9529" spans="1:14" ht="12.75" customHeight="1" x14ac:dyDescent="0.2">
      <c r="A9529" s="400"/>
      <c r="B9529" s="271"/>
      <c r="C9529" s="271"/>
      <c r="D9529" s="271"/>
      <c r="E9529" s="271"/>
      <c r="F9529" s="271"/>
      <c r="G9529" s="273"/>
      <c r="H9529" s="29"/>
      <c r="I9529" s="394"/>
      <c r="J9529" s="273"/>
      <c r="K9529" s="395"/>
      <c r="L9529" s="273"/>
      <c r="M9529" s="394" t="str">
        <f t="shared" si="1286"/>
        <v/>
      </c>
      <c r="N9529" s="273"/>
    </row>
    <row r="9530" spans="1:14" ht="12.75" customHeight="1" x14ac:dyDescent="0.2">
      <c r="A9530" s="400"/>
      <c r="B9530" s="271"/>
      <c r="C9530" s="271"/>
      <c r="D9530" s="271"/>
      <c r="E9530" s="271"/>
      <c r="F9530" s="271"/>
      <c r="G9530" s="273"/>
      <c r="H9530" s="29"/>
      <c r="I9530" s="394"/>
      <c r="J9530" s="273"/>
      <c r="K9530" s="395"/>
      <c r="L9530" s="273"/>
      <c r="M9530" s="394" t="str">
        <f t="shared" si="1286"/>
        <v/>
      </c>
      <c r="N9530" s="273"/>
    </row>
    <row r="9531" spans="1:14" ht="12.75" customHeight="1" x14ac:dyDescent="0.2">
      <c r="A9531" s="400"/>
      <c r="B9531" s="271"/>
      <c r="C9531" s="271"/>
      <c r="D9531" s="271"/>
      <c r="E9531" s="271"/>
      <c r="F9531" s="271"/>
      <c r="G9531" s="273"/>
      <c r="H9531" s="29"/>
      <c r="I9531" s="394"/>
      <c r="J9531" s="273"/>
      <c r="K9531" s="395"/>
      <c r="L9531" s="273"/>
      <c r="M9531" s="394" t="str">
        <f t="shared" si="1286"/>
        <v/>
      </c>
      <c r="N9531" s="273"/>
    </row>
    <row r="9532" spans="1:14" ht="12.75" customHeight="1" x14ac:dyDescent="0.25">
      <c r="A9532" s="4"/>
      <c r="B9532" s="4"/>
      <c r="C9532" s="4"/>
      <c r="D9532" s="4"/>
      <c r="E9532" s="4"/>
      <c r="F9532" s="4"/>
      <c r="G9532" s="4"/>
      <c r="H9532" s="4"/>
      <c r="I9532" s="4"/>
      <c r="J9532" s="4"/>
      <c r="K9532" s="396" t="s">
        <v>444</v>
      </c>
      <c r="L9532" s="273"/>
      <c r="M9532" s="394">
        <f>SUM(M9527:N9531)</f>
        <v>202600</v>
      </c>
      <c r="N9532" s="273"/>
    </row>
    <row r="9533" spans="1:14" ht="12.75" customHeight="1" x14ac:dyDescent="0.25">
      <c r="A9533" s="4"/>
      <c r="B9533" s="4"/>
      <c r="C9533" s="4"/>
      <c r="D9533" s="4"/>
      <c r="E9533" s="4"/>
      <c r="F9533" s="4"/>
      <c r="G9533" s="4"/>
      <c r="H9533" s="4"/>
      <c r="I9533" s="4"/>
      <c r="J9533" s="4"/>
      <c r="K9533" s="4"/>
      <c r="L9533" s="4"/>
      <c r="M9533" s="4"/>
      <c r="N9533" s="4"/>
    </row>
    <row r="9534" spans="1:14" ht="12.75" customHeight="1" x14ac:dyDescent="0.2">
      <c r="A9534" s="398" t="s">
        <v>931</v>
      </c>
      <c r="B9534" s="271"/>
      <c r="C9534" s="271"/>
      <c r="D9534" s="271"/>
      <c r="E9534" s="271"/>
      <c r="F9534" s="271"/>
      <c r="G9534" s="271"/>
      <c r="H9534" s="271"/>
      <c r="I9534" s="271"/>
      <c r="J9534" s="271"/>
      <c r="K9534" s="271"/>
      <c r="L9534" s="271"/>
      <c r="M9534" s="271"/>
      <c r="N9534" s="273"/>
    </row>
    <row r="9535" spans="1:14" ht="12.75" customHeight="1" x14ac:dyDescent="0.2">
      <c r="A9535" s="396" t="s">
        <v>76</v>
      </c>
      <c r="B9535" s="271"/>
      <c r="C9535" s="271"/>
      <c r="D9535" s="271"/>
      <c r="E9535" s="271"/>
      <c r="F9535" s="271"/>
      <c r="G9535" s="273"/>
      <c r="H9535" s="88" t="s">
        <v>77</v>
      </c>
      <c r="I9535" s="399" t="s">
        <v>920</v>
      </c>
      <c r="J9535" s="273"/>
      <c r="K9535" s="90" t="s">
        <v>514</v>
      </c>
      <c r="L9535" s="91" t="s">
        <v>932</v>
      </c>
      <c r="M9535" s="399" t="s">
        <v>921</v>
      </c>
      <c r="N9535" s="273"/>
    </row>
    <row r="9536" spans="1:14" ht="12.75" customHeight="1" x14ac:dyDescent="0.25">
      <c r="A9536" s="393" t="str">
        <f>CUADRILLAS!A31</f>
        <v>Cuadrilla 8: 1 OfcA + 4 AyuA</v>
      </c>
      <c r="B9536" s="271"/>
      <c r="C9536" s="271"/>
      <c r="D9536" s="271"/>
      <c r="E9536" s="271"/>
      <c r="F9536" s="271"/>
      <c r="G9536" s="273"/>
      <c r="H9536" s="29" t="str">
        <f>IF(A9536="","",VLOOKUP(A9536,AA_Cuadrillas,4,FALSE))</f>
        <v>Cuadrilla</v>
      </c>
      <c r="I9536" s="394">
        <f>IF(A9536="","",VLOOKUP(A9536,AA_Cuadrillas,5,FALSE))</f>
        <v>396871</v>
      </c>
      <c r="J9536" s="273"/>
      <c r="K9536" s="9">
        <f>IF(A9536="","",F.P!$I$2)</f>
        <v>1.88</v>
      </c>
      <c r="L9536" s="97">
        <v>0.75</v>
      </c>
      <c r="M9536" s="394">
        <f t="shared" ref="M9536:M9540" si="1287">IF(A9536="","",I9536*K9536*L9536)</f>
        <v>559588.11</v>
      </c>
      <c r="N9536" s="273"/>
    </row>
    <row r="9537" spans="1:14" ht="12.75" customHeight="1" x14ac:dyDescent="0.25">
      <c r="A9537" s="393"/>
      <c r="B9537" s="271"/>
      <c r="C9537" s="271"/>
      <c r="D9537" s="271"/>
      <c r="E9537" s="271"/>
      <c r="F9537" s="271"/>
      <c r="G9537" s="273"/>
      <c r="H9537" s="29" t="str">
        <f>IF(A9537="","",VLOOKUP(A9537,AA_Cuadrillas,4,FALSE))</f>
        <v/>
      </c>
      <c r="I9537" s="394" t="str">
        <f>IF(A9537="","",VLOOKUP(A9537,AA_Cuadrillas,5,FALSE))</f>
        <v/>
      </c>
      <c r="J9537" s="273"/>
      <c r="K9537" s="9" t="str">
        <f>IF(A9537="","",F.P!$I$2)</f>
        <v/>
      </c>
      <c r="L9537" s="9"/>
      <c r="M9537" s="394" t="str">
        <f t="shared" si="1287"/>
        <v/>
      </c>
      <c r="N9537" s="273"/>
    </row>
    <row r="9538" spans="1:14" ht="12.75" customHeight="1" x14ac:dyDescent="0.25">
      <c r="A9538" s="393"/>
      <c r="B9538" s="271"/>
      <c r="C9538" s="271"/>
      <c r="D9538" s="271"/>
      <c r="E9538" s="271"/>
      <c r="F9538" s="271"/>
      <c r="G9538" s="273"/>
      <c r="H9538" s="29" t="str">
        <f>IF(A9538="","",VLOOKUP(A9538,AA_Cuadrillas,4,FALSE))</f>
        <v/>
      </c>
      <c r="I9538" s="394" t="str">
        <f>IF(A9538="","",VLOOKUP(A9538,AA_Cuadrillas,5,FALSE))</f>
        <v/>
      </c>
      <c r="J9538" s="273"/>
      <c r="K9538" s="9" t="str">
        <f>IF(A9538="","",F.P!$I$2)</f>
        <v/>
      </c>
      <c r="L9538" s="37"/>
      <c r="M9538" s="394" t="str">
        <f t="shared" si="1287"/>
        <v/>
      </c>
      <c r="N9538" s="273"/>
    </row>
    <row r="9539" spans="1:14" ht="12.75" customHeight="1" x14ac:dyDescent="0.25">
      <c r="A9539" s="393"/>
      <c r="B9539" s="271"/>
      <c r="C9539" s="271"/>
      <c r="D9539" s="271"/>
      <c r="E9539" s="271"/>
      <c r="F9539" s="271"/>
      <c r="G9539" s="273"/>
      <c r="H9539" s="29" t="str">
        <f>IF(A9539="","",VLOOKUP(A9539,AA_Cuadrillas,4,FALSE))</f>
        <v/>
      </c>
      <c r="I9539" s="394" t="str">
        <f>IF(A9539="","",VLOOKUP(A9539,AA_Cuadrillas,5,FALSE))</f>
        <v/>
      </c>
      <c r="J9539" s="273"/>
      <c r="K9539" s="9" t="str">
        <f>IF(A9539="","",F.P!$I$2)</f>
        <v/>
      </c>
      <c r="L9539" s="37"/>
      <c r="M9539" s="394" t="str">
        <f t="shared" si="1287"/>
        <v/>
      </c>
      <c r="N9539" s="273"/>
    </row>
    <row r="9540" spans="1:14" ht="12.75" customHeight="1" x14ac:dyDescent="0.25">
      <c r="A9540" s="393"/>
      <c r="B9540" s="271"/>
      <c r="C9540" s="271"/>
      <c r="D9540" s="271"/>
      <c r="E9540" s="271"/>
      <c r="F9540" s="271"/>
      <c r="G9540" s="273"/>
      <c r="H9540" s="29" t="str">
        <f>IF(A9540="","",VLOOKUP(A9540,AA_Cuadrillas,4,FALSE))</f>
        <v/>
      </c>
      <c r="I9540" s="394" t="str">
        <f>IF(A9540="","",VLOOKUP(A9540,AA_Cuadrillas,5,FALSE))</f>
        <v/>
      </c>
      <c r="J9540" s="273"/>
      <c r="K9540" s="9" t="str">
        <f>IF(A9540="","",F.P!$I$2)</f>
        <v/>
      </c>
      <c r="L9540" s="37"/>
      <c r="M9540" s="394" t="str">
        <f t="shared" si="1287"/>
        <v/>
      </c>
      <c r="N9540" s="273"/>
    </row>
    <row r="9541" spans="1:14" ht="12.75" customHeight="1" x14ac:dyDescent="0.25">
      <c r="A9541" s="4"/>
      <c r="B9541" s="4"/>
      <c r="C9541" s="4"/>
      <c r="D9541" s="4"/>
      <c r="E9541" s="4"/>
      <c r="F9541" s="4"/>
      <c r="G9541" s="4"/>
      <c r="H9541" s="4"/>
      <c r="I9541" s="4"/>
      <c r="J9541" s="4"/>
      <c r="K9541" s="396" t="s">
        <v>444</v>
      </c>
      <c r="L9541" s="273"/>
      <c r="M9541" s="394">
        <f>SUM(M9536:N9540)</f>
        <v>559588.11</v>
      </c>
      <c r="N9541" s="273"/>
    </row>
    <row r="9542" spans="1:14" ht="12.75" customHeight="1" x14ac:dyDescent="0.2"/>
    <row r="9543" spans="1:14" ht="12.75" customHeight="1" x14ac:dyDescent="0.2">
      <c r="A9543" s="397" t="s">
        <v>1474</v>
      </c>
      <c r="B9543" s="275"/>
      <c r="C9543" s="275"/>
      <c r="D9543" s="275"/>
      <c r="E9543" s="275"/>
      <c r="F9543" s="275"/>
      <c r="G9543" s="275"/>
      <c r="H9543" s="275"/>
      <c r="I9543" s="275"/>
      <c r="J9543" s="275"/>
      <c r="K9543" s="275"/>
      <c r="L9543" s="275"/>
      <c r="M9543" s="275"/>
      <c r="N9543" s="276"/>
    </row>
    <row r="9544" spans="1:14" ht="12.75" customHeight="1" x14ac:dyDescent="0.2">
      <c r="A9544" s="277"/>
      <c r="B9544" s="278"/>
      <c r="C9544" s="278"/>
      <c r="D9544" s="278"/>
      <c r="E9544" s="278"/>
      <c r="F9544" s="278"/>
      <c r="G9544" s="278"/>
      <c r="H9544" s="278"/>
      <c r="I9544" s="278"/>
      <c r="J9544" s="278"/>
      <c r="K9544" s="278"/>
      <c r="L9544" s="278"/>
      <c r="M9544" s="278"/>
      <c r="N9544" s="279"/>
    </row>
    <row r="9545" spans="1:14" ht="12.75" customHeight="1" x14ac:dyDescent="0.2">
      <c r="A9545" s="75"/>
      <c r="B9545" s="75"/>
      <c r="C9545" s="75"/>
      <c r="D9545" s="75"/>
      <c r="E9545" s="75"/>
      <c r="F9545" s="75"/>
      <c r="G9545" s="75"/>
      <c r="H9545" s="75"/>
      <c r="I9545" s="75"/>
      <c r="J9545" s="75"/>
      <c r="K9545" s="75"/>
      <c r="L9545" s="75"/>
      <c r="M9545" s="75"/>
      <c r="N9545" s="75"/>
    </row>
    <row r="9546" spans="1:14" ht="12.75" customHeight="1" x14ac:dyDescent="0.3">
      <c r="A9546" s="79" t="s">
        <v>823</v>
      </c>
      <c r="B9546" s="80" t="str">
        <f>A9543</f>
        <v>ESTACIÓN DE MACROMEDICIÓN DE Ø4" (INCLUYE CAJA DE CONCRETO CON TAPA Y ESCALERA DE GATO, VÁLVULAS, CODOS, TEES, UNIONES, FILTRO EN YEE, NIPLES, PASAMUROS, MACROMEDIDOR, MATERIALES, HERRAMIENTAS, TRANSPORTE Y MANO DE OBRA)</v>
      </c>
      <c r="C9546" s="81" t="s">
        <v>916</v>
      </c>
      <c r="D9546" s="82" t="s">
        <v>999</v>
      </c>
      <c r="E9546" s="83" t="s">
        <v>445</v>
      </c>
      <c r="F9546" s="86">
        <f>H9546+J9546+L9546+N9546</f>
        <v>37731668.623564765</v>
      </c>
      <c r="G9546" s="83" t="s">
        <v>607</v>
      </c>
      <c r="H9546" s="86">
        <f>M9579</f>
        <v>30173.882499999996</v>
      </c>
      <c r="I9546" s="83" t="s">
        <v>918</v>
      </c>
      <c r="J9546" s="86">
        <f>M9570</f>
        <v>35331444.848633111</v>
      </c>
      <c r="K9546" s="83" t="s">
        <v>609</v>
      </c>
      <c r="L9546" s="86">
        <f>M9588</f>
        <v>1766572.2424316555</v>
      </c>
      <c r="M9546" s="83" t="s">
        <v>610</v>
      </c>
      <c r="N9546" s="86">
        <f>M9597</f>
        <v>603477.64999999991</v>
      </c>
    </row>
    <row r="9547" spans="1:14" ht="12.75" customHeight="1" x14ac:dyDescent="0.25">
      <c r="A9547" s="87"/>
      <c r="B9547" s="87"/>
      <c r="C9547" s="87"/>
      <c r="D9547" s="87"/>
      <c r="E9547" s="87"/>
      <c r="F9547" s="87"/>
      <c r="G9547" s="87"/>
      <c r="J9547" s="87"/>
      <c r="K9547" s="215" t="s">
        <v>3217</v>
      </c>
      <c r="L9547" s="215">
        <f>+F9546*presup!$O$5</f>
        <v>49051169.210634194</v>
      </c>
      <c r="M9547" s="87"/>
      <c r="N9547" s="87"/>
    </row>
    <row r="9548" spans="1:14" ht="12.75" customHeight="1" x14ac:dyDescent="0.2">
      <c r="A9548" s="398" t="s">
        <v>919</v>
      </c>
      <c r="B9548" s="271"/>
      <c r="C9548" s="271"/>
      <c r="D9548" s="271"/>
      <c r="E9548" s="271"/>
      <c r="F9548" s="271"/>
      <c r="G9548" s="271"/>
      <c r="H9548" s="271"/>
      <c r="I9548" s="271"/>
      <c r="J9548" s="271"/>
      <c r="K9548" s="271"/>
      <c r="L9548" s="271"/>
      <c r="M9548" s="271"/>
      <c r="N9548" s="273"/>
    </row>
    <row r="9549" spans="1:14" ht="12.75" customHeight="1" x14ac:dyDescent="0.2">
      <c r="A9549" s="396" t="s">
        <v>76</v>
      </c>
      <c r="B9549" s="271"/>
      <c r="C9549" s="271"/>
      <c r="D9549" s="271"/>
      <c r="E9549" s="271"/>
      <c r="F9549" s="271"/>
      <c r="G9549" s="273"/>
      <c r="H9549" s="88" t="s">
        <v>77</v>
      </c>
      <c r="I9549" s="399" t="s">
        <v>920</v>
      </c>
      <c r="J9549" s="273"/>
      <c r="K9549" s="399" t="s">
        <v>453</v>
      </c>
      <c r="L9549" s="273"/>
      <c r="M9549" s="399" t="s">
        <v>921</v>
      </c>
      <c r="N9549" s="273"/>
    </row>
    <row r="9550" spans="1:14" ht="12.75" customHeight="1" x14ac:dyDescent="0.2">
      <c r="A9550" s="403" t="s">
        <v>1307</v>
      </c>
      <c r="B9550" s="271"/>
      <c r="C9550" s="271"/>
      <c r="D9550" s="271"/>
      <c r="E9550" s="271"/>
      <c r="F9550" s="271"/>
      <c r="G9550" s="273"/>
      <c r="H9550" s="29" t="str">
        <f t="shared" ref="H9550:H9569" si="1288">IF(A9550="","",VLOOKUP(A9550,AA_Materiales,7,FALSE))</f>
        <v>m2</v>
      </c>
      <c r="I9550" s="394">
        <f t="shared" ref="I9550:I9569" si="1289">IF(A9550="","",VLOOKUP(A9550,AA_Materiales,8,FALSE))</f>
        <v>5395.0282271600026</v>
      </c>
      <c r="J9550" s="273"/>
      <c r="K9550" s="395">
        <f>+'MICRO Y MACRO'!$C$128</f>
        <v>3.04</v>
      </c>
      <c r="L9550" s="273"/>
      <c r="M9550" s="394">
        <f t="shared" ref="M9550:M9569" si="1290">IF(A9550="","",I9550*K9550)</f>
        <v>16400.885810566408</v>
      </c>
      <c r="N9550" s="273"/>
    </row>
    <row r="9551" spans="1:14" ht="12.75" customHeight="1" x14ac:dyDescent="0.2">
      <c r="A9551" s="403" t="s">
        <v>1308</v>
      </c>
      <c r="B9551" s="271"/>
      <c r="C9551" s="271"/>
      <c r="D9551" s="271"/>
      <c r="E9551" s="271"/>
      <c r="F9551" s="271"/>
      <c r="G9551" s="273"/>
      <c r="H9551" s="29" t="str">
        <f t="shared" si="1288"/>
        <v>m3</v>
      </c>
      <c r="I9551" s="394">
        <f t="shared" si="1289"/>
        <v>68458.635200799996</v>
      </c>
      <c r="J9551" s="273"/>
      <c r="K9551" s="395">
        <f>+'MICRO Y MACRO'!$C$129</f>
        <v>5.4720000000000004</v>
      </c>
      <c r="L9551" s="273"/>
      <c r="M9551" s="394">
        <f t="shared" si="1290"/>
        <v>374605.65181877761</v>
      </c>
      <c r="N9551" s="273"/>
    </row>
    <row r="9552" spans="1:14" ht="12.75" customHeight="1" x14ac:dyDescent="0.2">
      <c r="A9552" s="403" t="s">
        <v>1309</v>
      </c>
      <c r="B9552" s="271"/>
      <c r="C9552" s="271"/>
      <c r="D9552" s="271"/>
      <c r="E9552" s="271"/>
      <c r="F9552" s="271"/>
      <c r="G9552" s="273"/>
      <c r="H9552" s="29" t="str">
        <f t="shared" si="1288"/>
        <v>m3</v>
      </c>
      <c r="I9552" s="394">
        <f t="shared" si="1289"/>
        <v>229192.31748567708</v>
      </c>
      <c r="J9552" s="273"/>
      <c r="K9552" s="395">
        <f>+'MICRO Y MACRO'!$C$130</f>
        <v>0.6080000000000001</v>
      </c>
      <c r="L9552" s="273"/>
      <c r="M9552" s="394">
        <f t="shared" si="1290"/>
        <v>139348.92903129169</v>
      </c>
      <c r="N9552" s="273"/>
    </row>
    <row r="9553" spans="1:14" ht="12.75" customHeight="1" x14ac:dyDescent="0.2">
      <c r="A9553" s="403" t="s">
        <v>1332</v>
      </c>
      <c r="B9553" s="271"/>
      <c r="C9553" s="271"/>
      <c r="D9553" s="271"/>
      <c r="E9553" s="271"/>
      <c r="F9553" s="271"/>
      <c r="G9553" s="273"/>
      <c r="H9553" s="29" t="str">
        <f t="shared" si="1288"/>
        <v>m3</v>
      </c>
      <c r="I9553" s="394">
        <f t="shared" si="1289"/>
        <v>18218.939999999999</v>
      </c>
      <c r="J9553" s="273"/>
      <c r="K9553" s="395">
        <f>+'MICRO Y MACRO'!$C$131</f>
        <v>0</v>
      </c>
      <c r="L9553" s="273"/>
      <c r="M9553" s="394">
        <f t="shared" si="1290"/>
        <v>0</v>
      </c>
      <c r="N9553" s="273"/>
    </row>
    <row r="9554" spans="1:14" ht="12.75" customHeight="1" x14ac:dyDescent="0.2">
      <c r="A9554" s="403" t="s">
        <v>1310</v>
      </c>
      <c r="B9554" s="271"/>
      <c r="C9554" s="271"/>
      <c r="D9554" s="271"/>
      <c r="E9554" s="271"/>
      <c r="F9554" s="271"/>
      <c r="G9554" s="273"/>
      <c r="H9554" s="29" t="str">
        <f t="shared" si="1288"/>
        <v>m3</v>
      </c>
      <c r="I9554" s="394">
        <f t="shared" si="1289"/>
        <v>619876.4246790678</v>
      </c>
      <c r="J9554" s="273"/>
      <c r="K9554" s="395">
        <f>+'MICRO Y MACRO'!$C$132</f>
        <v>0.15200000000000002</v>
      </c>
      <c r="L9554" s="273"/>
      <c r="M9554" s="394">
        <f t="shared" si="1290"/>
        <v>94221.216551218327</v>
      </c>
      <c r="N9554" s="273"/>
    </row>
    <row r="9555" spans="1:14" ht="12.75" customHeight="1" x14ac:dyDescent="0.2">
      <c r="A9555" s="403" t="s">
        <v>1311</v>
      </c>
      <c r="B9555" s="271"/>
      <c r="C9555" s="271"/>
      <c r="D9555" s="271"/>
      <c r="E9555" s="271"/>
      <c r="F9555" s="271"/>
      <c r="G9555" s="273"/>
      <c r="H9555" s="29" t="str">
        <f t="shared" si="1288"/>
        <v>Kg</v>
      </c>
      <c r="I9555" s="394">
        <f t="shared" si="1289"/>
        <v>10407.86484233889</v>
      </c>
      <c r="J9555" s="273"/>
      <c r="K9555" s="395">
        <f>+'MICRO Y MACRO'!$C$133</f>
        <v>225.92</v>
      </c>
      <c r="L9555" s="273"/>
      <c r="M9555" s="394">
        <f t="shared" si="1290"/>
        <v>2351344.8251812016</v>
      </c>
      <c r="N9555" s="273"/>
    </row>
    <row r="9556" spans="1:14" ht="12.75" customHeight="1" x14ac:dyDescent="0.2">
      <c r="A9556" s="403" t="s">
        <v>1462</v>
      </c>
      <c r="B9556" s="271"/>
      <c r="C9556" s="271"/>
      <c r="D9556" s="271"/>
      <c r="E9556" s="271"/>
      <c r="F9556" s="271"/>
      <c r="G9556" s="273"/>
      <c r="H9556" s="29" t="str">
        <f t="shared" si="1288"/>
        <v>m3</v>
      </c>
      <c r="I9556" s="394">
        <f t="shared" si="1289"/>
        <v>844782.11970906786</v>
      </c>
      <c r="J9556" s="273"/>
      <c r="K9556" s="395">
        <f>+'MICRO Y MACRO'!$C$134</f>
        <v>0.6080000000000001</v>
      </c>
      <c r="L9556" s="273"/>
      <c r="M9556" s="394">
        <f t="shared" si="1290"/>
        <v>513627.52878311335</v>
      </c>
      <c r="N9556" s="273"/>
    </row>
    <row r="9557" spans="1:14" ht="12.75" customHeight="1" x14ac:dyDescent="0.2">
      <c r="A9557" s="403" t="s">
        <v>1463</v>
      </c>
      <c r="B9557" s="271"/>
      <c r="C9557" s="271"/>
      <c r="D9557" s="271"/>
      <c r="E9557" s="271"/>
      <c r="F9557" s="271"/>
      <c r="G9557" s="273"/>
      <c r="H9557" s="29" t="str">
        <f t="shared" si="1288"/>
        <v>m3</v>
      </c>
      <c r="I9557" s="394">
        <f t="shared" si="1289"/>
        <v>1917601.7724229568</v>
      </c>
      <c r="J9557" s="273"/>
      <c r="K9557" s="395">
        <f>+'MICRO Y MACRO'!$C$135</f>
        <v>1.2960000000000003</v>
      </c>
      <c r="L9557" s="273"/>
      <c r="M9557" s="394">
        <f t="shared" si="1290"/>
        <v>2485211.8970601526</v>
      </c>
      <c r="N9557" s="273"/>
    </row>
    <row r="9558" spans="1:14" ht="12.75" customHeight="1" x14ac:dyDescent="0.2">
      <c r="A9558" s="403" t="s">
        <v>1371</v>
      </c>
      <c r="B9558" s="271"/>
      <c r="C9558" s="271"/>
      <c r="D9558" s="271"/>
      <c r="E9558" s="271"/>
      <c r="F9558" s="271"/>
      <c r="G9558" s="273"/>
      <c r="H9558" s="29" t="str">
        <f t="shared" si="1288"/>
        <v>m3</v>
      </c>
      <c r="I9558" s="394">
        <f t="shared" si="1289"/>
        <v>1389173.4069229569</v>
      </c>
      <c r="J9558" s="273"/>
      <c r="K9558" s="395">
        <f>+'MICRO Y MACRO'!$C$136</f>
        <v>0.45599999999999996</v>
      </c>
      <c r="L9558" s="273"/>
      <c r="M9558" s="394">
        <f t="shared" si="1290"/>
        <v>633463.07355686836</v>
      </c>
      <c r="N9558" s="273"/>
    </row>
    <row r="9559" spans="1:14" ht="12.75" customHeight="1" x14ac:dyDescent="0.2">
      <c r="A9559" s="403" t="s">
        <v>1056</v>
      </c>
      <c r="B9559" s="271"/>
      <c r="C9559" s="271"/>
      <c r="D9559" s="271"/>
      <c r="E9559" s="271"/>
      <c r="F9559" s="271"/>
      <c r="G9559" s="273"/>
      <c r="H9559" s="29" t="str">
        <f t="shared" si="1288"/>
        <v>Unidad</v>
      </c>
      <c r="I9559" s="394">
        <f t="shared" si="1289"/>
        <v>78000</v>
      </c>
      <c r="J9559" s="273"/>
      <c r="K9559" s="395">
        <f>+'MICRO Y MACRO'!$C$137</f>
        <v>4</v>
      </c>
      <c r="L9559" s="273"/>
      <c r="M9559" s="394">
        <f t="shared" si="1290"/>
        <v>312000</v>
      </c>
      <c r="N9559" s="273"/>
    </row>
    <row r="9560" spans="1:14" ht="12.75" customHeight="1" x14ac:dyDescent="0.2">
      <c r="A9560" s="403" t="s">
        <v>1316</v>
      </c>
      <c r="B9560" s="271"/>
      <c r="C9560" s="271"/>
      <c r="D9560" s="271"/>
      <c r="E9560" s="271"/>
      <c r="F9560" s="271"/>
      <c r="G9560" s="273"/>
      <c r="H9560" s="29" t="str">
        <f t="shared" si="1288"/>
        <v>Unidad</v>
      </c>
      <c r="I9560" s="394">
        <f t="shared" si="1289"/>
        <v>833487.79</v>
      </c>
      <c r="J9560" s="273"/>
      <c r="K9560" s="395">
        <f>+'MICRO Y MACRO'!$C$138</f>
        <v>1</v>
      </c>
      <c r="L9560" s="273"/>
      <c r="M9560" s="394">
        <f t="shared" si="1290"/>
        <v>833487.79</v>
      </c>
      <c r="N9560" s="273"/>
    </row>
    <row r="9561" spans="1:14" ht="12.75" customHeight="1" x14ac:dyDescent="0.2">
      <c r="A9561" s="429" t="s">
        <v>1338</v>
      </c>
      <c r="B9561" s="373"/>
      <c r="C9561" s="373"/>
      <c r="D9561" s="373"/>
      <c r="E9561" s="373"/>
      <c r="F9561" s="373"/>
      <c r="G9561" s="361"/>
      <c r="H9561" s="235" t="str">
        <f t="shared" si="1288"/>
        <v>Unidad</v>
      </c>
      <c r="I9561" s="412">
        <f t="shared" si="1289"/>
        <v>642792.78230843006</v>
      </c>
      <c r="J9561" s="361"/>
      <c r="K9561" s="395">
        <f>+'MICRO Y MACRO'!$E$115</f>
        <v>2</v>
      </c>
      <c r="L9561" s="273"/>
      <c r="M9561" s="394">
        <f t="shared" si="1290"/>
        <v>1285585.5646168601</v>
      </c>
      <c r="N9561" s="273"/>
    </row>
    <row r="9562" spans="1:14" ht="12.75" customHeight="1" x14ac:dyDescent="0.2">
      <c r="A9562" s="403" t="s">
        <v>1081</v>
      </c>
      <c r="B9562" s="271"/>
      <c r="C9562" s="271"/>
      <c r="D9562" s="271"/>
      <c r="E9562" s="271"/>
      <c r="F9562" s="271"/>
      <c r="G9562" s="273"/>
      <c r="H9562" s="29" t="str">
        <f t="shared" si="1288"/>
        <v>Unidad</v>
      </c>
      <c r="I9562" s="394">
        <f t="shared" si="1289"/>
        <v>1158000</v>
      </c>
      <c r="J9562" s="273"/>
      <c r="K9562" s="395">
        <f>+'MICRO Y MACRO'!$E$117</f>
        <v>3</v>
      </c>
      <c r="L9562" s="273"/>
      <c r="M9562" s="394">
        <f t="shared" si="1290"/>
        <v>3474000</v>
      </c>
      <c r="N9562" s="273"/>
    </row>
    <row r="9563" spans="1:14" ht="12.75" customHeight="1" x14ac:dyDescent="0.2">
      <c r="A9563" s="403" t="s">
        <v>1475</v>
      </c>
      <c r="B9563" s="271"/>
      <c r="C9563" s="271"/>
      <c r="D9563" s="271"/>
      <c r="E9563" s="271"/>
      <c r="F9563" s="271"/>
      <c r="G9563" s="273"/>
      <c r="H9563" s="29" t="str">
        <f t="shared" si="1288"/>
        <v>Unidad</v>
      </c>
      <c r="I9563" s="394">
        <f t="shared" si="1289"/>
        <v>27271892.267816257</v>
      </c>
      <c r="J9563" s="273"/>
      <c r="K9563" s="395">
        <f>+'MICRO Y MACRO'!$E$123</f>
        <v>1</v>
      </c>
      <c r="L9563" s="273"/>
      <c r="M9563" s="394">
        <f t="shared" si="1290"/>
        <v>27271892.267816257</v>
      </c>
      <c r="N9563" s="273"/>
    </row>
    <row r="9564" spans="1:14" ht="12.75" customHeight="1" x14ac:dyDescent="0.2">
      <c r="A9564" s="403" t="s">
        <v>1154</v>
      </c>
      <c r="B9564" s="271"/>
      <c r="C9564" s="271"/>
      <c r="D9564" s="271"/>
      <c r="E9564" s="271"/>
      <c r="F9564" s="271"/>
      <c r="G9564" s="273"/>
      <c r="H9564" s="29" t="str">
        <f t="shared" si="1288"/>
        <v>Unidad</v>
      </c>
      <c r="I9564" s="394">
        <f t="shared" si="1289"/>
        <v>687000</v>
      </c>
      <c r="J9564" s="273"/>
      <c r="K9564" s="395">
        <f>+'MICRO Y MACRO'!$E$120</f>
        <v>1</v>
      </c>
      <c r="L9564" s="273"/>
      <c r="M9564" s="394">
        <f t="shared" si="1290"/>
        <v>687000</v>
      </c>
      <c r="N9564" s="273"/>
    </row>
    <row r="9565" spans="1:14" ht="12.75" customHeight="1" x14ac:dyDescent="0.2">
      <c r="A9565" s="403" t="s">
        <v>1476</v>
      </c>
      <c r="B9565" s="271"/>
      <c r="C9565" s="271"/>
      <c r="D9565" s="271"/>
      <c r="E9565" s="271"/>
      <c r="F9565" s="271"/>
      <c r="G9565" s="273"/>
      <c r="H9565" s="29" t="str">
        <f t="shared" si="1288"/>
        <v>Unidad</v>
      </c>
      <c r="I9565" s="394">
        <f t="shared" si="1289"/>
        <v>323983.50810000004</v>
      </c>
      <c r="J9565" s="273"/>
      <c r="K9565" s="395">
        <f>+'MICRO Y MACRO'!$E$116</f>
        <v>2</v>
      </c>
      <c r="L9565" s="273"/>
      <c r="M9565" s="394">
        <f t="shared" si="1290"/>
        <v>647967.01620000007</v>
      </c>
      <c r="N9565" s="273"/>
    </row>
    <row r="9566" spans="1:14" ht="12.75" customHeight="1" x14ac:dyDescent="0.2">
      <c r="A9566" s="403" t="s">
        <v>1130</v>
      </c>
      <c r="B9566" s="271"/>
      <c r="C9566" s="271"/>
      <c r="D9566" s="271"/>
      <c r="E9566" s="271"/>
      <c r="F9566" s="271"/>
      <c r="G9566" s="273"/>
      <c r="H9566" s="29" t="str">
        <f t="shared" si="1288"/>
        <v>Unidad</v>
      </c>
      <c r="I9566" s="394">
        <f t="shared" si="1289"/>
        <v>245000</v>
      </c>
      <c r="J9566" s="273"/>
      <c r="K9566" s="395">
        <f>+'MICRO Y MACRO'!$E$119</f>
        <v>2</v>
      </c>
      <c r="L9566" s="273"/>
      <c r="M9566" s="394">
        <f t="shared" si="1290"/>
        <v>490000</v>
      </c>
      <c r="N9566" s="273"/>
    </row>
    <row r="9567" spans="1:14" ht="12.75" customHeight="1" x14ac:dyDescent="0.2">
      <c r="A9567" s="403" t="s">
        <v>1477</v>
      </c>
      <c r="B9567" s="271"/>
      <c r="C9567" s="271"/>
      <c r="D9567" s="271"/>
      <c r="E9567" s="271"/>
      <c r="F9567" s="271"/>
      <c r="G9567" s="273"/>
      <c r="H9567" s="29" t="str">
        <f t="shared" si="1288"/>
        <v>Unidad</v>
      </c>
      <c r="I9567" s="394">
        <f t="shared" si="1289"/>
        <v>490000</v>
      </c>
      <c r="J9567" s="273"/>
      <c r="K9567" s="395">
        <f>+'MICRO Y MACRO'!$E$122</f>
        <v>2</v>
      </c>
      <c r="L9567" s="273"/>
      <c r="M9567" s="394">
        <f t="shared" si="1290"/>
        <v>980000</v>
      </c>
      <c r="N9567" s="273"/>
    </row>
    <row r="9568" spans="1:14" ht="12.75" customHeight="1" x14ac:dyDescent="0.2">
      <c r="A9568" s="403" t="s">
        <v>1478</v>
      </c>
      <c r="B9568" s="271"/>
      <c r="C9568" s="271"/>
      <c r="D9568" s="271"/>
      <c r="E9568" s="271"/>
      <c r="F9568" s="271"/>
      <c r="G9568" s="273"/>
      <c r="H9568" s="29" t="str">
        <f t="shared" si="1288"/>
        <v>Unidad</v>
      </c>
      <c r="I9568" s="394">
        <f t="shared" si="1289"/>
        <v>495000</v>
      </c>
      <c r="J9568" s="273"/>
      <c r="K9568" s="395">
        <f>+'MICRO Y MACRO'!$E$121</f>
        <v>1</v>
      </c>
      <c r="L9568" s="273"/>
      <c r="M9568" s="394">
        <f t="shared" si="1290"/>
        <v>495000</v>
      </c>
      <c r="N9568" s="273"/>
    </row>
    <row r="9569" spans="1:14" ht="12.75" customHeight="1" x14ac:dyDescent="0.2">
      <c r="A9569" s="403"/>
      <c r="B9569" s="271"/>
      <c r="C9569" s="271"/>
      <c r="D9569" s="271"/>
      <c r="E9569" s="271"/>
      <c r="F9569" s="271"/>
      <c r="G9569" s="273"/>
      <c r="H9569" s="29" t="str">
        <f t="shared" si="1288"/>
        <v/>
      </c>
      <c r="I9569" s="394" t="str">
        <f t="shared" si="1289"/>
        <v/>
      </c>
      <c r="J9569" s="273"/>
      <c r="K9569" s="395"/>
      <c r="L9569" s="273"/>
      <c r="M9569" s="394" t="str">
        <f t="shared" si="1290"/>
        <v/>
      </c>
      <c r="N9569" s="273"/>
    </row>
    <row r="9570" spans="1:14" ht="12.75" customHeight="1" x14ac:dyDescent="0.25">
      <c r="A9570" s="4"/>
      <c r="B9570" s="4"/>
      <c r="C9570" s="4"/>
      <c r="D9570" s="4"/>
      <c r="E9570" s="4"/>
      <c r="F9570" s="4"/>
      <c r="G9570" s="4"/>
      <c r="H9570" s="4"/>
      <c r="I9570" s="4"/>
      <c r="J9570" s="4"/>
      <c r="K9570" s="396" t="s">
        <v>444</v>
      </c>
      <c r="L9570" s="273"/>
      <c r="M9570" s="394">
        <f>SUM(M9561:N9569)</f>
        <v>35331444.848633111</v>
      </c>
      <c r="N9570" s="273"/>
    </row>
    <row r="9571" spans="1:14" ht="12.75" customHeight="1" x14ac:dyDescent="0.25">
      <c r="A9571" s="4"/>
      <c r="B9571" s="4"/>
      <c r="C9571" s="4"/>
      <c r="D9571" s="4"/>
      <c r="E9571" s="4"/>
      <c r="F9571" s="4"/>
      <c r="G9571" s="4"/>
      <c r="H9571" s="4"/>
      <c r="I9571" s="4"/>
      <c r="J9571" s="4"/>
      <c r="K9571" s="4"/>
      <c r="L9571" s="4"/>
      <c r="M9571" s="4"/>
      <c r="N9571" s="4"/>
    </row>
    <row r="9572" spans="1:14" ht="12.75" customHeight="1" x14ac:dyDescent="0.2">
      <c r="A9572" s="398" t="s">
        <v>926</v>
      </c>
      <c r="B9572" s="271"/>
      <c r="C9572" s="271"/>
      <c r="D9572" s="271"/>
      <c r="E9572" s="271"/>
      <c r="F9572" s="271"/>
      <c r="G9572" s="271"/>
      <c r="H9572" s="271"/>
      <c r="I9572" s="271"/>
      <c r="J9572" s="271"/>
      <c r="K9572" s="271"/>
      <c r="L9572" s="271"/>
      <c r="M9572" s="271"/>
      <c r="N9572" s="273"/>
    </row>
    <row r="9573" spans="1:14" ht="12.75" customHeight="1" x14ac:dyDescent="0.2">
      <c r="A9573" s="396" t="s">
        <v>76</v>
      </c>
      <c r="B9573" s="271"/>
      <c r="C9573" s="271"/>
      <c r="D9573" s="271"/>
      <c r="E9573" s="271"/>
      <c r="F9573" s="271"/>
      <c r="G9573" s="273"/>
      <c r="H9573" s="88" t="s">
        <v>77</v>
      </c>
      <c r="I9573" s="399" t="s">
        <v>920</v>
      </c>
      <c r="J9573" s="273"/>
      <c r="K9573" s="399" t="s">
        <v>453</v>
      </c>
      <c r="L9573" s="273"/>
      <c r="M9573" s="399" t="s">
        <v>921</v>
      </c>
      <c r="N9573" s="273"/>
    </row>
    <row r="9574" spans="1:14" ht="12.75" customHeight="1" x14ac:dyDescent="0.2">
      <c r="A9574" s="400" t="s">
        <v>1469</v>
      </c>
      <c r="B9574" s="271"/>
      <c r="C9574" s="271"/>
      <c r="D9574" s="271"/>
      <c r="E9574" s="271"/>
      <c r="F9574" s="271"/>
      <c r="G9574" s="273"/>
      <c r="H9574" s="29" t="str">
        <f>IF(A9574="","",VLOOKUP(A9574,AA_Equipos,7,FALSE))</f>
        <v>% M.O.</v>
      </c>
      <c r="I9574" s="394">
        <f>+M9597</f>
        <v>603477.64999999991</v>
      </c>
      <c r="J9574" s="273"/>
      <c r="K9574" s="404">
        <v>0.05</v>
      </c>
      <c r="L9574" s="273"/>
      <c r="M9574" s="394">
        <f t="shared" ref="M9574:M9578" si="1291">IF(A9574="","",I9574*K9574)</f>
        <v>30173.882499999996</v>
      </c>
      <c r="N9574" s="273"/>
    </row>
    <row r="9575" spans="1:14" ht="12.75" customHeight="1" x14ac:dyDescent="0.2">
      <c r="A9575" s="403"/>
      <c r="B9575" s="271"/>
      <c r="C9575" s="271"/>
      <c r="D9575" s="271"/>
      <c r="E9575" s="271"/>
      <c r="F9575" s="271"/>
      <c r="G9575" s="273"/>
      <c r="H9575" s="29" t="str">
        <f>IF(A9575="","",VLOOKUP(A9575,AA_Equipos,7,FALSE))</f>
        <v/>
      </c>
      <c r="I9575" s="394" t="str">
        <f>IF(A9575="","",VLOOKUP(A9575,AA_Equipos,8,FALSE))</f>
        <v/>
      </c>
      <c r="J9575" s="273"/>
      <c r="K9575" s="402"/>
      <c r="L9575" s="273"/>
      <c r="M9575" s="394" t="str">
        <f t="shared" si="1291"/>
        <v/>
      </c>
      <c r="N9575" s="273"/>
    </row>
    <row r="9576" spans="1:14" ht="12.75" customHeight="1" x14ac:dyDescent="0.2">
      <c r="A9576" s="400"/>
      <c r="B9576" s="271"/>
      <c r="C9576" s="271"/>
      <c r="D9576" s="271"/>
      <c r="E9576" s="271"/>
      <c r="F9576" s="271"/>
      <c r="G9576" s="273"/>
      <c r="H9576" s="29" t="str">
        <f>IF(A9576="","",VLOOKUP(A9576,AA_Equipos,7,FALSE))</f>
        <v/>
      </c>
      <c r="I9576" s="394" t="str">
        <f>IF(A9576="","",VLOOKUP(A9576,AA_Equipos,8,FALSE))</f>
        <v/>
      </c>
      <c r="J9576" s="273"/>
      <c r="K9576" s="401"/>
      <c r="L9576" s="273"/>
      <c r="M9576" s="394" t="str">
        <f t="shared" si="1291"/>
        <v/>
      </c>
      <c r="N9576" s="273"/>
    </row>
    <row r="9577" spans="1:14" ht="12.75" customHeight="1" x14ac:dyDescent="0.2">
      <c r="A9577" s="400"/>
      <c r="B9577" s="271"/>
      <c r="C9577" s="271"/>
      <c r="D9577" s="271"/>
      <c r="E9577" s="271"/>
      <c r="F9577" s="271"/>
      <c r="G9577" s="273"/>
      <c r="H9577" s="29" t="str">
        <f>IF(A9577="","",VLOOKUP(A9577,AA_Equipos,7,FALSE))</f>
        <v/>
      </c>
      <c r="I9577" s="394" t="str">
        <f>IF(A9577="","",VLOOKUP(A9577,AA_Equipos,8,FALSE))</f>
        <v/>
      </c>
      <c r="J9577" s="273"/>
      <c r="K9577" s="395"/>
      <c r="L9577" s="273"/>
      <c r="M9577" s="394" t="str">
        <f t="shared" si="1291"/>
        <v/>
      </c>
      <c r="N9577" s="273"/>
    </row>
    <row r="9578" spans="1:14" ht="12.75" customHeight="1" x14ac:dyDescent="0.2">
      <c r="A9578" s="400"/>
      <c r="B9578" s="271"/>
      <c r="C9578" s="271"/>
      <c r="D9578" s="271"/>
      <c r="E9578" s="271"/>
      <c r="F9578" s="271"/>
      <c r="G9578" s="273"/>
      <c r="H9578" s="29" t="str">
        <f>IF(A9578="","",VLOOKUP(A9578,AA_Equipos,7,FALSE))</f>
        <v/>
      </c>
      <c r="I9578" s="394" t="str">
        <f>IF(A9578="","",VLOOKUP(A9578,AA_Equipos,8,FALSE))</f>
        <v/>
      </c>
      <c r="J9578" s="273"/>
      <c r="K9578" s="395"/>
      <c r="L9578" s="273"/>
      <c r="M9578" s="394" t="str">
        <f t="shared" si="1291"/>
        <v/>
      </c>
      <c r="N9578" s="273"/>
    </row>
    <row r="9579" spans="1:14" ht="12.75" customHeight="1" x14ac:dyDescent="0.25">
      <c r="A9579" s="4"/>
      <c r="B9579" s="4"/>
      <c r="C9579" s="4"/>
      <c r="D9579" s="4"/>
      <c r="E9579" s="4"/>
      <c r="F9579" s="4"/>
      <c r="G9579" s="4"/>
      <c r="H9579" s="4"/>
      <c r="I9579" s="4"/>
      <c r="J9579" s="4"/>
      <c r="K9579" s="396" t="s">
        <v>444</v>
      </c>
      <c r="L9579" s="273"/>
      <c r="M9579" s="394">
        <f>SUM(M9574:N9578)</f>
        <v>30173.882499999996</v>
      </c>
      <c r="N9579" s="273"/>
    </row>
    <row r="9580" spans="1:14" ht="12.75" customHeight="1" x14ac:dyDescent="0.25">
      <c r="A9580" s="4"/>
      <c r="B9580" s="4"/>
      <c r="C9580" s="4"/>
      <c r="D9580" s="4"/>
      <c r="E9580" s="4"/>
      <c r="F9580" s="4"/>
      <c r="G9580" s="4"/>
      <c r="H9580" s="4"/>
      <c r="I9580" s="4"/>
      <c r="J9580" s="4"/>
      <c r="K9580" s="4"/>
      <c r="L9580" s="4"/>
      <c r="M9580" s="4"/>
      <c r="N9580" s="4"/>
    </row>
    <row r="9581" spans="1:14" ht="12.75" customHeight="1" x14ac:dyDescent="0.2">
      <c r="A9581" s="398" t="s">
        <v>929</v>
      </c>
      <c r="B9581" s="271"/>
      <c r="C9581" s="271"/>
      <c r="D9581" s="271"/>
      <c r="E9581" s="271"/>
      <c r="F9581" s="271"/>
      <c r="G9581" s="271"/>
      <c r="H9581" s="271"/>
      <c r="I9581" s="271"/>
      <c r="J9581" s="271"/>
      <c r="K9581" s="271"/>
      <c r="L9581" s="271"/>
      <c r="M9581" s="271"/>
      <c r="N9581" s="273"/>
    </row>
    <row r="9582" spans="1:14" ht="12.75" customHeight="1" x14ac:dyDescent="0.2">
      <c r="A9582" s="396" t="s">
        <v>76</v>
      </c>
      <c r="B9582" s="271"/>
      <c r="C9582" s="271"/>
      <c r="D9582" s="271"/>
      <c r="E9582" s="271"/>
      <c r="F9582" s="271"/>
      <c r="G9582" s="273"/>
      <c r="H9582" s="88" t="s">
        <v>77</v>
      </c>
      <c r="I9582" s="399" t="s">
        <v>920</v>
      </c>
      <c r="J9582" s="273"/>
      <c r="K9582" s="399" t="s">
        <v>453</v>
      </c>
      <c r="L9582" s="273"/>
      <c r="M9582" s="399" t="s">
        <v>921</v>
      </c>
      <c r="N9582" s="273"/>
    </row>
    <row r="9583" spans="1:14" ht="12.75" customHeight="1" x14ac:dyDescent="0.2">
      <c r="A9583" s="400" t="s">
        <v>966</v>
      </c>
      <c r="B9583" s="271"/>
      <c r="C9583" s="271"/>
      <c r="D9583" s="271"/>
      <c r="E9583" s="271"/>
      <c r="F9583" s="271"/>
      <c r="G9583" s="273"/>
      <c r="H9583" s="29" t="s">
        <v>950</v>
      </c>
      <c r="I9583" s="394">
        <f>+M9570</f>
        <v>35331444.848633111</v>
      </c>
      <c r="J9583" s="273"/>
      <c r="K9583" s="404">
        <v>0.05</v>
      </c>
      <c r="L9583" s="273"/>
      <c r="M9583" s="394">
        <f t="shared" ref="M9583:M9587" si="1292">IF(A9583="","",I9583*K9583)</f>
        <v>1766572.2424316555</v>
      </c>
      <c r="N9583" s="273"/>
    </row>
    <row r="9584" spans="1:14" ht="12.75" customHeight="1" x14ac:dyDescent="0.2">
      <c r="A9584" s="403"/>
      <c r="B9584" s="271"/>
      <c r="C9584" s="271"/>
      <c r="D9584" s="271"/>
      <c r="E9584" s="271"/>
      <c r="F9584" s="271"/>
      <c r="G9584" s="273"/>
      <c r="H9584" s="29"/>
      <c r="I9584" s="394"/>
      <c r="J9584" s="273"/>
      <c r="K9584" s="404"/>
      <c r="L9584" s="273"/>
      <c r="M9584" s="394" t="str">
        <f t="shared" si="1292"/>
        <v/>
      </c>
      <c r="N9584" s="273"/>
    </row>
    <row r="9585" spans="1:14" ht="12.75" customHeight="1" x14ac:dyDescent="0.2">
      <c r="A9585" s="400"/>
      <c r="B9585" s="271"/>
      <c r="C9585" s="271"/>
      <c r="D9585" s="271"/>
      <c r="E9585" s="271"/>
      <c r="F9585" s="271"/>
      <c r="G9585" s="273"/>
      <c r="H9585" s="29"/>
      <c r="I9585" s="394"/>
      <c r="J9585" s="273"/>
      <c r="K9585" s="395"/>
      <c r="L9585" s="273"/>
      <c r="M9585" s="394" t="str">
        <f t="shared" si="1292"/>
        <v/>
      </c>
      <c r="N9585" s="273"/>
    </row>
    <row r="9586" spans="1:14" ht="12.75" customHeight="1" x14ac:dyDescent="0.2">
      <c r="A9586" s="400"/>
      <c r="B9586" s="271"/>
      <c r="C9586" s="271"/>
      <c r="D9586" s="271"/>
      <c r="E9586" s="271"/>
      <c r="F9586" s="271"/>
      <c r="G9586" s="273"/>
      <c r="H9586" s="29"/>
      <c r="I9586" s="394"/>
      <c r="J9586" s="273"/>
      <c r="K9586" s="395"/>
      <c r="L9586" s="273"/>
      <c r="M9586" s="394" t="str">
        <f t="shared" si="1292"/>
        <v/>
      </c>
      <c r="N9586" s="273"/>
    </row>
    <row r="9587" spans="1:14" ht="12.75" customHeight="1" x14ac:dyDescent="0.2">
      <c r="A9587" s="400"/>
      <c r="B9587" s="271"/>
      <c r="C9587" s="271"/>
      <c r="D9587" s="271"/>
      <c r="E9587" s="271"/>
      <c r="F9587" s="271"/>
      <c r="G9587" s="273"/>
      <c r="H9587" s="29"/>
      <c r="I9587" s="394"/>
      <c r="J9587" s="273"/>
      <c r="K9587" s="395"/>
      <c r="L9587" s="273"/>
      <c r="M9587" s="394" t="str">
        <f t="shared" si="1292"/>
        <v/>
      </c>
      <c r="N9587" s="273"/>
    </row>
    <row r="9588" spans="1:14" ht="12.75" customHeight="1" x14ac:dyDescent="0.25">
      <c r="A9588" s="4"/>
      <c r="B9588" s="4"/>
      <c r="C9588" s="4"/>
      <c r="D9588" s="4"/>
      <c r="E9588" s="4"/>
      <c r="F9588" s="4"/>
      <c r="G9588" s="4"/>
      <c r="H9588" s="4"/>
      <c r="I9588" s="4"/>
      <c r="J9588" s="4"/>
      <c r="K9588" s="396" t="s">
        <v>444</v>
      </c>
      <c r="L9588" s="273"/>
      <c r="M9588" s="394">
        <f>SUM(M9583:N9587)</f>
        <v>1766572.2424316555</v>
      </c>
      <c r="N9588" s="273"/>
    </row>
    <row r="9589" spans="1:14" ht="12.75" customHeight="1" x14ac:dyDescent="0.25">
      <c r="A9589" s="4"/>
      <c r="B9589" s="4"/>
      <c r="C9589" s="4"/>
      <c r="D9589" s="4"/>
      <c r="E9589" s="4"/>
      <c r="F9589" s="4"/>
      <c r="G9589" s="4"/>
      <c r="H9589" s="4"/>
      <c r="I9589" s="4"/>
      <c r="J9589" s="4"/>
      <c r="K9589" s="4"/>
      <c r="L9589" s="4"/>
      <c r="M9589" s="4"/>
      <c r="N9589" s="4"/>
    </row>
    <row r="9590" spans="1:14" ht="12.75" customHeight="1" x14ac:dyDescent="0.2">
      <c r="A9590" s="398" t="s">
        <v>931</v>
      </c>
      <c r="B9590" s="271"/>
      <c r="C9590" s="271"/>
      <c r="D9590" s="271"/>
      <c r="E9590" s="271"/>
      <c r="F9590" s="271"/>
      <c r="G9590" s="271"/>
      <c r="H9590" s="271"/>
      <c r="I9590" s="271"/>
      <c r="J9590" s="271"/>
      <c r="K9590" s="271"/>
      <c r="L9590" s="271"/>
      <c r="M9590" s="271"/>
      <c r="N9590" s="273"/>
    </row>
    <row r="9591" spans="1:14" ht="12.75" customHeight="1" x14ac:dyDescent="0.2">
      <c r="A9591" s="396" t="s">
        <v>76</v>
      </c>
      <c r="B9591" s="271"/>
      <c r="C9591" s="271"/>
      <c r="D9591" s="271"/>
      <c r="E9591" s="271"/>
      <c r="F9591" s="271"/>
      <c r="G9591" s="273"/>
      <c r="H9591" s="88" t="s">
        <v>77</v>
      </c>
      <c r="I9591" s="399" t="s">
        <v>920</v>
      </c>
      <c r="J9591" s="273"/>
      <c r="K9591" s="90" t="s">
        <v>514</v>
      </c>
      <c r="L9591" s="91" t="s">
        <v>932</v>
      </c>
      <c r="M9591" s="399" t="s">
        <v>921</v>
      </c>
      <c r="N9591" s="273"/>
    </row>
    <row r="9592" spans="1:14" ht="12.75" customHeight="1" x14ac:dyDescent="0.25">
      <c r="A9592" s="393" t="s">
        <v>973</v>
      </c>
      <c r="B9592" s="271"/>
      <c r="C9592" s="271"/>
      <c r="D9592" s="271"/>
      <c r="E9592" s="271"/>
      <c r="F9592" s="271"/>
      <c r="G9592" s="273"/>
      <c r="H9592" s="29" t="str">
        <f>IF(A9592="","",VLOOKUP(A9592,AA_Cuadrillas,4,FALSE))</f>
        <v>Cuadrilla</v>
      </c>
      <c r="I9592" s="394">
        <f>IF(A9592="","",VLOOKUP(A9592,AA_Cuadrillas,5,FALSE))</f>
        <v>256799</v>
      </c>
      <c r="J9592" s="273"/>
      <c r="K9592" s="9">
        <f>IF(A9592="","",F.P!$I$2)</f>
        <v>1.88</v>
      </c>
      <c r="L9592" s="97">
        <v>0.75</v>
      </c>
      <c r="M9592" s="394">
        <f t="shared" ref="M9592:M9596" si="1293">IF(A9592="","",I9592*K9592*L9592)</f>
        <v>362086.58999999997</v>
      </c>
      <c r="N9592" s="273"/>
    </row>
    <row r="9593" spans="1:14" ht="12.75" customHeight="1" x14ac:dyDescent="0.25">
      <c r="A9593" s="393" t="s">
        <v>1106</v>
      </c>
      <c r="B9593" s="271"/>
      <c r="C9593" s="271"/>
      <c r="D9593" s="271"/>
      <c r="E9593" s="271"/>
      <c r="F9593" s="271"/>
      <c r="G9593" s="273"/>
      <c r="H9593" s="29" t="str">
        <f>IF(A9593="","",VLOOKUP(A9593,AA_Cuadrillas,4,FALSE))</f>
        <v>Cuadrilla</v>
      </c>
      <c r="I9593" s="394">
        <f>IF(A9593="","",VLOOKUP(A9593,AA_Cuadrillas,5,FALSE))</f>
        <v>256799</v>
      </c>
      <c r="J9593" s="273"/>
      <c r="K9593" s="9">
        <f>IF(A9593="","",F.P!$I$2)</f>
        <v>1.88</v>
      </c>
      <c r="L9593" s="9">
        <v>0.5</v>
      </c>
      <c r="M9593" s="394">
        <f t="shared" si="1293"/>
        <v>241391.06</v>
      </c>
      <c r="N9593" s="273"/>
    </row>
    <row r="9594" spans="1:14" ht="12.75" customHeight="1" x14ac:dyDescent="0.25">
      <c r="A9594" s="393"/>
      <c r="B9594" s="271"/>
      <c r="C9594" s="271"/>
      <c r="D9594" s="271"/>
      <c r="E9594" s="271"/>
      <c r="F9594" s="271"/>
      <c r="G9594" s="273"/>
      <c r="H9594" s="29" t="str">
        <f>IF(A9594="","",VLOOKUP(A9594,AA_Cuadrillas,4,FALSE))</f>
        <v/>
      </c>
      <c r="I9594" s="394" t="str">
        <f>IF(A9594="","",VLOOKUP(A9594,AA_Cuadrillas,5,FALSE))</f>
        <v/>
      </c>
      <c r="J9594" s="273"/>
      <c r="K9594" s="9" t="str">
        <f>IF(A9594="","",F.P!$I$2)</f>
        <v/>
      </c>
      <c r="L9594" s="37"/>
      <c r="M9594" s="394" t="str">
        <f t="shared" si="1293"/>
        <v/>
      </c>
      <c r="N9594" s="273"/>
    </row>
    <row r="9595" spans="1:14" ht="12.75" customHeight="1" x14ac:dyDescent="0.25">
      <c r="A9595" s="393"/>
      <c r="B9595" s="271"/>
      <c r="C9595" s="271"/>
      <c r="D9595" s="271"/>
      <c r="E9595" s="271"/>
      <c r="F9595" s="271"/>
      <c r="G9595" s="273"/>
      <c r="H9595" s="29" t="str">
        <f>IF(A9595="","",VLOOKUP(A9595,AA_Cuadrillas,4,FALSE))</f>
        <v/>
      </c>
      <c r="I9595" s="394" t="str">
        <f>IF(A9595="","",VLOOKUP(A9595,AA_Cuadrillas,5,FALSE))</f>
        <v/>
      </c>
      <c r="J9595" s="273"/>
      <c r="K9595" s="9" t="str">
        <f>IF(A9595="","",F.P!$I$2)</f>
        <v/>
      </c>
      <c r="L9595" s="37"/>
      <c r="M9595" s="394" t="str">
        <f t="shared" si="1293"/>
        <v/>
      </c>
      <c r="N9595" s="273"/>
    </row>
    <row r="9596" spans="1:14" ht="12.75" customHeight="1" x14ac:dyDescent="0.25">
      <c r="A9596" s="393"/>
      <c r="B9596" s="271"/>
      <c r="C9596" s="271"/>
      <c r="D9596" s="271"/>
      <c r="E9596" s="271"/>
      <c r="F9596" s="271"/>
      <c r="G9596" s="273"/>
      <c r="H9596" s="29" t="str">
        <f>IF(A9596="","",VLOOKUP(A9596,AA_Cuadrillas,4,FALSE))</f>
        <v/>
      </c>
      <c r="I9596" s="394" t="str">
        <f>IF(A9596="","",VLOOKUP(A9596,AA_Cuadrillas,5,FALSE))</f>
        <v/>
      </c>
      <c r="J9596" s="273"/>
      <c r="K9596" s="9" t="str">
        <f>IF(A9596="","",F.P!$I$2)</f>
        <v/>
      </c>
      <c r="L9596" s="37"/>
      <c r="M9596" s="394" t="str">
        <f t="shared" si="1293"/>
        <v/>
      </c>
      <c r="N9596" s="273"/>
    </row>
    <row r="9597" spans="1:14" ht="12.75" customHeight="1" x14ac:dyDescent="0.25">
      <c r="A9597" s="4"/>
      <c r="B9597" s="4"/>
      <c r="C9597" s="4"/>
      <c r="D9597" s="4"/>
      <c r="E9597" s="4"/>
      <c r="F9597" s="4"/>
      <c r="G9597" s="4"/>
      <c r="H9597" s="4"/>
      <c r="I9597" s="4"/>
      <c r="J9597" s="4"/>
      <c r="K9597" s="396" t="s">
        <v>444</v>
      </c>
      <c r="L9597" s="273"/>
      <c r="M9597" s="394">
        <f>SUM(M9592:N9596)</f>
        <v>603477.64999999991</v>
      </c>
      <c r="N9597" s="273"/>
    </row>
    <row r="9598" spans="1:14" ht="12.75" customHeight="1" x14ac:dyDescent="0.2"/>
    <row r="9599" spans="1:14" ht="12.75" customHeight="1" x14ac:dyDescent="0.2">
      <c r="A9599" s="407" t="s">
        <v>1479</v>
      </c>
      <c r="B9599" s="275"/>
      <c r="C9599" s="275"/>
      <c r="D9599" s="275"/>
      <c r="E9599" s="275"/>
      <c r="F9599" s="275"/>
      <c r="G9599" s="275"/>
      <c r="H9599" s="275"/>
      <c r="I9599" s="275"/>
      <c r="J9599" s="275"/>
      <c r="K9599" s="275"/>
      <c r="L9599" s="275"/>
      <c r="M9599" s="275"/>
      <c r="N9599" s="276"/>
    </row>
    <row r="9600" spans="1:14" ht="12.75" customHeight="1" x14ac:dyDescent="0.2">
      <c r="A9600" s="277"/>
      <c r="B9600" s="278"/>
      <c r="C9600" s="278"/>
      <c r="D9600" s="278"/>
      <c r="E9600" s="278"/>
      <c r="F9600" s="278"/>
      <c r="G9600" s="278"/>
      <c r="H9600" s="278"/>
      <c r="I9600" s="278"/>
      <c r="J9600" s="278"/>
      <c r="K9600" s="278"/>
      <c r="L9600" s="278"/>
      <c r="M9600" s="278"/>
      <c r="N9600" s="279"/>
    </row>
    <row r="9601" spans="1:14" ht="12.75" customHeight="1" x14ac:dyDescent="0.2">
      <c r="A9601" s="75"/>
      <c r="B9601" s="75"/>
      <c r="C9601" s="75"/>
      <c r="D9601" s="75"/>
      <c r="E9601" s="75"/>
      <c r="F9601" s="75"/>
      <c r="G9601" s="75"/>
      <c r="H9601" s="75"/>
      <c r="I9601" s="75"/>
      <c r="J9601" s="75"/>
      <c r="K9601" s="75"/>
      <c r="L9601" s="75"/>
      <c r="M9601" s="75"/>
      <c r="N9601" s="75"/>
    </row>
    <row r="9602" spans="1:14" ht="12.75" customHeight="1" x14ac:dyDescent="0.3">
      <c r="A9602" s="79" t="s">
        <v>824</v>
      </c>
      <c r="B9602" s="80" t="str">
        <f>A9599</f>
        <v>SUMINISTRO DE TUBERÍA PVC Ø4" RDE 21</v>
      </c>
      <c r="C9602" s="81" t="s">
        <v>916</v>
      </c>
      <c r="D9602" s="82" t="s">
        <v>981</v>
      </c>
      <c r="E9602" s="83" t="s">
        <v>445</v>
      </c>
      <c r="F9602" s="86">
        <f>H9602+J9602+L9602+N9602</f>
        <v>90570.375</v>
      </c>
      <c r="G9602" s="83" t="s">
        <v>607</v>
      </c>
      <c r="H9602" s="86">
        <f>M9620</f>
        <v>0</v>
      </c>
      <c r="I9602" s="83" t="s">
        <v>918</v>
      </c>
      <c r="J9602" s="86">
        <f>M9611</f>
        <v>86257.5</v>
      </c>
      <c r="K9602" s="83" t="s">
        <v>609</v>
      </c>
      <c r="L9602" s="86">
        <f>M9629</f>
        <v>4312.875</v>
      </c>
      <c r="M9602" s="83" t="s">
        <v>610</v>
      </c>
      <c r="N9602" s="86">
        <f>M9638</f>
        <v>0</v>
      </c>
    </row>
    <row r="9603" spans="1:14" ht="12.75" customHeight="1" x14ac:dyDescent="0.25">
      <c r="A9603" s="87"/>
      <c r="B9603" s="87"/>
      <c r="C9603" s="87"/>
      <c r="D9603" s="87"/>
      <c r="E9603" s="87"/>
      <c r="F9603" s="87"/>
      <c r="G9603" s="87"/>
      <c r="J9603" s="87"/>
      <c r="K9603" s="215" t="s">
        <v>3217</v>
      </c>
      <c r="L9603" s="215">
        <f>+F9602*presup!$O$5</f>
        <v>117741.4875</v>
      </c>
      <c r="M9603" s="87"/>
      <c r="N9603" s="87"/>
    </row>
    <row r="9604" spans="1:14" ht="12.75" customHeight="1" x14ac:dyDescent="0.2">
      <c r="A9604" s="398" t="s">
        <v>919</v>
      </c>
      <c r="B9604" s="271"/>
      <c r="C9604" s="271"/>
      <c r="D9604" s="271"/>
      <c r="E9604" s="271"/>
      <c r="F9604" s="271"/>
      <c r="G9604" s="271"/>
      <c r="H9604" s="271"/>
      <c r="I9604" s="271"/>
      <c r="J9604" s="271"/>
      <c r="K9604" s="271"/>
      <c r="L9604" s="271"/>
      <c r="M9604" s="271"/>
      <c r="N9604" s="273"/>
    </row>
    <row r="9605" spans="1:14" ht="12.75" customHeight="1" x14ac:dyDescent="0.2">
      <c r="A9605" s="396" t="s">
        <v>76</v>
      </c>
      <c r="B9605" s="271"/>
      <c r="C9605" s="271"/>
      <c r="D9605" s="271"/>
      <c r="E9605" s="271"/>
      <c r="F9605" s="271"/>
      <c r="G9605" s="273"/>
      <c r="H9605" s="88" t="s">
        <v>77</v>
      </c>
      <c r="I9605" s="399" t="s">
        <v>920</v>
      </c>
      <c r="J9605" s="273"/>
      <c r="K9605" s="399" t="s">
        <v>453</v>
      </c>
      <c r="L9605" s="273"/>
      <c r="M9605" s="399" t="s">
        <v>921</v>
      </c>
      <c r="N9605" s="273"/>
    </row>
    <row r="9606" spans="1:14" ht="12.75" customHeight="1" x14ac:dyDescent="0.2">
      <c r="A9606" s="400" t="s">
        <v>1168</v>
      </c>
      <c r="B9606" s="271"/>
      <c r="C9606" s="271"/>
      <c r="D9606" s="271"/>
      <c r="E9606" s="271"/>
      <c r="F9606" s="271"/>
      <c r="G9606" s="273"/>
      <c r="H9606" s="29" t="str">
        <f>IF(A9606="","",VLOOKUP(A9606,AA_Materiales,7,FALSE))</f>
        <v>ml</v>
      </c>
      <c r="I9606" s="394">
        <f>IF(A9606="","",VLOOKUP(A9606,AA_Materiales,8,FALSE))</f>
        <v>82150</v>
      </c>
      <c r="J9606" s="273"/>
      <c r="K9606" s="395">
        <v>1.05</v>
      </c>
      <c r="L9606" s="273"/>
      <c r="M9606" s="394">
        <f>IF(A9606="","",I9606*K9606)</f>
        <v>86257.5</v>
      </c>
      <c r="N9606" s="273"/>
    </row>
    <row r="9607" spans="1:14" ht="12.75" customHeight="1" x14ac:dyDescent="0.2">
      <c r="A9607" s="400"/>
      <c r="B9607" s="271"/>
      <c r="C9607" s="271"/>
      <c r="D9607" s="271"/>
      <c r="E9607" s="271"/>
      <c r="F9607" s="271"/>
      <c r="G9607" s="273"/>
      <c r="H9607" s="29"/>
      <c r="I9607" s="394"/>
      <c r="J9607" s="273"/>
      <c r="K9607" s="395"/>
      <c r="L9607" s="273"/>
      <c r="M9607" s="394"/>
      <c r="N9607" s="273"/>
    </row>
    <row r="9608" spans="1:14" ht="12.75" customHeight="1" x14ac:dyDescent="0.2">
      <c r="A9608" s="400"/>
      <c r="B9608" s="271"/>
      <c r="C9608" s="271"/>
      <c r="D9608" s="271"/>
      <c r="E9608" s="271"/>
      <c r="F9608" s="271"/>
      <c r="G9608" s="273"/>
      <c r="H9608" s="29"/>
      <c r="I9608" s="394"/>
      <c r="J9608" s="273"/>
      <c r="K9608" s="395"/>
      <c r="L9608" s="273"/>
      <c r="M9608" s="394"/>
      <c r="N9608" s="273"/>
    </row>
    <row r="9609" spans="1:14" ht="12.75" customHeight="1" x14ac:dyDescent="0.2">
      <c r="A9609" s="400"/>
      <c r="B9609" s="271"/>
      <c r="C9609" s="271"/>
      <c r="D9609" s="271"/>
      <c r="E9609" s="271"/>
      <c r="F9609" s="271"/>
      <c r="G9609" s="273"/>
      <c r="H9609" s="29"/>
      <c r="I9609" s="394"/>
      <c r="J9609" s="273"/>
      <c r="K9609" s="395"/>
      <c r="L9609" s="273"/>
      <c r="M9609" s="394"/>
      <c r="N9609" s="273"/>
    </row>
    <row r="9610" spans="1:14" ht="12.75" customHeight="1" x14ac:dyDescent="0.2">
      <c r="A9610" s="400"/>
      <c r="B9610" s="271"/>
      <c r="C9610" s="271"/>
      <c r="D9610" s="271"/>
      <c r="E9610" s="271"/>
      <c r="F9610" s="271"/>
      <c r="G9610" s="273"/>
      <c r="H9610" s="29" t="str">
        <f>IF(A9610="","",VLOOKUP(A9610,AA_Materiales,7,FALSE))</f>
        <v/>
      </c>
      <c r="I9610" s="394" t="str">
        <f>IF(A9610="","",VLOOKUP(A9610,AA_Materiales,8,FALSE))</f>
        <v/>
      </c>
      <c r="J9610" s="273"/>
      <c r="K9610" s="395"/>
      <c r="L9610" s="273"/>
      <c r="M9610" s="394" t="str">
        <f>IF(A9610="","",I9610*K9610)</f>
        <v/>
      </c>
      <c r="N9610" s="273"/>
    </row>
    <row r="9611" spans="1:14" ht="12.75" customHeight="1" x14ac:dyDescent="0.25">
      <c r="A9611" s="4"/>
      <c r="B9611" s="4"/>
      <c r="C9611" s="4"/>
      <c r="D9611" s="4"/>
      <c r="E9611" s="4"/>
      <c r="F9611" s="4"/>
      <c r="G9611" s="4"/>
      <c r="H9611" s="4"/>
      <c r="I9611" s="4"/>
      <c r="J9611" s="4"/>
      <c r="K9611" s="396" t="s">
        <v>444</v>
      </c>
      <c r="L9611" s="273"/>
      <c r="M9611" s="394">
        <f>SUM(M9606:N9610)</f>
        <v>86257.5</v>
      </c>
      <c r="N9611" s="273"/>
    </row>
    <row r="9612" spans="1:14" ht="12.75" customHeight="1" x14ac:dyDescent="0.25">
      <c r="A9612" s="4"/>
      <c r="B9612" s="4"/>
      <c r="C9612" s="4"/>
      <c r="D9612" s="4"/>
      <c r="E9612" s="4"/>
      <c r="F9612" s="4"/>
      <c r="G9612" s="4"/>
      <c r="H9612" s="4"/>
      <c r="I9612" s="4"/>
      <c r="J9612" s="4"/>
      <c r="K9612" s="4"/>
      <c r="L9612" s="4"/>
      <c r="M9612" s="4"/>
      <c r="N9612" s="4"/>
    </row>
    <row r="9613" spans="1:14" ht="12.75" customHeight="1" x14ac:dyDescent="0.2">
      <c r="A9613" s="398" t="s">
        <v>926</v>
      </c>
      <c r="B9613" s="271"/>
      <c r="C9613" s="271"/>
      <c r="D9613" s="271"/>
      <c r="E9613" s="271"/>
      <c r="F9613" s="271"/>
      <c r="G9613" s="271"/>
      <c r="H9613" s="271"/>
      <c r="I9613" s="271"/>
      <c r="J9613" s="271"/>
      <c r="K9613" s="271"/>
      <c r="L9613" s="271"/>
      <c r="M9613" s="271"/>
      <c r="N9613" s="273"/>
    </row>
    <row r="9614" spans="1:14" ht="12.75" customHeight="1" x14ac:dyDescent="0.2">
      <c r="A9614" s="396" t="s">
        <v>76</v>
      </c>
      <c r="B9614" s="271"/>
      <c r="C9614" s="271"/>
      <c r="D9614" s="271"/>
      <c r="E9614" s="271"/>
      <c r="F9614" s="271"/>
      <c r="G9614" s="273"/>
      <c r="H9614" s="88" t="s">
        <v>77</v>
      </c>
      <c r="I9614" s="399" t="s">
        <v>920</v>
      </c>
      <c r="J9614" s="273"/>
      <c r="K9614" s="399" t="s">
        <v>453</v>
      </c>
      <c r="L9614" s="273"/>
      <c r="M9614" s="399" t="s">
        <v>921</v>
      </c>
      <c r="N9614" s="273"/>
    </row>
    <row r="9615" spans="1:14" ht="12.75" customHeight="1" x14ac:dyDescent="0.2">
      <c r="A9615" s="400"/>
      <c r="B9615" s="271"/>
      <c r="C9615" s="271"/>
      <c r="D9615" s="271"/>
      <c r="E9615" s="271"/>
      <c r="F9615" s="271"/>
      <c r="G9615" s="273"/>
      <c r="H9615" s="29" t="str">
        <f>IF(A9615="","",VLOOKUP(A9615,AA_Equipos,7,FALSE))</f>
        <v/>
      </c>
      <c r="I9615" s="394"/>
      <c r="J9615" s="273"/>
      <c r="K9615" s="395"/>
      <c r="L9615" s="273"/>
      <c r="M9615" s="394" t="str">
        <f t="shared" ref="M9615:M9619" si="1294">IF(A9615="","",I9615*K9615)</f>
        <v/>
      </c>
      <c r="N9615" s="273"/>
    </row>
    <row r="9616" spans="1:14" ht="12.75" customHeight="1" x14ac:dyDescent="0.2">
      <c r="A9616" s="403"/>
      <c r="B9616" s="271"/>
      <c r="C9616" s="271"/>
      <c r="D9616" s="271"/>
      <c r="E9616" s="271"/>
      <c r="F9616" s="271"/>
      <c r="G9616" s="273"/>
      <c r="H9616" s="29" t="str">
        <f>IF(A9616="","",VLOOKUP(A9616,AA_Equipos,7,FALSE))</f>
        <v/>
      </c>
      <c r="I9616" s="394" t="str">
        <f>IF(A9616="","",VLOOKUP(A9616,AA_Equipos,8,FALSE))</f>
        <v/>
      </c>
      <c r="J9616" s="273"/>
      <c r="K9616" s="402"/>
      <c r="L9616" s="273"/>
      <c r="M9616" s="394" t="str">
        <f t="shared" si="1294"/>
        <v/>
      </c>
      <c r="N9616" s="273"/>
    </row>
    <row r="9617" spans="1:14" ht="12.75" customHeight="1" x14ac:dyDescent="0.2">
      <c r="A9617" s="400"/>
      <c r="B9617" s="271"/>
      <c r="C9617" s="271"/>
      <c r="D9617" s="271"/>
      <c r="E9617" s="271"/>
      <c r="F9617" s="271"/>
      <c r="G9617" s="273"/>
      <c r="H9617" s="29" t="str">
        <f>IF(A9617="","",VLOOKUP(A9617,AA_Equipos,7,FALSE))</f>
        <v/>
      </c>
      <c r="I9617" s="394" t="str">
        <f>IF(A9617="","",VLOOKUP(A9617,AA_Equipos,8,FALSE))</f>
        <v/>
      </c>
      <c r="J9617" s="273"/>
      <c r="K9617" s="395"/>
      <c r="L9617" s="273"/>
      <c r="M9617" s="394" t="str">
        <f t="shared" si="1294"/>
        <v/>
      </c>
      <c r="N9617" s="273"/>
    </row>
    <row r="9618" spans="1:14" ht="12.75" customHeight="1" x14ac:dyDescent="0.2">
      <c r="A9618" s="400"/>
      <c r="B9618" s="271"/>
      <c r="C9618" s="271"/>
      <c r="D9618" s="271"/>
      <c r="E9618" s="271"/>
      <c r="F9618" s="271"/>
      <c r="G9618" s="273"/>
      <c r="H9618" s="29" t="str">
        <f>IF(A9618="","",VLOOKUP(A9618,AA_Equipos,7,FALSE))</f>
        <v/>
      </c>
      <c r="I9618" s="394" t="str">
        <f>IF(A9618="","",VLOOKUP(A9618,AA_Equipos,8,FALSE))</f>
        <v/>
      </c>
      <c r="J9618" s="273"/>
      <c r="K9618" s="395"/>
      <c r="L9618" s="273"/>
      <c r="M9618" s="394" t="str">
        <f t="shared" si="1294"/>
        <v/>
      </c>
      <c r="N9618" s="273"/>
    </row>
    <row r="9619" spans="1:14" ht="12.75" customHeight="1" x14ac:dyDescent="0.2">
      <c r="A9619" s="400"/>
      <c r="B9619" s="271"/>
      <c r="C9619" s="271"/>
      <c r="D9619" s="271"/>
      <c r="E9619" s="271"/>
      <c r="F9619" s="271"/>
      <c r="G9619" s="273"/>
      <c r="H9619" s="29" t="str">
        <f>IF(A9619="","",VLOOKUP(A9619,AA_Equipos,7,FALSE))</f>
        <v/>
      </c>
      <c r="I9619" s="394" t="str">
        <f>IF(A9619="","",VLOOKUP(A9619,AA_Equipos,8,FALSE))</f>
        <v/>
      </c>
      <c r="J9619" s="273"/>
      <c r="K9619" s="395"/>
      <c r="L9619" s="273"/>
      <c r="M9619" s="394" t="str">
        <f t="shared" si="1294"/>
        <v/>
      </c>
      <c r="N9619" s="273"/>
    </row>
    <row r="9620" spans="1:14" ht="12.75" customHeight="1" x14ac:dyDescent="0.25">
      <c r="A9620" s="4"/>
      <c r="B9620" s="4"/>
      <c r="C9620" s="4"/>
      <c r="D9620" s="4"/>
      <c r="E9620" s="4"/>
      <c r="F9620" s="4"/>
      <c r="G9620" s="4"/>
      <c r="H9620" s="4"/>
      <c r="I9620" s="4"/>
      <c r="J9620" s="4"/>
      <c r="K9620" s="396" t="s">
        <v>444</v>
      </c>
      <c r="L9620" s="273"/>
      <c r="M9620" s="394">
        <f>SUM(M9615:N9619)</f>
        <v>0</v>
      </c>
      <c r="N9620" s="273"/>
    </row>
    <row r="9621" spans="1:14" ht="12.75" customHeight="1" x14ac:dyDescent="0.25">
      <c r="A9621" s="4"/>
      <c r="B9621" s="4"/>
      <c r="C9621" s="4"/>
      <c r="D9621" s="4"/>
      <c r="E9621" s="4"/>
      <c r="F9621" s="4"/>
      <c r="G9621" s="4"/>
      <c r="H9621" s="4"/>
      <c r="I9621" s="4"/>
      <c r="J9621" s="4"/>
      <c r="K9621" s="4"/>
      <c r="L9621" s="4"/>
      <c r="M9621" s="4"/>
      <c r="N9621" s="4"/>
    </row>
    <row r="9622" spans="1:14" ht="12.75" customHeight="1" x14ac:dyDescent="0.2">
      <c r="A9622" s="398" t="s">
        <v>929</v>
      </c>
      <c r="B9622" s="271"/>
      <c r="C9622" s="271"/>
      <c r="D9622" s="271"/>
      <c r="E9622" s="271"/>
      <c r="F9622" s="271"/>
      <c r="G9622" s="271"/>
      <c r="H9622" s="271"/>
      <c r="I9622" s="271"/>
      <c r="J9622" s="271"/>
      <c r="K9622" s="271"/>
      <c r="L9622" s="271"/>
      <c r="M9622" s="271"/>
      <c r="N9622" s="273"/>
    </row>
    <row r="9623" spans="1:14" ht="12.75" customHeight="1" x14ac:dyDescent="0.2">
      <c r="A9623" s="396" t="s">
        <v>76</v>
      </c>
      <c r="B9623" s="271"/>
      <c r="C9623" s="271"/>
      <c r="D9623" s="271"/>
      <c r="E9623" s="271"/>
      <c r="F9623" s="271"/>
      <c r="G9623" s="273"/>
      <c r="H9623" s="88" t="s">
        <v>77</v>
      </c>
      <c r="I9623" s="399" t="s">
        <v>920</v>
      </c>
      <c r="J9623" s="273"/>
      <c r="K9623" s="399" t="s">
        <v>453</v>
      </c>
      <c r="L9623" s="273"/>
      <c r="M9623" s="399" t="s">
        <v>921</v>
      </c>
      <c r="N9623" s="273"/>
    </row>
    <row r="9624" spans="1:14" ht="12.75" customHeight="1" x14ac:dyDescent="0.2">
      <c r="A9624" s="403" t="s">
        <v>966</v>
      </c>
      <c r="B9624" s="271"/>
      <c r="C9624" s="271"/>
      <c r="D9624" s="271"/>
      <c r="E9624" s="271"/>
      <c r="F9624" s="271"/>
      <c r="G9624" s="273"/>
      <c r="H9624" s="29" t="s">
        <v>950</v>
      </c>
      <c r="I9624" s="394">
        <f>+M9611</f>
        <v>86257.5</v>
      </c>
      <c r="J9624" s="273"/>
      <c r="K9624" s="404">
        <v>0.05</v>
      </c>
      <c r="L9624" s="273"/>
      <c r="M9624" s="394">
        <f t="shared" ref="M9624:M9628" si="1295">IF(A9624="","",I9624*K9624)</f>
        <v>4312.875</v>
      </c>
      <c r="N9624" s="273"/>
    </row>
    <row r="9625" spans="1:14" ht="12.75" customHeight="1" x14ac:dyDescent="0.2">
      <c r="A9625" s="403"/>
      <c r="B9625" s="271"/>
      <c r="C9625" s="271"/>
      <c r="D9625" s="271"/>
      <c r="E9625" s="271"/>
      <c r="F9625" s="271"/>
      <c r="G9625" s="273"/>
      <c r="H9625" s="29"/>
      <c r="I9625" s="394"/>
      <c r="J9625" s="273"/>
      <c r="K9625" s="404"/>
      <c r="L9625" s="273"/>
      <c r="M9625" s="394" t="str">
        <f t="shared" si="1295"/>
        <v/>
      </c>
      <c r="N9625" s="273"/>
    </row>
    <row r="9626" spans="1:14" ht="12.75" customHeight="1" x14ac:dyDescent="0.2">
      <c r="A9626" s="400"/>
      <c r="B9626" s="271"/>
      <c r="C9626" s="271"/>
      <c r="D9626" s="271"/>
      <c r="E9626" s="271"/>
      <c r="F9626" s="271"/>
      <c r="G9626" s="273"/>
      <c r="H9626" s="29"/>
      <c r="I9626" s="394"/>
      <c r="J9626" s="273"/>
      <c r="K9626" s="395"/>
      <c r="L9626" s="273"/>
      <c r="M9626" s="394" t="str">
        <f t="shared" si="1295"/>
        <v/>
      </c>
      <c r="N9626" s="273"/>
    </row>
    <row r="9627" spans="1:14" ht="12.75" customHeight="1" x14ac:dyDescent="0.2">
      <c r="A9627" s="400"/>
      <c r="B9627" s="271"/>
      <c r="C9627" s="271"/>
      <c r="D9627" s="271"/>
      <c r="E9627" s="271"/>
      <c r="F9627" s="271"/>
      <c r="G9627" s="273"/>
      <c r="H9627" s="29"/>
      <c r="I9627" s="394"/>
      <c r="J9627" s="273"/>
      <c r="K9627" s="395"/>
      <c r="L9627" s="273"/>
      <c r="M9627" s="394" t="str">
        <f t="shared" si="1295"/>
        <v/>
      </c>
      <c r="N9627" s="273"/>
    </row>
    <row r="9628" spans="1:14" ht="12.75" customHeight="1" x14ac:dyDescent="0.2">
      <c r="A9628" s="400"/>
      <c r="B9628" s="271"/>
      <c r="C9628" s="271"/>
      <c r="D9628" s="271"/>
      <c r="E9628" s="271"/>
      <c r="F9628" s="271"/>
      <c r="G9628" s="273"/>
      <c r="H9628" s="29"/>
      <c r="I9628" s="394"/>
      <c r="J9628" s="273"/>
      <c r="K9628" s="395"/>
      <c r="L9628" s="273"/>
      <c r="M9628" s="394" t="str">
        <f t="shared" si="1295"/>
        <v/>
      </c>
      <c r="N9628" s="273"/>
    </row>
    <row r="9629" spans="1:14" ht="12.75" customHeight="1" x14ac:dyDescent="0.25">
      <c r="A9629" s="4"/>
      <c r="B9629" s="4"/>
      <c r="C9629" s="4"/>
      <c r="D9629" s="4"/>
      <c r="E9629" s="4"/>
      <c r="F9629" s="4"/>
      <c r="G9629" s="4"/>
      <c r="H9629" s="4"/>
      <c r="I9629" s="4"/>
      <c r="J9629" s="4"/>
      <c r="K9629" s="396" t="s">
        <v>444</v>
      </c>
      <c r="L9629" s="273"/>
      <c r="M9629" s="394">
        <f>SUM(M9624:N9628)</f>
        <v>4312.875</v>
      </c>
      <c r="N9629" s="273"/>
    </row>
    <row r="9630" spans="1:14" ht="12.75" customHeight="1" x14ac:dyDescent="0.25">
      <c r="A9630" s="4"/>
      <c r="B9630" s="4"/>
      <c r="C9630" s="4"/>
      <c r="D9630" s="4"/>
      <c r="E9630" s="4"/>
      <c r="F9630" s="4"/>
      <c r="G9630" s="4"/>
      <c r="H9630" s="4"/>
      <c r="I9630" s="4"/>
      <c r="J9630" s="4"/>
      <c r="K9630" s="4"/>
      <c r="L9630" s="4"/>
      <c r="M9630" s="4"/>
      <c r="N9630" s="4"/>
    </row>
    <row r="9631" spans="1:14" ht="12.75" customHeight="1" x14ac:dyDescent="0.2">
      <c r="A9631" s="398" t="s">
        <v>931</v>
      </c>
      <c r="B9631" s="271"/>
      <c r="C9631" s="271"/>
      <c r="D9631" s="271"/>
      <c r="E9631" s="271"/>
      <c r="F9631" s="271"/>
      <c r="G9631" s="271"/>
      <c r="H9631" s="271"/>
      <c r="I9631" s="271"/>
      <c r="J9631" s="271"/>
      <c r="K9631" s="271"/>
      <c r="L9631" s="271"/>
      <c r="M9631" s="271"/>
      <c r="N9631" s="273"/>
    </row>
    <row r="9632" spans="1:14" ht="12.75" customHeight="1" x14ac:dyDescent="0.2">
      <c r="A9632" s="396" t="s">
        <v>76</v>
      </c>
      <c r="B9632" s="271"/>
      <c r="C9632" s="271"/>
      <c r="D9632" s="271"/>
      <c r="E9632" s="271"/>
      <c r="F9632" s="271"/>
      <c r="G9632" s="273"/>
      <c r="H9632" s="88" t="s">
        <v>77</v>
      </c>
      <c r="I9632" s="399" t="s">
        <v>920</v>
      </c>
      <c r="J9632" s="273"/>
      <c r="K9632" s="90" t="s">
        <v>514</v>
      </c>
      <c r="L9632" s="91" t="s">
        <v>932</v>
      </c>
      <c r="M9632" s="399" t="s">
        <v>921</v>
      </c>
      <c r="N9632" s="273"/>
    </row>
    <row r="9633" spans="1:15" ht="12.75" customHeight="1" x14ac:dyDescent="0.25">
      <c r="A9633" s="393"/>
      <c r="B9633" s="271"/>
      <c r="C9633" s="271"/>
      <c r="D9633" s="271"/>
      <c r="E9633" s="271"/>
      <c r="F9633" s="271"/>
      <c r="G9633" s="273"/>
      <c r="H9633" s="29" t="str">
        <f>IF(A9633="","",VLOOKUP(A9633,AA_Cuadrillas,4,FALSE))</f>
        <v/>
      </c>
      <c r="I9633" s="394" t="str">
        <f>IF(A9633="","",VLOOKUP(A9633,AA_Cuadrillas,5,FALSE))</f>
        <v/>
      </c>
      <c r="J9633" s="273"/>
      <c r="K9633" s="9" t="str">
        <f>IF(A9633="","",F.P!$I$2)</f>
        <v/>
      </c>
      <c r="L9633" s="93"/>
      <c r="M9633" s="394" t="str">
        <f t="shared" ref="M9633:M9637" si="1296">IF(A9633="","",I9633*K9633*L9633)</f>
        <v/>
      </c>
      <c r="N9633" s="273"/>
    </row>
    <row r="9634" spans="1:15" ht="12.75" customHeight="1" x14ac:dyDescent="0.25">
      <c r="A9634" s="393"/>
      <c r="B9634" s="271"/>
      <c r="C9634" s="271"/>
      <c r="D9634" s="271"/>
      <c r="E9634" s="271"/>
      <c r="F9634" s="271"/>
      <c r="G9634" s="273"/>
      <c r="H9634" s="29" t="str">
        <f>IF(A9634="","",VLOOKUP(A9634,AA_Cuadrillas,4,FALSE))</f>
        <v/>
      </c>
      <c r="I9634" s="394" t="str">
        <f>IF(A9634="","",VLOOKUP(A9634,AA_Cuadrillas,5,FALSE))</f>
        <v/>
      </c>
      <c r="J9634" s="273"/>
      <c r="K9634" s="9" t="str">
        <f>IF(A9634="","",F.P!$I$2)</f>
        <v/>
      </c>
      <c r="L9634" s="9"/>
      <c r="M9634" s="394" t="str">
        <f t="shared" si="1296"/>
        <v/>
      </c>
      <c r="N9634" s="273"/>
    </row>
    <row r="9635" spans="1:15" ht="12.75" customHeight="1" x14ac:dyDescent="0.25">
      <c r="A9635" s="393"/>
      <c r="B9635" s="271"/>
      <c r="C9635" s="271"/>
      <c r="D9635" s="271"/>
      <c r="E9635" s="271"/>
      <c r="F9635" s="271"/>
      <c r="G9635" s="273"/>
      <c r="H9635" s="29" t="str">
        <f>IF(A9635="","",VLOOKUP(A9635,AA_Cuadrillas,4,FALSE))</f>
        <v/>
      </c>
      <c r="I9635" s="394" t="str">
        <f>IF(A9635="","",VLOOKUP(A9635,AA_Cuadrillas,5,FALSE))</f>
        <v/>
      </c>
      <c r="J9635" s="273"/>
      <c r="K9635" s="9" t="str">
        <f>IF(A9635="","",F.P!$I$2)</f>
        <v/>
      </c>
      <c r="L9635" s="37"/>
      <c r="M9635" s="394" t="str">
        <f t="shared" si="1296"/>
        <v/>
      </c>
      <c r="N9635" s="273"/>
    </row>
    <row r="9636" spans="1:15" ht="12.75" customHeight="1" x14ac:dyDescent="0.25">
      <c r="A9636" s="393"/>
      <c r="B9636" s="271"/>
      <c r="C9636" s="271"/>
      <c r="D9636" s="271"/>
      <c r="E9636" s="271"/>
      <c r="F9636" s="271"/>
      <c r="G9636" s="273"/>
      <c r="H9636" s="29" t="str">
        <f>IF(A9636="","",VLOOKUP(A9636,AA_Cuadrillas,4,FALSE))</f>
        <v/>
      </c>
      <c r="I9636" s="394" t="str">
        <f>IF(A9636="","",VLOOKUP(A9636,AA_Cuadrillas,5,FALSE))</f>
        <v/>
      </c>
      <c r="J9636" s="273"/>
      <c r="K9636" s="9" t="str">
        <f>IF(A9636="","",F.P!$I$2)</f>
        <v/>
      </c>
      <c r="L9636" s="37"/>
      <c r="M9636" s="394" t="str">
        <f t="shared" si="1296"/>
        <v/>
      </c>
      <c r="N9636" s="273"/>
    </row>
    <row r="9637" spans="1:15" ht="12.75" customHeight="1" x14ac:dyDescent="0.25">
      <c r="A9637" s="393"/>
      <c r="B9637" s="271"/>
      <c r="C9637" s="271"/>
      <c r="D9637" s="271"/>
      <c r="E9637" s="271"/>
      <c r="F9637" s="271"/>
      <c r="G9637" s="273"/>
      <c r="H9637" s="29" t="str">
        <f>IF(A9637="","",VLOOKUP(A9637,AA_Cuadrillas,4,FALSE))</f>
        <v/>
      </c>
      <c r="I9637" s="394" t="str">
        <f>IF(A9637="","",VLOOKUP(A9637,AA_Cuadrillas,5,FALSE))</f>
        <v/>
      </c>
      <c r="J9637" s="273"/>
      <c r="K9637" s="9" t="str">
        <f>IF(A9637="","",F.P!$I$2)</f>
        <v/>
      </c>
      <c r="L9637" s="37"/>
      <c r="M9637" s="394" t="str">
        <f t="shared" si="1296"/>
        <v/>
      </c>
      <c r="N9637" s="273"/>
    </row>
    <row r="9638" spans="1:15" ht="12.75" customHeight="1" x14ac:dyDescent="0.25">
      <c r="A9638" s="4"/>
      <c r="B9638" s="4"/>
      <c r="C9638" s="4"/>
      <c r="D9638" s="4"/>
      <c r="E9638" s="4"/>
      <c r="F9638" s="4"/>
      <c r="G9638" s="4"/>
      <c r="H9638" s="4"/>
      <c r="I9638" s="4"/>
      <c r="J9638" s="4"/>
      <c r="K9638" s="396" t="s">
        <v>444</v>
      </c>
      <c r="L9638" s="273"/>
      <c r="M9638" s="394">
        <f>SUM(M9633:N9637)</f>
        <v>0</v>
      </c>
      <c r="N9638" s="273"/>
    </row>
    <row r="9639" spans="1:15" ht="12.75" customHeight="1" x14ac:dyDescent="0.2"/>
    <row r="9640" spans="1:15" ht="12.75" customHeight="1" x14ac:dyDescent="0.2">
      <c r="A9640" s="407" t="s">
        <v>3184</v>
      </c>
      <c r="B9640" s="275"/>
      <c r="C9640" s="275"/>
      <c r="D9640" s="275"/>
      <c r="E9640" s="275"/>
      <c r="F9640" s="275"/>
      <c r="G9640" s="275"/>
      <c r="H9640" s="275"/>
      <c r="I9640" s="275"/>
      <c r="J9640" s="275"/>
      <c r="K9640" s="275"/>
      <c r="L9640" s="275"/>
      <c r="M9640" s="275"/>
      <c r="N9640" s="276"/>
      <c r="O9640" s="166"/>
    </row>
    <row r="9641" spans="1:15" ht="12.75" customHeight="1" x14ac:dyDescent="0.2">
      <c r="A9641" s="277"/>
      <c r="B9641" s="278"/>
      <c r="C9641" s="278"/>
      <c r="D9641" s="278"/>
      <c r="E9641" s="278"/>
      <c r="F9641" s="278"/>
      <c r="G9641" s="278"/>
      <c r="H9641" s="278"/>
      <c r="I9641" s="278"/>
      <c r="J9641" s="278"/>
      <c r="K9641" s="278"/>
      <c r="L9641" s="278"/>
      <c r="M9641" s="278"/>
      <c r="N9641" s="279"/>
      <c r="O9641" s="166"/>
    </row>
    <row r="9642" spans="1:15" ht="12.75" customHeight="1" x14ac:dyDescent="0.2">
      <c r="A9642" s="75"/>
      <c r="B9642" s="75"/>
      <c r="C9642" s="75"/>
      <c r="D9642" s="75"/>
      <c r="E9642" s="75"/>
      <c r="F9642" s="75"/>
      <c r="G9642" s="75"/>
      <c r="H9642" s="75"/>
      <c r="I9642" s="75"/>
      <c r="J9642" s="75"/>
      <c r="K9642" s="75"/>
      <c r="L9642" s="75"/>
      <c r="M9642" s="75"/>
      <c r="N9642" s="75"/>
    </row>
    <row r="9643" spans="1:15" ht="12.75" customHeight="1" x14ac:dyDescent="0.3">
      <c r="A9643" s="79" t="s">
        <v>825</v>
      </c>
      <c r="B9643" s="80" t="str">
        <f>A9640</f>
        <v>SUMINISTRO E INSTALACIÓN DE TUBERÍA PVC Ø4" RDE 21 (INCLUYE PEGANTE, LIMPIADOR, HERRAMIENTA MENOR Y MANO DE OBRA)</v>
      </c>
      <c r="C9643" s="81" t="s">
        <v>916</v>
      </c>
      <c r="D9643" s="82" t="s">
        <v>981</v>
      </c>
      <c r="E9643" s="83" t="s">
        <v>445</v>
      </c>
      <c r="F9643" s="234">
        <f>(H9643+J9643+L9643+N9643)*1.3</f>
        <v>134636.44831325</v>
      </c>
      <c r="G9643" s="83" t="s">
        <v>607</v>
      </c>
      <c r="H9643" s="86">
        <f>M9660</f>
        <v>438.89305000000007</v>
      </c>
      <c r="I9643" s="83" t="s">
        <v>918</v>
      </c>
      <c r="J9643" s="86">
        <f>M9651</f>
        <v>89836</v>
      </c>
      <c r="K9643" s="83" t="s">
        <v>609</v>
      </c>
      <c r="L9643" s="86">
        <f>M9669</f>
        <v>4513.7446525000005</v>
      </c>
      <c r="M9643" s="83" t="s">
        <v>610</v>
      </c>
      <c r="N9643" s="86">
        <f>M9678</f>
        <v>8777.8610000000008</v>
      </c>
    </row>
    <row r="9644" spans="1:15" ht="12.75" customHeight="1" x14ac:dyDescent="0.25">
      <c r="A9644" s="87"/>
      <c r="B9644" s="87"/>
      <c r="C9644" s="87"/>
      <c r="D9644" s="87"/>
      <c r="E9644" s="87"/>
      <c r="F9644" s="87"/>
      <c r="G9644" s="87"/>
      <c r="J9644" s="87"/>
      <c r="K9644" s="215" t="s">
        <v>3217</v>
      </c>
      <c r="L9644" s="215">
        <f>+F9643*presup!$O$5</f>
        <v>175027.38280722502</v>
      </c>
      <c r="M9644" s="87"/>
      <c r="N9644" s="87"/>
    </row>
    <row r="9645" spans="1:15" ht="12.75" customHeight="1" x14ac:dyDescent="0.2">
      <c r="A9645" s="398" t="s">
        <v>919</v>
      </c>
      <c r="B9645" s="271"/>
      <c r="C9645" s="271"/>
      <c r="D9645" s="271"/>
      <c r="E9645" s="271"/>
      <c r="F9645" s="271"/>
      <c r="G9645" s="271"/>
      <c r="H9645" s="271"/>
      <c r="I9645" s="271"/>
      <c r="J9645" s="271"/>
      <c r="K9645" s="271"/>
      <c r="L9645" s="271"/>
      <c r="M9645" s="271"/>
      <c r="N9645" s="273"/>
    </row>
    <row r="9646" spans="1:15" ht="12.75" customHeight="1" x14ac:dyDescent="0.2">
      <c r="A9646" s="396" t="s">
        <v>76</v>
      </c>
      <c r="B9646" s="271"/>
      <c r="C9646" s="271"/>
      <c r="D9646" s="271"/>
      <c r="E9646" s="271"/>
      <c r="F9646" s="271"/>
      <c r="G9646" s="273"/>
      <c r="H9646" s="88" t="s">
        <v>77</v>
      </c>
      <c r="I9646" s="399" t="s">
        <v>920</v>
      </c>
      <c r="J9646" s="273"/>
      <c r="K9646" s="399" t="s">
        <v>453</v>
      </c>
      <c r="L9646" s="273"/>
      <c r="M9646" s="399" t="s">
        <v>921</v>
      </c>
      <c r="N9646" s="273"/>
    </row>
    <row r="9647" spans="1:15" ht="12.75" customHeight="1" x14ac:dyDescent="0.2">
      <c r="A9647" s="400" t="s">
        <v>984</v>
      </c>
      <c r="B9647" s="271"/>
      <c r="C9647" s="271"/>
      <c r="D9647" s="271"/>
      <c r="E9647" s="271"/>
      <c r="F9647" s="271"/>
      <c r="G9647" s="273"/>
      <c r="H9647" s="29" t="str">
        <f>IF(A9647="","",VLOOKUP(A9647,AA_Materiales,7,FALSE))</f>
        <v>Galón</v>
      </c>
      <c r="I9647" s="394">
        <f>IF(A9647="","",VLOOKUP(A9647,AA_Materiales,8,FALSE))</f>
        <v>80900</v>
      </c>
      <c r="J9647" s="273"/>
      <c r="K9647" s="395">
        <v>0.06</v>
      </c>
      <c r="L9647" s="273"/>
      <c r="M9647" s="394">
        <f t="shared" ref="M9647:M9648" si="1297">IF(A9647="","",I9647*K9647)</f>
        <v>4854</v>
      </c>
      <c r="N9647" s="273"/>
    </row>
    <row r="9648" spans="1:15" ht="12.75" customHeight="1" x14ac:dyDescent="0.2">
      <c r="A9648" s="400" t="s">
        <v>985</v>
      </c>
      <c r="B9648" s="271"/>
      <c r="C9648" s="271"/>
      <c r="D9648" s="271"/>
      <c r="E9648" s="271"/>
      <c r="F9648" s="271"/>
      <c r="G9648" s="273"/>
      <c r="H9648" s="29" t="str">
        <f>IF(A9648="","",VLOOKUP(A9648,AA_Materiales,7,FALSE))</f>
        <v>Galón</v>
      </c>
      <c r="I9648" s="394">
        <f>IF(A9648="","",VLOOKUP(A9648,AA_Materiales,8,FALSE))</f>
        <v>47200</v>
      </c>
      <c r="J9648" s="273"/>
      <c r="K9648" s="395">
        <v>0.06</v>
      </c>
      <c r="L9648" s="273"/>
      <c r="M9648" s="394">
        <f t="shared" si="1297"/>
        <v>2832</v>
      </c>
      <c r="N9648" s="273"/>
    </row>
    <row r="9649" spans="1:14" ht="12.75" customHeight="1" x14ac:dyDescent="0.2">
      <c r="A9649" s="400" t="s">
        <v>1168</v>
      </c>
      <c r="B9649" s="271"/>
      <c r="C9649" s="271"/>
      <c r="D9649" s="271"/>
      <c r="E9649" s="271"/>
      <c r="F9649" s="271"/>
      <c r="G9649" s="273"/>
      <c r="H9649" s="29" t="str">
        <f>IF(A9649="","",VLOOKUP(A9649,AA_Materiales,7,FALSE))</f>
        <v>ml</v>
      </c>
      <c r="I9649" s="394">
        <f>IF(A9649="","",VLOOKUP(A9649,AA_Materiales,8,FALSE))</f>
        <v>82150</v>
      </c>
      <c r="J9649" s="273"/>
      <c r="K9649" s="395">
        <v>1</v>
      </c>
      <c r="L9649" s="273"/>
      <c r="M9649" s="394">
        <f t="shared" ref="M9649" si="1298">IF(A9649="","",I9649*K9649)</f>
        <v>82150</v>
      </c>
      <c r="N9649" s="273"/>
    </row>
    <row r="9650" spans="1:14" ht="12.75" customHeight="1" x14ac:dyDescent="0.2">
      <c r="A9650" s="400"/>
      <c r="B9650" s="271"/>
      <c r="C9650" s="271"/>
      <c r="D9650" s="271"/>
      <c r="E9650" s="271"/>
      <c r="F9650" s="271"/>
      <c r="G9650" s="273"/>
      <c r="H9650" s="29" t="str">
        <f>IF(A9650="","",VLOOKUP(A9650,AA_Materiales,7,FALSE))</f>
        <v/>
      </c>
      <c r="I9650" s="394" t="str">
        <f>IF(A9650="","",VLOOKUP(A9650,AA_Materiales,8,FALSE))</f>
        <v/>
      </c>
      <c r="J9650" s="273"/>
      <c r="K9650" s="395"/>
      <c r="L9650" s="273"/>
      <c r="M9650" s="394" t="str">
        <f>IF(A9650="","",I9650*K9650)</f>
        <v/>
      </c>
      <c r="N9650" s="273"/>
    </row>
    <row r="9651" spans="1:14" ht="12.75" customHeight="1" x14ac:dyDescent="0.25">
      <c r="A9651" s="4"/>
      <c r="B9651" s="4"/>
      <c r="C9651" s="4"/>
      <c r="D9651" s="4"/>
      <c r="E9651" s="4"/>
      <c r="F9651" s="4"/>
      <c r="G9651" s="4"/>
      <c r="H9651" s="4"/>
      <c r="I9651" s="4"/>
      <c r="J9651" s="4"/>
      <c r="K9651" s="396" t="s">
        <v>444</v>
      </c>
      <c r="L9651" s="273"/>
      <c r="M9651" s="394">
        <f>SUM(M9647:N9650)</f>
        <v>89836</v>
      </c>
      <c r="N9651" s="273"/>
    </row>
    <row r="9652" spans="1:14" ht="12.75" customHeight="1" x14ac:dyDescent="0.25">
      <c r="A9652" s="4"/>
      <c r="B9652" s="4"/>
      <c r="C9652" s="4"/>
      <c r="D9652" s="4"/>
      <c r="E9652" s="4"/>
      <c r="F9652" s="4"/>
      <c r="G9652" s="4"/>
      <c r="H9652" s="4"/>
      <c r="I9652" s="4"/>
      <c r="J9652" s="4"/>
      <c r="K9652" s="4"/>
      <c r="L9652" s="4"/>
      <c r="M9652" s="4"/>
      <c r="N9652" s="4"/>
    </row>
    <row r="9653" spans="1:14" ht="12.75" customHeight="1" x14ac:dyDescent="0.2">
      <c r="A9653" s="398" t="s">
        <v>926</v>
      </c>
      <c r="B9653" s="271"/>
      <c r="C9653" s="271"/>
      <c r="D9653" s="271"/>
      <c r="E9653" s="271"/>
      <c r="F9653" s="271"/>
      <c r="G9653" s="271"/>
      <c r="H9653" s="271"/>
      <c r="I9653" s="271"/>
      <c r="J9653" s="271"/>
      <c r="K9653" s="271"/>
      <c r="L9653" s="271"/>
      <c r="M9653" s="271"/>
      <c r="N9653" s="273"/>
    </row>
    <row r="9654" spans="1:14" ht="12.75" customHeight="1" x14ac:dyDescent="0.2">
      <c r="A9654" s="396" t="s">
        <v>76</v>
      </c>
      <c r="B9654" s="271"/>
      <c r="C9654" s="271"/>
      <c r="D9654" s="271"/>
      <c r="E9654" s="271"/>
      <c r="F9654" s="271"/>
      <c r="G9654" s="273"/>
      <c r="H9654" s="88" t="s">
        <v>77</v>
      </c>
      <c r="I9654" s="399" t="s">
        <v>920</v>
      </c>
      <c r="J9654" s="273"/>
      <c r="K9654" s="399" t="s">
        <v>453</v>
      </c>
      <c r="L9654" s="273"/>
      <c r="M9654" s="399" t="s">
        <v>921</v>
      </c>
      <c r="N9654" s="273"/>
    </row>
    <row r="9655" spans="1:14" ht="12.75" customHeight="1" x14ac:dyDescent="0.2">
      <c r="A9655" s="400" t="s">
        <v>927</v>
      </c>
      <c r="B9655" s="271"/>
      <c r="C9655" s="271"/>
      <c r="D9655" s="271"/>
      <c r="E9655" s="271"/>
      <c r="F9655" s="271"/>
      <c r="G9655" s="273"/>
      <c r="H9655" s="29" t="str">
        <f>IF(A9655="","",VLOOKUP(A9655,AA_Equipos,7,FALSE))</f>
        <v>% M.O.</v>
      </c>
      <c r="I9655" s="394">
        <f>M9678</f>
        <v>8777.8610000000008</v>
      </c>
      <c r="J9655" s="273"/>
      <c r="K9655" s="404">
        <v>0.05</v>
      </c>
      <c r="L9655" s="273"/>
      <c r="M9655" s="394">
        <f t="shared" ref="M9655:M9659" si="1299">IF(A9655="","",I9655*K9655)</f>
        <v>438.89305000000007</v>
      </c>
      <c r="N9655" s="273"/>
    </row>
    <row r="9656" spans="1:14" ht="12.75" customHeight="1" x14ac:dyDescent="0.2">
      <c r="A9656" s="403"/>
      <c r="B9656" s="271"/>
      <c r="C9656" s="271"/>
      <c r="D9656" s="271"/>
      <c r="E9656" s="271"/>
      <c r="F9656" s="271"/>
      <c r="G9656" s="273"/>
      <c r="H9656" s="29" t="str">
        <f>IF(A9656="","",VLOOKUP(A9656,AA_Equipos,7,FALSE))</f>
        <v/>
      </c>
      <c r="I9656" s="394" t="str">
        <f>IF(A9656="","",VLOOKUP(A9656,AA_Equipos,8,FALSE))</f>
        <v/>
      </c>
      <c r="J9656" s="273"/>
      <c r="K9656" s="402"/>
      <c r="L9656" s="273"/>
      <c r="M9656" s="394" t="str">
        <f t="shared" si="1299"/>
        <v/>
      </c>
      <c r="N9656" s="273"/>
    </row>
    <row r="9657" spans="1:14" ht="12.75" customHeight="1" x14ac:dyDescent="0.2">
      <c r="A9657" s="400"/>
      <c r="B9657" s="271"/>
      <c r="C9657" s="271"/>
      <c r="D9657" s="271"/>
      <c r="E9657" s="271"/>
      <c r="F9657" s="271"/>
      <c r="G9657" s="273"/>
      <c r="H9657" s="29" t="str">
        <f>IF(A9657="","",VLOOKUP(A9657,AA_Equipos,7,FALSE))</f>
        <v/>
      </c>
      <c r="I9657" s="394" t="str">
        <f>IF(A9657="","",VLOOKUP(A9657,AA_Equipos,8,FALSE))</f>
        <v/>
      </c>
      <c r="J9657" s="273"/>
      <c r="K9657" s="395"/>
      <c r="L9657" s="273"/>
      <c r="M9657" s="394" t="str">
        <f t="shared" si="1299"/>
        <v/>
      </c>
      <c r="N9657" s="273"/>
    </row>
    <row r="9658" spans="1:14" ht="12.75" customHeight="1" x14ac:dyDescent="0.2">
      <c r="A9658" s="400"/>
      <c r="B9658" s="271"/>
      <c r="C9658" s="271"/>
      <c r="D9658" s="271"/>
      <c r="E9658" s="271"/>
      <c r="F9658" s="271"/>
      <c r="G9658" s="273"/>
      <c r="H9658" s="29" t="str">
        <f>IF(A9658="","",VLOOKUP(A9658,AA_Equipos,7,FALSE))</f>
        <v/>
      </c>
      <c r="I9658" s="394" t="str">
        <f>IF(A9658="","",VLOOKUP(A9658,AA_Equipos,8,FALSE))</f>
        <v/>
      </c>
      <c r="J9658" s="273"/>
      <c r="K9658" s="395"/>
      <c r="L9658" s="273"/>
      <c r="M9658" s="394" t="str">
        <f t="shared" si="1299"/>
        <v/>
      </c>
      <c r="N9658" s="273"/>
    </row>
    <row r="9659" spans="1:14" ht="12.75" customHeight="1" x14ac:dyDescent="0.2">
      <c r="A9659" s="400"/>
      <c r="B9659" s="271"/>
      <c r="C9659" s="271"/>
      <c r="D9659" s="271"/>
      <c r="E9659" s="271"/>
      <c r="F9659" s="271"/>
      <c r="G9659" s="273"/>
      <c r="H9659" s="29" t="str">
        <f>IF(A9659="","",VLOOKUP(A9659,AA_Equipos,7,FALSE))</f>
        <v/>
      </c>
      <c r="I9659" s="394" t="str">
        <f>IF(A9659="","",VLOOKUP(A9659,AA_Equipos,8,FALSE))</f>
        <v/>
      </c>
      <c r="J9659" s="273"/>
      <c r="K9659" s="395"/>
      <c r="L9659" s="273"/>
      <c r="M9659" s="394" t="str">
        <f t="shared" si="1299"/>
        <v/>
      </c>
      <c r="N9659" s="273"/>
    </row>
    <row r="9660" spans="1:14" ht="12.75" customHeight="1" x14ac:dyDescent="0.25">
      <c r="A9660" s="4"/>
      <c r="B9660" s="4"/>
      <c r="C9660" s="4"/>
      <c r="D9660" s="4"/>
      <c r="E9660" s="4"/>
      <c r="F9660" s="4"/>
      <c r="G9660" s="4"/>
      <c r="H9660" s="4"/>
      <c r="I9660" s="4"/>
      <c r="J9660" s="4"/>
      <c r="K9660" s="396" t="s">
        <v>444</v>
      </c>
      <c r="L9660" s="273"/>
      <c r="M9660" s="394">
        <f>SUM(M9655:N9659)</f>
        <v>438.89305000000007</v>
      </c>
      <c r="N9660" s="273"/>
    </row>
    <row r="9661" spans="1:14" ht="12.75" customHeight="1" x14ac:dyDescent="0.25">
      <c r="A9661" s="4"/>
      <c r="B9661" s="4"/>
      <c r="C9661" s="4"/>
      <c r="D9661" s="4"/>
      <c r="E9661" s="4"/>
      <c r="F9661" s="4"/>
      <c r="G9661" s="4"/>
      <c r="H9661" s="4"/>
      <c r="I9661" s="4"/>
      <c r="J9661" s="4"/>
      <c r="K9661" s="4"/>
      <c r="L9661" s="4"/>
      <c r="M9661" s="4"/>
      <c r="N9661" s="4"/>
    </row>
    <row r="9662" spans="1:14" ht="12.75" customHeight="1" x14ac:dyDescent="0.2">
      <c r="A9662" s="398" t="s">
        <v>929</v>
      </c>
      <c r="B9662" s="271"/>
      <c r="C9662" s="271"/>
      <c r="D9662" s="271"/>
      <c r="E9662" s="271"/>
      <c r="F9662" s="271"/>
      <c r="G9662" s="271"/>
      <c r="H9662" s="271"/>
      <c r="I9662" s="271"/>
      <c r="J9662" s="271"/>
      <c r="K9662" s="271"/>
      <c r="L9662" s="271"/>
      <c r="M9662" s="271"/>
      <c r="N9662" s="273"/>
    </row>
    <row r="9663" spans="1:14" ht="12.75" customHeight="1" x14ac:dyDescent="0.2">
      <c r="A9663" s="396" t="s">
        <v>76</v>
      </c>
      <c r="B9663" s="271"/>
      <c r="C9663" s="271"/>
      <c r="D9663" s="271"/>
      <c r="E9663" s="271"/>
      <c r="F9663" s="271"/>
      <c r="G9663" s="273"/>
      <c r="H9663" s="88" t="s">
        <v>77</v>
      </c>
      <c r="I9663" s="399" t="s">
        <v>920</v>
      </c>
      <c r="J9663" s="273"/>
      <c r="K9663" s="399" t="s">
        <v>453</v>
      </c>
      <c r="L9663" s="273"/>
      <c r="M9663" s="399" t="s">
        <v>921</v>
      </c>
      <c r="N9663" s="273"/>
    </row>
    <row r="9664" spans="1:14" ht="12.75" customHeight="1" x14ac:dyDescent="0.2">
      <c r="A9664" s="403" t="s">
        <v>966</v>
      </c>
      <c r="B9664" s="271"/>
      <c r="C9664" s="271"/>
      <c r="D9664" s="271"/>
      <c r="E9664" s="271"/>
      <c r="F9664" s="271"/>
      <c r="G9664" s="273"/>
      <c r="H9664" s="29" t="s">
        <v>24</v>
      </c>
      <c r="I9664" s="394">
        <f>+M9651</f>
        <v>89836</v>
      </c>
      <c r="J9664" s="273"/>
      <c r="K9664" s="404">
        <v>0.05</v>
      </c>
      <c r="L9664" s="273"/>
      <c r="M9664" s="394">
        <f t="shared" ref="M9664:M9668" si="1300">IF(A9664="","",I9664*K9664)</f>
        <v>4491.8</v>
      </c>
      <c r="N9664" s="273"/>
    </row>
    <row r="9665" spans="1:14" ht="12.75" customHeight="1" x14ac:dyDescent="0.2">
      <c r="A9665" s="403" t="s">
        <v>3174</v>
      </c>
      <c r="B9665" s="271"/>
      <c r="C9665" s="271"/>
      <c r="D9665" s="271"/>
      <c r="E9665" s="271"/>
      <c r="F9665" s="271"/>
      <c r="G9665" s="273"/>
      <c r="H9665" s="29" t="s">
        <v>24</v>
      </c>
      <c r="I9665" s="394">
        <f>+M9660</f>
        <v>438.89305000000007</v>
      </c>
      <c r="J9665" s="273"/>
      <c r="K9665" s="404">
        <v>0.05</v>
      </c>
      <c r="L9665" s="273"/>
      <c r="M9665" s="394">
        <f t="shared" si="1300"/>
        <v>21.944652500000004</v>
      </c>
      <c r="N9665" s="273"/>
    </row>
    <row r="9666" spans="1:14" ht="12.75" customHeight="1" x14ac:dyDescent="0.2">
      <c r="A9666" s="400"/>
      <c r="B9666" s="271"/>
      <c r="C9666" s="271"/>
      <c r="D9666" s="271"/>
      <c r="E9666" s="271"/>
      <c r="F9666" s="271"/>
      <c r="G9666" s="273"/>
      <c r="H9666" s="29"/>
      <c r="I9666" s="394"/>
      <c r="J9666" s="273"/>
      <c r="K9666" s="395"/>
      <c r="L9666" s="273"/>
      <c r="M9666" s="394" t="str">
        <f t="shared" si="1300"/>
        <v/>
      </c>
      <c r="N9666" s="273"/>
    </row>
    <row r="9667" spans="1:14" ht="12.75" customHeight="1" x14ac:dyDescent="0.2">
      <c r="A9667" s="400"/>
      <c r="B9667" s="271"/>
      <c r="C9667" s="271"/>
      <c r="D9667" s="271"/>
      <c r="E9667" s="271"/>
      <c r="F9667" s="271"/>
      <c r="G9667" s="273"/>
      <c r="H9667" s="29"/>
      <c r="I9667" s="394"/>
      <c r="J9667" s="273"/>
      <c r="K9667" s="395"/>
      <c r="L9667" s="273"/>
      <c r="M9667" s="394" t="str">
        <f t="shared" si="1300"/>
        <v/>
      </c>
      <c r="N9667" s="273"/>
    </row>
    <row r="9668" spans="1:14" ht="12.75" customHeight="1" x14ac:dyDescent="0.2">
      <c r="A9668" s="400"/>
      <c r="B9668" s="271"/>
      <c r="C9668" s="271"/>
      <c r="D9668" s="271"/>
      <c r="E9668" s="271"/>
      <c r="F9668" s="271"/>
      <c r="G9668" s="273"/>
      <c r="H9668" s="29"/>
      <c r="I9668" s="394"/>
      <c r="J9668" s="273"/>
      <c r="K9668" s="395"/>
      <c r="L9668" s="273"/>
      <c r="M9668" s="394" t="str">
        <f t="shared" si="1300"/>
        <v/>
      </c>
      <c r="N9668" s="273"/>
    </row>
    <row r="9669" spans="1:14" ht="12.75" customHeight="1" x14ac:dyDescent="0.25">
      <c r="A9669" s="4"/>
      <c r="B9669" s="4"/>
      <c r="C9669" s="4"/>
      <c r="D9669" s="4"/>
      <c r="E9669" s="4"/>
      <c r="F9669" s="4"/>
      <c r="G9669" s="4"/>
      <c r="H9669" s="4"/>
      <c r="I9669" s="4"/>
      <c r="J9669" s="4"/>
      <c r="K9669" s="396" t="s">
        <v>444</v>
      </c>
      <c r="L9669" s="273"/>
      <c r="M9669" s="394">
        <f>SUM(M9664:N9668)</f>
        <v>4513.7446525000005</v>
      </c>
      <c r="N9669" s="273"/>
    </row>
    <row r="9670" spans="1:14" ht="12.75" customHeight="1" x14ac:dyDescent="0.25">
      <c r="A9670" s="4"/>
      <c r="B9670" s="4"/>
      <c r="C9670" s="4"/>
      <c r="D9670" s="4"/>
      <c r="E9670" s="4"/>
      <c r="F9670" s="4"/>
      <c r="G9670" s="4"/>
      <c r="H9670" s="4"/>
      <c r="I9670" s="4"/>
      <c r="J9670" s="4"/>
      <c r="K9670" s="4"/>
      <c r="L9670" s="4"/>
      <c r="M9670" s="4"/>
      <c r="N9670" s="4"/>
    </row>
    <row r="9671" spans="1:14" ht="12.75" customHeight="1" x14ac:dyDescent="0.2">
      <c r="A9671" s="398" t="s">
        <v>931</v>
      </c>
      <c r="B9671" s="271"/>
      <c r="C9671" s="271"/>
      <c r="D9671" s="271"/>
      <c r="E9671" s="271"/>
      <c r="F9671" s="271"/>
      <c r="G9671" s="271"/>
      <c r="H9671" s="271"/>
      <c r="I9671" s="271"/>
      <c r="J9671" s="271"/>
      <c r="K9671" s="271"/>
      <c r="L9671" s="271"/>
      <c r="M9671" s="271"/>
      <c r="N9671" s="273"/>
    </row>
    <row r="9672" spans="1:14" ht="12.75" customHeight="1" x14ac:dyDescent="0.2">
      <c r="A9672" s="396" t="s">
        <v>76</v>
      </c>
      <c r="B9672" s="271"/>
      <c r="C9672" s="271"/>
      <c r="D9672" s="271"/>
      <c r="E9672" s="271"/>
      <c r="F9672" s="271"/>
      <c r="G9672" s="273"/>
      <c r="H9672" s="88" t="s">
        <v>77</v>
      </c>
      <c r="I9672" s="399" t="s">
        <v>920</v>
      </c>
      <c r="J9672" s="273"/>
      <c r="K9672" s="90" t="s">
        <v>514</v>
      </c>
      <c r="L9672" s="91" t="s">
        <v>932</v>
      </c>
      <c r="M9672" s="399" t="s">
        <v>921</v>
      </c>
      <c r="N9672" s="273"/>
    </row>
    <row r="9673" spans="1:14" ht="12.75" customHeight="1" x14ac:dyDescent="0.25">
      <c r="A9673" s="393" t="s">
        <v>986</v>
      </c>
      <c r="B9673" s="271"/>
      <c r="C9673" s="271"/>
      <c r="D9673" s="271"/>
      <c r="E9673" s="271"/>
      <c r="F9673" s="271"/>
      <c r="G9673" s="273"/>
      <c r="H9673" s="29" t="str">
        <f>IF(A9673="","",VLOOKUP(A9673,AA_Cuadrillas,4,FALSE))</f>
        <v>Cuadrilla</v>
      </c>
      <c r="I9673" s="394">
        <f>IF(A9673="","",VLOOKUP(A9673,AA_Cuadrillas,5,FALSE))</f>
        <v>186763</v>
      </c>
      <c r="J9673" s="273"/>
      <c r="K9673" s="9">
        <f>IF(A9673="","",F.P!$I$2)</f>
        <v>1.88</v>
      </c>
      <c r="L9673" s="93">
        <f>1/40</f>
        <v>2.5000000000000001E-2</v>
      </c>
      <c r="M9673" s="394">
        <f t="shared" ref="M9673:M9677" si="1301">IF(A9673="","",I9673*K9673*L9673)</f>
        <v>8777.8610000000008</v>
      </c>
      <c r="N9673" s="273"/>
    </row>
    <row r="9674" spans="1:14" ht="12.75" customHeight="1" x14ac:dyDescent="0.25">
      <c r="A9674" s="393"/>
      <c r="B9674" s="271"/>
      <c r="C9674" s="271"/>
      <c r="D9674" s="271"/>
      <c r="E9674" s="271"/>
      <c r="F9674" s="271"/>
      <c r="G9674" s="273"/>
      <c r="H9674" s="29" t="str">
        <f>IF(A9674="","",VLOOKUP(A9674,AA_Cuadrillas,4,FALSE))</f>
        <v/>
      </c>
      <c r="I9674" s="394" t="str">
        <f>IF(A9674="","",VLOOKUP(A9674,AA_Cuadrillas,5,FALSE))</f>
        <v/>
      </c>
      <c r="J9674" s="273"/>
      <c r="K9674" s="9" t="str">
        <f>IF(A9674="","",F.P!$I$2)</f>
        <v/>
      </c>
      <c r="L9674" s="9"/>
      <c r="M9674" s="394" t="str">
        <f t="shared" si="1301"/>
        <v/>
      </c>
      <c r="N9674" s="273"/>
    </row>
    <row r="9675" spans="1:14" ht="12.75" customHeight="1" x14ac:dyDescent="0.25">
      <c r="A9675" s="393"/>
      <c r="B9675" s="271"/>
      <c r="C9675" s="271"/>
      <c r="D9675" s="271"/>
      <c r="E9675" s="271"/>
      <c r="F9675" s="271"/>
      <c r="G9675" s="273"/>
      <c r="H9675" s="29" t="str">
        <f>IF(A9675="","",VLOOKUP(A9675,AA_Cuadrillas,4,FALSE))</f>
        <v/>
      </c>
      <c r="I9675" s="394" t="str">
        <f>IF(A9675="","",VLOOKUP(A9675,AA_Cuadrillas,5,FALSE))</f>
        <v/>
      </c>
      <c r="J9675" s="273"/>
      <c r="K9675" s="9" t="str">
        <f>IF(A9675="","",F.P!$I$2)</f>
        <v/>
      </c>
      <c r="L9675" s="37"/>
      <c r="M9675" s="394" t="str">
        <f t="shared" si="1301"/>
        <v/>
      </c>
      <c r="N9675" s="273"/>
    </row>
    <row r="9676" spans="1:14" ht="12.75" customHeight="1" x14ac:dyDescent="0.25">
      <c r="A9676" s="393"/>
      <c r="B9676" s="271"/>
      <c r="C9676" s="271"/>
      <c r="D9676" s="271"/>
      <c r="E9676" s="271"/>
      <c r="F9676" s="271"/>
      <c r="G9676" s="273"/>
      <c r="H9676" s="29" t="str">
        <f>IF(A9676="","",VLOOKUP(A9676,AA_Cuadrillas,4,FALSE))</f>
        <v/>
      </c>
      <c r="I9676" s="394" t="str">
        <f>IF(A9676="","",VLOOKUP(A9676,AA_Cuadrillas,5,FALSE))</f>
        <v/>
      </c>
      <c r="J9676" s="273"/>
      <c r="K9676" s="9" t="str">
        <f>IF(A9676="","",F.P!$I$2)</f>
        <v/>
      </c>
      <c r="L9676" s="37"/>
      <c r="M9676" s="394" t="str">
        <f t="shared" si="1301"/>
        <v/>
      </c>
      <c r="N9676" s="273"/>
    </row>
    <row r="9677" spans="1:14" ht="12.75" customHeight="1" x14ac:dyDescent="0.25">
      <c r="A9677" s="393"/>
      <c r="B9677" s="271"/>
      <c r="C9677" s="271"/>
      <c r="D9677" s="271"/>
      <c r="E9677" s="271"/>
      <c r="F9677" s="271"/>
      <c r="G9677" s="273"/>
      <c r="H9677" s="29" t="str">
        <f>IF(A9677="","",VLOOKUP(A9677,AA_Cuadrillas,4,FALSE))</f>
        <v/>
      </c>
      <c r="I9677" s="394" t="str">
        <f>IF(A9677="","",VLOOKUP(A9677,AA_Cuadrillas,5,FALSE))</f>
        <v/>
      </c>
      <c r="J9677" s="273"/>
      <c r="K9677" s="9" t="str">
        <f>IF(A9677="","",F.P!$I$2)</f>
        <v/>
      </c>
      <c r="L9677" s="37"/>
      <c r="M9677" s="394" t="str">
        <f t="shared" si="1301"/>
        <v/>
      </c>
      <c r="N9677" s="273"/>
    </row>
    <row r="9678" spans="1:14" ht="12.75" customHeight="1" x14ac:dyDescent="0.25">
      <c r="A9678" s="4"/>
      <c r="B9678" s="4"/>
      <c r="C9678" s="4"/>
      <c r="D9678" s="4"/>
      <c r="E9678" s="4"/>
      <c r="F9678" s="4"/>
      <c r="G9678" s="4"/>
      <c r="H9678" s="4"/>
      <c r="I9678" s="4"/>
      <c r="J9678" s="4"/>
      <c r="K9678" s="396" t="s">
        <v>444</v>
      </c>
      <c r="L9678" s="273"/>
      <c r="M9678" s="394">
        <f>SUM(M9673:N9677)</f>
        <v>8777.8610000000008</v>
      </c>
      <c r="N9678" s="273"/>
    </row>
    <row r="9679" spans="1:14" ht="12.75" customHeight="1" x14ac:dyDescent="0.2"/>
    <row r="9680" spans="1:14" ht="12.75" customHeight="1" x14ac:dyDescent="0.2">
      <c r="A9680" s="407" t="s">
        <v>1480</v>
      </c>
      <c r="B9680" s="275"/>
      <c r="C9680" s="275"/>
      <c r="D9680" s="275"/>
      <c r="E9680" s="275"/>
      <c r="F9680" s="275"/>
      <c r="G9680" s="275"/>
      <c r="H9680" s="275"/>
      <c r="I9680" s="275"/>
      <c r="J9680" s="275"/>
      <c r="K9680" s="275"/>
      <c r="L9680" s="275"/>
      <c r="M9680" s="275"/>
      <c r="N9680" s="276"/>
    </row>
    <row r="9681" spans="1:14" ht="12.75" customHeight="1" x14ac:dyDescent="0.2">
      <c r="A9681" s="277"/>
      <c r="B9681" s="278"/>
      <c r="C9681" s="278"/>
      <c r="D9681" s="278"/>
      <c r="E9681" s="278"/>
      <c r="F9681" s="278"/>
      <c r="G9681" s="278"/>
      <c r="H9681" s="278"/>
      <c r="I9681" s="278"/>
      <c r="J9681" s="278"/>
      <c r="K9681" s="278"/>
      <c r="L9681" s="278"/>
      <c r="M9681" s="278"/>
      <c r="N9681" s="279"/>
    </row>
    <row r="9682" spans="1:14" ht="12.75" customHeight="1" x14ac:dyDescent="0.2">
      <c r="A9682" s="75"/>
      <c r="B9682" s="75"/>
      <c r="C9682" s="75"/>
      <c r="D9682" s="75"/>
      <c r="E9682" s="75"/>
      <c r="F9682" s="75"/>
      <c r="G9682" s="75"/>
      <c r="H9682" s="75"/>
      <c r="I9682" s="75"/>
      <c r="J9682" s="75"/>
      <c r="K9682" s="75"/>
      <c r="L9682" s="75"/>
      <c r="M9682" s="75"/>
      <c r="N9682" s="75"/>
    </row>
    <row r="9683" spans="1:14" ht="12.75" customHeight="1" x14ac:dyDescent="0.3">
      <c r="A9683" s="79" t="s">
        <v>826</v>
      </c>
      <c r="B9683" s="80" t="str">
        <f>A9680</f>
        <v>SUMINISTRO DE TUBERÍA PVC Ø3"</v>
      </c>
      <c r="C9683" s="81" t="s">
        <v>916</v>
      </c>
      <c r="D9683" s="82" t="s">
        <v>981</v>
      </c>
      <c r="E9683" s="83" t="s">
        <v>445</v>
      </c>
      <c r="F9683" s="86">
        <f>H9683+J9683+L9683+N9683</f>
        <v>52446.200625000005</v>
      </c>
      <c r="G9683" s="83" t="s">
        <v>607</v>
      </c>
      <c r="H9683" s="86">
        <f>M9692</f>
        <v>49948.762500000004</v>
      </c>
      <c r="I9683" s="83" t="s">
        <v>918</v>
      </c>
      <c r="J9683" s="86">
        <f>M9701</f>
        <v>0</v>
      </c>
      <c r="K9683" s="83" t="s">
        <v>609</v>
      </c>
      <c r="L9683" s="86">
        <f>M9710</f>
        <v>2497.4381250000006</v>
      </c>
      <c r="M9683" s="83" t="s">
        <v>610</v>
      </c>
      <c r="N9683" s="86">
        <f>M9719</f>
        <v>0</v>
      </c>
    </row>
    <row r="9684" spans="1:14" ht="12.75" customHeight="1" x14ac:dyDescent="0.25">
      <c r="A9684" s="87"/>
      <c r="B9684" s="87"/>
      <c r="C9684" s="87"/>
      <c r="D9684" s="87"/>
      <c r="E9684" s="87"/>
      <c r="F9684" s="87"/>
      <c r="G9684" s="87"/>
      <c r="J9684" s="87"/>
      <c r="K9684" s="215" t="s">
        <v>3217</v>
      </c>
      <c r="L9684" s="215">
        <f>+F9683*presup!$O$5</f>
        <v>68180.060812500014</v>
      </c>
      <c r="M9684" s="87"/>
      <c r="N9684" s="87"/>
    </row>
    <row r="9685" spans="1:14" ht="12.75" customHeight="1" x14ac:dyDescent="0.2">
      <c r="A9685" s="398" t="s">
        <v>919</v>
      </c>
      <c r="B9685" s="271"/>
      <c r="C9685" s="271"/>
      <c r="D9685" s="271"/>
      <c r="E9685" s="271"/>
      <c r="F9685" s="271"/>
      <c r="G9685" s="271"/>
      <c r="H9685" s="271"/>
      <c r="I9685" s="271"/>
      <c r="J9685" s="271"/>
      <c r="K9685" s="271"/>
      <c r="L9685" s="271"/>
      <c r="M9685" s="271"/>
      <c r="N9685" s="273"/>
    </row>
    <row r="9686" spans="1:14" ht="12.75" customHeight="1" x14ac:dyDescent="0.2">
      <c r="A9686" s="396" t="s">
        <v>76</v>
      </c>
      <c r="B9686" s="271"/>
      <c r="C9686" s="271"/>
      <c r="D9686" s="271"/>
      <c r="E9686" s="271"/>
      <c r="F9686" s="271"/>
      <c r="G9686" s="273"/>
      <c r="H9686" s="88" t="s">
        <v>77</v>
      </c>
      <c r="I9686" s="399" t="s">
        <v>920</v>
      </c>
      <c r="J9686" s="273"/>
      <c r="K9686" s="399" t="s">
        <v>453</v>
      </c>
      <c r="L9686" s="273"/>
      <c r="M9686" s="399" t="s">
        <v>921</v>
      </c>
      <c r="N9686" s="273"/>
    </row>
    <row r="9687" spans="1:14" ht="12.75" customHeight="1" x14ac:dyDescent="0.2">
      <c r="A9687" s="400" t="s">
        <v>1162</v>
      </c>
      <c r="B9687" s="271"/>
      <c r="C9687" s="271"/>
      <c r="D9687" s="271"/>
      <c r="E9687" s="271"/>
      <c r="F9687" s="271"/>
      <c r="G9687" s="273"/>
      <c r="H9687" s="29" t="str">
        <f>IF(A9687="","",VLOOKUP(A9687,AA_Materiales,7,FALSE))</f>
        <v>ml</v>
      </c>
      <c r="I9687" s="394">
        <f>IF(A9687="","",VLOOKUP(A9687,AA_Materiales,8,FALSE))</f>
        <v>47570.25</v>
      </c>
      <c r="J9687" s="273"/>
      <c r="K9687" s="395">
        <v>1.05</v>
      </c>
      <c r="L9687" s="273"/>
      <c r="M9687" s="394">
        <f>IF(A9687="","",I9687*K9687)</f>
        <v>49948.762500000004</v>
      </c>
      <c r="N9687" s="273"/>
    </row>
    <row r="9688" spans="1:14" ht="12.75" customHeight="1" x14ac:dyDescent="0.2">
      <c r="A9688" s="400"/>
      <c r="B9688" s="271"/>
      <c r="C9688" s="271"/>
      <c r="D9688" s="271"/>
      <c r="E9688" s="271"/>
      <c r="F9688" s="271"/>
      <c r="G9688" s="273"/>
      <c r="H9688" s="29"/>
      <c r="I9688" s="394"/>
      <c r="J9688" s="273"/>
      <c r="K9688" s="395"/>
      <c r="L9688" s="273"/>
      <c r="M9688" s="394"/>
      <c r="N9688" s="273"/>
    </row>
    <row r="9689" spans="1:14" ht="12.75" customHeight="1" x14ac:dyDescent="0.2">
      <c r="A9689" s="400"/>
      <c r="B9689" s="271"/>
      <c r="C9689" s="271"/>
      <c r="D9689" s="271"/>
      <c r="E9689" s="271"/>
      <c r="F9689" s="271"/>
      <c r="G9689" s="273"/>
      <c r="H9689" s="29"/>
      <c r="I9689" s="394"/>
      <c r="J9689" s="273"/>
      <c r="K9689" s="395"/>
      <c r="L9689" s="273"/>
      <c r="M9689" s="394"/>
      <c r="N9689" s="273"/>
    </row>
    <row r="9690" spans="1:14" ht="12.75" customHeight="1" x14ac:dyDescent="0.2">
      <c r="A9690" s="400"/>
      <c r="B9690" s="271"/>
      <c r="C9690" s="271"/>
      <c r="D9690" s="271"/>
      <c r="E9690" s="271"/>
      <c r="F9690" s="271"/>
      <c r="G9690" s="273"/>
      <c r="H9690" s="29"/>
      <c r="I9690" s="394"/>
      <c r="J9690" s="273"/>
      <c r="K9690" s="395"/>
      <c r="L9690" s="273"/>
      <c r="M9690" s="394"/>
      <c r="N9690" s="273"/>
    </row>
    <row r="9691" spans="1:14" ht="12.75" customHeight="1" x14ac:dyDescent="0.2">
      <c r="A9691" s="400"/>
      <c r="B9691" s="271"/>
      <c r="C9691" s="271"/>
      <c r="D9691" s="271"/>
      <c r="E9691" s="271"/>
      <c r="F9691" s="271"/>
      <c r="G9691" s="273"/>
      <c r="H9691" s="29" t="str">
        <f>IF(A9691="","",VLOOKUP(A9691,AA_Materiales,7,FALSE))</f>
        <v/>
      </c>
      <c r="I9691" s="394" t="str">
        <f>IF(A9691="","",VLOOKUP(A9691,AA_Materiales,8,FALSE))</f>
        <v/>
      </c>
      <c r="J9691" s="273"/>
      <c r="K9691" s="395"/>
      <c r="L9691" s="273"/>
      <c r="M9691" s="394" t="str">
        <f>IF(A9691="","",I9691*K9691)</f>
        <v/>
      </c>
      <c r="N9691" s="273"/>
    </row>
    <row r="9692" spans="1:14" ht="12.75" customHeight="1" x14ac:dyDescent="0.25">
      <c r="A9692" s="4"/>
      <c r="B9692" s="4"/>
      <c r="C9692" s="4"/>
      <c r="D9692" s="4"/>
      <c r="E9692" s="4"/>
      <c r="F9692" s="4"/>
      <c r="G9692" s="4"/>
      <c r="H9692" s="4"/>
      <c r="I9692" s="4"/>
      <c r="J9692" s="4"/>
      <c r="K9692" s="396" t="s">
        <v>444</v>
      </c>
      <c r="L9692" s="273"/>
      <c r="M9692" s="394">
        <f>SUM(M9687:N9691)</f>
        <v>49948.762500000004</v>
      </c>
      <c r="N9692" s="273"/>
    </row>
    <row r="9693" spans="1:14" ht="12.75" customHeight="1" x14ac:dyDescent="0.25">
      <c r="A9693" s="4"/>
      <c r="B9693" s="4"/>
      <c r="C9693" s="4"/>
      <c r="D9693" s="4"/>
      <c r="E9693" s="4"/>
      <c r="F9693" s="4"/>
      <c r="G9693" s="4"/>
      <c r="H9693" s="4"/>
      <c r="I9693" s="4"/>
      <c r="J9693" s="4"/>
      <c r="K9693" s="4"/>
      <c r="L9693" s="4"/>
      <c r="M9693" s="4"/>
      <c r="N9693" s="4"/>
    </row>
    <row r="9694" spans="1:14" ht="12.75" customHeight="1" x14ac:dyDescent="0.2">
      <c r="A9694" s="398" t="s">
        <v>926</v>
      </c>
      <c r="B9694" s="271"/>
      <c r="C9694" s="271"/>
      <c r="D9694" s="271"/>
      <c r="E9694" s="271"/>
      <c r="F9694" s="271"/>
      <c r="G9694" s="271"/>
      <c r="H9694" s="271"/>
      <c r="I9694" s="271"/>
      <c r="J9694" s="271"/>
      <c r="K9694" s="271"/>
      <c r="L9694" s="271"/>
      <c r="M9694" s="271"/>
      <c r="N9694" s="273"/>
    </row>
    <row r="9695" spans="1:14" ht="12.75" customHeight="1" x14ac:dyDescent="0.2">
      <c r="A9695" s="396" t="s">
        <v>76</v>
      </c>
      <c r="B9695" s="271"/>
      <c r="C9695" s="271"/>
      <c r="D9695" s="271"/>
      <c r="E9695" s="271"/>
      <c r="F9695" s="271"/>
      <c r="G9695" s="273"/>
      <c r="H9695" s="88" t="s">
        <v>77</v>
      </c>
      <c r="I9695" s="399" t="s">
        <v>920</v>
      </c>
      <c r="J9695" s="273"/>
      <c r="K9695" s="399" t="s">
        <v>453</v>
      </c>
      <c r="L9695" s="273"/>
      <c r="M9695" s="399" t="s">
        <v>921</v>
      </c>
      <c r="N9695" s="273"/>
    </row>
    <row r="9696" spans="1:14" ht="12.75" customHeight="1" x14ac:dyDescent="0.2">
      <c r="A9696" s="400"/>
      <c r="B9696" s="271"/>
      <c r="C9696" s="271"/>
      <c r="D9696" s="271"/>
      <c r="E9696" s="271"/>
      <c r="F9696" s="271"/>
      <c r="G9696" s="273"/>
      <c r="H9696" s="29" t="str">
        <f>IF(A9696="","",VLOOKUP(A9696,AA_Equipos,7,FALSE))</f>
        <v/>
      </c>
      <c r="I9696" s="394"/>
      <c r="J9696" s="273"/>
      <c r="K9696" s="395"/>
      <c r="L9696" s="273"/>
      <c r="M9696" s="394" t="str">
        <f t="shared" ref="M9696:M9700" si="1302">IF(A9696="","",I9696*K9696)</f>
        <v/>
      </c>
      <c r="N9696" s="273"/>
    </row>
    <row r="9697" spans="1:14" ht="12.75" customHeight="1" x14ac:dyDescent="0.2">
      <c r="A9697" s="403"/>
      <c r="B9697" s="271"/>
      <c r="C9697" s="271"/>
      <c r="D9697" s="271"/>
      <c r="E9697" s="271"/>
      <c r="F9697" s="271"/>
      <c r="G9697" s="273"/>
      <c r="H9697" s="29" t="str">
        <f>IF(A9697="","",VLOOKUP(A9697,AA_Equipos,7,FALSE))</f>
        <v/>
      </c>
      <c r="I9697" s="394" t="str">
        <f>IF(A9697="","",VLOOKUP(A9697,AA_Equipos,8,FALSE))</f>
        <v/>
      </c>
      <c r="J9697" s="273"/>
      <c r="K9697" s="402"/>
      <c r="L9697" s="273"/>
      <c r="M9697" s="394" t="str">
        <f t="shared" si="1302"/>
        <v/>
      </c>
      <c r="N9697" s="273"/>
    </row>
    <row r="9698" spans="1:14" ht="12.75" customHeight="1" x14ac:dyDescent="0.2">
      <c r="A9698" s="400"/>
      <c r="B9698" s="271"/>
      <c r="C9698" s="271"/>
      <c r="D9698" s="271"/>
      <c r="E9698" s="271"/>
      <c r="F9698" s="271"/>
      <c r="G9698" s="273"/>
      <c r="H9698" s="29" t="str">
        <f>IF(A9698="","",VLOOKUP(A9698,AA_Equipos,7,FALSE))</f>
        <v/>
      </c>
      <c r="I9698" s="394" t="str">
        <f>IF(A9698="","",VLOOKUP(A9698,AA_Equipos,8,FALSE))</f>
        <v/>
      </c>
      <c r="J9698" s="273"/>
      <c r="K9698" s="395"/>
      <c r="L9698" s="273"/>
      <c r="M9698" s="394" t="str">
        <f t="shared" si="1302"/>
        <v/>
      </c>
      <c r="N9698" s="273"/>
    </row>
    <row r="9699" spans="1:14" ht="12.75" customHeight="1" x14ac:dyDescent="0.2">
      <c r="A9699" s="400"/>
      <c r="B9699" s="271"/>
      <c r="C9699" s="271"/>
      <c r="D9699" s="271"/>
      <c r="E9699" s="271"/>
      <c r="F9699" s="271"/>
      <c r="G9699" s="273"/>
      <c r="H9699" s="29" t="str">
        <f>IF(A9699="","",VLOOKUP(A9699,AA_Equipos,7,FALSE))</f>
        <v/>
      </c>
      <c r="I9699" s="394" t="str">
        <f>IF(A9699="","",VLOOKUP(A9699,AA_Equipos,8,FALSE))</f>
        <v/>
      </c>
      <c r="J9699" s="273"/>
      <c r="K9699" s="395"/>
      <c r="L9699" s="273"/>
      <c r="M9699" s="394" t="str">
        <f t="shared" si="1302"/>
        <v/>
      </c>
      <c r="N9699" s="273"/>
    </row>
    <row r="9700" spans="1:14" ht="12.75" customHeight="1" x14ac:dyDescent="0.2">
      <c r="A9700" s="400"/>
      <c r="B9700" s="271"/>
      <c r="C9700" s="271"/>
      <c r="D9700" s="271"/>
      <c r="E9700" s="271"/>
      <c r="F9700" s="271"/>
      <c r="G9700" s="273"/>
      <c r="H9700" s="29" t="str">
        <f>IF(A9700="","",VLOOKUP(A9700,AA_Equipos,7,FALSE))</f>
        <v/>
      </c>
      <c r="I9700" s="394" t="str">
        <f>IF(A9700="","",VLOOKUP(A9700,AA_Equipos,8,FALSE))</f>
        <v/>
      </c>
      <c r="J9700" s="273"/>
      <c r="K9700" s="395"/>
      <c r="L9700" s="273"/>
      <c r="M9700" s="394" t="str">
        <f t="shared" si="1302"/>
        <v/>
      </c>
      <c r="N9700" s="273"/>
    </row>
    <row r="9701" spans="1:14" ht="12.75" customHeight="1" x14ac:dyDescent="0.25">
      <c r="A9701" s="4"/>
      <c r="B9701" s="4"/>
      <c r="C9701" s="4"/>
      <c r="D9701" s="4"/>
      <c r="E9701" s="4"/>
      <c r="F9701" s="4"/>
      <c r="G9701" s="4"/>
      <c r="H9701" s="4"/>
      <c r="I9701" s="4"/>
      <c r="J9701" s="4"/>
      <c r="K9701" s="396" t="s">
        <v>444</v>
      </c>
      <c r="L9701" s="273"/>
      <c r="M9701" s="394">
        <f>SUM(M9696:N9700)</f>
        <v>0</v>
      </c>
      <c r="N9701" s="273"/>
    </row>
    <row r="9702" spans="1:14" ht="12.75" customHeight="1" x14ac:dyDescent="0.25">
      <c r="A9702" s="4"/>
      <c r="B9702" s="4"/>
      <c r="C9702" s="4"/>
      <c r="D9702" s="4"/>
      <c r="E9702" s="4"/>
      <c r="F9702" s="4"/>
      <c r="G9702" s="4"/>
      <c r="H9702" s="4"/>
      <c r="I9702" s="4"/>
      <c r="J9702" s="4"/>
      <c r="K9702" s="4"/>
      <c r="L9702" s="4"/>
      <c r="M9702" s="4"/>
      <c r="N9702" s="4"/>
    </row>
    <row r="9703" spans="1:14" ht="12.75" customHeight="1" x14ac:dyDescent="0.2">
      <c r="A9703" s="398" t="s">
        <v>929</v>
      </c>
      <c r="B9703" s="271"/>
      <c r="C9703" s="271"/>
      <c r="D9703" s="271"/>
      <c r="E9703" s="271"/>
      <c r="F9703" s="271"/>
      <c r="G9703" s="271"/>
      <c r="H9703" s="271"/>
      <c r="I9703" s="271"/>
      <c r="J9703" s="271"/>
      <c r="K9703" s="271"/>
      <c r="L9703" s="271"/>
      <c r="M9703" s="271"/>
      <c r="N9703" s="273"/>
    </row>
    <row r="9704" spans="1:14" ht="12.75" customHeight="1" x14ac:dyDescent="0.2">
      <c r="A9704" s="396" t="s">
        <v>76</v>
      </c>
      <c r="B9704" s="271"/>
      <c r="C9704" s="271"/>
      <c r="D9704" s="271"/>
      <c r="E9704" s="271"/>
      <c r="F9704" s="271"/>
      <c r="G9704" s="273"/>
      <c r="H9704" s="88" t="s">
        <v>77</v>
      </c>
      <c r="I9704" s="399" t="s">
        <v>920</v>
      </c>
      <c r="J9704" s="273"/>
      <c r="K9704" s="399" t="s">
        <v>453</v>
      </c>
      <c r="L9704" s="273"/>
      <c r="M9704" s="399" t="s">
        <v>921</v>
      </c>
      <c r="N9704" s="273"/>
    </row>
    <row r="9705" spans="1:14" ht="12.75" customHeight="1" x14ac:dyDescent="0.2">
      <c r="A9705" s="403" t="s">
        <v>966</v>
      </c>
      <c r="B9705" s="271"/>
      <c r="C9705" s="271"/>
      <c r="D9705" s="271"/>
      <c r="E9705" s="271"/>
      <c r="F9705" s="271"/>
      <c r="G9705" s="273"/>
      <c r="H9705" s="29" t="s">
        <v>950</v>
      </c>
      <c r="I9705" s="394">
        <f>+M9692</f>
        <v>49948.762500000004</v>
      </c>
      <c r="J9705" s="273"/>
      <c r="K9705" s="404">
        <v>0.05</v>
      </c>
      <c r="L9705" s="273"/>
      <c r="M9705" s="394">
        <f t="shared" ref="M9705:M9709" si="1303">IF(A9705="","",I9705*K9705)</f>
        <v>2497.4381250000006</v>
      </c>
      <c r="N9705" s="273"/>
    </row>
    <row r="9706" spans="1:14" ht="12.75" customHeight="1" x14ac:dyDescent="0.2">
      <c r="A9706" s="403"/>
      <c r="B9706" s="271"/>
      <c r="C9706" s="271"/>
      <c r="D9706" s="271"/>
      <c r="E9706" s="271"/>
      <c r="F9706" s="271"/>
      <c r="G9706" s="273"/>
      <c r="H9706" s="29"/>
      <c r="I9706" s="394"/>
      <c r="J9706" s="273"/>
      <c r="K9706" s="404"/>
      <c r="L9706" s="273"/>
      <c r="M9706" s="394" t="str">
        <f t="shared" si="1303"/>
        <v/>
      </c>
      <c r="N9706" s="273"/>
    </row>
    <row r="9707" spans="1:14" ht="12.75" customHeight="1" x14ac:dyDescent="0.2">
      <c r="A9707" s="400"/>
      <c r="B9707" s="271"/>
      <c r="C9707" s="271"/>
      <c r="D9707" s="271"/>
      <c r="E9707" s="271"/>
      <c r="F9707" s="271"/>
      <c r="G9707" s="273"/>
      <c r="H9707" s="29"/>
      <c r="I9707" s="394"/>
      <c r="J9707" s="273"/>
      <c r="K9707" s="395"/>
      <c r="L9707" s="273"/>
      <c r="M9707" s="394" t="str">
        <f t="shared" si="1303"/>
        <v/>
      </c>
      <c r="N9707" s="273"/>
    </row>
    <row r="9708" spans="1:14" ht="12.75" customHeight="1" x14ac:dyDescent="0.2">
      <c r="A9708" s="400"/>
      <c r="B9708" s="271"/>
      <c r="C9708" s="271"/>
      <c r="D9708" s="271"/>
      <c r="E9708" s="271"/>
      <c r="F9708" s="271"/>
      <c r="G9708" s="273"/>
      <c r="H9708" s="29"/>
      <c r="I9708" s="394"/>
      <c r="J9708" s="273"/>
      <c r="K9708" s="395"/>
      <c r="L9708" s="273"/>
      <c r="M9708" s="394" t="str">
        <f t="shared" si="1303"/>
        <v/>
      </c>
      <c r="N9708" s="273"/>
    </row>
    <row r="9709" spans="1:14" ht="12.75" customHeight="1" x14ac:dyDescent="0.2">
      <c r="A9709" s="400"/>
      <c r="B9709" s="271"/>
      <c r="C9709" s="271"/>
      <c r="D9709" s="271"/>
      <c r="E9709" s="271"/>
      <c r="F9709" s="271"/>
      <c r="G9709" s="273"/>
      <c r="H9709" s="29"/>
      <c r="I9709" s="394"/>
      <c r="J9709" s="273"/>
      <c r="K9709" s="395"/>
      <c r="L9709" s="273"/>
      <c r="M9709" s="394" t="str">
        <f t="shared" si="1303"/>
        <v/>
      </c>
      <c r="N9709" s="273"/>
    </row>
    <row r="9710" spans="1:14" ht="12.75" customHeight="1" x14ac:dyDescent="0.25">
      <c r="A9710" s="4"/>
      <c r="B9710" s="4"/>
      <c r="C9710" s="4"/>
      <c r="D9710" s="4"/>
      <c r="E9710" s="4"/>
      <c r="F9710" s="4"/>
      <c r="G9710" s="4"/>
      <c r="H9710" s="4"/>
      <c r="I9710" s="4"/>
      <c r="J9710" s="4"/>
      <c r="K9710" s="396" t="s">
        <v>444</v>
      </c>
      <c r="L9710" s="273"/>
      <c r="M9710" s="394">
        <f>SUM(M9705:N9709)</f>
        <v>2497.4381250000006</v>
      </c>
      <c r="N9710" s="273"/>
    </row>
    <row r="9711" spans="1:14" ht="12.75" customHeight="1" x14ac:dyDescent="0.25">
      <c r="A9711" s="4"/>
      <c r="B9711" s="4"/>
      <c r="C9711" s="4"/>
      <c r="D9711" s="4"/>
      <c r="E9711" s="4"/>
      <c r="F9711" s="4"/>
      <c r="G9711" s="4"/>
      <c r="H9711" s="4"/>
      <c r="I9711" s="4"/>
      <c r="J9711" s="4"/>
      <c r="K9711" s="4"/>
      <c r="L9711" s="4"/>
      <c r="M9711" s="4"/>
      <c r="N9711" s="4"/>
    </row>
    <row r="9712" spans="1:14" ht="12.75" customHeight="1" x14ac:dyDescent="0.2">
      <c r="A9712" s="398" t="s">
        <v>931</v>
      </c>
      <c r="B9712" s="271"/>
      <c r="C9712" s="271"/>
      <c r="D9712" s="271"/>
      <c r="E9712" s="271"/>
      <c r="F9712" s="271"/>
      <c r="G9712" s="271"/>
      <c r="H9712" s="271"/>
      <c r="I9712" s="271"/>
      <c r="J9712" s="271"/>
      <c r="K9712" s="271"/>
      <c r="L9712" s="271"/>
      <c r="M9712" s="271"/>
      <c r="N9712" s="273"/>
    </row>
    <row r="9713" spans="1:15" ht="12.75" customHeight="1" x14ac:dyDescent="0.2">
      <c r="A9713" s="396" t="s">
        <v>76</v>
      </c>
      <c r="B9713" s="271"/>
      <c r="C9713" s="271"/>
      <c r="D9713" s="271"/>
      <c r="E9713" s="271"/>
      <c r="F9713" s="271"/>
      <c r="G9713" s="273"/>
      <c r="H9713" s="88" t="s">
        <v>77</v>
      </c>
      <c r="I9713" s="399" t="s">
        <v>920</v>
      </c>
      <c r="J9713" s="273"/>
      <c r="K9713" s="90" t="s">
        <v>514</v>
      </c>
      <c r="L9713" s="91" t="s">
        <v>932</v>
      </c>
      <c r="M9713" s="399" t="s">
        <v>921</v>
      </c>
      <c r="N9713" s="273"/>
    </row>
    <row r="9714" spans="1:15" ht="12.75" customHeight="1" x14ac:dyDescent="0.25">
      <c r="A9714" s="393"/>
      <c r="B9714" s="271"/>
      <c r="C9714" s="271"/>
      <c r="D9714" s="271"/>
      <c r="E9714" s="271"/>
      <c r="F9714" s="271"/>
      <c r="G9714" s="273"/>
      <c r="H9714" s="29" t="str">
        <f>IF(A9714="","",VLOOKUP(A9714,AA_Cuadrillas,4,FALSE))</f>
        <v/>
      </c>
      <c r="I9714" s="394" t="str">
        <f>IF(A9714="","",VLOOKUP(A9714,AA_Cuadrillas,5,FALSE))</f>
        <v/>
      </c>
      <c r="J9714" s="273"/>
      <c r="K9714" s="9" t="str">
        <f>IF(A9714="","",F.P!$I$2)</f>
        <v/>
      </c>
      <c r="L9714" s="93"/>
      <c r="M9714" s="394" t="str">
        <f t="shared" ref="M9714:M9718" si="1304">IF(A9714="","",I9714*K9714*L9714)</f>
        <v/>
      </c>
      <c r="N9714" s="273"/>
    </row>
    <row r="9715" spans="1:15" ht="12.75" customHeight="1" x14ac:dyDescent="0.25">
      <c r="A9715" s="393"/>
      <c r="B9715" s="271"/>
      <c r="C9715" s="271"/>
      <c r="D9715" s="271"/>
      <c r="E9715" s="271"/>
      <c r="F9715" s="271"/>
      <c r="G9715" s="273"/>
      <c r="H9715" s="29" t="str">
        <f>IF(A9715="","",VLOOKUP(A9715,AA_Cuadrillas,4,FALSE))</f>
        <v/>
      </c>
      <c r="I9715" s="394" t="str">
        <f>IF(A9715="","",VLOOKUP(A9715,AA_Cuadrillas,5,FALSE))</f>
        <v/>
      </c>
      <c r="J9715" s="273"/>
      <c r="K9715" s="9" t="str">
        <f>IF(A9715="","",F.P!$I$2)</f>
        <v/>
      </c>
      <c r="L9715" s="9"/>
      <c r="M9715" s="394" t="str">
        <f t="shared" si="1304"/>
        <v/>
      </c>
      <c r="N9715" s="273"/>
    </row>
    <row r="9716" spans="1:15" ht="12.75" customHeight="1" x14ac:dyDescent="0.25">
      <c r="A9716" s="393"/>
      <c r="B9716" s="271"/>
      <c r="C9716" s="271"/>
      <c r="D9716" s="271"/>
      <c r="E9716" s="271"/>
      <c r="F9716" s="271"/>
      <c r="G9716" s="273"/>
      <c r="H9716" s="29" t="str">
        <f>IF(A9716="","",VLOOKUP(A9716,AA_Cuadrillas,4,FALSE))</f>
        <v/>
      </c>
      <c r="I9716" s="394" t="str">
        <f>IF(A9716="","",VLOOKUP(A9716,AA_Cuadrillas,5,FALSE))</f>
        <v/>
      </c>
      <c r="J9716" s="273"/>
      <c r="K9716" s="9" t="str">
        <f>IF(A9716="","",F.P!$I$2)</f>
        <v/>
      </c>
      <c r="L9716" s="37"/>
      <c r="M9716" s="394" t="str">
        <f t="shared" si="1304"/>
        <v/>
      </c>
      <c r="N9716" s="273"/>
    </row>
    <row r="9717" spans="1:15" ht="12.75" customHeight="1" x14ac:dyDescent="0.25">
      <c r="A9717" s="393"/>
      <c r="B9717" s="271"/>
      <c r="C9717" s="271"/>
      <c r="D9717" s="271"/>
      <c r="E9717" s="271"/>
      <c r="F9717" s="271"/>
      <c r="G9717" s="273"/>
      <c r="H9717" s="29" t="str">
        <f>IF(A9717="","",VLOOKUP(A9717,AA_Cuadrillas,4,FALSE))</f>
        <v/>
      </c>
      <c r="I9717" s="394" t="str">
        <f>IF(A9717="","",VLOOKUP(A9717,AA_Cuadrillas,5,FALSE))</f>
        <v/>
      </c>
      <c r="J9717" s="273"/>
      <c r="K9717" s="9" t="str">
        <f>IF(A9717="","",F.P!$I$2)</f>
        <v/>
      </c>
      <c r="L9717" s="37"/>
      <c r="M9717" s="394" t="str">
        <f t="shared" si="1304"/>
        <v/>
      </c>
      <c r="N9717" s="273"/>
    </row>
    <row r="9718" spans="1:15" ht="12.75" customHeight="1" x14ac:dyDescent="0.25">
      <c r="A9718" s="393"/>
      <c r="B9718" s="271"/>
      <c r="C9718" s="271"/>
      <c r="D9718" s="271"/>
      <c r="E9718" s="271"/>
      <c r="F9718" s="271"/>
      <c r="G9718" s="273"/>
      <c r="H9718" s="29" t="str">
        <f>IF(A9718="","",VLOOKUP(A9718,AA_Cuadrillas,4,FALSE))</f>
        <v/>
      </c>
      <c r="I9718" s="394" t="str">
        <f>IF(A9718="","",VLOOKUP(A9718,AA_Cuadrillas,5,FALSE))</f>
        <v/>
      </c>
      <c r="J9718" s="273"/>
      <c r="K9718" s="9" t="str">
        <f>IF(A9718="","",F.P!$I$2)</f>
        <v/>
      </c>
      <c r="L9718" s="37"/>
      <c r="M9718" s="394" t="str">
        <f t="shared" si="1304"/>
        <v/>
      </c>
      <c r="N9718" s="273"/>
    </row>
    <row r="9719" spans="1:15" ht="12.75" customHeight="1" x14ac:dyDescent="0.25">
      <c r="A9719" s="4"/>
      <c r="B9719" s="4"/>
      <c r="C9719" s="4"/>
      <c r="D9719" s="4"/>
      <c r="E9719" s="4"/>
      <c r="F9719" s="4"/>
      <c r="G9719" s="4"/>
      <c r="H9719" s="4"/>
      <c r="I9719" s="4"/>
      <c r="J9719" s="4"/>
      <c r="K9719" s="396" t="s">
        <v>444</v>
      </c>
      <c r="L9719" s="273"/>
      <c r="M9719" s="394">
        <f>SUM(M9714:N9718)</f>
        <v>0</v>
      </c>
      <c r="N9719" s="273"/>
    </row>
    <row r="9720" spans="1:15" ht="12.75" customHeight="1" x14ac:dyDescent="0.2"/>
    <row r="9721" spans="1:15" ht="12.75" customHeight="1" x14ac:dyDescent="0.2">
      <c r="A9721" s="407" t="s">
        <v>3186</v>
      </c>
      <c r="B9721" s="275"/>
      <c r="C9721" s="275"/>
      <c r="D9721" s="275"/>
      <c r="E9721" s="275"/>
      <c r="F9721" s="275"/>
      <c r="G9721" s="275"/>
      <c r="H9721" s="275"/>
      <c r="I9721" s="275"/>
      <c r="J9721" s="275"/>
      <c r="K9721" s="275"/>
      <c r="L9721" s="275"/>
      <c r="M9721" s="275"/>
      <c r="N9721" s="276"/>
      <c r="O9721" s="166"/>
    </row>
    <row r="9722" spans="1:15" ht="12.75" customHeight="1" x14ac:dyDescent="0.2">
      <c r="A9722" s="277"/>
      <c r="B9722" s="278"/>
      <c r="C9722" s="278"/>
      <c r="D9722" s="278"/>
      <c r="E9722" s="278"/>
      <c r="F9722" s="278"/>
      <c r="G9722" s="278"/>
      <c r="H9722" s="278"/>
      <c r="I9722" s="278"/>
      <c r="J9722" s="278"/>
      <c r="K9722" s="278"/>
      <c r="L9722" s="278"/>
      <c r="M9722" s="278"/>
      <c r="N9722" s="279"/>
      <c r="O9722" s="166"/>
    </row>
    <row r="9723" spans="1:15" ht="12.75" customHeight="1" x14ac:dyDescent="0.2">
      <c r="A9723" s="75"/>
      <c r="B9723" s="75"/>
      <c r="C9723" s="75"/>
      <c r="D9723" s="75"/>
      <c r="E9723" s="75"/>
      <c r="F9723" s="75"/>
      <c r="G9723" s="75"/>
      <c r="H9723" s="75"/>
      <c r="I9723" s="75"/>
      <c r="J9723" s="75"/>
      <c r="K9723" s="75"/>
      <c r="L9723" s="75"/>
      <c r="M9723" s="75"/>
      <c r="N9723" s="75"/>
    </row>
    <row r="9724" spans="1:15" ht="12.75" customHeight="1" x14ac:dyDescent="0.3">
      <c r="A9724" s="79" t="s">
        <v>827</v>
      </c>
      <c r="B9724" s="80" t="str">
        <f>A9721</f>
        <v>SUMINISTRO E INSTALACIÓN DE TUBERÍA PVC Ø3" RDE 21 (INCLUYE PEGANTE, LIMPIADOR, HERRAMIENTA MENOR Y MANO DE OBRA)</v>
      </c>
      <c r="C9724" s="81" t="s">
        <v>916</v>
      </c>
      <c r="D9724" s="82" t="s">
        <v>981</v>
      </c>
      <c r="E9724" s="83" t="s">
        <v>445</v>
      </c>
      <c r="F9724" s="234">
        <f>(H9724+J9724+L9724+N9724)*1.3</f>
        <v>83937.959563250013</v>
      </c>
      <c r="G9724" s="83" t="s">
        <v>607</v>
      </c>
      <c r="H9724" s="86">
        <f>M9741</f>
        <v>438.89305000000007</v>
      </c>
      <c r="I9724" s="83" t="s">
        <v>918</v>
      </c>
      <c r="J9724" s="86">
        <f>M9732</f>
        <v>52694.25</v>
      </c>
      <c r="K9724" s="83" t="s">
        <v>609</v>
      </c>
      <c r="L9724" s="86">
        <f>M9750</f>
        <v>2656.6571524999999</v>
      </c>
      <c r="M9724" s="83" t="s">
        <v>610</v>
      </c>
      <c r="N9724" s="86">
        <f>M9759</f>
        <v>8777.8610000000008</v>
      </c>
    </row>
    <row r="9725" spans="1:15" ht="12.75" customHeight="1" x14ac:dyDescent="0.25">
      <c r="A9725" s="87"/>
      <c r="B9725" s="87"/>
      <c r="C9725" s="87"/>
      <c r="D9725" s="87"/>
      <c r="E9725" s="87"/>
      <c r="F9725" s="87"/>
      <c r="G9725" s="87"/>
      <c r="J9725" s="87"/>
      <c r="K9725" s="215" t="s">
        <v>3217</v>
      </c>
      <c r="L9725" s="215">
        <f>+F9724*presup!$O$5</f>
        <v>109119.34743222503</v>
      </c>
      <c r="M9725" s="87"/>
      <c r="N9725" s="87"/>
    </row>
    <row r="9726" spans="1:15" ht="12.75" customHeight="1" x14ac:dyDescent="0.2">
      <c r="A9726" s="398" t="s">
        <v>919</v>
      </c>
      <c r="B9726" s="271"/>
      <c r="C9726" s="271"/>
      <c r="D9726" s="271"/>
      <c r="E9726" s="271"/>
      <c r="F9726" s="271"/>
      <c r="G9726" s="271"/>
      <c r="H9726" s="271"/>
      <c r="I9726" s="271"/>
      <c r="J9726" s="271"/>
      <c r="K9726" s="271"/>
      <c r="L9726" s="271"/>
      <c r="M9726" s="271"/>
      <c r="N9726" s="273"/>
    </row>
    <row r="9727" spans="1:15" ht="12.75" customHeight="1" x14ac:dyDescent="0.2">
      <c r="A9727" s="396" t="s">
        <v>76</v>
      </c>
      <c r="B9727" s="271"/>
      <c r="C9727" s="271"/>
      <c r="D9727" s="271"/>
      <c r="E9727" s="271"/>
      <c r="F9727" s="271"/>
      <c r="G9727" s="273"/>
      <c r="H9727" s="88" t="s">
        <v>77</v>
      </c>
      <c r="I9727" s="399" t="s">
        <v>920</v>
      </c>
      <c r="J9727" s="273"/>
      <c r="K9727" s="399" t="s">
        <v>453</v>
      </c>
      <c r="L9727" s="273"/>
      <c r="M9727" s="399" t="s">
        <v>921</v>
      </c>
      <c r="N9727" s="273"/>
    </row>
    <row r="9728" spans="1:15" ht="12.75" customHeight="1" x14ac:dyDescent="0.2">
      <c r="A9728" s="400" t="s">
        <v>984</v>
      </c>
      <c r="B9728" s="271"/>
      <c r="C9728" s="271"/>
      <c r="D9728" s="271"/>
      <c r="E9728" s="271"/>
      <c r="F9728" s="271"/>
      <c r="G9728" s="273"/>
      <c r="H9728" s="29" t="str">
        <f>IF(A9728="","",VLOOKUP(A9728,AA_Materiales,7,FALSE))</f>
        <v>Galón</v>
      </c>
      <c r="I9728" s="394">
        <f>IF(A9728="","",VLOOKUP(A9728,AA_Materiales,8,FALSE))</f>
        <v>80900</v>
      </c>
      <c r="J9728" s="273"/>
      <c r="K9728" s="395">
        <v>0.04</v>
      </c>
      <c r="L9728" s="273"/>
      <c r="M9728" s="394">
        <f t="shared" ref="M9728:M9729" si="1305">IF(A9728="","",I9728*K9728)</f>
        <v>3236</v>
      </c>
      <c r="N9728" s="273"/>
    </row>
    <row r="9729" spans="1:14" ht="12.75" customHeight="1" x14ac:dyDescent="0.2">
      <c r="A9729" s="400" t="s">
        <v>985</v>
      </c>
      <c r="B9729" s="271"/>
      <c r="C9729" s="271"/>
      <c r="D9729" s="271"/>
      <c r="E9729" s="271"/>
      <c r="F9729" s="271"/>
      <c r="G9729" s="273"/>
      <c r="H9729" s="29" t="str">
        <f>IF(A9729="","",VLOOKUP(A9729,AA_Materiales,7,FALSE))</f>
        <v>Galón</v>
      </c>
      <c r="I9729" s="394">
        <f>IF(A9729="","",VLOOKUP(A9729,AA_Materiales,8,FALSE))</f>
        <v>47200</v>
      </c>
      <c r="J9729" s="273"/>
      <c r="K9729" s="395">
        <v>0.04</v>
      </c>
      <c r="L9729" s="273"/>
      <c r="M9729" s="394">
        <f t="shared" si="1305"/>
        <v>1888</v>
      </c>
      <c r="N9729" s="273"/>
    </row>
    <row r="9730" spans="1:14" ht="12.75" customHeight="1" x14ac:dyDescent="0.2">
      <c r="A9730" s="400" t="s">
        <v>1162</v>
      </c>
      <c r="B9730" s="271"/>
      <c r="C9730" s="271"/>
      <c r="D9730" s="271"/>
      <c r="E9730" s="271"/>
      <c r="F9730" s="271"/>
      <c r="G9730" s="273"/>
      <c r="H9730" s="29" t="str">
        <f>IF(A9730="","",VLOOKUP(A9730,AA_Materiales,7,FALSE))</f>
        <v>ml</v>
      </c>
      <c r="I9730" s="394">
        <f>IF(A9730="","",VLOOKUP(A9730,AA_Materiales,8,FALSE))</f>
        <v>47570.25</v>
      </c>
      <c r="J9730" s="273"/>
      <c r="K9730" s="395">
        <v>1</v>
      </c>
      <c r="L9730" s="273"/>
      <c r="M9730" s="394">
        <f t="shared" ref="M9730" si="1306">IF(A9730="","",I9730*K9730)</f>
        <v>47570.25</v>
      </c>
      <c r="N9730" s="273"/>
    </row>
    <row r="9731" spans="1:14" ht="12.75" customHeight="1" x14ac:dyDescent="0.2">
      <c r="A9731" s="400"/>
      <c r="B9731" s="271"/>
      <c r="C9731" s="271"/>
      <c r="D9731" s="271"/>
      <c r="E9731" s="271"/>
      <c r="F9731" s="271"/>
      <c r="G9731" s="273"/>
      <c r="H9731" s="29" t="str">
        <f>IF(A9731="","",VLOOKUP(A9731,AA_Materiales,7,FALSE))</f>
        <v/>
      </c>
      <c r="I9731" s="394" t="str">
        <f>IF(A9731="","",VLOOKUP(A9731,AA_Materiales,8,FALSE))</f>
        <v/>
      </c>
      <c r="J9731" s="273"/>
      <c r="K9731" s="395"/>
      <c r="L9731" s="273"/>
      <c r="M9731" s="394" t="str">
        <f>IF(A9731="","",I9731*K9731)</f>
        <v/>
      </c>
      <c r="N9731" s="273"/>
    </row>
    <row r="9732" spans="1:14" ht="12.75" customHeight="1" x14ac:dyDescent="0.25">
      <c r="A9732" s="4"/>
      <c r="B9732" s="4"/>
      <c r="C9732" s="4"/>
      <c r="D9732" s="4"/>
      <c r="E9732" s="4"/>
      <c r="F9732" s="4"/>
      <c r="G9732" s="4"/>
      <c r="H9732" s="4"/>
      <c r="I9732" s="4"/>
      <c r="J9732" s="4"/>
      <c r="K9732" s="396" t="s">
        <v>444</v>
      </c>
      <c r="L9732" s="273"/>
      <c r="M9732" s="394">
        <f>SUM(M9728:N9731)</f>
        <v>52694.25</v>
      </c>
      <c r="N9732" s="273"/>
    </row>
    <row r="9733" spans="1:14" ht="12.75" customHeight="1" x14ac:dyDescent="0.25">
      <c r="A9733" s="4"/>
      <c r="B9733" s="4"/>
      <c r="C9733" s="4"/>
      <c r="D9733" s="4"/>
      <c r="E9733" s="4"/>
      <c r="F9733" s="4"/>
      <c r="G9733" s="4"/>
      <c r="H9733" s="4"/>
      <c r="I9733" s="4"/>
      <c r="J9733" s="4"/>
      <c r="K9733" s="4"/>
      <c r="L9733" s="4"/>
      <c r="M9733" s="4"/>
      <c r="N9733" s="4"/>
    </row>
    <row r="9734" spans="1:14" ht="12.75" customHeight="1" x14ac:dyDescent="0.2">
      <c r="A9734" s="398" t="s">
        <v>926</v>
      </c>
      <c r="B9734" s="271"/>
      <c r="C9734" s="271"/>
      <c r="D9734" s="271"/>
      <c r="E9734" s="271"/>
      <c r="F9734" s="271"/>
      <c r="G9734" s="271"/>
      <c r="H9734" s="271"/>
      <c r="I9734" s="271"/>
      <c r="J9734" s="271"/>
      <c r="K9734" s="271"/>
      <c r="L9734" s="271"/>
      <c r="M9734" s="271"/>
      <c r="N9734" s="273"/>
    </row>
    <row r="9735" spans="1:14" ht="12.75" customHeight="1" x14ac:dyDescent="0.2">
      <c r="A9735" s="396" t="s">
        <v>76</v>
      </c>
      <c r="B9735" s="271"/>
      <c r="C9735" s="271"/>
      <c r="D9735" s="271"/>
      <c r="E9735" s="271"/>
      <c r="F9735" s="271"/>
      <c r="G9735" s="273"/>
      <c r="H9735" s="88" t="s">
        <v>77</v>
      </c>
      <c r="I9735" s="399" t="s">
        <v>920</v>
      </c>
      <c r="J9735" s="273"/>
      <c r="K9735" s="399" t="s">
        <v>453</v>
      </c>
      <c r="L9735" s="273"/>
      <c r="M9735" s="399" t="s">
        <v>921</v>
      </c>
      <c r="N9735" s="273"/>
    </row>
    <row r="9736" spans="1:14" ht="12.75" customHeight="1" x14ac:dyDescent="0.2">
      <c r="A9736" s="400" t="s">
        <v>927</v>
      </c>
      <c r="B9736" s="271"/>
      <c r="C9736" s="271"/>
      <c r="D9736" s="271"/>
      <c r="E9736" s="271"/>
      <c r="F9736" s="271"/>
      <c r="G9736" s="273"/>
      <c r="H9736" s="29" t="str">
        <f>IF(A9736="","",VLOOKUP(A9736,AA_Equipos,7,FALSE))</f>
        <v>% M.O.</v>
      </c>
      <c r="I9736" s="394">
        <f>M9759</f>
        <v>8777.8610000000008</v>
      </c>
      <c r="J9736" s="273"/>
      <c r="K9736" s="404">
        <v>0.05</v>
      </c>
      <c r="L9736" s="273"/>
      <c r="M9736" s="394">
        <f t="shared" ref="M9736:M9740" si="1307">IF(A9736="","",I9736*K9736)</f>
        <v>438.89305000000007</v>
      </c>
      <c r="N9736" s="273"/>
    </row>
    <row r="9737" spans="1:14" ht="12.75" customHeight="1" x14ac:dyDescent="0.2">
      <c r="A9737" s="403"/>
      <c r="B9737" s="271"/>
      <c r="C9737" s="271"/>
      <c r="D9737" s="271"/>
      <c r="E9737" s="271"/>
      <c r="F9737" s="271"/>
      <c r="G9737" s="273"/>
      <c r="H9737" s="29" t="str">
        <f>IF(A9737="","",VLOOKUP(A9737,AA_Equipos,7,FALSE))</f>
        <v/>
      </c>
      <c r="I9737" s="394" t="str">
        <f>IF(A9737="","",VLOOKUP(A9737,AA_Equipos,8,FALSE))</f>
        <v/>
      </c>
      <c r="J9737" s="273"/>
      <c r="K9737" s="402"/>
      <c r="L9737" s="273"/>
      <c r="M9737" s="394" t="str">
        <f t="shared" si="1307"/>
        <v/>
      </c>
      <c r="N9737" s="273"/>
    </row>
    <row r="9738" spans="1:14" ht="12.75" customHeight="1" x14ac:dyDescent="0.2">
      <c r="A9738" s="400"/>
      <c r="B9738" s="271"/>
      <c r="C9738" s="271"/>
      <c r="D9738" s="271"/>
      <c r="E9738" s="271"/>
      <c r="F9738" s="271"/>
      <c r="G9738" s="273"/>
      <c r="H9738" s="29" t="str">
        <f>IF(A9738="","",VLOOKUP(A9738,AA_Equipos,7,FALSE))</f>
        <v/>
      </c>
      <c r="I9738" s="394" t="str">
        <f>IF(A9738="","",VLOOKUP(A9738,AA_Equipos,8,FALSE))</f>
        <v/>
      </c>
      <c r="J9738" s="273"/>
      <c r="K9738" s="395"/>
      <c r="L9738" s="273"/>
      <c r="M9738" s="394" t="str">
        <f t="shared" si="1307"/>
        <v/>
      </c>
      <c r="N9738" s="273"/>
    </row>
    <row r="9739" spans="1:14" ht="12.75" customHeight="1" x14ac:dyDescent="0.2">
      <c r="A9739" s="400"/>
      <c r="B9739" s="271"/>
      <c r="C9739" s="271"/>
      <c r="D9739" s="271"/>
      <c r="E9739" s="271"/>
      <c r="F9739" s="271"/>
      <c r="G9739" s="273"/>
      <c r="H9739" s="29" t="str">
        <f>IF(A9739="","",VLOOKUP(A9739,AA_Equipos,7,FALSE))</f>
        <v/>
      </c>
      <c r="I9739" s="394" t="str">
        <f>IF(A9739="","",VLOOKUP(A9739,AA_Equipos,8,FALSE))</f>
        <v/>
      </c>
      <c r="J9739" s="273"/>
      <c r="K9739" s="395"/>
      <c r="L9739" s="273"/>
      <c r="M9739" s="394" t="str">
        <f t="shared" si="1307"/>
        <v/>
      </c>
      <c r="N9739" s="273"/>
    </row>
    <row r="9740" spans="1:14" ht="12.75" customHeight="1" x14ac:dyDescent="0.2">
      <c r="A9740" s="400"/>
      <c r="B9740" s="271"/>
      <c r="C9740" s="271"/>
      <c r="D9740" s="271"/>
      <c r="E9740" s="271"/>
      <c r="F9740" s="271"/>
      <c r="G9740" s="273"/>
      <c r="H9740" s="29" t="str">
        <f>IF(A9740="","",VLOOKUP(A9740,AA_Equipos,7,FALSE))</f>
        <v/>
      </c>
      <c r="I9740" s="394" t="str">
        <f>IF(A9740="","",VLOOKUP(A9740,AA_Equipos,8,FALSE))</f>
        <v/>
      </c>
      <c r="J9740" s="273"/>
      <c r="K9740" s="395"/>
      <c r="L9740" s="273"/>
      <c r="M9740" s="394" t="str">
        <f t="shared" si="1307"/>
        <v/>
      </c>
      <c r="N9740" s="273"/>
    </row>
    <row r="9741" spans="1:14" ht="12.75" customHeight="1" x14ac:dyDescent="0.25">
      <c r="A9741" s="4"/>
      <c r="B9741" s="4"/>
      <c r="C9741" s="4"/>
      <c r="D9741" s="4"/>
      <c r="E9741" s="4"/>
      <c r="F9741" s="4"/>
      <c r="G9741" s="4"/>
      <c r="H9741" s="4"/>
      <c r="I9741" s="4"/>
      <c r="J9741" s="4"/>
      <c r="K9741" s="396" t="s">
        <v>444</v>
      </c>
      <c r="L9741" s="273"/>
      <c r="M9741" s="394">
        <f>SUM(M9736:N9740)</f>
        <v>438.89305000000007</v>
      </c>
      <c r="N9741" s="273"/>
    </row>
    <row r="9742" spans="1:14" ht="12.75" customHeight="1" x14ac:dyDescent="0.25">
      <c r="A9742" s="4"/>
      <c r="B9742" s="4"/>
      <c r="C9742" s="4"/>
      <c r="D9742" s="4"/>
      <c r="E9742" s="4"/>
      <c r="F9742" s="4"/>
      <c r="G9742" s="4"/>
      <c r="H9742" s="4"/>
      <c r="I9742" s="4"/>
      <c r="J9742" s="4"/>
      <c r="K9742" s="4"/>
      <c r="L9742" s="4"/>
      <c r="M9742" s="4"/>
      <c r="N9742" s="4"/>
    </row>
    <row r="9743" spans="1:14" ht="12.75" customHeight="1" x14ac:dyDescent="0.2">
      <c r="A9743" s="398" t="s">
        <v>929</v>
      </c>
      <c r="B9743" s="271"/>
      <c r="C9743" s="271"/>
      <c r="D9743" s="271"/>
      <c r="E9743" s="271"/>
      <c r="F9743" s="271"/>
      <c r="G9743" s="271"/>
      <c r="H9743" s="271"/>
      <c r="I9743" s="271"/>
      <c r="J9743" s="271"/>
      <c r="K9743" s="271"/>
      <c r="L9743" s="271"/>
      <c r="M9743" s="271"/>
      <c r="N9743" s="273"/>
    </row>
    <row r="9744" spans="1:14" ht="12.75" customHeight="1" x14ac:dyDescent="0.2">
      <c r="A9744" s="396" t="s">
        <v>76</v>
      </c>
      <c r="B9744" s="271"/>
      <c r="C9744" s="271"/>
      <c r="D9744" s="271"/>
      <c r="E9744" s="271"/>
      <c r="F9744" s="271"/>
      <c r="G9744" s="273"/>
      <c r="H9744" s="88" t="s">
        <v>77</v>
      </c>
      <c r="I9744" s="399" t="s">
        <v>920</v>
      </c>
      <c r="J9744" s="273"/>
      <c r="K9744" s="399" t="s">
        <v>453</v>
      </c>
      <c r="L9744" s="273"/>
      <c r="M9744" s="399" t="s">
        <v>921</v>
      </c>
      <c r="N9744" s="273"/>
    </row>
    <row r="9745" spans="1:14" ht="12.75" customHeight="1" x14ac:dyDescent="0.2">
      <c r="A9745" s="403" t="s">
        <v>930</v>
      </c>
      <c r="B9745" s="271"/>
      <c r="C9745" s="271"/>
      <c r="D9745" s="271"/>
      <c r="E9745" s="271"/>
      <c r="F9745" s="271"/>
      <c r="G9745" s="273"/>
      <c r="H9745" s="29" t="s">
        <v>24</v>
      </c>
      <c r="I9745" s="394">
        <f>+M9732+M9741</f>
        <v>53133.143049999999</v>
      </c>
      <c r="J9745" s="273"/>
      <c r="K9745" s="404">
        <v>0.05</v>
      </c>
      <c r="L9745" s="273"/>
      <c r="M9745" s="394">
        <f t="shared" ref="M9745:M9749" si="1308">IF(A9745="","",I9745*K9745)</f>
        <v>2656.6571524999999</v>
      </c>
      <c r="N9745" s="273"/>
    </row>
    <row r="9746" spans="1:14" ht="12.75" customHeight="1" x14ac:dyDescent="0.2">
      <c r="A9746" s="403"/>
      <c r="B9746" s="271"/>
      <c r="C9746" s="271"/>
      <c r="D9746" s="271"/>
      <c r="E9746" s="271"/>
      <c r="F9746" s="271"/>
      <c r="G9746" s="273"/>
      <c r="H9746" s="29"/>
      <c r="I9746" s="394"/>
      <c r="J9746" s="273"/>
      <c r="K9746" s="404"/>
      <c r="L9746" s="273"/>
      <c r="M9746" s="394" t="str">
        <f t="shared" si="1308"/>
        <v/>
      </c>
      <c r="N9746" s="273"/>
    </row>
    <row r="9747" spans="1:14" ht="12.75" customHeight="1" x14ac:dyDescent="0.2">
      <c r="A9747" s="400"/>
      <c r="B9747" s="271"/>
      <c r="C9747" s="271"/>
      <c r="D9747" s="271"/>
      <c r="E9747" s="271"/>
      <c r="F9747" s="271"/>
      <c r="G9747" s="273"/>
      <c r="H9747" s="29"/>
      <c r="I9747" s="394"/>
      <c r="J9747" s="273"/>
      <c r="K9747" s="395"/>
      <c r="L9747" s="273"/>
      <c r="M9747" s="394" t="str">
        <f t="shared" si="1308"/>
        <v/>
      </c>
      <c r="N9747" s="273"/>
    </row>
    <row r="9748" spans="1:14" ht="12.75" customHeight="1" x14ac:dyDescent="0.2">
      <c r="A9748" s="400"/>
      <c r="B9748" s="271"/>
      <c r="C9748" s="271"/>
      <c r="D9748" s="271"/>
      <c r="E9748" s="271"/>
      <c r="F9748" s="271"/>
      <c r="G9748" s="273"/>
      <c r="H9748" s="29"/>
      <c r="I9748" s="394"/>
      <c r="J9748" s="273"/>
      <c r="K9748" s="395"/>
      <c r="L9748" s="273"/>
      <c r="M9748" s="394" t="str">
        <f t="shared" si="1308"/>
        <v/>
      </c>
      <c r="N9748" s="273"/>
    </row>
    <row r="9749" spans="1:14" ht="12.75" customHeight="1" x14ac:dyDescent="0.2">
      <c r="A9749" s="400"/>
      <c r="B9749" s="271"/>
      <c r="C9749" s="271"/>
      <c r="D9749" s="271"/>
      <c r="E9749" s="271"/>
      <c r="F9749" s="271"/>
      <c r="G9749" s="273"/>
      <c r="H9749" s="29"/>
      <c r="I9749" s="394"/>
      <c r="J9749" s="273"/>
      <c r="K9749" s="395"/>
      <c r="L9749" s="273"/>
      <c r="M9749" s="394" t="str">
        <f t="shared" si="1308"/>
        <v/>
      </c>
      <c r="N9749" s="273"/>
    </row>
    <row r="9750" spans="1:14" ht="12.75" customHeight="1" x14ac:dyDescent="0.25">
      <c r="A9750" s="4"/>
      <c r="B9750" s="4"/>
      <c r="C9750" s="4"/>
      <c r="D9750" s="4"/>
      <c r="E9750" s="4"/>
      <c r="F9750" s="4"/>
      <c r="G9750" s="4"/>
      <c r="H9750" s="4"/>
      <c r="I9750" s="4"/>
      <c r="J9750" s="4"/>
      <c r="K9750" s="396" t="s">
        <v>444</v>
      </c>
      <c r="L9750" s="273"/>
      <c r="M9750" s="394">
        <f>SUM(M9745:N9749)</f>
        <v>2656.6571524999999</v>
      </c>
      <c r="N9750" s="273"/>
    </row>
    <row r="9751" spans="1:14" ht="12.75" customHeight="1" x14ac:dyDescent="0.25">
      <c r="A9751" s="4"/>
      <c r="B9751" s="4"/>
      <c r="C9751" s="4"/>
      <c r="D9751" s="4"/>
      <c r="E9751" s="4"/>
      <c r="F9751" s="4"/>
      <c r="G9751" s="4"/>
      <c r="H9751" s="4"/>
      <c r="I9751" s="4"/>
      <c r="J9751" s="4"/>
      <c r="K9751" s="4"/>
      <c r="L9751" s="4"/>
      <c r="M9751" s="4"/>
      <c r="N9751" s="4"/>
    </row>
    <row r="9752" spans="1:14" ht="12.75" customHeight="1" x14ac:dyDescent="0.2">
      <c r="A9752" s="398" t="s">
        <v>931</v>
      </c>
      <c r="B9752" s="271"/>
      <c r="C9752" s="271"/>
      <c r="D9752" s="271"/>
      <c r="E9752" s="271"/>
      <c r="F9752" s="271"/>
      <c r="G9752" s="271"/>
      <c r="H9752" s="271"/>
      <c r="I9752" s="271"/>
      <c r="J9752" s="271"/>
      <c r="K9752" s="271"/>
      <c r="L9752" s="271"/>
      <c r="M9752" s="271"/>
      <c r="N9752" s="273"/>
    </row>
    <row r="9753" spans="1:14" ht="12.75" customHeight="1" x14ac:dyDescent="0.2">
      <c r="A9753" s="396" t="s">
        <v>76</v>
      </c>
      <c r="B9753" s="271"/>
      <c r="C9753" s="271"/>
      <c r="D9753" s="271"/>
      <c r="E9753" s="271"/>
      <c r="F9753" s="271"/>
      <c r="G9753" s="273"/>
      <c r="H9753" s="88" t="s">
        <v>77</v>
      </c>
      <c r="I9753" s="399" t="s">
        <v>920</v>
      </c>
      <c r="J9753" s="273"/>
      <c r="K9753" s="90" t="s">
        <v>514</v>
      </c>
      <c r="L9753" s="91" t="s">
        <v>932</v>
      </c>
      <c r="M9753" s="399" t="s">
        <v>921</v>
      </c>
      <c r="N9753" s="273"/>
    </row>
    <row r="9754" spans="1:14" ht="12.75" customHeight="1" x14ac:dyDescent="0.25">
      <c r="A9754" s="393" t="s">
        <v>986</v>
      </c>
      <c r="B9754" s="271"/>
      <c r="C9754" s="271"/>
      <c r="D9754" s="271"/>
      <c r="E9754" s="271"/>
      <c r="F9754" s="271"/>
      <c r="G9754" s="273"/>
      <c r="H9754" s="29" t="str">
        <f>IF(A9754="","",VLOOKUP(A9754,AA_Cuadrillas,4,FALSE))</f>
        <v>Cuadrilla</v>
      </c>
      <c r="I9754" s="394">
        <f>IF(A9754="","",VLOOKUP(A9754,AA_Cuadrillas,5,FALSE))</f>
        <v>186763</v>
      </c>
      <c r="J9754" s="273"/>
      <c r="K9754" s="9">
        <f>IF(A9754="","",F.P!$I$2)</f>
        <v>1.88</v>
      </c>
      <c r="L9754" s="93">
        <f>1/40</f>
        <v>2.5000000000000001E-2</v>
      </c>
      <c r="M9754" s="394">
        <f t="shared" ref="M9754:M9758" si="1309">IF(A9754="","",I9754*K9754*L9754)</f>
        <v>8777.8610000000008</v>
      </c>
      <c r="N9754" s="273"/>
    </row>
    <row r="9755" spans="1:14" ht="12.75" customHeight="1" x14ac:dyDescent="0.25">
      <c r="A9755" s="393"/>
      <c r="B9755" s="271"/>
      <c r="C9755" s="271"/>
      <c r="D9755" s="271"/>
      <c r="E9755" s="271"/>
      <c r="F9755" s="271"/>
      <c r="G9755" s="273"/>
      <c r="H9755" s="29" t="str">
        <f>IF(A9755="","",VLOOKUP(A9755,AA_Cuadrillas,4,FALSE))</f>
        <v/>
      </c>
      <c r="I9755" s="394" t="str">
        <f>IF(A9755="","",VLOOKUP(A9755,AA_Cuadrillas,5,FALSE))</f>
        <v/>
      </c>
      <c r="J9755" s="273"/>
      <c r="K9755" s="9" t="str">
        <f>IF(A9755="","",F.P!$I$2)</f>
        <v/>
      </c>
      <c r="L9755" s="9"/>
      <c r="M9755" s="394" t="str">
        <f t="shared" si="1309"/>
        <v/>
      </c>
      <c r="N9755" s="273"/>
    </row>
    <row r="9756" spans="1:14" ht="12.75" customHeight="1" x14ac:dyDescent="0.25">
      <c r="A9756" s="393"/>
      <c r="B9756" s="271"/>
      <c r="C9756" s="271"/>
      <c r="D9756" s="271"/>
      <c r="E9756" s="271"/>
      <c r="F9756" s="271"/>
      <c r="G9756" s="273"/>
      <c r="H9756" s="29" t="str">
        <f>IF(A9756="","",VLOOKUP(A9756,AA_Cuadrillas,4,FALSE))</f>
        <v/>
      </c>
      <c r="I9756" s="394" t="str">
        <f>IF(A9756="","",VLOOKUP(A9756,AA_Cuadrillas,5,FALSE))</f>
        <v/>
      </c>
      <c r="J9756" s="273"/>
      <c r="K9756" s="9" t="str">
        <f>IF(A9756="","",F.P!$I$2)</f>
        <v/>
      </c>
      <c r="L9756" s="37"/>
      <c r="M9756" s="394" t="str">
        <f t="shared" si="1309"/>
        <v/>
      </c>
      <c r="N9756" s="273"/>
    </row>
    <row r="9757" spans="1:14" ht="12.75" customHeight="1" x14ac:dyDescent="0.25">
      <c r="A9757" s="393"/>
      <c r="B9757" s="271"/>
      <c r="C9757" s="271"/>
      <c r="D9757" s="271"/>
      <c r="E9757" s="271"/>
      <c r="F9757" s="271"/>
      <c r="G9757" s="273"/>
      <c r="H9757" s="29" t="str">
        <f>IF(A9757="","",VLOOKUP(A9757,AA_Cuadrillas,4,FALSE))</f>
        <v/>
      </c>
      <c r="I9757" s="394" t="str">
        <f>IF(A9757="","",VLOOKUP(A9757,AA_Cuadrillas,5,FALSE))</f>
        <v/>
      </c>
      <c r="J9757" s="273"/>
      <c r="K9757" s="9" t="str">
        <f>IF(A9757="","",F.P!$I$2)</f>
        <v/>
      </c>
      <c r="L9757" s="37"/>
      <c r="M9757" s="394" t="str">
        <f t="shared" si="1309"/>
        <v/>
      </c>
      <c r="N9757" s="273"/>
    </row>
    <row r="9758" spans="1:14" ht="12.75" customHeight="1" x14ac:dyDescent="0.25">
      <c r="A9758" s="393"/>
      <c r="B9758" s="271"/>
      <c r="C9758" s="271"/>
      <c r="D9758" s="271"/>
      <c r="E9758" s="271"/>
      <c r="F9758" s="271"/>
      <c r="G9758" s="273"/>
      <c r="H9758" s="29" t="str">
        <f>IF(A9758="","",VLOOKUP(A9758,AA_Cuadrillas,4,FALSE))</f>
        <v/>
      </c>
      <c r="I9758" s="394" t="str">
        <f>IF(A9758="","",VLOOKUP(A9758,AA_Cuadrillas,5,FALSE))</f>
        <v/>
      </c>
      <c r="J9758" s="273"/>
      <c r="K9758" s="9" t="str">
        <f>IF(A9758="","",F.P!$I$2)</f>
        <v/>
      </c>
      <c r="L9758" s="37"/>
      <c r="M9758" s="394" t="str">
        <f t="shared" si="1309"/>
        <v/>
      </c>
      <c r="N9758" s="273"/>
    </row>
    <row r="9759" spans="1:14" ht="12.75" customHeight="1" x14ac:dyDescent="0.25">
      <c r="A9759" s="4"/>
      <c r="B9759" s="4"/>
      <c r="C9759" s="4"/>
      <c r="D9759" s="4"/>
      <c r="E9759" s="4"/>
      <c r="F9759" s="4"/>
      <c r="G9759" s="4"/>
      <c r="H9759" s="4"/>
      <c r="I9759" s="4"/>
      <c r="J9759" s="4"/>
      <c r="K9759" s="396" t="s">
        <v>444</v>
      </c>
      <c r="L9759" s="273"/>
      <c r="M9759" s="394">
        <f>SUM(M9754:N9758)</f>
        <v>8777.8610000000008</v>
      </c>
      <c r="N9759" s="273"/>
    </row>
    <row r="9760" spans="1:14" ht="12.75" customHeight="1" x14ac:dyDescent="0.2"/>
    <row r="9761" spans="1:14" ht="12.75" customHeight="1" x14ac:dyDescent="0.2">
      <c r="A9761" s="407" t="s">
        <v>1481</v>
      </c>
      <c r="B9761" s="275"/>
      <c r="C9761" s="275"/>
      <c r="D9761" s="275"/>
      <c r="E9761" s="275"/>
      <c r="F9761" s="275"/>
      <c r="G9761" s="275"/>
      <c r="H9761" s="275"/>
      <c r="I9761" s="275"/>
      <c r="J9761" s="275"/>
      <c r="K9761" s="275"/>
      <c r="L9761" s="275"/>
      <c r="M9761" s="275"/>
      <c r="N9761" s="276"/>
    </row>
    <row r="9762" spans="1:14" ht="12.75" customHeight="1" x14ac:dyDescent="0.2">
      <c r="A9762" s="277"/>
      <c r="B9762" s="278"/>
      <c r="C9762" s="278"/>
      <c r="D9762" s="278"/>
      <c r="E9762" s="278"/>
      <c r="F9762" s="278"/>
      <c r="G9762" s="278"/>
      <c r="H9762" s="278"/>
      <c r="I9762" s="278"/>
      <c r="J9762" s="278"/>
      <c r="K9762" s="278"/>
      <c r="L9762" s="278"/>
      <c r="M9762" s="278"/>
      <c r="N9762" s="279"/>
    </row>
    <row r="9763" spans="1:14" ht="12.75" customHeight="1" x14ac:dyDescent="0.2">
      <c r="A9763" s="75"/>
      <c r="B9763" s="75"/>
      <c r="C9763" s="75"/>
      <c r="D9763" s="75"/>
      <c r="E9763" s="75"/>
      <c r="F9763" s="75"/>
      <c r="G9763" s="75"/>
      <c r="H9763" s="75"/>
      <c r="I9763" s="75"/>
      <c r="J9763" s="75"/>
      <c r="K9763" s="75"/>
      <c r="L9763" s="75"/>
      <c r="M9763" s="75"/>
      <c r="N9763" s="75"/>
    </row>
    <row r="9764" spans="1:14" ht="12.75" customHeight="1" x14ac:dyDescent="0.3">
      <c r="A9764" s="79" t="s">
        <v>828</v>
      </c>
      <c r="B9764" s="80" t="str">
        <f>A9761</f>
        <v>SUMINISTRO DE TUBERÍA PVC Ø2"</v>
      </c>
      <c r="C9764" s="81" t="s">
        <v>916</v>
      </c>
      <c r="D9764" s="82" t="s">
        <v>981</v>
      </c>
      <c r="E9764" s="83" t="s">
        <v>445</v>
      </c>
      <c r="F9764" s="86">
        <f>H9764+J9764+L9764+N9764</f>
        <v>18907.875</v>
      </c>
      <c r="G9764" s="83" t="s">
        <v>607</v>
      </c>
      <c r="H9764" s="86">
        <f>M9773</f>
        <v>18007.5</v>
      </c>
      <c r="I9764" s="83" t="s">
        <v>918</v>
      </c>
      <c r="J9764" s="86">
        <f>M9782</f>
        <v>0</v>
      </c>
      <c r="K9764" s="83" t="s">
        <v>609</v>
      </c>
      <c r="L9764" s="86">
        <f>M9791</f>
        <v>900.375</v>
      </c>
      <c r="M9764" s="83" t="s">
        <v>610</v>
      </c>
      <c r="N9764" s="86">
        <f>M9800</f>
        <v>0</v>
      </c>
    </row>
    <row r="9765" spans="1:14" ht="12.75" customHeight="1" x14ac:dyDescent="0.25">
      <c r="A9765" s="87"/>
      <c r="B9765" s="87"/>
      <c r="C9765" s="87"/>
      <c r="D9765" s="87"/>
      <c r="E9765" s="87"/>
      <c r="F9765" s="87"/>
      <c r="G9765" s="87"/>
      <c r="J9765" s="87"/>
      <c r="K9765" s="215" t="s">
        <v>3217</v>
      </c>
      <c r="L9765" s="215">
        <f>+F9764*presup!$O$5</f>
        <v>24580.237499999999</v>
      </c>
      <c r="M9765" s="87"/>
      <c r="N9765" s="87"/>
    </row>
    <row r="9766" spans="1:14" ht="12.75" customHeight="1" x14ac:dyDescent="0.2">
      <c r="A9766" s="398" t="s">
        <v>919</v>
      </c>
      <c r="B9766" s="271"/>
      <c r="C9766" s="271"/>
      <c r="D9766" s="271"/>
      <c r="E9766" s="271"/>
      <c r="F9766" s="271"/>
      <c r="G9766" s="271"/>
      <c r="H9766" s="271"/>
      <c r="I9766" s="271"/>
      <c r="J9766" s="271"/>
      <c r="K9766" s="271"/>
      <c r="L9766" s="271"/>
      <c r="M9766" s="271"/>
      <c r="N9766" s="273"/>
    </row>
    <row r="9767" spans="1:14" ht="12.75" customHeight="1" x14ac:dyDescent="0.2">
      <c r="A9767" s="396" t="s">
        <v>76</v>
      </c>
      <c r="B9767" s="271"/>
      <c r="C9767" s="271"/>
      <c r="D9767" s="271"/>
      <c r="E9767" s="271"/>
      <c r="F9767" s="271"/>
      <c r="G9767" s="273"/>
      <c r="H9767" s="88" t="s">
        <v>77</v>
      </c>
      <c r="I9767" s="399" t="s">
        <v>920</v>
      </c>
      <c r="J9767" s="273"/>
      <c r="K9767" s="399" t="s">
        <v>453</v>
      </c>
      <c r="L9767" s="273"/>
      <c r="M9767" s="399" t="s">
        <v>921</v>
      </c>
      <c r="N9767" s="273"/>
    </row>
    <row r="9768" spans="1:14" ht="12.75" customHeight="1" x14ac:dyDescent="0.2">
      <c r="A9768" s="400" t="s">
        <v>1482</v>
      </c>
      <c r="B9768" s="271"/>
      <c r="C9768" s="271"/>
      <c r="D9768" s="271"/>
      <c r="E9768" s="271"/>
      <c r="F9768" s="271"/>
      <c r="G9768" s="273"/>
      <c r="H9768" s="29" t="str">
        <f>IF(A9768="","",VLOOKUP(A9768,AA_Materiales,7,FALSE))</f>
        <v>ml</v>
      </c>
      <c r="I9768" s="394">
        <f>IF(A9768="","",VLOOKUP(A9768,AA_Materiales,8,FALSE))</f>
        <v>17150</v>
      </c>
      <c r="J9768" s="273"/>
      <c r="K9768" s="395">
        <v>1.05</v>
      </c>
      <c r="L9768" s="273"/>
      <c r="M9768" s="394">
        <f>IF(A9768="","",I9768*K9768)</f>
        <v>18007.5</v>
      </c>
      <c r="N9768" s="273"/>
    </row>
    <row r="9769" spans="1:14" ht="12.75" customHeight="1" x14ac:dyDescent="0.2">
      <c r="A9769" s="400"/>
      <c r="B9769" s="271"/>
      <c r="C9769" s="271"/>
      <c r="D9769" s="271"/>
      <c r="E9769" s="271"/>
      <c r="F9769" s="271"/>
      <c r="G9769" s="273"/>
      <c r="H9769" s="29"/>
      <c r="I9769" s="394"/>
      <c r="J9769" s="273"/>
      <c r="K9769" s="395"/>
      <c r="L9769" s="273"/>
      <c r="M9769" s="394"/>
      <c r="N9769" s="273"/>
    </row>
    <row r="9770" spans="1:14" ht="12.75" customHeight="1" x14ac:dyDescent="0.2">
      <c r="A9770" s="400"/>
      <c r="B9770" s="271"/>
      <c r="C9770" s="271"/>
      <c r="D9770" s="271"/>
      <c r="E9770" s="271"/>
      <c r="F9770" s="271"/>
      <c r="G9770" s="273"/>
      <c r="H9770" s="29"/>
      <c r="I9770" s="394"/>
      <c r="J9770" s="273"/>
      <c r="K9770" s="395"/>
      <c r="L9770" s="273"/>
      <c r="M9770" s="394"/>
      <c r="N9770" s="273"/>
    </row>
    <row r="9771" spans="1:14" ht="12.75" customHeight="1" x14ac:dyDescent="0.2">
      <c r="A9771" s="400"/>
      <c r="B9771" s="271"/>
      <c r="C9771" s="271"/>
      <c r="D9771" s="271"/>
      <c r="E9771" s="271"/>
      <c r="F9771" s="271"/>
      <c r="G9771" s="273"/>
      <c r="H9771" s="29"/>
      <c r="I9771" s="394"/>
      <c r="J9771" s="273"/>
      <c r="K9771" s="395"/>
      <c r="L9771" s="273"/>
      <c r="M9771" s="394"/>
      <c r="N9771" s="273"/>
    </row>
    <row r="9772" spans="1:14" ht="12.75" customHeight="1" x14ac:dyDescent="0.2">
      <c r="A9772" s="400"/>
      <c r="B9772" s="271"/>
      <c r="C9772" s="271"/>
      <c r="D9772" s="271"/>
      <c r="E9772" s="271"/>
      <c r="F9772" s="271"/>
      <c r="G9772" s="273"/>
      <c r="H9772" s="29" t="str">
        <f>IF(A9772="","",VLOOKUP(A9772,AA_Materiales,7,FALSE))</f>
        <v/>
      </c>
      <c r="I9772" s="394" t="str">
        <f>IF(A9772="","",VLOOKUP(A9772,AA_Materiales,8,FALSE))</f>
        <v/>
      </c>
      <c r="J9772" s="273"/>
      <c r="K9772" s="395"/>
      <c r="L9772" s="273"/>
      <c r="M9772" s="394" t="str">
        <f>IF(A9772="","",I9772*K9772)</f>
        <v/>
      </c>
      <c r="N9772" s="273"/>
    </row>
    <row r="9773" spans="1:14" ht="12.75" customHeight="1" x14ac:dyDescent="0.25">
      <c r="A9773" s="4"/>
      <c r="B9773" s="4"/>
      <c r="C9773" s="4"/>
      <c r="D9773" s="4"/>
      <c r="E9773" s="4"/>
      <c r="F9773" s="4"/>
      <c r="G9773" s="4"/>
      <c r="H9773" s="4"/>
      <c r="I9773" s="4"/>
      <c r="J9773" s="4"/>
      <c r="K9773" s="396" t="s">
        <v>444</v>
      </c>
      <c r="L9773" s="273"/>
      <c r="M9773" s="394">
        <f>SUM(M9768:N9772)</f>
        <v>18007.5</v>
      </c>
      <c r="N9773" s="273"/>
    </row>
    <row r="9774" spans="1:14" ht="12.75" customHeight="1" x14ac:dyDescent="0.25">
      <c r="A9774" s="4"/>
      <c r="B9774" s="4"/>
      <c r="C9774" s="4"/>
      <c r="D9774" s="4"/>
      <c r="E9774" s="4"/>
      <c r="F9774" s="4"/>
      <c r="G9774" s="4"/>
      <c r="H9774" s="4"/>
      <c r="I9774" s="4"/>
      <c r="J9774" s="4"/>
      <c r="K9774" s="4"/>
      <c r="L9774" s="4"/>
      <c r="M9774" s="4"/>
      <c r="N9774" s="4"/>
    </row>
    <row r="9775" spans="1:14" ht="12.75" customHeight="1" x14ac:dyDescent="0.2">
      <c r="A9775" s="398" t="s">
        <v>926</v>
      </c>
      <c r="B9775" s="271"/>
      <c r="C9775" s="271"/>
      <c r="D9775" s="271"/>
      <c r="E9775" s="271"/>
      <c r="F9775" s="271"/>
      <c r="G9775" s="271"/>
      <c r="H9775" s="271"/>
      <c r="I9775" s="271"/>
      <c r="J9775" s="271"/>
      <c r="K9775" s="271"/>
      <c r="L9775" s="271"/>
      <c r="M9775" s="271"/>
      <c r="N9775" s="273"/>
    </row>
    <row r="9776" spans="1:14" ht="12.75" customHeight="1" x14ac:dyDescent="0.2">
      <c r="A9776" s="396" t="s">
        <v>76</v>
      </c>
      <c r="B9776" s="271"/>
      <c r="C9776" s="271"/>
      <c r="D9776" s="271"/>
      <c r="E9776" s="271"/>
      <c r="F9776" s="271"/>
      <c r="G9776" s="273"/>
      <c r="H9776" s="88" t="s">
        <v>77</v>
      </c>
      <c r="I9776" s="399" t="s">
        <v>920</v>
      </c>
      <c r="J9776" s="273"/>
      <c r="K9776" s="399" t="s">
        <v>453</v>
      </c>
      <c r="L9776" s="273"/>
      <c r="M9776" s="399" t="s">
        <v>921</v>
      </c>
      <c r="N9776" s="273"/>
    </row>
    <row r="9777" spans="1:14" ht="12.75" customHeight="1" x14ac:dyDescent="0.2">
      <c r="A9777" s="400"/>
      <c r="B9777" s="271"/>
      <c r="C9777" s="271"/>
      <c r="D9777" s="271"/>
      <c r="E9777" s="271"/>
      <c r="F9777" s="271"/>
      <c r="G9777" s="273"/>
      <c r="H9777" s="29" t="str">
        <f>IF(A9777="","",VLOOKUP(A9777,AA_Equipos,7,FALSE))</f>
        <v/>
      </c>
      <c r="I9777" s="394"/>
      <c r="J9777" s="273"/>
      <c r="K9777" s="395"/>
      <c r="L9777" s="273"/>
      <c r="M9777" s="394" t="str">
        <f t="shared" ref="M9777:M9781" si="1310">IF(A9777="","",I9777*K9777)</f>
        <v/>
      </c>
      <c r="N9777" s="273"/>
    </row>
    <row r="9778" spans="1:14" ht="12.75" customHeight="1" x14ac:dyDescent="0.2">
      <c r="A9778" s="403"/>
      <c r="B9778" s="271"/>
      <c r="C9778" s="271"/>
      <c r="D9778" s="271"/>
      <c r="E9778" s="271"/>
      <c r="F9778" s="271"/>
      <c r="G9778" s="273"/>
      <c r="H9778" s="29" t="str">
        <f>IF(A9778="","",VLOOKUP(A9778,AA_Equipos,7,FALSE))</f>
        <v/>
      </c>
      <c r="I9778" s="394" t="str">
        <f>IF(A9778="","",VLOOKUP(A9778,AA_Equipos,8,FALSE))</f>
        <v/>
      </c>
      <c r="J9778" s="273"/>
      <c r="K9778" s="402"/>
      <c r="L9778" s="273"/>
      <c r="M9778" s="394" t="str">
        <f t="shared" si="1310"/>
        <v/>
      </c>
      <c r="N9778" s="273"/>
    </row>
    <row r="9779" spans="1:14" ht="12.75" customHeight="1" x14ac:dyDescent="0.2">
      <c r="A9779" s="400"/>
      <c r="B9779" s="271"/>
      <c r="C9779" s="271"/>
      <c r="D9779" s="271"/>
      <c r="E9779" s="271"/>
      <c r="F9779" s="271"/>
      <c r="G9779" s="273"/>
      <c r="H9779" s="29" t="str">
        <f>IF(A9779="","",VLOOKUP(A9779,AA_Equipos,7,FALSE))</f>
        <v/>
      </c>
      <c r="I9779" s="394" t="str">
        <f>IF(A9779="","",VLOOKUP(A9779,AA_Equipos,8,FALSE))</f>
        <v/>
      </c>
      <c r="J9779" s="273"/>
      <c r="K9779" s="395"/>
      <c r="L9779" s="273"/>
      <c r="M9779" s="394" t="str">
        <f t="shared" si="1310"/>
        <v/>
      </c>
      <c r="N9779" s="273"/>
    </row>
    <row r="9780" spans="1:14" ht="12.75" customHeight="1" x14ac:dyDescent="0.2">
      <c r="A9780" s="400"/>
      <c r="B9780" s="271"/>
      <c r="C9780" s="271"/>
      <c r="D9780" s="271"/>
      <c r="E9780" s="271"/>
      <c r="F9780" s="271"/>
      <c r="G9780" s="273"/>
      <c r="H9780" s="29" t="str">
        <f>IF(A9780="","",VLOOKUP(A9780,AA_Equipos,7,FALSE))</f>
        <v/>
      </c>
      <c r="I9780" s="394" t="str">
        <f>IF(A9780="","",VLOOKUP(A9780,AA_Equipos,8,FALSE))</f>
        <v/>
      </c>
      <c r="J9780" s="273"/>
      <c r="K9780" s="395"/>
      <c r="L9780" s="273"/>
      <c r="M9780" s="394" t="str">
        <f t="shared" si="1310"/>
        <v/>
      </c>
      <c r="N9780" s="273"/>
    </row>
    <row r="9781" spans="1:14" ht="12.75" customHeight="1" x14ac:dyDescent="0.2">
      <c r="A9781" s="400"/>
      <c r="B9781" s="271"/>
      <c r="C9781" s="271"/>
      <c r="D9781" s="271"/>
      <c r="E9781" s="271"/>
      <c r="F9781" s="271"/>
      <c r="G9781" s="273"/>
      <c r="H9781" s="29" t="str">
        <f>IF(A9781="","",VLOOKUP(A9781,AA_Equipos,7,FALSE))</f>
        <v/>
      </c>
      <c r="I9781" s="394" t="str">
        <f>IF(A9781="","",VLOOKUP(A9781,AA_Equipos,8,FALSE))</f>
        <v/>
      </c>
      <c r="J9781" s="273"/>
      <c r="K9781" s="395"/>
      <c r="L9781" s="273"/>
      <c r="M9781" s="394" t="str">
        <f t="shared" si="1310"/>
        <v/>
      </c>
      <c r="N9781" s="273"/>
    </row>
    <row r="9782" spans="1:14" ht="12.75" customHeight="1" x14ac:dyDescent="0.25">
      <c r="A9782" s="4"/>
      <c r="B9782" s="4"/>
      <c r="C9782" s="4"/>
      <c r="D9782" s="4"/>
      <c r="E9782" s="4"/>
      <c r="F9782" s="4"/>
      <c r="G9782" s="4"/>
      <c r="H9782" s="4"/>
      <c r="I9782" s="4"/>
      <c r="J9782" s="4"/>
      <c r="K9782" s="396" t="s">
        <v>444</v>
      </c>
      <c r="L9782" s="273"/>
      <c r="M9782" s="394">
        <f>SUM(M9777:N9781)</f>
        <v>0</v>
      </c>
      <c r="N9782" s="273"/>
    </row>
    <row r="9783" spans="1:14" ht="12.75" customHeight="1" x14ac:dyDescent="0.25">
      <c r="A9783" s="4"/>
      <c r="B9783" s="4"/>
      <c r="C9783" s="4"/>
      <c r="D9783" s="4"/>
      <c r="E9783" s="4"/>
      <c r="F9783" s="4"/>
      <c r="G9783" s="4"/>
      <c r="H9783" s="4"/>
      <c r="I9783" s="4"/>
      <c r="J9783" s="4"/>
      <c r="K9783" s="4"/>
      <c r="L9783" s="4"/>
      <c r="M9783" s="4"/>
      <c r="N9783" s="4"/>
    </row>
    <row r="9784" spans="1:14" ht="12.75" customHeight="1" x14ac:dyDescent="0.2">
      <c r="A9784" s="398" t="s">
        <v>929</v>
      </c>
      <c r="B9784" s="271"/>
      <c r="C9784" s="271"/>
      <c r="D9784" s="271"/>
      <c r="E9784" s="271"/>
      <c r="F9784" s="271"/>
      <c r="G9784" s="271"/>
      <c r="H9784" s="271"/>
      <c r="I9784" s="271"/>
      <c r="J9784" s="271"/>
      <c r="K9784" s="271"/>
      <c r="L9784" s="271"/>
      <c r="M9784" s="271"/>
      <c r="N9784" s="273"/>
    </row>
    <row r="9785" spans="1:14" ht="12.75" customHeight="1" x14ac:dyDescent="0.2">
      <c r="A9785" s="396" t="s">
        <v>76</v>
      </c>
      <c r="B9785" s="271"/>
      <c r="C9785" s="271"/>
      <c r="D9785" s="271"/>
      <c r="E9785" s="271"/>
      <c r="F9785" s="271"/>
      <c r="G9785" s="273"/>
      <c r="H9785" s="88" t="s">
        <v>77</v>
      </c>
      <c r="I9785" s="399" t="s">
        <v>920</v>
      </c>
      <c r="J9785" s="273"/>
      <c r="K9785" s="399" t="s">
        <v>453</v>
      </c>
      <c r="L9785" s="273"/>
      <c r="M9785" s="399" t="s">
        <v>921</v>
      </c>
      <c r="N9785" s="273"/>
    </row>
    <row r="9786" spans="1:14" ht="12.75" customHeight="1" x14ac:dyDescent="0.2">
      <c r="A9786" s="403" t="s">
        <v>966</v>
      </c>
      <c r="B9786" s="271"/>
      <c r="C9786" s="271"/>
      <c r="D9786" s="271"/>
      <c r="E9786" s="271"/>
      <c r="F9786" s="271"/>
      <c r="G9786" s="273"/>
      <c r="H9786" s="29" t="s">
        <v>950</v>
      </c>
      <c r="I9786" s="394">
        <f>+M9773</f>
        <v>18007.5</v>
      </c>
      <c r="J9786" s="273"/>
      <c r="K9786" s="404">
        <v>0.05</v>
      </c>
      <c r="L9786" s="273"/>
      <c r="M9786" s="394">
        <f t="shared" ref="M9786:M9790" si="1311">IF(A9786="","",I9786*K9786)</f>
        <v>900.375</v>
      </c>
      <c r="N9786" s="273"/>
    </row>
    <row r="9787" spans="1:14" ht="12.75" customHeight="1" x14ac:dyDescent="0.2">
      <c r="A9787" s="403"/>
      <c r="B9787" s="271"/>
      <c r="C9787" s="271"/>
      <c r="D9787" s="271"/>
      <c r="E9787" s="271"/>
      <c r="F9787" s="271"/>
      <c r="G9787" s="273"/>
      <c r="H9787" s="29"/>
      <c r="I9787" s="394"/>
      <c r="J9787" s="273"/>
      <c r="K9787" s="404"/>
      <c r="L9787" s="273"/>
      <c r="M9787" s="394" t="str">
        <f t="shared" si="1311"/>
        <v/>
      </c>
      <c r="N9787" s="273"/>
    </row>
    <row r="9788" spans="1:14" ht="12.75" customHeight="1" x14ac:dyDescent="0.2">
      <c r="A9788" s="400"/>
      <c r="B9788" s="271"/>
      <c r="C9788" s="271"/>
      <c r="D9788" s="271"/>
      <c r="E9788" s="271"/>
      <c r="F9788" s="271"/>
      <c r="G9788" s="273"/>
      <c r="H9788" s="29"/>
      <c r="I9788" s="394"/>
      <c r="J9788" s="273"/>
      <c r="K9788" s="395"/>
      <c r="L9788" s="273"/>
      <c r="M9788" s="394" t="str">
        <f t="shared" si="1311"/>
        <v/>
      </c>
      <c r="N9788" s="273"/>
    </row>
    <row r="9789" spans="1:14" ht="12.75" customHeight="1" x14ac:dyDescent="0.2">
      <c r="A9789" s="400"/>
      <c r="B9789" s="271"/>
      <c r="C9789" s="271"/>
      <c r="D9789" s="271"/>
      <c r="E9789" s="271"/>
      <c r="F9789" s="271"/>
      <c r="G9789" s="273"/>
      <c r="H9789" s="29"/>
      <c r="I9789" s="394"/>
      <c r="J9789" s="273"/>
      <c r="K9789" s="395"/>
      <c r="L9789" s="273"/>
      <c r="M9789" s="394" t="str">
        <f t="shared" si="1311"/>
        <v/>
      </c>
      <c r="N9789" s="273"/>
    </row>
    <row r="9790" spans="1:14" ht="12.75" customHeight="1" x14ac:dyDescent="0.2">
      <c r="A9790" s="400"/>
      <c r="B9790" s="271"/>
      <c r="C9790" s="271"/>
      <c r="D9790" s="271"/>
      <c r="E9790" s="271"/>
      <c r="F9790" s="271"/>
      <c r="G9790" s="273"/>
      <c r="H9790" s="29"/>
      <c r="I9790" s="394"/>
      <c r="J9790" s="273"/>
      <c r="K9790" s="395"/>
      <c r="L9790" s="273"/>
      <c r="M9790" s="394" t="str">
        <f t="shared" si="1311"/>
        <v/>
      </c>
      <c r="N9790" s="273"/>
    </row>
    <row r="9791" spans="1:14" ht="12.75" customHeight="1" x14ac:dyDescent="0.25">
      <c r="A9791" s="4"/>
      <c r="B9791" s="4"/>
      <c r="C9791" s="4"/>
      <c r="D9791" s="4"/>
      <c r="E9791" s="4"/>
      <c r="F9791" s="4"/>
      <c r="G9791" s="4"/>
      <c r="H9791" s="4"/>
      <c r="I9791" s="4"/>
      <c r="J9791" s="4"/>
      <c r="K9791" s="396" t="s">
        <v>444</v>
      </c>
      <c r="L9791" s="273"/>
      <c r="M9791" s="394">
        <f>SUM(M9786:N9790)</f>
        <v>900.375</v>
      </c>
      <c r="N9791" s="273"/>
    </row>
    <row r="9792" spans="1:14" ht="12.75" customHeight="1" x14ac:dyDescent="0.25">
      <c r="A9792" s="4"/>
      <c r="B9792" s="4"/>
      <c r="C9792" s="4"/>
      <c r="D9792" s="4"/>
      <c r="E9792" s="4"/>
      <c r="F9792" s="4"/>
      <c r="G9792" s="4"/>
      <c r="H9792" s="4"/>
      <c r="I9792" s="4"/>
      <c r="J9792" s="4"/>
      <c r="K9792" s="4"/>
      <c r="L9792" s="4"/>
      <c r="M9792" s="4"/>
      <c r="N9792" s="4"/>
    </row>
    <row r="9793" spans="1:14" ht="12.75" customHeight="1" x14ac:dyDescent="0.2">
      <c r="A9793" s="398" t="s">
        <v>931</v>
      </c>
      <c r="B9793" s="271"/>
      <c r="C9793" s="271"/>
      <c r="D9793" s="271"/>
      <c r="E9793" s="271"/>
      <c r="F9793" s="271"/>
      <c r="G9793" s="271"/>
      <c r="H9793" s="271"/>
      <c r="I9793" s="271"/>
      <c r="J9793" s="271"/>
      <c r="K9793" s="271"/>
      <c r="L9793" s="271"/>
      <c r="M9793" s="271"/>
      <c r="N9793" s="273"/>
    </row>
    <row r="9794" spans="1:14" ht="12.75" customHeight="1" x14ac:dyDescent="0.2">
      <c r="A9794" s="396" t="s">
        <v>76</v>
      </c>
      <c r="B9794" s="271"/>
      <c r="C9794" s="271"/>
      <c r="D9794" s="271"/>
      <c r="E9794" s="271"/>
      <c r="F9794" s="271"/>
      <c r="G9794" s="273"/>
      <c r="H9794" s="88" t="s">
        <v>77</v>
      </c>
      <c r="I9794" s="399" t="s">
        <v>920</v>
      </c>
      <c r="J9794" s="273"/>
      <c r="K9794" s="90" t="s">
        <v>514</v>
      </c>
      <c r="L9794" s="91" t="s">
        <v>932</v>
      </c>
      <c r="M9794" s="399" t="s">
        <v>921</v>
      </c>
      <c r="N9794" s="273"/>
    </row>
    <row r="9795" spans="1:14" ht="12.75" customHeight="1" x14ac:dyDescent="0.25">
      <c r="A9795" s="393"/>
      <c r="B9795" s="271"/>
      <c r="C9795" s="271"/>
      <c r="D9795" s="271"/>
      <c r="E9795" s="271"/>
      <c r="F9795" s="271"/>
      <c r="G9795" s="273"/>
      <c r="H9795" s="29" t="str">
        <f>IF(A9795="","",VLOOKUP(A9795,AA_Cuadrillas,4,FALSE))</f>
        <v/>
      </c>
      <c r="I9795" s="394" t="str">
        <f>IF(A9795="","",VLOOKUP(A9795,AA_Cuadrillas,5,FALSE))</f>
        <v/>
      </c>
      <c r="J9795" s="273"/>
      <c r="K9795" s="9" t="str">
        <f>IF(A9795="","",F.P!$I$2)</f>
        <v/>
      </c>
      <c r="L9795" s="93"/>
      <c r="M9795" s="394" t="str">
        <f t="shared" ref="M9795:M9799" si="1312">IF(A9795="","",I9795*K9795*L9795)</f>
        <v/>
      </c>
      <c r="N9795" s="273"/>
    </row>
    <row r="9796" spans="1:14" ht="12.75" customHeight="1" x14ac:dyDescent="0.25">
      <c r="A9796" s="393"/>
      <c r="B9796" s="271"/>
      <c r="C9796" s="271"/>
      <c r="D9796" s="271"/>
      <c r="E9796" s="271"/>
      <c r="F9796" s="271"/>
      <c r="G9796" s="273"/>
      <c r="H9796" s="29" t="str">
        <f>IF(A9796="","",VLOOKUP(A9796,AA_Cuadrillas,4,FALSE))</f>
        <v/>
      </c>
      <c r="I9796" s="394" t="str">
        <f>IF(A9796="","",VLOOKUP(A9796,AA_Cuadrillas,5,FALSE))</f>
        <v/>
      </c>
      <c r="J9796" s="273"/>
      <c r="K9796" s="9" t="str">
        <f>IF(A9796="","",F.P!$I$2)</f>
        <v/>
      </c>
      <c r="L9796" s="9"/>
      <c r="M9796" s="394" t="str">
        <f t="shared" si="1312"/>
        <v/>
      </c>
      <c r="N9796" s="273"/>
    </row>
    <row r="9797" spans="1:14" ht="12.75" customHeight="1" x14ac:dyDescent="0.25">
      <c r="A9797" s="393"/>
      <c r="B9797" s="271"/>
      <c r="C9797" s="271"/>
      <c r="D9797" s="271"/>
      <c r="E9797" s="271"/>
      <c r="F9797" s="271"/>
      <c r="G9797" s="273"/>
      <c r="H9797" s="29" t="str">
        <f>IF(A9797="","",VLOOKUP(A9797,AA_Cuadrillas,4,FALSE))</f>
        <v/>
      </c>
      <c r="I9797" s="394" t="str">
        <f>IF(A9797="","",VLOOKUP(A9797,AA_Cuadrillas,5,FALSE))</f>
        <v/>
      </c>
      <c r="J9797" s="273"/>
      <c r="K9797" s="9" t="str">
        <f>IF(A9797="","",F.P!$I$2)</f>
        <v/>
      </c>
      <c r="L9797" s="37"/>
      <c r="M9797" s="394" t="str">
        <f t="shared" si="1312"/>
        <v/>
      </c>
      <c r="N9797" s="273"/>
    </row>
    <row r="9798" spans="1:14" ht="12.75" customHeight="1" x14ac:dyDescent="0.25">
      <c r="A9798" s="393"/>
      <c r="B9798" s="271"/>
      <c r="C9798" s="271"/>
      <c r="D9798" s="271"/>
      <c r="E9798" s="271"/>
      <c r="F9798" s="271"/>
      <c r="G9798" s="273"/>
      <c r="H9798" s="29" t="str">
        <f>IF(A9798="","",VLOOKUP(A9798,AA_Cuadrillas,4,FALSE))</f>
        <v/>
      </c>
      <c r="I9798" s="394" t="str">
        <f>IF(A9798="","",VLOOKUP(A9798,AA_Cuadrillas,5,FALSE))</f>
        <v/>
      </c>
      <c r="J9798" s="273"/>
      <c r="K9798" s="9" t="str">
        <f>IF(A9798="","",F.P!$I$2)</f>
        <v/>
      </c>
      <c r="L9798" s="37"/>
      <c r="M9798" s="394" t="str">
        <f t="shared" si="1312"/>
        <v/>
      </c>
      <c r="N9798" s="273"/>
    </row>
    <row r="9799" spans="1:14" ht="12.75" customHeight="1" x14ac:dyDescent="0.25">
      <c r="A9799" s="393"/>
      <c r="B9799" s="271"/>
      <c r="C9799" s="271"/>
      <c r="D9799" s="271"/>
      <c r="E9799" s="271"/>
      <c r="F9799" s="271"/>
      <c r="G9799" s="273"/>
      <c r="H9799" s="29" t="str">
        <f>IF(A9799="","",VLOOKUP(A9799,AA_Cuadrillas,4,FALSE))</f>
        <v/>
      </c>
      <c r="I9799" s="394" t="str">
        <f>IF(A9799="","",VLOOKUP(A9799,AA_Cuadrillas,5,FALSE))</f>
        <v/>
      </c>
      <c r="J9799" s="273"/>
      <c r="K9799" s="9" t="str">
        <f>IF(A9799="","",F.P!$I$2)</f>
        <v/>
      </c>
      <c r="L9799" s="37"/>
      <c r="M9799" s="394" t="str">
        <f t="shared" si="1312"/>
        <v/>
      </c>
      <c r="N9799" s="273"/>
    </row>
    <row r="9800" spans="1:14" ht="12.75" customHeight="1" x14ac:dyDescent="0.25">
      <c r="A9800" s="4"/>
      <c r="B9800" s="4"/>
      <c r="C9800" s="4"/>
      <c r="D9800" s="4"/>
      <c r="E9800" s="4"/>
      <c r="F9800" s="4"/>
      <c r="G9800" s="4"/>
      <c r="H9800" s="4"/>
      <c r="I9800" s="4"/>
      <c r="J9800" s="4"/>
      <c r="K9800" s="396" t="s">
        <v>444</v>
      </c>
      <c r="L9800" s="273"/>
      <c r="M9800" s="394">
        <f>SUM(M9795:N9799)</f>
        <v>0</v>
      </c>
      <c r="N9800" s="273"/>
    </row>
    <row r="9801" spans="1:14" ht="12.75" customHeight="1" x14ac:dyDescent="0.2"/>
    <row r="9802" spans="1:14" ht="12.75" customHeight="1" x14ac:dyDescent="0.2">
      <c r="A9802" s="407" t="s">
        <v>1483</v>
      </c>
      <c r="B9802" s="275"/>
      <c r="C9802" s="275"/>
      <c r="D9802" s="275"/>
      <c r="E9802" s="275"/>
      <c r="F9802" s="275"/>
      <c r="G9802" s="275"/>
      <c r="H9802" s="275"/>
      <c r="I9802" s="275"/>
      <c r="J9802" s="275"/>
      <c r="K9802" s="275"/>
      <c r="L9802" s="275"/>
      <c r="M9802" s="275"/>
      <c r="N9802" s="276"/>
    </row>
    <row r="9803" spans="1:14" ht="12.75" customHeight="1" x14ac:dyDescent="0.2">
      <c r="A9803" s="277"/>
      <c r="B9803" s="278"/>
      <c r="C9803" s="278"/>
      <c r="D9803" s="278"/>
      <c r="E9803" s="278"/>
      <c r="F9803" s="278"/>
      <c r="G9803" s="278"/>
      <c r="H9803" s="278"/>
      <c r="I9803" s="278"/>
      <c r="J9803" s="278"/>
      <c r="K9803" s="278"/>
      <c r="L9803" s="278"/>
      <c r="M9803" s="278"/>
      <c r="N9803" s="279"/>
    </row>
    <row r="9804" spans="1:14" ht="12.75" customHeight="1" x14ac:dyDescent="0.2">
      <c r="A9804" s="75"/>
      <c r="B9804" s="75"/>
      <c r="C9804" s="75"/>
      <c r="D9804" s="75"/>
      <c r="E9804" s="75"/>
      <c r="F9804" s="75"/>
      <c r="G9804" s="75"/>
      <c r="H9804" s="75"/>
      <c r="I9804" s="75"/>
      <c r="J9804" s="75"/>
      <c r="K9804" s="75"/>
      <c r="L9804" s="75"/>
      <c r="M9804" s="75"/>
      <c r="N9804" s="75"/>
    </row>
    <row r="9805" spans="1:14" ht="12.75" customHeight="1" x14ac:dyDescent="0.3">
      <c r="A9805" s="79" t="s">
        <v>829</v>
      </c>
      <c r="B9805" s="80" t="str">
        <f>A9802</f>
        <v>INSTALACIÓN DE TUBERÍA PVC Ø2"</v>
      </c>
      <c r="C9805" s="81" t="s">
        <v>916</v>
      </c>
      <c r="D9805" s="82" t="s">
        <v>981</v>
      </c>
      <c r="E9805" s="83" t="s">
        <v>445</v>
      </c>
      <c r="F9805" s="86">
        <f>H9805+J9805+L9805+N9805</f>
        <v>8654.4032399999996</v>
      </c>
      <c r="G9805" s="83" t="s">
        <v>607</v>
      </c>
      <c r="H9805" s="86">
        <f>M9813</f>
        <v>1281</v>
      </c>
      <c r="I9805" s="83" t="s">
        <v>918</v>
      </c>
      <c r="J9805" s="86">
        <f>M9822</f>
        <v>351.11444000000006</v>
      </c>
      <c r="K9805" s="83" t="s">
        <v>609</v>
      </c>
      <c r="L9805" s="86">
        <f>M9831</f>
        <v>0</v>
      </c>
      <c r="M9805" s="83" t="s">
        <v>610</v>
      </c>
      <c r="N9805" s="86">
        <f>M9840</f>
        <v>7022.2888000000003</v>
      </c>
    </row>
    <row r="9806" spans="1:14" ht="12.75" customHeight="1" x14ac:dyDescent="0.25">
      <c r="A9806" s="87"/>
      <c r="B9806" s="87"/>
      <c r="C9806" s="87"/>
      <c r="D9806" s="87"/>
      <c r="E9806" s="87"/>
      <c r="F9806" s="87"/>
      <c r="G9806" s="87"/>
      <c r="J9806" s="87"/>
      <c r="K9806" s="215" t="s">
        <v>3217</v>
      </c>
      <c r="L9806" s="215">
        <f>+F9805*presup!$O$5</f>
        <v>11250.724211999999</v>
      </c>
      <c r="M9806" s="87"/>
      <c r="N9806" s="87"/>
    </row>
    <row r="9807" spans="1:14" ht="12.75" customHeight="1" x14ac:dyDescent="0.2">
      <c r="A9807" s="398" t="s">
        <v>919</v>
      </c>
      <c r="B9807" s="271"/>
      <c r="C9807" s="271"/>
      <c r="D9807" s="271"/>
      <c r="E9807" s="271"/>
      <c r="F9807" s="271"/>
      <c r="G9807" s="271"/>
      <c r="H9807" s="271"/>
      <c r="I9807" s="271"/>
      <c r="J9807" s="271"/>
      <c r="K9807" s="271"/>
      <c r="L9807" s="271"/>
      <c r="M9807" s="271"/>
      <c r="N9807" s="273"/>
    </row>
    <row r="9808" spans="1:14" ht="12.75" customHeight="1" x14ac:dyDescent="0.2">
      <c r="A9808" s="396" t="s">
        <v>76</v>
      </c>
      <c r="B9808" s="271"/>
      <c r="C9808" s="271"/>
      <c r="D9808" s="271"/>
      <c r="E9808" s="271"/>
      <c r="F9808" s="271"/>
      <c r="G9808" s="273"/>
      <c r="H9808" s="88" t="s">
        <v>77</v>
      </c>
      <c r="I9808" s="399" t="s">
        <v>920</v>
      </c>
      <c r="J9808" s="273"/>
      <c r="K9808" s="399" t="s">
        <v>453</v>
      </c>
      <c r="L9808" s="273"/>
      <c r="M9808" s="399" t="s">
        <v>921</v>
      </c>
      <c r="N9808" s="273"/>
    </row>
    <row r="9809" spans="1:14" ht="12.75" customHeight="1" x14ac:dyDescent="0.2">
      <c r="A9809" s="400" t="s">
        <v>984</v>
      </c>
      <c r="B9809" s="271"/>
      <c r="C9809" s="271"/>
      <c r="D9809" s="271"/>
      <c r="E9809" s="271"/>
      <c r="F9809" s="271"/>
      <c r="G9809" s="273"/>
      <c r="H9809" s="29" t="str">
        <f>IF(A9809="","",VLOOKUP(A9809,AA_Materiales,7,FALSE))</f>
        <v>Galón</v>
      </c>
      <c r="I9809" s="394">
        <f>IF(A9809="","",VLOOKUP(A9809,AA_Materiales,8,FALSE))</f>
        <v>80900</v>
      </c>
      <c r="J9809" s="273"/>
      <c r="K9809" s="395">
        <v>0.01</v>
      </c>
      <c r="L9809" s="273"/>
      <c r="M9809" s="394">
        <f t="shared" ref="M9809:M9810" si="1313">IF(A9809="","",I9809*K9809)</f>
        <v>809</v>
      </c>
      <c r="N9809" s="273"/>
    </row>
    <row r="9810" spans="1:14" ht="12.75" customHeight="1" x14ac:dyDescent="0.2">
      <c r="A9810" s="400" t="s">
        <v>985</v>
      </c>
      <c r="B9810" s="271"/>
      <c r="C9810" s="271"/>
      <c r="D9810" s="271"/>
      <c r="E9810" s="271"/>
      <c r="F9810" s="271"/>
      <c r="G9810" s="273"/>
      <c r="H9810" s="29" t="str">
        <f>IF(A9810="","",VLOOKUP(A9810,AA_Materiales,7,FALSE))</f>
        <v>Galón</v>
      </c>
      <c r="I9810" s="394">
        <f>IF(A9810="","",VLOOKUP(A9810,AA_Materiales,8,FALSE))</f>
        <v>47200</v>
      </c>
      <c r="J9810" s="273"/>
      <c r="K9810" s="395">
        <v>0.01</v>
      </c>
      <c r="L9810" s="273"/>
      <c r="M9810" s="394">
        <f t="shared" si="1313"/>
        <v>472</v>
      </c>
      <c r="N9810" s="273"/>
    </row>
    <row r="9811" spans="1:14" ht="12.75" customHeight="1" x14ac:dyDescent="0.2"/>
    <row r="9812" spans="1:14" ht="12.75" customHeight="1" x14ac:dyDescent="0.2">
      <c r="A9812" s="400"/>
      <c r="B9812" s="271"/>
      <c r="C9812" s="271"/>
      <c r="D9812" s="271"/>
      <c r="E9812" s="271"/>
      <c r="F9812" s="271"/>
      <c r="G9812" s="273"/>
      <c r="H9812" s="29" t="str">
        <f>IF(A9812="","",VLOOKUP(A9812,AA_Materiales,7,FALSE))</f>
        <v/>
      </c>
      <c r="I9812" s="394" t="str">
        <f>IF(A9812="","",VLOOKUP(A9812,AA_Materiales,8,FALSE))</f>
        <v/>
      </c>
      <c r="J9812" s="273"/>
      <c r="K9812" s="395"/>
      <c r="L9812" s="273"/>
      <c r="M9812" s="394" t="str">
        <f>IF(A9812="","",I9812*K9812)</f>
        <v/>
      </c>
      <c r="N9812" s="273"/>
    </row>
    <row r="9813" spans="1:14" ht="12.75" customHeight="1" x14ac:dyDescent="0.25">
      <c r="A9813" s="4"/>
      <c r="B9813" s="4"/>
      <c r="C9813" s="4"/>
      <c r="D9813" s="4"/>
      <c r="E9813" s="4"/>
      <c r="F9813" s="4"/>
      <c r="G9813" s="4"/>
      <c r="H9813" s="4"/>
      <c r="I9813" s="4"/>
      <c r="J9813" s="4"/>
      <c r="K9813" s="396" t="s">
        <v>444</v>
      </c>
      <c r="L9813" s="273"/>
      <c r="M9813" s="394">
        <f>SUM(M9809:N9812)</f>
        <v>1281</v>
      </c>
      <c r="N9813" s="273"/>
    </row>
    <row r="9814" spans="1:14" ht="12.75" customHeight="1" x14ac:dyDescent="0.25">
      <c r="A9814" s="4"/>
      <c r="B9814" s="4"/>
      <c r="C9814" s="4"/>
      <c r="D9814" s="4"/>
      <c r="E9814" s="4"/>
      <c r="F9814" s="4"/>
      <c r="G9814" s="4"/>
      <c r="H9814" s="4"/>
      <c r="I9814" s="4"/>
      <c r="J9814" s="4"/>
      <c r="K9814" s="4"/>
      <c r="L9814" s="4"/>
      <c r="M9814" s="4"/>
      <c r="N9814" s="4"/>
    </row>
    <row r="9815" spans="1:14" ht="12.75" customHeight="1" x14ac:dyDescent="0.2">
      <c r="A9815" s="398" t="s">
        <v>926</v>
      </c>
      <c r="B9815" s="271"/>
      <c r="C9815" s="271"/>
      <c r="D9815" s="271"/>
      <c r="E9815" s="271"/>
      <c r="F9815" s="271"/>
      <c r="G9815" s="271"/>
      <c r="H9815" s="271"/>
      <c r="I9815" s="271"/>
      <c r="J9815" s="271"/>
      <c r="K9815" s="271"/>
      <c r="L9815" s="271"/>
      <c r="M9815" s="271"/>
      <c r="N9815" s="273"/>
    </row>
    <row r="9816" spans="1:14" ht="12.75" customHeight="1" x14ac:dyDescent="0.2">
      <c r="A9816" s="396" t="s">
        <v>76</v>
      </c>
      <c r="B9816" s="271"/>
      <c r="C9816" s="271"/>
      <c r="D9816" s="271"/>
      <c r="E9816" s="271"/>
      <c r="F9816" s="271"/>
      <c r="G9816" s="273"/>
      <c r="H9816" s="88" t="s">
        <v>77</v>
      </c>
      <c r="I9816" s="399" t="s">
        <v>920</v>
      </c>
      <c r="J9816" s="273"/>
      <c r="K9816" s="399" t="s">
        <v>453</v>
      </c>
      <c r="L9816" s="273"/>
      <c r="M9816" s="399" t="s">
        <v>921</v>
      </c>
      <c r="N9816" s="273"/>
    </row>
    <row r="9817" spans="1:14" ht="12.75" customHeight="1" x14ac:dyDescent="0.2">
      <c r="A9817" s="400" t="s">
        <v>927</v>
      </c>
      <c r="B9817" s="271"/>
      <c r="C9817" s="271"/>
      <c r="D9817" s="271"/>
      <c r="E9817" s="271"/>
      <c r="F9817" s="271"/>
      <c r="G9817" s="273"/>
      <c r="H9817" s="29" t="str">
        <f>IF(A9817="","",VLOOKUP(A9817,AA_Equipos,7,FALSE))</f>
        <v>% M.O.</v>
      </c>
      <c r="I9817" s="394">
        <f>M9840</f>
        <v>7022.2888000000003</v>
      </c>
      <c r="J9817" s="273"/>
      <c r="K9817" s="404">
        <v>0.05</v>
      </c>
      <c r="L9817" s="273"/>
      <c r="M9817" s="394">
        <f t="shared" ref="M9817:M9821" si="1314">IF(A9817="","",I9817*K9817)</f>
        <v>351.11444000000006</v>
      </c>
      <c r="N9817" s="273"/>
    </row>
    <row r="9818" spans="1:14" ht="12.75" customHeight="1" x14ac:dyDescent="0.2">
      <c r="A9818" s="403"/>
      <c r="B9818" s="271"/>
      <c r="C9818" s="271"/>
      <c r="D9818" s="271"/>
      <c r="E9818" s="271"/>
      <c r="F9818" s="271"/>
      <c r="G9818" s="273"/>
      <c r="H9818" s="29" t="str">
        <f>IF(A9818="","",VLOOKUP(A9818,AA_Equipos,7,FALSE))</f>
        <v/>
      </c>
      <c r="I9818" s="394" t="str">
        <f>IF(A9818="","",VLOOKUP(A9818,AA_Equipos,8,FALSE))</f>
        <v/>
      </c>
      <c r="J9818" s="273"/>
      <c r="K9818" s="402"/>
      <c r="L9818" s="273"/>
      <c r="M9818" s="394" t="str">
        <f t="shared" si="1314"/>
        <v/>
      </c>
      <c r="N9818" s="273"/>
    </row>
    <row r="9819" spans="1:14" ht="12.75" customHeight="1" x14ac:dyDescent="0.2">
      <c r="A9819" s="400"/>
      <c r="B9819" s="271"/>
      <c r="C9819" s="271"/>
      <c r="D9819" s="271"/>
      <c r="E9819" s="271"/>
      <c r="F9819" s="271"/>
      <c r="G9819" s="273"/>
      <c r="H9819" s="29" t="str">
        <f>IF(A9819="","",VLOOKUP(A9819,AA_Equipos,7,FALSE))</f>
        <v/>
      </c>
      <c r="I9819" s="394" t="str">
        <f>IF(A9819="","",VLOOKUP(A9819,AA_Equipos,8,FALSE))</f>
        <v/>
      </c>
      <c r="J9819" s="273"/>
      <c r="K9819" s="395"/>
      <c r="L9819" s="273"/>
      <c r="M9819" s="394" t="str">
        <f t="shared" si="1314"/>
        <v/>
      </c>
      <c r="N9819" s="273"/>
    </row>
    <row r="9820" spans="1:14" ht="12.75" customHeight="1" x14ac:dyDescent="0.2">
      <c r="A9820" s="400"/>
      <c r="B9820" s="271"/>
      <c r="C9820" s="271"/>
      <c r="D9820" s="271"/>
      <c r="E9820" s="271"/>
      <c r="F9820" s="271"/>
      <c r="G9820" s="273"/>
      <c r="H9820" s="29" t="str">
        <f>IF(A9820="","",VLOOKUP(A9820,AA_Equipos,7,FALSE))</f>
        <v/>
      </c>
      <c r="I9820" s="394" t="str">
        <f>IF(A9820="","",VLOOKUP(A9820,AA_Equipos,8,FALSE))</f>
        <v/>
      </c>
      <c r="J9820" s="273"/>
      <c r="K9820" s="395"/>
      <c r="L9820" s="273"/>
      <c r="M9820" s="394" t="str">
        <f t="shared" si="1314"/>
        <v/>
      </c>
      <c r="N9820" s="273"/>
    </row>
    <row r="9821" spans="1:14" ht="12.75" customHeight="1" x14ac:dyDescent="0.2">
      <c r="A9821" s="400"/>
      <c r="B9821" s="271"/>
      <c r="C9821" s="271"/>
      <c r="D9821" s="271"/>
      <c r="E9821" s="271"/>
      <c r="F9821" s="271"/>
      <c r="G9821" s="273"/>
      <c r="H9821" s="29" t="str">
        <f>IF(A9821="","",VLOOKUP(A9821,AA_Equipos,7,FALSE))</f>
        <v/>
      </c>
      <c r="I9821" s="394" t="str">
        <f>IF(A9821="","",VLOOKUP(A9821,AA_Equipos,8,FALSE))</f>
        <v/>
      </c>
      <c r="J9821" s="273"/>
      <c r="K9821" s="395"/>
      <c r="L9821" s="273"/>
      <c r="M9821" s="394" t="str">
        <f t="shared" si="1314"/>
        <v/>
      </c>
      <c r="N9821" s="273"/>
    </row>
    <row r="9822" spans="1:14" ht="12.75" customHeight="1" x14ac:dyDescent="0.25">
      <c r="A9822" s="4"/>
      <c r="B9822" s="4"/>
      <c r="C9822" s="4"/>
      <c r="D9822" s="4"/>
      <c r="E9822" s="4"/>
      <c r="F9822" s="4"/>
      <c r="G9822" s="4"/>
      <c r="H9822" s="4"/>
      <c r="I9822" s="4"/>
      <c r="J9822" s="4"/>
      <c r="K9822" s="396" t="s">
        <v>444</v>
      </c>
      <c r="L9822" s="273"/>
      <c r="M9822" s="394">
        <f>SUM(M9817:N9821)</f>
        <v>351.11444000000006</v>
      </c>
      <c r="N9822" s="273"/>
    </row>
    <row r="9823" spans="1:14" ht="12.75" customHeight="1" x14ac:dyDescent="0.25">
      <c r="A9823" s="4"/>
      <c r="B9823" s="4"/>
      <c r="C9823" s="4"/>
      <c r="D9823" s="4"/>
      <c r="E9823" s="4"/>
      <c r="F9823" s="4"/>
      <c r="G9823" s="4"/>
      <c r="H9823" s="4"/>
      <c r="I9823" s="4"/>
      <c r="J9823" s="4"/>
      <c r="K9823" s="4"/>
      <c r="L9823" s="4"/>
      <c r="M9823" s="4"/>
      <c r="N9823" s="4"/>
    </row>
    <row r="9824" spans="1:14" ht="12.75" customHeight="1" x14ac:dyDescent="0.2">
      <c r="A9824" s="398" t="s">
        <v>929</v>
      </c>
      <c r="B9824" s="271"/>
      <c r="C9824" s="271"/>
      <c r="D9824" s="271"/>
      <c r="E9824" s="271"/>
      <c r="F9824" s="271"/>
      <c r="G9824" s="271"/>
      <c r="H9824" s="271"/>
      <c r="I9824" s="271"/>
      <c r="J9824" s="271"/>
      <c r="K9824" s="271"/>
      <c r="L9824" s="271"/>
      <c r="M9824" s="271"/>
      <c r="N9824" s="273"/>
    </row>
    <row r="9825" spans="1:14" ht="12.75" customHeight="1" x14ac:dyDescent="0.2">
      <c r="A9825" s="396" t="s">
        <v>76</v>
      </c>
      <c r="B9825" s="271"/>
      <c r="C9825" s="271"/>
      <c r="D9825" s="271"/>
      <c r="E9825" s="271"/>
      <c r="F9825" s="271"/>
      <c r="G9825" s="273"/>
      <c r="H9825" s="88" t="s">
        <v>77</v>
      </c>
      <c r="I9825" s="399" t="s">
        <v>920</v>
      </c>
      <c r="J9825" s="273"/>
      <c r="K9825" s="399" t="s">
        <v>453</v>
      </c>
      <c r="L9825" s="273"/>
      <c r="M9825" s="399" t="s">
        <v>921</v>
      </c>
      <c r="N9825" s="273"/>
    </row>
    <row r="9826" spans="1:14" ht="12.75" customHeight="1" x14ac:dyDescent="0.2">
      <c r="A9826" s="403"/>
      <c r="B9826" s="271"/>
      <c r="C9826" s="271"/>
      <c r="D9826" s="271"/>
      <c r="E9826" s="271"/>
      <c r="F9826" s="271"/>
      <c r="G9826" s="273"/>
      <c r="H9826" s="29"/>
      <c r="I9826" s="394"/>
      <c r="J9826" s="273"/>
      <c r="K9826" s="404"/>
      <c r="L9826" s="273"/>
      <c r="M9826" s="394" t="str">
        <f t="shared" ref="M9826:M9830" si="1315">IF(A9826="","",I9826*K9826)</f>
        <v/>
      </c>
      <c r="N9826" s="273"/>
    </row>
    <row r="9827" spans="1:14" ht="12.75" customHeight="1" x14ac:dyDescent="0.2">
      <c r="A9827" s="403"/>
      <c r="B9827" s="271"/>
      <c r="C9827" s="271"/>
      <c r="D9827" s="271"/>
      <c r="E9827" s="271"/>
      <c r="F9827" s="271"/>
      <c r="G9827" s="273"/>
      <c r="H9827" s="29"/>
      <c r="I9827" s="394"/>
      <c r="J9827" s="273"/>
      <c r="K9827" s="404"/>
      <c r="L9827" s="273"/>
      <c r="M9827" s="394" t="str">
        <f t="shared" si="1315"/>
        <v/>
      </c>
      <c r="N9827" s="273"/>
    </row>
    <row r="9828" spans="1:14" ht="12.75" customHeight="1" x14ac:dyDescent="0.2">
      <c r="A9828" s="400"/>
      <c r="B9828" s="271"/>
      <c r="C9828" s="271"/>
      <c r="D9828" s="271"/>
      <c r="E9828" s="271"/>
      <c r="F9828" s="271"/>
      <c r="G9828" s="273"/>
      <c r="H9828" s="29"/>
      <c r="I9828" s="394"/>
      <c r="J9828" s="273"/>
      <c r="K9828" s="395"/>
      <c r="L9828" s="273"/>
      <c r="M9828" s="394" t="str">
        <f t="shared" si="1315"/>
        <v/>
      </c>
      <c r="N9828" s="273"/>
    </row>
    <row r="9829" spans="1:14" ht="12.75" customHeight="1" x14ac:dyDescent="0.2">
      <c r="A9829" s="400"/>
      <c r="B9829" s="271"/>
      <c r="C9829" s="271"/>
      <c r="D9829" s="271"/>
      <c r="E9829" s="271"/>
      <c r="F9829" s="271"/>
      <c r="G9829" s="273"/>
      <c r="H9829" s="29"/>
      <c r="I9829" s="394"/>
      <c r="J9829" s="273"/>
      <c r="K9829" s="395"/>
      <c r="L9829" s="273"/>
      <c r="M9829" s="394" t="str">
        <f t="shared" si="1315"/>
        <v/>
      </c>
      <c r="N9829" s="273"/>
    </row>
    <row r="9830" spans="1:14" ht="12.75" customHeight="1" x14ac:dyDescent="0.2">
      <c r="A9830" s="400"/>
      <c r="B9830" s="271"/>
      <c r="C9830" s="271"/>
      <c r="D9830" s="271"/>
      <c r="E9830" s="271"/>
      <c r="F9830" s="271"/>
      <c r="G9830" s="273"/>
      <c r="H9830" s="29"/>
      <c r="I9830" s="394"/>
      <c r="J9830" s="273"/>
      <c r="K9830" s="395"/>
      <c r="L9830" s="273"/>
      <c r="M9830" s="394" t="str">
        <f t="shared" si="1315"/>
        <v/>
      </c>
      <c r="N9830" s="273"/>
    </row>
    <row r="9831" spans="1:14" ht="12.75" customHeight="1" x14ac:dyDescent="0.25">
      <c r="A9831" s="4"/>
      <c r="B9831" s="4"/>
      <c r="C9831" s="4"/>
      <c r="D9831" s="4"/>
      <c r="E9831" s="4"/>
      <c r="F9831" s="4"/>
      <c r="G9831" s="4"/>
      <c r="H9831" s="4"/>
      <c r="I9831" s="4"/>
      <c r="J9831" s="4"/>
      <c r="K9831" s="396" t="s">
        <v>444</v>
      </c>
      <c r="L9831" s="273"/>
      <c r="M9831" s="394">
        <f>SUM(M9826:N9830)</f>
        <v>0</v>
      </c>
      <c r="N9831" s="273"/>
    </row>
    <row r="9832" spans="1:14" ht="12.75" customHeight="1" x14ac:dyDescent="0.25">
      <c r="A9832" s="4"/>
      <c r="B9832" s="4"/>
      <c r="C9832" s="4"/>
      <c r="D9832" s="4"/>
      <c r="E9832" s="4"/>
      <c r="F9832" s="4"/>
      <c r="G9832" s="4"/>
      <c r="H9832" s="4"/>
      <c r="I9832" s="4"/>
      <c r="J9832" s="4"/>
      <c r="K9832" s="4"/>
      <c r="L9832" s="4"/>
      <c r="M9832" s="4"/>
      <c r="N9832" s="4"/>
    </row>
    <row r="9833" spans="1:14" ht="12.75" customHeight="1" x14ac:dyDescent="0.2">
      <c r="A9833" s="398" t="s">
        <v>931</v>
      </c>
      <c r="B9833" s="271"/>
      <c r="C9833" s="271"/>
      <c r="D9833" s="271"/>
      <c r="E9833" s="271"/>
      <c r="F9833" s="271"/>
      <c r="G9833" s="271"/>
      <c r="H9833" s="271"/>
      <c r="I9833" s="271"/>
      <c r="J9833" s="271"/>
      <c r="K9833" s="271"/>
      <c r="L9833" s="271"/>
      <c r="M9833" s="271"/>
      <c r="N9833" s="273"/>
    </row>
    <row r="9834" spans="1:14" ht="12.75" customHeight="1" x14ac:dyDescent="0.2">
      <c r="A9834" s="396" t="s">
        <v>76</v>
      </c>
      <c r="B9834" s="271"/>
      <c r="C9834" s="271"/>
      <c r="D9834" s="271"/>
      <c r="E9834" s="271"/>
      <c r="F9834" s="271"/>
      <c r="G9834" s="273"/>
      <c r="H9834" s="88" t="s">
        <v>77</v>
      </c>
      <c r="I9834" s="399" t="s">
        <v>920</v>
      </c>
      <c r="J9834" s="273"/>
      <c r="K9834" s="90" t="s">
        <v>514</v>
      </c>
      <c r="L9834" s="91" t="s">
        <v>932</v>
      </c>
      <c r="M9834" s="399" t="s">
        <v>921</v>
      </c>
      <c r="N9834" s="273"/>
    </row>
    <row r="9835" spans="1:14" ht="12.75" customHeight="1" x14ac:dyDescent="0.25">
      <c r="A9835" s="393" t="s">
        <v>951</v>
      </c>
      <c r="B9835" s="271"/>
      <c r="C9835" s="271"/>
      <c r="D9835" s="271"/>
      <c r="E9835" s="271"/>
      <c r="F9835" s="271"/>
      <c r="G9835" s="273"/>
      <c r="H9835" s="29" t="str">
        <f>IF(A9835="","",VLOOKUP(A9835,AA_Cuadrillas,4,FALSE))</f>
        <v>Cuadrilla</v>
      </c>
      <c r="I9835" s="394">
        <f>IF(A9835="","",VLOOKUP(A9835,AA_Cuadrillas,5,FALSE))</f>
        <v>186763</v>
      </c>
      <c r="J9835" s="273"/>
      <c r="K9835" s="9">
        <f>IF(A9835="","",F.P!$I$2)</f>
        <v>1.88</v>
      </c>
      <c r="L9835" s="93">
        <f>1/50</f>
        <v>0.02</v>
      </c>
      <c r="M9835" s="394">
        <f t="shared" ref="M9835:M9839" si="1316">IF(A9835="","",I9835*K9835*L9835)</f>
        <v>7022.2888000000003</v>
      </c>
      <c r="N9835" s="273"/>
    </row>
    <row r="9836" spans="1:14" ht="12.75" customHeight="1" x14ac:dyDescent="0.25">
      <c r="A9836" s="393"/>
      <c r="B9836" s="271"/>
      <c r="C9836" s="271"/>
      <c r="D9836" s="271"/>
      <c r="E9836" s="271"/>
      <c r="F9836" s="271"/>
      <c r="G9836" s="273"/>
      <c r="H9836" s="29" t="str">
        <f>IF(A9836="","",VLOOKUP(A9836,AA_Cuadrillas,4,FALSE))</f>
        <v/>
      </c>
      <c r="I9836" s="394" t="str">
        <f>IF(A9836="","",VLOOKUP(A9836,AA_Cuadrillas,5,FALSE))</f>
        <v/>
      </c>
      <c r="J9836" s="273"/>
      <c r="K9836" s="9" t="str">
        <f>IF(A9836="","",F.P!$I$2)</f>
        <v/>
      </c>
      <c r="L9836" s="9"/>
      <c r="M9836" s="394" t="str">
        <f t="shared" si="1316"/>
        <v/>
      </c>
      <c r="N9836" s="273"/>
    </row>
    <row r="9837" spans="1:14" ht="12.75" customHeight="1" x14ac:dyDescent="0.25">
      <c r="A9837" s="393"/>
      <c r="B9837" s="271"/>
      <c r="C9837" s="271"/>
      <c r="D9837" s="271"/>
      <c r="E9837" s="271"/>
      <c r="F9837" s="271"/>
      <c r="G9837" s="273"/>
      <c r="H9837" s="29" t="str">
        <f>IF(A9837="","",VLOOKUP(A9837,AA_Cuadrillas,4,FALSE))</f>
        <v/>
      </c>
      <c r="I9837" s="394" t="str">
        <f>IF(A9837="","",VLOOKUP(A9837,AA_Cuadrillas,5,FALSE))</f>
        <v/>
      </c>
      <c r="J9837" s="273"/>
      <c r="K9837" s="9" t="str">
        <f>IF(A9837="","",F.P!$I$2)</f>
        <v/>
      </c>
      <c r="L9837" s="37"/>
      <c r="M9837" s="394" t="str">
        <f t="shared" si="1316"/>
        <v/>
      </c>
      <c r="N9837" s="273"/>
    </row>
    <row r="9838" spans="1:14" ht="12.75" customHeight="1" x14ac:dyDescent="0.25">
      <c r="A9838" s="393"/>
      <c r="B9838" s="271"/>
      <c r="C9838" s="271"/>
      <c r="D9838" s="271"/>
      <c r="E9838" s="271"/>
      <c r="F9838" s="271"/>
      <c r="G9838" s="273"/>
      <c r="H9838" s="29" t="str">
        <f>IF(A9838="","",VLOOKUP(A9838,AA_Cuadrillas,4,FALSE))</f>
        <v/>
      </c>
      <c r="I9838" s="394" t="str">
        <f>IF(A9838="","",VLOOKUP(A9838,AA_Cuadrillas,5,FALSE))</f>
        <v/>
      </c>
      <c r="J9838" s="273"/>
      <c r="K9838" s="9" t="str">
        <f>IF(A9838="","",F.P!$I$2)</f>
        <v/>
      </c>
      <c r="L9838" s="37"/>
      <c r="M9838" s="394" t="str">
        <f t="shared" si="1316"/>
        <v/>
      </c>
      <c r="N9838" s="273"/>
    </row>
    <row r="9839" spans="1:14" ht="12.75" customHeight="1" x14ac:dyDescent="0.25">
      <c r="A9839" s="393"/>
      <c r="B9839" s="271"/>
      <c r="C9839" s="271"/>
      <c r="D9839" s="271"/>
      <c r="E9839" s="271"/>
      <c r="F9839" s="271"/>
      <c r="G9839" s="273"/>
      <c r="H9839" s="29" t="str">
        <f>IF(A9839="","",VLOOKUP(A9839,AA_Cuadrillas,4,FALSE))</f>
        <v/>
      </c>
      <c r="I9839" s="394" t="str">
        <f>IF(A9839="","",VLOOKUP(A9839,AA_Cuadrillas,5,FALSE))</f>
        <v/>
      </c>
      <c r="J9839" s="273"/>
      <c r="K9839" s="9" t="str">
        <f>IF(A9839="","",F.P!$I$2)</f>
        <v/>
      </c>
      <c r="L9839" s="37"/>
      <c r="M9839" s="394" t="str">
        <f t="shared" si="1316"/>
        <v/>
      </c>
      <c r="N9839" s="273"/>
    </row>
    <row r="9840" spans="1:14" ht="12.75" customHeight="1" x14ac:dyDescent="0.25">
      <c r="A9840" s="4"/>
      <c r="B9840" s="4"/>
      <c r="C9840" s="4"/>
      <c r="D9840" s="4"/>
      <c r="E9840" s="4"/>
      <c r="F9840" s="4"/>
      <c r="G9840" s="4"/>
      <c r="H9840" s="4"/>
      <c r="I9840" s="4"/>
      <c r="J9840" s="4"/>
      <c r="K9840" s="396" t="s">
        <v>444</v>
      </c>
      <c r="L9840" s="273"/>
      <c r="M9840" s="394">
        <f>SUM(M9835:N9839)</f>
        <v>7022.2888000000003</v>
      </c>
      <c r="N9840" s="273"/>
    </row>
    <row r="9841" spans="1:15" ht="12.75" customHeight="1" x14ac:dyDescent="0.2"/>
    <row r="9842" spans="1:15" ht="12.75" customHeight="1" x14ac:dyDescent="0.2">
      <c r="A9842" s="397" t="s">
        <v>1484</v>
      </c>
      <c r="B9842" s="275"/>
      <c r="C9842" s="275"/>
      <c r="D9842" s="275"/>
      <c r="E9842" s="275"/>
      <c r="F9842" s="275"/>
      <c r="G9842" s="275"/>
      <c r="H9842" s="275"/>
      <c r="I9842" s="275"/>
      <c r="J9842" s="275"/>
      <c r="K9842" s="275"/>
      <c r="L9842" s="275"/>
      <c r="M9842" s="275"/>
      <c r="N9842" s="276"/>
    </row>
    <row r="9843" spans="1:15" ht="12.75" customHeight="1" x14ac:dyDescent="0.2">
      <c r="A9843" s="277"/>
      <c r="B9843" s="278"/>
      <c r="C9843" s="278"/>
      <c r="D9843" s="278"/>
      <c r="E9843" s="278"/>
      <c r="F9843" s="278"/>
      <c r="G9843" s="278"/>
      <c r="H9843" s="278"/>
      <c r="I9843" s="278"/>
      <c r="J9843" s="278"/>
      <c r="K9843" s="278"/>
      <c r="L9843" s="278"/>
      <c r="M9843" s="278"/>
      <c r="N9843" s="279"/>
    </row>
    <row r="9844" spans="1:15" ht="12.75" customHeight="1" x14ac:dyDescent="0.2">
      <c r="A9844" s="75"/>
      <c r="B9844" s="75"/>
      <c r="C9844" s="75"/>
      <c r="D9844" s="75"/>
      <c r="E9844" s="75"/>
      <c r="F9844" s="75"/>
      <c r="G9844" s="75"/>
      <c r="H9844" s="75"/>
      <c r="I9844" s="75"/>
      <c r="J9844" s="75"/>
      <c r="K9844" s="75"/>
      <c r="L9844" s="75"/>
      <c r="M9844" s="75"/>
      <c r="N9844" s="75"/>
    </row>
    <row r="9845" spans="1:15" ht="12.75" customHeight="1" x14ac:dyDescent="0.3">
      <c r="A9845" s="79" t="s">
        <v>830</v>
      </c>
      <c r="B9845" s="80" t="str">
        <f>A9842</f>
        <v>CONSTRUCCIÓN DE CAJA 1,50x1,50x1,50M EN CONCRETO DE 4000 PSI PARA ESTACIÓN DE MACROMEDICIÓN (INCLUYE ESCALERA TIPO GATO, TAPA, MATERIALES, HERRAMIENTAS Y MANO DE OBRA)</v>
      </c>
      <c r="C9845" s="81" t="s">
        <v>916</v>
      </c>
      <c r="D9845" s="82" t="s">
        <v>999</v>
      </c>
      <c r="E9845" s="83" t="s">
        <v>445</v>
      </c>
      <c r="F9845" s="240">
        <f>H9845+J9845+L9845+N9845</f>
        <v>7753711.79779319</v>
      </c>
      <c r="G9845" s="83" t="s">
        <v>607</v>
      </c>
      <c r="H9845" s="86">
        <f>M9861</f>
        <v>7753711.79779319</v>
      </c>
      <c r="I9845" s="83" t="s">
        <v>918</v>
      </c>
      <c r="J9845" s="86">
        <f>M9870</f>
        <v>0</v>
      </c>
      <c r="K9845" s="83" t="s">
        <v>609</v>
      </c>
      <c r="L9845" s="86">
        <f>M9879</f>
        <v>0</v>
      </c>
      <c r="M9845" s="83" t="s">
        <v>610</v>
      </c>
      <c r="N9845" s="86">
        <f>M9888</f>
        <v>0</v>
      </c>
      <c r="O9845" t="s">
        <v>3235</v>
      </c>
    </row>
    <row r="9846" spans="1:15" ht="12.75" customHeight="1" x14ac:dyDescent="0.25">
      <c r="A9846" s="87"/>
      <c r="B9846" s="87"/>
      <c r="C9846" s="87"/>
      <c r="D9846" s="87"/>
      <c r="E9846" s="87"/>
      <c r="F9846" s="87"/>
      <c r="G9846" s="87"/>
      <c r="J9846" s="87"/>
      <c r="K9846" s="215" t="s">
        <v>3217</v>
      </c>
      <c r="L9846" s="215">
        <f>+F9845*presup!$O$5</f>
        <v>10079825.337131148</v>
      </c>
      <c r="M9846" s="87"/>
      <c r="N9846" s="87"/>
    </row>
    <row r="9847" spans="1:15" ht="12.75" customHeight="1" x14ac:dyDescent="0.2">
      <c r="A9847" s="398" t="s">
        <v>919</v>
      </c>
      <c r="B9847" s="271"/>
      <c r="C9847" s="271"/>
      <c r="D9847" s="271"/>
      <c r="E9847" s="271"/>
      <c r="F9847" s="271"/>
      <c r="G9847" s="271"/>
      <c r="H9847" s="271"/>
      <c r="I9847" s="271"/>
      <c r="J9847" s="271"/>
      <c r="K9847" s="271"/>
      <c r="L9847" s="271"/>
      <c r="M9847" s="271"/>
      <c r="N9847" s="273"/>
    </row>
    <row r="9848" spans="1:15" ht="12.75" customHeight="1" x14ac:dyDescent="0.2">
      <c r="A9848" s="396" t="s">
        <v>76</v>
      </c>
      <c r="B9848" s="271"/>
      <c r="C9848" s="271"/>
      <c r="D9848" s="271"/>
      <c r="E9848" s="271"/>
      <c r="F9848" s="271"/>
      <c r="G9848" s="273"/>
      <c r="H9848" s="88" t="s">
        <v>77</v>
      </c>
      <c r="I9848" s="399" t="s">
        <v>920</v>
      </c>
      <c r="J9848" s="273"/>
      <c r="K9848" s="399" t="s">
        <v>453</v>
      </c>
      <c r="L9848" s="273"/>
      <c r="M9848" s="399" t="s">
        <v>921</v>
      </c>
      <c r="N9848" s="273"/>
    </row>
    <row r="9849" spans="1:15" ht="12.75" customHeight="1" x14ac:dyDescent="0.2">
      <c r="A9849" s="403" t="s">
        <v>1307</v>
      </c>
      <c r="B9849" s="271"/>
      <c r="C9849" s="271"/>
      <c r="D9849" s="271"/>
      <c r="E9849" s="271"/>
      <c r="F9849" s="271"/>
      <c r="G9849" s="273"/>
      <c r="H9849" s="29" t="str">
        <f t="shared" ref="H9849:H9860" si="1317">IF(A9849="","",VLOOKUP(A9849,AA_Materiales,7,FALSE))</f>
        <v>m2</v>
      </c>
      <c r="I9849" s="394">
        <f t="shared" ref="I9849:I9860" si="1318">IF(A9849="","",VLOOKUP(A9849,AA_Materiales,8,FALSE))</f>
        <v>5395.0282271600026</v>
      </c>
      <c r="J9849" s="273"/>
      <c r="K9849" s="395">
        <f>+'MICRO Y MACRO'!C128</f>
        <v>3.04</v>
      </c>
      <c r="L9849" s="273"/>
      <c r="M9849" s="394">
        <f t="shared" ref="M9849:M9860" si="1319">IF(A9849="","",I9849*K9849)</f>
        <v>16400.885810566408</v>
      </c>
      <c r="N9849" s="273"/>
    </row>
    <row r="9850" spans="1:15" ht="12.75" customHeight="1" x14ac:dyDescent="0.2">
      <c r="A9850" s="403" t="s">
        <v>1308</v>
      </c>
      <c r="B9850" s="271"/>
      <c r="C9850" s="271"/>
      <c r="D9850" s="271"/>
      <c r="E9850" s="271"/>
      <c r="F9850" s="271"/>
      <c r="G9850" s="273"/>
      <c r="H9850" s="29" t="str">
        <f t="shared" si="1317"/>
        <v>m3</v>
      </c>
      <c r="I9850" s="394">
        <f t="shared" si="1318"/>
        <v>68458.635200799996</v>
      </c>
      <c r="J9850" s="273"/>
      <c r="K9850" s="395">
        <f>+'MICRO Y MACRO'!C129</f>
        <v>5.4720000000000004</v>
      </c>
      <c r="L9850" s="273"/>
      <c r="M9850" s="394">
        <f t="shared" si="1319"/>
        <v>374605.65181877761</v>
      </c>
      <c r="N9850" s="273"/>
    </row>
    <row r="9851" spans="1:15" ht="27" customHeight="1" x14ac:dyDescent="0.2">
      <c r="A9851" s="403" t="s">
        <v>1309</v>
      </c>
      <c r="B9851" s="271"/>
      <c r="C9851" s="271"/>
      <c r="D9851" s="271"/>
      <c r="E9851" s="271"/>
      <c r="F9851" s="271"/>
      <c r="G9851" s="273"/>
      <c r="H9851" s="29" t="str">
        <f t="shared" si="1317"/>
        <v>m3</v>
      </c>
      <c r="I9851" s="394">
        <f t="shared" si="1318"/>
        <v>229192.31748567708</v>
      </c>
      <c r="J9851" s="273"/>
      <c r="K9851" s="395">
        <f>+'MICRO Y MACRO'!C130</f>
        <v>0.6080000000000001</v>
      </c>
      <c r="L9851" s="273"/>
      <c r="M9851" s="394">
        <f t="shared" si="1319"/>
        <v>139348.92903129169</v>
      </c>
      <c r="N9851" s="273"/>
    </row>
    <row r="9852" spans="1:15" ht="27" customHeight="1" x14ac:dyDescent="0.2">
      <c r="A9852" s="403" t="s">
        <v>1332</v>
      </c>
      <c r="B9852" s="271"/>
      <c r="C9852" s="271"/>
      <c r="D9852" s="271"/>
      <c r="E9852" s="271"/>
      <c r="F9852" s="271"/>
      <c r="G9852" s="273"/>
      <c r="H9852" s="29" t="str">
        <f t="shared" si="1317"/>
        <v>m3</v>
      </c>
      <c r="I9852" s="394">
        <f t="shared" si="1318"/>
        <v>18218.939999999999</v>
      </c>
      <c r="J9852" s="273"/>
      <c r="K9852" s="395">
        <f>+'MICRO Y MACRO'!C131</f>
        <v>0</v>
      </c>
      <c r="L9852" s="273"/>
      <c r="M9852" s="394">
        <f t="shared" si="1319"/>
        <v>0</v>
      </c>
      <c r="N9852" s="273"/>
    </row>
    <row r="9853" spans="1:15" ht="12.75" customHeight="1" x14ac:dyDescent="0.2">
      <c r="A9853" s="403" t="s">
        <v>1310</v>
      </c>
      <c r="B9853" s="271"/>
      <c r="C9853" s="271"/>
      <c r="D9853" s="271"/>
      <c r="E9853" s="271"/>
      <c r="F9853" s="271"/>
      <c r="G9853" s="273"/>
      <c r="H9853" s="29" t="str">
        <f t="shared" si="1317"/>
        <v>m3</v>
      </c>
      <c r="I9853" s="394">
        <f t="shared" si="1318"/>
        <v>619876.4246790678</v>
      </c>
      <c r="J9853" s="273"/>
      <c r="K9853" s="395">
        <f>+'MICRO Y MACRO'!C132</f>
        <v>0.15200000000000002</v>
      </c>
      <c r="L9853" s="273"/>
      <c r="M9853" s="394">
        <f t="shared" si="1319"/>
        <v>94221.216551218327</v>
      </c>
      <c r="N9853" s="273"/>
    </row>
    <row r="9854" spans="1:15" ht="12.75" customHeight="1" x14ac:dyDescent="0.2">
      <c r="A9854" s="403" t="s">
        <v>1311</v>
      </c>
      <c r="B9854" s="271"/>
      <c r="C9854" s="271"/>
      <c r="D9854" s="271"/>
      <c r="E9854" s="271"/>
      <c r="F9854" s="271"/>
      <c r="G9854" s="273"/>
      <c r="H9854" s="29" t="str">
        <f t="shared" si="1317"/>
        <v>Kg</v>
      </c>
      <c r="I9854" s="394">
        <f t="shared" si="1318"/>
        <v>10407.86484233889</v>
      </c>
      <c r="J9854" s="273"/>
      <c r="K9854" s="395">
        <f>+'MICRO Y MACRO'!C133</f>
        <v>225.92</v>
      </c>
      <c r="L9854" s="273"/>
      <c r="M9854" s="394">
        <f t="shared" si="1319"/>
        <v>2351344.8251812016</v>
      </c>
      <c r="N9854" s="273"/>
    </row>
    <row r="9855" spans="1:15" ht="12.75" customHeight="1" x14ac:dyDescent="0.2">
      <c r="A9855" s="403" t="s">
        <v>1462</v>
      </c>
      <c r="B9855" s="271"/>
      <c r="C9855" s="271"/>
      <c r="D9855" s="271"/>
      <c r="E9855" s="271"/>
      <c r="F9855" s="271"/>
      <c r="G9855" s="273"/>
      <c r="H9855" s="29" t="str">
        <f t="shared" si="1317"/>
        <v>m3</v>
      </c>
      <c r="I9855" s="394">
        <f t="shared" si="1318"/>
        <v>844782.11970906786</v>
      </c>
      <c r="J9855" s="273"/>
      <c r="K9855" s="395">
        <f>+'MICRO Y MACRO'!C134</f>
        <v>0.6080000000000001</v>
      </c>
      <c r="L9855" s="273"/>
      <c r="M9855" s="394">
        <f t="shared" si="1319"/>
        <v>513627.52878311335</v>
      </c>
      <c r="N9855" s="273"/>
    </row>
    <row r="9856" spans="1:15" ht="12.75" customHeight="1" x14ac:dyDescent="0.2">
      <c r="A9856" s="403" t="s">
        <v>1463</v>
      </c>
      <c r="B9856" s="271"/>
      <c r="C9856" s="271"/>
      <c r="D9856" s="271"/>
      <c r="E9856" s="271"/>
      <c r="F9856" s="271"/>
      <c r="G9856" s="273"/>
      <c r="H9856" s="29" t="str">
        <f t="shared" si="1317"/>
        <v>m3</v>
      </c>
      <c r="I9856" s="394">
        <f t="shared" si="1318"/>
        <v>1917601.7724229568</v>
      </c>
      <c r="J9856" s="273"/>
      <c r="K9856" s="395">
        <f>+'MICRO Y MACRO'!C135</f>
        <v>1.2960000000000003</v>
      </c>
      <c r="L9856" s="273"/>
      <c r="M9856" s="394">
        <f t="shared" si="1319"/>
        <v>2485211.8970601526</v>
      </c>
      <c r="N9856" s="273"/>
    </row>
    <row r="9857" spans="1:14" ht="12.75" customHeight="1" x14ac:dyDescent="0.2">
      <c r="A9857" s="403" t="s">
        <v>1371</v>
      </c>
      <c r="B9857" s="271"/>
      <c r="C9857" s="271"/>
      <c r="D9857" s="271"/>
      <c r="E9857" s="271"/>
      <c r="F9857" s="271"/>
      <c r="G9857" s="273"/>
      <c r="H9857" s="29" t="str">
        <f t="shared" si="1317"/>
        <v>m3</v>
      </c>
      <c r="I9857" s="394">
        <f t="shared" si="1318"/>
        <v>1389173.4069229569</v>
      </c>
      <c r="J9857" s="273"/>
      <c r="K9857" s="395">
        <f>+'MICRO Y MACRO'!C136</f>
        <v>0.45599999999999996</v>
      </c>
      <c r="L9857" s="273"/>
      <c r="M9857" s="394">
        <f t="shared" si="1319"/>
        <v>633463.07355686836</v>
      </c>
      <c r="N9857" s="273"/>
    </row>
    <row r="9858" spans="1:14" ht="40.5" customHeight="1" x14ac:dyDescent="0.2">
      <c r="A9858" s="403" t="s">
        <v>1056</v>
      </c>
      <c r="B9858" s="271"/>
      <c r="C9858" s="271"/>
      <c r="D9858" s="271"/>
      <c r="E9858" s="271"/>
      <c r="F9858" s="271"/>
      <c r="G9858" s="273"/>
      <c r="H9858" s="29" t="str">
        <f t="shared" si="1317"/>
        <v>Unidad</v>
      </c>
      <c r="I9858" s="394">
        <f t="shared" si="1318"/>
        <v>78000</v>
      </c>
      <c r="J9858" s="273"/>
      <c r="K9858" s="395">
        <f>+'MICRO Y MACRO'!C137</f>
        <v>4</v>
      </c>
      <c r="L9858" s="273"/>
      <c r="M9858" s="394">
        <f t="shared" si="1319"/>
        <v>312000</v>
      </c>
      <c r="N9858" s="273"/>
    </row>
    <row r="9859" spans="1:14" ht="27" customHeight="1" x14ac:dyDescent="0.2">
      <c r="A9859" s="403" t="s">
        <v>1316</v>
      </c>
      <c r="B9859" s="271"/>
      <c r="C9859" s="271"/>
      <c r="D9859" s="271"/>
      <c r="E9859" s="271"/>
      <c r="F9859" s="271"/>
      <c r="G9859" s="273"/>
      <c r="H9859" s="29" t="str">
        <f t="shared" si="1317"/>
        <v>Unidad</v>
      </c>
      <c r="I9859" s="394">
        <f t="shared" si="1318"/>
        <v>833487.79</v>
      </c>
      <c r="J9859" s="273"/>
      <c r="K9859" s="395">
        <f>+'MICRO Y MACRO'!C138</f>
        <v>1</v>
      </c>
      <c r="L9859" s="273"/>
      <c r="M9859" s="394">
        <f t="shared" si="1319"/>
        <v>833487.79</v>
      </c>
      <c r="N9859" s="273"/>
    </row>
    <row r="9860" spans="1:14" ht="12.75" customHeight="1" x14ac:dyDescent="0.2">
      <c r="A9860" s="403"/>
      <c r="B9860" s="271"/>
      <c r="C9860" s="271"/>
      <c r="D9860" s="271"/>
      <c r="E9860" s="271"/>
      <c r="F9860" s="271"/>
      <c r="G9860" s="273"/>
      <c r="H9860" s="29" t="str">
        <f t="shared" si="1317"/>
        <v/>
      </c>
      <c r="I9860" s="394" t="str">
        <f t="shared" si="1318"/>
        <v/>
      </c>
      <c r="J9860" s="273"/>
      <c r="K9860" s="395"/>
      <c r="L9860" s="273"/>
      <c r="M9860" s="394" t="str">
        <f t="shared" si="1319"/>
        <v/>
      </c>
      <c r="N9860" s="273"/>
    </row>
    <row r="9861" spans="1:14" ht="12.75" customHeight="1" x14ac:dyDescent="0.25">
      <c r="A9861" s="4"/>
      <c r="B9861" s="4"/>
      <c r="C9861" s="4"/>
      <c r="D9861" s="4"/>
      <c r="E9861" s="4"/>
      <c r="F9861" s="4"/>
      <c r="G9861" s="4"/>
      <c r="H9861" s="4"/>
      <c r="I9861" s="4"/>
      <c r="J9861" s="4"/>
      <c r="K9861" s="396" t="s">
        <v>444</v>
      </c>
      <c r="L9861" s="273"/>
      <c r="M9861" s="394">
        <f>SUM(M9849:N9860)</f>
        <v>7753711.79779319</v>
      </c>
      <c r="N9861" s="273"/>
    </row>
    <row r="9862" spans="1:14" ht="12.75" customHeight="1" x14ac:dyDescent="0.25">
      <c r="A9862" s="4"/>
      <c r="B9862" s="4"/>
      <c r="C9862" s="4"/>
      <c r="D9862" s="4"/>
      <c r="E9862" s="4"/>
      <c r="F9862" s="4"/>
      <c r="G9862" s="4"/>
      <c r="H9862" s="4"/>
      <c r="I9862" s="4"/>
      <c r="J9862" s="4"/>
      <c r="K9862" s="4"/>
      <c r="L9862" s="4"/>
      <c r="M9862" s="4"/>
      <c r="N9862" s="4"/>
    </row>
    <row r="9863" spans="1:14" ht="12.75" customHeight="1" x14ac:dyDescent="0.2">
      <c r="A9863" s="398" t="s">
        <v>926</v>
      </c>
      <c r="B9863" s="271"/>
      <c r="C9863" s="271"/>
      <c r="D9863" s="271"/>
      <c r="E9863" s="271"/>
      <c r="F9863" s="271"/>
      <c r="G9863" s="271"/>
      <c r="H9863" s="271"/>
      <c r="I9863" s="271"/>
      <c r="J9863" s="271"/>
      <c r="K9863" s="271"/>
      <c r="L9863" s="271"/>
      <c r="M9863" s="271"/>
      <c r="N9863" s="273"/>
    </row>
    <row r="9864" spans="1:14" ht="12.75" customHeight="1" x14ac:dyDescent="0.2">
      <c r="A9864" s="396" t="s">
        <v>76</v>
      </c>
      <c r="B9864" s="271"/>
      <c r="C9864" s="271"/>
      <c r="D9864" s="271"/>
      <c r="E9864" s="271"/>
      <c r="F9864" s="271"/>
      <c r="G9864" s="273"/>
      <c r="H9864" s="88" t="s">
        <v>77</v>
      </c>
      <c r="I9864" s="399" t="s">
        <v>920</v>
      </c>
      <c r="J9864" s="273"/>
      <c r="K9864" s="399" t="s">
        <v>453</v>
      </c>
      <c r="L9864" s="273"/>
      <c r="M9864" s="399" t="s">
        <v>921</v>
      </c>
      <c r="N9864" s="273"/>
    </row>
    <row r="9865" spans="1:14" ht="12.75" customHeight="1" x14ac:dyDescent="0.2">
      <c r="A9865" s="400"/>
      <c r="B9865" s="271"/>
      <c r="C9865" s="271"/>
      <c r="D9865" s="271"/>
      <c r="E9865" s="271"/>
      <c r="F9865" s="271"/>
      <c r="G9865" s="273"/>
      <c r="H9865" s="29" t="str">
        <f>IF(A9865="","",VLOOKUP(A9865,AA_Equipos,7,FALSE))</f>
        <v/>
      </c>
      <c r="I9865" s="394"/>
      <c r="J9865" s="273"/>
      <c r="K9865" s="404"/>
      <c r="L9865" s="273"/>
      <c r="M9865" s="394" t="str">
        <f t="shared" ref="M9865:M9869" si="1320">IF(A9865="","",I9865*K9865)</f>
        <v/>
      </c>
      <c r="N9865" s="273"/>
    </row>
    <row r="9866" spans="1:14" ht="12.75" customHeight="1" x14ac:dyDescent="0.2">
      <c r="A9866" s="403"/>
      <c r="B9866" s="271"/>
      <c r="C9866" s="271"/>
      <c r="D9866" s="271"/>
      <c r="E9866" s="271"/>
      <c r="F9866" s="271"/>
      <c r="G9866" s="273"/>
      <c r="H9866" s="29" t="str">
        <f>IF(A9866="","",VLOOKUP(A9866,AA_Equipos,7,FALSE))</f>
        <v/>
      </c>
      <c r="I9866" s="394" t="str">
        <f>IF(A9866="","",VLOOKUP(A9866,AA_Equipos,8,FALSE))</f>
        <v/>
      </c>
      <c r="J9866" s="273"/>
      <c r="K9866" s="402"/>
      <c r="L9866" s="273"/>
      <c r="M9866" s="394" t="str">
        <f t="shared" si="1320"/>
        <v/>
      </c>
      <c r="N9866" s="273"/>
    </row>
    <row r="9867" spans="1:14" ht="12.75" customHeight="1" x14ac:dyDescent="0.2">
      <c r="A9867" s="400"/>
      <c r="B9867" s="271"/>
      <c r="C9867" s="271"/>
      <c r="D9867" s="271"/>
      <c r="E9867" s="271"/>
      <c r="F9867" s="271"/>
      <c r="G9867" s="273"/>
      <c r="H9867" s="29" t="str">
        <f>IF(A9867="","",VLOOKUP(A9867,AA_Equipos,7,FALSE))</f>
        <v/>
      </c>
      <c r="I9867" s="394" t="str">
        <f>IF(A9867="","",VLOOKUP(A9867,AA_Equipos,8,FALSE))</f>
        <v/>
      </c>
      <c r="J9867" s="273"/>
      <c r="K9867" s="401"/>
      <c r="L9867" s="273"/>
      <c r="M9867" s="394" t="str">
        <f t="shared" si="1320"/>
        <v/>
      </c>
      <c r="N9867" s="273"/>
    </row>
    <row r="9868" spans="1:14" ht="12.75" customHeight="1" x14ac:dyDescent="0.2">
      <c r="A9868" s="400"/>
      <c r="B9868" s="271"/>
      <c r="C9868" s="271"/>
      <c r="D9868" s="271"/>
      <c r="E9868" s="271"/>
      <c r="F9868" s="271"/>
      <c r="G9868" s="273"/>
      <c r="H9868" s="29" t="str">
        <f>IF(A9868="","",VLOOKUP(A9868,AA_Equipos,7,FALSE))</f>
        <v/>
      </c>
      <c r="I9868" s="394" t="str">
        <f>IF(A9868="","",VLOOKUP(A9868,AA_Equipos,8,FALSE))</f>
        <v/>
      </c>
      <c r="J9868" s="273"/>
      <c r="K9868" s="395"/>
      <c r="L9868" s="273"/>
      <c r="M9868" s="394" t="str">
        <f t="shared" si="1320"/>
        <v/>
      </c>
      <c r="N9868" s="273"/>
    </row>
    <row r="9869" spans="1:14" ht="12.75" customHeight="1" x14ac:dyDescent="0.2">
      <c r="A9869" s="400"/>
      <c r="B9869" s="271"/>
      <c r="C9869" s="271"/>
      <c r="D9869" s="271"/>
      <c r="E9869" s="271"/>
      <c r="F9869" s="271"/>
      <c r="G9869" s="273"/>
      <c r="H9869" s="29" t="str">
        <f>IF(A9869="","",VLOOKUP(A9869,AA_Equipos,7,FALSE))</f>
        <v/>
      </c>
      <c r="I9869" s="394" t="str">
        <f>IF(A9869="","",VLOOKUP(A9869,AA_Equipos,8,FALSE))</f>
        <v/>
      </c>
      <c r="J9869" s="273"/>
      <c r="K9869" s="395"/>
      <c r="L9869" s="273"/>
      <c r="M9869" s="394" t="str">
        <f t="shared" si="1320"/>
        <v/>
      </c>
      <c r="N9869" s="273"/>
    </row>
    <row r="9870" spans="1:14" ht="12.75" customHeight="1" x14ac:dyDescent="0.25">
      <c r="A9870" s="4"/>
      <c r="B9870" s="4"/>
      <c r="C9870" s="4"/>
      <c r="D9870" s="4"/>
      <c r="E9870" s="4"/>
      <c r="F9870" s="4"/>
      <c r="G9870" s="4"/>
      <c r="H9870" s="4"/>
      <c r="I9870" s="4"/>
      <c r="J9870" s="4"/>
      <c r="K9870" s="396" t="s">
        <v>444</v>
      </c>
      <c r="L9870" s="273"/>
      <c r="M9870" s="394">
        <f>SUM(M9865:N9869)</f>
        <v>0</v>
      </c>
      <c r="N9870" s="273"/>
    </row>
    <row r="9871" spans="1:14" ht="12.75" customHeight="1" x14ac:dyDescent="0.25">
      <c r="A9871" s="4"/>
      <c r="B9871" s="4"/>
      <c r="C9871" s="4"/>
      <c r="D9871" s="4"/>
      <c r="E9871" s="4"/>
      <c r="F9871" s="4"/>
      <c r="G9871" s="4"/>
      <c r="H9871" s="4"/>
      <c r="I9871" s="4"/>
      <c r="J9871" s="4"/>
      <c r="K9871" s="4"/>
      <c r="L9871" s="4"/>
      <c r="M9871" s="4"/>
      <c r="N9871" s="4"/>
    </row>
    <row r="9872" spans="1:14" ht="12.75" customHeight="1" x14ac:dyDescent="0.2">
      <c r="A9872" s="398" t="s">
        <v>929</v>
      </c>
      <c r="B9872" s="271"/>
      <c r="C9872" s="271"/>
      <c r="D9872" s="271"/>
      <c r="E9872" s="271"/>
      <c r="F9872" s="271"/>
      <c r="G9872" s="271"/>
      <c r="H9872" s="271"/>
      <c r="I9872" s="271"/>
      <c r="J9872" s="271"/>
      <c r="K9872" s="271"/>
      <c r="L9872" s="271"/>
      <c r="M9872" s="271"/>
      <c r="N9872" s="273"/>
    </row>
    <row r="9873" spans="1:14" ht="12.75" customHeight="1" x14ac:dyDescent="0.2">
      <c r="A9873" s="396" t="s">
        <v>76</v>
      </c>
      <c r="B9873" s="271"/>
      <c r="C9873" s="271"/>
      <c r="D9873" s="271"/>
      <c r="E9873" s="271"/>
      <c r="F9873" s="271"/>
      <c r="G9873" s="273"/>
      <c r="H9873" s="88" t="s">
        <v>77</v>
      </c>
      <c r="I9873" s="399" t="s">
        <v>920</v>
      </c>
      <c r="J9873" s="273"/>
      <c r="K9873" s="399" t="s">
        <v>453</v>
      </c>
      <c r="L9873" s="273"/>
      <c r="M9873" s="399" t="s">
        <v>921</v>
      </c>
      <c r="N9873" s="273"/>
    </row>
    <row r="9874" spans="1:14" ht="12.75" customHeight="1" x14ac:dyDescent="0.2">
      <c r="A9874" s="400"/>
      <c r="B9874" s="271"/>
      <c r="C9874" s="271"/>
      <c r="D9874" s="271"/>
      <c r="E9874" s="271"/>
      <c r="F9874" s="271"/>
      <c r="G9874" s="273"/>
      <c r="H9874" s="29"/>
      <c r="I9874" s="394"/>
      <c r="J9874" s="273"/>
      <c r="K9874" s="404"/>
      <c r="L9874" s="273"/>
      <c r="M9874" s="394" t="str">
        <f t="shared" ref="M9874:M9878" si="1321">IF(A9874="","",I9874*K9874)</f>
        <v/>
      </c>
      <c r="N9874" s="273"/>
    </row>
    <row r="9875" spans="1:14" ht="12.75" customHeight="1" x14ac:dyDescent="0.2">
      <c r="A9875" s="403"/>
      <c r="B9875" s="271"/>
      <c r="C9875" s="271"/>
      <c r="D9875" s="271"/>
      <c r="E9875" s="271"/>
      <c r="F9875" s="271"/>
      <c r="G9875" s="273"/>
      <c r="H9875" s="29"/>
      <c r="I9875" s="394"/>
      <c r="J9875" s="273"/>
      <c r="K9875" s="404"/>
      <c r="L9875" s="273"/>
      <c r="M9875" s="394" t="str">
        <f t="shared" si="1321"/>
        <v/>
      </c>
      <c r="N9875" s="273"/>
    </row>
    <row r="9876" spans="1:14" ht="12.75" customHeight="1" x14ac:dyDescent="0.2">
      <c r="A9876" s="400"/>
      <c r="B9876" s="271"/>
      <c r="C9876" s="271"/>
      <c r="D9876" s="271"/>
      <c r="E9876" s="271"/>
      <c r="F9876" s="271"/>
      <c r="G9876" s="273"/>
      <c r="H9876" s="29"/>
      <c r="I9876" s="394"/>
      <c r="J9876" s="273"/>
      <c r="K9876" s="395"/>
      <c r="L9876" s="273"/>
      <c r="M9876" s="394" t="str">
        <f t="shared" si="1321"/>
        <v/>
      </c>
      <c r="N9876" s="273"/>
    </row>
    <row r="9877" spans="1:14" ht="12.75" customHeight="1" x14ac:dyDescent="0.2">
      <c r="A9877" s="400"/>
      <c r="B9877" s="271"/>
      <c r="C9877" s="271"/>
      <c r="D9877" s="271"/>
      <c r="E9877" s="271"/>
      <c r="F9877" s="271"/>
      <c r="G9877" s="273"/>
      <c r="H9877" s="29"/>
      <c r="I9877" s="394"/>
      <c r="J9877" s="273"/>
      <c r="K9877" s="395"/>
      <c r="L9877" s="273"/>
      <c r="M9877" s="394" t="str">
        <f t="shared" si="1321"/>
        <v/>
      </c>
      <c r="N9877" s="273"/>
    </row>
    <row r="9878" spans="1:14" ht="12.75" customHeight="1" x14ac:dyDescent="0.2">
      <c r="A9878" s="400"/>
      <c r="B9878" s="271"/>
      <c r="C9878" s="271"/>
      <c r="D9878" s="271"/>
      <c r="E9878" s="271"/>
      <c r="F9878" s="271"/>
      <c r="G9878" s="273"/>
      <c r="H9878" s="29"/>
      <c r="I9878" s="394"/>
      <c r="J9878" s="273"/>
      <c r="K9878" s="395"/>
      <c r="L9878" s="273"/>
      <c r="M9878" s="394" t="str">
        <f t="shared" si="1321"/>
        <v/>
      </c>
      <c r="N9878" s="273"/>
    </row>
    <row r="9879" spans="1:14" ht="12.75" customHeight="1" x14ac:dyDescent="0.25">
      <c r="A9879" s="4"/>
      <c r="B9879" s="4"/>
      <c r="C9879" s="4"/>
      <c r="D9879" s="4"/>
      <c r="E9879" s="4"/>
      <c r="F9879" s="4"/>
      <c r="G9879" s="4"/>
      <c r="H9879" s="4"/>
      <c r="I9879" s="4"/>
      <c r="J9879" s="4"/>
      <c r="K9879" s="396" t="s">
        <v>444</v>
      </c>
      <c r="L9879" s="273"/>
      <c r="M9879" s="394">
        <f>SUM(M9874:N9878)</f>
        <v>0</v>
      </c>
      <c r="N9879" s="273"/>
    </row>
    <row r="9880" spans="1:14" ht="12.75" customHeight="1" x14ac:dyDescent="0.25">
      <c r="A9880" s="4"/>
      <c r="B9880" s="4"/>
      <c r="C9880" s="4"/>
      <c r="D9880" s="4"/>
      <c r="E9880" s="4"/>
      <c r="F9880" s="4"/>
      <c r="G9880" s="4"/>
      <c r="H9880" s="4"/>
      <c r="I9880" s="4"/>
      <c r="J9880" s="4"/>
      <c r="K9880" s="4"/>
      <c r="L9880" s="4"/>
      <c r="M9880" s="4"/>
      <c r="N9880" s="4"/>
    </row>
    <row r="9881" spans="1:14" ht="12.75" customHeight="1" x14ac:dyDescent="0.2">
      <c r="A9881" s="398" t="s">
        <v>931</v>
      </c>
      <c r="B9881" s="271"/>
      <c r="C9881" s="271"/>
      <c r="D9881" s="271"/>
      <c r="E9881" s="271"/>
      <c r="F9881" s="271"/>
      <c r="G9881" s="271"/>
      <c r="H9881" s="271"/>
      <c r="I9881" s="271"/>
      <c r="J9881" s="271"/>
      <c r="K9881" s="271"/>
      <c r="L9881" s="271"/>
      <c r="M9881" s="271"/>
      <c r="N9881" s="273"/>
    </row>
    <row r="9882" spans="1:14" ht="12.75" customHeight="1" x14ac:dyDescent="0.2">
      <c r="A9882" s="396" t="s">
        <v>76</v>
      </c>
      <c r="B9882" s="271"/>
      <c r="C9882" s="271"/>
      <c r="D9882" s="271"/>
      <c r="E9882" s="271"/>
      <c r="F9882" s="271"/>
      <c r="G9882" s="273"/>
      <c r="H9882" s="88" t="s">
        <v>77</v>
      </c>
      <c r="I9882" s="399" t="s">
        <v>920</v>
      </c>
      <c r="J9882" s="273"/>
      <c r="K9882" s="90" t="s">
        <v>514</v>
      </c>
      <c r="L9882" s="91" t="s">
        <v>932</v>
      </c>
      <c r="M9882" s="399" t="s">
        <v>921</v>
      </c>
      <c r="N9882" s="273"/>
    </row>
    <row r="9883" spans="1:14" ht="12.75" customHeight="1" x14ac:dyDescent="0.25">
      <c r="A9883" s="393"/>
      <c r="B9883" s="271"/>
      <c r="C9883" s="271"/>
      <c r="D9883" s="271"/>
      <c r="E9883" s="271"/>
      <c r="F9883" s="271"/>
      <c r="G9883" s="273"/>
      <c r="H9883" s="29" t="str">
        <f>IF(A9883="","",VLOOKUP(A9883,AA_Cuadrillas,4,FALSE))</f>
        <v/>
      </c>
      <c r="I9883" s="394" t="str">
        <f>IF(A9883="","",VLOOKUP(A9883,AA_Cuadrillas,5,FALSE))</f>
        <v/>
      </c>
      <c r="J9883" s="273"/>
      <c r="K9883" s="9" t="str">
        <f>IF(A9883="","",F.P!$I$2)</f>
        <v/>
      </c>
      <c r="L9883" s="97"/>
      <c r="M9883" s="394" t="str">
        <f t="shared" ref="M9883:M9887" si="1322">IF(A9883="","",I9883*K9883*L9883)</f>
        <v/>
      </c>
      <c r="N9883" s="273"/>
    </row>
    <row r="9884" spans="1:14" ht="12.75" customHeight="1" x14ac:dyDescent="0.25">
      <c r="A9884" s="393"/>
      <c r="B9884" s="271"/>
      <c r="C9884" s="271"/>
      <c r="D9884" s="271"/>
      <c r="E9884" s="271"/>
      <c r="F9884" s="271"/>
      <c r="G9884" s="273"/>
      <c r="H9884" s="29" t="str">
        <f>IF(A9884="","",VLOOKUP(A9884,AA_Cuadrillas,4,FALSE))</f>
        <v/>
      </c>
      <c r="I9884" s="394" t="str">
        <f>IF(A9884="","",VLOOKUP(A9884,AA_Cuadrillas,5,FALSE))</f>
        <v/>
      </c>
      <c r="J9884" s="273"/>
      <c r="K9884" s="9" t="str">
        <f>IF(A9884="","",F.P!$I$2)</f>
        <v/>
      </c>
      <c r="L9884" s="9"/>
      <c r="M9884" s="394" t="str">
        <f t="shared" si="1322"/>
        <v/>
      </c>
      <c r="N9884" s="273"/>
    </row>
    <row r="9885" spans="1:14" ht="12.75" customHeight="1" x14ac:dyDescent="0.25">
      <c r="A9885" s="393"/>
      <c r="B9885" s="271"/>
      <c r="C9885" s="271"/>
      <c r="D9885" s="271"/>
      <c r="E9885" s="271"/>
      <c r="F9885" s="271"/>
      <c r="G9885" s="273"/>
      <c r="H9885" s="29" t="str">
        <f>IF(A9885="","",VLOOKUP(A9885,AA_Cuadrillas,4,FALSE))</f>
        <v/>
      </c>
      <c r="I9885" s="394" t="str">
        <f>IF(A9885="","",VLOOKUP(A9885,AA_Cuadrillas,5,FALSE))</f>
        <v/>
      </c>
      <c r="J9885" s="273"/>
      <c r="K9885" s="9" t="str">
        <f>IF(A9885="","",F.P!$I$2)</f>
        <v/>
      </c>
      <c r="L9885" s="37"/>
      <c r="M9885" s="394" t="str">
        <f t="shared" si="1322"/>
        <v/>
      </c>
      <c r="N9885" s="273"/>
    </row>
    <row r="9886" spans="1:14" ht="12.75" customHeight="1" x14ac:dyDescent="0.25">
      <c r="A9886" s="393"/>
      <c r="B9886" s="271"/>
      <c r="C9886" s="271"/>
      <c r="D9886" s="271"/>
      <c r="E9886" s="271"/>
      <c r="F9886" s="271"/>
      <c r="G9886" s="273"/>
      <c r="H9886" s="29" t="str">
        <f>IF(A9886="","",VLOOKUP(A9886,AA_Cuadrillas,4,FALSE))</f>
        <v/>
      </c>
      <c r="I9886" s="394" t="str">
        <f>IF(A9886="","",VLOOKUP(A9886,AA_Cuadrillas,5,FALSE))</f>
        <v/>
      </c>
      <c r="J9886" s="273"/>
      <c r="K9886" s="9" t="str">
        <f>IF(A9886="","",F.P!$I$2)</f>
        <v/>
      </c>
      <c r="L9886" s="37"/>
      <c r="M9886" s="394" t="str">
        <f t="shared" si="1322"/>
        <v/>
      </c>
      <c r="N9886" s="273"/>
    </row>
    <row r="9887" spans="1:14" ht="12.75" customHeight="1" x14ac:dyDescent="0.25">
      <c r="A9887" s="393"/>
      <c r="B9887" s="271"/>
      <c r="C9887" s="271"/>
      <c r="D9887" s="271"/>
      <c r="E9887" s="271"/>
      <c r="F9887" s="271"/>
      <c r="G9887" s="273"/>
      <c r="H9887" s="29" t="str">
        <f>IF(A9887="","",VLOOKUP(A9887,AA_Cuadrillas,4,FALSE))</f>
        <v/>
      </c>
      <c r="I9887" s="394" t="str">
        <f>IF(A9887="","",VLOOKUP(A9887,AA_Cuadrillas,5,FALSE))</f>
        <v/>
      </c>
      <c r="J9887" s="273"/>
      <c r="K9887" s="9" t="str">
        <f>IF(A9887="","",F.P!$I$2)</f>
        <v/>
      </c>
      <c r="L9887" s="37"/>
      <c r="M9887" s="394" t="str">
        <f t="shared" si="1322"/>
        <v/>
      </c>
      <c r="N9887" s="273"/>
    </row>
    <row r="9888" spans="1:14" ht="12.75" customHeight="1" x14ac:dyDescent="0.25">
      <c r="A9888" s="4"/>
      <c r="B9888" s="4"/>
      <c r="C9888" s="4"/>
      <c r="D9888" s="4"/>
      <c r="E9888" s="4"/>
      <c r="F9888" s="4"/>
      <c r="G9888" s="4"/>
      <c r="H9888" s="4"/>
      <c r="I9888" s="4"/>
      <c r="J9888" s="4"/>
      <c r="K9888" s="396" t="s">
        <v>444</v>
      </c>
      <c r="L9888" s="273"/>
      <c r="M9888" s="394">
        <f>SUM(M9883:N9887)</f>
        <v>0</v>
      </c>
      <c r="N9888" s="273"/>
    </row>
    <row r="9889" spans="1:15" ht="12.75" customHeight="1" x14ac:dyDescent="0.2"/>
    <row r="9890" spans="1:15" ht="12.75" customHeight="1" x14ac:dyDescent="0.2">
      <c r="A9890" s="407" t="s">
        <v>192</v>
      </c>
      <c r="B9890" s="275"/>
      <c r="C9890" s="275"/>
      <c r="D9890" s="275"/>
      <c r="E9890" s="275"/>
      <c r="F9890" s="275"/>
      <c r="G9890" s="275"/>
      <c r="H9890" s="275"/>
      <c r="I9890" s="275"/>
      <c r="J9890" s="275"/>
      <c r="K9890" s="275"/>
      <c r="L9890" s="275"/>
      <c r="M9890" s="275"/>
      <c r="N9890" s="276"/>
      <c r="O9890" s="166"/>
    </row>
    <row r="9891" spans="1:15" ht="12.75" customHeight="1" x14ac:dyDescent="0.2">
      <c r="A9891" s="277"/>
      <c r="B9891" s="278"/>
      <c r="C9891" s="278"/>
      <c r="D9891" s="278"/>
      <c r="E9891" s="278"/>
      <c r="F9891" s="278"/>
      <c r="G9891" s="278"/>
      <c r="H9891" s="278"/>
      <c r="I9891" s="278"/>
      <c r="J9891" s="278"/>
      <c r="K9891" s="278"/>
      <c r="L9891" s="278"/>
      <c r="M9891" s="278"/>
      <c r="N9891" s="279"/>
      <c r="O9891" s="166"/>
    </row>
    <row r="9892" spans="1:15" ht="12.75" customHeight="1" x14ac:dyDescent="0.2">
      <c r="A9892" s="75"/>
      <c r="B9892" s="75"/>
      <c r="C9892" s="75"/>
      <c r="D9892" s="75"/>
      <c r="E9892" s="75"/>
      <c r="F9892" s="75"/>
      <c r="G9892" s="75"/>
      <c r="H9892" s="75"/>
      <c r="I9892" s="75"/>
      <c r="J9892" s="75"/>
      <c r="K9892" s="75"/>
      <c r="L9892" s="75"/>
      <c r="M9892" s="75"/>
      <c r="N9892" s="75"/>
    </row>
    <row r="9893" spans="1:15" ht="12.75" customHeight="1" x14ac:dyDescent="0.3">
      <c r="A9893" s="79" t="s">
        <v>831</v>
      </c>
      <c r="B9893" s="80" t="str">
        <f>A9890</f>
        <v>LECHO FILTRANTE CON ARENA (INCLUYE MATERIALES, TRANSPORTE Y MANO DE OBRA)</v>
      </c>
      <c r="C9893" s="81" t="s">
        <v>916</v>
      </c>
      <c r="D9893" s="82" t="s">
        <v>258</v>
      </c>
      <c r="E9893" s="83" t="s">
        <v>445</v>
      </c>
      <c r="F9893" s="234">
        <f>(H9893+J9893+L9893+N9893)*1.3</f>
        <v>247885.47269367709</v>
      </c>
      <c r="G9893" s="83" t="s">
        <v>607</v>
      </c>
      <c r="H9893" s="86">
        <f>M9912</f>
        <v>1170.3814666666667</v>
      </c>
      <c r="I9893" s="83" t="s">
        <v>918</v>
      </c>
      <c r="J9893" s="86">
        <f>M9903</f>
        <v>64260</v>
      </c>
      <c r="K9893" s="83" t="s">
        <v>609</v>
      </c>
      <c r="L9893" s="86">
        <f>M9921</f>
        <v>101843.12204129006</v>
      </c>
      <c r="M9893" s="83" t="s">
        <v>610</v>
      </c>
      <c r="N9893" s="86">
        <f>M9930</f>
        <v>23407.629333333334</v>
      </c>
    </row>
    <row r="9894" spans="1:15" ht="12.75" customHeight="1" x14ac:dyDescent="0.25">
      <c r="A9894" s="87"/>
      <c r="B9894" s="87"/>
      <c r="C9894" s="87"/>
      <c r="D9894" s="87"/>
      <c r="E9894" s="87"/>
      <c r="F9894" s="87"/>
      <c r="G9894" s="87"/>
      <c r="J9894" s="87"/>
      <c r="K9894" s="215" t="s">
        <v>3217</v>
      </c>
      <c r="L9894" s="215">
        <f>+F9893*presup!$O$5</f>
        <v>322251.11450178025</v>
      </c>
      <c r="M9894" s="87"/>
      <c r="N9894" s="87"/>
    </row>
    <row r="9895" spans="1:15" ht="12.75" customHeight="1" x14ac:dyDescent="0.2">
      <c r="A9895" s="398" t="s">
        <v>919</v>
      </c>
      <c r="B9895" s="271"/>
      <c r="C9895" s="271"/>
      <c r="D9895" s="271"/>
      <c r="E9895" s="271"/>
      <c r="F9895" s="271"/>
      <c r="G9895" s="271"/>
      <c r="H9895" s="271"/>
      <c r="I9895" s="271"/>
      <c r="J9895" s="271"/>
      <c r="K9895" s="271"/>
      <c r="L9895" s="271"/>
      <c r="M9895" s="271"/>
      <c r="N9895" s="273"/>
    </row>
    <row r="9896" spans="1:15" ht="12.75" customHeight="1" x14ac:dyDescent="0.2">
      <c r="A9896" s="396" t="s">
        <v>76</v>
      </c>
      <c r="B9896" s="271"/>
      <c r="C9896" s="271"/>
      <c r="D9896" s="271"/>
      <c r="E9896" s="271"/>
      <c r="F9896" s="271"/>
      <c r="G9896" s="273"/>
      <c r="H9896" s="88" t="s">
        <v>77</v>
      </c>
      <c r="I9896" s="399" t="s">
        <v>920</v>
      </c>
      <c r="J9896" s="273"/>
      <c r="K9896" s="399" t="s">
        <v>453</v>
      </c>
      <c r="L9896" s="273"/>
      <c r="M9896" s="399" t="s">
        <v>921</v>
      </c>
      <c r="N9896" s="273"/>
    </row>
    <row r="9897" spans="1:15" ht="12.75" customHeight="1" x14ac:dyDescent="0.2">
      <c r="A9897" s="403" t="s">
        <v>1485</v>
      </c>
      <c r="B9897" s="271"/>
      <c r="C9897" s="271"/>
      <c r="D9897" s="271"/>
      <c r="E9897" s="271"/>
      <c r="F9897" s="271"/>
      <c r="G9897" s="273"/>
      <c r="H9897" s="29" t="str">
        <f t="shared" ref="H9897:H9902" si="1323">IF(A9897="","",VLOOKUP(A9897,AA_Materiales,7,FALSE))</f>
        <v>m3</v>
      </c>
      <c r="I9897" s="394">
        <f t="shared" ref="I9897:I9902" si="1324">IF(A9897="","",VLOOKUP(A9897,AA_Materiales,8,FALSE))</f>
        <v>64260</v>
      </c>
      <c r="J9897" s="273"/>
      <c r="K9897" s="395">
        <v>1</v>
      </c>
      <c r="L9897" s="273"/>
      <c r="M9897" s="394">
        <f t="shared" ref="M9897:M9902" si="1325">IF(A9897="","",I9897*K9897)</f>
        <v>64260</v>
      </c>
      <c r="N9897" s="273"/>
    </row>
    <row r="9898" spans="1:15" ht="12.75" customHeight="1" x14ac:dyDescent="0.2">
      <c r="A9898" s="403"/>
      <c r="B9898" s="271"/>
      <c r="C9898" s="271"/>
      <c r="D9898" s="271"/>
      <c r="E9898" s="271"/>
      <c r="F9898" s="271"/>
      <c r="G9898" s="273"/>
      <c r="H9898" s="29" t="str">
        <f t="shared" si="1323"/>
        <v/>
      </c>
      <c r="I9898" s="394" t="str">
        <f t="shared" si="1324"/>
        <v/>
      </c>
      <c r="J9898" s="273"/>
      <c r="K9898" s="395"/>
      <c r="L9898" s="273"/>
      <c r="M9898" s="394" t="str">
        <f t="shared" si="1325"/>
        <v/>
      </c>
      <c r="N9898" s="273"/>
    </row>
    <row r="9899" spans="1:15" ht="12.75" customHeight="1" x14ac:dyDescent="0.2">
      <c r="A9899" s="403"/>
      <c r="B9899" s="271"/>
      <c r="C9899" s="271"/>
      <c r="D9899" s="271"/>
      <c r="E9899" s="271"/>
      <c r="F9899" s="271"/>
      <c r="G9899" s="273"/>
      <c r="H9899" s="29" t="str">
        <f t="shared" si="1323"/>
        <v/>
      </c>
      <c r="I9899" s="394" t="str">
        <f t="shared" si="1324"/>
        <v/>
      </c>
      <c r="J9899" s="273"/>
      <c r="K9899" s="395"/>
      <c r="L9899" s="273"/>
      <c r="M9899" s="394" t="str">
        <f t="shared" si="1325"/>
        <v/>
      </c>
      <c r="N9899" s="273"/>
    </row>
    <row r="9900" spans="1:15" ht="12.75" customHeight="1" x14ac:dyDescent="0.2">
      <c r="A9900" s="403"/>
      <c r="B9900" s="271"/>
      <c r="C9900" s="271"/>
      <c r="D9900" s="271"/>
      <c r="E9900" s="271"/>
      <c r="F9900" s="271"/>
      <c r="G9900" s="273"/>
      <c r="H9900" s="29" t="str">
        <f t="shared" si="1323"/>
        <v/>
      </c>
      <c r="I9900" s="394" t="str">
        <f t="shared" si="1324"/>
        <v/>
      </c>
      <c r="J9900" s="273"/>
      <c r="K9900" s="395"/>
      <c r="L9900" s="273"/>
      <c r="M9900" s="394" t="str">
        <f t="shared" si="1325"/>
        <v/>
      </c>
      <c r="N9900" s="273"/>
    </row>
    <row r="9901" spans="1:15" ht="12.75" customHeight="1" x14ac:dyDescent="0.2">
      <c r="A9901" s="403"/>
      <c r="B9901" s="271"/>
      <c r="C9901" s="271"/>
      <c r="D9901" s="271"/>
      <c r="E9901" s="271"/>
      <c r="F9901" s="271"/>
      <c r="G9901" s="273"/>
      <c r="H9901" s="29" t="str">
        <f t="shared" si="1323"/>
        <v/>
      </c>
      <c r="I9901" s="394" t="str">
        <f t="shared" si="1324"/>
        <v/>
      </c>
      <c r="J9901" s="273"/>
      <c r="K9901" s="395"/>
      <c r="L9901" s="273"/>
      <c r="M9901" s="394" t="str">
        <f t="shared" si="1325"/>
        <v/>
      </c>
      <c r="N9901" s="273"/>
    </row>
    <row r="9902" spans="1:15" ht="12.75" customHeight="1" x14ac:dyDescent="0.2">
      <c r="A9902" s="403"/>
      <c r="B9902" s="271"/>
      <c r="C9902" s="271"/>
      <c r="D9902" s="271"/>
      <c r="E9902" s="271"/>
      <c r="F9902" s="271"/>
      <c r="G9902" s="273"/>
      <c r="H9902" s="29" t="str">
        <f t="shared" si="1323"/>
        <v/>
      </c>
      <c r="I9902" s="394" t="str">
        <f t="shared" si="1324"/>
        <v/>
      </c>
      <c r="J9902" s="273"/>
      <c r="K9902" s="395"/>
      <c r="L9902" s="273"/>
      <c r="M9902" s="394" t="str">
        <f t="shared" si="1325"/>
        <v/>
      </c>
      <c r="N9902" s="273"/>
    </row>
    <row r="9903" spans="1:15" ht="12.75" customHeight="1" x14ac:dyDescent="0.25">
      <c r="A9903" s="4"/>
      <c r="B9903" s="4"/>
      <c r="C9903" s="4"/>
      <c r="D9903" s="4"/>
      <c r="E9903" s="4"/>
      <c r="F9903" s="4"/>
      <c r="G9903" s="4"/>
      <c r="H9903" s="4"/>
      <c r="I9903" s="4"/>
      <c r="J9903" s="4"/>
      <c r="K9903" s="396" t="s">
        <v>444</v>
      </c>
      <c r="L9903" s="273"/>
      <c r="M9903" s="394">
        <f>SUM(M9897:N9902)</f>
        <v>64260</v>
      </c>
      <c r="N9903" s="273"/>
    </row>
    <row r="9904" spans="1:15" ht="12.75" customHeight="1" x14ac:dyDescent="0.25">
      <c r="A9904" s="4"/>
      <c r="B9904" s="4"/>
      <c r="C9904" s="4"/>
      <c r="D9904" s="4"/>
      <c r="E9904" s="4"/>
      <c r="F9904" s="4"/>
      <c r="G9904" s="4"/>
      <c r="H9904" s="4"/>
      <c r="I9904" s="4"/>
      <c r="J9904" s="4"/>
      <c r="K9904" s="4"/>
      <c r="L9904" s="4"/>
      <c r="M9904" s="4"/>
      <c r="N9904" s="4"/>
    </row>
    <row r="9905" spans="1:14" ht="12.75" customHeight="1" x14ac:dyDescent="0.2">
      <c r="A9905" s="398" t="s">
        <v>926</v>
      </c>
      <c r="B9905" s="271"/>
      <c r="C9905" s="271"/>
      <c r="D9905" s="271"/>
      <c r="E9905" s="271"/>
      <c r="F9905" s="271"/>
      <c r="G9905" s="271"/>
      <c r="H9905" s="271"/>
      <c r="I9905" s="271"/>
      <c r="J9905" s="271"/>
      <c r="K9905" s="271"/>
      <c r="L9905" s="271"/>
      <c r="M9905" s="271"/>
      <c r="N9905" s="273"/>
    </row>
    <row r="9906" spans="1:14" ht="12.75" customHeight="1" x14ac:dyDescent="0.2">
      <c r="A9906" s="396" t="s">
        <v>76</v>
      </c>
      <c r="B9906" s="271"/>
      <c r="C9906" s="271"/>
      <c r="D9906" s="271"/>
      <c r="E9906" s="271"/>
      <c r="F9906" s="271"/>
      <c r="G9906" s="273"/>
      <c r="H9906" s="88" t="s">
        <v>77</v>
      </c>
      <c r="I9906" s="399" t="s">
        <v>920</v>
      </c>
      <c r="J9906" s="273"/>
      <c r="K9906" s="399" t="s">
        <v>453</v>
      </c>
      <c r="L9906" s="273"/>
      <c r="M9906" s="399" t="s">
        <v>921</v>
      </c>
      <c r="N9906" s="273"/>
    </row>
    <row r="9907" spans="1:14" ht="12.75" customHeight="1" x14ac:dyDescent="0.2">
      <c r="A9907" s="400" t="s">
        <v>927</v>
      </c>
      <c r="B9907" s="271"/>
      <c r="C9907" s="271"/>
      <c r="D9907" s="271"/>
      <c r="E9907" s="271"/>
      <c r="F9907" s="271"/>
      <c r="G9907" s="273"/>
      <c r="H9907" s="29" t="str">
        <f>IF(A9907="","",VLOOKUP(A9907,AA_Equipos,7,FALSE))</f>
        <v>% M.O.</v>
      </c>
      <c r="I9907" s="394">
        <f>+M9930</f>
        <v>23407.629333333334</v>
      </c>
      <c r="J9907" s="273"/>
      <c r="K9907" s="404">
        <v>0.05</v>
      </c>
      <c r="L9907" s="273"/>
      <c r="M9907" s="394">
        <f t="shared" ref="M9907:M9911" si="1326">IF(A9907="","",I9907*K9907)</f>
        <v>1170.3814666666667</v>
      </c>
      <c r="N9907" s="273"/>
    </row>
    <row r="9908" spans="1:14" ht="12.75" customHeight="1" x14ac:dyDescent="0.2">
      <c r="A9908" s="403"/>
      <c r="B9908" s="271"/>
      <c r="C9908" s="271"/>
      <c r="D9908" s="271"/>
      <c r="E9908" s="271"/>
      <c r="F9908" s="271"/>
      <c r="G9908" s="273"/>
      <c r="H9908" s="29" t="str">
        <f>IF(A9908="","",VLOOKUP(A9908,AA_Equipos,7,FALSE))</f>
        <v/>
      </c>
      <c r="I9908" s="394" t="str">
        <f>IF(A9908="","",VLOOKUP(A9908,AA_Equipos,8,FALSE))</f>
        <v/>
      </c>
      <c r="J9908" s="273"/>
      <c r="K9908" s="402"/>
      <c r="L9908" s="273"/>
      <c r="M9908" s="394" t="str">
        <f t="shared" si="1326"/>
        <v/>
      </c>
      <c r="N9908" s="273"/>
    </row>
    <row r="9909" spans="1:14" ht="12.75" customHeight="1" x14ac:dyDescent="0.2">
      <c r="A9909" s="400"/>
      <c r="B9909" s="271"/>
      <c r="C9909" s="271"/>
      <c r="D9909" s="271"/>
      <c r="E9909" s="271"/>
      <c r="F9909" s="271"/>
      <c r="G9909" s="273"/>
      <c r="H9909" s="29" t="str">
        <f>IF(A9909="","",VLOOKUP(A9909,AA_Equipos,7,FALSE))</f>
        <v/>
      </c>
      <c r="I9909" s="394" t="str">
        <f>IF(A9909="","",VLOOKUP(A9909,AA_Equipos,8,FALSE))</f>
        <v/>
      </c>
      <c r="J9909" s="273"/>
      <c r="K9909" s="401"/>
      <c r="L9909" s="273"/>
      <c r="M9909" s="394" t="str">
        <f t="shared" si="1326"/>
        <v/>
      </c>
      <c r="N9909" s="273"/>
    </row>
    <row r="9910" spans="1:14" ht="12.75" customHeight="1" x14ac:dyDescent="0.2">
      <c r="A9910" s="400"/>
      <c r="B9910" s="271"/>
      <c r="C9910" s="271"/>
      <c r="D9910" s="271"/>
      <c r="E9910" s="271"/>
      <c r="F9910" s="271"/>
      <c r="G9910" s="273"/>
      <c r="H9910" s="29" t="str">
        <f>IF(A9910="","",VLOOKUP(A9910,AA_Equipos,7,FALSE))</f>
        <v/>
      </c>
      <c r="I9910" s="394" t="str">
        <f>IF(A9910="","",VLOOKUP(A9910,AA_Equipos,8,FALSE))</f>
        <v/>
      </c>
      <c r="J9910" s="273"/>
      <c r="K9910" s="395"/>
      <c r="L9910" s="273"/>
      <c r="M9910" s="394" t="str">
        <f t="shared" si="1326"/>
        <v/>
      </c>
      <c r="N9910" s="273"/>
    </row>
    <row r="9911" spans="1:14" ht="12.75" customHeight="1" x14ac:dyDescent="0.2">
      <c r="A9911" s="400"/>
      <c r="B9911" s="271"/>
      <c r="C9911" s="271"/>
      <c r="D9911" s="271"/>
      <c r="E9911" s="271"/>
      <c r="F9911" s="271"/>
      <c r="G9911" s="273"/>
      <c r="H9911" s="29" t="str">
        <f>IF(A9911="","",VLOOKUP(A9911,AA_Equipos,7,FALSE))</f>
        <v/>
      </c>
      <c r="I9911" s="394" t="str">
        <f>IF(A9911="","",VLOOKUP(A9911,AA_Equipos,8,FALSE))</f>
        <v/>
      </c>
      <c r="J9911" s="273"/>
      <c r="K9911" s="395"/>
      <c r="L9911" s="273"/>
      <c r="M9911" s="394" t="str">
        <f t="shared" si="1326"/>
        <v/>
      </c>
      <c r="N9911" s="273"/>
    </row>
    <row r="9912" spans="1:14" ht="12.75" customHeight="1" x14ac:dyDescent="0.25">
      <c r="A9912" s="4"/>
      <c r="B9912" s="4"/>
      <c r="C9912" s="4"/>
      <c r="D9912" s="4"/>
      <c r="E9912" s="4"/>
      <c r="F9912" s="4"/>
      <c r="G9912" s="4"/>
      <c r="H9912" s="4"/>
      <c r="I9912" s="4"/>
      <c r="J9912" s="4"/>
      <c r="K9912" s="396" t="s">
        <v>444</v>
      </c>
      <c r="L9912" s="273"/>
      <c r="M9912" s="394">
        <f>SUM(M9907:N9911)</f>
        <v>1170.3814666666667</v>
      </c>
      <c r="N9912" s="273"/>
    </row>
    <row r="9913" spans="1:14" ht="12.75" customHeight="1" x14ac:dyDescent="0.25">
      <c r="A9913" s="4"/>
      <c r="B9913" s="4"/>
      <c r="C9913" s="4"/>
      <c r="D9913" s="4"/>
      <c r="E9913" s="4"/>
      <c r="F9913" s="4"/>
      <c r="G9913" s="4"/>
      <c r="H9913" s="4"/>
      <c r="I9913" s="4"/>
      <c r="J9913" s="4"/>
      <c r="K9913" s="4"/>
      <c r="L9913" s="4"/>
      <c r="M9913" s="4"/>
      <c r="N9913" s="4"/>
    </row>
    <row r="9914" spans="1:14" ht="12.75" customHeight="1" x14ac:dyDescent="0.2">
      <c r="A9914" s="398" t="s">
        <v>929</v>
      </c>
      <c r="B9914" s="271"/>
      <c r="C9914" s="271"/>
      <c r="D9914" s="271"/>
      <c r="E9914" s="271"/>
      <c r="F9914" s="271"/>
      <c r="G9914" s="271"/>
      <c r="H9914" s="271"/>
      <c r="I9914" s="271"/>
      <c r="J9914" s="271"/>
      <c r="K9914" s="271"/>
      <c r="L9914" s="271"/>
      <c r="M9914" s="271"/>
      <c r="N9914" s="273"/>
    </row>
    <row r="9915" spans="1:14" ht="12.75" customHeight="1" x14ac:dyDescent="0.2">
      <c r="A9915" s="396" t="s">
        <v>76</v>
      </c>
      <c r="B9915" s="271"/>
      <c r="C9915" s="271"/>
      <c r="D9915" s="271"/>
      <c r="E9915" s="271"/>
      <c r="F9915" s="271"/>
      <c r="G9915" s="273"/>
      <c r="H9915" s="88" t="s">
        <v>77</v>
      </c>
      <c r="I9915" s="399" t="s">
        <v>920</v>
      </c>
      <c r="J9915" s="273"/>
      <c r="K9915" s="399" t="s">
        <v>453</v>
      </c>
      <c r="L9915" s="273"/>
      <c r="M9915" s="399" t="s">
        <v>921</v>
      </c>
      <c r="N9915" s="273"/>
    </row>
    <row r="9916" spans="1:14" ht="12.75" customHeight="1" x14ac:dyDescent="0.2">
      <c r="A9916" s="400" t="s">
        <v>966</v>
      </c>
      <c r="B9916" s="271"/>
      <c r="C9916" s="271"/>
      <c r="D9916" s="271"/>
      <c r="E9916" s="271"/>
      <c r="F9916" s="271"/>
      <c r="G9916" s="273"/>
      <c r="H9916" s="29" t="s">
        <v>1025</v>
      </c>
      <c r="I9916" s="394">
        <f>+'precios '!$J$222</f>
        <v>2077.2367952644231</v>
      </c>
      <c r="J9916" s="273"/>
      <c r="K9916" s="417">
        <f>+Indice!$L$21</f>
        <v>49</v>
      </c>
      <c r="L9916" s="273"/>
      <c r="M9916" s="394">
        <f t="shared" ref="M9916:M9920" si="1327">IF(A9916="","",I9916*K9916)</f>
        <v>101784.60296795673</v>
      </c>
      <c r="N9916" s="273"/>
    </row>
    <row r="9917" spans="1:14" ht="12.75" customHeight="1" x14ac:dyDescent="0.2">
      <c r="A9917" s="403" t="s">
        <v>3174</v>
      </c>
      <c r="B9917" s="271"/>
      <c r="C9917" s="271"/>
      <c r="D9917" s="271"/>
      <c r="E9917" s="271"/>
      <c r="F9917" s="271"/>
      <c r="G9917" s="273"/>
      <c r="H9917" s="29" t="s">
        <v>24</v>
      </c>
      <c r="I9917" s="394">
        <f>+M9912</f>
        <v>1170.3814666666667</v>
      </c>
      <c r="J9917" s="273"/>
      <c r="K9917" s="404">
        <v>0.05</v>
      </c>
      <c r="L9917" s="273"/>
      <c r="M9917" s="394">
        <f t="shared" si="1327"/>
        <v>58.519073333333338</v>
      </c>
      <c r="N9917" s="273"/>
    </row>
    <row r="9918" spans="1:14" ht="12.75" customHeight="1" x14ac:dyDescent="0.2">
      <c r="A9918" s="400"/>
      <c r="B9918" s="271"/>
      <c r="C9918" s="271"/>
      <c r="D9918" s="271"/>
      <c r="E9918" s="271"/>
      <c r="F9918" s="271"/>
      <c r="G9918" s="273"/>
      <c r="H9918" s="29"/>
      <c r="I9918" s="394"/>
      <c r="J9918" s="273"/>
      <c r="K9918" s="395"/>
      <c r="L9918" s="273"/>
      <c r="M9918" s="394" t="str">
        <f t="shared" si="1327"/>
        <v/>
      </c>
      <c r="N9918" s="273"/>
    </row>
    <row r="9919" spans="1:14" ht="12.75" customHeight="1" x14ac:dyDescent="0.2">
      <c r="A9919" s="400"/>
      <c r="B9919" s="271"/>
      <c r="C9919" s="271"/>
      <c r="D9919" s="271"/>
      <c r="E9919" s="271"/>
      <c r="F9919" s="271"/>
      <c r="G9919" s="273"/>
      <c r="H9919" s="29"/>
      <c r="I9919" s="394"/>
      <c r="J9919" s="273"/>
      <c r="K9919" s="395"/>
      <c r="L9919" s="273"/>
      <c r="M9919" s="394" t="str">
        <f t="shared" si="1327"/>
        <v/>
      </c>
      <c r="N9919" s="273"/>
    </row>
    <row r="9920" spans="1:14" ht="12.75" customHeight="1" x14ac:dyDescent="0.2">
      <c r="A9920" s="400"/>
      <c r="B9920" s="271"/>
      <c r="C9920" s="271"/>
      <c r="D9920" s="271"/>
      <c r="E9920" s="271"/>
      <c r="F9920" s="271"/>
      <c r="G9920" s="273"/>
      <c r="H9920" s="29"/>
      <c r="I9920" s="394"/>
      <c r="J9920" s="273"/>
      <c r="K9920" s="395"/>
      <c r="L9920" s="273"/>
      <c r="M9920" s="394" t="str">
        <f t="shared" si="1327"/>
        <v/>
      </c>
      <c r="N9920" s="273"/>
    </row>
    <row r="9921" spans="1:15" ht="12.75" customHeight="1" x14ac:dyDescent="0.25">
      <c r="A9921" s="4"/>
      <c r="B9921" s="4"/>
      <c r="C9921" s="4"/>
      <c r="D9921" s="4"/>
      <c r="E9921" s="4"/>
      <c r="F9921" s="4"/>
      <c r="G9921" s="4"/>
      <c r="H9921" s="4"/>
      <c r="I9921" s="4"/>
      <c r="J9921" s="4"/>
      <c r="K9921" s="396" t="s">
        <v>444</v>
      </c>
      <c r="L9921" s="273"/>
      <c r="M9921" s="394">
        <f>SUM(M9916:N9920)</f>
        <v>101843.12204129006</v>
      </c>
      <c r="N9921" s="273"/>
    </row>
    <row r="9922" spans="1:15" ht="12.75" customHeight="1" x14ac:dyDescent="0.25">
      <c r="A9922" s="4"/>
      <c r="B9922" s="4"/>
      <c r="C9922" s="4"/>
      <c r="D9922" s="4"/>
      <c r="E9922" s="4"/>
      <c r="F9922" s="4"/>
      <c r="G9922" s="4"/>
      <c r="H9922" s="4"/>
      <c r="I9922" s="4"/>
      <c r="J9922" s="4"/>
      <c r="K9922" s="4"/>
      <c r="L9922" s="4"/>
      <c r="M9922" s="4"/>
      <c r="N9922" s="4"/>
    </row>
    <row r="9923" spans="1:15" ht="12.75" customHeight="1" x14ac:dyDescent="0.2">
      <c r="A9923" s="398" t="s">
        <v>931</v>
      </c>
      <c r="B9923" s="271"/>
      <c r="C9923" s="271"/>
      <c r="D9923" s="271"/>
      <c r="E9923" s="271"/>
      <c r="F9923" s="271"/>
      <c r="G9923" s="271"/>
      <c r="H9923" s="271"/>
      <c r="I9923" s="271"/>
      <c r="J9923" s="271"/>
      <c r="K9923" s="271"/>
      <c r="L9923" s="271"/>
      <c r="M9923" s="271"/>
      <c r="N9923" s="273"/>
    </row>
    <row r="9924" spans="1:15" ht="12.75" customHeight="1" x14ac:dyDescent="0.2">
      <c r="A9924" s="396" t="s">
        <v>76</v>
      </c>
      <c r="B9924" s="271"/>
      <c r="C9924" s="271"/>
      <c r="D9924" s="271"/>
      <c r="E9924" s="271"/>
      <c r="F9924" s="271"/>
      <c r="G9924" s="273"/>
      <c r="H9924" s="88" t="s">
        <v>77</v>
      </c>
      <c r="I9924" s="399" t="s">
        <v>920</v>
      </c>
      <c r="J9924" s="273"/>
      <c r="K9924" s="90" t="s">
        <v>514</v>
      </c>
      <c r="L9924" s="91" t="s">
        <v>932</v>
      </c>
      <c r="M9924" s="399" t="s">
        <v>921</v>
      </c>
      <c r="N9924" s="273"/>
    </row>
    <row r="9925" spans="1:15" ht="12.75" customHeight="1" x14ac:dyDescent="0.25">
      <c r="A9925" s="393" t="s">
        <v>951</v>
      </c>
      <c r="B9925" s="271"/>
      <c r="C9925" s="271"/>
      <c r="D9925" s="271"/>
      <c r="E9925" s="271"/>
      <c r="F9925" s="271"/>
      <c r="G9925" s="273"/>
      <c r="H9925" s="29" t="str">
        <f>IF(A9925="","",VLOOKUP(A9925,AA_Cuadrillas,4,FALSE))</f>
        <v>Cuadrilla</v>
      </c>
      <c r="I9925" s="394">
        <f>IF(A9925="","",VLOOKUP(A9925,AA_Cuadrillas,5,FALSE))</f>
        <v>186763</v>
      </c>
      <c r="J9925" s="273"/>
      <c r="K9925" s="9">
        <f>IF(A9925="","",F.P!$I$2)</f>
        <v>1.88</v>
      </c>
      <c r="L9925" s="97">
        <f>1/15</f>
        <v>6.6666666666666666E-2</v>
      </c>
      <c r="M9925" s="394">
        <f t="shared" ref="M9925:M9929" si="1328">IF(A9925="","",I9925*K9925*L9925)</f>
        <v>23407.629333333334</v>
      </c>
      <c r="N9925" s="273"/>
    </row>
    <row r="9926" spans="1:15" ht="12.75" customHeight="1" x14ac:dyDescent="0.25">
      <c r="A9926" s="393"/>
      <c r="B9926" s="271"/>
      <c r="C9926" s="271"/>
      <c r="D9926" s="271"/>
      <c r="E9926" s="271"/>
      <c r="F9926" s="271"/>
      <c r="G9926" s="273"/>
      <c r="H9926" s="29" t="str">
        <f>IF(A9926="","",VLOOKUP(A9926,AA_Cuadrillas,4,FALSE))</f>
        <v/>
      </c>
      <c r="I9926" s="394" t="str">
        <f>IF(A9926="","",VLOOKUP(A9926,AA_Cuadrillas,5,FALSE))</f>
        <v/>
      </c>
      <c r="J9926" s="273"/>
      <c r="K9926" s="9" t="str">
        <f>IF(A9926="","",F.P!$I$2)</f>
        <v/>
      </c>
      <c r="L9926" s="9"/>
      <c r="M9926" s="394" t="str">
        <f t="shared" si="1328"/>
        <v/>
      </c>
      <c r="N9926" s="273"/>
    </row>
    <row r="9927" spans="1:15" ht="12.75" customHeight="1" x14ac:dyDescent="0.25">
      <c r="A9927" s="393"/>
      <c r="B9927" s="271"/>
      <c r="C9927" s="271"/>
      <c r="D9927" s="271"/>
      <c r="E9927" s="271"/>
      <c r="F9927" s="271"/>
      <c r="G9927" s="273"/>
      <c r="H9927" s="29" t="str">
        <f>IF(A9927="","",VLOOKUP(A9927,AA_Cuadrillas,4,FALSE))</f>
        <v/>
      </c>
      <c r="I9927" s="394" t="str">
        <f>IF(A9927="","",VLOOKUP(A9927,AA_Cuadrillas,5,FALSE))</f>
        <v/>
      </c>
      <c r="J9927" s="273"/>
      <c r="K9927" s="9" t="str">
        <f>IF(A9927="","",F.P!$I$2)</f>
        <v/>
      </c>
      <c r="L9927" s="37"/>
      <c r="M9927" s="394" t="str">
        <f t="shared" si="1328"/>
        <v/>
      </c>
      <c r="N9927" s="273"/>
    </row>
    <row r="9928" spans="1:15" ht="12.75" customHeight="1" x14ac:dyDescent="0.25">
      <c r="A9928" s="393"/>
      <c r="B9928" s="271"/>
      <c r="C9928" s="271"/>
      <c r="D9928" s="271"/>
      <c r="E9928" s="271"/>
      <c r="F9928" s="271"/>
      <c r="G9928" s="273"/>
      <c r="H9928" s="29" t="str">
        <f>IF(A9928="","",VLOOKUP(A9928,AA_Cuadrillas,4,FALSE))</f>
        <v/>
      </c>
      <c r="I9928" s="394" t="str">
        <f>IF(A9928="","",VLOOKUP(A9928,AA_Cuadrillas,5,FALSE))</f>
        <v/>
      </c>
      <c r="J9928" s="273"/>
      <c r="K9928" s="9" t="str">
        <f>IF(A9928="","",F.P!$I$2)</f>
        <v/>
      </c>
      <c r="L9928" s="37"/>
      <c r="M9928" s="394" t="str">
        <f t="shared" si="1328"/>
        <v/>
      </c>
      <c r="N9928" s="273"/>
    </row>
    <row r="9929" spans="1:15" ht="12.75" customHeight="1" x14ac:dyDescent="0.25">
      <c r="A9929" s="393"/>
      <c r="B9929" s="271"/>
      <c r="C9929" s="271"/>
      <c r="D9929" s="271"/>
      <c r="E9929" s="271"/>
      <c r="F9929" s="271"/>
      <c r="G9929" s="273"/>
      <c r="H9929" s="29" t="str">
        <f>IF(A9929="","",VLOOKUP(A9929,AA_Cuadrillas,4,FALSE))</f>
        <v/>
      </c>
      <c r="I9929" s="394" t="str">
        <f>IF(A9929="","",VLOOKUP(A9929,AA_Cuadrillas,5,FALSE))</f>
        <v/>
      </c>
      <c r="J9929" s="273"/>
      <c r="K9929" s="9" t="str">
        <f>IF(A9929="","",F.P!$I$2)</f>
        <v/>
      </c>
      <c r="L9929" s="37"/>
      <c r="M9929" s="394" t="str">
        <f t="shared" si="1328"/>
        <v/>
      </c>
      <c r="N9929" s="273"/>
    </row>
    <row r="9930" spans="1:15" ht="12.75" customHeight="1" x14ac:dyDescent="0.25">
      <c r="A9930" s="4"/>
      <c r="B9930" s="4"/>
      <c r="C9930" s="4"/>
      <c r="D9930" s="4"/>
      <c r="E9930" s="4"/>
      <c r="F9930" s="4"/>
      <c r="G9930" s="4"/>
      <c r="H9930" s="4"/>
      <c r="I9930" s="4"/>
      <c r="J9930" s="4"/>
      <c r="K9930" s="396" t="s">
        <v>444</v>
      </c>
      <c r="L9930" s="273"/>
      <c r="M9930" s="394">
        <f>SUM(M9925:N9929)</f>
        <v>23407.629333333334</v>
      </c>
      <c r="N9930" s="273"/>
    </row>
    <row r="9931" spans="1:15" ht="12.75" customHeight="1" x14ac:dyDescent="0.2"/>
    <row r="9932" spans="1:15" ht="12.75" customHeight="1" x14ac:dyDescent="0.2">
      <c r="A9932" s="407" t="s">
        <v>1486</v>
      </c>
      <c r="B9932" s="275"/>
      <c r="C9932" s="275"/>
      <c r="D9932" s="275"/>
      <c r="E9932" s="275"/>
      <c r="F9932" s="275"/>
      <c r="G9932" s="275"/>
      <c r="H9932" s="275"/>
      <c r="I9932" s="275"/>
      <c r="J9932" s="275"/>
      <c r="K9932" s="275"/>
      <c r="L9932" s="275"/>
      <c r="M9932" s="275"/>
      <c r="N9932" s="276"/>
      <c r="O9932" s="166"/>
    </row>
    <row r="9933" spans="1:15" ht="12.75" customHeight="1" x14ac:dyDescent="0.2">
      <c r="A9933" s="277"/>
      <c r="B9933" s="278"/>
      <c r="C9933" s="278"/>
      <c r="D9933" s="278"/>
      <c r="E9933" s="278"/>
      <c r="F9933" s="278"/>
      <c r="G9933" s="278"/>
      <c r="H9933" s="278"/>
      <c r="I9933" s="278"/>
      <c r="J9933" s="278"/>
      <c r="K9933" s="278"/>
      <c r="L9933" s="278"/>
      <c r="M9933" s="278"/>
      <c r="N9933" s="279"/>
      <c r="O9933" s="166"/>
    </row>
    <row r="9934" spans="1:15" ht="12.75" customHeight="1" x14ac:dyDescent="0.2">
      <c r="A9934" s="75"/>
      <c r="B9934" s="75"/>
      <c r="C9934" s="75"/>
      <c r="D9934" s="75"/>
      <c r="E9934" s="75"/>
      <c r="F9934" s="75"/>
      <c r="G9934" s="75"/>
      <c r="H9934" s="75"/>
      <c r="I9934" s="75"/>
      <c r="J9934" s="75"/>
      <c r="K9934" s="75"/>
      <c r="L9934" s="75"/>
      <c r="M9934" s="75"/>
      <c r="N9934" s="75"/>
    </row>
    <row r="9935" spans="1:15" ht="12.75" customHeight="1" x14ac:dyDescent="0.3">
      <c r="A9935" s="79" t="s">
        <v>832</v>
      </c>
      <c r="B9935" s="80" t="str">
        <f>A9932</f>
        <v>SUMINISTRO DE MANGUERA PEAD DE Ø1/2" PARA ACOMETIDA RDE 9</v>
      </c>
      <c r="C9935" s="81" t="s">
        <v>916</v>
      </c>
      <c r="D9935" s="82" t="s">
        <v>981</v>
      </c>
      <c r="E9935" s="83" t="s">
        <v>445</v>
      </c>
      <c r="F9935" s="86">
        <f>H9935+J9935+L9935+N9935</f>
        <v>4347.5213250000006</v>
      </c>
      <c r="G9935" s="83" t="s">
        <v>607</v>
      </c>
      <c r="H9935" s="86">
        <f>M9953</f>
        <v>0</v>
      </c>
      <c r="I9935" s="83" t="s">
        <v>918</v>
      </c>
      <c r="J9935" s="86">
        <f>M9944</f>
        <v>4140.4965000000002</v>
      </c>
      <c r="K9935" s="83" t="s">
        <v>609</v>
      </c>
      <c r="L9935" s="86">
        <f>M9962</f>
        <v>207.02482500000002</v>
      </c>
      <c r="M9935" s="83" t="s">
        <v>610</v>
      </c>
      <c r="N9935" s="86">
        <f>M9971</f>
        <v>0</v>
      </c>
      <c r="O9935" s="221" t="s">
        <v>3222</v>
      </c>
    </row>
    <row r="9936" spans="1:15" ht="12.75" customHeight="1" x14ac:dyDescent="0.25">
      <c r="A9936" s="87"/>
      <c r="B9936" s="87"/>
      <c r="C9936" s="87"/>
      <c r="D9936" s="87"/>
      <c r="E9936" s="87"/>
      <c r="F9936" s="87"/>
      <c r="G9936" s="87"/>
      <c r="J9936" s="87"/>
      <c r="K9936" s="215" t="s">
        <v>3217</v>
      </c>
      <c r="L9936" s="215">
        <f>+F9935*presup!$O$5</f>
        <v>5651.7777225000009</v>
      </c>
      <c r="M9936" s="87"/>
      <c r="N9936" s="87"/>
    </row>
    <row r="9937" spans="1:14" ht="12.75" customHeight="1" x14ac:dyDescent="0.2">
      <c r="A9937" s="398" t="s">
        <v>919</v>
      </c>
      <c r="B9937" s="271"/>
      <c r="C9937" s="271"/>
      <c r="D9937" s="271"/>
      <c r="E9937" s="271"/>
      <c r="F9937" s="271"/>
      <c r="G9937" s="271"/>
      <c r="H9937" s="271"/>
      <c r="I9937" s="271"/>
      <c r="J9937" s="271"/>
      <c r="K9937" s="271"/>
      <c r="L9937" s="271"/>
      <c r="M9937" s="271"/>
      <c r="N9937" s="273"/>
    </row>
    <row r="9938" spans="1:14" ht="12.75" customHeight="1" x14ac:dyDescent="0.2">
      <c r="A9938" s="396" t="s">
        <v>76</v>
      </c>
      <c r="B9938" s="271"/>
      <c r="C9938" s="271"/>
      <c r="D9938" s="271"/>
      <c r="E9938" s="271"/>
      <c r="F9938" s="271"/>
      <c r="G9938" s="273"/>
      <c r="H9938" s="88" t="s">
        <v>77</v>
      </c>
      <c r="I9938" s="399" t="s">
        <v>920</v>
      </c>
      <c r="J9938" s="273"/>
      <c r="K9938" s="399" t="s">
        <v>453</v>
      </c>
      <c r="L9938" s="273"/>
      <c r="M9938" s="399" t="s">
        <v>921</v>
      </c>
      <c r="N9938" s="273"/>
    </row>
    <row r="9939" spans="1:14" ht="12.75" customHeight="1" x14ac:dyDescent="0.2">
      <c r="A9939" s="400" t="s">
        <v>1487</v>
      </c>
      <c r="B9939" s="271"/>
      <c r="C9939" s="271"/>
      <c r="D9939" s="271"/>
      <c r="E9939" s="271"/>
      <c r="F9939" s="271"/>
      <c r="G9939" s="273"/>
      <c r="H9939" s="29" t="str">
        <f>IF(A9939="","",VLOOKUP(A9939,AA_Materiales,7,FALSE))</f>
        <v>ml</v>
      </c>
      <c r="I9939" s="394">
        <f>IF(A9939="","",VLOOKUP(A9939,AA_Materiales,8,FALSE))</f>
        <v>3943.33</v>
      </c>
      <c r="J9939" s="273"/>
      <c r="K9939" s="395">
        <v>1.05</v>
      </c>
      <c r="L9939" s="273"/>
      <c r="M9939" s="394">
        <f>IF(A9939="","",I9939*K9939)</f>
        <v>4140.4965000000002</v>
      </c>
      <c r="N9939" s="273"/>
    </row>
    <row r="9940" spans="1:14" ht="12.75" customHeight="1" x14ac:dyDescent="0.2">
      <c r="A9940" s="400"/>
      <c r="B9940" s="271"/>
      <c r="C9940" s="271"/>
      <c r="D9940" s="271"/>
      <c r="E9940" s="271"/>
      <c r="F9940" s="271"/>
      <c r="G9940" s="273"/>
      <c r="H9940" s="29"/>
      <c r="I9940" s="394"/>
      <c r="J9940" s="273"/>
      <c r="K9940" s="395"/>
      <c r="L9940" s="273"/>
      <c r="M9940" s="394"/>
      <c r="N9940" s="273"/>
    </row>
    <row r="9941" spans="1:14" ht="12.75" customHeight="1" x14ac:dyDescent="0.2">
      <c r="A9941" s="400"/>
      <c r="B9941" s="271"/>
      <c r="C9941" s="271"/>
      <c r="D9941" s="271"/>
      <c r="E9941" s="271"/>
      <c r="F9941" s="271"/>
      <c r="G9941" s="273"/>
      <c r="H9941" s="29"/>
      <c r="I9941" s="394"/>
      <c r="J9941" s="273"/>
      <c r="K9941" s="395"/>
      <c r="L9941" s="273"/>
      <c r="M9941" s="394"/>
      <c r="N9941" s="273"/>
    </row>
    <row r="9942" spans="1:14" ht="12.75" customHeight="1" x14ac:dyDescent="0.2">
      <c r="A9942" s="400"/>
      <c r="B9942" s="271"/>
      <c r="C9942" s="271"/>
      <c r="D9942" s="271"/>
      <c r="E9942" s="271"/>
      <c r="F9942" s="271"/>
      <c r="G9942" s="273"/>
      <c r="H9942" s="29"/>
      <c r="I9942" s="394"/>
      <c r="J9942" s="273"/>
      <c r="K9942" s="395"/>
      <c r="L9942" s="273"/>
      <c r="M9942" s="394"/>
      <c r="N9942" s="273"/>
    </row>
    <row r="9943" spans="1:14" ht="12.75" customHeight="1" x14ac:dyDescent="0.2">
      <c r="A9943" s="400"/>
      <c r="B9943" s="271"/>
      <c r="C9943" s="271"/>
      <c r="D9943" s="271"/>
      <c r="E9943" s="271"/>
      <c r="F9943" s="271"/>
      <c r="G9943" s="273"/>
      <c r="H9943" s="29" t="str">
        <f>IF(A9943="","",VLOOKUP(A9943,AA_Materiales,7,FALSE))</f>
        <v/>
      </c>
      <c r="I9943" s="394" t="str">
        <f>IF(A9943="","",VLOOKUP(A9943,AA_Materiales,8,FALSE))</f>
        <v/>
      </c>
      <c r="J9943" s="273"/>
      <c r="K9943" s="395"/>
      <c r="L9943" s="273"/>
      <c r="M9943" s="394" t="str">
        <f>IF(A9943="","",I9943*K9943)</f>
        <v/>
      </c>
      <c r="N9943" s="273"/>
    </row>
    <row r="9944" spans="1:14" ht="12.75" customHeight="1" x14ac:dyDescent="0.25">
      <c r="A9944" s="4"/>
      <c r="B9944" s="4"/>
      <c r="C9944" s="4"/>
      <c r="D9944" s="4"/>
      <c r="E9944" s="4"/>
      <c r="F9944" s="4"/>
      <c r="G9944" s="4"/>
      <c r="H9944" s="4"/>
      <c r="I9944" s="4"/>
      <c r="J9944" s="4"/>
      <c r="K9944" s="396" t="s">
        <v>444</v>
      </c>
      <c r="L9944" s="273"/>
      <c r="M9944" s="394">
        <f>SUM(M9939:N9943)</f>
        <v>4140.4965000000002</v>
      </c>
      <c r="N9944" s="273"/>
    </row>
    <row r="9945" spans="1:14" ht="12.75" customHeight="1" x14ac:dyDescent="0.25">
      <c r="A9945" s="4"/>
      <c r="B9945" s="4"/>
      <c r="C9945" s="4"/>
      <c r="D9945" s="4"/>
      <c r="E9945" s="4"/>
      <c r="F9945" s="4"/>
      <c r="G9945" s="4"/>
      <c r="H9945" s="4"/>
      <c r="I9945" s="4"/>
      <c r="J9945" s="4"/>
      <c r="K9945" s="4"/>
      <c r="L9945" s="4"/>
      <c r="M9945" s="4"/>
      <c r="N9945" s="4"/>
    </row>
    <row r="9946" spans="1:14" ht="12.75" customHeight="1" x14ac:dyDescent="0.2">
      <c r="A9946" s="398" t="s">
        <v>926</v>
      </c>
      <c r="B9946" s="271"/>
      <c r="C9946" s="271"/>
      <c r="D9946" s="271"/>
      <c r="E9946" s="271"/>
      <c r="F9946" s="271"/>
      <c r="G9946" s="271"/>
      <c r="H9946" s="271"/>
      <c r="I9946" s="271"/>
      <c r="J9946" s="271"/>
      <c r="K9946" s="271"/>
      <c r="L9946" s="271"/>
      <c r="M9946" s="271"/>
      <c r="N9946" s="273"/>
    </row>
    <row r="9947" spans="1:14" ht="12.75" customHeight="1" x14ac:dyDescent="0.2">
      <c r="A9947" s="396" t="s">
        <v>76</v>
      </c>
      <c r="B9947" s="271"/>
      <c r="C9947" s="271"/>
      <c r="D9947" s="271"/>
      <c r="E9947" s="271"/>
      <c r="F9947" s="271"/>
      <c r="G9947" s="273"/>
      <c r="H9947" s="88" t="s">
        <v>77</v>
      </c>
      <c r="I9947" s="399" t="s">
        <v>920</v>
      </c>
      <c r="J9947" s="273"/>
      <c r="K9947" s="399" t="s">
        <v>453</v>
      </c>
      <c r="L9947" s="273"/>
      <c r="M9947" s="399" t="s">
        <v>921</v>
      </c>
      <c r="N9947" s="273"/>
    </row>
    <row r="9948" spans="1:14" ht="12.75" customHeight="1" x14ac:dyDescent="0.2">
      <c r="A9948" s="400"/>
      <c r="B9948" s="271"/>
      <c r="C9948" s="271"/>
      <c r="D9948" s="271"/>
      <c r="E9948" s="271"/>
      <c r="F9948" s="271"/>
      <c r="G9948" s="273"/>
      <c r="H9948" s="29" t="str">
        <f>IF(A9948="","",VLOOKUP(A9948,AA_Equipos,7,FALSE))</f>
        <v/>
      </c>
      <c r="I9948" s="394"/>
      <c r="J9948" s="273"/>
      <c r="K9948" s="395"/>
      <c r="L9948" s="273"/>
      <c r="M9948" s="394" t="str">
        <f t="shared" ref="M9948:M9952" si="1329">IF(A9948="","",I9948*K9948)</f>
        <v/>
      </c>
      <c r="N9948" s="273"/>
    </row>
    <row r="9949" spans="1:14" ht="12.75" customHeight="1" x14ac:dyDescent="0.2">
      <c r="A9949" s="403"/>
      <c r="B9949" s="271"/>
      <c r="C9949" s="271"/>
      <c r="D9949" s="271"/>
      <c r="E9949" s="271"/>
      <c r="F9949" s="271"/>
      <c r="G9949" s="273"/>
      <c r="H9949" s="29" t="str">
        <f>IF(A9949="","",VLOOKUP(A9949,AA_Equipos,7,FALSE))</f>
        <v/>
      </c>
      <c r="I9949" s="394" t="str">
        <f>IF(A9949="","",VLOOKUP(A9949,AA_Equipos,8,FALSE))</f>
        <v/>
      </c>
      <c r="J9949" s="273"/>
      <c r="K9949" s="402"/>
      <c r="L9949" s="273"/>
      <c r="M9949" s="394" t="str">
        <f t="shared" si="1329"/>
        <v/>
      </c>
      <c r="N9949" s="273"/>
    </row>
    <row r="9950" spans="1:14" ht="12.75" customHeight="1" x14ac:dyDescent="0.2">
      <c r="A9950" s="400"/>
      <c r="B9950" s="271"/>
      <c r="C9950" s="271"/>
      <c r="D9950" s="271"/>
      <c r="E9950" s="271"/>
      <c r="F9950" s="271"/>
      <c r="G9950" s="273"/>
      <c r="H9950" s="29" t="str">
        <f>IF(A9950="","",VLOOKUP(A9950,AA_Equipos,7,FALSE))</f>
        <v/>
      </c>
      <c r="I9950" s="394" t="str">
        <f>IF(A9950="","",VLOOKUP(A9950,AA_Equipos,8,FALSE))</f>
        <v/>
      </c>
      <c r="J9950" s="273"/>
      <c r="K9950" s="395"/>
      <c r="L9950" s="273"/>
      <c r="M9950" s="394" t="str">
        <f t="shared" si="1329"/>
        <v/>
      </c>
      <c r="N9950" s="273"/>
    </row>
    <row r="9951" spans="1:14" ht="12.75" customHeight="1" x14ac:dyDescent="0.2">
      <c r="A9951" s="400"/>
      <c r="B9951" s="271"/>
      <c r="C9951" s="271"/>
      <c r="D9951" s="271"/>
      <c r="E9951" s="271"/>
      <c r="F9951" s="271"/>
      <c r="G9951" s="273"/>
      <c r="H9951" s="29" t="str">
        <f>IF(A9951="","",VLOOKUP(A9951,AA_Equipos,7,FALSE))</f>
        <v/>
      </c>
      <c r="I9951" s="394" t="str">
        <f>IF(A9951="","",VLOOKUP(A9951,AA_Equipos,8,FALSE))</f>
        <v/>
      </c>
      <c r="J9951" s="273"/>
      <c r="K9951" s="395"/>
      <c r="L9951" s="273"/>
      <c r="M9951" s="394" t="str">
        <f t="shared" si="1329"/>
        <v/>
      </c>
      <c r="N9951" s="273"/>
    </row>
    <row r="9952" spans="1:14" ht="12.75" customHeight="1" x14ac:dyDescent="0.2">
      <c r="A9952" s="400"/>
      <c r="B9952" s="271"/>
      <c r="C9952" s="271"/>
      <c r="D9952" s="271"/>
      <c r="E9952" s="271"/>
      <c r="F9952" s="271"/>
      <c r="G9952" s="273"/>
      <c r="H9952" s="29" t="str">
        <f>IF(A9952="","",VLOOKUP(A9952,AA_Equipos,7,FALSE))</f>
        <v/>
      </c>
      <c r="I9952" s="394" t="str">
        <f>IF(A9952="","",VLOOKUP(A9952,AA_Equipos,8,FALSE))</f>
        <v/>
      </c>
      <c r="J9952" s="273"/>
      <c r="K9952" s="395"/>
      <c r="L9952" s="273"/>
      <c r="M9952" s="394" t="str">
        <f t="shared" si="1329"/>
        <v/>
      </c>
      <c r="N9952" s="273"/>
    </row>
    <row r="9953" spans="1:14" ht="12.75" customHeight="1" x14ac:dyDescent="0.25">
      <c r="A9953" s="4"/>
      <c r="B9953" s="4"/>
      <c r="C9953" s="4"/>
      <c r="D9953" s="4"/>
      <c r="E9953" s="4"/>
      <c r="F9953" s="4"/>
      <c r="G9953" s="4"/>
      <c r="H9953" s="4"/>
      <c r="I9953" s="4"/>
      <c r="J9953" s="4"/>
      <c r="K9953" s="396" t="s">
        <v>444</v>
      </c>
      <c r="L9953" s="273"/>
      <c r="M9953" s="394">
        <f>SUM(M9948:N9952)</f>
        <v>0</v>
      </c>
      <c r="N9953" s="273"/>
    </row>
    <row r="9954" spans="1:14" ht="12.75" customHeight="1" x14ac:dyDescent="0.25">
      <c r="A9954" s="4"/>
      <c r="B9954" s="4"/>
      <c r="C9954" s="4"/>
      <c r="D9954" s="4"/>
      <c r="E9954" s="4"/>
      <c r="F9954" s="4"/>
      <c r="G9954" s="4"/>
      <c r="H9954" s="4"/>
      <c r="I9954" s="4"/>
      <c r="J9954" s="4"/>
      <c r="K9954" s="4"/>
      <c r="L9954" s="4"/>
      <c r="M9954" s="4"/>
      <c r="N9954" s="4"/>
    </row>
    <row r="9955" spans="1:14" ht="12.75" customHeight="1" x14ac:dyDescent="0.2">
      <c r="A9955" s="398" t="s">
        <v>929</v>
      </c>
      <c r="B9955" s="271"/>
      <c r="C9955" s="271"/>
      <c r="D9955" s="271"/>
      <c r="E9955" s="271"/>
      <c r="F9955" s="271"/>
      <c r="G9955" s="271"/>
      <c r="H9955" s="271"/>
      <c r="I9955" s="271"/>
      <c r="J9955" s="271"/>
      <c r="K9955" s="271"/>
      <c r="L9955" s="271"/>
      <c r="M9955" s="271"/>
      <c r="N9955" s="273"/>
    </row>
    <row r="9956" spans="1:14" ht="12.75" customHeight="1" x14ac:dyDescent="0.2">
      <c r="A9956" s="396" t="s">
        <v>76</v>
      </c>
      <c r="B9956" s="271"/>
      <c r="C9956" s="271"/>
      <c r="D9956" s="271"/>
      <c r="E9956" s="271"/>
      <c r="F9956" s="271"/>
      <c r="G9956" s="273"/>
      <c r="H9956" s="88" t="s">
        <v>77</v>
      </c>
      <c r="I9956" s="399" t="s">
        <v>920</v>
      </c>
      <c r="J9956" s="273"/>
      <c r="K9956" s="399" t="s">
        <v>453</v>
      </c>
      <c r="L9956" s="273"/>
      <c r="M9956" s="399" t="s">
        <v>921</v>
      </c>
      <c r="N9956" s="273"/>
    </row>
    <row r="9957" spans="1:14" ht="12.75" customHeight="1" x14ac:dyDescent="0.2">
      <c r="A9957" s="403" t="s">
        <v>966</v>
      </c>
      <c r="B9957" s="271"/>
      <c r="C9957" s="271"/>
      <c r="D9957" s="271"/>
      <c r="E9957" s="271"/>
      <c r="F9957" s="271"/>
      <c r="G9957" s="273"/>
      <c r="H9957" s="29" t="s">
        <v>950</v>
      </c>
      <c r="I9957" s="394">
        <f>+M9944</f>
        <v>4140.4965000000002</v>
      </c>
      <c r="J9957" s="273"/>
      <c r="K9957" s="404">
        <v>0.05</v>
      </c>
      <c r="L9957" s="273"/>
      <c r="M9957" s="394">
        <f t="shared" ref="M9957:M9961" si="1330">IF(A9957="","",I9957*K9957)</f>
        <v>207.02482500000002</v>
      </c>
      <c r="N9957" s="273"/>
    </row>
    <row r="9958" spans="1:14" ht="12.75" customHeight="1" x14ac:dyDescent="0.2">
      <c r="A9958" s="403"/>
      <c r="B9958" s="271"/>
      <c r="C9958" s="271"/>
      <c r="D9958" s="271"/>
      <c r="E9958" s="271"/>
      <c r="F9958" s="271"/>
      <c r="G9958" s="273"/>
      <c r="H9958" s="29"/>
      <c r="I9958" s="394"/>
      <c r="J9958" s="273"/>
      <c r="K9958" s="404"/>
      <c r="L9958" s="273"/>
      <c r="M9958" s="394" t="str">
        <f t="shared" si="1330"/>
        <v/>
      </c>
      <c r="N9958" s="273"/>
    </row>
    <row r="9959" spans="1:14" ht="12.75" customHeight="1" x14ac:dyDescent="0.2">
      <c r="A9959" s="400"/>
      <c r="B9959" s="271"/>
      <c r="C9959" s="271"/>
      <c r="D9959" s="271"/>
      <c r="E9959" s="271"/>
      <c r="F9959" s="271"/>
      <c r="G9959" s="273"/>
      <c r="H9959" s="29"/>
      <c r="I9959" s="394"/>
      <c r="J9959" s="273"/>
      <c r="K9959" s="395"/>
      <c r="L9959" s="273"/>
      <c r="M9959" s="394" t="str">
        <f t="shared" si="1330"/>
        <v/>
      </c>
      <c r="N9959" s="273"/>
    </row>
    <row r="9960" spans="1:14" ht="12.75" customHeight="1" x14ac:dyDescent="0.2">
      <c r="A9960" s="400"/>
      <c r="B9960" s="271"/>
      <c r="C9960" s="271"/>
      <c r="D9960" s="271"/>
      <c r="E9960" s="271"/>
      <c r="F9960" s="271"/>
      <c r="G9960" s="273"/>
      <c r="H9960" s="29"/>
      <c r="I9960" s="394"/>
      <c r="J9960" s="273"/>
      <c r="K9960" s="395"/>
      <c r="L9960" s="273"/>
      <c r="M9960" s="394" t="str">
        <f t="shared" si="1330"/>
        <v/>
      </c>
      <c r="N9960" s="273"/>
    </row>
    <row r="9961" spans="1:14" ht="12.75" customHeight="1" x14ac:dyDescent="0.2">
      <c r="A9961" s="400"/>
      <c r="B9961" s="271"/>
      <c r="C9961" s="271"/>
      <c r="D9961" s="271"/>
      <c r="E9961" s="271"/>
      <c r="F9961" s="271"/>
      <c r="G9961" s="273"/>
      <c r="H9961" s="29"/>
      <c r="I9961" s="394"/>
      <c r="J9961" s="273"/>
      <c r="K9961" s="395"/>
      <c r="L9961" s="273"/>
      <c r="M9961" s="394" t="str">
        <f t="shared" si="1330"/>
        <v/>
      </c>
      <c r="N9961" s="273"/>
    </row>
    <row r="9962" spans="1:14" ht="12.75" customHeight="1" x14ac:dyDescent="0.25">
      <c r="A9962" s="4"/>
      <c r="B9962" s="4"/>
      <c r="C9962" s="4"/>
      <c r="D9962" s="4"/>
      <c r="E9962" s="4"/>
      <c r="F9962" s="4"/>
      <c r="G9962" s="4"/>
      <c r="H9962" s="4"/>
      <c r="I9962" s="4"/>
      <c r="J9962" s="4"/>
      <c r="K9962" s="396" t="s">
        <v>444</v>
      </c>
      <c r="L9962" s="273"/>
      <c r="M9962" s="394">
        <f>SUM(M9957:N9961)</f>
        <v>207.02482500000002</v>
      </c>
      <c r="N9962" s="273"/>
    </row>
    <row r="9963" spans="1:14" ht="12.75" customHeight="1" x14ac:dyDescent="0.25">
      <c r="A9963" s="4"/>
      <c r="B9963" s="4"/>
      <c r="C9963" s="4"/>
      <c r="D9963" s="4"/>
      <c r="E9963" s="4"/>
      <c r="F9963" s="4"/>
      <c r="G9963" s="4"/>
      <c r="H9963" s="4"/>
      <c r="I9963" s="4"/>
      <c r="J9963" s="4"/>
      <c r="K9963" s="4"/>
      <c r="L9963" s="4"/>
      <c r="M9963" s="4"/>
      <c r="N9963" s="4"/>
    </row>
    <row r="9964" spans="1:14" ht="12.75" customHeight="1" x14ac:dyDescent="0.2">
      <c r="A9964" s="398" t="s">
        <v>931</v>
      </c>
      <c r="B9964" s="271"/>
      <c r="C9964" s="271"/>
      <c r="D9964" s="271"/>
      <c r="E9964" s="271"/>
      <c r="F9964" s="271"/>
      <c r="G9964" s="271"/>
      <c r="H9964" s="271"/>
      <c r="I9964" s="271"/>
      <c r="J9964" s="271"/>
      <c r="K9964" s="271"/>
      <c r="L9964" s="271"/>
      <c r="M9964" s="271"/>
      <c r="N9964" s="273"/>
    </row>
    <row r="9965" spans="1:14" ht="12.75" customHeight="1" x14ac:dyDescent="0.2">
      <c r="A9965" s="396" t="s">
        <v>76</v>
      </c>
      <c r="B9965" s="271"/>
      <c r="C9965" s="271"/>
      <c r="D9965" s="271"/>
      <c r="E9965" s="271"/>
      <c r="F9965" s="271"/>
      <c r="G9965" s="273"/>
      <c r="H9965" s="88" t="s">
        <v>77</v>
      </c>
      <c r="I9965" s="399" t="s">
        <v>920</v>
      </c>
      <c r="J9965" s="273"/>
      <c r="K9965" s="90" t="s">
        <v>514</v>
      </c>
      <c r="L9965" s="91" t="s">
        <v>932</v>
      </c>
      <c r="M9965" s="399" t="s">
        <v>921</v>
      </c>
      <c r="N9965" s="273"/>
    </row>
    <row r="9966" spans="1:14" ht="12.75" customHeight="1" x14ac:dyDescent="0.25">
      <c r="A9966" s="393"/>
      <c r="B9966" s="271"/>
      <c r="C9966" s="271"/>
      <c r="D9966" s="271"/>
      <c r="E9966" s="271"/>
      <c r="F9966" s="271"/>
      <c r="G9966" s="273"/>
      <c r="H9966" s="29" t="str">
        <f>IF(A9966="","",VLOOKUP(A9966,AA_Cuadrillas,4,FALSE))</f>
        <v/>
      </c>
      <c r="I9966" s="394" t="str">
        <f>IF(A9966="","",VLOOKUP(A9966,AA_Cuadrillas,5,FALSE))</f>
        <v/>
      </c>
      <c r="J9966" s="273"/>
      <c r="K9966" s="9" t="str">
        <f>IF(A9966="","",F.P!$I$2)</f>
        <v/>
      </c>
      <c r="L9966" s="93"/>
      <c r="M9966" s="394" t="str">
        <f t="shared" ref="M9966:M9970" si="1331">IF(A9966="","",I9966*K9966*L9966)</f>
        <v/>
      </c>
      <c r="N9966" s="273"/>
    </row>
    <row r="9967" spans="1:14" ht="12.75" customHeight="1" x14ac:dyDescent="0.25">
      <c r="A9967" s="393"/>
      <c r="B9967" s="271"/>
      <c r="C9967" s="271"/>
      <c r="D9967" s="271"/>
      <c r="E9967" s="271"/>
      <c r="F9967" s="271"/>
      <c r="G9967" s="273"/>
      <c r="H9967" s="29" t="str">
        <f>IF(A9967="","",VLOOKUP(A9967,AA_Cuadrillas,4,FALSE))</f>
        <v/>
      </c>
      <c r="I9967" s="394" t="str">
        <f>IF(A9967="","",VLOOKUP(A9967,AA_Cuadrillas,5,FALSE))</f>
        <v/>
      </c>
      <c r="J9967" s="273"/>
      <c r="K9967" s="9" t="str">
        <f>IF(A9967="","",F.P!$I$2)</f>
        <v/>
      </c>
      <c r="L9967" s="9"/>
      <c r="M9967" s="394" t="str">
        <f t="shared" si="1331"/>
        <v/>
      </c>
      <c r="N9967" s="273"/>
    </row>
    <row r="9968" spans="1:14" ht="12.75" customHeight="1" x14ac:dyDescent="0.25">
      <c r="A9968" s="393"/>
      <c r="B9968" s="271"/>
      <c r="C9968" s="271"/>
      <c r="D9968" s="271"/>
      <c r="E9968" s="271"/>
      <c r="F9968" s="271"/>
      <c r="G9968" s="273"/>
      <c r="H9968" s="29" t="str">
        <f>IF(A9968="","",VLOOKUP(A9968,AA_Cuadrillas,4,FALSE))</f>
        <v/>
      </c>
      <c r="I9968" s="394" t="str">
        <f>IF(A9968="","",VLOOKUP(A9968,AA_Cuadrillas,5,FALSE))</f>
        <v/>
      </c>
      <c r="J9968" s="273"/>
      <c r="K9968" s="9" t="str">
        <f>IF(A9968="","",F.P!$I$2)</f>
        <v/>
      </c>
      <c r="L9968" s="37"/>
      <c r="M9968" s="394" t="str">
        <f t="shared" si="1331"/>
        <v/>
      </c>
      <c r="N9968" s="273"/>
    </row>
    <row r="9969" spans="1:15" ht="12.75" customHeight="1" x14ac:dyDescent="0.25">
      <c r="A9969" s="393"/>
      <c r="B9969" s="271"/>
      <c r="C9969" s="271"/>
      <c r="D9969" s="271"/>
      <c r="E9969" s="271"/>
      <c r="F9969" s="271"/>
      <c r="G9969" s="273"/>
      <c r="H9969" s="29" t="str">
        <f>IF(A9969="","",VLOOKUP(A9969,AA_Cuadrillas,4,FALSE))</f>
        <v/>
      </c>
      <c r="I9969" s="394" t="str">
        <f>IF(A9969="","",VLOOKUP(A9969,AA_Cuadrillas,5,FALSE))</f>
        <v/>
      </c>
      <c r="J9969" s="273"/>
      <c r="K9969" s="9" t="str">
        <f>IF(A9969="","",F.P!$I$2)</f>
        <v/>
      </c>
      <c r="L9969" s="37"/>
      <c r="M9969" s="394" t="str">
        <f t="shared" si="1331"/>
        <v/>
      </c>
      <c r="N9969" s="273"/>
    </row>
    <row r="9970" spans="1:15" ht="12.75" customHeight="1" x14ac:dyDescent="0.25">
      <c r="A9970" s="393"/>
      <c r="B9970" s="271"/>
      <c r="C9970" s="271"/>
      <c r="D9970" s="271"/>
      <c r="E9970" s="271"/>
      <c r="F9970" s="271"/>
      <c r="G9970" s="273"/>
      <c r="H9970" s="29" t="str">
        <f>IF(A9970="","",VLOOKUP(A9970,AA_Cuadrillas,4,FALSE))</f>
        <v/>
      </c>
      <c r="I9970" s="394" t="str">
        <f>IF(A9970="","",VLOOKUP(A9970,AA_Cuadrillas,5,FALSE))</f>
        <v/>
      </c>
      <c r="J9970" s="273"/>
      <c r="K9970" s="9" t="str">
        <f>IF(A9970="","",F.P!$I$2)</f>
        <v/>
      </c>
      <c r="L9970" s="37"/>
      <c r="M9970" s="394" t="str">
        <f t="shared" si="1331"/>
        <v/>
      </c>
      <c r="N9970" s="273"/>
    </row>
    <row r="9971" spans="1:15" ht="12.75" customHeight="1" x14ac:dyDescent="0.25">
      <c r="A9971" s="4"/>
      <c r="B9971" s="4"/>
      <c r="C9971" s="4"/>
      <c r="D9971" s="4"/>
      <c r="E9971" s="4"/>
      <c r="F9971" s="4"/>
      <c r="G9971" s="4"/>
      <c r="H9971" s="4"/>
      <c r="I9971" s="4"/>
      <c r="J9971" s="4"/>
      <c r="K9971" s="396" t="s">
        <v>444</v>
      </c>
      <c r="L9971" s="273"/>
      <c r="M9971" s="394">
        <f>SUM(M9966:N9970)</f>
        <v>0</v>
      </c>
      <c r="N9971" s="273"/>
    </row>
    <row r="9972" spans="1:15" ht="12.75" customHeight="1" x14ac:dyDescent="0.2"/>
    <row r="9973" spans="1:15" ht="12.75" customHeight="1" x14ac:dyDescent="0.2">
      <c r="A9973" s="407" t="s">
        <v>3190</v>
      </c>
      <c r="B9973" s="275"/>
      <c r="C9973" s="275"/>
      <c r="D9973" s="275"/>
      <c r="E9973" s="275"/>
      <c r="F9973" s="275"/>
      <c r="G9973" s="275"/>
      <c r="H9973" s="275"/>
      <c r="I9973" s="275"/>
      <c r="J9973" s="275"/>
      <c r="K9973" s="275"/>
      <c r="L9973" s="275"/>
      <c r="M9973" s="275"/>
      <c r="N9973" s="276"/>
      <c r="O9973" s="166"/>
    </row>
    <row r="9974" spans="1:15" ht="12.75" customHeight="1" x14ac:dyDescent="0.2">
      <c r="A9974" s="277"/>
      <c r="B9974" s="278"/>
      <c r="C9974" s="278"/>
      <c r="D9974" s="278"/>
      <c r="E9974" s="278"/>
      <c r="F9974" s="278"/>
      <c r="G9974" s="278"/>
      <c r="H9974" s="278"/>
      <c r="I9974" s="278"/>
      <c r="J9974" s="278"/>
      <c r="K9974" s="278"/>
      <c r="L9974" s="278"/>
      <c r="M9974" s="278"/>
      <c r="N9974" s="279"/>
      <c r="O9974" s="166"/>
    </row>
    <row r="9975" spans="1:15" ht="12.75" customHeight="1" x14ac:dyDescent="0.2">
      <c r="A9975" s="75"/>
      <c r="B9975" s="75"/>
      <c r="C9975" s="75"/>
      <c r="D9975" s="75"/>
      <c r="E9975" s="75"/>
      <c r="F9975" s="75"/>
      <c r="G9975" s="75"/>
      <c r="H9975" s="75"/>
      <c r="I9975" s="75"/>
      <c r="J9975" s="75"/>
      <c r="K9975" s="75"/>
      <c r="L9975" s="75"/>
      <c r="M9975" s="75"/>
      <c r="N9975" s="75"/>
    </row>
    <row r="9976" spans="1:15" ht="12.75" customHeight="1" x14ac:dyDescent="0.3">
      <c r="A9976" s="79" t="s">
        <v>833</v>
      </c>
      <c r="B9976" s="80" t="str">
        <f>A9973</f>
        <v>SUMINISTRO E INSTALACIÓN DE MANGUERA PEAD DE Ø1/2" PARA ACOMETIDA RDE 9 (INCLUYE MANGUERA PEAD, HERRAMIENTA MENOR Y MANO DE OBRA)</v>
      </c>
      <c r="C9976" s="81" t="s">
        <v>916</v>
      </c>
      <c r="D9976" s="82" t="s">
        <v>981</v>
      </c>
      <c r="E9976" s="83" t="s">
        <v>445</v>
      </c>
      <c r="F9976" s="234">
        <f>(H9976+J9976+L9976+N9976)*1.3</f>
        <v>10720.560255888888</v>
      </c>
      <c r="G9976" s="83" t="s">
        <v>607</v>
      </c>
      <c r="H9976" s="86">
        <f>M9993</f>
        <v>195.06357777777779</v>
      </c>
      <c r="I9976" s="83" t="s">
        <v>918</v>
      </c>
      <c r="J9976" s="86">
        <f>M9984</f>
        <v>3943.33</v>
      </c>
      <c r="K9976" s="83" t="s">
        <v>609</v>
      </c>
      <c r="L9976" s="86">
        <f>M10002</f>
        <v>206.91967888888891</v>
      </c>
      <c r="M9976" s="83" t="s">
        <v>610</v>
      </c>
      <c r="N9976" s="86">
        <f>M10011</f>
        <v>3901.2715555555556</v>
      </c>
    </row>
    <row r="9977" spans="1:15" ht="12.75" customHeight="1" x14ac:dyDescent="0.25">
      <c r="A9977" s="87"/>
      <c r="B9977" s="87"/>
      <c r="C9977" s="87"/>
      <c r="D9977" s="87"/>
      <c r="E9977" s="87"/>
      <c r="F9977" s="87"/>
      <c r="G9977" s="87"/>
      <c r="J9977" s="87"/>
      <c r="K9977" s="215" t="s">
        <v>3217</v>
      </c>
      <c r="L9977" s="215">
        <f>+F9976*presup!$O$5</f>
        <v>13936.728332655555</v>
      </c>
      <c r="M9977" s="87"/>
      <c r="N9977" s="87"/>
    </row>
    <row r="9978" spans="1:15" ht="12.75" customHeight="1" x14ac:dyDescent="0.2">
      <c r="A9978" s="398" t="s">
        <v>919</v>
      </c>
      <c r="B9978" s="271"/>
      <c r="C9978" s="271"/>
      <c r="D9978" s="271"/>
      <c r="E9978" s="271"/>
      <c r="F9978" s="271"/>
      <c r="G9978" s="271"/>
      <c r="H9978" s="271"/>
      <c r="I9978" s="271"/>
      <c r="J9978" s="271"/>
      <c r="K9978" s="271"/>
      <c r="L9978" s="271"/>
      <c r="M9978" s="271"/>
      <c r="N9978" s="273"/>
    </row>
    <row r="9979" spans="1:15" ht="12.75" customHeight="1" x14ac:dyDescent="0.2">
      <c r="A9979" s="396" t="s">
        <v>76</v>
      </c>
      <c r="B9979" s="271"/>
      <c r="C9979" s="271"/>
      <c r="D9979" s="271"/>
      <c r="E9979" s="271"/>
      <c r="F9979" s="271"/>
      <c r="G9979" s="273"/>
      <c r="H9979" s="88" t="s">
        <v>77</v>
      </c>
      <c r="I9979" s="399" t="s">
        <v>920</v>
      </c>
      <c r="J9979" s="273"/>
      <c r="K9979" s="399" t="s">
        <v>453</v>
      </c>
      <c r="L9979" s="273"/>
      <c r="M9979" s="399" t="s">
        <v>921</v>
      </c>
      <c r="N9979" s="273"/>
    </row>
    <row r="9980" spans="1:15" ht="12.75" customHeight="1" x14ac:dyDescent="0.2">
      <c r="A9980" s="400" t="s">
        <v>1487</v>
      </c>
      <c r="B9980" s="271"/>
      <c r="C9980" s="271"/>
      <c r="D9980" s="271"/>
      <c r="E9980" s="271"/>
      <c r="F9980" s="271"/>
      <c r="G9980" s="273"/>
      <c r="H9980" s="29" t="str">
        <f>IF(A9980="","",VLOOKUP(A9980,AA_Materiales,7,FALSE))</f>
        <v>ml</v>
      </c>
      <c r="I9980" s="412">
        <f>IF(A9980="","",VLOOKUP(A9980,AA_Materiales,8,FALSE))</f>
        <v>3943.33</v>
      </c>
      <c r="J9980" s="361"/>
      <c r="K9980" s="395">
        <v>1</v>
      </c>
      <c r="L9980" s="273"/>
      <c r="M9980" s="394">
        <f t="shared" ref="M9980:M9981" si="1332">IF(A9980="","",I9980*K9980)</f>
        <v>3943.33</v>
      </c>
      <c r="N9980" s="273"/>
    </row>
    <row r="9981" spans="1:15" ht="12.75" customHeight="1" x14ac:dyDescent="0.2">
      <c r="A9981" s="400"/>
      <c r="B9981" s="271"/>
      <c r="C9981" s="271"/>
      <c r="D9981" s="271"/>
      <c r="E9981" s="271"/>
      <c r="F9981" s="271"/>
      <c r="G9981" s="273"/>
      <c r="H9981" s="29" t="str">
        <f>IF(A9981="","",VLOOKUP(A9981,AA_Materiales,7,FALSE))</f>
        <v/>
      </c>
      <c r="I9981" s="394" t="str">
        <f>IF(A9981="","",VLOOKUP(A9981,AA_Materiales,8,FALSE))</f>
        <v/>
      </c>
      <c r="J9981" s="273"/>
      <c r="K9981" s="395"/>
      <c r="L9981" s="273"/>
      <c r="M9981" s="394" t="str">
        <f t="shared" si="1332"/>
        <v/>
      </c>
      <c r="N9981" s="273"/>
    </row>
    <row r="9982" spans="1:15" ht="12.75" customHeight="1" x14ac:dyDescent="0.2">
      <c r="A9982" s="400"/>
      <c r="B9982" s="271"/>
      <c r="C9982" s="271"/>
      <c r="D9982" s="271"/>
      <c r="E9982" s="271"/>
      <c r="F9982" s="271"/>
      <c r="G9982" s="273"/>
      <c r="H9982" s="29"/>
      <c r="I9982" s="394"/>
      <c r="J9982" s="273"/>
      <c r="K9982" s="395"/>
      <c r="L9982" s="273"/>
      <c r="M9982" s="394"/>
      <c r="N9982" s="273"/>
    </row>
    <row r="9983" spans="1:15" ht="12.75" customHeight="1" x14ac:dyDescent="0.2">
      <c r="A9983" s="400"/>
      <c r="B9983" s="271"/>
      <c r="C9983" s="271"/>
      <c r="D9983" s="271"/>
      <c r="E9983" s="271"/>
      <c r="F9983" s="271"/>
      <c r="G9983" s="273"/>
      <c r="H9983" s="29" t="str">
        <f>IF(A9983="","",VLOOKUP(A9983,AA_Materiales,7,FALSE))</f>
        <v/>
      </c>
      <c r="I9983" s="394" t="str">
        <f>IF(A9983="","",VLOOKUP(A9983,AA_Materiales,8,FALSE))</f>
        <v/>
      </c>
      <c r="J9983" s="273"/>
      <c r="K9983" s="395"/>
      <c r="L9983" s="273"/>
      <c r="M9983" s="394" t="str">
        <f>IF(A9983="","",I9983*K9983)</f>
        <v/>
      </c>
      <c r="N9983" s="273"/>
    </row>
    <row r="9984" spans="1:15" ht="12.75" customHeight="1" x14ac:dyDescent="0.25">
      <c r="A9984" s="4"/>
      <c r="B9984" s="4"/>
      <c r="C9984" s="4"/>
      <c r="D9984" s="4"/>
      <c r="E9984" s="4"/>
      <c r="F9984" s="4"/>
      <c r="G9984" s="4"/>
      <c r="H9984" s="4"/>
      <c r="I9984" s="4"/>
      <c r="J9984" s="4"/>
      <c r="K9984" s="396" t="s">
        <v>444</v>
      </c>
      <c r="L9984" s="273"/>
      <c r="M9984" s="394">
        <f>SUM(M9980:N9983)</f>
        <v>3943.33</v>
      </c>
      <c r="N9984" s="273"/>
    </row>
    <row r="9985" spans="1:14" ht="12.75" customHeight="1" x14ac:dyDescent="0.25">
      <c r="A9985" s="4"/>
      <c r="B9985" s="4"/>
      <c r="C9985" s="4"/>
      <c r="D9985" s="4"/>
      <c r="E9985" s="4"/>
      <c r="F9985" s="4"/>
      <c r="G9985" s="4"/>
      <c r="H9985" s="4"/>
      <c r="I9985" s="4"/>
      <c r="J9985" s="4"/>
      <c r="K9985" s="4"/>
      <c r="L9985" s="4"/>
      <c r="M9985" s="4"/>
      <c r="N9985" s="4"/>
    </row>
    <row r="9986" spans="1:14" ht="12.75" customHeight="1" x14ac:dyDescent="0.2">
      <c r="A9986" s="398" t="s">
        <v>926</v>
      </c>
      <c r="B9986" s="271"/>
      <c r="C9986" s="271"/>
      <c r="D9986" s="271"/>
      <c r="E9986" s="271"/>
      <c r="F9986" s="271"/>
      <c r="G9986" s="271"/>
      <c r="H9986" s="271"/>
      <c r="I9986" s="271"/>
      <c r="J9986" s="271"/>
      <c r="K9986" s="271"/>
      <c r="L9986" s="271"/>
      <c r="M9986" s="271"/>
      <c r="N9986" s="273"/>
    </row>
    <row r="9987" spans="1:14" ht="12.75" customHeight="1" x14ac:dyDescent="0.2">
      <c r="A9987" s="396" t="s">
        <v>76</v>
      </c>
      <c r="B9987" s="271"/>
      <c r="C9987" s="271"/>
      <c r="D9987" s="271"/>
      <c r="E9987" s="271"/>
      <c r="F9987" s="271"/>
      <c r="G9987" s="273"/>
      <c r="H9987" s="88" t="s">
        <v>77</v>
      </c>
      <c r="I9987" s="399" t="s">
        <v>920</v>
      </c>
      <c r="J9987" s="273"/>
      <c r="K9987" s="399" t="s">
        <v>453</v>
      </c>
      <c r="L9987" s="273"/>
      <c r="M9987" s="399" t="s">
        <v>921</v>
      </c>
      <c r="N9987" s="273"/>
    </row>
    <row r="9988" spans="1:14" ht="12.75" customHeight="1" x14ac:dyDescent="0.2">
      <c r="A9988" s="400" t="s">
        <v>927</v>
      </c>
      <c r="B9988" s="271"/>
      <c r="C9988" s="271"/>
      <c r="D9988" s="271"/>
      <c r="E9988" s="271"/>
      <c r="F9988" s="271"/>
      <c r="G9988" s="273"/>
      <c r="H9988" s="29" t="str">
        <f>IF(A9988="","",VLOOKUP(A9988,AA_Equipos,7,FALSE))</f>
        <v>% M.O.</v>
      </c>
      <c r="I9988" s="394">
        <f>M10011</f>
        <v>3901.2715555555556</v>
      </c>
      <c r="J9988" s="273"/>
      <c r="K9988" s="404">
        <v>0.05</v>
      </c>
      <c r="L9988" s="273"/>
      <c r="M9988" s="394">
        <f t="shared" ref="M9988:M9992" si="1333">IF(A9988="","",I9988*K9988)</f>
        <v>195.06357777777779</v>
      </c>
      <c r="N9988" s="273"/>
    </row>
    <row r="9989" spans="1:14" ht="12.75" customHeight="1" x14ac:dyDescent="0.2">
      <c r="A9989" s="403"/>
      <c r="B9989" s="271"/>
      <c r="C9989" s="271"/>
      <c r="D9989" s="271"/>
      <c r="E9989" s="271"/>
      <c r="F9989" s="271"/>
      <c r="G9989" s="273"/>
      <c r="H9989" s="29" t="str">
        <f>IF(A9989="","",VLOOKUP(A9989,AA_Equipos,7,FALSE))</f>
        <v/>
      </c>
      <c r="I9989" s="394" t="str">
        <f>IF(A9989="","",VLOOKUP(A9989,AA_Equipos,8,FALSE))</f>
        <v/>
      </c>
      <c r="J9989" s="273"/>
      <c r="K9989" s="402"/>
      <c r="L9989" s="273"/>
      <c r="M9989" s="394" t="str">
        <f t="shared" si="1333"/>
        <v/>
      </c>
      <c r="N9989" s="273"/>
    </row>
    <row r="9990" spans="1:14" ht="12.75" customHeight="1" x14ac:dyDescent="0.2">
      <c r="A9990" s="400"/>
      <c r="B9990" s="271"/>
      <c r="C9990" s="271"/>
      <c r="D9990" s="271"/>
      <c r="E9990" s="271"/>
      <c r="F9990" s="271"/>
      <c r="G9990" s="273"/>
      <c r="H9990" s="29" t="str">
        <f>IF(A9990="","",VLOOKUP(A9990,AA_Equipos,7,FALSE))</f>
        <v/>
      </c>
      <c r="I9990" s="394" t="str">
        <f>IF(A9990="","",VLOOKUP(A9990,AA_Equipos,8,FALSE))</f>
        <v/>
      </c>
      <c r="J9990" s="273"/>
      <c r="K9990" s="395"/>
      <c r="L9990" s="273"/>
      <c r="M9990" s="394" t="str">
        <f t="shared" si="1333"/>
        <v/>
      </c>
      <c r="N9990" s="273"/>
    </row>
    <row r="9991" spans="1:14" ht="12.75" customHeight="1" x14ac:dyDescent="0.2">
      <c r="A9991" s="400"/>
      <c r="B9991" s="271"/>
      <c r="C9991" s="271"/>
      <c r="D9991" s="271"/>
      <c r="E9991" s="271"/>
      <c r="F9991" s="271"/>
      <c r="G9991" s="273"/>
      <c r="H9991" s="29" t="str">
        <f>IF(A9991="","",VLOOKUP(A9991,AA_Equipos,7,FALSE))</f>
        <v/>
      </c>
      <c r="I9991" s="394" t="str">
        <f>IF(A9991="","",VLOOKUP(A9991,AA_Equipos,8,FALSE))</f>
        <v/>
      </c>
      <c r="J9991" s="273"/>
      <c r="K9991" s="395"/>
      <c r="L9991" s="273"/>
      <c r="M9991" s="394" t="str">
        <f t="shared" si="1333"/>
        <v/>
      </c>
      <c r="N9991" s="273"/>
    </row>
    <row r="9992" spans="1:14" ht="12.75" customHeight="1" x14ac:dyDescent="0.2">
      <c r="A9992" s="400"/>
      <c r="B9992" s="271"/>
      <c r="C9992" s="271"/>
      <c r="D9992" s="271"/>
      <c r="E9992" s="271"/>
      <c r="F9992" s="271"/>
      <c r="G9992" s="273"/>
      <c r="H9992" s="29" t="str">
        <f>IF(A9992="","",VLOOKUP(A9992,AA_Equipos,7,FALSE))</f>
        <v/>
      </c>
      <c r="I9992" s="394" t="str">
        <f>IF(A9992="","",VLOOKUP(A9992,AA_Equipos,8,FALSE))</f>
        <v/>
      </c>
      <c r="J9992" s="273"/>
      <c r="K9992" s="395"/>
      <c r="L9992" s="273"/>
      <c r="M9992" s="394" t="str">
        <f t="shared" si="1333"/>
        <v/>
      </c>
      <c r="N9992" s="273"/>
    </row>
    <row r="9993" spans="1:14" ht="12.75" customHeight="1" x14ac:dyDescent="0.25">
      <c r="A9993" s="4"/>
      <c r="B9993" s="4"/>
      <c r="C9993" s="4"/>
      <c r="D9993" s="4"/>
      <c r="E9993" s="4"/>
      <c r="F9993" s="4"/>
      <c r="G9993" s="4"/>
      <c r="H9993" s="4"/>
      <c r="I9993" s="4"/>
      <c r="J9993" s="4"/>
      <c r="K9993" s="396" t="s">
        <v>444</v>
      </c>
      <c r="L9993" s="273"/>
      <c r="M9993" s="394">
        <f>SUM(M9988:N9992)</f>
        <v>195.06357777777779</v>
      </c>
      <c r="N9993" s="273"/>
    </row>
    <row r="9994" spans="1:14" ht="12.75" customHeight="1" x14ac:dyDescent="0.25">
      <c r="A9994" s="4"/>
      <c r="B9994" s="4"/>
      <c r="C9994" s="4"/>
      <c r="D9994" s="4"/>
      <c r="E9994" s="4"/>
      <c r="F9994" s="4"/>
      <c r="G9994" s="4"/>
      <c r="H9994" s="4"/>
      <c r="I9994" s="4"/>
      <c r="J9994" s="4"/>
      <c r="K9994" s="4"/>
      <c r="L9994" s="4"/>
      <c r="M9994" s="4"/>
      <c r="N9994" s="4"/>
    </row>
    <row r="9995" spans="1:14" ht="12.75" customHeight="1" x14ac:dyDescent="0.2">
      <c r="A9995" s="398" t="s">
        <v>929</v>
      </c>
      <c r="B9995" s="271"/>
      <c r="C9995" s="271"/>
      <c r="D9995" s="271"/>
      <c r="E9995" s="271"/>
      <c r="F9995" s="271"/>
      <c r="G9995" s="271"/>
      <c r="H9995" s="271"/>
      <c r="I9995" s="271"/>
      <c r="J9995" s="271"/>
      <c r="K9995" s="271"/>
      <c r="L9995" s="271"/>
      <c r="M9995" s="271"/>
      <c r="N9995" s="273"/>
    </row>
    <row r="9996" spans="1:14" ht="12.75" customHeight="1" x14ac:dyDescent="0.2">
      <c r="A9996" s="396" t="s">
        <v>76</v>
      </c>
      <c r="B9996" s="271"/>
      <c r="C9996" s="271"/>
      <c r="D9996" s="271"/>
      <c r="E9996" s="271"/>
      <c r="F9996" s="271"/>
      <c r="G9996" s="273"/>
      <c r="H9996" s="88" t="s">
        <v>77</v>
      </c>
      <c r="I9996" s="399" t="s">
        <v>920</v>
      </c>
      <c r="J9996" s="273"/>
      <c r="K9996" s="399" t="s">
        <v>453</v>
      </c>
      <c r="L9996" s="273"/>
      <c r="M9996" s="399" t="s">
        <v>921</v>
      </c>
      <c r="N9996" s="273"/>
    </row>
    <row r="9997" spans="1:14" ht="12.75" customHeight="1" x14ac:dyDescent="0.2">
      <c r="A9997" s="403" t="s">
        <v>966</v>
      </c>
      <c r="B9997" s="271"/>
      <c r="C9997" s="271"/>
      <c r="D9997" s="271"/>
      <c r="E9997" s="271"/>
      <c r="F9997" s="271"/>
      <c r="G9997" s="273"/>
      <c r="H9997" s="29" t="s">
        <v>24</v>
      </c>
      <c r="I9997" s="394">
        <f>+M9984</f>
        <v>3943.33</v>
      </c>
      <c r="J9997" s="273"/>
      <c r="K9997" s="404">
        <v>0.05</v>
      </c>
      <c r="L9997" s="273"/>
      <c r="M9997" s="394">
        <f t="shared" ref="M9997:M10001" si="1334">IF(A9997="","",I9997*K9997)</f>
        <v>197.16650000000001</v>
      </c>
      <c r="N9997" s="273"/>
    </row>
    <row r="9998" spans="1:14" ht="12.75" customHeight="1" x14ac:dyDescent="0.2">
      <c r="A9998" s="403" t="s">
        <v>3174</v>
      </c>
      <c r="B9998" s="271"/>
      <c r="C9998" s="271"/>
      <c r="D9998" s="271"/>
      <c r="E9998" s="271"/>
      <c r="F9998" s="271"/>
      <c r="G9998" s="273"/>
      <c r="H9998" s="29" t="s">
        <v>24</v>
      </c>
      <c r="I9998" s="394">
        <f>+M9993</f>
        <v>195.06357777777779</v>
      </c>
      <c r="J9998" s="273"/>
      <c r="K9998" s="404">
        <v>0.05</v>
      </c>
      <c r="L9998" s="273"/>
      <c r="M9998" s="394">
        <f t="shared" si="1334"/>
        <v>9.7531788888888897</v>
      </c>
      <c r="N9998" s="273"/>
    </row>
    <row r="9999" spans="1:14" ht="12.75" customHeight="1" x14ac:dyDescent="0.2">
      <c r="A9999" s="400"/>
      <c r="B9999" s="271"/>
      <c r="C9999" s="271"/>
      <c r="D9999" s="271"/>
      <c r="E9999" s="271"/>
      <c r="F9999" s="271"/>
      <c r="G9999" s="273"/>
      <c r="H9999" s="29"/>
      <c r="I9999" s="394"/>
      <c r="J9999" s="273"/>
      <c r="K9999" s="395"/>
      <c r="L9999" s="273"/>
      <c r="M9999" s="394" t="str">
        <f t="shared" si="1334"/>
        <v/>
      </c>
      <c r="N9999" s="273"/>
    </row>
    <row r="10000" spans="1:14" ht="12.75" customHeight="1" x14ac:dyDescent="0.2">
      <c r="A10000" s="400"/>
      <c r="B10000" s="271"/>
      <c r="C10000" s="271"/>
      <c r="D10000" s="271"/>
      <c r="E10000" s="271"/>
      <c r="F10000" s="271"/>
      <c r="G10000" s="273"/>
      <c r="H10000" s="29"/>
      <c r="I10000" s="394"/>
      <c r="J10000" s="273"/>
      <c r="K10000" s="395"/>
      <c r="L10000" s="273"/>
      <c r="M10000" s="394" t="str">
        <f t="shared" si="1334"/>
        <v/>
      </c>
      <c r="N10000" s="273"/>
    </row>
    <row r="10001" spans="1:15" ht="12.75" customHeight="1" x14ac:dyDescent="0.2">
      <c r="A10001" s="400"/>
      <c r="B10001" s="271"/>
      <c r="C10001" s="271"/>
      <c r="D10001" s="271"/>
      <c r="E10001" s="271"/>
      <c r="F10001" s="271"/>
      <c r="G10001" s="273"/>
      <c r="H10001" s="29"/>
      <c r="I10001" s="394"/>
      <c r="J10001" s="273"/>
      <c r="K10001" s="395"/>
      <c r="L10001" s="273"/>
      <c r="M10001" s="394" t="str">
        <f t="shared" si="1334"/>
        <v/>
      </c>
      <c r="N10001" s="273"/>
    </row>
    <row r="10002" spans="1:15" ht="12.75" customHeight="1" x14ac:dyDescent="0.25">
      <c r="A10002" s="4"/>
      <c r="B10002" s="4"/>
      <c r="C10002" s="4"/>
      <c r="D10002" s="4"/>
      <c r="E10002" s="4"/>
      <c r="F10002" s="4"/>
      <c r="G10002" s="4"/>
      <c r="H10002" s="4"/>
      <c r="I10002" s="4"/>
      <c r="J10002" s="4"/>
      <c r="K10002" s="396" t="s">
        <v>444</v>
      </c>
      <c r="L10002" s="273"/>
      <c r="M10002" s="394">
        <f>SUM(M9997:N10001)</f>
        <v>206.91967888888891</v>
      </c>
      <c r="N10002" s="273"/>
    </row>
    <row r="10003" spans="1:15" ht="12.75" customHeight="1" x14ac:dyDescent="0.25">
      <c r="A10003" s="4"/>
      <c r="B10003" s="4"/>
      <c r="C10003" s="4"/>
      <c r="D10003" s="4"/>
      <c r="E10003" s="4"/>
      <c r="F10003" s="4"/>
      <c r="G10003" s="4"/>
      <c r="H10003" s="4"/>
      <c r="I10003" s="4"/>
      <c r="J10003" s="4"/>
      <c r="K10003" s="4"/>
      <c r="L10003" s="4"/>
      <c r="M10003" s="4"/>
      <c r="N10003" s="4"/>
    </row>
    <row r="10004" spans="1:15" ht="12.75" customHeight="1" x14ac:dyDescent="0.2">
      <c r="A10004" s="398" t="s">
        <v>931</v>
      </c>
      <c r="B10004" s="271"/>
      <c r="C10004" s="271"/>
      <c r="D10004" s="271"/>
      <c r="E10004" s="271"/>
      <c r="F10004" s="271"/>
      <c r="G10004" s="271"/>
      <c r="H10004" s="271"/>
      <c r="I10004" s="271"/>
      <c r="J10004" s="271"/>
      <c r="K10004" s="271"/>
      <c r="L10004" s="271"/>
      <c r="M10004" s="271"/>
      <c r="N10004" s="273"/>
    </row>
    <row r="10005" spans="1:15" ht="12.75" customHeight="1" x14ac:dyDescent="0.2">
      <c r="A10005" s="396" t="s">
        <v>76</v>
      </c>
      <c r="B10005" s="271"/>
      <c r="C10005" s="271"/>
      <c r="D10005" s="271"/>
      <c r="E10005" s="271"/>
      <c r="F10005" s="271"/>
      <c r="G10005" s="273"/>
      <c r="H10005" s="88" t="s">
        <v>77</v>
      </c>
      <c r="I10005" s="399" t="s">
        <v>920</v>
      </c>
      <c r="J10005" s="273"/>
      <c r="K10005" s="90" t="s">
        <v>514</v>
      </c>
      <c r="L10005" s="91" t="s">
        <v>932</v>
      </c>
      <c r="M10005" s="399" t="s">
        <v>921</v>
      </c>
      <c r="N10005" s="273"/>
    </row>
    <row r="10006" spans="1:15" ht="12.75" customHeight="1" x14ac:dyDescent="0.25">
      <c r="A10006" s="393" t="s">
        <v>986</v>
      </c>
      <c r="B10006" s="271"/>
      <c r="C10006" s="271"/>
      <c r="D10006" s="271"/>
      <c r="E10006" s="271"/>
      <c r="F10006" s="271"/>
      <c r="G10006" s="273"/>
      <c r="H10006" s="29" t="str">
        <f>IF(A10006="","",VLOOKUP(A10006,AA_Cuadrillas,4,FALSE))</f>
        <v>Cuadrilla</v>
      </c>
      <c r="I10006" s="394">
        <f>IF(A10006="","",VLOOKUP(A10006,AA_Cuadrillas,5,FALSE))</f>
        <v>186763</v>
      </c>
      <c r="J10006" s="273"/>
      <c r="K10006" s="9">
        <f>IF(A10006="","",F.P!$I$2)</f>
        <v>1.88</v>
      </c>
      <c r="L10006" s="93">
        <f>1/90</f>
        <v>1.1111111111111112E-2</v>
      </c>
      <c r="M10006" s="394">
        <f t="shared" ref="M10006:M10010" si="1335">IF(A10006="","",I10006*K10006*L10006)</f>
        <v>3901.2715555555556</v>
      </c>
      <c r="N10006" s="273"/>
    </row>
    <row r="10007" spans="1:15" ht="12.75" customHeight="1" x14ac:dyDescent="0.25">
      <c r="A10007" s="393"/>
      <c r="B10007" s="271"/>
      <c r="C10007" s="271"/>
      <c r="D10007" s="271"/>
      <c r="E10007" s="271"/>
      <c r="F10007" s="271"/>
      <c r="G10007" s="273"/>
      <c r="H10007" s="29" t="str">
        <f>IF(A10007="","",VLOOKUP(A10007,AA_Cuadrillas,4,FALSE))</f>
        <v/>
      </c>
      <c r="I10007" s="394" t="str">
        <f>IF(A10007="","",VLOOKUP(A10007,AA_Cuadrillas,5,FALSE))</f>
        <v/>
      </c>
      <c r="J10007" s="273"/>
      <c r="K10007" s="9" t="str">
        <f>IF(A10007="","",F.P!$I$2)</f>
        <v/>
      </c>
      <c r="L10007" s="9"/>
      <c r="M10007" s="394" t="str">
        <f t="shared" si="1335"/>
        <v/>
      </c>
      <c r="N10007" s="273"/>
    </row>
    <row r="10008" spans="1:15" ht="12.75" customHeight="1" x14ac:dyDescent="0.25">
      <c r="A10008" s="393"/>
      <c r="B10008" s="271"/>
      <c r="C10008" s="271"/>
      <c r="D10008" s="271"/>
      <c r="E10008" s="271"/>
      <c r="F10008" s="271"/>
      <c r="G10008" s="273"/>
      <c r="H10008" s="29" t="str">
        <f>IF(A10008="","",VLOOKUP(A10008,AA_Cuadrillas,4,FALSE))</f>
        <v/>
      </c>
      <c r="I10008" s="394" t="str">
        <f>IF(A10008="","",VLOOKUP(A10008,AA_Cuadrillas,5,FALSE))</f>
        <v/>
      </c>
      <c r="J10008" s="273"/>
      <c r="K10008" s="9" t="str">
        <f>IF(A10008="","",F.P!$I$2)</f>
        <v/>
      </c>
      <c r="L10008" s="37"/>
      <c r="M10008" s="394" t="str">
        <f t="shared" si="1335"/>
        <v/>
      </c>
      <c r="N10008" s="273"/>
    </row>
    <row r="10009" spans="1:15" ht="12.75" customHeight="1" x14ac:dyDescent="0.25">
      <c r="A10009" s="393"/>
      <c r="B10009" s="271"/>
      <c r="C10009" s="271"/>
      <c r="D10009" s="271"/>
      <c r="E10009" s="271"/>
      <c r="F10009" s="271"/>
      <c r="G10009" s="273"/>
      <c r="H10009" s="29" t="str">
        <f>IF(A10009="","",VLOOKUP(A10009,AA_Cuadrillas,4,FALSE))</f>
        <v/>
      </c>
      <c r="I10009" s="394" t="str">
        <f>IF(A10009="","",VLOOKUP(A10009,AA_Cuadrillas,5,FALSE))</f>
        <v/>
      </c>
      <c r="J10009" s="273"/>
      <c r="K10009" s="9" t="str">
        <f>IF(A10009="","",F.P!$I$2)</f>
        <v/>
      </c>
      <c r="L10009" s="37"/>
      <c r="M10009" s="394" t="str">
        <f t="shared" si="1335"/>
        <v/>
      </c>
      <c r="N10009" s="273"/>
    </row>
    <row r="10010" spans="1:15" ht="12.75" customHeight="1" x14ac:dyDescent="0.25">
      <c r="A10010" s="393"/>
      <c r="B10010" s="271"/>
      <c r="C10010" s="271"/>
      <c r="D10010" s="271"/>
      <c r="E10010" s="271"/>
      <c r="F10010" s="271"/>
      <c r="G10010" s="273"/>
      <c r="H10010" s="29" t="str">
        <f>IF(A10010="","",VLOOKUP(A10010,AA_Cuadrillas,4,FALSE))</f>
        <v/>
      </c>
      <c r="I10010" s="394" t="str">
        <f>IF(A10010="","",VLOOKUP(A10010,AA_Cuadrillas,5,FALSE))</f>
        <v/>
      </c>
      <c r="J10010" s="273"/>
      <c r="K10010" s="9" t="str">
        <f>IF(A10010="","",F.P!$I$2)</f>
        <v/>
      </c>
      <c r="L10010" s="37"/>
      <c r="M10010" s="394" t="str">
        <f t="shared" si="1335"/>
        <v/>
      </c>
      <c r="N10010" s="273"/>
    </row>
    <row r="10011" spans="1:15" ht="12.75" customHeight="1" x14ac:dyDescent="0.25">
      <c r="A10011" s="4"/>
      <c r="B10011" s="4"/>
      <c r="C10011" s="4"/>
      <c r="D10011" s="4"/>
      <c r="E10011" s="4"/>
      <c r="F10011" s="4"/>
      <c r="G10011" s="4"/>
      <c r="H10011" s="4"/>
      <c r="I10011" s="4"/>
      <c r="J10011" s="4"/>
      <c r="K10011" s="396" t="s">
        <v>444</v>
      </c>
      <c r="L10011" s="273"/>
      <c r="M10011" s="394">
        <f>SUM(M10006:N10010)</f>
        <v>3901.2715555555556</v>
      </c>
      <c r="N10011" s="273"/>
    </row>
    <row r="10012" spans="1:15" ht="12.75" customHeight="1" x14ac:dyDescent="0.2"/>
    <row r="10013" spans="1:15" ht="12.75" customHeight="1" x14ac:dyDescent="0.2">
      <c r="A10013" s="397" t="s">
        <v>1488</v>
      </c>
      <c r="B10013" s="275"/>
      <c r="C10013" s="275"/>
      <c r="D10013" s="275"/>
      <c r="E10013" s="275"/>
      <c r="F10013" s="275"/>
      <c r="G10013" s="275"/>
      <c r="H10013" s="275"/>
      <c r="I10013" s="275"/>
      <c r="J10013" s="275"/>
      <c r="K10013" s="275"/>
      <c r="L10013" s="275"/>
      <c r="M10013" s="275"/>
      <c r="N10013" s="276"/>
      <c r="O10013" s="166"/>
    </row>
    <row r="10014" spans="1:15" ht="12.75" customHeight="1" x14ac:dyDescent="0.2">
      <c r="A10014" s="277"/>
      <c r="B10014" s="278"/>
      <c r="C10014" s="278"/>
      <c r="D10014" s="278"/>
      <c r="E10014" s="278"/>
      <c r="F10014" s="278"/>
      <c r="G10014" s="278"/>
      <c r="H10014" s="278"/>
      <c r="I10014" s="278"/>
      <c r="J10014" s="278"/>
      <c r="K10014" s="278"/>
      <c r="L10014" s="278"/>
      <c r="M10014" s="278"/>
      <c r="N10014" s="279"/>
      <c r="O10014" s="166"/>
    </row>
    <row r="10015" spans="1:15" ht="12.75" customHeight="1" x14ac:dyDescent="0.2">
      <c r="A10015" s="75"/>
      <c r="B10015" s="75"/>
      <c r="C10015" s="75"/>
      <c r="D10015" s="75"/>
      <c r="E10015" s="75"/>
      <c r="F10015" s="75"/>
      <c r="G10015" s="75"/>
      <c r="H10015" s="75"/>
      <c r="I10015" s="75"/>
      <c r="J10015" s="75"/>
      <c r="K10015" s="75"/>
      <c r="L10015" s="75"/>
      <c r="M10015" s="75"/>
      <c r="N10015" s="75"/>
    </row>
    <row r="10016" spans="1:15" ht="12.75" customHeight="1" x14ac:dyDescent="0.3">
      <c r="A10016" s="79" t="s">
        <v>834</v>
      </c>
      <c r="B10016" s="80" t="str">
        <f>A10013</f>
        <v>MICROMEDIDOR DE Ø1/2" (INCLUYE CAJA, TEE, CODO, ADAPTADORES, VÁLVULAS, MEDIDOR, COLLAR DE DERIVACIÓN, TAPÓN, RACOR, MATERIALES, HERRAMIENTA MENOR Y MANO DE OBRA)</v>
      </c>
      <c r="C10016" s="81" t="s">
        <v>916</v>
      </c>
      <c r="D10016" s="82" t="s">
        <v>999</v>
      </c>
      <c r="E10016" s="83" t="s">
        <v>445</v>
      </c>
      <c r="F10016" s="234">
        <f>(H10016+J10016+L10016+N10016)*1.19</f>
        <v>661066.09005266661</v>
      </c>
      <c r="G10016" s="83" t="s">
        <v>607</v>
      </c>
      <c r="H10016" s="86">
        <f>M10044</f>
        <v>11703.814666666667</v>
      </c>
      <c r="I10016" s="83" t="s">
        <v>918</v>
      </c>
      <c r="J10016" s="86">
        <f>M10035</f>
        <v>294430.88</v>
      </c>
      <c r="K10016" s="83" t="s">
        <v>609</v>
      </c>
      <c r="L10016" s="86">
        <f>M10053</f>
        <v>15306.734733333335</v>
      </c>
      <c r="M10016" s="83" t="s">
        <v>610</v>
      </c>
      <c r="N10016" s="86">
        <f>M10062</f>
        <v>234076.29333333333</v>
      </c>
    </row>
    <row r="10017" spans="1:14" ht="12.75" customHeight="1" x14ac:dyDescent="0.25">
      <c r="A10017" s="87"/>
      <c r="B10017" s="87"/>
      <c r="C10017" s="87"/>
      <c r="D10017" s="87"/>
      <c r="E10017" s="87"/>
      <c r="F10017" s="87"/>
      <c r="G10017" s="87"/>
      <c r="J10017" s="87"/>
      <c r="K10017" s="215" t="s">
        <v>3217</v>
      </c>
      <c r="L10017" s="215">
        <f>+F10016*presup!$O$5</f>
        <v>859385.91706846666</v>
      </c>
      <c r="M10017" s="87"/>
      <c r="N10017" s="87"/>
    </row>
    <row r="10018" spans="1:14" ht="12.75" customHeight="1" x14ac:dyDescent="0.2">
      <c r="A10018" s="398" t="s">
        <v>919</v>
      </c>
      <c r="B10018" s="271"/>
      <c r="C10018" s="271"/>
      <c r="D10018" s="271"/>
      <c r="E10018" s="271"/>
      <c r="F10018" s="271"/>
      <c r="G10018" s="271"/>
      <c r="H10018" s="271"/>
      <c r="I10018" s="271"/>
      <c r="J10018" s="271"/>
      <c r="K10018" s="271"/>
      <c r="L10018" s="271"/>
      <c r="M10018" s="271"/>
      <c r="N10018" s="273"/>
    </row>
    <row r="10019" spans="1:14" ht="12.75" customHeight="1" x14ac:dyDescent="0.2">
      <c r="A10019" s="396" t="s">
        <v>76</v>
      </c>
      <c r="B10019" s="271"/>
      <c r="C10019" s="271"/>
      <c r="D10019" s="271"/>
      <c r="E10019" s="271"/>
      <c r="F10019" s="271"/>
      <c r="G10019" s="273"/>
      <c r="H10019" s="88" t="s">
        <v>77</v>
      </c>
      <c r="I10019" s="399" t="s">
        <v>920</v>
      </c>
      <c r="J10019" s="273"/>
      <c r="K10019" s="399" t="s">
        <v>453</v>
      </c>
      <c r="L10019" s="273"/>
      <c r="M10019" s="399" t="s">
        <v>921</v>
      </c>
      <c r="N10019" s="273"/>
    </row>
    <row r="10020" spans="1:14" ht="12.75" customHeight="1" x14ac:dyDescent="0.2">
      <c r="A10020" s="403" t="s">
        <v>1489</v>
      </c>
      <c r="B10020" s="271"/>
      <c r="C10020" s="271"/>
      <c r="D10020" s="271"/>
      <c r="E10020" s="271"/>
      <c r="F10020" s="271"/>
      <c r="G10020" s="273"/>
      <c r="H10020" s="29" t="str">
        <f t="shared" ref="H10020:H10032" si="1336">IF(A10020="","",VLOOKUP(A10020,AA_Materiales,7,FALSE))</f>
        <v>Unidad</v>
      </c>
      <c r="I10020" s="394">
        <f t="shared" ref="I10020:I10032" si="1337">IF(A10020="","",VLOOKUP(A10020,AA_Materiales,8,FALSE))</f>
        <v>874.14</v>
      </c>
      <c r="J10020" s="273"/>
      <c r="K10020" s="395">
        <f>+'MICRO Y MACRO'!F76</f>
        <v>1</v>
      </c>
      <c r="L10020" s="273"/>
      <c r="M10020" s="394">
        <f t="shared" ref="M10020:M10032" si="1338">IF(A10020="","",I10020*K10020)</f>
        <v>874.14</v>
      </c>
      <c r="N10020" s="273"/>
    </row>
    <row r="10021" spans="1:14" ht="12.75" customHeight="1" x14ac:dyDescent="0.2">
      <c r="A10021" s="403" t="s">
        <v>1490</v>
      </c>
      <c r="B10021" s="271"/>
      <c r="C10021" s="271"/>
      <c r="D10021" s="271"/>
      <c r="E10021" s="271"/>
      <c r="F10021" s="271"/>
      <c r="G10021" s="273"/>
      <c r="H10021" s="29" t="str">
        <f t="shared" si="1336"/>
        <v>Unidad</v>
      </c>
      <c r="I10021" s="394">
        <f t="shared" si="1337"/>
        <v>490</v>
      </c>
      <c r="J10021" s="273"/>
      <c r="K10021" s="395">
        <f>+'MICRO Y MACRO'!F75</f>
        <v>1</v>
      </c>
      <c r="L10021" s="273"/>
      <c r="M10021" s="394">
        <f t="shared" si="1338"/>
        <v>490</v>
      </c>
      <c r="N10021" s="273"/>
    </row>
    <row r="10022" spans="1:14" ht="12.75" customHeight="1" x14ac:dyDescent="0.2">
      <c r="A10022" s="403" t="s">
        <v>1491</v>
      </c>
      <c r="B10022" s="271"/>
      <c r="C10022" s="271"/>
      <c r="D10022" s="271"/>
      <c r="E10022" s="271"/>
      <c r="F10022" s="271"/>
      <c r="G10022" s="273"/>
      <c r="H10022" s="29" t="str">
        <f t="shared" si="1336"/>
        <v>Unidad</v>
      </c>
      <c r="I10022" s="394">
        <f t="shared" si="1337"/>
        <v>4258</v>
      </c>
      <c r="J10022" s="273"/>
      <c r="K10022" s="395">
        <f>+'MICRO Y MACRO'!F77</f>
        <v>4</v>
      </c>
      <c r="L10022" s="273"/>
      <c r="M10022" s="394">
        <f t="shared" si="1338"/>
        <v>17032</v>
      </c>
      <c r="N10022" s="273"/>
    </row>
    <row r="10023" spans="1:14" ht="12.75" customHeight="1" x14ac:dyDescent="0.2">
      <c r="A10023" s="403" t="s">
        <v>1492</v>
      </c>
      <c r="B10023" s="271"/>
      <c r="C10023" s="271"/>
      <c r="D10023" s="271"/>
      <c r="E10023" s="271"/>
      <c r="F10023" s="271"/>
      <c r="G10023" s="273"/>
      <c r="H10023" s="29" t="str">
        <f t="shared" si="1336"/>
        <v>Unidad</v>
      </c>
      <c r="I10023" s="394">
        <f t="shared" si="1337"/>
        <v>584.74</v>
      </c>
      <c r="J10023" s="273"/>
      <c r="K10023" s="395">
        <f>+'MICRO Y MACRO'!F78</f>
        <v>1</v>
      </c>
      <c r="L10023" s="273"/>
      <c r="M10023" s="394">
        <f t="shared" si="1338"/>
        <v>584.74</v>
      </c>
      <c r="N10023" s="273"/>
    </row>
    <row r="10024" spans="1:14" ht="12.75" customHeight="1" x14ac:dyDescent="0.2">
      <c r="A10024" s="403" t="s">
        <v>1493</v>
      </c>
      <c r="B10024" s="271"/>
      <c r="C10024" s="271"/>
      <c r="D10024" s="271"/>
      <c r="E10024" s="271"/>
      <c r="F10024" s="271"/>
      <c r="G10024" s="273"/>
      <c r="H10024" s="29" t="str">
        <f t="shared" si="1336"/>
        <v>Unidad</v>
      </c>
      <c r="I10024" s="394">
        <f t="shared" si="1337"/>
        <v>15000</v>
      </c>
      <c r="J10024" s="273"/>
      <c r="K10024" s="395">
        <f>+'MICRO Y MACRO'!F79</f>
        <v>1</v>
      </c>
      <c r="L10024" s="273"/>
      <c r="M10024" s="394">
        <f t="shared" si="1338"/>
        <v>15000</v>
      </c>
      <c r="N10024" s="273"/>
    </row>
    <row r="10025" spans="1:14" ht="12.75" customHeight="1" x14ac:dyDescent="0.2">
      <c r="A10025" s="403" t="s">
        <v>1494</v>
      </c>
      <c r="B10025" s="271"/>
      <c r="C10025" s="271"/>
      <c r="D10025" s="271"/>
      <c r="E10025" s="271"/>
      <c r="F10025" s="271"/>
      <c r="G10025" s="273"/>
      <c r="H10025" s="29" t="str">
        <f t="shared" si="1336"/>
        <v>Unidad</v>
      </c>
      <c r="I10025" s="394">
        <f t="shared" si="1337"/>
        <v>5500</v>
      </c>
      <c r="J10025" s="273"/>
      <c r="K10025" s="395">
        <f>+'MICRO Y MACRO'!F80</f>
        <v>2</v>
      </c>
      <c r="L10025" s="273"/>
      <c r="M10025" s="394">
        <f t="shared" si="1338"/>
        <v>11000</v>
      </c>
      <c r="N10025" s="273"/>
    </row>
    <row r="10026" spans="1:14" ht="12.75" customHeight="1" x14ac:dyDescent="0.2">
      <c r="A10026" s="403" t="s">
        <v>1495</v>
      </c>
      <c r="B10026" s="271"/>
      <c r="C10026" s="271"/>
      <c r="D10026" s="271"/>
      <c r="E10026" s="271"/>
      <c r="F10026" s="271"/>
      <c r="G10026" s="273"/>
      <c r="H10026" s="29" t="str">
        <f t="shared" si="1336"/>
        <v>Unidad</v>
      </c>
      <c r="I10026" s="412">
        <f t="shared" si="1337"/>
        <v>119000</v>
      </c>
      <c r="J10026" s="361"/>
      <c r="K10026" s="395">
        <f>+'MICRO Y MACRO'!F82</f>
        <v>1</v>
      </c>
      <c r="L10026" s="273"/>
      <c r="M10026" s="394">
        <f t="shared" si="1338"/>
        <v>119000</v>
      </c>
      <c r="N10026" s="273"/>
    </row>
    <row r="10027" spans="1:14" ht="12.75" customHeight="1" x14ac:dyDescent="0.2">
      <c r="A10027" s="403" t="s">
        <v>1496</v>
      </c>
      <c r="B10027" s="271"/>
      <c r="C10027" s="271"/>
      <c r="D10027" s="271"/>
      <c r="E10027" s="271"/>
      <c r="F10027" s="271"/>
      <c r="G10027" s="273"/>
      <c r="H10027" s="29" t="str">
        <f t="shared" si="1336"/>
        <v>Unidad</v>
      </c>
      <c r="I10027" s="394">
        <f t="shared" si="1337"/>
        <v>16830</v>
      </c>
      <c r="J10027" s="273"/>
      <c r="K10027" s="395">
        <f>+'MICRO Y MACRO'!F83</f>
        <v>1</v>
      </c>
      <c r="L10027" s="273"/>
      <c r="M10027" s="394">
        <f t="shared" si="1338"/>
        <v>16830</v>
      </c>
      <c r="N10027" s="273"/>
    </row>
    <row r="10028" spans="1:14" ht="12.75" customHeight="1" x14ac:dyDescent="0.2">
      <c r="A10028" s="403" t="s">
        <v>1497</v>
      </c>
      <c r="B10028" s="271"/>
      <c r="C10028" s="271"/>
      <c r="D10028" s="271"/>
      <c r="E10028" s="271"/>
      <c r="F10028" s="271"/>
      <c r="G10028" s="273"/>
      <c r="H10028" s="29" t="str">
        <f t="shared" si="1336"/>
        <v>Unidad</v>
      </c>
      <c r="I10028" s="394">
        <f t="shared" si="1337"/>
        <v>22658</v>
      </c>
      <c r="J10028" s="273"/>
      <c r="K10028" s="395">
        <f>+'MICRO Y MACRO'!F84</f>
        <v>1</v>
      </c>
      <c r="L10028" s="273"/>
      <c r="M10028" s="394">
        <f t="shared" si="1338"/>
        <v>22658</v>
      </c>
      <c r="N10028" s="273"/>
    </row>
    <row r="10029" spans="1:14" ht="12.75" customHeight="1" x14ac:dyDescent="0.2">
      <c r="A10029" s="403" t="s">
        <v>1498</v>
      </c>
      <c r="B10029" s="271"/>
      <c r="C10029" s="271"/>
      <c r="D10029" s="271"/>
      <c r="E10029" s="271"/>
      <c r="F10029" s="271"/>
      <c r="G10029" s="273"/>
      <c r="H10029" s="29" t="str">
        <f t="shared" si="1336"/>
        <v>Unidad</v>
      </c>
      <c r="I10029" s="394">
        <f t="shared" si="1337"/>
        <v>12557</v>
      </c>
      <c r="J10029" s="273"/>
      <c r="K10029" s="395">
        <f>+'MICRO Y MACRO'!F85</f>
        <v>1</v>
      </c>
      <c r="L10029" s="273"/>
      <c r="M10029" s="394">
        <f t="shared" si="1338"/>
        <v>12557</v>
      </c>
      <c r="N10029" s="273"/>
    </row>
    <row r="10030" spans="1:14" ht="12.75" customHeight="1" x14ac:dyDescent="0.2">
      <c r="A10030" s="413" t="str">
        <f>'precios '!C338</f>
        <v xml:space="preserve">Caja para acometida domiciliaría plastica larga de 364*172 mm </v>
      </c>
      <c r="B10030" s="414"/>
      <c r="C10030" s="414"/>
      <c r="D10030" s="414"/>
      <c r="E10030" s="414"/>
      <c r="F10030" s="414"/>
      <c r="G10030" s="415"/>
      <c r="H10030" s="29" t="str">
        <f t="shared" si="1336"/>
        <v>Unidad</v>
      </c>
      <c r="I10030" s="412">
        <f t="shared" si="1337"/>
        <v>72000</v>
      </c>
      <c r="J10030" s="361"/>
      <c r="K10030" s="395">
        <f>+'MICRO Y MACRO'!F86</f>
        <v>1</v>
      </c>
      <c r="L10030" s="273"/>
      <c r="M10030" s="394">
        <f t="shared" si="1338"/>
        <v>72000</v>
      </c>
      <c r="N10030" s="273"/>
    </row>
    <row r="10031" spans="1:14" ht="12.75" customHeight="1" x14ac:dyDescent="0.2">
      <c r="A10031" s="403" t="s">
        <v>984</v>
      </c>
      <c r="B10031" s="271"/>
      <c r="C10031" s="271"/>
      <c r="D10031" s="271"/>
      <c r="E10031" s="271"/>
      <c r="F10031" s="271"/>
      <c r="G10031" s="273"/>
      <c r="H10031" s="29" t="str">
        <f t="shared" si="1336"/>
        <v>Galón</v>
      </c>
      <c r="I10031" s="394">
        <f t="shared" si="1337"/>
        <v>80900</v>
      </c>
      <c r="J10031" s="273"/>
      <c r="K10031" s="395">
        <v>0.05</v>
      </c>
      <c r="L10031" s="273"/>
      <c r="M10031" s="394">
        <f t="shared" si="1338"/>
        <v>4045</v>
      </c>
      <c r="N10031" s="273"/>
    </row>
    <row r="10032" spans="1:14" ht="12.75" customHeight="1" x14ac:dyDescent="0.2">
      <c r="A10032" s="403" t="s">
        <v>985</v>
      </c>
      <c r="B10032" s="271"/>
      <c r="C10032" s="271"/>
      <c r="D10032" s="271"/>
      <c r="E10032" s="271"/>
      <c r="F10032" s="271"/>
      <c r="G10032" s="273"/>
      <c r="H10032" s="29" t="str">
        <f t="shared" si="1336"/>
        <v>Galón</v>
      </c>
      <c r="I10032" s="394">
        <f t="shared" si="1337"/>
        <v>47200</v>
      </c>
      <c r="J10032" s="273"/>
      <c r="K10032" s="395">
        <v>0.05</v>
      </c>
      <c r="L10032" s="273"/>
      <c r="M10032" s="394">
        <f t="shared" si="1338"/>
        <v>2360</v>
      </c>
      <c r="N10032" s="273"/>
    </row>
    <row r="10033" spans="1:14" ht="12.75" customHeight="1" x14ac:dyDescent="0.2">
      <c r="A10033" s="403"/>
      <c r="B10033" s="271"/>
      <c r="C10033" s="271"/>
      <c r="D10033" s="271"/>
      <c r="E10033" s="271"/>
      <c r="F10033" s="271"/>
      <c r="G10033" s="273"/>
      <c r="H10033" s="29"/>
      <c r="I10033" s="394"/>
      <c r="J10033" s="273"/>
      <c r="K10033" s="395"/>
      <c r="L10033" s="273"/>
      <c r="M10033" s="394"/>
      <c r="N10033" s="273"/>
    </row>
    <row r="10034" spans="1:14" ht="12.75" customHeight="1" x14ac:dyDescent="0.2">
      <c r="A10034" s="403"/>
      <c r="B10034" s="271"/>
      <c r="C10034" s="271"/>
      <c r="D10034" s="271"/>
      <c r="E10034" s="271"/>
      <c r="F10034" s="271"/>
      <c r="G10034" s="273"/>
      <c r="H10034" s="29" t="str">
        <f>IF(A10034="","",VLOOKUP(A10034,AA_Materiales,7,FALSE))</f>
        <v/>
      </c>
      <c r="I10034" s="394" t="str">
        <f>IF(A10034="","",VLOOKUP(A10034,AA_Materiales,8,FALSE))</f>
        <v/>
      </c>
      <c r="J10034" s="273"/>
      <c r="K10034" s="395"/>
      <c r="L10034" s="273"/>
      <c r="M10034" s="394" t="str">
        <f>IF(A10034="","",I10034*K10034)</f>
        <v/>
      </c>
      <c r="N10034" s="273"/>
    </row>
    <row r="10035" spans="1:14" ht="12.75" customHeight="1" x14ac:dyDescent="0.25">
      <c r="A10035" s="4"/>
      <c r="B10035" s="4"/>
      <c r="C10035" s="4"/>
      <c r="D10035" s="4"/>
      <c r="E10035" s="4"/>
      <c r="F10035" s="4"/>
      <c r="G10035" s="4"/>
      <c r="H10035" s="4"/>
      <c r="I10035" s="4"/>
      <c r="J10035" s="4"/>
      <c r="K10035" s="396" t="s">
        <v>444</v>
      </c>
      <c r="L10035" s="273"/>
      <c r="M10035" s="394">
        <f>SUM(M10020:N10034)</f>
        <v>294430.88</v>
      </c>
      <c r="N10035" s="273"/>
    </row>
    <row r="10036" spans="1:14" ht="12.75" customHeight="1" x14ac:dyDescent="0.25">
      <c r="A10036" s="4"/>
      <c r="B10036" s="4"/>
      <c r="C10036" s="4"/>
      <c r="D10036" s="4"/>
      <c r="E10036" s="4"/>
      <c r="F10036" s="4"/>
      <c r="G10036" s="4"/>
      <c r="H10036" s="4"/>
      <c r="I10036" s="4"/>
      <c r="J10036" s="4"/>
      <c r="K10036" s="4"/>
      <c r="L10036" s="4"/>
      <c r="M10036" s="4"/>
      <c r="N10036" s="4"/>
    </row>
    <row r="10037" spans="1:14" ht="12.75" customHeight="1" x14ac:dyDescent="0.2">
      <c r="A10037" s="398" t="s">
        <v>926</v>
      </c>
      <c r="B10037" s="271"/>
      <c r="C10037" s="271"/>
      <c r="D10037" s="271"/>
      <c r="E10037" s="271"/>
      <c r="F10037" s="271"/>
      <c r="G10037" s="271"/>
      <c r="H10037" s="271"/>
      <c r="I10037" s="271"/>
      <c r="J10037" s="271"/>
      <c r="K10037" s="271"/>
      <c r="L10037" s="271"/>
      <c r="M10037" s="271"/>
      <c r="N10037" s="273"/>
    </row>
    <row r="10038" spans="1:14" ht="12.75" customHeight="1" x14ac:dyDescent="0.2">
      <c r="A10038" s="396" t="s">
        <v>76</v>
      </c>
      <c r="B10038" s="271"/>
      <c r="C10038" s="271"/>
      <c r="D10038" s="271"/>
      <c r="E10038" s="271"/>
      <c r="F10038" s="271"/>
      <c r="G10038" s="273"/>
      <c r="H10038" s="88" t="s">
        <v>77</v>
      </c>
      <c r="I10038" s="399" t="s">
        <v>920</v>
      </c>
      <c r="J10038" s="273"/>
      <c r="K10038" s="399" t="s">
        <v>453</v>
      </c>
      <c r="L10038" s="273"/>
      <c r="M10038" s="399" t="s">
        <v>921</v>
      </c>
      <c r="N10038" s="273"/>
    </row>
    <row r="10039" spans="1:14" ht="12.75" customHeight="1" x14ac:dyDescent="0.2">
      <c r="A10039" s="400" t="s">
        <v>927</v>
      </c>
      <c r="B10039" s="271"/>
      <c r="C10039" s="271"/>
      <c r="D10039" s="271"/>
      <c r="E10039" s="271"/>
      <c r="F10039" s="271"/>
      <c r="G10039" s="273"/>
      <c r="H10039" s="29" t="str">
        <f>IF(A10039="","",VLOOKUP(A10039,AA_Equipos,7,FALSE))</f>
        <v>% M.O.</v>
      </c>
      <c r="I10039" s="394">
        <f>+M10062</f>
        <v>234076.29333333333</v>
      </c>
      <c r="J10039" s="273"/>
      <c r="K10039" s="404">
        <v>0.05</v>
      </c>
      <c r="L10039" s="273"/>
      <c r="M10039" s="394">
        <f t="shared" ref="M10039:M10043" si="1339">IF(A10039="","",I10039*K10039)</f>
        <v>11703.814666666667</v>
      </c>
      <c r="N10039" s="273"/>
    </row>
    <row r="10040" spans="1:14" ht="12.75" customHeight="1" x14ac:dyDescent="0.2">
      <c r="A10040" s="403"/>
      <c r="B10040" s="271"/>
      <c r="C10040" s="271"/>
      <c r="D10040" s="271"/>
      <c r="E10040" s="271"/>
      <c r="F10040" s="271"/>
      <c r="G10040" s="273"/>
      <c r="H10040" s="29" t="str">
        <f>IF(A10040="","",VLOOKUP(A10040,AA_Equipos,7,FALSE))</f>
        <v/>
      </c>
      <c r="I10040" s="394" t="str">
        <f>IF(A10040="","",VLOOKUP(A10040,AA_Equipos,8,FALSE))</f>
        <v/>
      </c>
      <c r="J10040" s="273"/>
      <c r="K10040" s="402"/>
      <c r="L10040" s="273"/>
      <c r="M10040" s="394" t="str">
        <f t="shared" si="1339"/>
        <v/>
      </c>
      <c r="N10040" s="273"/>
    </row>
    <row r="10041" spans="1:14" ht="12.75" customHeight="1" x14ac:dyDescent="0.2">
      <c r="A10041" s="400"/>
      <c r="B10041" s="271"/>
      <c r="C10041" s="271"/>
      <c r="D10041" s="271"/>
      <c r="E10041" s="271"/>
      <c r="F10041" s="271"/>
      <c r="G10041" s="273"/>
      <c r="H10041" s="29" t="str">
        <f>IF(A10041="","",VLOOKUP(A10041,AA_Equipos,7,FALSE))</f>
        <v/>
      </c>
      <c r="I10041" s="394" t="str">
        <f>IF(A10041="","",VLOOKUP(A10041,AA_Equipos,8,FALSE))</f>
        <v/>
      </c>
      <c r="J10041" s="273"/>
      <c r="K10041" s="401"/>
      <c r="L10041" s="273"/>
      <c r="M10041" s="394" t="str">
        <f t="shared" si="1339"/>
        <v/>
      </c>
      <c r="N10041" s="273"/>
    </row>
    <row r="10042" spans="1:14" ht="12.75" customHeight="1" x14ac:dyDescent="0.2">
      <c r="A10042" s="400"/>
      <c r="B10042" s="271"/>
      <c r="C10042" s="271"/>
      <c r="D10042" s="271"/>
      <c r="E10042" s="271"/>
      <c r="F10042" s="271"/>
      <c r="G10042" s="273"/>
      <c r="H10042" s="29" t="str">
        <f>IF(A10042="","",VLOOKUP(A10042,AA_Equipos,7,FALSE))</f>
        <v/>
      </c>
      <c r="I10042" s="394" t="str">
        <f>IF(A10042="","",VLOOKUP(A10042,AA_Equipos,8,FALSE))</f>
        <v/>
      </c>
      <c r="J10042" s="273"/>
      <c r="K10042" s="395"/>
      <c r="L10042" s="273"/>
      <c r="M10042" s="394" t="str">
        <f t="shared" si="1339"/>
        <v/>
      </c>
      <c r="N10042" s="273"/>
    </row>
    <row r="10043" spans="1:14" ht="12.75" customHeight="1" x14ac:dyDescent="0.2">
      <c r="A10043" s="400"/>
      <c r="B10043" s="271"/>
      <c r="C10043" s="271"/>
      <c r="D10043" s="271"/>
      <c r="E10043" s="271"/>
      <c r="F10043" s="271"/>
      <c r="G10043" s="273"/>
      <c r="H10043" s="29" t="str">
        <f>IF(A10043="","",VLOOKUP(A10043,AA_Equipos,7,FALSE))</f>
        <v/>
      </c>
      <c r="I10043" s="394" t="str">
        <f>IF(A10043="","",VLOOKUP(A10043,AA_Equipos,8,FALSE))</f>
        <v/>
      </c>
      <c r="J10043" s="273"/>
      <c r="K10043" s="395"/>
      <c r="L10043" s="273"/>
      <c r="M10043" s="394" t="str">
        <f t="shared" si="1339"/>
        <v/>
      </c>
      <c r="N10043" s="273"/>
    </row>
    <row r="10044" spans="1:14" ht="12.75" customHeight="1" x14ac:dyDescent="0.25">
      <c r="A10044" s="4"/>
      <c r="B10044" s="4"/>
      <c r="C10044" s="4"/>
      <c r="D10044" s="4"/>
      <c r="E10044" s="4"/>
      <c r="F10044" s="4"/>
      <c r="G10044" s="4"/>
      <c r="H10044" s="4"/>
      <c r="I10044" s="4"/>
      <c r="J10044" s="4"/>
      <c r="K10044" s="396" t="s">
        <v>444</v>
      </c>
      <c r="L10044" s="273"/>
      <c r="M10044" s="394">
        <f>SUM(M10039:N10043)</f>
        <v>11703.814666666667</v>
      </c>
      <c r="N10044" s="273"/>
    </row>
    <row r="10045" spans="1:14" ht="12.75" customHeight="1" x14ac:dyDescent="0.25">
      <c r="A10045" s="4"/>
      <c r="B10045" s="4"/>
      <c r="C10045" s="4"/>
      <c r="D10045" s="4"/>
      <c r="E10045" s="4"/>
      <c r="F10045" s="4"/>
      <c r="G10045" s="4"/>
      <c r="H10045" s="4"/>
      <c r="I10045" s="4"/>
      <c r="J10045" s="4"/>
      <c r="K10045" s="4"/>
      <c r="L10045" s="4"/>
      <c r="M10045" s="4"/>
      <c r="N10045" s="4"/>
    </row>
    <row r="10046" spans="1:14" ht="12.75" customHeight="1" x14ac:dyDescent="0.2">
      <c r="A10046" s="398" t="s">
        <v>929</v>
      </c>
      <c r="B10046" s="271"/>
      <c r="C10046" s="271"/>
      <c r="D10046" s="271"/>
      <c r="E10046" s="271"/>
      <c r="F10046" s="271"/>
      <c r="G10046" s="271"/>
      <c r="H10046" s="271"/>
      <c r="I10046" s="271"/>
      <c r="J10046" s="271"/>
      <c r="K10046" s="271"/>
      <c r="L10046" s="271"/>
      <c r="M10046" s="271"/>
      <c r="N10046" s="273"/>
    </row>
    <row r="10047" spans="1:14" ht="12.75" customHeight="1" x14ac:dyDescent="0.2">
      <c r="A10047" s="396" t="s">
        <v>76</v>
      </c>
      <c r="B10047" s="271"/>
      <c r="C10047" s="271"/>
      <c r="D10047" s="271"/>
      <c r="E10047" s="271"/>
      <c r="F10047" s="271"/>
      <c r="G10047" s="273"/>
      <c r="H10047" s="88" t="s">
        <v>77</v>
      </c>
      <c r="I10047" s="399" t="s">
        <v>920</v>
      </c>
      <c r="J10047" s="273"/>
      <c r="K10047" s="399" t="s">
        <v>453</v>
      </c>
      <c r="L10047" s="273"/>
      <c r="M10047" s="399" t="s">
        <v>921</v>
      </c>
      <c r="N10047" s="273"/>
    </row>
    <row r="10048" spans="1:14" ht="12.75" customHeight="1" x14ac:dyDescent="0.2">
      <c r="A10048" s="400" t="s">
        <v>966</v>
      </c>
      <c r="B10048" s="271"/>
      <c r="C10048" s="271"/>
      <c r="D10048" s="271"/>
      <c r="E10048" s="271"/>
      <c r="F10048" s="271"/>
      <c r="G10048" s="273"/>
      <c r="H10048" s="29" t="s">
        <v>950</v>
      </c>
      <c r="I10048" s="394">
        <f>+M10035</f>
        <v>294430.88</v>
      </c>
      <c r="J10048" s="273"/>
      <c r="K10048" s="404">
        <v>0.05</v>
      </c>
      <c r="L10048" s="273"/>
      <c r="M10048" s="394">
        <f t="shared" ref="M10048:M10052" si="1340">IF(A10048="","",I10048*K10048)</f>
        <v>14721.544000000002</v>
      </c>
      <c r="N10048" s="273"/>
    </row>
    <row r="10049" spans="1:15" ht="12.75" customHeight="1" x14ac:dyDescent="0.2">
      <c r="A10049" s="403" t="s">
        <v>3174</v>
      </c>
      <c r="B10049" s="271"/>
      <c r="C10049" s="271"/>
      <c r="D10049" s="271"/>
      <c r="E10049" s="271"/>
      <c r="F10049" s="271"/>
      <c r="G10049" s="273"/>
      <c r="H10049" s="29" t="s">
        <v>24</v>
      </c>
      <c r="I10049" s="394">
        <f>+M10044</f>
        <v>11703.814666666667</v>
      </c>
      <c r="J10049" s="273"/>
      <c r="K10049" s="404">
        <v>0.05</v>
      </c>
      <c r="L10049" s="273"/>
      <c r="M10049" s="394">
        <f t="shared" si="1340"/>
        <v>585.19073333333336</v>
      </c>
      <c r="N10049" s="273"/>
    </row>
    <row r="10050" spans="1:15" ht="12.75" customHeight="1" x14ac:dyDescent="0.2">
      <c r="A10050" s="400"/>
      <c r="B10050" s="271"/>
      <c r="C10050" s="271"/>
      <c r="D10050" s="271"/>
      <c r="E10050" s="271"/>
      <c r="F10050" s="271"/>
      <c r="G10050" s="273"/>
      <c r="H10050" s="29"/>
      <c r="I10050" s="394"/>
      <c r="J10050" s="273"/>
      <c r="K10050" s="395"/>
      <c r="L10050" s="273"/>
      <c r="M10050" s="394" t="str">
        <f t="shared" si="1340"/>
        <v/>
      </c>
      <c r="N10050" s="273"/>
    </row>
    <row r="10051" spans="1:15" ht="12.75" customHeight="1" x14ac:dyDescent="0.2">
      <c r="A10051" s="400"/>
      <c r="B10051" s="271"/>
      <c r="C10051" s="271"/>
      <c r="D10051" s="271"/>
      <c r="E10051" s="271"/>
      <c r="F10051" s="271"/>
      <c r="G10051" s="273"/>
      <c r="H10051" s="29"/>
      <c r="I10051" s="394"/>
      <c r="J10051" s="273"/>
      <c r="K10051" s="395"/>
      <c r="L10051" s="273"/>
      <c r="M10051" s="394" t="str">
        <f t="shared" si="1340"/>
        <v/>
      </c>
      <c r="N10051" s="273"/>
    </row>
    <row r="10052" spans="1:15" ht="12.75" customHeight="1" x14ac:dyDescent="0.2">
      <c r="A10052" s="400"/>
      <c r="B10052" s="271"/>
      <c r="C10052" s="271"/>
      <c r="D10052" s="271"/>
      <c r="E10052" s="271"/>
      <c r="F10052" s="271"/>
      <c r="G10052" s="273"/>
      <c r="H10052" s="29"/>
      <c r="I10052" s="394"/>
      <c r="J10052" s="273"/>
      <c r="K10052" s="395"/>
      <c r="L10052" s="273"/>
      <c r="M10052" s="394" t="str">
        <f t="shared" si="1340"/>
        <v/>
      </c>
      <c r="N10052" s="273"/>
    </row>
    <row r="10053" spans="1:15" ht="12.75" customHeight="1" x14ac:dyDescent="0.25">
      <c r="A10053" s="4"/>
      <c r="B10053" s="4"/>
      <c r="C10053" s="4"/>
      <c r="D10053" s="4"/>
      <c r="E10053" s="4"/>
      <c r="F10053" s="4"/>
      <c r="G10053" s="4"/>
      <c r="H10053" s="4"/>
      <c r="I10053" s="4"/>
      <c r="J10053" s="4"/>
      <c r="K10053" s="396" t="s">
        <v>444</v>
      </c>
      <c r="L10053" s="273"/>
      <c r="M10053" s="394">
        <f>SUM(M10048:N10052)</f>
        <v>15306.734733333335</v>
      </c>
      <c r="N10053" s="273"/>
    </row>
    <row r="10054" spans="1:15" ht="12.75" customHeight="1" x14ac:dyDescent="0.25">
      <c r="A10054" s="4"/>
      <c r="B10054" s="4"/>
      <c r="C10054" s="4"/>
      <c r="D10054" s="4"/>
      <c r="E10054" s="4"/>
      <c r="F10054" s="4"/>
      <c r="G10054" s="4"/>
      <c r="H10054" s="4"/>
      <c r="I10054" s="4"/>
      <c r="J10054" s="4"/>
      <c r="K10054" s="4"/>
      <c r="L10054" s="4"/>
      <c r="M10054" s="4"/>
      <c r="N10054" s="4"/>
    </row>
    <row r="10055" spans="1:15" ht="12.75" customHeight="1" x14ac:dyDescent="0.2">
      <c r="A10055" s="398" t="s">
        <v>931</v>
      </c>
      <c r="B10055" s="271"/>
      <c r="C10055" s="271"/>
      <c r="D10055" s="271"/>
      <c r="E10055" s="271"/>
      <c r="F10055" s="271"/>
      <c r="G10055" s="271"/>
      <c r="H10055" s="271"/>
      <c r="I10055" s="271"/>
      <c r="J10055" s="271"/>
      <c r="K10055" s="271"/>
      <c r="L10055" s="271"/>
      <c r="M10055" s="271"/>
      <c r="N10055" s="273"/>
    </row>
    <row r="10056" spans="1:15" ht="12.75" customHeight="1" x14ac:dyDescent="0.2">
      <c r="A10056" s="396" t="s">
        <v>76</v>
      </c>
      <c r="B10056" s="271"/>
      <c r="C10056" s="271"/>
      <c r="D10056" s="271"/>
      <c r="E10056" s="271"/>
      <c r="F10056" s="271"/>
      <c r="G10056" s="273"/>
      <c r="H10056" s="88" t="s">
        <v>77</v>
      </c>
      <c r="I10056" s="399" t="s">
        <v>920</v>
      </c>
      <c r="J10056" s="273"/>
      <c r="K10056" s="90" t="s">
        <v>514</v>
      </c>
      <c r="L10056" s="91" t="s">
        <v>932</v>
      </c>
      <c r="M10056" s="399" t="s">
        <v>921</v>
      </c>
      <c r="N10056" s="273"/>
    </row>
    <row r="10057" spans="1:15" ht="12.75" customHeight="1" x14ac:dyDescent="0.25">
      <c r="A10057" s="393" t="s">
        <v>951</v>
      </c>
      <c r="B10057" s="271"/>
      <c r="C10057" s="271"/>
      <c r="D10057" s="271"/>
      <c r="E10057" s="271"/>
      <c r="F10057" s="271"/>
      <c r="G10057" s="273"/>
      <c r="H10057" s="29" t="str">
        <f>IF(A10057="","",VLOOKUP(A10057,AA_Cuadrillas,4,FALSE))</f>
        <v>Cuadrilla</v>
      </c>
      <c r="I10057" s="394">
        <f>IF(A10057="","",VLOOKUP(A10057,AA_Cuadrillas,5,FALSE))</f>
        <v>186763</v>
      </c>
      <c r="J10057" s="273"/>
      <c r="K10057" s="9">
        <f>IF(A10057="","",F.P!$I$2)</f>
        <v>1.88</v>
      </c>
      <c r="L10057" s="97">
        <f>1/1.5</f>
        <v>0.66666666666666663</v>
      </c>
      <c r="M10057" s="394">
        <f t="shared" ref="M10057:M10061" si="1341">IF(A10057="","",I10057*K10057*L10057)</f>
        <v>234076.29333333333</v>
      </c>
      <c r="N10057" s="273"/>
    </row>
    <row r="10058" spans="1:15" ht="12.75" customHeight="1" x14ac:dyDescent="0.25">
      <c r="A10058" s="393"/>
      <c r="B10058" s="271"/>
      <c r="C10058" s="271"/>
      <c r="D10058" s="271"/>
      <c r="E10058" s="271"/>
      <c r="F10058" s="271"/>
      <c r="G10058" s="273"/>
      <c r="H10058" s="29" t="str">
        <f>IF(A10058="","",VLOOKUP(A10058,AA_Cuadrillas,4,FALSE))</f>
        <v/>
      </c>
      <c r="I10058" s="394" t="str">
        <f>IF(A10058="","",VLOOKUP(A10058,AA_Cuadrillas,5,FALSE))</f>
        <v/>
      </c>
      <c r="J10058" s="273"/>
      <c r="K10058" s="9" t="str">
        <f>IF(A10058="","",F.P!$I$2)</f>
        <v/>
      </c>
      <c r="L10058" s="9"/>
      <c r="M10058" s="394" t="str">
        <f t="shared" si="1341"/>
        <v/>
      </c>
      <c r="N10058" s="273"/>
    </row>
    <row r="10059" spans="1:15" ht="12.75" customHeight="1" x14ac:dyDescent="0.25">
      <c r="A10059" s="393"/>
      <c r="B10059" s="271"/>
      <c r="C10059" s="271"/>
      <c r="D10059" s="271"/>
      <c r="E10059" s="271"/>
      <c r="F10059" s="271"/>
      <c r="G10059" s="273"/>
      <c r="H10059" s="29" t="str">
        <f>IF(A10059="","",VLOOKUP(A10059,AA_Cuadrillas,4,FALSE))</f>
        <v/>
      </c>
      <c r="I10059" s="394" t="str">
        <f>IF(A10059="","",VLOOKUP(A10059,AA_Cuadrillas,5,FALSE))</f>
        <v/>
      </c>
      <c r="J10059" s="273"/>
      <c r="K10059" s="9" t="str">
        <f>IF(A10059="","",F.P!$I$2)</f>
        <v/>
      </c>
      <c r="L10059" s="37"/>
      <c r="M10059" s="394" t="str">
        <f t="shared" si="1341"/>
        <v/>
      </c>
      <c r="N10059" s="273"/>
    </row>
    <row r="10060" spans="1:15" ht="12.75" customHeight="1" x14ac:dyDescent="0.25">
      <c r="A10060" s="393"/>
      <c r="B10060" s="271"/>
      <c r="C10060" s="271"/>
      <c r="D10060" s="271"/>
      <c r="E10060" s="271"/>
      <c r="F10060" s="271"/>
      <c r="G10060" s="273"/>
      <c r="H10060" s="29" t="str">
        <f>IF(A10060="","",VLOOKUP(A10060,AA_Cuadrillas,4,FALSE))</f>
        <v/>
      </c>
      <c r="I10060" s="394" t="str">
        <f>IF(A10060="","",VLOOKUP(A10060,AA_Cuadrillas,5,FALSE))</f>
        <v/>
      </c>
      <c r="J10060" s="273"/>
      <c r="K10060" s="9" t="str">
        <f>IF(A10060="","",F.P!$I$2)</f>
        <v/>
      </c>
      <c r="L10060" s="37"/>
      <c r="M10060" s="394" t="str">
        <f t="shared" si="1341"/>
        <v/>
      </c>
      <c r="N10060" s="273"/>
    </row>
    <row r="10061" spans="1:15" ht="12.75" customHeight="1" x14ac:dyDescent="0.25">
      <c r="A10061" s="393"/>
      <c r="B10061" s="271"/>
      <c r="C10061" s="271"/>
      <c r="D10061" s="271"/>
      <c r="E10061" s="271"/>
      <c r="F10061" s="271"/>
      <c r="G10061" s="273"/>
      <c r="H10061" s="29" t="str">
        <f>IF(A10061="","",VLOOKUP(A10061,AA_Cuadrillas,4,FALSE))</f>
        <v/>
      </c>
      <c r="I10061" s="394" t="str">
        <f>IF(A10061="","",VLOOKUP(A10061,AA_Cuadrillas,5,FALSE))</f>
        <v/>
      </c>
      <c r="J10061" s="273"/>
      <c r="K10061" s="9" t="str">
        <f>IF(A10061="","",F.P!$I$2)</f>
        <v/>
      </c>
      <c r="L10061" s="37"/>
      <c r="M10061" s="394" t="str">
        <f t="shared" si="1341"/>
        <v/>
      </c>
      <c r="N10061" s="273"/>
    </row>
    <row r="10062" spans="1:15" ht="12.75" customHeight="1" x14ac:dyDescent="0.25">
      <c r="A10062" s="4"/>
      <c r="B10062" s="4"/>
      <c r="C10062" s="4"/>
      <c r="D10062" s="4"/>
      <c r="E10062" s="4"/>
      <c r="F10062" s="4"/>
      <c r="G10062" s="4"/>
      <c r="H10062" s="4"/>
      <c r="I10062" s="4"/>
      <c r="J10062" s="4"/>
      <c r="K10062" s="396" t="s">
        <v>444</v>
      </c>
      <c r="L10062" s="273"/>
      <c r="M10062" s="394">
        <f>SUM(M10057:N10061)</f>
        <v>234076.29333333333</v>
      </c>
      <c r="N10062" s="273"/>
    </row>
    <row r="10063" spans="1:15" ht="12.75" customHeight="1" x14ac:dyDescent="0.2"/>
    <row r="10064" spans="1:15" ht="12.75" customHeight="1" x14ac:dyDescent="0.2">
      <c r="A10064" s="397" t="s">
        <v>361</v>
      </c>
      <c r="B10064" s="275"/>
      <c r="C10064" s="275"/>
      <c r="D10064" s="275"/>
      <c r="E10064" s="275"/>
      <c r="F10064" s="275"/>
      <c r="G10064" s="275"/>
      <c r="H10064" s="275"/>
      <c r="I10064" s="275"/>
      <c r="J10064" s="275"/>
      <c r="K10064" s="275"/>
      <c r="L10064" s="275"/>
      <c r="M10064" s="275"/>
      <c r="N10064" s="276"/>
      <c r="O10064" s="166"/>
    </row>
    <row r="10065" spans="1:15" ht="12.75" customHeight="1" x14ac:dyDescent="0.2">
      <c r="A10065" s="277"/>
      <c r="B10065" s="278"/>
      <c r="C10065" s="278"/>
      <c r="D10065" s="278"/>
      <c r="E10065" s="278"/>
      <c r="F10065" s="278"/>
      <c r="G10065" s="278"/>
      <c r="H10065" s="278"/>
      <c r="I10065" s="278"/>
      <c r="J10065" s="278"/>
      <c r="K10065" s="278"/>
      <c r="L10065" s="278"/>
      <c r="M10065" s="278"/>
      <c r="N10065" s="279"/>
      <c r="O10065" s="166"/>
    </row>
    <row r="10066" spans="1:15" ht="12.75" customHeight="1" x14ac:dyDescent="0.2">
      <c r="A10066" s="75"/>
      <c r="B10066" s="75"/>
      <c r="C10066" s="75"/>
      <c r="D10066" s="75"/>
      <c r="E10066" s="75"/>
      <c r="F10066" s="75"/>
      <c r="G10066" s="75"/>
      <c r="H10066" s="75"/>
      <c r="I10066" s="75"/>
      <c r="J10066" s="75"/>
      <c r="K10066" s="75"/>
      <c r="L10066" s="75"/>
      <c r="M10066" s="75"/>
      <c r="N10066" s="75"/>
    </row>
    <row r="10067" spans="1:15" ht="12.75" customHeight="1" x14ac:dyDescent="0.3">
      <c r="A10067" s="79" t="s">
        <v>835</v>
      </c>
      <c r="B10067" s="80" t="str">
        <f>A10064</f>
        <v>REPOSICIÓN DE CAPA DE RODADURA DE PAVIMENTO FLEXIBLE EN ASFALTO MDC-19, CON ESPESOR DE 7CM (INCLUYE APISONADOR TIPO BENITIN, MATERIALES, HERRAMIENTA MENOR Y MANO DE OBRA)</v>
      </c>
      <c r="C10067" s="81" t="s">
        <v>916</v>
      </c>
      <c r="D10067" s="82" t="s">
        <v>934</v>
      </c>
      <c r="E10067" s="83" t="s">
        <v>445</v>
      </c>
      <c r="F10067" s="234">
        <f>(H10067+J10067+L10067+N10067)*1.3</f>
        <v>159736.9698932271</v>
      </c>
      <c r="G10067" s="83" t="s">
        <v>607</v>
      </c>
      <c r="H10067" s="86">
        <f>M10084</f>
        <v>8618.6880304456772</v>
      </c>
      <c r="I10067" s="83" t="s">
        <v>918</v>
      </c>
      <c r="J10067" s="86">
        <f>M10075</f>
        <v>63427</v>
      </c>
      <c r="K10067" s="83" t="s">
        <v>609</v>
      </c>
      <c r="L10067" s="86">
        <f>M10093</f>
        <v>20984.204995113629</v>
      </c>
      <c r="M10067" s="83" t="s">
        <v>610</v>
      </c>
      <c r="N10067" s="86">
        <f>M10102</f>
        <v>29844.699199999999</v>
      </c>
    </row>
    <row r="10068" spans="1:15" ht="12.75" customHeight="1" x14ac:dyDescent="0.25">
      <c r="A10068" s="87"/>
      <c r="B10068" s="87"/>
      <c r="C10068" s="87"/>
      <c r="D10068" s="87"/>
      <c r="E10068" s="87"/>
      <c r="F10068" s="87"/>
      <c r="G10068" s="87"/>
      <c r="J10068" s="87"/>
      <c r="K10068" s="215" t="s">
        <v>3217</v>
      </c>
      <c r="L10068" s="215">
        <f>+F10067*presup!$O$5</f>
        <v>207658.06086119523</v>
      </c>
      <c r="M10068" s="87"/>
      <c r="N10068" s="87"/>
    </row>
    <row r="10069" spans="1:15" ht="12.75" customHeight="1" x14ac:dyDescent="0.2">
      <c r="A10069" s="398" t="s">
        <v>919</v>
      </c>
      <c r="B10069" s="271"/>
      <c r="C10069" s="271"/>
      <c r="D10069" s="271"/>
      <c r="E10069" s="271"/>
      <c r="F10069" s="271"/>
      <c r="G10069" s="271"/>
      <c r="H10069" s="271"/>
      <c r="I10069" s="271"/>
      <c r="J10069" s="271"/>
      <c r="K10069" s="271"/>
      <c r="L10069" s="271"/>
      <c r="M10069" s="271"/>
      <c r="N10069" s="273"/>
    </row>
    <row r="10070" spans="1:15" ht="12.75" customHeight="1" x14ac:dyDescent="0.2">
      <c r="A10070" s="396" t="s">
        <v>76</v>
      </c>
      <c r="B10070" s="271"/>
      <c r="C10070" s="271"/>
      <c r="D10070" s="271"/>
      <c r="E10070" s="271"/>
      <c r="F10070" s="271"/>
      <c r="G10070" s="273"/>
      <c r="H10070" s="88" t="s">
        <v>77</v>
      </c>
      <c r="I10070" s="399" t="s">
        <v>920</v>
      </c>
      <c r="J10070" s="273"/>
      <c r="K10070" s="399" t="s">
        <v>453</v>
      </c>
      <c r="L10070" s="273"/>
      <c r="M10070" s="399" t="s">
        <v>921</v>
      </c>
      <c r="N10070" s="273"/>
    </row>
    <row r="10071" spans="1:15" ht="12.75" customHeight="1" x14ac:dyDescent="0.2">
      <c r="A10071" s="403" t="s">
        <v>1499</v>
      </c>
      <c r="B10071" s="271"/>
      <c r="C10071" s="271"/>
      <c r="D10071" s="271"/>
      <c r="E10071" s="271"/>
      <c r="F10071" s="271"/>
      <c r="G10071" s="273"/>
      <c r="H10071" s="29" t="str">
        <f>IF(A10071="","",VLOOKUP(A10071,AA_Materiales,7,FALSE))</f>
        <v>m2</v>
      </c>
      <c r="I10071" s="394">
        <f>IF(A10071="","",VLOOKUP(A10071,AA_Materiales,8,FALSE))</f>
        <v>595000</v>
      </c>
      <c r="J10071" s="273"/>
      <c r="K10071" s="395">
        <v>0.1</v>
      </c>
      <c r="L10071" s="273"/>
      <c r="M10071" s="394">
        <f t="shared" ref="M10071:M10074" si="1342">IF(A10071="","",I10071*K10071)</f>
        <v>59500</v>
      </c>
      <c r="N10071" s="273"/>
    </row>
    <row r="10072" spans="1:15" ht="12.75" customHeight="1" x14ac:dyDescent="0.2">
      <c r="A10072" s="403" t="s">
        <v>1500</v>
      </c>
      <c r="B10072" s="271"/>
      <c r="C10072" s="271"/>
      <c r="D10072" s="271"/>
      <c r="E10072" s="271"/>
      <c r="F10072" s="271"/>
      <c r="G10072" s="273"/>
      <c r="H10072" s="29" t="str">
        <f>IF(A10072="","",VLOOKUP(A10072,AA_Materiales,7,FALSE))</f>
        <v>Galón</v>
      </c>
      <c r="I10072" s="394">
        <f>IF(A10072="","",VLOOKUP(A10072,AA_Materiales,8,FALSE))</f>
        <v>13090</v>
      </c>
      <c r="J10072" s="273"/>
      <c r="K10072" s="395">
        <v>0.3</v>
      </c>
      <c r="L10072" s="273"/>
      <c r="M10072" s="394">
        <f t="shared" si="1342"/>
        <v>3927</v>
      </c>
      <c r="N10072" s="273"/>
    </row>
    <row r="10073" spans="1:15" ht="12.75" customHeight="1" x14ac:dyDescent="0.2">
      <c r="A10073" s="403"/>
      <c r="B10073" s="271"/>
      <c r="C10073" s="271"/>
      <c r="D10073" s="271"/>
      <c r="E10073" s="271"/>
      <c r="F10073" s="271"/>
      <c r="G10073" s="273"/>
      <c r="H10073" s="29" t="str">
        <f>IF(A10073="","",VLOOKUP(A10073,AA_Materiales,7,FALSE))</f>
        <v/>
      </c>
      <c r="I10073" s="394" t="str">
        <f>IF(A10073="","",VLOOKUP(A10073,AA_Materiales,8,FALSE))</f>
        <v/>
      </c>
      <c r="J10073" s="273"/>
      <c r="K10073" s="395"/>
      <c r="L10073" s="273"/>
      <c r="M10073" s="394" t="str">
        <f t="shared" si="1342"/>
        <v/>
      </c>
      <c r="N10073" s="273"/>
    </row>
    <row r="10074" spans="1:15" ht="12.75" customHeight="1" x14ac:dyDescent="0.2">
      <c r="A10074" s="403"/>
      <c r="B10074" s="271"/>
      <c r="C10074" s="271"/>
      <c r="D10074" s="271"/>
      <c r="E10074" s="271"/>
      <c r="F10074" s="271"/>
      <c r="G10074" s="273"/>
      <c r="H10074" s="29" t="str">
        <f>IF(A10074="","",VLOOKUP(A10074,AA_Materiales,7,FALSE))</f>
        <v/>
      </c>
      <c r="I10074" s="394" t="str">
        <f>IF(A10074="","",VLOOKUP(A10074,AA_Materiales,8,FALSE))</f>
        <v/>
      </c>
      <c r="J10074" s="273"/>
      <c r="K10074" s="395"/>
      <c r="L10074" s="273"/>
      <c r="M10074" s="394" t="str">
        <f t="shared" si="1342"/>
        <v/>
      </c>
      <c r="N10074" s="273"/>
    </row>
    <row r="10075" spans="1:15" ht="12.75" customHeight="1" x14ac:dyDescent="0.25">
      <c r="A10075" s="4"/>
      <c r="B10075" s="4"/>
      <c r="C10075" s="4"/>
      <c r="D10075" s="4"/>
      <c r="E10075" s="4"/>
      <c r="F10075" s="4"/>
      <c r="G10075" s="4"/>
      <c r="H10075" s="4"/>
      <c r="I10075" s="4"/>
      <c r="J10075" s="4"/>
      <c r="K10075" s="396" t="s">
        <v>444</v>
      </c>
      <c r="L10075" s="273"/>
      <c r="M10075" s="394">
        <f>SUM(M10071:N10074)</f>
        <v>63427</v>
      </c>
      <c r="N10075" s="273"/>
    </row>
    <row r="10076" spans="1:15" ht="12.75" customHeight="1" x14ac:dyDescent="0.25">
      <c r="A10076" s="4"/>
      <c r="B10076" s="4"/>
      <c r="C10076" s="4"/>
      <c r="D10076" s="4"/>
      <c r="E10076" s="4"/>
      <c r="F10076" s="4"/>
      <c r="G10076" s="4"/>
      <c r="H10076" s="4"/>
      <c r="I10076" s="4"/>
      <c r="J10076" s="4"/>
      <c r="K10076" s="4"/>
      <c r="L10076" s="4"/>
      <c r="M10076" s="4"/>
      <c r="N10076" s="4"/>
    </row>
    <row r="10077" spans="1:15" ht="12.75" customHeight="1" x14ac:dyDescent="0.2">
      <c r="A10077" s="398" t="s">
        <v>926</v>
      </c>
      <c r="B10077" s="271"/>
      <c r="C10077" s="271"/>
      <c r="D10077" s="271"/>
      <c r="E10077" s="271"/>
      <c r="F10077" s="271"/>
      <c r="G10077" s="271"/>
      <c r="H10077" s="271"/>
      <c r="I10077" s="271"/>
      <c r="J10077" s="271"/>
      <c r="K10077" s="271"/>
      <c r="L10077" s="271"/>
      <c r="M10077" s="271"/>
      <c r="N10077" s="273"/>
    </row>
    <row r="10078" spans="1:15" ht="12.75" customHeight="1" x14ac:dyDescent="0.2">
      <c r="A10078" s="396" t="s">
        <v>76</v>
      </c>
      <c r="B10078" s="271"/>
      <c r="C10078" s="271"/>
      <c r="D10078" s="271"/>
      <c r="E10078" s="271"/>
      <c r="F10078" s="271"/>
      <c r="G10078" s="273"/>
      <c r="H10078" s="88" t="s">
        <v>77</v>
      </c>
      <c r="I10078" s="399" t="s">
        <v>920</v>
      </c>
      <c r="J10078" s="273"/>
      <c r="K10078" s="399" t="s">
        <v>453</v>
      </c>
      <c r="L10078" s="273"/>
      <c r="M10078" s="399" t="s">
        <v>921</v>
      </c>
      <c r="N10078" s="273"/>
    </row>
    <row r="10079" spans="1:15" ht="12.75" customHeight="1" x14ac:dyDescent="0.2">
      <c r="A10079" s="400" t="s">
        <v>927</v>
      </c>
      <c r="B10079" s="271"/>
      <c r="C10079" s="271"/>
      <c r="D10079" s="271"/>
      <c r="E10079" s="271"/>
      <c r="F10079" s="271"/>
      <c r="G10079" s="273"/>
      <c r="H10079" s="29" t="str">
        <f>IF(A10079="","",VLOOKUP(A10079,AA_Equipos,7,FALSE))</f>
        <v>% M.O.</v>
      </c>
      <c r="I10079" s="394">
        <f>+M10102</f>
        <v>29844.699199999999</v>
      </c>
      <c r="J10079" s="273"/>
      <c r="K10079" s="404">
        <v>0.05</v>
      </c>
      <c r="L10079" s="273"/>
      <c r="M10079" s="394">
        <f t="shared" ref="M10079:M10083" si="1343">IF(A10079="","",I10079*K10079)</f>
        <v>1492.23496</v>
      </c>
      <c r="N10079" s="273"/>
    </row>
    <row r="10080" spans="1:15" ht="12.75" customHeight="1" x14ac:dyDescent="0.2">
      <c r="A10080" s="403" t="s">
        <v>1501</v>
      </c>
      <c r="B10080" s="271"/>
      <c r="C10080" s="271"/>
      <c r="D10080" s="271"/>
      <c r="E10080" s="271"/>
      <c r="F10080" s="271"/>
      <c r="G10080" s="273"/>
      <c r="H10080" s="29" t="str">
        <f>IF(A10080="","",VLOOKUP(A10080,AA_Equipos,7,FALSE))</f>
        <v>Día</v>
      </c>
      <c r="I10080" s="394">
        <f>IF(A10080="","",VLOOKUP(A10080,AA_Equipos,8,FALSE))</f>
        <v>346987</v>
      </c>
      <c r="J10080" s="273"/>
      <c r="K10080" s="402">
        <f>1/48.69</f>
        <v>2.0538098172109262E-2</v>
      </c>
      <c r="L10080" s="273"/>
      <c r="M10080" s="394">
        <f t="shared" si="1343"/>
        <v>7126.4530704456765</v>
      </c>
      <c r="N10080" s="273"/>
    </row>
    <row r="10081" spans="1:14" ht="12.75" customHeight="1" x14ac:dyDescent="0.2">
      <c r="A10081" s="400"/>
      <c r="B10081" s="271"/>
      <c r="C10081" s="271"/>
      <c r="D10081" s="271"/>
      <c r="E10081" s="271"/>
      <c r="F10081" s="271"/>
      <c r="G10081" s="273"/>
      <c r="H10081" s="29" t="str">
        <f>IF(A10081="","",VLOOKUP(A10081,AA_Equipos,7,FALSE))</f>
        <v/>
      </c>
      <c r="I10081" s="394" t="str">
        <f>IF(A10081="","",VLOOKUP(A10081,AA_Equipos,8,FALSE))</f>
        <v/>
      </c>
      <c r="J10081" s="273"/>
      <c r="K10081" s="401"/>
      <c r="L10081" s="273"/>
      <c r="M10081" s="394" t="str">
        <f t="shared" si="1343"/>
        <v/>
      </c>
      <c r="N10081" s="273"/>
    </row>
    <row r="10082" spans="1:14" ht="12.75" customHeight="1" x14ac:dyDescent="0.2">
      <c r="A10082" s="400"/>
      <c r="B10082" s="271"/>
      <c r="C10082" s="271"/>
      <c r="D10082" s="271"/>
      <c r="E10082" s="271"/>
      <c r="F10082" s="271"/>
      <c r="G10082" s="273"/>
      <c r="H10082" s="29" t="str">
        <f>IF(A10082="","",VLOOKUP(A10082,AA_Equipos,7,FALSE))</f>
        <v/>
      </c>
      <c r="I10082" s="394" t="str">
        <f>IF(A10082="","",VLOOKUP(A10082,AA_Equipos,8,FALSE))</f>
        <v/>
      </c>
      <c r="J10082" s="273"/>
      <c r="K10082" s="395"/>
      <c r="L10082" s="273"/>
      <c r="M10082" s="394" t="str">
        <f t="shared" si="1343"/>
        <v/>
      </c>
      <c r="N10082" s="273"/>
    </row>
    <row r="10083" spans="1:14" ht="12.75" customHeight="1" x14ac:dyDescent="0.2">
      <c r="A10083" s="400"/>
      <c r="B10083" s="271"/>
      <c r="C10083" s="271"/>
      <c r="D10083" s="271"/>
      <c r="E10083" s="271"/>
      <c r="F10083" s="271"/>
      <c r="G10083" s="273"/>
      <c r="H10083" s="29" t="str">
        <f>IF(A10083="","",VLOOKUP(A10083,AA_Equipos,7,FALSE))</f>
        <v/>
      </c>
      <c r="I10083" s="394" t="str">
        <f>IF(A10083="","",VLOOKUP(A10083,AA_Equipos,8,FALSE))</f>
        <v/>
      </c>
      <c r="J10083" s="273"/>
      <c r="K10083" s="395"/>
      <c r="L10083" s="273"/>
      <c r="M10083" s="394" t="str">
        <f t="shared" si="1343"/>
        <v/>
      </c>
      <c r="N10083" s="273"/>
    </row>
    <row r="10084" spans="1:14" ht="12.75" customHeight="1" x14ac:dyDescent="0.25">
      <c r="A10084" s="4"/>
      <c r="B10084" s="4"/>
      <c r="C10084" s="4"/>
      <c r="D10084" s="4"/>
      <c r="E10084" s="4"/>
      <c r="F10084" s="4"/>
      <c r="G10084" s="4"/>
      <c r="H10084" s="4"/>
      <c r="I10084" s="4"/>
      <c r="J10084" s="4"/>
      <c r="K10084" s="396" t="s">
        <v>444</v>
      </c>
      <c r="L10084" s="273"/>
      <c r="M10084" s="394">
        <f>SUM(M10079:N10083)</f>
        <v>8618.6880304456772</v>
      </c>
      <c r="N10084" s="273"/>
    </row>
    <row r="10085" spans="1:14" ht="12.75" customHeight="1" x14ac:dyDescent="0.25">
      <c r="A10085" s="4"/>
      <c r="B10085" s="4"/>
      <c r="C10085" s="4"/>
      <c r="D10085" s="4"/>
      <c r="E10085" s="4"/>
      <c r="F10085" s="4"/>
      <c r="G10085" s="4"/>
      <c r="H10085" s="4"/>
      <c r="I10085" s="4"/>
      <c r="J10085" s="4"/>
      <c r="K10085" s="4"/>
      <c r="L10085" s="4"/>
      <c r="M10085" s="4"/>
      <c r="N10085" s="4"/>
    </row>
    <row r="10086" spans="1:14" ht="12.75" customHeight="1" x14ac:dyDescent="0.2">
      <c r="A10086" s="398" t="s">
        <v>929</v>
      </c>
      <c r="B10086" s="271"/>
      <c r="C10086" s="271"/>
      <c r="D10086" s="271"/>
      <c r="E10086" s="271"/>
      <c r="F10086" s="271"/>
      <c r="G10086" s="271"/>
      <c r="H10086" s="271"/>
      <c r="I10086" s="271"/>
      <c r="J10086" s="271"/>
      <c r="K10086" s="271"/>
      <c r="L10086" s="271"/>
      <c r="M10086" s="271"/>
      <c r="N10086" s="273"/>
    </row>
    <row r="10087" spans="1:14" ht="12.75" customHeight="1" x14ac:dyDescent="0.2">
      <c r="A10087" s="396" t="s">
        <v>76</v>
      </c>
      <c r="B10087" s="271"/>
      <c r="C10087" s="271"/>
      <c r="D10087" s="271"/>
      <c r="E10087" s="271"/>
      <c r="F10087" s="271"/>
      <c r="G10087" s="273"/>
      <c r="H10087" s="88" t="s">
        <v>77</v>
      </c>
      <c r="I10087" s="399" t="s">
        <v>920</v>
      </c>
      <c r="J10087" s="273"/>
      <c r="K10087" s="399" t="s">
        <v>453</v>
      </c>
      <c r="L10087" s="273"/>
      <c r="M10087" s="399" t="s">
        <v>921</v>
      </c>
      <c r="N10087" s="273"/>
    </row>
    <row r="10088" spans="1:14" ht="12.75" customHeight="1" x14ac:dyDescent="0.2">
      <c r="A10088" s="400" t="s">
        <v>966</v>
      </c>
      <c r="B10088" s="271"/>
      <c r="C10088" s="271"/>
      <c r="D10088" s="271"/>
      <c r="E10088" s="271"/>
      <c r="F10088" s="271"/>
      <c r="G10088" s="273"/>
      <c r="H10088" s="29" t="s">
        <v>3193</v>
      </c>
      <c r="I10088" s="394">
        <f>+'precios '!J222*Indice!G22</f>
        <v>415.44735905288462</v>
      </c>
      <c r="J10088" s="273"/>
      <c r="K10088" s="395">
        <f>+Indice!L21</f>
        <v>49</v>
      </c>
      <c r="L10088" s="428"/>
      <c r="M10088" s="394">
        <f t="shared" ref="M10088:M10092" si="1344">IF(A10088="","",I10088*K10088)</f>
        <v>20356.920593591345</v>
      </c>
      <c r="N10088" s="273"/>
    </row>
    <row r="10089" spans="1:14" ht="12.75" customHeight="1" x14ac:dyDescent="0.2">
      <c r="A10089" s="403" t="s">
        <v>958</v>
      </c>
      <c r="B10089" s="271"/>
      <c r="C10089" s="271"/>
      <c r="D10089" s="271"/>
      <c r="E10089" s="271"/>
      <c r="F10089" s="271"/>
      <c r="G10089" s="273"/>
      <c r="H10089" s="29" t="s">
        <v>1502</v>
      </c>
      <c r="I10089" s="394">
        <f>+M10084</f>
        <v>8618.6880304456772</v>
      </c>
      <c r="J10089" s="273"/>
      <c r="K10089" s="404">
        <v>0.05</v>
      </c>
      <c r="L10089" s="273"/>
      <c r="M10089" s="394">
        <f t="shared" si="1344"/>
        <v>430.93440152228391</v>
      </c>
      <c r="N10089" s="273"/>
    </row>
    <row r="10090" spans="1:14" ht="12.75" customHeight="1" x14ac:dyDescent="0.2">
      <c r="A10090" s="400" t="s">
        <v>3173</v>
      </c>
      <c r="B10090" s="271"/>
      <c r="C10090" s="271"/>
      <c r="D10090" s="271"/>
      <c r="E10090" s="271"/>
      <c r="F10090" s="271"/>
      <c r="G10090" s="273"/>
      <c r="H10090" s="29" t="s">
        <v>24</v>
      </c>
      <c r="I10090" s="394">
        <f>+M10072</f>
        <v>3927</v>
      </c>
      <c r="J10090" s="273"/>
      <c r="K10090" s="404">
        <v>0.05</v>
      </c>
      <c r="L10090" s="273"/>
      <c r="M10090" s="394">
        <f t="shared" si="1344"/>
        <v>196.35000000000002</v>
      </c>
      <c r="N10090" s="273"/>
    </row>
    <row r="10091" spans="1:14" ht="12.75" customHeight="1" x14ac:dyDescent="0.2">
      <c r="A10091" s="400"/>
      <c r="B10091" s="271"/>
      <c r="C10091" s="271"/>
      <c r="D10091" s="271"/>
      <c r="E10091" s="271"/>
      <c r="F10091" s="271"/>
      <c r="G10091" s="273"/>
      <c r="H10091" s="29"/>
      <c r="I10091" s="394"/>
      <c r="J10091" s="273"/>
      <c r="K10091" s="395"/>
      <c r="L10091" s="273"/>
      <c r="M10091" s="394" t="str">
        <f t="shared" si="1344"/>
        <v/>
      </c>
      <c r="N10091" s="273"/>
    </row>
    <row r="10092" spans="1:14" ht="12.75" customHeight="1" x14ac:dyDescent="0.2">
      <c r="A10092" s="400"/>
      <c r="B10092" s="271"/>
      <c r="C10092" s="271"/>
      <c r="D10092" s="271"/>
      <c r="E10092" s="271"/>
      <c r="F10092" s="271"/>
      <c r="G10092" s="273"/>
      <c r="H10092" s="29"/>
      <c r="I10092" s="394"/>
      <c r="J10092" s="273"/>
      <c r="K10092" s="395"/>
      <c r="L10092" s="273"/>
      <c r="M10092" s="394" t="str">
        <f t="shared" si="1344"/>
        <v/>
      </c>
      <c r="N10092" s="273"/>
    </row>
    <row r="10093" spans="1:14" ht="12.75" customHeight="1" x14ac:dyDescent="0.25">
      <c r="A10093" s="4"/>
      <c r="B10093" s="4"/>
      <c r="C10093" s="4"/>
      <c r="D10093" s="4"/>
      <c r="E10093" s="4"/>
      <c r="F10093" s="4"/>
      <c r="G10093" s="4"/>
      <c r="H10093" s="4"/>
      <c r="I10093" s="4"/>
      <c r="J10093" s="4"/>
      <c r="K10093" s="396" t="s">
        <v>444</v>
      </c>
      <c r="L10093" s="273"/>
      <c r="M10093" s="394">
        <f>SUM(M10088:N10092)</f>
        <v>20984.204995113629</v>
      </c>
      <c r="N10093" s="273"/>
    </row>
    <row r="10094" spans="1:14" ht="12.75" customHeight="1" x14ac:dyDescent="0.25">
      <c r="A10094" s="4"/>
      <c r="B10094" s="4"/>
      <c r="C10094" s="4"/>
      <c r="D10094" s="4"/>
      <c r="E10094" s="4"/>
      <c r="F10094" s="4"/>
      <c r="G10094" s="4"/>
      <c r="H10094" s="4"/>
      <c r="I10094" s="4"/>
      <c r="J10094" s="4"/>
      <c r="K10094" s="4"/>
      <c r="L10094" s="4"/>
      <c r="M10094" s="4"/>
      <c r="N10094" s="4"/>
    </row>
    <row r="10095" spans="1:14" ht="12.75" customHeight="1" x14ac:dyDescent="0.2">
      <c r="A10095" s="398" t="s">
        <v>931</v>
      </c>
      <c r="B10095" s="271"/>
      <c r="C10095" s="271"/>
      <c r="D10095" s="271"/>
      <c r="E10095" s="271"/>
      <c r="F10095" s="271"/>
      <c r="G10095" s="271"/>
      <c r="H10095" s="271"/>
      <c r="I10095" s="271"/>
      <c r="J10095" s="271"/>
      <c r="K10095" s="271"/>
      <c r="L10095" s="271"/>
      <c r="M10095" s="271"/>
      <c r="N10095" s="273"/>
    </row>
    <row r="10096" spans="1:14" ht="12.75" customHeight="1" x14ac:dyDescent="0.2">
      <c r="A10096" s="396" t="s">
        <v>76</v>
      </c>
      <c r="B10096" s="271"/>
      <c r="C10096" s="271"/>
      <c r="D10096" s="271"/>
      <c r="E10096" s="271"/>
      <c r="F10096" s="271"/>
      <c r="G10096" s="273"/>
      <c r="H10096" s="88" t="s">
        <v>77</v>
      </c>
      <c r="I10096" s="399" t="s">
        <v>920</v>
      </c>
      <c r="J10096" s="273"/>
      <c r="K10096" s="90" t="s">
        <v>514</v>
      </c>
      <c r="L10096" s="91" t="s">
        <v>932</v>
      </c>
      <c r="M10096" s="399" t="s">
        <v>921</v>
      </c>
      <c r="N10096" s="273"/>
    </row>
    <row r="10097" spans="1:15" ht="12.75" customHeight="1" x14ac:dyDescent="0.25">
      <c r="A10097" s="393" t="s">
        <v>962</v>
      </c>
      <c r="B10097" s="271"/>
      <c r="C10097" s="271"/>
      <c r="D10097" s="271"/>
      <c r="E10097" s="271"/>
      <c r="F10097" s="271"/>
      <c r="G10097" s="273"/>
      <c r="H10097" s="29" t="str">
        <f>IF(A10097="","",VLOOKUP(A10097,AA_Cuadrillas,4,FALSE))</f>
        <v>Cuadrilla</v>
      </c>
      <c r="I10097" s="394">
        <f>IF(A10097="","",VLOOKUP(A10097,AA_Cuadrillas,5,FALSE))</f>
        <v>396871</v>
      </c>
      <c r="J10097" s="273"/>
      <c r="K10097" s="9">
        <f>IF(A10097="","",F.P!$I$2)</f>
        <v>1.88</v>
      </c>
      <c r="L10097" s="97">
        <f>1/25</f>
        <v>0.04</v>
      </c>
      <c r="M10097" s="394">
        <f t="shared" ref="M10097:M10101" si="1345">IF(A10097="","",I10097*K10097*L10097)</f>
        <v>29844.699199999999</v>
      </c>
      <c r="N10097" s="273"/>
    </row>
    <row r="10098" spans="1:15" ht="12.75" customHeight="1" x14ac:dyDescent="0.25">
      <c r="A10098" s="393"/>
      <c r="B10098" s="271"/>
      <c r="C10098" s="271"/>
      <c r="D10098" s="271"/>
      <c r="E10098" s="271"/>
      <c r="F10098" s="271"/>
      <c r="G10098" s="273"/>
      <c r="H10098" s="29" t="str">
        <f>IF(A10098="","",VLOOKUP(A10098,AA_Cuadrillas,4,FALSE))</f>
        <v/>
      </c>
      <c r="I10098" s="394" t="str">
        <f>IF(A10098="","",VLOOKUP(A10098,AA_Cuadrillas,5,FALSE))</f>
        <v/>
      </c>
      <c r="J10098" s="273"/>
      <c r="K10098" s="9" t="str">
        <f>IF(A10098="","",F.P!$I$2)</f>
        <v/>
      </c>
      <c r="L10098" s="9"/>
      <c r="M10098" s="394" t="str">
        <f t="shared" si="1345"/>
        <v/>
      </c>
      <c r="N10098" s="273"/>
    </row>
    <row r="10099" spans="1:15" ht="12.75" customHeight="1" x14ac:dyDescent="0.25">
      <c r="A10099" s="393"/>
      <c r="B10099" s="271"/>
      <c r="C10099" s="271"/>
      <c r="D10099" s="271"/>
      <c r="E10099" s="271"/>
      <c r="F10099" s="271"/>
      <c r="G10099" s="273"/>
      <c r="H10099" s="29" t="str">
        <f>IF(A10099="","",VLOOKUP(A10099,AA_Cuadrillas,4,FALSE))</f>
        <v/>
      </c>
      <c r="I10099" s="394" t="str">
        <f>IF(A10099="","",VLOOKUP(A10099,AA_Cuadrillas,5,FALSE))</f>
        <v/>
      </c>
      <c r="J10099" s="273"/>
      <c r="K10099" s="9" t="str">
        <f>IF(A10099="","",F.P!$I$2)</f>
        <v/>
      </c>
      <c r="L10099" s="37"/>
      <c r="M10099" s="394" t="str">
        <f t="shared" si="1345"/>
        <v/>
      </c>
      <c r="N10099" s="273"/>
    </row>
    <row r="10100" spans="1:15" ht="12.75" customHeight="1" x14ac:dyDescent="0.25">
      <c r="A10100" s="393"/>
      <c r="B10100" s="271"/>
      <c r="C10100" s="271"/>
      <c r="D10100" s="271"/>
      <c r="E10100" s="271"/>
      <c r="F10100" s="271"/>
      <c r="G10100" s="273"/>
      <c r="H10100" s="29" t="str">
        <f>IF(A10100="","",VLOOKUP(A10100,AA_Cuadrillas,4,FALSE))</f>
        <v/>
      </c>
      <c r="I10100" s="394" t="str">
        <f>IF(A10100="","",VLOOKUP(A10100,AA_Cuadrillas,5,FALSE))</f>
        <v/>
      </c>
      <c r="J10100" s="273"/>
      <c r="K10100" s="9" t="str">
        <f>IF(A10100="","",F.P!$I$2)</f>
        <v/>
      </c>
      <c r="L10100" s="37"/>
      <c r="M10100" s="394" t="str">
        <f t="shared" si="1345"/>
        <v/>
      </c>
      <c r="N10100" s="273"/>
    </row>
    <row r="10101" spans="1:15" ht="12.75" customHeight="1" x14ac:dyDescent="0.25">
      <c r="A10101" s="393"/>
      <c r="B10101" s="271"/>
      <c r="C10101" s="271"/>
      <c r="D10101" s="271"/>
      <c r="E10101" s="271"/>
      <c r="F10101" s="271"/>
      <c r="G10101" s="273"/>
      <c r="H10101" s="29" t="str">
        <f>IF(A10101="","",VLOOKUP(A10101,AA_Cuadrillas,4,FALSE))</f>
        <v/>
      </c>
      <c r="I10101" s="394" t="str">
        <f>IF(A10101="","",VLOOKUP(A10101,AA_Cuadrillas,5,FALSE))</f>
        <v/>
      </c>
      <c r="J10101" s="273"/>
      <c r="K10101" s="9" t="str">
        <f>IF(A10101="","",F.P!$I$2)</f>
        <v/>
      </c>
      <c r="L10101" s="37"/>
      <c r="M10101" s="394" t="str">
        <f t="shared" si="1345"/>
        <v/>
      </c>
      <c r="N10101" s="273"/>
    </row>
    <row r="10102" spans="1:15" ht="12.75" customHeight="1" x14ac:dyDescent="0.25">
      <c r="A10102" s="4"/>
      <c r="B10102" s="4"/>
      <c r="C10102" s="4"/>
      <c r="D10102" s="4"/>
      <c r="E10102" s="4"/>
      <c r="F10102" s="4"/>
      <c r="G10102" s="4"/>
      <c r="H10102" s="4"/>
      <c r="I10102" s="4"/>
      <c r="J10102" s="4"/>
      <c r="K10102" s="396" t="s">
        <v>444</v>
      </c>
      <c r="L10102" s="273"/>
      <c r="M10102" s="394">
        <f>SUM(M10097:N10101)</f>
        <v>29844.699199999999</v>
      </c>
      <c r="N10102" s="273"/>
    </row>
    <row r="10103" spans="1:15" ht="12.75" customHeight="1" x14ac:dyDescent="0.2"/>
    <row r="10104" spans="1:15" ht="12.75" customHeight="1" x14ac:dyDescent="0.2">
      <c r="A10104" s="407" t="s">
        <v>193</v>
      </c>
      <c r="B10104" s="275"/>
      <c r="C10104" s="275"/>
      <c r="D10104" s="275"/>
      <c r="E10104" s="275"/>
      <c r="F10104" s="275"/>
      <c r="G10104" s="275"/>
      <c r="H10104" s="275"/>
      <c r="I10104" s="275"/>
      <c r="J10104" s="275"/>
      <c r="K10104" s="275"/>
      <c r="L10104" s="275"/>
      <c r="M10104" s="275"/>
      <c r="N10104" s="276"/>
      <c r="O10104" s="166"/>
    </row>
    <row r="10105" spans="1:15" ht="12.75" customHeight="1" x14ac:dyDescent="0.2">
      <c r="A10105" s="277"/>
      <c r="B10105" s="278"/>
      <c r="C10105" s="278"/>
      <c r="D10105" s="278"/>
      <c r="E10105" s="278"/>
      <c r="F10105" s="278"/>
      <c r="G10105" s="278"/>
      <c r="H10105" s="278"/>
      <c r="I10105" s="278"/>
      <c r="J10105" s="278"/>
      <c r="K10105" s="278"/>
      <c r="L10105" s="278"/>
      <c r="M10105" s="278"/>
      <c r="N10105" s="279"/>
      <c r="O10105" s="166"/>
    </row>
    <row r="10106" spans="1:15" ht="12.75" customHeight="1" x14ac:dyDescent="0.2">
      <c r="A10106" s="75"/>
      <c r="B10106" s="75"/>
      <c r="C10106" s="75"/>
      <c r="D10106" s="75"/>
      <c r="E10106" s="75"/>
      <c r="F10106" s="75"/>
      <c r="G10106" s="75"/>
      <c r="H10106" s="75"/>
      <c r="I10106" s="75"/>
      <c r="J10106" s="75"/>
      <c r="K10106" s="75"/>
      <c r="L10106" s="75"/>
      <c r="M10106" s="75"/>
      <c r="N10106" s="75"/>
    </row>
    <row r="10107" spans="1:15" ht="12.75" customHeight="1" x14ac:dyDescent="0.3">
      <c r="A10107" s="79" t="s">
        <v>836</v>
      </c>
      <c r="B10107" s="80" t="str">
        <f>A10104</f>
        <v>LECHO FILTRANTE CON GRAVA (INCLUYE MATERIALES, TRANSPORTE Y MANO DE OBRA)</v>
      </c>
      <c r="C10107" s="81" t="s">
        <v>916</v>
      </c>
      <c r="D10107" s="82" t="s">
        <v>258</v>
      </c>
      <c r="E10107" s="83" t="s">
        <v>445</v>
      </c>
      <c r="F10107" s="234">
        <f>(H10107+J10107+L10107+N10107)*1.3</f>
        <v>319634.73461134371</v>
      </c>
      <c r="G10107" s="83" t="s">
        <v>607</v>
      </c>
      <c r="H10107" s="86">
        <f>M10126</f>
        <v>1755.5722000000003</v>
      </c>
      <c r="I10107" s="83" t="s">
        <v>918</v>
      </c>
      <c r="J10107" s="86">
        <f>M10117</f>
        <v>107133.47500000001</v>
      </c>
      <c r="K10107" s="83" t="s">
        <v>609</v>
      </c>
      <c r="L10107" s="86">
        <f>M10135</f>
        <v>101872.38157795672</v>
      </c>
      <c r="M10107" s="83" t="s">
        <v>610</v>
      </c>
      <c r="N10107" s="86">
        <f>M10144</f>
        <v>35111.444000000003</v>
      </c>
    </row>
    <row r="10108" spans="1:15" ht="12.75" customHeight="1" x14ac:dyDescent="0.25">
      <c r="A10108" s="87"/>
      <c r="B10108" s="87"/>
      <c r="C10108" s="87"/>
      <c r="D10108" s="87"/>
      <c r="E10108" s="87"/>
      <c r="F10108" s="87"/>
      <c r="G10108" s="87"/>
      <c r="J10108" s="87"/>
      <c r="K10108" s="215" t="s">
        <v>3217</v>
      </c>
      <c r="L10108" s="215">
        <f>+F10107*presup!$O$5</f>
        <v>415525.15499474684</v>
      </c>
      <c r="M10108" s="87"/>
      <c r="N10108" s="87"/>
    </row>
    <row r="10109" spans="1:15" ht="12.75" customHeight="1" x14ac:dyDescent="0.2">
      <c r="A10109" s="398" t="s">
        <v>919</v>
      </c>
      <c r="B10109" s="271"/>
      <c r="C10109" s="271"/>
      <c r="D10109" s="271"/>
      <c r="E10109" s="271"/>
      <c r="F10109" s="271"/>
      <c r="G10109" s="271"/>
      <c r="H10109" s="271"/>
      <c r="I10109" s="271"/>
      <c r="J10109" s="271"/>
      <c r="K10109" s="271"/>
      <c r="L10109" s="271"/>
      <c r="M10109" s="271"/>
      <c r="N10109" s="273"/>
    </row>
    <row r="10110" spans="1:15" ht="12.75" customHeight="1" x14ac:dyDescent="0.2">
      <c r="A10110" s="396" t="s">
        <v>76</v>
      </c>
      <c r="B10110" s="271"/>
      <c r="C10110" s="271"/>
      <c r="D10110" s="271"/>
      <c r="E10110" s="271"/>
      <c r="F10110" s="271"/>
      <c r="G10110" s="273"/>
      <c r="H10110" s="88" t="s">
        <v>77</v>
      </c>
      <c r="I10110" s="399" t="s">
        <v>920</v>
      </c>
      <c r="J10110" s="273"/>
      <c r="K10110" s="399" t="s">
        <v>453</v>
      </c>
      <c r="L10110" s="273"/>
      <c r="M10110" s="399" t="s">
        <v>921</v>
      </c>
      <c r="N10110" s="273"/>
    </row>
    <row r="10111" spans="1:15" ht="12.75" customHeight="1" x14ac:dyDescent="0.2">
      <c r="A10111" s="403" t="s">
        <v>1108</v>
      </c>
      <c r="B10111" s="271"/>
      <c r="C10111" s="271"/>
      <c r="D10111" s="271"/>
      <c r="E10111" s="271"/>
      <c r="F10111" s="271"/>
      <c r="G10111" s="273"/>
      <c r="H10111" s="29" t="str">
        <f t="shared" ref="H10111:H10116" si="1346">IF(A10111="","",VLOOKUP(A10111,AA_Materiales,7,FALSE))</f>
        <v>m3</v>
      </c>
      <c r="I10111" s="394">
        <f t="shared" ref="I10111:I10116" si="1347">IF(A10111="","",VLOOKUP(A10111,AA_Materiales,8,FALSE))</f>
        <v>85706.78</v>
      </c>
      <c r="J10111" s="273"/>
      <c r="K10111" s="395">
        <v>1.25</v>
      </c>
      <c r="L10111" s="273"/>
      <c r="M10111" s="394">
        <f t="shared" ref="M10111:M10116" si="1348">IF(A10111="","",I10111*K10111)</f>
        <v>107133.47500000001</v>
      </c>
      <c r="N10111" s="273"/>
    </row>
    <row r="10112" spans="1:15" ht="12.75" customHeight="1" x14ac:dyDescent="0.2">
      <c r="A10112" s="403"/>
      <c r="B10112" s="271"/>
      <c r="C10112" s="271"/>
      <c r="D10112" s="271"/>
      <c r="E10112" s="271"/>
      <c r="F10112" s="271"/>
      <c r="G10112" s="273"/>
      <c r="H10112" s="29" t="str">
        <f t="shared" si="1346"/>
        <v/>
      </c>
      <c r="I10112" s="394" t="str">
        <f t="shared" si="1347"/>
        <v/>
      </c>
      <c r="J10112" s="273"/>
      <c r="K10112" s="395"/>
      <c r="L10112" s="273"/>
      <c r="M10112" s="394" t="str">
        <f t="shared" si="1348"/>
        <v/>
      </c>
      <c r="N10112" s="273"/>
    </row>
    <row r="10113" spans="1:14" ht="12.75" customHeight="1" x14ac:dyDescent="0.2">
      <c r="A10113" s="403"/>
      <c r="B10113" s="271"/>
      <c r="C10113" s="271"/>
      <c r="D10113" s="271"/>
      <c r="E10113" s="271"/>
      <c r="F10113" s="271"/>
      <c r="G10113" s="273"/>
      <c r="H10113" s="29" t="str">
        <f t="shared" si="1346"/>
        <v/>
      </c>
      <c r="I10113" s="394" t="str">
        <f t="shared" si="1347"/>
        <v/>
      </c>
      <c r="J10113" s="273"/>
      <c r="K10113" s="395"/>
      <c r="L10113" s="273"/>
      <c r="M10113" s="394" t="str">
        <f t="shared" si="1348"/>
        <v/>
      </c>
      <c r="N10113" s="273"/>
    </row>
    <row r="10114" spans="1:14" ht="12.75" customHeight="1" x14ac:dyDescent="0.2">
      <c r="A10114" s="403"/>
      <c r="B10114" s="271"/>
      <c r="C10114" s="271"/>
      <c r="D10114" s="271"/>
      <c r="E10114" s="271"/>
      <c r="F10114" s="271"/>
      <c r="G10114" s="273"/>
      <c r="H10114" s="29" t="str">
        <f t="shared" si="1346"/>
        <v/>
      </c>
      <c r="I10114" s="394" t="str">
        <f t="shared" si="1347"/>
        <v/>
      </c>
      <c r="J10114" s="273"/>
      <c r="K10114" s="395"/>
      <c r="L10114" s="273"/>
      <c r="M10114" s="394" t="str">
        <f t="shared" si="1348"/>
        <v/>
      </c>
      <c r="N10114" s="273"/>
    </row>
    <row r="10115" spans="1:14" ht="12.75" customHeight="1" x14ac:dyDescent="0.2">
      <c r="A10115" s="403"/>
      <c r="B10115" s="271"/>
      <c r="C10115" s="271"/>
      <c r="D10115" s="271"/>
      <c r="E10115" s="271"/>
      <c r="F10115" s="271"/>
      <c r="G10115" s="273"/>
      <c r="H10115" s="29" t="str">
        <f t="shared" si="1346"/>
        <v/>
      </c>
      <c r="I10115" s="394" t="str">
        <f t="shared" si="1347"/>
        <v/>
      </c>
      <c r="J10115" s="273"/>
      <c r="K10115" s="395"/>
      <c r="L10115" s="273"/>
      <c r="M10115" s="394" t="str">
        <f t="shared" si="1348"/>
        <v/>
      </c>
      <c r="N10115" s="273"/>
    </row>
    <row r="10116" spans="1:14" ht="12.75" customHeight="1" x14ac:dyDescent="0.2">
      <c r="A10116" s="403"/>
      <c r="B10116" s="271"/>
      <c r="C10116" s="271"/>
      <c r="D10116" s="271"/>
      <c r="E10116" s="271"/>
      <c r="F10116" s="271"/>
      <c r="G10116" s="273"/>
      <c r="H10116" s="29" t="str">
        <f t="shared" si="1346"/>
        <v/>
      </c>
      <c r="I10116" s="394" t="str">
        <f t="shared" si="1347"/>
        <v/>
      </c>
      <c r="J10116" s="273"/>
      <c r="K10116" s="395"/>
      <c r="L10116" s="273"/>
      <c r="M10116" s="394" t="str">
        <f t="shared" si="1348"/>
        <v/>
      </c>
      <c r="N10116" s="273"/>
    </row>
    <row r="10117" spans="1:14" ht="12.75" customHeight="1" x14ac:dyDescent="0.25">
      <c r="A10117" s="4"/>
      <c r="B10117" s="4"/>
      <c r="C10117" s="4"/>
      <c r="D10117" s="4"/>
      <c r="E10117" s="4"/>
      <c r="F10117" s="4"/>
      <c r="G10117" s="4"/>
      <c r="H10117" s="4"/>
      <c r="I10117" s="4"/>
      <c r="J10117" s="4"/>
      <c r="K10117" s="396" t="s">
        <v>444</v>
      </c>
      <c r="L10117" s="273"/>
      <c r="M10117" s="394">
        <f>SUM(M10111:N10116)</f>
        <v>107133.47500000001</v>
      </c>
      <c r="N10117" s="273"/>
    </row>
    <row r="10118" spans="1:14" ht="12.75" customHeight="1" x14ac:dyDescent="0.25">
      <c r="A10118" s="4"/>
      <c r="B10118" s="4"/>
      <c r="C10118" s="4"/>
      <c r="D10118" s="4"/>
      <c r="E10118" s="4"/>
      <c r="F10118" s="4"/>
      <c r="G10118" s="4"/>
      <c r="H10118" s="4"/>
      <c r="I10118" s="4"/>
      <c r="J10118" s="4"/>
      <c r="K10118" s="4"/>
      <c r="L10118" s="4"/>
      <c r="M10118" s="4"/>
      <c r="N10118" s="4"/>
    </row>
    <row r="10119" spans="1:14" ht="12.75" customHeight="1" x14ac:dyDescent="0.2">
      <c r="A10119" s="398" t="s">
        <v>926</v>
      </c>
      <c r="B10119" s="271"/>
      <c r="C10119" s="271"/>
      <c r="D10119" s="271"/>
      <c r="E10119" s="271"/>
      <c r="F10119" s="271"/>
      <c r="G10119" s="271"/>
      <c r="H10119" s="271"/>
      <c r="I10119" s="271"/>
      <c r="J10119" s="271"/>
      <c r="K10119" s="271"/>
      <c r="L10119" s="271"/>
      <c r="M10119" s="271"/>
      <c r="N10119" s="273"/>
    </row>
    <row r="10120" spans="1:14" ht="12.75" customHeight="1" x14ac:dyDescent="0.2">
      <c r="A10120" s="396" t="s">
        <v>76</v>
      </c>
      <c r="B10120" s="271"/>
      <c r="C10120" s="271"/>
      <c r="D10120" s="271"/>
      <c r="E10120" s="271"/>
      <c r="F10120" s="271"/>
      <c r="G10120" s="273"/>
      <c r="H10120" s="88" t="s">
        <v>77</v>
      </c>
      <c r="I10120" s="399" t="s">
        <v>920</v>
      </c>
      <c r="J10120" s="273"/>
      <c r="K10120" s="399" t="s">
        <v>453</v>
      </c>
      <c r="L10120" s="273"/>
      <c r="M10120" s="399" t="s">
        <v>921</v>
      </c>
      <c r="N10120" s="273"/>
    </row>
    <row r="10121" spans="1:14" ht="12.75" customHeight="1" x14ac:dyDescent="0.2">
      <c r="A10121" s="400" t="s">
        <v>927</v>
      </c>
      <c r="B10121" s="271"/>
      <c r="C10121" s="271"/>
      <c r="D10121" s="271"/>
      <c r="E10121" s="271"/>
      <c r="F10121" s="271"/>
      <c r="G10121" s="273"/>
      <c r="H10121" s="29" t="str">
        <f>IF(A10121="","",VLOOKUP(A10121,AA_Equipos,7,FALSE))</f>
        <v>% M.O.</v>
      </c>
      <c r="I10121" s="394">
        <f>+M10144</f>
        <v>35111.444000000003</v>
      </c>
      <c r="J10121" s="273"/>
      <c r="K10121" s="404">
        <v>0.05</v>
      </c>
      <c r="L10121" s="273"/>
      <c r="M10121" s="394">
        <f t="shared" ref="M10121:M10125" si="1349">IF(A10121="","",I10121*K10121)</f>
        <v>1755.5722000000003</v>
      </c>
      <c r="N10121" s="273"/>
    </row>
    <row r="10122" spans="1:14" ht="12.75" customHeight="1" x14ac:dyDescent="0.2">
      <c r="A10122" s="403"/>
      <c r="B10122" s="271"/>
      <c r="C10122" s="271"/>
      <c r="D10122" s="271"/>
      <c r="E10122" s="271"/>
      <c r="F10122" s="271"/>
      <c r="G10122" s="273"/>
      <c r="H10122" s="29" t="str">
        <f>IF(A10122="","",VLOOKUP(A10122,AA_Equipos,7,FALSE))</f>
        <v/>
      </c>
      <c r="I10122" s="394" t="str">
        <f>IF(A10122="","",VLOOKUP(A10122,AA_Equipos,8,FALSE))</f>
        <v/>
      </c>
      <c r="J10122" s="273"/>
      <c r="K10122" s="402"/>
      <c r="L10122" s="273"/>
      <c r="M10122" s="394" t="str">
        <f t="shared" si="1349"/>
        <v/>
      </c>
      <c r="N10122" s="273"/>
    </row>
    <row r="10123" spans="1:14" ht="12.75" customHeight="1" x14ac:dyDescent="0.2">
      <c r="A10123" s="400"/>
      <c r="B10123" s="271"/>
      <c r="C10123" s="271"/>
      <c r="D10123" s="271"/>
      <c r="E10123" s="271"/>
      <c r="F10123" s="271"/>
      <c r="G10123" s="273"/>
      <c r="H10123" s="29" t="str">
        <f>IF(A10123="","",VLOOKUP(A10123,AA_Equipos,7,FALSE))</f>
        <v/>
      </c>
      <c r="I10123" s="394" t="str">
        <f>IF(A10123="","",VLOOKUP(A10123,AA_Equipos,8,FALSE))</f>
        <v/>
      </c>
      <c r="J10123" s="273"/>
      <c r="K10123" s="401"/>
      <c r="L10123" s="273"/>
      <c r="M10123" s="394" t="str">
        <f t="shared" si="1349"/>
        <v/>
      </c>
      <c r="N10123" s="273"/>
    </row>
    <row r="10124" spans="1:14" ht="12.75" customHeight="1" x14ac:dyDescent="0.2">
      <c r="A10124" s="400"/>
      <c r="B10124" s="271"/>
      <c r="C10124" s="271"/>
      <c r="D10124" s="271"/>
      <c r="E10124" s="271"/>
      <c r="F10124" s="271"/>
      <c r="G10124" s="273"/>
      <c r="H10124" s="29" t="str">
        <f>IF(A10124="","",VLOOKUP(A10124,AA_Equipos,7,FALSE))</f>
        <v/>
      </c>
      <c r="I10124" s="394" t="str">
        <f>IF(A10124="","",VLOOKUP(A10124,AA_Equipos,8,FALSE))</f>
        <v/>
      </c>
      <c r="J10124" s="273"/>
      <c r="K10124" s="395"/>
      <c r="L10124" s="273"/>
      <c r="M10124" s="394" t="str">
        <f t="shared" si="1349"/>
        <v/>
      </c>
      <c r="N10124" s="273"/>
    </row>
    <row r="10125" spans="1:14" ht="12.75" customHeight="1" x14ac:dyDescent="0.2">
      <c r="A10125" s="400"/>
      <c r="B10125" s="271"/>
      <c r="C10125" s="271"/>
      <c r="D10125" s="271"/>
      <c r="E10125" s="271"/>
      <c r="F10125" s="271"/>
      <c r="G10125" s="273"/>
      <c r="H10125" s="29" t="str">
        <f>IF(A10125="","",VLOOKUP(A10125,AA_Equipos,7,FALSE))</f>
        <v/>
      </c>
      <c r="I10125" s="394" t="str">
        <f>IF(A10125="","",VLOOKUP(A10125,AA_Equipos,8,FALSE))</f>
        <v/>
      </c>
      <c r="J10125" s="273"/>
      <c r="K10125" s="395"/>
      <c r="L10125" s="273"/>
      <c r="M10125" s="394" t="str">
        <f t="shared" si="1349"/>
        <v/>
      </c>
      <c r="N10125" s="273"/>
    </row>
    <row r="10126" spans="1:14" ht="12.75" customHeight="1" x14ac:dyDescent="0.25">
      <c r="A10126" s="4"/>
      <c r="B10126" s="4"/>
      <c r="C10126" s="4"/>
      <c r="D10126" s="4"/>
      <c r="E10126" s="4"/>
      <c r="F10126" s="4"/>
      <c r="G10126" s="4"/>
      <c r="H10126" s="4"/>
      <c r="I10126" s="4"/>
      <c r="J10126" s="4"/>
      <c r="K10126" s="396" t="s">
        <v>444</v>
      </c>
      <c r="L10126" s="273"/>
      <c r="M10126" s="394">
        <f>SUM(M10121:N10125)</f>
        <v>1755.5722000000003</v>
      </c>
      <c r="N10126" s="273"/>
    </row>
    <row r="10127" spans="1:14" ht="12.75" customHeight="1" x14ac:dyDescent="0.25">
      <c r="A10127" s="4"/>
      <c r="B10127" s="4"/>
      <c r="C10127" s="4"/>
      <c r="D10127" s="4"/>
      <c r="E10127" s="4"/>
      <c r="F10127" s="4"/>
      <c r="G10127" s="4"/>
      <c r="H10127" s="4"/>
      <c r="I10127" s="4"/>
      <c r="J10127" s="4"/>
      <c r="K10127" s="4"/>
      <c r="L10127" s="4"/>
      <c r="M10127" s="4"/>
      <c r="N10127" s="4"/>
    </row>
    <row r="10128" spans="1:14" ht="12.75" customHeight="1" x14ac:dyDescent="0.2">
      <c r="A10128" s="398" t="s">
        <v>929</v>
      </c>
      <c r="B10128" s="271"/>
      <c r="C10128" s="271"/>
      <c r="D10128" s="271"/>
      <c r="E10128" s="271"/>
      <c r="F10128" s="271"/>
      <c r="G10128" s="271"/>
      <c r="H10128" s="271"/>
      <c r="I10128" s="271"/>
      <c r="J10128" s="271"/>
      <c r="K10128" s="271"/>
      <c r="L10128" s="271"/>
      <c r="M10128" s="271"/>
      <c r="N10128" s="273"/>
    </row>
    <row r="10129" spans="1:14" ht="12.75" customHeight="1" x14ac:dyDescent="0.2">
      <c r="A10129" s="396" t="s">
        <v>76</v>
      </c>
      <c r="B10129" s="271"/>
      <c r="C10129" s="271"/>
      <c r="D10129" s="271"/>
      <c r="E10129" s="271"/>
      <c r="F10129" s="271"/>
      <c r="G10129" s="273"/>
      <c r="H10129" s="88" t="s">
        <v>77</v>
      </c>
      <c r="I10129" s="399" t="s">
        <v>920</v>
      </c>
      <c r="J10129" s="273"/>
      <c r="K10129" s="399" t="s">
        <v>453</v>
      </c>
      <c r="L10129" s="273"/>
      <c r="M10129" s="399" t="s">
        <v>921</v>
      </c>
      <c r="N10129" s="273"/>
    </row>
    <row r="10130" spans="1:14" ht="12.75" customHeight="1" x14ac:dyDescent="0.2">
      <c r="A10130" s="400" t="s">
        <v>966</v>
      </c>
      <c r="B10130" s="271"/>
      <c r="C10130" s="271"/>
      <c r="D10130" s="271"/>
      <c r="E10130" s="271"/>
      <c r="F10130" s="271"/>
      <c r="G10130" s="273"/>
      <c r="H10130" s="29" t="s">
        <v>1025</v>
      </c>
      <c r="I10130" s="394">
        <f>+'precios '!$J$222</f>
        <v>2077.2367952644231</v>
      </c>
      <c r="J10130" s="273"/>
      <c r="K10130" s="417">
        <f>+Indice!$L$21</f>
        <v>49</v>
      </c>
      <c r="L10130" s="273"/>
      <c r="M10130" s="394">
        <f t="shared" ref="M10130:M10134" si="1350">IF(A10130="","",I10130*K10130)</f>
        <v>101784.60296795673</v>
      </c>
      <c r="N10130" s="273"/>
    </row>
    <row r="10131" spans="1:14" ht="12.75" customHeight="1" x14ac:dyDescent="0.2">
      <c r="A10131" s="403" t="s">
        <v>3174</v>
      </c>
      <c r="B10131" s="271"/>
      <c r="C10131" s="271"/>
      <c r="D10131" s="271"/>
      <c r="E10131" s="271"/>
      <c r="F10131" s="271"/>
      <c r="G10131" s="273"/>
      <c r="H10131" s="29" t="s">
        <v>24</v>
      </c>
      <c r="I10131" s="394">
        <f>+M10126</f>
        <v>1755.5722000000003</v>
      </c>
      <c r="J10131" s="273"/>
      <c r="K10131" s="404">
        <v>0.05</v>
      </c>
      <c r="L10131" s="273"/>
      <c r="M10131" s="394">
        <f t="shared" si="1350"/>
        <v>87.778610000000015</v>
      </c>
      <c r="N10131" s="273"/>
    </row>
    <row r="10132" spans="1:14" ht="12.75" customHeight="1" x14ac:dyDescent="0.2">
      <c r="A10132" s="400"/>
      <c r="B10132" s="271"/>
      <c r="C10132" s="271"/>
      <c r="D10132" s="271"/>
      <c r="E10132" s="271"/>
      <c r="F10132" s="271"/>
      <c r="G10132" s="273"/>
      <c r="H10132" s="29"/>
      <c r="I10132" s="394"/>
      <c r="J10132" s="273"/>
      <c r="K10132" s="395"/>
      <c r="L10132" s="273"/>
      <c r="M10132" s="394" t="str">
        <f t="shared" si="1350"/>
        <v/>
      </c>
      <c r="N10132" s="273"/>
    </row>
    <row r="10133" spans="1:14" ht="12.75" customHeight="1" x14ac:dyDescent="0.2">
      <c r="A10133" s="400"/>
      <c r="B10133" s="271"/>
      <c r="C10133" s="271"/>
      <c r="D10133" s="271"/>
      <c r="E10133" s="271"/>
      <c r="F10133" s="271"/>
      <c r="G10133" s="273"/>
      <c r="H10133" s="29"/>
      <c r="I10133" s="394"/>
      <c r="J10133" s="273"/>
      <c r="K10133" s="395"/>
      <c r="L10133" s="273"/>
      <c r="M10133" s="394" t="str">
        <f t="shared" si="1350"/>
        <v/>
      </c>
      <c r="N10133" s="273"/>
    </row>
    <row r="10134" spans="1:14" ht="12.75" customHeight="1" x14ac:dyDescent="0.2">
      <c r="A10134" s="400"/>
      <c r="B10134" s="271"/>
      <c r="C10134" s="271"/>
      <c r="D10134" s="271"/>
      <c r="E10134" s="271"/>
      <c r="F10134" s="271"/>
      <c r="G10134" s="273"/>
      <c r="H10134" s="29"/>
      <c r="I10134" s="394"/>
      <c r="J10134" s="273"/>
      <c r="K10134" s="395"/>
      <c r="L10134" s="273"/>
      <c r="M10134" s="394" t="str">
        <f t="shared" si="1350"/>
        <v/>
      </c>
      <c r="N10134" s="273"/>
    </row>
    <row r="10135" spans="1:14" ht="12.75" customHeight="1" x14ac:dyDescent="0.25">
      <c r="A10135" s="4"/>
      <c r="B10135" s="4"/>
      <c r="C10135" s="4"/>
      <c r="D10135" s="4"/>
      <c r="E10135" s="4"/>
      <c r="F10135" s="4"/>
      <c r="G10135" s="4"/>
      <c r="H10135" s="4"/>
      <c r="I10135" s="4"/>
      <c r="J10135" s="4"/>
      <c r="K10135" s="396" t="s">
        <v>444</v>
      </c>
      <c r="L10135" s="273"/>
      <c r="M10135" s="394">
        <f>SUM(M10130:N10134)</f>
        <v>101872.38157795672</v>
      </c>
      <c r="N10135" s="273"/>
    </row>
    <row r="10136" spans="1:14" ht="12.75" customHeight="1" x14ac:dyDescent="0.25">
      <c r="A10136" s="4"/>
      <c r="B10136" s="4"/>
      <c r="C10136" s="4"/>
      <c r="D10136" s="4"/>
      <c r="E10136" s="4"/>
      <c r="F10136" s="4"/>
      <c r="G10136" s="4"/>
      <c r="H10136" s="4"/>
      <c r="I10136" s="4"/>
      <c r="J10136" s="4"/>
      <c r="K10136" s="4"/>
      <c r="L10136" s="4"/>
      <c r="M10136" s="4"/>
      <c r="N10136" s="4"/>
    </row>
    <row r="10137" spans="1:14" ht="12.75" customHeight="1" x14ac:dyDescent="0.2">
      <c r="A10137" s="398" t="s">
        <v>931</v>
      </c>
      <c r="B10137" s="271"/>
      <c r="C10137" s="271"/>
      <c r="D10137" s="271"/>
      <c r="E10137" s="271"/>
      <c r="F10137" s="271"/>
      <c r="G10137" s="271"/>
      <c r="H10137" s="271"/>
      <c r="I10137" s="271"/>
      <c r="J10137" s="271"/>
      <c r="K10137" s="271"/>
      <c r="L10137" s="271"/>
      <c r="M10137" s="271"/>
      <c r="N10137" s="273"/>
    </row>
    <row r="10138" spans="1:14" ht="12.75" customHeight="1" x14ac:dyDescent="0.2">
      <c r="A10138" s="396" t="s">
        <v>76</v>
      </c>
      <c r="B10138" s="271"/>
      <c r="C10138" s="271"/>
      <c r="D10138" s="271"/>
      <c r="E10138" s="271"/>
      <c r="F10138" s="271"/>
      <c r="G10138" s="273"/>
      <c r="H10138" s="88" t="s">
        <v>77</v>
      </c>
      <c r="I10138" s="399" t="s">
        <v>920</v>
      </c>
      <c r="J10138" s="273"/>
      <c r="K10138" s="90" t="s">
        <v>514</v>
      </c>
      <c r="L10138" s="91" t="s">
        <v>932</v>
      </c>
      <c r="M10138" s="399" t="s">
        <v>921</v>
      </c>
      <c r="N10138" s="273"/>
    </row>
    <row r="10139" spans="1:14" ht="12.75" customHeight="1" x14ac:dyDescent="0.25">
      <c r="A10139" s="393" t="s">
        <v>951</v>
      </c>
      <c r="B10139" s="271"/>
      <c r="C10139" s="271"/>
      <c r="D10139" s="271"/>
      <c r="E10139" s="271"/>
      <c r="F10139" s="271"/>
      <c r="G10139" s="273"/>
      <c r="H10139" s="29" t="str">
        <f>IF(A10139="","",VLOOKUP(A10139,AA_Cuadrillas,4,FALSE))</f>
        <v>Cuadrilla</v>
      </c>
      <c r="I10139" s="394">
        <f>IF(A10139="","",VLOOKUP(A10139,AA_Cuadrillas,5,FALSE))</f>
        <v>186763</v>
      </c>
      <c r="J10139" s="273"/>
      <c r="K10139" s="9">
        <f>IF(A10139="","",F.P!$I$2)</f>
        <v>1.88</v>
      </c>
      <c r="L10139" s="97">
        <f>1/10</f>
        <v>0.1</v>
      </c>
      <c r="M10139" s="394">
        <f t="shared" ref="M10139:M10143" si="1351">IF(A10139="","",I10139*K10139*L10139)</f>
        <v>35111.444000000003</v>
      </c>
      <c r="N10139" s="273"/>
    </row>
    <row r="10140" spans="1:14" ht="12.75" customHeight="1" x14ac:dyDescent="0.25">
      <c r="A10140" s="393"/>
      <c r="B10140" s="271"/>
      <c r="C10140" s="271"/>
      <c r="D10140" s="271"/>
      <c r="E10140" s="271"/>
      <c r="F10140" s="271"/>
      <c r="G10140" s="273"/>
      <c r="H10140" s="29" t="str">
        <f>IF(A10140="","",VLOOKUP(A10140,AA_Cuadrillas,4,FALSE))</f>
        <v/>
      </c>
      <c r="I10140" s="394" t="str">
        <f>IF(A10140="","",VLOOKUP(A10140,AA_Cuadrillas,5,FALSE))</f>
        <v/>
      </c>
      <c r="J10140" s="273"/>
      <c r="K10140" s="9" t="str">
        <f>IF(A10140="","",F.P!$I$2)</f>
        <v/>
      </c>
      <c r="L10140" s="9"/>
      <c r="M10140" s="394" t="str">
        <f t="shared" si="1351"/>
        <v/>
      </c>
      <c r="N10140" s="273"/>
    </row>
    <row r="10141" spans="1:14" ht="12.75" customHeight="1" x14ac:dyDescent="0.25">
      <c r="A10141" s="393"/>
      <c r="B10141" s="271"/>
      <c r="C10141" s="271"/>
      <c r="D10141" s="271"/>
      <c r="E10141" s="271"/>
      <c r="F10141" s="271"/>
      <c r="G10141" s="273"/>
      <c r="H10141" s="29" t="str">
        <f>IF(A10141="","",VLOOKUP(A10141,AA_Cuadrillas,4,FALSE))</f>
        <v/>
      </c>
      <c r="I10141" s="394" t="str">
        <f>IF(A10141="","",VLOOKUP(A10141,AA_Cuadrillas,5,FALSE))</f>
        <v/>
      </c>
      <c r="J10141" s="273"/>
      <c r="K10141" s="9" t="str">
        <f>IF(A10141="","",F.P!$I$2)</f>
        <v/>
      </c>
      <c r="L10141" s="37"/>
      <c r="M10141" s="394" t="str">
        <f t="shared" si="1351"/>
        <v/>
      </c>
      <c r="N10141" s="273"/>
    </row>
    <row r="10142" spans="1:14" ht="12.75" customHeight="1" x14ac:dyDescent="0.25">
      <c r="A10142" s="393"/>
      <c r="B10142" s="271"/>
      <c r="C10142" s="271"/>
      <c r="D10142" s="271"/>
      <c r="E10142" s="271"/>
      <c r="F10142" s="271"/>
      <c r="G10142" s="273"/>
      <c r="H10142" s="29" t="str">
        <f>IF(A10142="","",VLOOKUP(A10142,AA_Cuadrillas,4,FALSE))</f>
        <v/>
      </c>
      <c r="I10142" s="394" t="str">
        <f>IF(A10142="","",VLOOKUP(A10142,AA_Cuadrillas,5,FALSE))</f>
        <v/>
      </c>
      <c r="J10142" s="273"/>
      <c r="K10142" s="9" t="str">
        <f>IF(A10142="","",F.P!$I$2)</f>
        <v/>
      </c>
      <c r="L10142" s="37"/>
      <c r="M10142" s="394" t="str">
        <f t="shared" si="1351"/>
        <v/>
      </c>
      <c r="N10142" s="273"/>
    </row>
    <row r="10143" spans="1:14" ht="12.75" customHeight="1" x14ac:dyDescent="0.25">
      <c r="A10143" s="393"/>
      <c r="B10143" s="271"/>
      <c r="C10143" s="271"/>
      <c r="D10143" s="271"/>
      <c r="E10143" s="271"/>
      <c r="F10143" s="271"/>
      <c r="G10143" s="273"/>
      <c r="H10143" s="29" t="str">
        <f>IF(A10143="","",VLOOKUP(A10143,AA_Cuadrillas,4,FALSE))</f>
        <v/>
      </c>
      <c r="I10143" s="394" t="str">
        <f>IF(A10143="","",VLOOKUP(A10143,AA_Cuadrillas,5,FALSE))</f>
        <v/>
      </c>
      <c r="J10143" s="273"/>
      <c r="K10143" s="9" t="str">
        <f>IF(A10143="","",F.P!$I$2)</f>
        <v/>
      </c>
      <c r="L10143" s="37"/>
      <c r="M10143" s="394" t="str">
        <f t="shared" si="1351"/>
        <v/>
      </c>
      <c r="N10143" s="273"/>
    </row>
    <row r="10144" spans="1:14" ht="12.75" customHeight="1" x14ac:dyDescent="0.25">
      <c r="A10144" s="4"/>
      <c r="B10144" s="4"/>
      <c r="C10144" s="4"/>
      <c r="D10144" s="4"/>
      <c r="E10144" s="4"/>
      <c r="F10144" s="4"/>
      <c r="G10144" s="4"/>
      <c r="H10144" s="4"/>
      <c r="I10144" s="4"/>
      <c r="J10144" s="4"/>
      <c r="K10144" s="396" t="s">
        <v>444</v>
      </c>
      <c r="L10144" s="273"/>
      <c r="M10144" s="394">
        <f>SUM(M10139:N10143)</f>
        <v>35111.444000000003</v>
      </c>
      <c r="N10144" s="273"/>
    </row>
    <row r="10145" spans="1:14" ht="12.75" customHeight="1" x14ac:dyDescent="0.2"/>
    <row r="10146" spans="1:14" ht="12.75" customHeight="1" x14ac:dyDescent="0.2">
      <c r="A10146" s="407" t="s">
        <v>256</v>
      </c>
      <c r="B10146" s="275"/>
      <c r="C10146" s="275"/>
      <c r="D10146" s="275"/>
      <c r="E10146" s="275"/>
      <c r="F10146" s="275"/>
      <c r="G10146" s="275"/>
      <c r="H10146" s="275"/>
      <c r="I10146" s="275"/>
      <c r="J10146" s="275"/>
      <c r="K10146" s="275"/>
      <c r="L10146" s="275"/>
      <c r="M10146" s="275"/>
      <c r="N10146" s="276"/>
    </row>
    <row r="10147" spans="1:14" ht="12.75" customHeight="1" x14ac:dyDescent="0.2">
      <c r="A10147" s="277"/>
      <c r="B10147" s="278"/>
      <c r="C10147" s="278"/>
      <c r="D10147" s="278"/>
      <c r="E10147" s="278"/>
      <c r="F10147" s="278"/>
      <c r="G10147" s="278"/>
      <c r="H10147" s="278"/>
      <c r="I10147" s="278"/>
      <c r="J10147" s="278"/>
      <c r="K10147" s="278"/>
      <c r="L10147" s="278"/>
      <c r="M10147" s="278"/>
      <c r="N10147" s="279"/>
    </row>
    <row r="10148" spans="1:14" ht="12.75" customHeight="1" x14ac:dyDescent="0.2">
      <c r="A10148" s="75"/>
      <c r="B10148" s="75"/>
      <c r="C10148" s="75"/>
      <c r="D10148" s="75"/>
      <c r="E10148" s="75"/>
      <c r="F10148" s="75"/>
      <c r="G10148" s="75"/>
      <c r="H10148" s="75"/>
      <c r="I10148" s="75"/>
      <c r="J10148" s="75"/>
      <c r="K10148" s="75"/>
      <c r="L10148" s="75"/>
      <c r="M10148" s="75"/>
      <c r="N10148" s="75"/>
    </row>
    <row r="10149" spans="1:14" ht="12.75" customHeight="1" x14ac:dyDescent="0.3">
      <c r="A10149" s="79" t="s">
        <v>837</v>
      </c>
      <c r="B10149" s="80" t="str">
        <f>A10146</f>
        <v>CONCRETO PARA ESTRUCTURAS DE COLUMNAS Y VIGAS DE 4000 PSI A TODO COSTO (280 KG/CM2)</v>
      </c>
      <c r="C10149" s="81" t="s">
        <v>916</v>
      </c>
      <c r="D10149" s="82" t="s">
        <v>258</v>
      </c>
      <c r="E10149" s="83" t="s">
        <v>445</v>
      </c>
      <c r="F10149" s="86">
        <f>H10149+J10149+L10149+N10149</f>
        <v>1292458.1118929568</v>
      </c>
      <c r="G10149" s="83" t="s">
        <v>607</v>
      </c>
      <c r="H10149" s="86">
        <f>M10170</f>
        <v>48670.608500000002</v>
      </c>
      <c r="I10149" s="83" t="s">
        <v>918</v>
      </c>
      <c r="J10149" s="86">
        <f>M10161</f>
        <v>953040</v>
      </c>
      <c r="K10149" s="83" t="s">
        <v>609</v>
      </c>
      <c r="L10149" s="86">
        <f>M10179</f>
        <v>104218.13339295673</v>
      </c>
      <c r="M10149" s="83" t="s">
        <v>610</v>
      </c>
      <c r="N10149" s="86">
        <f>M10188</f>
        <v>186529.37</v>
      </c>
    </row>
    <row r="10150" spans="1:14" ht="12.75" customHeight="1" x14ac:dyDescent="0.25">
      <c r="A10150" s="87"/>
      <c r="B10150" s="87"/>
      <c r="C10150" s="87"/>
      <c r="D10150" s="87"/>
      <c r="E10150" s="87"/>
      <c r="F10150" s="87"/>
      <c r="G10150" s="87"/>
      <c r="J10150" s="87"/>
      <c r="K10150" s="215" t="s">
        <v>3217</v>
      </c>
      <c r="L10150" s="215">
        <f>+F10149*presup!$O$5</f>
        <v>1680195.5454608439</v>
      </c>
      <c r="M10150" s="87"/>
      <c r="N10150" s="87"/>
    </row>
    <row r="10151" spans="1:14" ht="12.75" customHeight="1" x14ac:dyDescent="0.2">
      <c r="A10151" s="398" t="s">
        <v>919</v>
      </c>
      <c r="B10151" s="271"/>
      <c r="C10151" s="271"/>
      <c r="D10151" s="271"/>
      <c r="E10151" s="271"/>
      <c r="F10151" s="271"/>
      <c r="G10151" s="271"/>
      <c r="H10151" s="271"/>
      <c r="I10151" s="271"/>
      <c r="J10151" s="271"/>
      <c r="K10151" s="271"/>
      <c r="L10151" s="271"/>
      <c r="M10151" s="271"/>
      <c r="N10151" s="273"/>
    </row>
    <row r="10152" spans="1:14" ht="12.75" customHeight="1" x14ac:dyDescent="0.2">
      <c r="A10152" s="396" t="s">
        <v>76</v>
      </c>
      <c r="B10152" s="271"/>
      <c r="C10152" s="271"/>
      <c r="D10152" s="271"/>
      <c r="E10152" s="271"/>
      <c r="F10152" s="271"/>
      <c r="G10152" s="273"/>
      <c r="H10152" s="88" t="s">
        <v>77</v>
      </c>
      <c r="I10152" s="399" t="s">
        <v>920</v>
      </c>
      <c r="J10152" s="273"/>
      <c r="K10152" s="399" t="s">
        <v>453</v>
      </c>
      <c r="L10152" s="273"/>
      <c r="M10152" s="399" t="s">
        <v>921</v>
      </c>
      <c r="N10152" s="273"/>
    </row>
    <row r="10153" spans="1:14" ht="12.75" customHeight="1" x14ac:dyDescent="0.2">
      <c r="A10153" s="400" t="s">
        <v>953</v>
      </c>
      <c r="B10153" s="271"/>
      <c r="C10153" s="271"/>
      <c r="D10153" s="271"/>
      <c r="E10153" s="271"/>
      <c r="F10153" s="271"/>
      <c r="G10153" s="273"/>
      <c r="H10153" s="29" t="str">
        <f t="shared" ref="H10153:H10160" si="1352">IF(A10153="","",VLOOKUP(A10153,AA_Materiales,7,FALSE))</f>
        <v>Kg</v>
      </c>
      <c r="I10153" s="394">
        <f t="shared" ref="I10153:I10160" si="1353">IF(A10153="","",VLOOKUP(A10153,AA_Materiales,8,FALSE))</f>
        <v>800</v>
      </c>
      <c r="J10153" s="273"/>
      <c r="K10153" s="395">
        <v>425</v>
      </c>
      <c r="L10153" s="273"/>
      <c r="M10153" s="394">
        <f t="shared" ref="M10153:M10160" si="1354">IF(A10153="","",I10153*K10153)</f>
        <v>340000</v>
      </c>
      <c r="N10153" s="273"/>
    </row>
    <row r="10154" spans="1:14" ht="12.75" customHeight="1" x14ac:dyDescent="0.2">
      <c r="A10154" s="400" t="s">
        <v>954</v>
      </c>
      <c r="B10154" s="271"/>
      <c r="C10154" s="271"/>
      <c r="D10154" s="271"/>
      <c r="E10154" s="271"/>
      <c r="F10154" s="271"/>
      <c r="G10154" s="273"/>
      <c r="H10154" s="29" t="str">
        <f t="shared" si="1352"/>
        <v>m3</v>
      </c>
      <c r="I10154" s="394">
        <f t="shared" si="1353"/>
        <v>83000</v>
      </c>
      <c r="J10154" s="273"/>
      <c r="K10154" s="395">
        <v>0.57999999999999996</v>
      </c>
      <c r="L10154" s="273"/>
      <c r="M10154" s="394">
        <f t="shared" si="1354"/>
        <v>48140</v>
      </c>
      <c r="N10154" s="273"/>
    </row>
    <row r="10155" spans="1:14" ht="12.75" customHeight="1" x14ac:dyDescent="0.2">
      <c r="A10155" s="400" t="s">
        <v>955</v>
      </c>
      <c r="B10155" s="271"/>
      <c r="C10155" s="271"/>
      <c r="D10155" s="271"/>
      <c r="E10155" s="271"/>
      <c r="F10155" s="271"/>
      <c r="G10155" s="273"/>
      <c r="H10155" s="29" t="str">
        <f t="shared" si="1352"/>
        <v>m3</v>
      </c>
      <c r="I10155" s="394">
        <f t="shared" si="1353"/>
        <v>90000</v>
      </c>
      <c r="J10155" s="273"/>
      <c r="K10155" s="395">
        <v>0.7</v>
      </c>
      <c r="L10155" s="273"/>
      <c r="M10155" s="394">
        <f t="shared" si="1354"/>
        <v>62999.999999999993</v>
      </c>
      <c r="N10155" s="273"/>
    </row>
    <row r="10156" spans="1:14" ht="12.75" customHeight="1" x14ac:dyDescent="0.2">
      <c r="A10156" s="400" t="s">
        <v>956</v>
      </c>
      <c r="B10156" s="271"/>
      <c r="C10156" s="271"/>
      <c r="D10156" s="271"/>
      <c r="E10156" s="271"/>
      <c r="F10156" s="271"/>
      <c r="G10156" s="273"/>
      <c r="H10156" s="29" t="str">
        <f t="shared" si="1352"/>
        <v>Lt</v>
      </c>
      <c r="I10156" s="394">
        <f t="shared" si="1353"/>
        <v>20</v>
      </c>
      <c r="J10156" s="273"/>
      <c r="K10156" s="395">
        <v>200</v>
      </c>
      <c r="L10156" s="273"/>
      <c r="M10156" s="394">
        <f t="shared" si="1354"/>
        <v>4000</v>
      </c>
      <c r="N10156" s="273"/>
    </row>
    <row r="10157" spans="1:14" ht="12.75" customHeight="1" x14ac:dyDescent="0.2">
      <c r="A10157" s="400" t="s">
        <v>1165</v>
      </c>
      <c r="B10157" s="271"/>
      <c r="C10157" s="271"/>
      <c r="D10157" s="271"/>
      <c r="E10157" s="271"/>
      <c r="F10157" s="271"/>
      <c r="G10157" s="273"/>
      <c r="H10157" s="29" t="str">
        <f t="shared" si="1352"/>
        <v>Unidad</v>
      </c>
      <c r="I10157" s="394">
        <f t="shared" si="1353"/>
        <v>2400</v>
      </c>
      <c r="J10157" s="273"/>
      <c r="K10157" s="395">
        <f>156</f>
        <v>156</v>
      </c>
      <c r="L10157" s="273"/>
      <c r="M10157" s="394">
        <f t="shared" si="1354"/>
        <v>374400</v>
      </c>
      <c r="N10157" s="273"/>
    </row>
    <row r="10158" spans="1:14" ht="12.75" customHeight="1" x14ac:dyDescent="0.2">
      <c r="A10158" s="400" t="s">
        <v>1166</v>
      </c>
      <c r="B10158" s="271"/>
      <c r="C10158" s="271"/>
      <c r="D10158" s="271"/>
      <c r="E10158" s="271"/>
      <c r="F10158" s="271"/>
      <c r="G10158" s="273"/>
      <c r="H10158" s="29" t="str">
        <f t="shared" si="1352"/>
        <v>Unidad</v>
      </c>
      <c r="I10158" s="394">
        <f t="shared" si="1353"/>
        <v>8000</v>
      </c>
      <c r="J10158" s="273"/>
      <c r="K10158" s="395">
        <v>12</v>
      </c>
      <c r="L10158" s="273"/>
      <c r="M10158" s="394">
        <f t="shared" si="1354"/>
        <v>96000</v>
      </c>
      <c r="N10158" s="273"/>
    </row>
    <row r="10159" spans="1:14" ht="12.75" customHeight="1" x14ac:dyDescent="0.2">
      <c r="A10159" s="400" t="s">
        <v>947</v>
      </c>
      <c r="B10159" s="271"/>
      <c r="C10159" s="271"/>
      <c r="D10159" s="271"/>
      <c r="E10159" s="271"/>
      <c r="F10159" s="271"/>
      <c r="G10159" s="273"/>
      <c r="H10159" s="29" t="str">
        <f t="shared" si="1352"/>
        <v>LB</v>
      </c>
      <c r="I10159" s="394">
        <f t="shared" si="1353"/>
        <v>5500</v>
      </c>
      <c r="J10159" s="273"/>
      <c r="K10159" s="395">
        <v>5</v>
      </c>
      <c r="L10159" s="273"/>
      <c r="M10159" s="394">
        <f t="shared" si="1354"/>
        <v>27500</v>
      </c>
      <c r="N10159" s="273"/>
    </row>
    <row r="10160" spans="1:14" ht="12.75" customHeight="1" x14ac:dyDescent="0.2">
      <c r="A10160" s="400"/>
      <c r="B10160" s="271"/>
      <c r="C10160" s="271"/>
      <c r="D10160" s="271"/>
      <c r="E10160" s="271"/>
      <c r="F10160" s="271"/>
      <c r="G10160" s="273"/>
      <c r="H10160" s="29" t="str">
        <f t="shared" si="1352"/>
        <v/>
      </c>
      <c r="I10160" s="394" t="str">
        <f t="shared" si="1353"/>
        <v/>
      </c>
      <c r="J10160" s="273"/>
      <c r="K10160" s="395"/>
      <c r="L10160" s="273"/>
      <c r="M10160" s="394" t="str">
        <f t="shared" si="1354"/>
        <v/>
      </c>
      <c r="N10160" s="273"/>
    </row>
    <row r="10161" spans="1:14" ht="12.75" customHeight="1" x14ac:dyDescent="0.25">
      <c r="A10161" s="4"/>
      <c r="B10161" s="4"/>
      <c r="C10161" s="4"/>
      <c r="D10161" s="4"/>
      <c r="E10161" s="4"/>
      <c r="F10161" s="4"/>
      <c r="G10161" s="4"/>
      <c r="H10161" s="4"/>
      <c r="I10161" s="4"/>
      <c r="J10161" s="4"/>
      <c r="K10161" s="396" t="s">
        <v>444</v>
      </c>
      <c r="L10161" s="273"/>
      <c r="M10161" s="394">
        <f>SUM(M10153:N10160)</f>
        <v>953040</v>
      </c>
      <c r="N10161" s="273"/>
    </row>
    <row r="10162" spans="1:14" ht="12.75" customHeight="1" x14ac:dyDescent="0.25">
      <c r="A10162" s="4"/>
      <c r="B10162" s="4"/>
      <c r="C10162" s="4"/>
      <c r="D10162" s="4"/>
      <c r="E10162" s="4"/>
      <c r="F10162" s="4"/>
      <c r="G10162" s="4"/>
      <c r="H10162" s="4"/>
      <c r="I10162" s="4"/>
      <c r="J10162" s="4"/>
      <c r="K10162" s="4"/>
      <c r="L10162" s="4"/>
      <c r="M10162" s="4"/>
      <c r="N10162" s="4"/>
    </row>
    <row r="10163" spans="1:14" ht="12.75" customHeight="1" x14ac:dyDescent="0.2">
      <c r="A10163" s="398" t="s">
        <v>926</v>
      </c>
      <c r="B10163" s="271"/>
      <c r="C10163" s="271"/>
      <c r="D10163" s="271"/>
      <c r="E10163" s="271"/>
      <c r="F10163" s="271"/>
      <c r="G10163" s="271"/>
      <c r="H10163" s="271"/>
      <c r="I10163" s="271"/>
      <c r="J10163" s="271"/>
      <c r="K10163" s="271"/>
      <c r="L10163" s="271"/>
      <c r="M10163" s="271"/>
      <c r="N10163" s="273"/>
    </row>
    <row r="10164" spans="1:14" ht="12.75" customHeight="1" x14ac:dyDescent="0.2">
      <c r="A10164" s="396" t="s">
        <v>76</v>
      </c>
      <c r="B10164" s="271"/>
      <c r="C10164" s="271"/>
      <c r="D10164" s="271"/>
      <c r="E10164" s="271"/>
      <c r="F10164" s="271"/>
      <c r="G10164" s="273"/>
      <c r="H10164" s="88" t="s">
        <v>77</v>
      </c>
      <c r="I10164" s="399" t="s">
        <v>920</v>
      </c>
      <c r="J10164" s="273"/>
      <c r="K10164" s="399" t="s">
        <v>453</v>
      </c>
      <c r="L10164" s="273"/>
      <c r="M10164" s="399" t="s">
        <v>921</v>
      </c>
      <c r="N10164" s="273"/>
    </row>
    <row r="10165" spans="1:14" ht="12.75" customHeight="1" x14ac:dyDescent="0.2">
      <c r="A10165" s="400" t="s">
        <v>927</v>
      </c>
      <c r="B10165" s="271"/>
      <c r="C10165" s="271"/>
      <c r="D10165" s="271"/>
      <c r="E10165" s="271"/>
      <c r="F10165" s="271"/>
      <c r="G10165" s="273"/>
      <c r="H10165" s="29" t="str">
        <f>IF(A10165="","",VLOOKUP(A10165,AA_Equipos,7,FALSE))</f>
        <v>% M.O.</v>
      </c>
      <c r="I10165" s="394">
        <f>M10188</f>
        <v>186529.37</v>
      </c>
      <c r="J10165" s="273"/>
      <c r="K10165" s="404">
        <v>0.05</v>
      </c>
      <c r="L10165" s="273"/>
      <c r="M10165" s="394">
        <f t="shared" ref="M10165:M10169" si="1355">IF(A10165="","",I10165*K10165)</f>
        <v>9326.4685000000009</v>
      </c>
      <c r="N10165" s="273"/>
    </row>
    <row r="10166" spans="1:14" ht="12.75" customHeight="1" x14ac:dyDescent="0.2">
      <c r="A10166" s="403" t="s">
        <v>957</v>
      </c>
      <c r="B10166" s="271"/>
      <c r="C10166" s="271"/>
      <c r="D10166" s="271"/>
      <c r="E10166" s="271"/>
      <c r="F10166" s="271"/>
      <c r="G10166" s="273"/>
      <c r="H10166" s="29" t="str">
        <f>IF(A10166="","",VLOOKUP(A10166,AA_Equipos,7,FALSE))</f>
        <v>Dia</v>
      </c>
      <c r="I10166" s="394">
        <f>IF(A10166="","",VLOOKUP(A10166,AA_Equipos,8,FALSE))</f>
        <v>107071</v>
      </c>
      <c r="J10166" s="273"/>
      <c r="K10166" s="402">
        <v>0.22</v>
      </c>
      <c r="L10166" s="273"/>
      <c r="M10166" s="394">
        <f t="shared" si="1355"/>
        <v>23555.62</v>
      </c>
      <c r="N10166" s="273"/>
    </row>
    <row r="10167" spans="1:14" ht="12.75" customHeight="1" x14ac:dyDescent="0.2">
      <c r="A10167" s="400" t="s">
        <v>964</v>
      </c>
      <c r="B10167" s="271"/>
      <c r="C10167" s="271"/>
      <c r="D10167" s="271"/>
      <c r="E10167" s="271"/>
      <c r="F10167" s="271"/>
      <c r="G10167" s="273"/>
      <c r="H10167" s="29" t="str">
        <f>IF(A10167="","",VLOOKUP(A10167,AA_Equipos,7,FALSE))</f>
        <v>Dia</v>
      </c>
      <c r="I10167" s="394">
        <f>IF(A10167="","",VLOOKUP(A10167,AA_Equipos,8,FALSE))</f>
        <v>71766</v>
      </c>
      <c r="J10167" s="273"/>
      <c r="K10167" s="395">
        <v>0.22</v>
      </c>
      <c r="L10167" s="273"/>
      <c r="M10167" s="394">
        <f t="shared" si="1355"/>
        <v>15788.52</v>
      </c>
      <c r="N10167" s="273"/>
    </row>
    <row r="10168" spans="1:14" ht="12.75" customHeight="1" x14ac:dyDescent="0.2">
      <c r="A10168" s="400"/>
      <c r="B10168" s="271"/>
      <c r="C10168" s="271"/>
      <c r="D10168" s="271"/>
      <c r="E10168" s="271"/>
      <c r="F10168" s="271"/>
      <c r="G10168" s="273"/>
      <c r="H10168" s="29" t="str">
        <f>IF(A10168="","",VLOOKUP(A10168,AA_Equipos,7,FALSE))</f>
        <v/>
      </c>
      <c r="I10168" s="394" t="str">
        <f>IF(A10168="","",VLOOKUP(A10168,AA_Equipos,8,FALSE))</f>
        <v/>
      </c>
      <c r="J10168" s="273"/>
      <c r="K10168" s="395"/>
      <c r="L10168" s="273"/>
      <c r="M10168" s="394" t="str">
        <f t="shared" si="1355"/>
        <v/>
      </c>
      <c r="N10168" s="273"/>
    </row>
    <row r="10169" spans="1:14" ht="12.75" customHeight="1" x14ac:dyDescent="0.2">
      <c r="A10169" s="400"/>
      <c r="B10169" s="271"/>
      <c r="C10169" s="271"/>
      <c r="D10169" s="271"/>
      <c r="E10169" s="271"/>
      <c r="F10169" s="271"/>
      <c r="G10169" s="273"/>
      <c r="H10169" s="29" t="str">
        <f>IF(A10169="","",VLOOKUP(A10169,AA_Equipos,7,FALSE))</f>
        <v/>
      </c>
      <c r="I10169" s="394" t="str">
        <f>IF(A10169="","",VLOOKUP(A10169,AA_Equipos,8,FALSE))</f>
        <v/>
      </c>
      <c r="J10169" s="273"/>
      <c r="K10169" s="395"/>
      <c r="L10169" s="273"/>
      <c r="M10169" s="394" t="str">
        <f t="shared" si="1355"/>
        <v/>
      </c>
      <c r="N10169" s="273"/>
    </row>
    <row r="10170" spans="1:14" ht="12.75" customHeight="1" x14ac:dyDescent="0.25">
      <c r="A10170" s="4"/>
      <c r="B10170" s="4"/>
      <c r="C10170" s="4"/>
      <c r="D10170" s="4"/>
      <c r="E10170" s="4"/>
      <c r="F10170" s="4"/>
      <c r="G10170" s="4"/>
      <c r="H10170" s="4"/>
      <c r="I10170" s="4"/>
      <c r="J10170" s="4"/>
      <c r="K10170" s="396" t="s">
        <v>444</v>
      </c>
      <c r="L10170" s="273"/>
      <c r="M10170" s="394">
        <f>SUM(M10165:N10169)</f>
        <v>48670.608500000002</v>
      </c>
      <c r="N10170" s="273"/>
    </row>
    <row r="10171" spans="1:14" ht="12.75" customHeight="1" x14ac:dyDescent="0.25">
      <c r="A10171" s="4"/>
      <c r="B10171" s="4"/>
      <c r="C10171" s="4"/>
      <c r="D10171" s="4"/>
      <c r="E10171" s="4"/>
      <c r="F10171" s="4"/>
      <c r="G10171" s="4"/>
      <c r="H10171" s="4"/>
      <c r="I10171" s="4"/>
      <c r="J10171" s="4"/>
      <c r="K10171" s="4"/>
      <c r="L10171" s="4"/>
      <c r="M10171" s="4"/>
      <c r="N10171" s="4"/>
    </row>
    <row r="10172" spans="1:14" ht="12.75" customHeight="1" x14ac:dyDescent="0.2">
      <c r="A10172" s="398" t="s">
        <v>929</v>
      </c>
      <c r="B10172" s="271"/>
      <c r="C10172" s="271"/>
      <c r="D10172" s="271"/>
      <c r="E10172" s="271"/>
      <c r="F10172" s="271"/>
      <c r="G10172" s="271"/>
      <c r="H10172" s="271"/>
      <c r="I10172" s="271"/>
      <c r="J10172" s="271"/>
      <c r="K10172" s="271"/>
      <c r="L10172" s="271"/>
      <c r="M10172" s="271"/>
      <c r="N10172" s="273"/>
    </row>
    <row r="10173" spans="1:14" ht="12.75" customHeight="1" x14ac:dyDescent="0.2">
      <c r="A10173" s="396" t="s">
        <v>76</v>
      </c>
      <c r="B10173" s="271"/>
      <c r="C10173" s="271"/>
      <c r="D10173" s="271"/>
      <c r="E10173" s="271"/>
      <c r="F10173" s="271"/>
      <c r="G10173" s="273"/>
      <c r="H10173" s="88" t="s">
        <v>77</v>
      </c>
      <c r="I10173" s="399" t="s">
        <v>920</v>
      </c>
      <c r="J10173" s="273"/>
      <c r="K10173" s="399" t="s">
        <v>453</v>
      </c>
      <c r="L10173" s="273"/>
      <c r="M10173" s="399" t="s">
        <v>921</v>
      </c>
      <c r="N10173" s="273"/>
    </row>
    <row r="10174" spans="1:14" ht="12.75" customHeight="1" x14ac:dyDescent="0.2">
      <c r="A10174" s="400" t="s">
        <v>965</v>
      </c>
      <c r="B10174" s="271"/>
      <c r="C10174" s="271"/>
      <c r="D10174" s="271"/>
      <c r="E10174" s="271"/>
      <c r="F10174" s="271"/>
      <c r="G10174" s="273"/>
      <c r="H10174" s="29" t="s">
        <v>959</v>
      </c>
      <c r="I10174" s="394">
        <f>+M10170</f>
        <v>48670.608500000002</v>
      </c>
      <c r="J10174" s="273"/>
      <c r="K10174" s="404">
        <v>0.05</v>
      </c>
      <c r="L10174" s="273"/>
      <c r="M10174" s="394">
        <f t="shared" ref="M10174:M10178" si="1356">IF(A10174="","",I10174*K10174)</f>
        <v>2433.5304250000004</v>
      </c>
      <c r="N10174" s="273"/>
    </row>
    <row r="10175" spans="1:14" ht="12.75" customHeight="1" x14ac:dyDescent="0.2">
      <c r="A10175" s="403" t="s">
        <v>966</v>
      </c>
      <c r="B10175" s="271"/>
      <c r="C10175" s="271"/>
      <c r="D10175" s="271"/>
      <c r="E10175" s="271"/>
      <c r="F10175" s="271"/>
      <c r="G10175" s="273"/>
      <c r="H10175" s="29" t="s">
        <v>967</v>
      </c>
      <c r="I10175" s="394">
        <f>+'precios '!J222</f>
        <v>2077.2367952644231</v>
      </c>
      <c r="J10175" s="273"/>
      <c r="K10175" s="417">
        <f>+Indice!$L$21</f>
        <v>49</v>
      </c>
      <c r="L10175" s="273"/>
      <c r="M10175" s="394">
        <f t="shared" si="1356"/>
        <v>101784.60296795673</v>
      </c>
      <c r="N10175" s="273"/>
    </row>
    <row r="10176" spans="1:14" ht="12.75" customHeight="1" x14ac:dyDescent="0.2">
      <c r="A10176" s="400"/>
      <c r="B10176" s="271"/>
      <c r="C10176" s="271"/>
      <c r="D10176" s="271"/>
      <c r="E10176" s="271"/>
      <c r="F10176" s="271"/>
      <c r="G10176" s="273"/>
      <c r="H10176" s="29"/>
      <c r="I10176" s="394"/>
      <c r="J10176" s="273"/>
      <c r="K10176" s="395"/>
      <c r="L10176" s="273"/>
      <c r="M10176" s="394" t="str">
        <f t="shared" si="1356"/>
        <v/>
      </c>
      <c r="N10176" s="273"/>
    </row>
    <row r="10177" spans="1:14" ht="12.75" customHeight="1" x14ac:dyDescent="0.2">
      <c r="A10177" s="400"/>
      <c r="B10177" s="271"/>
      <c r="C10177" s="271"/>
      <c r="D10177" s="271"/>
      <c r="E10177" s="271"/>
      <c r="F10177" s="271"/>
      <c r="G10177" s="273"/>
      <c r="H10177" s="29"/>
      <c r="I10177" s="394"/>
      <c r="J10177" s="273"/>
      <c r="K10177" s="395"/>
      <c r="L10177" s="273"/>
      <c r="M10177" s="394" t="str">
        <f t="shared" si="1356"/>
        <v/>
      </c>
      <c r="N10177" s="273"/>
    </row>
    <row r="10178" spans="1:14" ht="12.75" customHeight="1" x14ac:dyDescent="0.2">
      <c r="A10178" s="400"/>
      <c r="B10178" s="271"/>
      <c r="C10178" s="271"/>
      <c r="D10178" s="271"/>
      <c r="E10178" s="271"/>
      <c r="F10178" s="271"/>
      <c r="G10178" s="273"/>
      <c r="H10178" s="29"/>
      <c r="I10178" s="394"/>
      <c r="J10178" s="273"/>
      <c r="K10178" s="395"/>
      <c r="L10178" s="273"/>
      <c r="M10178" s="394" t="str">
        <f t="shared" si="1356"/>
        <v/>
      </c>
      <c r="N10178" s="273"/>
    </row>
    <row r="10179" spans="1:14" ht="12.75" customHeight="1" x14ac:dyDescent="0.25">
      <c r="A10179" s="4"/>
      <c r="B10179" s="4"/>
      <c r="C10179" s="4"/>
      <c r="D10179" s="4"/>
      <c r="E10179" s="4"/>
      <c r="F10179" s="4"/>
      <c r="G10179" s="4"/>
      <c r="H10179" s="4"/>
      <c r="I10179" s="4"/>
      <c r="J10179" s="4"/>
      <c r="K10179" s="396" t="s">
        <v>444</v>
      </c>
      <c r="L10179" s="273"/>
      <c r="M10179" s="394">
        <f>SUM(M10174:N10178)</f>
        <v>104218.13339295673</v>
      </c>
      <c r="N10179" s="273"/>
    </row>
    <row r="10180" spans="1:14" ht="12.75" customHeight="1" x14ac:dyDescent="0.25">
      <c r="A10180" s="4"/>
      <c r="B10180" s="4"/>
      <c r="C10180" s="4"/>
      <c r="D10180" s="4"/>
      <c r="E10180" s="4"/>
      <c r="F10180" s="4"/>
      <c r="G10180" s="4"/>
      <c r="H10180" s="4"/>
      <c r="I10180" s="4"/>
      <c r="J10180" s="4"/>
      <c r="K10180" s="4"/>
      <c r="L10180" s="4"/>
      <c r="M10180" s="4"/>
      <c r="N10180" s="4"/>
    </row>
    <row r="10181" spans="1:14" ht="12.75" customHeight="1" x14ac:dyDescent="0.2">
      <c r="A10181" s="398" t="s">
        <v>931</v>
      </c>
      <c r="B10181" s="271"/>
      <c r="C10181" s="271"/>
      <c r="D10181" s="271"/>
      <c r="E10181" s="271"/>
      <c r="F10181" s="271"/>
      <c r="G10181" s="271"/>
      <c r="H10181" s="271"/>
      <c r="I10181" s="271"/>
      <c r="J10181" s="271"/>
      <c r="K10181" s="271"/>
      <c r="L10181" s="271"/>
      <c r="M10181" s="271"/>
      <c r="N10181" s="273"/>
    </row>
    <row r="10182" spans="1:14" ht="12.75" customHeight="1" x14ac:dyDescent="0.2">
      <c r="A10182" s="396" t="s">
        <v>76</v>
      </c>
      <c r="B10182" s="271"/>
      <c r="C10182" s="271"/>
      <c r="D10182" s="271"/>
      <c r="E10182" s="271"/>
      <c r="F10182" s="271"/>
      <c r="G10182" s="273"/>
      <c r="H10182" s="88" t="s">
        <v>77</v>
      </c>
      <c r="I10182" s="399" t="s">
        <v>920</v>
      </c>
      <c r="J10182" s="273"/>
      <c r="K10182" s="90" t="s">
        <v>514</v>
      </c>
      <c r="L10182" s="91" t="s">
        <v>932</v>
      </c>
      <c r="M10182" s="399" t="s">
        <v>921</v>
      </c>
      <c r="N10182" s="273"/>
    </row>
    <row r="10183" spans="1:14" ht="12.75" customHeight="1" x14ac:dyDescent="0.25">
      <c r="A10183" s="393" t="s">
        <v>962</v>
      </c>
      <c r="B10183" s="271"/>
      <c r="C10183" s="271"/>
      <c r="D10183" s="271"/>
      <c r="E10183" s="271"/>
      <c r="F10183" s="271"/>
      <c r="G10183" s="273"/>
      <c r="H10183" s="29" t="str">
        <f>IF(A10183="","",VLOOKUP(A10183,AA_Cuadrillas,4,FALSE))</f>
        <v>Cuadrilla</v>
      </c>
      <c r="I10183" s="394">
        <f>IF(A10183="","",VLOOKUP(A10183,AA_Cuadrillas,5,FALSE))</f>
        <v>396871</v>
      </c>
      <c r="J10183" s="273"/>
      <c r="K10183" s="9">
        <f>IF(A10183="","",F.P!$I$2)</f>
        <v>1.88</v>
      </c>
      <c r="L10183" s="93">
        <v>0.25</v>
      </c>
      <c r="M10183" s="394">
        <f t="shared" ref="M10183:M10187" si="1357">IF(A10183="","",I10183*K10183*L10183)</f>
        <v>186529.37</v>
      </c>
      <c r="N10183" s="273"/>
    </row>
    <row r="10184" spans="1:14" ht="12.75" customHeight="1" x14ac:dyDescent="0.25">
      <c r="A10184" s="393"/>
      <c r="B10184" s="271"/>
      <c r="C10184" s="271"/>
      <c r="D10184" s="271"/>
      <c r="E10184" s="271"/>
      <c r="F10184" s="271"/>
      <c r="G10184" s="273"/>
      <c r="H10184" s="29" t="str">
        <f>IF(A10184="","",VLOOKUP(A10184,AA_Cuadrillas,4,FALSE))</f>
        <v/>
      </c>
      <c r="I10184" s="394" t="str">
        <f>IF(A10184="","",VLOOKUP(A10184,AA_Cuadrillas,5,FALSE))</f>
        <v/>
      </c>
      <c r="J10184" s="273"/>
      <c r="K10184" s="9" t="str">
        <f>IF(A10184="","",F.P!$I$2)</f>
        <v/>
      </c>
      <c r="L10184" s="9"/>
      <c r="M10184" s="394" t="str">
        <f t="shared" si="1357"/>
        <v/>
      </c>
      <c r="N10184" s="273"/>
    </row>
    <row r="10185" spans="1:14" ht="12.75" customHeight="1" x14ac:dyDescent="0.25">
      <c r="A10185" s="393"/>
      <c r="B10185" s="271"/>
      <c r="C10185" s="271"/>
      <c r="D10185" s="271"/>
      <c r="E10185" s="271"/>
      <c r="F10185" s="271"/>
      <c r="G10185" s="273"/>
      <c r="H10185" s="29" t="str">
        <f>IF(A10185="","",VLOOKUP(A10185,AA_Cuadrillas,4,FALSE))</f>
        <v/>
      </c>
      <c r="I10185" s="394" t="str">
        <f>IF(A10185="","",VLOOKUP(A10185,AA_Cuadrillas,5,FALSE))</f>
        <v/>
      </c>
      <c r="J10185" s="273"/>
      <c r="K10185" s="9" t="str">
        <f>IF(A10185="","",F.P!$I$2)</f>
        <v/>
      </c>
      <c r="L10185" s="37"/>
      <c r="M10185" s="394" t="str">
        <f t="shared" si="1357"/>
        <v/>
      </c>
      <c r="N10185" s="273"/>
    </row>
    <row r="10186" spans="1:14" ht="12.75" customHeight="1" x14ac:dyDescent="0.25">
      <c r="A10186" s="393"/>
      <c r="B10186" s="271"/>
      <c r="C10186" s="271"/>
      <c r="D10186" s="271"/>
      <c r="E10186" s="271"/>
      <c r="F10186" s="271"/>
      <c r="G10186" s="273"/>
      <c r="H10186" s="29" t="str">
        <f>IF(A10186="","",VLOOKUP(A10186,AA_Cuadrillas,4,FALSE))</f>
        <v/>
      </c>
      <c r="I10186" s="394" t="str">
        <f>IF(A10186="","",VLOOKUP(A10186,AA_Cuadrillas,5,FALSE))</f>
        <v/>
      </c>
      <c r="J10186" s="273"/>
      <c r="K10186" s="9" t="str">
        <f>IF(A10186="","",F.P!$I$2)</f>
        <v/>
      </c>
      <c r="L10186" s="37"/>
      <c r="M10186" s="394" t="str">
        <f t="shared" si="1357"/>
        <v/>
      </c>
      <c r="N10186" s="273"/>
    </row>
    <row r="10187" spans="1:14" ht="12.75" customHeight="1" x14ac:dyDescent="0.25">
      <c r="A10187" s="393"/>
      <c r="B10187" s="271"/>
      <c r="C10187" s="271"/>
      <c r="D10187" s="271"/>
      <c r="E10187" s="271"/>
      <c r="F10187" s="271"/>
      <c r="G10187" s="273"/>
      <c r="H10187" s="29" t="str">
        <f>IF(A10187="","",VLOOKUP(A10187,AA_Cuadrillas,4,FALSE))</f>
        <v/>
      </c>
      <c r="I10187" s="394" t="str">
        <f>IF(A10187="","",VLOOKUP(A10187,AA_Cuadrillas,5,FALSE))</f>
        <v/>
      </c>
      <c r="J10187" s="273"/>
      <c r="K10187" s="9" t="str">
        <f>IF(A10187="","",F.P!$I$2)</f>
        <v/>
      </c>
      <c r="L10187" s="37"/>
      <c r="M10187" s="394" t="str">
        <f t="shared" si="1357"/>
        <v/>
      </c>
      <c r="N10187" s="273"/>
    </row>
    <row r="10188" spans="1:14" ht="12.75" customHeight="1" x14ac:dyDescent="0.25">
      <c r="A10188" s="4"/>
      <c r="B10188" s="4"/>
      <c r="C10188" s="4"/>
      <c r="D10188" s="4"/>
      <c r="E10188" s="4"/>
      <c r="F10188" s="4"/>
      <c r="G10188" s="4"/>
      <c r="H10188" s="4"/>
      <c r="I10188" s="4"/>
      <c r="J10188" s="4"/>
      <c r="K10188" s="396" t="s">
        <v>444</v>
      </c>
      <c r="L10188" s="273"/>
      <c r="M10188" s="394">
        <f>SUM(M10183:N10187)</f>
        <v>186529.37</v>
      </c>
      <c r="N10188" s="273"/>
    </row>
    <row r="10189" spans="1:14" ht="12.75" customHeight="1" x14ac:dyDescent="0.2"/>
    <row r="10190" spans="1:14" ht="12.75" customHeight="1" x14ac:dyDescent="0.2">
      <c r="A10190" s="407" t="s">
        <v>1503</v>
      </c>
      <c r="B10190" s="275"/>
      <c r="C10190" s="275"/>
      <c r="D10190" s="275"/>
      <c r="E10190" s="275"/>
      <c r="F10190" s="275"/>
      <c r="G10190" s="275"/>
      <c r="H10190" s="275"/>
      <c r="I10190" s="275"/>
      <c r="J10190" s="275"/>
      <c r="K10190" s="275"/>
      <c r="L10190" s="275"/>
      <c r="M10190" s="275"/>
      <c r="N10190" s="276"/>
    </row>
    <row r="10191" spans="1:14" ht="12.75" customHeight="1" x14ac:dyDescent="0.2">
      <c r="A10191" s="277"/>
      <c r="B10191" s="278"/>
      <c r="C10191" s="278"/>
      <c r="D10191" s="278"/>
      <c r="E10191" s="278"/>
      <c r="F10191" s="278"/>
      <c r="G10191" s="278"/>
      <c r="H10191" s="278"/>
      <c r="I10191" s="278"/>
      <c r="J10191" s="278"/>
      <c r="K10191" s="278"/>
      <c r="L10191" s="278"/>
      <c r="M10191" s="278"/>
      <c r="N10191" s="279"/>
    </row>
    <row r="10192" spans="1:14" s="217" customFormat="1" ht="12.75" customHeight="1" x14ac:dyDescent="0.2">
      <c r="A10192" s="216"/>
      <c r="B10192" s="216"/>
      <c r="C10192" s="216"/>
      <c r="D10192" s="216"/>
      <c r="E10192" s="216"/>
      <c r="F10192" s="216"/>
      <c r="G10192" s="216"/>
      <c r="H10192" s="216"/>
      <c r="I10192" s="216"/>
      <c r="J10192" s="216"/>
      <c r="K10192" s="216"/>
      <c r="L10192" s="216"/>
      <c r="M10192" s="216"/>
      <c r="N10192" s="216"/>
    </row>
    <row r="10193" spans="1:15" ht="12.75" customHeight="1" x14ac:dyDescent="0.3">
      <c r="A10193" s="79" t="s">
        <v>838</v>
      </c>
      <c r="B10193" s="80" t="str">
        <f>A10190</f>
        <v>CONCRETO PARA MUROS DE 4000 PSI A TODO COSTO (280 KG/CM2)</v>
      </c>
      <c r="C10193" s="81" t="s">
        <v>916</v>
      </c>
      <c r="D10193" s="82" t="s">
        <v>258</v>
      </c>
      <c r="E10193" s="83" t="s">
        <v>445</v>
      </c>
      <c r="F10193" s="240">
        <f>H10193+J10193+L10193+N10193</f>
        <v>1811642.8375250003</v>
      </c>
      <c r="G10193" s="83" t="s">
        <v>607</v>
      </c>
      <c r="H10193" s="86">
        <f>M10206</f>
        <v>1502959.3286000001</v>
      </c>
      <c r="I10193" s="83" t="s">
        <v>918</v>
      </c>
      <c r="J10193" s="86">
        <f>M10215</f>
        <v>48670.608500000002</v>
      </c>
      <c r="K10193" s="83" t="s">
        <v>609</v>
      </c>
      <c r="L10193" s="86">
        <f>M10224</f>
        <v>73483.530425000004</v>
      </c>
      <c r="M10193" s="83" t="s">
        <v>610</v>
      </c>
      <c r="N10193" s="86">
        <f>M10233</f>
        <v>186529.37</v>
      </c>
      <c r="O10193" s="221" t="s">
        <v>3232</v>
      </c>
    </row>
    <row r="10194" spans="1:15" ht="12.75" customHeight="1" x14ac:dyDescent="0.25">
      <c r="A10194" s="87"/>
      <c r="B10194" s="87"/>
      <c r="C10194" s="87"/>
      <c r="D10194" s="87"/>
      <c r="E10194" s="242" t="s">
        <v>3246</v>
      </c>
      <c r="F10194" s="259">
        <f>F10193*1.3</f>
        <v>2355135.6887825006</v>
      </c>
      <c r="G10194" s="87"/>
      <c r="J10194" s="87"/>
      <c r="K10194" s="215" t="s">
        <v>3217</v>
      </c>
      <c r="L10194" s="215"/>
      <c r="M10194" s="87"/>
      <c r="N10194" s="87"/>
    </row>
    <row r="10195" spans="1:15" ht="12.75" customHeight="1" x14ac:dyDescent="0.2">
      <c r="A10195" s="398" t="s">
        <v>919</v>
      </c>
      <c r="B10195" s="271"/>
      <c r="C10195" s="271"/>
      <c r="D10195" s="271"/>
      <c r="E10195" s="271"/>
      <c r="F10195" s="271"/>
      <c r="G10195" s="271"/>
      <c r="H10195" s="271"/>
      <c r="I10195" s="271"/>
      <c r="J10195" s="271"/>
      <c r="K10195" s="271"/>
      <c r="L10195" s="271"/>
      <c r="M10195" s="271"/>
      <c r="N10195" s="273"/>
    </row>
    <row r="10196" spans="1:15" ht="12.75" customHeight="1" x14ac:dyDescent="0.2">
      <c r="A10196" s="396" t="s">
        <v>76</v>
      </c>
      <c r="B10196" s="271"/>
      <c r="C10196" s="271"/>
      <c r="D10196" s="271"/>
      <c r="E10196" s="271"/>
      <c r="F10196" s="271"/>
      <c r="G10196" s="273"/>
      <c r="H10196" s="88" t="s">
        <v>77</v>
      </c>
      <c r="I10196" s="399" t="s">
        <v>920</v>
      </c>
      <c r="J10196" s="273"/>
      <c r="K10196" s="399" t="s">
        <v>453</v>
      </c>
      <c r="L10196" s="273"/>
      <c r="M10196" s="399" t="s">
        <v>921</v>
      </c>
      <c r="N10196" s="273"/>
    </row>
    <row r="10197" spans="1:15" ht="12.75" customHeight="1" x14ac:dyDescent="0.2">
      <c r="A10197" s="400" t="s">
        <v>953</v>
      </c>
      <c r="B10197" s="271"/>
      <c r="C10197" s="271"/>
      <c r="D10197" s="271"/>
      <c r="E10197" s="271"/>
      <c r="F10197" s="271"/>
      <c r="G10197" s="273"/>
      <c r="H10197" s="29" t="str">
        <f t="shared" ref="H10197:H10205" si="1358">IF(A10197="","",VLOOKUP(A10197,AA_Materiales,7,FALSE))</f>
        <v>Kg</v>
      </c>
      <c r="I10197" s="394">
        <f t="shared" ref="I10197:I10205" si="1359">IF(A10197="","",VLOOKUP(A10197,AA_Materiales,8,FALSE))</f>
        <v>800</v>
      </c>
      <c r="J10197" s="273"/>
      <c r="K10197" s="395">
        <v>425</v>
      </c>
      <c r="L10197" s="273"/>
      <c r="M10197" s="394">
        <f t="shared" ref="M10197:M10205" si="1360">IF(A10197="","",I10197*K10197)</f>
        <v>340000</v>
      </c>
      <c r="N10197" s="273"/>
    </row>
    <row r="10198" spans="1:15" ht="12.75" customHeight="1" x14ac:dyDescent="0.2">
      <c r="A10198" s="400" t="s">
        <v>954</v>
      </c>
      <c r="B10198" s="271"/>
      <c r="C10198" s="271"/>
      <c r="D10198" s="271"/>
      <c r="E10198" s="271"/>
      <c r="F10198" s="271"/>
      <c r="G10198" s="273"/>
      <c r="H10198" s="29" t="str">
        <f t="shared" si="1358"/>
        <v>m3</v>
      </c>
      <c r="I10198" s="394">
        <f t="shared" si="1359"/>
        <v>83000</v>
      </c>
      <c r="J10198" s="273"/>
      <c r="K10198" s="395">
        <v>0.57999999999999996</v>
      </c>
      <c r="L10198" s="273"/>
      <c r="M10198" s="394">
        <f t="shared" si="1360"/>
        <v>48140</v>
      </c>
      <c r="N10198" s="273"/>
    </row>
    <row r="10199" spans="1:15" ht="12.75" customHeight="1" x14ac:dyDescent="0.2">
      <c r="A10199" s="400" t="s">
        <v>955</v>
      </c>
      <c r="B10199" s="271"/>
      <c r="C10199" s="271"/>
      <c r="D10199" s="271"/>
      <c r="E10199" s="271"/>
      <c r="F10199" s="271"/>
      <c r="G10199" s="273"/>
      <c r="H10199" s="29" t="str">
        <f t="shared" si="1358"/>
        <v>m3</v>
      </c>
      <c r="I10199" s="394">
        <f t="shared" si="1359"/>
        <v>90000</v>
      </c>
      <c r="J10199" s="273"/>
      <c r="K10199" s="395">
        <v>0.7</v>
      </c>
      <c r="L10199" s="273"/>
      <c r="M10199" s="394">
        <f t="shared" si="1360"/>
        <v>62999.999999999993</v>
      </c>
      <c r="N10199" s="273"/>
    </row>
    <row r="10200" spans="1:15" ht="12.75" customHeight="1" x14ac:dyDescent="0.2">
      <c r="A10200" s="400" t="s">
        <v>956</v>
      </c>
      <c r="B10200" s="271"/>
      <c r="C10200" s="271"/>
      <c r="D10200" s="271"/>
      <c r="E10200" s="271"/>
      <c r="F10200" s="271"/>
      <c r="G10200" s="273"/>
      <c r="H10200" s="29" t="str">
        <f t="shared" si="1358"/>
        <v>Lt</v>
      </c>
      <c r="I10200" s="394">
        <f t="shared" si="1359"/>
        <v>20</v>
      </c>
      <c r="J10200" s="273"/>
      <c r="K10200" s="395">
        <v>200</v>
      </c>
      <c r="L10200" s="273"/>
      <c r="M10200" s="394">
        <f t="shared" si="1360"/>
        <v>4000</v>
      </c>
      <c r="N10200" s="273"/>
    </row>
    <row r="10201" spans="1:15" ht="12.75" customHeight="1" x14ac:dyDescent="0.2">
      <c r="A10201" s="400" t="s">
        <v>1164</v>
      </c>
      <c r="B10201" s="271"/>
      <c r="C10201" s="271"/>
      <c r="D10201" s="271"/>
      <c r="E10201" s="271"/>
      <c r="F10201" s="271"/>
      <c r="G10201" s="273"/>
      <c r="H10201" s="29" t="str">
        <f t="shared" si="1358"/>
        <v>Kg</v>
      </c>
      <c r="I10201" s="394">
        <f t="shared" si="1359"/>
        <v>24422.22</v>
      </c>
      <c r="J10201" s="273"/>
      <c r="K10201" s="395">
        <v>2.13</v>
      </c>
      <c r="L10201" s="273"/>
      <c r="M10201" s="394">
        <f t="shared" si="1360"/>
        <v>52019.328600000001</v>
      </c>
      <c r="N10201" s="273"/>
    </row>
    <row r="10202" spans="1:15" ht="12.75" customHeight="1" x14ac:dyDescent="0.2">
      <c r="A10202" s="400" t="s">
        <v>1165</v>
      </c>
      <c r="B10202" s="271"/>
      <c r="C10202" s="271"/>
      <c r="D10202" s="271"/>
      <c r="E10202" s="271"/>
      <c r="F10202" s="271"/>
      <c r="G10202" s="273"/>
      <c r="H10202" s="29" t="str">
        <f t="shared" si="1358"/>
        <v>Unidad</v>
      </c>
      <c r="I10202" s="411">
        <f t="shared" si="1359"/>
        <v>2400</v>
      </c>
      <c r="J10202" s="368"/>
      <c r="K10202" s="425">
        <f>156*2</f>
        <v>312</v>
      </c>
      <c r="L10202" s="368"/>
      <c r="M10202" s="411">
        <f t="shared" si="1360"/>
        <v>748800</v>
      </c>
      <c r="N10202" s="368"/>
    </row>
    <row r="10203" spans="1:15" ht="12.75" customHeight="1" x14ac:dyDescent="0.2">
      <c r="A10203" s="400" t="s">
        <v>1166</v>
      </c>
      <c r="B10203" s="271"/>
      <c r="C10203" s="271"/>
      <c r="D10203" s="271"/>
      <c r="E10203" s="271"/>
      <c r="F10203" s="271"/>
      <c r="G10203" s="273"/>
      <c r="H10203" s="29" t="str">
        <f t="shared" si="1358"/>
        <v>Unidad</v>
      </c>
      <c r="I10203" s="394">
        <f t="shared" si="1359"/>
        <v>8000</v>
      </c>
      <c r="J10203" s="273"/>
      <c r="K10203" s="395">
        <f>12*2</f>
        <v>24</v>
      </c>
      <c r="L10203" s="273"/>
      <c r="M10203" s="394">
        <f t="shared" si="1360"/>
        <v>192000</v>
      </c>
      <c r="N10203" s="273"/>
    </row>
    <row r="10204" spans="1:15" ht="12.75" customHeight="1" x14ac:dyDescent="0.2">
      <c r="A10204" s="400" t="s">
        <v>947</v>
      </c>
      <c r="B10204" s="271"/>
      <c r="C10204" s="271"/>
      <c r="D10204" s="271"/>
      <c r="E10204" s="271"/>
      <c r="F10204" s="271"/>
      <c r="G10204" s="273"/>
      <c r="H10204" s="29" t="str">
        <f t="shared" si="1358"/>
        <v>LB</v>
      </c>
      <c r="I10204" s="394">
        <f t="shared" si="1359"/>
        <v>5500</v>
      </c>
      <c r="J10204" s="273"/>
      <c r="K10204" s="395">
        <f>5*2</f>
        <v>10</v>
      </c>
      <c r="L10204" s="273"/>
      <c r="M10204" s="394">
        <f t="shared" si="1360"/>
        <v>55000</v>
      </c>
      <c r="N10204" s="273"/>
    </row>
    <row r="10205" spans="1:15" ht="12.75" customHeight="1" x14ac:dyDescent="0.2">
      <c r="A10205" s="400"/>
      <c r="B10205" s="271"/>
      <c r="C10205" s="271"/>
      <c r="D10205" s="271"/>
      <c r="E10205" s="271"/>
      <c r="F10205" s="271"/>
      <c r="G10205" s="273"/>
      <c r="H10205" s="29" t="str">
        <f t="shared" si="1358"/>
        <v/>
      </c>
      <c r="I10205" s="394" t="str">
        <f t="shared" si="1359"/>
        <v/>
      </c>
      <c r="J10205" s="273"/>
      <c r="K10205" s="395"/>
      <c r="L10205" s="273"/>
      <c r="M10205" s="394" t="str">
        <f t="shared" si="1360"/>
        <v/>
      </c>
      <c r="N10205" s="273"/>
    </row>
    <row r="10206" spans="1:15" ht="12.75" customHeight="1" x14ac:dyDescent="0.25">
      <c r="A10206" s="4"/>
      <c r="B10206" s="4"/>
      <c r="C10206" s="4"/>
      <c r="D10206" s="4"/>
      <c r="E10206" s="4"/>
      <c r="F10206" s="4"/>
      <c r="G10206" s="4"/>
      <c r="H10206" s="4"/>
      <c r="I10206" s="4"/>
      <c r="J10206" s="4"/>
      <c r="K10206" s="396" t="s">
        <v>444</v>
      </c>
      <c r="L10206" s="273"/>
      <c r="M10206" s="394">
        <f>SUM(M10197:N10205)</f>
        <v>1502959.3286000001</v>
      </c>
      <c r="N10206" s="273"/>
    </row>
    <row r="10207" spans="1:15" ht="12.75" customHeight="1" x14ac:dyDescent="0.25">
      <c r="A10207" s="4"/>
      <c r="B10207" s="4"/>
      <c r="C10207" s="4"/>
      <c r="D10207" s="4"/>
      <c r="E10207" s="4"/>
      <c r="F10207" s="4"/>
      <c r="G10207" s="4"/>
      <c r="H10207" s="4"/>
      <c r="I10207" s="4"/>
      <c r="J10207" s="4"/>
      <c r="K10207" s="4"/>
      <c r="L10207" s="4"/>
      <c r="M10207" s="4"/>
      <c r="N10207" s="4"/>
    </row>
    <row r="10208" spans="1:15" ht="12.75" customHeight="1" x14ac:dyDescent="0.2">
      <c r="A10208" s="398" t="s">
        <v>926</v>
      </c>
      <c r="B10208" s="271"/>
      <c r="C10208" s="271"/>
      <c r="D10208" s="271"/>
      <c r="E10208" s="271"/>
      <c r="F10208" s="271"/>
      <c r="G10208" s="271"/>
      <c r="H10208" s="271"/>
      <c r="I10208" s="271"/>
      <c r="J10208" s="271"/>
      <c r="K10208" s="271"/>
      <c r="L10208" s="271"/>
      <c r="M10208" s="271"/>
      <c r="N10208" s="273"/>
    </row>
    <row r="10209" spans="1:14" ht="12.75" customHeight="1" x14ac:dyDescent="0.2">
      <c r="A10209" s="396" t="s">
        <v>76</v>
      </c>
      <c r="B10209" s="271"/>
      <c r="C10209" s="271"/>
      <c r="D10209" s="271"/>
      <c r="E10209" s="271"/>
      <c r="F10209" s="271"/>
      <c r="G10209" s="273"/>
      <c r="H10209" s="88" t="s">
        <v>77</v>
      </c>
      <c r="I10209" s="399" t="s">
        <v>920</v>
      </c>
      <c r="J10209" s="273"/>
      <c r="K10209" s="399" t="s">
        <v>453</v>
      </c>
      <c r="L10209" s="273"/>
      <c r="M10209" s="399" t="s">
        <v>921</v>
      </c>
      <c r="N10209" s="273"/>
    </row>
    <row r="10210" spans="1:14" ht="12.75" customHeight="1" x14ac:dyDescent="0.2">
      <c r="A10210" s="400" t="s">
        <v>927</v>
      </c>
      <c r="B10210" s="271"/>
      <c r="C10210" s="271"/>
      <c r="D10210" s="271"/>
      <c r="E10210" s="271"/>
      <c r="F10210" s="271"/>
      <c r="G10210" s="273"/>
      <c r="H10210" s="29" t="str">
        <f>IF(A10210="","",VLOOKUP(A10210,AA_Equipos,7,FALSE))</f>
        <v>% M.O.</v>
      </c>
      <c r="I10210" s="394">
        <f>M10233</f>
        <v>186529.37</v>
      </c>
      <c r="J10210" s="273"/>
      <c r="K10210" s="395">
        <v>0.05</v>
      </c>
      <c r="L10210" s="273"/>
      <c r="M10210" s="394">
        <f t="shared" ref="M10210:M10214" si="1361">IF(A10210="","",I10210*K10210)</f>
        <v>9326.4685000000009</v>
      </c>
      <c r="N10210" s="273"/>
    </row>
    <row r="10211" spans="1:14" ht="12.75" customHeight="1" x14ac:dyDescent="0.2">
      <c r="A10211" s="403" t="s">
        <v>957</v>
      </c>
      <c r="B10211" s="271"/>
      <c r="C10211" s="271"/>
      <c r="D10211" s="271"/>
      <c r="E10211" s="271"/>
      <c r="F10211" s="271"/>
      <c r="G10211" s="273"/>
      <c r="H10211" s="29" t="str">
        <f>IF(A10211="","",VLOOKUP(A10211,AA_Equipos,7,FALSE))</f>
        <v>Dia</v>
      </c>
      <c r="I10211" s="394">
        <f>IF(A10211="","",VLOOKUP(A10211,AA_Equipos,8,FALSE))</f>
        <v>107071</v>
      </c>
      <c r="J10211" s="273"/>
      <c r="K10211" s="402">
        <v>0.22</v>
      </c>
      <c r="L10211" s="273"/>
      <c r="M10211" s="394">
        <f t="shared" si="1361"/>
        <v>23555.62</v>
      </c>
      <c r="N10211" s="273"/>
    </row>
    <row r="10212" spans="1:14" ht="12.75" customHeight="1" x14ac:dyDescent="0.2">
      <c r="A10212" s="400" t="s">
        <v>964</v>
      </c>
      <c r="B10212" s="271"/>
      <c r="C10212" s="271"/>
      <c r="D10212" s="271"/>
      <c r="E10212" s="271"/>
      <c r="F10212" s="271"/>
      <c r="G10212" s="273"/>
      <c r="H10212" s="29" t="str">
        <f>IF(A10212="","",VLOOKUP(A10212,AA_Equipos,7,FALSE))</f>
        <v>Dia</v>
      </c>
      <c r="I10212" s="394">
        <f>IF(A10212="","",VLOOKUP(A10212,AA_Equipos,8,FALSE))</f>
        <v>71766</v>
      </c>
      <c r="J10212" s="273"/>
      <c r="K10212" s="395">
        <v>0.22</v>
      </c>
      <c r="L10212" s="273"/>
      <c r="M10212" s="394">
        <f t="shared" si="1361"/>
        <v>15788.52</v>
      </c>
      <c r="N10212" s="273"/>
    </row>
    <row r="10213" spans="1:14" ht="12.75" customHeight="1" x14ac:dyDescent="0.2">
      <c r="A10213" s="400"/>
      <c r="B10213" s="271"/>
      <c r="C10213" s="271"/>
      <c r="D10213" s="271"/>
      <c r="E10213" s="271"/>
      <c r="F10213" s="271"/>
      <c r="G10213" s="273"/>
      <c r="H10213" s="29" t="str">
        <f>IF(A10213="","",VLOOKUP(A10213,AA_Equipos,7,FALSE))</f>
        <v/>
      </c>
      <c r="I10213" s="394" t="str">
        <f>IF(A10213="","",VLOOKUP(A10213,AA_Equipos,8,FALSE))</f>
        <v/>
      </c>
      <c r="J10213" s="273"/>
      <c r="K10213" s="395"/>
      <c r="L10213" s="273"/>
      <c r="M10213" s="394" t="str">
        <f t="shared" si="1361"/>
        <v/>
      </c>
      <c r="N10213" s="273"/>
    </row>
    <row r="10214" spans="1:14" ht="12.75" customHeight="1" x14ac:dyDescent="0.2">
      <c r="A10214" s="400"/>
      <c r="B10214" s="271"/>
      <c r="C10214" s="271"/>
      <c r="D10214" s="271"/>
      <c r="E10214" s="271"/>
      <c r="F10214" s="271"/>
      <c r="G10214" s="273"/>
      <c r="H10214" s="29" t="str">
        <f>IF(A10214="","",VLOOKUP(A10214,AA_Equipos,7,FALSE))</f>
        <v/>
      </c>
      <c r="I10214" s="394" t="str">
        <f>IF(A10214="","",VLOOKUP(A10214,AA_Equipos,8,FALSE))</f>
        <v/>
      </c>
      <c r="J10214" s="273"/>
      <c r="K10214" s="395"/>
      <c r="L10214" s="273"/>
      <c r="M10214" s="394" t="str">
        <f t="shared" si="1361"/>
        <v/>
      </c>
      <c r="N10214" s="273"/>
    </row>
    <row r="10215" spans="1:14" ht="12.75" customHeight="1" x14ac:dyDescent="0.25">
      <c r="A10215" s="4"/>
      <c r="B10215" s="4"/>
      <c r="C10215" s="4"/>
      <c r="D10215" s="4"/>
      <c r="E10215" s="4"/>
      <c r="F10215" s="4"/>
      <c r="G10215" s="4"/>
      <c r="H10215" s="4"/>
      <c r="I10215" s="4"/>
      <c r="J10215" s="4"/>
      <c r="K10215" s="396" t="s">
        <v>444</v>
      </c>
      <c r="L10215" s="273"/>
      <c r="M10215" s="394">
        <f>SUM(M10210:N10214)</f>
        <v>48670.608500000002</v>
      </c>
      <c r="N10215" s="273"/>
    </row>
    <row r="10216" spans="1:14" ht="12.75" customHeight="1" x14ac:dyDescent="0.25">
      <c r="A10216" s="4"/>
      <c r="B10216" s="4"/>
      <c r="C10216" s="4"/>
      <c r="D10216" s="4"/>
      <c r="E10216" s="4"/>
      <c r="F10216" s="4"/>
      <c r="G10216" s="4"/>
      <c r="H10216" s="4"/>
      <c r="I10216" s="4"/>
      <c r="J10216" s="4"/>
      <c r="K10216" s="4"/>
      <c r="L10216" s="4"/>
      <c r="M10216" s="4"/>
      <c r="N10216" s="4"/>
    </row>
    <row r="10217" spans="1:14" ht="12.75" customHeight="1" x14ac:dyDescent="0.2">
      <c r="A10217" s="398" t="s">
        <v>929</v>
      </c>
      <c r="B10217" s="271"/>
      <c r="C10217" s="271"/>
      <c r="D10217" s="271"/>
      <c r="E10217" s="271"/>
      <c r="F10217" s="271"/>
      <c r="G10217" s="271"/>
      <c r="H10217" s="271"/>
      <c r="I10217" s="271"/>
      <c r="J10217" s="271"/>
      <c r="K10217" s="271"/>
      <c r="L10217" s="271"/>
      <c r="M10217" s="271"/>
      <c r="N10217" s="273"/>
    </row>
    <row r="10218" spans="1:14" ht="12.75" customHeight="1" x14ac:dyDescent="0.2">
      <c r="A10218" s="396" t="s">
        <v>76</v>
      </c>
      <c r="B10218" s="271"/>
      <c r="C10218" s="271"/>
      <c r="D10218" s="271"/>
      <c r="E10218" s="271"/>
      <c r="F10218" s="271"/>
      <c r="G10218" s="273"/>
      <c r="H10218" s="88" t="s">
        <v>77</v>
      </c>
      <c r="I10218" s="399" t="s">
        <v>920</v>
      </c>
      <c r="J10218" s="273"/>
      <c r="K10218" s="399" t="s">
        <v>453</v>
      </c>
      <c r="L10218" s="273"/>
      <c r="M10218" s="399" t="s">
        <v>921</v>
      </c>
      <c r="N10218" s="273"/>
    </row>
    <row r="10219" spans="1:14" ht="12.75" customHeight="1" x14ac:dyDescent="0.2">
      <c r="A10219" s="400" t="s">
        <v>965</v>
      </c>
      <c r="B10219" s="271"/>
      <c r="C10219" s="271"/>
      <c r="D10219" s="271"/>
      <c r="E10219" s="271"/>
      <c r="F10219" s="271"/>
      <c r="G10219" s="273"/>
      <c r="H10219" s="29" t="s">
        <v>959</v>
      </c>
      <c r="I10219" s="394">
        <f>+M10215</f>
        <v>48670.608500000002</v>
      </c>
      <c r="J10219" s="273"/>
      <c r="K10219" s="404">
        <v>0.05</v>
      </c>
      <c r="L10219" s="273"/>
      <c r="M10219" s="394">
        <f t="shared" ref="M10219:M10223" si="1362">IF(A10219="","",I10219*K10219)</f>
        <v>2433.5304250000004</v>
      </c>
      <c r="N10219" s="273"/>
    </row>
    <row r="10220" spans="1:14" ht="12.75" customHeight="1" x14ac:dyDescent="0.2">
      <c r="A10220" s="403" t="s">
        <v>966</v>
      </c>
      <c r="B10220" s="271"/>
      <c r="C10220" s="271"/>
      <c r="D10220" s="271"/>
      <c r="E10220" s="271"/>
      <c r="F10220" s="271"/>
      <c r="G10220" s="273"/>
      <c r="H10220" s="29" t="s">
        <v>967</v>
      </c>
      <c r="I10220" s="411">
        <v>1450</v>
      </c>
      <c r="J10220" s="368"/>
      <c r="K10220" s="427">
        <f>Indice!L21</f>
        <v>49</v>
      </c>
      <c r="L10220" s="368"/>
      <c r="M10220" s="394">
        <f t="shared" si="1362"/>
        <v>71050</v>
      </c>
      <c r="N10220" s="273"/>
    </row>
    <row r="10221" spans="1:14" ht="12.75" customHeight="1" x14ac:dyDescent="0.2">
      <c r="A10221" s="400"/>
      <c r="B10221" s="271"/>
      <c r="C10221" s="271"/>
      <c r="D10221" s="271"/>
      <c r="E10221" s="271"/>
      <c r="F10221" s="271"/>
      <c r="G10221" s="273"/>
      <c r="H10221" s="29"/>
      <c r="I10221" s="394"/>
      <c r="J10221" s="273"/>
      <c r="K10221" s="395"/>
      <c r="L10221" s="273"/>
      <c r="M10221" s="394" t="str">
        <f t="shared" si="1362"/>
        <v/>
      </c>
      <c r="N10221" s="273"/>
    </row>
    <row r="10222" spans="1:14" ht="12.75" customHeight="1" x14ac:dyDescent="0.2">
      <c r="A10222" s="400"/>
      <c r="B10222" s="271"/>
      <c r="C10222" s="271"/>
      <c r="D10222" s="271"/>
      <c r="E10222" s="271"/>
      <c r="F10222" s="271"/>
      <c r="G10222" s="273"/>
      <c r="H10222" s="29"/>
      <c r="I10222" s="394"/>
      <c r="J10222" s="273"/>
      <c r="K10222" s="395"/>
      <c r="L10222" s="273"/>
      <c r="M10222" s="394" t="str">
        <f t="shared" si="1362"/>
        <v/>
      </c>
      <c r="N10222" s="273"/>
    </row>
    <row r="10223" spans="1:14" ht="12.75" customHeight="1" x14ac:dyDescent="0.2">
      <c r="A10223" s="400"/>
      <c r="B10223" s="271"/>
      <c r="C10223" s="271"/>
      <c r="D10223" s="271"/>
      <c r="E10223" s="271"/>
      <c r="F10223" s="271"/>
      <c r="G10223" s="273"/>
      <c r="H10223" s="29"/>
      <c r="I10223" s="394"/>
      <c r="J10223" s="273"/>
      <c r="K10223" s="395"/>
      <c r="L10223" s="273"/>
      <c r="M10223" s="394" t="str">
        <f t="shared" si="1362"/>
        <v/>
      </c>
      <c r="N10223" s="273"/>
    </row>
    <row r="10224" spans="1:14" ht="12.75" customHeight="1" x14ac:dyDescent="0.25">
      <c r="A10224" s="4"/>
      <c r="B10224" s="4"/>
      <c r="C10224" s="4"/>
      <c r="D10224" s="4"/>
      <c r="E10224" s="4"/>
      <c r="F10224" s="4"/>
      <c r="G10224" s="4"/>
      <c r="H10224" s="4"/>
      <c r="I10224" s="4"/>
      <c r="J10224" s="4"/>
      <c r="K10224" s="396" t="s">
        <v>444</v>
      </c>
      <c r="L10224" s="273"/>
      <c r="M10224" s="394">
        <f>SUM(M10219:N10223)</f>
        <v>73483.530425000004</v>
      </c>
      <c r="N10224" s="273"/>
    </row>
    <row r="10225" spans="1:14" ht="12.75" customHeight="1" x14ac:dyDescent="0.25">
      <c r="A10225" s="4"/>
      <c r="B10225" s="4"/>
      <c r="C10225" s="4"/>
      <c r="D10225" s="4"/>
      <c r="E10225" s="4"/>
      <c r="F10225" s="4"/>
      <c r="G10225" s="4"/>
      <c r="H10225" s="4"/>
      <c r="I10225" s="4"/>
      <c r="J10225" s="4"/>
      <c r="K10225" s="4"/>
      <c r="L10225" s="4"/>
      <c r="M10225" s="4"/>
      <c r="N10225" s="4"/>
    </row>
    <row r="10226" spans="1:14" ht="12.75" customHeight="1" x14ac:dyDescent="0.2">
      <c r="A10226" s="398" t="s">
        <v>931</v>
      </c>
      <c r="B10226" s="271"/>
      <c r="C10226" s="271"/>
      <c r="D10226" s="271"/>
      <c r="E10226" s="271"/>
      <c r="F10226" s="271"/>
      <c r="G10226" s="271"/>
      <c r="H10226" s="271"/>
      <c r="I10226" s="271"/>
      <c r="J10226" s="271"/>
      <c r="K10226" s="271"/>
      <c r="L10226" s="271"/>
      <c r="M10226" s="271"/>
      <c r="N10226" s="273"/>
    </row>
    <row r="10227" spans="1:14" ht="12.75" customHeight="1" x14ac:dyDescent="0.2">
      <c r="A10227" s="396" t="s">
        <v>76</v>
      </c>
      <c r="B10227" s="271"/>
      <c r="C10227" s="271"/>
      <c r="D10227" s="271"/>
      <c r="E10227" s="271"/>
      <c r="F10227" s="271"/>
      <c r="G10227" s="273"/>
      <c r="H10227" s="88" t="s">
        <v>77</v>
      </c>
      <c r="I10227" s="399" t="s">
        <v>920</v>
      </c>
      <c r="J10227" s="273"/>
      <c r="K10227" s="90" t="s">
        <v>514</v>
      </c>
      <c r="L10227" s="91" t="s">
        <v>932</v>
      </c>
      <c r="M10227" s="399" t="s">
        <v>921</v>
      </c>
      <c r="N10227" s="273"/>
    </row>
    <row r="10228" spans="1:14" ht="12.75" customHeight="1" x14ac:dyDescent="0.25">
      <c r="A10228" s="393" t="s">
        <v>962</v>
      </c>
      <c r="B10228" s="271"/>
      <c r="C10228" s="271"/>
      <c r="D10228" s="271"/>
      <c r="E10228" s="271"/>
      <c r="F10228" s="271"/>
      <c r="G10228" s="273"/>
      <c r="H10228" s="29" t="str">
        <f>IF(A10228="","",VLOOKUP(A10228,AA_Cuadrillas,4,FALSE))</f>
        <v>Cuadrilla</v>
      </c>
      <c r="I10228" s="394">
        <f>IF(A10228="","",VLOOKUP(A10228,AA_Cuadrillas,5,FALSE))</f>
        <v>396871</v>
      </c>
      <c r="J10228" s="273"/>
      <c r="K10228" s="9">
        <f>IF(A10228="","",F.P!$I$2)</f>
        <v>1.88</v>
      </c>
      <c r="L10228" s="93">
        <v>0.25</v>
      </c>
      <c r="M10228" s="394">
        <f t="shared" ref="M10228:M10232" si="1363">IF(A10228="","",I10228*K10228*L10228)</f>
        <v>186529.37</v>
      </c>
      <c r="N10228" s="273"/>
    </row>
    <row r="10229" spans="1:14" ht="12.75" customHeight="1" x14ac:dyDescent="0.25">
      <c r="A10229" s="393"/>
      <c r="B10229" s="271"/>
      <c r="C10229" s="271"/>
      <c r="D10229" s="271"/>
      <c r="E10229" s="271"/>
      <c r="F10229" s="271"/>
      <c r="G10229" s="273"/>
      <c r="H10229" s="29" t="str">
        <f>IF(A10229="","",VLOOKUP(A10229,AA_Cuadrillas,4,FALSE))</f>
        <v/>
      </c>
      <c r="I10229" s="394" t="str">
        <f>IF(A10229="","",VLOOKUP(A10229,AA_Cuadrillas,5,FALSE))</f>
        <v/>
      </c>
      <c r="J10229" s="273"/>
      <c r="K10229" s="9" t="str">
        <f>IF(A10229="","",F.P!$I$2)</f>
        <v/>
      </c>
      <c r="L10229" s="9"/>
      <c r="M10229" s="394" t="str">
        <f t="shared" si="1363"/>
        <v/>
      </c>
      <c r="N10229" s="273"/>
    </row>
    <row r="10230" spans="1:14" ht="12.75" customHeight="1" x14ac:dyDescent="0.25">
      <c r="A10230" s="393"/>
      <c r="B10230" s="271"/>
      <c r="C10230" s="271"/>
      <c r="D10230" s="271"/>
      <c r="E10230" s="271"/>
      <c r="F10230" s="271"/>
      <c r="G10230" s="273"/>
      <c r="H10230" s="29" t="str">
        <f>IF(A10230="","",VLOOKUP(A10230,AA_Cuadrillas,4,FALSE))</f>
        <v/>
      </c>
      <c r="I10230" s="394" t="str">
        <f>IF(A10230="","",VLOOKUP(A10230,AA_Cuadrillas,5,FALSE))</f>
        <v/>
      </c>
      <c r="J10230" s="273"/>
      <c r="K10230" s="9" t="str">
        <f>IF(A10230="","",F.P!$I$2)</f>
        <v/>
      </c>
      <c r="L10230" s="37"/>
      <c r="M10230" s="394" t="str">
        <f t="shared" si="1363"/>
        <v/>
      </c>
      <c r="N10230" s="273"/>
    </row>
    <row r="10231" spans="1:14" ht="12.75" customHeight="1" x14ac:dyDescent="0.25">
      <c r="A10231" s="393"/>
      <c r="B10231" s="271"/>
      <c r="C10231" s="271"/>
      <c r="D10231" s="271"/>
      <c r="E10231" s="271"/>
      <c r="F10231" s="271"/>
      <c r="G10231" s="273"/>
      <c r="H10231" s="29" t="str">
        <f>IF(A10231="","",VLOOKUP(A10231,AA_Cuadrillas,4,FALSE))</f>
        <v/>
      </c>
      <c r="I10231" s="394" t="str">
        <f>IF(A10231="","",VLOOKUP(A10231,AA_Cuadrillas,5,FALSE))</f>
        <v/>
      </c>
      <c r="J10231" s="273"/>
      <c r="K10231" s="9" t="str">
        <f>IF(A10231="","",F.P!$I$2)</f>
        <v/>
      </c>
      <c r="L10231" s="37"/>
      <c r="M10231" s="394" t="str">
        <f t="shared" si="1363"/>
        <v/>
      </c>
      <c r="N10231" s="273"/>
    </row>
    <row r="10232" spans="1:14" ht="12.75" customHeight="1" x14ac:dyDescent="0.25">
      <c r="A10232" s="393"/>
      <c r="B10232" s="271"/>
      <c r="C10232" s="271"/>
      <c r="D10232" s="271"/>
      <c r="E10232" s="271"/>
      <c r="F10232" s="271"/>
      <c r="G10232" s="273"/>
      <c r="H10232" s="29" t="str">
        <f>IF(A10232="","",VLOOKUP(A10232,AA_Cuadrillas,4,FALSE))</f>
        <v/>
      </c>
      <c r="I10232" s="394" t="str">
        <f>IF(A10232="","",VLOOKUP(A10232,AA_Cuadrillas,5,FALSE))</f>
        <v/>
      </c>
      <c r="J10232" s="273"/>
      <c r="K10232" s="9" t="str">
        <f>IF(A10232="","",F.P!$I$2)</f>
        <v/>
      </c>
      <c r="L10232" s="37"/>
      <c r="M10232" s="394" t="str">
        <f t="shared" si="1363"/>
        <v/>
      </c>
      <c r="N10232" s="273"/>
    </row>
    <row r="10233" spans="1:14" ht="12.75" customHeight="1" x14ac:dyDescent="0.25">
      <c r="A10233" s="4"/>
      <c r="B10233" s="4"/>
      <c r="C10233" s="4"/>
      <c r="D10233" s="4"/>
      <c r="E10233" s="4"/>
      <c r="F10233" s="4"/>
      <c r="G10233" s="4"/>
      <c r="H10233" s="4"/>
      <c r="I10233" s="4"/>
      <c r="J10233" s="4"/>
      <c r="K10233" s="396" t="s">
        <v>444</v>
      </c>
      <c r="L10233" s="273"/>
      <c r="M10233" s="394">
        <f>SUM(M10228:N10232)</f>
        <v>186529.37</v>
      </c>
      <c r="N10233" s="273"/>
    </row>
    <row r="10234" spans="1:14" ht="12.75" customHeight="1" x14ac:dyDescent="0.2"/>
    <row r="10235" spans="1:14" ht="12.75" customHeight="1" x14ac:dyDescent="0.2">
      <c r="A10235" s="407" t="s">
        <v>257</v>
      </c>
      <c r="B10235" s="275"/>
      <c r="C10235" s="275"/>
      <c r="D10235" s="275"/>
      <c r="E10235" s="275"/>
      <c r="F10235" s="275"/>
      <c r="G10235" s="275"/>
      <c r="H10235" s="275"/>
      <c r="I10235" s="275"/>
      <c r="J10235" s="275"/>
      <c r="K10235" s="275"/>
      <c r="L10235" s="275"/>
      <c r="M10235" s="275"/>
      <c r="N10235" s="276"/>
    </row>
    <row r="10236" spans="1:14" ht="12.75" customHeight="1" x14ac:dyDescent="0.2">
      <c r="A10236" s="277"/>
      <c r="B10236" s="278"/>
      <c r="C10236" s="278"/>
      <c r="D10236" s="278"/>
      <c r="E10236" s="278"/>
      <c r="F10236" s="278"/>
      <c r="G10236" s="278"/>
      <c r="H10236" s="278"/>
      <c r="I10236" s="278"/>
      <c r="J10236" s="278"/>
      <c r="K10236" s="278"/>
      <c r="L10236" s="278"/>
      <c r="M10236" s="278"/>
      <c r="N10236" s="279"/>
    </row>
    <row r="10237" spans="1:14" ht="12.75" customHeight="1" x14ac:dyDescent="0.2">
      <c r="A10237" s="75"/>
      <c r="B10237" s="75"/>
      <c r="C10237" s="75"/>
      <c r="D10237" s="75"/>
      <c r="E10237" s="75"/>
      <c r="F10237" s="75"/>
      <c r="G10237" s="75"/>
      <c r="H10237" s="75"/>
      <c r="I10237" s="75"/>
      <c r="J10237" s="75"/>
      <c r="K10237" s="75"/>
      <c r="L10237" s="75"/>
      <c r="M10237" s="75"/>
      <c r="N10237" s="75"/>
    </row>
    <row r="10238" spans="1:14" ht="12.75" customHeight="1" x14ac:dyDescent="0.3">
      <c r="A10238" s="79" t="s">
        <v>839</v>
      </c>
      <c r="B10238" s="80" t="str">
        <f>A10235</f>
        <v>CONCRETO CICLOPEO DE 3000 PSI A TODO COSTO (210 KG/CM2)</v>
      </c>
      <c r="C10238" s="81" t="s">
        <v>916</v>
      </c>
      <c r="D10238" s="82" t="s">
        <v>258</v>
      </c>
      <c r="E10238" s="83" t="s">
        <v>445</v>
      </c>
      <c r="F10238" s="86">
        <f>H10238+J10238+L10238+N10238</f>
        <v>745823.19134573452</v>
      </c>
      <c r="G10238" s="83" t="s">
        <v>607</v>
      </c>
      <c r="H10238" s="86">
        <f>M10259</f>
        <v>8290.1942222222224</v>
      </c>
      <c r="I10238" s="83" t="s">
        <v>918</v>
      </c>
      <c r="J10238" s="86">
        <f>M10250</f>
        <v>469530</v>
      </c>
      <c r="K10238" s="83" t="s">
        <v>609</v>
      </c>
      <c r="L10238" s="86">
        <f>M10268</f>
        <v>102199.11267906784</v>
      </c>
      <c r="M10238" s="83" t="s">
        <v>610</v>
      </c>
      <c r="N10238" s="86">
        <f>M10277</f>
        <v>165803.88444444444</v>
      </c>
    </row>
    <row r="10239" spans="1:14" ht="12.75" customHeight="1" x14ac:dyDescent="0.25">
      <c r="A10239" s="87"/>
      <c r="B10239" s="87"/>
      <c r="C10239" s="87"/>
      <c r="D10239" s="87"/>
      <c r="E10239" s="87"/>
      <c r="F10239" s="87"/>
      <c r="G10239" s="87"/>
      <c r="J10239" s="87"/>
      <c r="K10239" s="215" t="s">
        <v>3217</v>
      </c>
      <c r="L10239" s="215">
        <f>+F10238*presup!$O$5</f>
        <v>969570.14874945488</v>
      </c>
      <c r="M10239" s="87"/>
      <c r="N10239" s="87"/>
    </row>
    <row r="10240" spans="1:14" ht="12.75" customHeight="1" x14ac:dyDescent="0.2">
      <c r="A10240" s="398" t="s">
        <v>919</v>
      </c>
      <c r="B10240" s="271"/>
      <c r="C10240" s="271"/>
      <c r="D10240" s="271"/>
      <c r="E10240" s="271"/>
      <c r="F10240" s="271"/>
      <c r="G10240" s="271"/>
      <c r="H10240" s="271"/>
      <c r="I10240" s="271"/>
      <c r="J10240" s="271"/>
      <c r="K10240" s="271"/>
      <c r="L10240" s="271"/>
      <c r="M10240" s="271"/>
      <c r="N10240" s="273"/>
    </row>
    <row r="10241" spans="1:14" ht="12.75" customHeight="1" x14ac:dyDescent="0.2">
      <c r="A10241" s="396" t="s">
        <v>76</v>
      </c>
      <c r="B10241" s="271"/>
      <c r="C10241" s="271"/>
      <c r="D10241" s="271"/>
      <c r="E10241" s="271"/>
      <c r="F10241" s="271"/>
      <c r="G10241" s="273"/>
      <c r="H10241" s="88" t="s">
        <v>77</v>
      </c>
      <c r="I10241" s="399" t="s">
        <v>920</v>
      </c>
      <c r="J10241" s="273"/>
      <c r="K10241" s="399" t="s">
        <v>453</v>
      </c>
      <c r="L10241" s="273"/>
      <c r="M10241" s="399" t="s">
        <v>921</v>
      </c>
      <c r="N10241" s="273"/>
    </row>
    <row r="10242" spans="1:14" ht="12.75" customHeight="1" x14ac:dyDescent="0.2">
      <c r="A10242" s="400" t="s">
        <v>953</v>
      </c>
      <c r="B10242" s="271"/>
      <c r="C10242" s="271"/>
      <c r="D10242" s="271"/>
      <c r="E10242" s="271"/>
      <c r="F10242" s="271"/>
      <c r="G10242" s="273"/>
      <c r="H10242" s="29" t="str">
        <f t="shared" ref="H10242:H10249" si="1364">IF(A10242="","",VLOOKUP(A10242,AA_Materiales,7,FALSE))</f>
        <v>Kg</v>
      </c>
      <c r="I10242" s="394">
        <f t="shared" ref="I10242:I10249" si="1365">IF(A10242="","",VLOOKUP(A10242,AA_Materiales,8,FALSE))</f>
        <v>800</v>
      </c>
      <c r="J10242" s="273"/>
      <c r="K10242" s="395">
        <v>350</v>
      </c>
      <c r="L10242" s="273"/>
      <c r="M10242" s="394">
        <f t="shared" ref="M10242:M10249" si="1366">IF(A10242="","",I10242*K10242)</f>
        <v>280000</v>
      </c>
      <c r="N10242" s="273"/>
    </row>
    <row r="10243" spans="1:14" ht="12.75" customHeight="1" x14ac:dyDescent="0.2">
      <c r="A10243" s="400" t="s">
        <v>954</v>
      </c>
      <c r="B10243" s="271"/>
      <c r="C10243" s="271"/>
      <c r="D10243" s="271"/>
      <c r="E10243" s="271"/>
      <c r="F10243" s="271"/>
      <c r="G10243" s="273"/>
      <c r="H10243" s="29" t="str">
        <f t="shared" si="1364"/>
        <v>m3</v>
      </c>
      <c r="I10243" s="394">
        <f t="shared" si="1365"/>
        <v>83000</v>
      </c>
      <c r="J10243" s="273"/>
      <c r="K10243" s="401">
        <v>0.55500000000000005</v>
      </c>
      <c r="L10243" s="273"/>
      <c r="M10243" s="394">
        <f t="shared" si="1366"/>
        <v>46065.000000000007</v>
      </c>
      <c r="N10243" s="273"/>
    </row>
    <row r="10244" spans="1:14" ht="12.75" customHeight="1" x14ac:dyDescent="0.2">
      <c r="A10244" s="400" t="s">
        <v>955</v>
      </c>
      <c r="B10244" s="271"/>
      <c r="C10244" s="271"/>
      <c r="D10244" s="271"/>
      <c r="E10244" s="271"/>
      <c r="F10244" s="271"/>
      <c r="G10244" s="273"/>
      <c r="H10244" s="29" t="str">
        <f t="shared" si="1364"/>
        <v>m3</v>
      </c>
      <c r="I10244" s="394">
        <f t="shared" si="1365"/>
        <v>90000</v>
      </c>
      <c r="J10244" s="273"/>
      <c r="K10244" s="401">
        <v>0.83499999999999996</v>
      </c>
      <c r="L10244" s="273"/>
      <c r="M10244" s="394">
        <f t="shared" si="1366"/>
        <v>75150</v>
      </c>
      <c r="N10244" s="273"/>
    </row>
    <row r="10245" spans="1:14" ht="12.75" customHeight="1" x14ac:dyDescent="0.2">
      <c r="A10245" s="400" t="s">
        <v>956</v>
      </c>
      <c r="B10245" s="271"/>
      <c r="C10245" s="271"/>
      <c r="D10245" s="271"/>
      <c r="E10245" s="271"/>
      <c r="F10245" s="271"/>
      <c r="G10245" s="273"/>
      <c r="H10245" s="29" t="str">
        <f t="shared" si="1364"/>
        <v>Lt</v>
      </c>
      <c r="I10245" s="394">
        <f t="shared" si="1365"/>
        <v>20</v>
      </c>
      <c r="J10245" s="273"/>
      <c r="K10245" s="395">
        <v>180</v>
      </c>
      <c r="L10245" s="273"/>
      <c r="M10245" s="394">
        <f t="shared" si="1366"/>
        <v>3600</v>
      </c>
      <c r="N10245" s="273"/>
    </row>
    <row r="10246" spans="1:14" ht="12.75" customHeight="1" x14ac:dyDescent="0.2">
      <c r="A10246" s="400" t="s">
        <v>963</v>
      </c>
      <c r="B10246" s="271"/>
      <c r="C10246" s="271"/>
      <c r="D10246" s="271"/>
      <c r="E10246" s="271"/>
      <c r="F10246" s="271"/>
      <c r="G10246" s="273"/>
      <c r="H10246" s="29" t="str">
        <f t="shared" si="1364"/>
        <v>m2</v>
      </c>
      <c r="I10246" s="394">
        <f t="shared" si="1365"/>
        <v>8750</v>
      </c>
      <c r="J10246" s="273"/>
      <c r="K10246" s="395">
        <f>1/0.4</f>
        <v>2.5</v>
      </c>
      <c r="L10246" s="273"/>
      <c r="M10246" s="394">
        <f t="shared" si="1366"/>
        <v>21875</v>
      </c>
      <c r="N10246" s="273"/>
    </row>
    <row r="10247" spans="1:14" ht="12.75" customHeight="1" x14ac:dyDescent="0.2">
      <c r="A10247" s="400" t="s">
        <v>1504</v>
      </c>
      <c r="B10247" s="271"/>
      <c r="C10247" s="271"/>
      <c r="D10247" s="271"/>
      <c r="E10247" s="271"/>
      <c r="F10247" s="271"/>
      <c r="G10247" s="273"/>
      <c r="H10247" s="29" t="str">
        <f t="shared" si="1364"/>
        <v>m3</v>
      </c>
      <c r="I10247" s="394">
        <f t="shared" si="1365"/>
        <v>107100</v>
      </c>
      <c r="J10247" s="273"/>
      <c r="K10247" s="395">
        <v>0.4</v>
      </c>
      <c r="L10247" s="273"/>
      <c r="M10247" s="394">
        <f t="shared" si="1366"/>
        <v>42840</v>
      </c>
      <c r="N10247" s="273"/>
    </row>
    <row r="10248" spans="1:14" ht="12.75" customHeight="1" x14ac:dyDescent="0.2">
      <c r="A10248" s="400"/>
      <c r="B10248" s="271"/>
      <c r="C10248" s="271"/>
      <c r="D10248" s="271"/>
      <c r="E10248" s="271"/>
      <c r="F10248" s="271"/>
      <c r="G10248" s="273"/>
      <c r="H10248" s="29" t="str">
        <f t="shared" si="1364"/>
        <v/>
      </c>
      <c r="I10248" s="394" t="str">
        <f t="shared" si="1365"/>
        <v/>
      </c>
      <c r="J10248" s="273"/>
      <c r="K10248" s="395"/>
      <c r="L10248" s="273"/>
      <c r="M10248" s="394" t="str">
        <f t="shared" si="1366"/>
        <v/>
      </c>
      <c r="N10248" s="273"/>
    </row>
    <row r="10249" spans="1:14" ht="12.75" customHeight="1" x14ac:dyDescent="0.2">
      <c r="A10249" s="400"/>
      <c r="B10249" s="271"/>
      <c r="C10249" s="271"/>
      <c r="D10249" s="271"/>
      <c r="E10249" s="271"/>
      <c r="F10249" s="271"/>
      <c r="G10249" s="273"/>
      <c r="H10249" s="29" t="str">
        <f t="shared" si="1364"/>
        <v/>
      </c>
      <c r="I10249" s="394" t="str">
        <f t="shared" si="1365"/>
        <v/>
      </c>
      <c r="J10249" s="273"/>
      <c r="K10249" s="395"/>
      <c r="L10249" s="273"/>
      <c r="M10249" s="394" t="str">
        <f t="shared" si="1366"/>
        <v/>
      </c>
      <c r="N10249" s="273"/>
    </row>
    <row r="10250" spans="1:14" ht="12.75" customHeight="1" x14ac:dyDescent="0.25">
      <c r="A10250" s="4"/>
      <c r="B10250" s="4"/>
      <c r="C10250" s="4"/>
      <c r="D10250" s="4"/>
      <c r="E10250" s="4"/>
      <c r="F10250" s="4"/>
      <c r="G10250" s="4"/>
      <c r="H10250" s="4"/>
      <c r="I10250" s="4"/>
      <c r="J10250" s="4"/>
      <c r="K10250" s="396" t="s">
        <v>444</v>
      </c>
      <c r="L10250" s="273"/>
      <c r="M10250" s="394">
        <f>SUM(M10242:N10249)</f>
        <v>469530</v>
      </c>
      <c r="N10250" s="273"/>
    </row>
    <row r="10251" spans="1:14" ht="12.75" customHeight="1" x14ac:dyDescent="0.25">
      <c r="A10251" s="4"/>
      <c r="B10251" s="4"/>
      <c r="C10251" s="4"/>
      <c r="D10251" s="4"/>
      <c r="E10251" s="4"/>
      <c r="F10251" s="4"/>
      <c r="G10251" s="4"/>
      <c r="H10251" s="4"/>
      <c r="I10251" s="4"/>
      <c r="J10251" s="4"/>
      <c r="K10251" s="4"/>
      <c r="L10251" s="4"/>
      <c r="M10251" s="4"/>
      <c r="N10251" s="4"/>
    </row>
    <row r="10252" spans="1:14" ht="12.75" customHeight="1" x14ac:dyDescent="0.2">
      <c r="A10252" s="398" t="s">
        <v>926</v>
      </c>
      <c r="B10252" s="271"/>
      <c r="C10252" s="271"/>
      <c r="D10252" s="271"/>
      <c r="E10252" s="271"/>
      <c r="F10252" s="271"/>
      <c r="G10252" s="271"/>
      <c r="H10252" s="271"/>
      <c r="I10252" s="271"/>
      <c r="J10252" s="271"/>
      <c r="K10252" s="271"/>
      <c r="L10252" s="271"/>
      <c r="M10252" s="271"/>
      <c r="N10252" s="273"/>
    </row>
    <row r="10253" spans="1:14" ht="12.75" customHeight="1" x14ac:dyDescent="0.2">
      <c r="A10253" s="396" t="s">
        <v>76</v>
      </c>
      <c r="B10253" s="271"/>
      <c r="C10253" s="271"/>
      <c r="D10253" s="271"/>
      <c r="E10253" s="271"/>
      <c r="F10253" s="271"/>
      <c r="G10253" s="273"/>
      <c r="H10253" s="88" t="s">
        <v>77</v>
      </c>
      <c r="I10253" s="399" t="s">
        <v>920</v>
      </c>
      <c r="J10253" s="273"/>
      <c r="K10253" s="399" t="s">
        <v>453</v>
      </c>
      <c r="L10253" s="273"/>
      <c r="M10253" s="399" t="s">
        <v>921</v>
      </c>
      <c r="N10253" s="273"/>
    </row>
    <row r="10254" spans="1:14" ht="12.75" customHeight="1" x14ac:dyDescent="0.2">
      <c r="A10254" s="400" t="s">
        <v>927</v>
      </c>
      <c r="B10254" s="271"/>
      <c r="C10254" s="271"/>
      <c r="D10254" s="271"/>
      <c r="E10254" s="271"/>
      <c r="F10254" s="271"/>
      <c r="G10254" s="273"/>
      <c r="H10254" s="29" t="str">
        <f>IF(A10254="","",VLOOKUP(A10254,AA_Equipos,7,FALSE))</f>
        <v>% M.O.</v>
      </c>
      <c r="I10254" s="394">
        <f>M10277</f>
        <v>165803.88444444444</v>
      </c>
      <c r="J10254" s="273"/>
      <c r="K10254" s="404">
        <v>0.05</v>
      </c>
      <c r="L10254" s="273"/>
      <c r="M10254" s="394">
        <f t="shared" ref="M10254:M10258" si="1367">IF(A10254="","",I10254*K10254)</f>
        <v>8290.1942222222224</v>
      </c>
      <c r="N10254" s="273"/>
    </row>
    <row r="10255" spans="1:14" ht="12.75" customHeight="1" x14ac:dyDescent="0.2">
      <c r="A10255" s="403"/>
      <c r="B10255" s="271"/>
      <c r="C10255" s="271"/>
      <c r="D10255" s="271"/>
      <c r="E10255" s="271"/>
      <c r="F10255" s="271"/>
      <c r="G10255" s="273"/>
      <c r="H10255" s="29" t="str">
        <f>IF(A10255="","",VLOOKUP(A10255,AA_Equipos,7,FALSE))</f>
        <v/>
      </c>
      <c r="I10255" s="394" t="str">
        <f>IF(A10255="","",VLOOKUP(A10255,AA_Equipos,8,FALSE))</f>
        <v/>
      </c>
      <c r="J10255" s="273"/>
      <c r="K10255" s="402"/>
      <c r="L10255" s="273"/>
      <c r="M10255" s="394" t="str">
        <f t="shared" si="1367"/>
        <v/>
      </c>
      <c r="N10255" s="273"/>
    </row>
    <row r="10256" spans="1:14" ht="12.75" customHeight="1" x14ac:dyDescent="0.2">
      <c r="A10256" s="400"/>
      <c r="B10256" s="271"/>
      <c r="C10256" s="271"/>
      <c r="D10256" s="271"/>
      <c r="E10256" s="271"/>
      <c r="F10256" s="271"/>
      <c r="G10256" s="273"/>
      <c r="H10256" s="29" t="str">
        <f>IF(A10256="","",VLOOKUP(A10256,AA_Equipos,7,FALSE))</f>
        <v/>
      </c>
      <c r="I10256" s="394" t="str">
        <f>IF(A10256="","",VLOOKUP(A10256,AA_Equipos,8,FALSE))</f>
        <v/>
      </c>
      <c r="J10256" s="273"/>
      <c r="K10256" s="401"/>
      <c r="L10256" s="273"/>
      <c r="M10256" s="394" t="str">
        <f t="shared" si="1367"/>
        <v/>
      </c>
      <c r="N10256" s="273"/>
    </row>
    <row r="10257" spans="1:14" ht="12.75" customHeight="1" x14ac:dyDescent="0.2">
      <c r="A10257" s="400"/>
      <c r="B10257" s="271"/>
      <c r="C10257" s="271"/>
      <c r="D10257" s="271"/>
      <c r="E10257" s="271"/>
      <c r="F10257" s="271"/>
      <c r="G10257" s="273"/>
      <c r="H10257" s="29" t="str">
        <f>IF(A10257="","",VLOOKUP(A10257,AA_Equipos,7,FALSE))</f>
        <v/>
      </c>
      <c r="I10257" s="394" t="str">
        <f>IF(A10257="","",VLOOKUP(A10257,AA_Equipos,8,FALSE))</f>
        <v/>
      </c>
      <c r="J10257" s="273"/>
      <c r="K10257" s="395"/>
      <c r="L10257" s="273"/>
      <c r="M10257" s="394" t="str">
        <f t="shared" si="1367"/>
        <v/>
      </c>
      <c r="N10257" s="273"/>
    </row>
    <row r="10258" spans="1:14" ht="12.75" customHeight="1" x14ac:dyDescent="0.2">
      <c r="A10258" s="400"/>
      <c r="B10258" s="271"/>
      <c r="C10258" s="271"/>
      <c r="D10258" s="271"/>
      <c r="E10258" s="271"/>
      <c r="F10258" s="271"/>
      <c r="G10258" s="273"/>
      <c r="H10258" s="29" t="str">
        <f>IF(A10258="","",VLOOKUP(A10258,AA_Equipos,7,FALSE))</f>
        <v/>
      </c>
      <c r="I10258" s="394" t="str">
        <f>IF(A10258="","",VLOOKUP(A10258,AA_Equipos,8,FALSE))</f>
        <v/>
      </c>
      <c r="J10258" s="273"/>
      <c r="K10258" s="395"/>
      <c r="L10258" s="273"/>
      <c r="M10258" s="394" t="str">
        <f t="shared" si="1367"/>
        <v/>
      </c>
      <c r="N10258" s="273"/>
    </row>
    <row r="10259" spans="1:14" ht="12.75" customHeight="1" x14ac:dyDescent="0.25">
      <c r="A10259" s="4"/>
      <c r="B10259" s="4"/>
      <c r="C10259" s="4"/>
      <c r="D10259" s="4"/>
      <c r="E10259" s="4"/>
      <c r="F10259" s="4"/>
      <c r="G10259" s="4"/>
      <c r="H10259" s="4"/>
      <c r="I10259" s="4"/>
      <c r="J10259" s="4"/>
      <c r="K10259" s="396" t="s">
        <v>444</v>
      </c>
      <c r="L10259" s="273"/>
      <c r="M10259" s="394">
        <f>SUM(M10254:N10258)</f>
        <v>8290.1942222222224</v>
      </c>
      <c r="N10259" s="273"/>
    </row>
    <row r="10260" spans="1:14" ht="12.75" customHeight="1" x14ac:dyDescent="0.25">
      <c r="A10260" s="4"/>
      <c r="B10260" s="4"/>
      <c r="C10260" s="4"/>
      <c r="D10260" s="4"/>
      <c r="E10260" s="4"/>
      <c r="F10260" s="4"/>
      <c r="G10260" s="4"/>
      <c r="H10260" s="4"/>
      <c r="I10260" s="4"/>
      <c r="J10260" s="4"/>
      <c r="K10260" s="4"/>
      <c r="L10260" s="4"/>
      <c r="M10260" s="4"/>
      <c r="N10260" s="4"/>
    </row>
    <row r="10261" spans="1:14" ht="12.75" customHeight="1" x14ac:dyDescent="0.2">
      <c r="A10261" s="398" t="s">
        <v>929</v>
      </c>
      <c r="B10261" s="271"/>
      <c r="C10261" s="271"/>
      <c r="D10261" s="271"/>
      <c r="E10261" s="271"/>
      <c r="F10261" s="271"/>
      <c r="G10261" s="271"/>
      <c r="H10261" s="271"/>
      <c r="I10261" s="271"/>
      <c r="J10261" s="271"/>
      <c r="K10261" s="271"/>
      <c r="L10261" s="271"/>
      <c r="M10261" s="271"/>
      <c r="N10261" s="273"/>
    </row>
    <row r="10262" spans="1:14" ht="12.75" customHeight="1" x14ac:dyDescent="0.2">
      <c r="A10262" s="396" t="s">
        <v>76</v>
      </c>
      <c r="B10262" s="271"/>
      <c r="C10262" s="271"/>
      <c r="D10262" s="271"/>
      <c r="E10262" s="271"/>
      <c r="F10262" s="271"/>
      <c r="G10262" s="273"/>
      <c r="H10262" s="88" t="s">
        <v>77</v>
      </c>
      <c r="I10262" s="399" t="s">
        <v>920</v>
      </c>
      <c r="J10262" s="273"/>
      <c r="K10262" s="399" t="s">
        <v>453</v>
      </c>
      <c r="L10262" s="273"/>
      <c r="M10262" s="399" t="s">
        <v>921</v>
      </c>
      <c r="N10262" s="273"/>
    </row>
    <row r="10263" spans="1:14" ht="12.75" customHeight="1" x14ac:dyDescent="0.2">
      <c r="A10263" s="400" t="s">
        <v>965</v>
      </c>
      <c r="B10263" s="271"/>
      <c r="C10263" s="271"/>
      <c r="D10263" s="271"/>
      <c r="E10263" s="271"/>
      <c r="F10263" s="271"/>
      <c r="G10263" s="273"/>
      <c r="H10263" s="29" t="s">
        <v>959</v>
      </c>
      <c r="I10263" s="394">
        <f>+M10259</f>
        <v>8290.1942222222224</v>
      </c>
      <c r="J10263" s="273"/>
      <c r="K10263" s="404">
        <v>0.05</v>
      </c>
      <c r="L10263" s="273"/>
      <c r="M10263" s="394">
        <f t="shared" ref="M10263:M10267" si="1368">IF(A10263="","",I10263*K10263)</f>
        <v>414.50971111111113</v>
      </c>
      <c r="N10263" s="273"/>
    </row>
    <row r="10264" spans="1:14" ht="12.75" customHeight="1" x14ac:dyDescent="0.2">
      <c r="A10264" s="403" t="s">
        <v>966</v>
      </c>
      <c r="B10264" s="271"/>
      <c r="C10264" s="271"/>
      <c r="D10264" s="271"/>
      <c r="E10264" s="271"/>
      <c r="F10264" s="271"/>
      <c r="G10264" s="273"/>
      <c r="H10264" s="29" t="s">
        <v>967</v>
      </c>
      <c r="I10264" s="394">
        <f>'precios '!$J$222</f>
        <v>2077.2367952644231</v>
      </c>
      <c r="J10264" s="273"/>
      <c r="K10264" s="408">
        <f>Indice!$L$21</f>
        <v>49</v>
      </c>
      <c r="L10264" s="273"/>
      <c r="M10264" s="394">
        <f t="shared" si="1368"/>
        <v>101784.60296795673</v>
      </c>
      <c r="N10264" s="273"/>
    </row>
    <row r="10265" spans="1:14" ht="12.75" customHeight="1" x14ac:dyDescent="0.2">
      <c r="A10265" s="400"/>
      <c r="B10265" s="271"/>
      <c r="C10265" s="271"/>
      <c r="D10265" s="271"/>
      <c r="E10265" s="271"/>
      <c r="F10265" s="271"/>
      <c r="G10265" s="273"/>
      <c r="H10265" s="29"/>
      <c r="I10265" s="394"/>
      <c r="J10265" s="273"/>
      <c r="K10265" s="395"/>
      <c r="L10265" s="273"/>
      <c r="M10265" s="394" t="str">
        <f t="shared" si="1368"/>
        <v/>
      </c>
      <c r="N10265" s="273"/>
    </row>
    <row r="10266" spans="1:14" ht="12.75" customHeight="1" x14ac:dyDescent="0.2">
      <c r="A10266" s="400"/>
      <c r="B10266" s="271"/>
      <c r="C10266" s="271"/>
      <c r="D10266" s="271"/>
      <c r="E10266" s="271"/>
      <c r="F10266" s="271"/>
      <c r="G10266" s="273"/>
      <c r="H10266" s="29"/>
      <c r="I10266" s="394"/>
      <c r="J10266" s="273"/>
      <c r="K10266" s="395"/>
      <c r="L10266" s="273"/>
      <c r="M10266" s="394" t="str">
        <f t="shared" si="1368"/>
        <v/>
      </c>
      <c r="N10266" s="273"/>
    </row>
    <row r="10267" spans="1:14" ht="12.75" customHeight="1" x14ac:dyDescent="0.2">
      <c r="A10267" s="400"/>
      <c r="B10267" s="271"/>
      <c r="C10267" s="271"/>
      <c r="D10267" s="271"/>
      <c r="E10267" s="271"/>
      <c r="F10267" s="271"/>
      <c r="G10267" s="273"/>
      <c r="H10267" s="29"/>
      <c r="I10267" s="394"/>
      <c r="J10267" s="273"/>
      <c r="K10267" s="395"/>
      <c r="L10267" s="273"/>
      <c r="M10267" s="394" t="str">
        <f t="shared" si="1368"/>
        <v/>
      </c>
      <c r="N10267" s="273"/>
    </row>
    <row r="10268" spans="1:14" ht="12.75" customHeight="1" x14ac:dyDescent="0.25">
      <c r="A10268" s="4"/>
      <c r="B10268" s="4"/>
      <c r="C10268" s="4"/>
      <c r="D10268" s="4"/>
      <c r="E10268" s="4"/>
      <c r="F10268" s="4"/>
      <c r="G10268" s="4"/>
      <c r="H10268" s="4"/>
      <c r="I10268" s="4"/>
      <c r="J10268" s="4"/>
      <c r="K10268" s="396" t="s">
        <v>444</v>
      </c>
      <c r="L10268" s="273"/>
      <c r="M10268" s="394">
        <f>SUM(M10263:N10267)</f>
        <v>102199.11267906784</v>
      </c>
      <c r="N10268" s="273"/>
    </row>
    <row r="10269" spans="1:14" ht="12.75" customHeight="1" x14ac:dyDescent="0.25">
      <c r="A10269" s="4"/>
      <c r="B10269" s="4"/>
      <c r="C10269" s="4"/>
      <c r="D10269" s="4"/>
      <c r="E10269" s="4"/>
      <c r="F10269" s="4"/>
      <c r="G10269" s="4"/>
      <c r="H10269" s="4"/>
      <c r="I10269" s="4"/>
      <c r="J10269" s="4"/>
      <c r="K10269" s="94"/>
      <c r="L10269" s="95"/>
      <c r="M10269" s="89"/>
      <c r="N10269" s="96"/>
    </row>
    <row r="10270" spans="1:14" ht="12.75" customHeight="1" x14ac:dyDescent="0.2">
      <c r="A10270" s="398" t="s">
        <v>931</v>
      </c>
      <c r="B10270" s="271"/>
      <c r="C10270" s="271"/>
      <c r="D10270" s="271"/>
      <c r="E10270" s="271"/>
      <c r="F10270" s="271"/>
      <c r="G10270" s="271"/>
      <c r="H10270" s="271"/>
      <c r="I10270" s="271"/>
      <c r="J10270" s="271"/>
      <c r="K10270" s="271"/>
      <c r="L10270" s="271"/>
      <c r="M10270" s="271"/>
      <c r="N10270" s="273"/>
    </row>
    <row r="10271" spans="1:14" ht="12.75" customHeight="1" x14ac:dyDescent="0.2">
      <c r="A10271" s="396" t="s">
        <v>76</v>
      </c>
      <c r="B10271" s="271"/>
      <c r="C10271" s="271"/>
      <c r="D10271" s="271"/>
      <c r="E10271" s="271"/>
      <c r="F10271" s="271"/>
      <c r="G10271" s="273"/>
      <c r="H10271" s="88" t="s">
        <v>77</v>
      </c>
      <c r="I10271" s="399" t="s">
        <v>920</v>
      </c>
      <c r="J10271" s="273"/>
      <c r="K10271" s="90" t="s">
        <v>514</v>
      </c>
      <c r="L10271" s="91" t="s">
        <v>932</v>
      </c>
      <c r="M10271" s="399" t="s">
        <v>921</v>
      </c>
      <c r="N10271" s="273"/>
    </row>
    <row r="10272" spans="1:14" ht="12.75" customHeight="1" x14ac:dyDescent="0.25">
      <c r="A10272" s="393" t="s">
        <v>962</v>
      </c>
      <c r="B10272" s="271"/>
      <c r="C10272" s="271"/>
      <c r="D10272" s="271"/>
      <c r="E10272" s="271"/>
      <c r="F10272" s="271"/>
      <c r="G10272" s="273"/>
      <c r="H10272" s="29" t="str">
        <f>IF(A10272="","",VLOOKUP(A10272,AA_Cuadrillas,4,FALSE))</f>
        <v>Cuadrilla</v>
      </c>
      <c r="I10272" s="394">
        <f>IF(A10272="","",VLOOKUP(A10272,AA_Cuadrillas,5,FALSE))</f>
        <v>396871</v>
      </c>
      <c r="J10272" s="273"/>
      <c r="K10272" s="9">
        <f>IF(A10272="","",F.P!$I$2)</f>
        <v>1.88</v>
      </c>
      <c r="L10272" s="93">
        <f>1/4.5</f>
        <v>0.22222222222222221</v>
      </c>
      <c r="M10272" s="394">
        <f t="shared" ref="M10272:M10276" si="1369">IF(A10272="","",I10272*K10272*L10272)</f>
        <v>165803.88444444444</v>
      </c>
      <c r="N10272" s="273"/>
    </row>
    <row r="10273" spans="1:15" ht="12.75" customHeight="1" x14ac:dyDescent="0.25">
      <c r="A10273" s="393"/>
      <c r="B10273" s="271"/>
      <c r="C10273" s="271"/>
      <c r="D10273" s="271"/>
      <c r="E10273" s="271"/>
      <c r="F10273" s="271"/>
      <c r="G10273" s="273"/>
      <c r="H10273" s="29" t="str">
        <f>IF(A10273="","",VLOOKUP(A10273,AA_Cuadrillas,4,FALSE))</f>
        <v/>
      </c>
      <c r="I10273" s="394" t="str">
        <f>IF(A10273="","",VLOOKUP(A10273,AA_Cuadrillas,5,FALSE))</f>
        <v/>
      </c>
      <c r="J10273" s="273"/>
      <c r="K10273" s="9" t="str">
        <f>IF(A10273="","",F.P!$I$2)</f>
        <v/>
      </c>
      <c r="L10273" s="9"/>
      <c r="M10273" s="394" t="str">
        <f t="shared" si="1369"/>
        <v/>
      </c>
      <c r="N10273" s="273"/>
    </row>
    <row r="10274" spans="1:15" ht="12.75" customHeight="1" x14ac:dyDescent="0.25">
      <c r="A10274" s="393"/>
      <c r="B10274" s="271"/>
      <c r="C10274" s="271"/>
      <c r="D10274" s="271"/>
      <c r="E10274" s="271"/>
      <c r="F10274" s="271"/>
      <c r="G10274" s="273"/>
      <c r="H10274" s="29" t="str">
        <f>IF(A10274="","",VLOOKUP(A10274,AA_Cuadrillas,4,FALSE))</f>
        <v/>
      </c>
      <c r="I10274" s="394" t="str">
        <f>IF(A10274="","",VLOOKUP(A10274,AA_Cuadrillas,5,FALSE))</f>
        <v/>
      </c>
      <c r="J10274" s="273"/>
      <c r="K10274" s="9" t="str">
        <f>IF(A10274="","",F.P!$I$2)</f>
        <v/>
      </c>
      <c r="L10274" s="37"/>
      <c r="M10274" s="394" t="str">
        <f t="shared" si="1369"/>
        <v/>
      </c>
      <c r="N10274" s="273"/>
    </row>
    <row r="10275" spans="1:15" ht="12.75" customHeight="1" x14ac:dyDescent="0.25">
      <c r="A10275" s="393"/>
      <c r="B10275" s="271"/>
      <c r="C10275" s="271"/>
      <c r="D10275" s="271"/>
      <c r="E10275" s="271"/>
      <c r="F10275" s="271"/>
      <c r="G10275" s="273"/>
      <c r="H10275" s="29" t="str">
        <f>IF(A10275="","",VLOOKUP(A10275,AA_Cuadrillas,4,FALSE))</f>
        <v/>
      </c>
      <c r="I10275" s="394" t="str">
        <f>IF(A10275="","",VLOOKUP(A10275,AA_Cuadrillas,5,FALSE))</f>
        <v/>
      </c>
      <c r="J10275" s="273"/>
      <c r="K10275" s="9" t="str">
        <f>IF(A10275="","",F.P!$I$2)</f>
        <v/>
      </c>
      <c r="L10275" s="37"/>
      <c r="M10275" s="394" t="str">
        <f t="shared" si="1369"/>
        <v/>
      </c>
      <c r="N10275" s="273"/>
    </row>
    <row r="10276" spans="1:15" ht="12.75" customHeight="1" x14ac:dyDescent="0.25">
      <c r="A10276" s="393"/>
      <c r="B10276" s="271"/>
      <c r="C10276" s="271"/>
      <c r="D10276" s="271"/>
      <c r="E10276" s="271"/>
      <c r="F10276" s="271"/>
      <c r="G10276" s="273"/>
      <c r="H10276" s="29" t="str">
        <f>IF(A10276="","",VLOOKUP(A10276,AA_Cuadrillas,4,FALSE))</f>
        <v/>
      </c>
      <c r="I10276" s="394" t="str">
        <f>IF(A10276="","",VLOOKUP(A10276,AA_Cuadrillas,5,FALSE))</f>
        <v/>
      </c>
      <c r="J10276" s="273"/>
      <c r="K10276" s="9" t="str">
        <f>IF(A10276="","",F.P!$I$2)</f>
        <v/>
      </c>
      <c r="L10276" s="37"/>
      <c r="M10276" s="394" t="str">
        <f t="shared" si="1369"/>
        <v/>
      </c>
      <c r="N10276" s="273"/>
    </row>
    <row r="10277" spans="1:15" ht="12.75" customHeight="1" x14ac:dyDescent="0.25">
      <c r="A10277" s="4"/>
      <c r="B10277" s="4"/>
      <c r="C10277" s="4"/>
      <c r="D10277" s="4"/>
      <c r="E10277" s="4"/>
      <c r="F10277" s="4"/>
      <c r="G10277" s="4"/>
      <c r="H10277" s="4"/>
      <c r="I10277" s="4"/>
      <c r="J10277" s="4"/>
      <c r="K10277" s="396" t="s">
        <v>444</v>
      </c>
      <c r="L10277" s="273"/>
      <c r="M10277" s="394">
        <f>SUM(M10272:N10276)</f>
        <v>165803.88444444444</v>
      </c>
      <c r="N10277" s="273"/>
    </row>
    <row r="10278" spans="1:15" ht="12.75" customHeight="1" x14ac:dyDescent="0.2"/>
    <row r="10279" spans="1:15" ht="12.75" customHeight="1" x14ac:dyDescent="0.2">
      <c r="A10279" s="397" t="s">
        <v>265</v>
      </c>
      <c r="B10279" s="275"/>
      <c r="C10279" s="275"/>
      <c r="D10279" s="275"/>
      <c r="E10279" s="275"/>
      <c r="F10279" s="275"/>
      <c r="G10279" s="275"/>
      <c r="H10279" s="275"/>
      <c r="I10279" s="275"/>
      <c r="J10279" s="275"/>
      <c r="K10279" s="275"/>
      <c r="L10279" s="275"/>
      <c r="M10279" s="275"/>
      <c r="N10279" s="276"/>
      <c r="O10279" s="166"/>
    </row>
    <row r="10280" spans="1:15" ht="12.75" customHeight="1" x14ac:dyDescent="0.2">
      <c r="A10280" s="277"/>
      <c r="B10280" s="278"/>
      <c r="C10280" s="278"/>
      <c r="D10280" s="278"/>
      <c r="E10280" s="278"/>
      <c r="F10280" s="278"/>
      <c r="G10280" s="278"/>
      <c r="H10280" s="278"/>
      <c r="I10280" s="278"/>
      <c r="J10280" s="278"/>
      <c r="K10280" s="278"/>
      <c r="L10280" s="278"/>
      <c r="M10280" s="278"/>
      <c r="N10280" s="279"/>
      <c r="O10280" s="166"/>
    </row>
    <row r="10281" spans="1:15" ht="12.75" customHeight="1" x14ac:dyDescent="0.2">
      <c r="A10281" s="75"/>
      <c r="B10281" s="75"/>
      <c r="C10281" s="75"/>
      <c r="D10281" s="75"/>
      <c r="E10281" s="75"/>
      <c r="F10281" s="75"/>
      <c r="G10281" s="75"/>
      <c r="H10281" s="75"/>
      <c r="I10281" s="75"/>
      <c r="J10281" s="75"/>
      <c r="K10281" s="75"/>
      <c r="L10281" s="75"/>
      <c r="M10281" s="75"/>
      <c r="N10281" s="75"/>
    </row>
    <row r="10282" spans="1:15" ht="12.75" customHeight="1" x14ac:dyDescent="0.3">
      <c r="A10282" s="79" t="s">
        <v>840</v>
      </c>
      <c r="B10282" s="80" t="str">
        <f>A10279</f>
        <v>CORREA METÁLICA DE PERFIL EN C GRADO 50, CON DIMENSIONES DE 150x50x2MM PARA CUBIERTAS (INCLUYE PINTURA, TORNILLOS, SOLDADURA, EQUIPOS, HERRAMIENTAS Y MANO DE OBRA)</v>
      </c>
      <c r="C10282" s="81" t="s">
        <v>916</v>
      </c>
      <c r="D10282" s="82" t="s">
        <v>981</v>
      </c>
      <c r="E10282" s="83" t="s">
        <v>445</v>
      </c>
      <c r="F10282" s="234">
        <f>(H10282+J10282+L10282+N10282)*1.3</f>
        <v>122235.40816017051</v>
      </c>
      <c r="G10282" s="83" t="s">
        <v>607</v>
      </c>
      <c r="H10282" s="86">
        <f>M10303</f>
        <v>5636.770564352415</v>
      </c>
      <c r="I10282" s="83" t="s">
        <v>918</v>
      </c>
      <c r="J10282" s="86">
        <f>M10294</f>
        <v>55911</v>
      </c>
      <c r="K10282" s="83" t="s">
        <v>609</v>
      </c>
      <c r="L10282" s="86">
        <f>M10312</f>
        <v>3077.3885282176211</v>
      </c>
      <c r="M10282" s="83" t="s">
        <v>610</v>
      </c>
      <c r="N10282" s="86">
        <f>M10321</f>
        <v>29402.077953714979</v>
      </c>
    </row>
    <row r="10283" spans="1:15" ht="12.75" customHeight="1" x14ac:dyDescent="0.25">
      <c r="A10283" s="87"/>
      <c r="B10283" s="87"/>
      <c r="C10283" s="87"/>
      <c r="D10283" s="87"/>
      <c r="E10283" s="87"/>
      <c r="F10283" s="87"/>
      <c r="G10283" s="87"/>
      <c r="J10283" s="87"/>
      <c r="K10283" s="215" t="s">
        <v>3217</v>
      </c>
      <c r="L10283" s="215">
        <f>+F10282*presup!$O$5</f>
        <v>158906.03060822166</v>
      </c>
      <c r="M10283" s="87"/>
      <c r="N10283" s="87"/>
    </row>
    <row r="10284" spans="1:15" ht="12.75" customHeight="1" x14ac:dyDescent="0.2">
      <c r="A10284" s="398" t="s">
        <v>919</v>
      </c>
      <c r="B10284" s="271"/>
      <c r="C10284" s="271"/>
      <c r="D10284" s="271"/>
      <c r="E10284" s="271"/>
      <c r="F10284" s="271"/>
      <c r="G10284" s="271"/>
      <c r="H10284" s="271"/>
      <c r="I10284" s="271"/>
      <c r="J10284" s="271"/>
      <c r="K10284" s="271"/>
      <c r="L10284" s="271"/>
      <c r="M10284" s="271"/>
      <c r="N10284" s="273"/>
    </row>
    <row r="10285" spans="1:15" ht="12.75" customHeight="1" x14ac:dyDescent="0.2">
      <c r="A10285" s="396" t="s">
        <v>76</v>
      </c>
      <c r="B10285" s="271"/>
      <c r="C10285" s="271"/>
      <c r="D10285" s="271"/>
      <c r="E10285" s="271"/>
      <c r="F10285" s="271"/>
      <c r="G10285" s="273"/>
      <c r="H10285" s="88" t="s">
        <v>77</v>
      </c>
      <c r="I10285" s="399" t="s">
        <v>920</v>
      </c>
      <c r="J10285" s="273"/>
      <c r="K10285" s="399" t="s">
        <v>453</v>
      </c>
      <c r="L10285" s="273"/>
      <c r="M10285" s="399" t="s">
        <v>921</v>
      </c>
      <c r="N10285" s="273"/>
    </row>
    <row r="10286" spans="1:15" ht="12.75" customHeight="1" x14ac:dyDescent="0.2">
      <c r="A10286" s="400" t="s">
        <v>1505</v>
      </c>
      <c r="B10286" s="271"/>
      <c r="C10286" s="271"/>
      <c r="D10286" s="271"/>
      <c r="E10286" s="271"/>
      <c r="F10286" s="271"/>
      <c r="G10286" s="273"/>
      <c r="H10286" s="29" t="str">
        <f t="shared" ref="H10286:H10293" si="1370">IF(A10286="","",VLOOKUP(A10286,AA_Materiales,7,FALSE))</f>
        <v>ml</v>
      </c>
      <c r="I10286" s="394">
        <f t="shared" ref="I10286:I10293" si="1371">IF(A10286="","",VLOOKUP(A10286,AA_Materiales,8,FALSE))</f>
        <v>32350</v>
      </c>
      <c r="J10286" s="273"/>
      <c r="K10286" s="395">
        <v>1</v>
      </c>
      <c r="L10286" s="273"/>
      <c r="M10286" s="394">
        <f t="shared" ref="M10286:M10293" si="1372">IF(A10286="","",I10286*K10286)</f>
        <v>32350</v>
      </c>
      <c r="N10286" s="273"/>
    </row>
    <row r="10287" spans="1:15" ht="12.75" customHeight="1" x14ac:dyDescent="0.2">
      <c r="A10287" s="400" t="s">
        <v>1031</v>
      </c>
      <c r="B10287" s="271"/>
      <c r="C10287" s="271"/>
      <c r="D10287" s="271"/>
      <c r="E10287" s="271"/>
      <c r="F10287" s="271"/>
      <c r="G10287" s="273"/>
      <c r="H10287" s="29" t="str">
        <f t="shared" si="1370"/>
        <v>Kg</v>
      </c>
      <c r="I10287" s="394">
        <f t="shared" si="1371"/>
        <v>21380</v>
      </c>
      <c r="J10287" s="273"/>
      <c r="K10287" s="401">
        <v>0.3</v>
      </c>
      <c r="L10287" s="273"/>
      <c r="M10287" s="394">
        <f t="shared" si="1372"/>
        <v>6414</v>
      </c>
      <c r="N10287" s="273"/>
    </row>
    <row r="10288" spans="1:15" ht="12.75" customHeight="1" x14ac:dyDescent="0.2">
      <c r="A10288" s="400" t="s">
        <v>1506</v>
      </c>
      <c r="B10288" s="271"/>
      <c r="C10288" s="271"/>
      <c r="D10288" s="271"/>
      <c r="E10288" s="271"/>
      <c r="F10288" s="271"/>
      <c r="G10288" s="273"/>
      <c r="H10288" s="29" t="str">
        <f t="shared" si="1370"/>
        <v>Unidad</v>
      </c>
      <c r="I10288" s="394">
        <f t="shared" si="1371"/>
        <v>1739</v>
      </c>
      <c r="J10288" s="273"/>
      <c r="K10288" s="401">
        <v>6</v>
      </c>
      <c r="L10288" s="273"/>
      <c r="M10288" s="394">
        <f t="shared" si="1372"/>
        <v>10434</v>
      </c>
      <c r="N10288" s="273"/>
    </row>
    <row r="10289" spans="1:14" ht="12.75" customHeight="1" x14ac:dyDescent="0.2">
      <c r="A10289" s="400" t="s">
        <v>995</v>
      </c>
      <c r="B10289" s="271"/>
      <c r="C10289" s="271"/>
      <c r="D10289" s="271"/>
      <c r="E10289" s="271"/>
      <c r="F10289" s="271"/>
      <c r="G10289" s="273"/>
      <c r="H10289" s="29" t="str">
        <f t="shared" si="1370"/>
        <v>Galón</v>
      </c>
      <c r="I10289" s="394">
        <f t="shared" si="1371"/>
        <v>95900</v>
      </c>
      <c r="J10289" s="273"/>
      <c r="K10289" s="395">
        <v>7.0000000000000007E-2</v>
      </c>
      <c r="L10289" s="273"/>
      <c r="M10289" s="394">
        <f t="shared" si="1372"/>
        <v>6713.0000000000009</v>
      </c>
      <c r="N10289" s="273"/>
    </row>
    <row r="10290" spans="1:14" ht="12.75" customHeight="1" x14ac:dyDescent="0.2">
      <c r="A10290" s="400"/>
      <c r="B10290" s="271"/>
      <c r="C10290" s="271"/>
      <c r="D10290" s="271"/>
      <c r="E10290" s="271"/>
      <c r="F10290" s="271"/>
      <c r="G10290" s="273"/>
      <c r="H10290" s="29" t="str">
        <f t="shared" si="1370"/>
        <v/>
      </c>
      <c r="I10290" s="394" t="str">
        <f t="shared" si="1371"/>
        <v/>
      </c>
      <c r="J10290" s="273"/>
      <c r="K10290" s="395"/>
      <c r="L10290" s="273"/>
      <c r="M10290" s="394" t="str">
        <f t="shared" si="1372"/>
        <v/>
      </c>
      <c r="N10290" s="273"/>
    </row>
    <row r="10291" spans="1:14" ht="12.75" customHeight="1" x14ac:dyDescent="0.2">
      <c r="A10291" s="400"/>
      <c r="B10291" s="271"/>
      <c r="C10291" s="271"/>
      <c r="D10291" s="271"/>
      <c r="E10291" s="271"/>
      <c r="F10291" s="271"/>
      <c r="G10291" s="273"/>
      <c r="H10291" s="29" t="str">
        <f t="shared" si="1370"/>
        <v/>
      </c>
      <c r="I10291" s="394" t="str">
        <f t="shared" si="1371"/>
        <v/>
      </c>
      <c r="J10291" s="273"/>
      <c r="K10291" s="395"/>
      <c r="L10291" s="273"/>
      <c r="M10291" s="394" t="str">
        <f t="shared" si="1372"/>
        <v/>
      </c>
      <c r="N10291" s="273"/>
    </row>
    <row r="10292" spans="1:14" ht="12.75" customHeight="1" x14ac:dyDescent="0.2">
      <c r="A10292" s="400"/>
      <c r="B10292" s="271"/>
      <c r="C10292" s="271"/>
      <c r="D10292" s="271"/>
      <c r="E10292" s="271"/>
      <c r="F10292" s="271"/>
      <c r="G10292" s="273"/>
      <c r="H10292" s="29" t="str">
        <f t="shared" si="1370"/>
        <v/>
      </c>
      <c r="I10292" s="394" t="str">
        <f t="shared" si="1371"/>
        <v/>
      </c>
      <c r="J10292" s="273"/>
      <c r="K10292" s="395"/>
      <c r="L10292" s="273"/>
      <c r="M10292" s="394" t="str">
        <f t="shared" si="1372"/>
        <v/>
      </c>
      <c r="N10292" s="273"/>
    </row>
    <row r="10293" spans="1:14" ht="12.75" customHeight="1" x14ac:dyDescent="0.2">
      <c r="A10293" s="400"/>
      <c r="B10293" s="271"/>
      <c r="C10293" s="271"/>
      <c r="D10293" s="271"/>
      <c r="E10293" s="271"/>
      <c r="F10293" s="271"/>
      <c r="G10293" s="273"/>
      <c r="H10293" s="29" t="str">
        <f t="shared" si="1370"/>
        <v/>
      </c>
      <c r="I10293" s="394" t="str">
        <f t="shared" si="1371"/>
        <v/>
      </c>
      <c r="J10293" s="273"/>
      <c r="K10293" s="395"/>
      <c r="L10293" s="273"/>
      <c r="M10293" s="394" t="str">
        <f t="shared" si="1372"/>
        <v/>
      </c>
      <c r="N10293" s="273"/>
    </row>
    <row r="10294" spans="1:14" ht="12.75" customHeight="1" x14ac:dyDescent="0.25">
      <c r="A10294" s="4"/>
      <c r="B10294" s="4"/>
      <c r="C10294" s="4"/>
      <c r="D10294" s="4"/>
      <c r="E10294" s="4"/>
      <c r="F10294" s="4"/>
      <c r="G10294" s="4"/>
      <c r="H10294" s="4"/>
      <c r="I10294" s="4"/>
      <c r="J10294" s="4"/>
      <c r="K10294" s="396" t="s">
        <v>444</v>
      </c>
      <c r="L10294" s="273"/>
      <c r="M10294" s="394">
        <f>SUM(M10286:N10293)</f>
        <v>55911</v>
      </c>
      <c r="N10294" s="273"/>
    </row>
    <row r="10295" spans="1:14" ht="12.75" customHeight="1" x14ac:dyDescent="0.25">
      <c r="A10295" s="4"/>
      <c r="B10295" s="4"/>
      <c r="C10295" s="4"/>
      <c r="D10295" s="4"/>
      <c r="E10295" s="4"/>
      <c r="F10295" s="4"/>
      <c r="G10295" s="4"/>
      <c r="H10295" s="4"/>
      <c r="I10295" s="4"/>
      <c r="J10295" s="4"/>
      <c r="K10295" s="4"/>
      <c r="L10295" s="4"/>
      <c r="M10295" s="4"/>
      <c r="N10295" s="4"/>
    </row>
    <row r="10296" spans="1:14" ht="12.75" customHeight="1" x14ac:dyDescent="0.2">
      <c r="A10296" s="398" t="s">
        <v>926</v>
      </c>
      <c r="B10296" s="271"/>
      <c r="C10296" s="271"/>
      <c r="D10296" s="271"/>
      <c r="E10296" s="271"/>
      <c r="F10296" s="271"/>
      <c r="G10296" s="271"/>
      <c r="H10296" s="271"/>
      <c r="I10296" s="271"/>
      <c r="J10296" s="271"/>
      <c r="K10296" s="271"/>
      <c r="L10296" s="271"/>
      <c r="M10296" s="271"/>
      <c r="N10296" s="273"/>
    </row>
    <row r="10297" spans="1:14" ht="12.75" customHeight="1" x14ac:dyDescent="0.2">
      <c r="A10297" s="396" t="s">
        <v>76</v>
      </c>
      <c r="B10297" s="271"/>
      <c r="C10297" s="271"/>
      <c r="D10297" s="271"/>
      <c r="E10297" s="271"/>
      <c r="F10297" s="271"/>
      <c r="G10297" s="273"/>
      <c r="H10297" s="88" t="s">
        <v>77</v>
      </c>
      <c r="I10297" s="399" t="s">
        <v>920</v>
      </c>
      <c r="J10297" s="273"/>
      <c r="K10297" s="399" t="s">
        <v>453</v>
      </c>
      <c r="L10297" s="273"/>
      <c r="M10297" s="399" t="s">
        <v>921</v>
      </c>
      <c r="N10297" s="273"/>
    </row>
    <row r="10298" spans="1:14" ht="12.75" customHeight="1" x14ac:dyDescent="0.2">
      <c r="A10298" s="400" t="s">
        <v>927</v>
      </c>
      <c r="B10298" s="271"/>
      <c r="C10298" s="271"/>
      <c r="D10298" s="271"/>
      <c r="E10298" s="271"/>
      <c r="F10298" s="271"/>
      <c r="G10298" s="273"/>
      <c r="H10298" s="29" t="str">
        <f>IF(A10298="","",VLOOKUP(A10298,AA_Equipos,7,FALSE))</f>
        <v>% M.O.</v>
      </c>
      <c r="I10298" s="394">
        <f>M10321</f>
        <v>29402.077953714979</v>
      </c>
      <c r="J10298" s="273"/>
      <c r="K10298" s="404">
        <v>0.05</v>
      </c>
      <c r="L10298" s="273"/>
      <c r="M10298" s="394">
        <f t="shared" ref="M10298:M10302" si="1373">IF(A10298="","",I10298*K10298)</f>
        <v>1470.103897685749</v>
      </c>
      <c r="N10298" s="273"/>
    </row>
    <row r="10299" spans="1:14" ht="12.75" customHeight="1" x14ac:dyDescent="0.2">
      <c r="A10299" s="403" t="s">
        <v>1032</v>
      </c>
      <c r="B10299" s="271"/>
      <c r="C10299" s="271"/>
      <c r="D10299" s="271"/>
      <c r="E10299" s="271"/>
      <c r="F10299" s="271"/>
      <c r="G10299" s="273"/>
      <c r="H10299" s="29" t="str">
        <f>IF(A10299="","",VLOOKUP(A10299,AA_Equipos,7,FALSE))</f>
        <v>Dia</v>
      </c>
      <c r="I10299" s="394">
        <f>IF(A10299="","",VLOOKUP(A10299,AA_Equipos,8,FALSE))</f>
        <v>50000</v>
      </c>
      <c r="J10299" s="273"/>
      <c r="K10299" s="402">
        <f>1/12</f>
        <v>8.3333333333333329E-2</v>
      </c>
      <c r="L10299" s="273"/>
      <c r="M10299" s="394">
        <f t="shared" si="1373"/>
        <v>4166.6666666666661</v>
      </c>
      <c r="N10299" s="273"/>
    </row>
    <row r="10300" spans="1:14" ht="12.75" customHeight="1" x14ac:dyDescent="0.2">
      <c r="A10300" s="400"/>
      <c r="B10300" s="271"/>
      <c r="C10300" s="271"/>
      <c r="D10300" s="271"/>
      <c r="E10300" s="271"/>
      <c r="F10300" s="271"/>
      <c r="G10300" s="273"/>
      <c r="H10300" s="29" t="str">
        <f>IF(A10300="","",VLOOKUP(A10300,AA_Equipos,7,FALSE))</f>
        <v/>
      </c>
      <c r="I10300" s="394" t="str">
        <f>IF(A10300="","",VLOOKUP(A10300,AA_Equipos,8,FALSE))</f>
        <v/>
      </c>
      <c r="J10300" s="273"/>
      <c r="K10300" s="401"/>
      <c r="L10300" s="273"/>
      <c r="M10300" s="394" t="str">
        <f t="shared" si="1373"/>
        <v/>
      </c>
      <c r="N10300" s="273"/>
    </row>
    <row r="10301" spans="1:14" ht="12.75" customHeight="1" x14ac:dyDescent="0.2">
      <c r="A10301" s="400"/>
      <c r="B10301" s="271"/>
      <c r="C10301" s="271"/>
      <c r="D10301" s="271"/>
      <c r="E10301" s="271"/>
      <c r="F10301" s="271"/>
      <c r="G10301" s="273"/>
      <c r="H10301" s="29" t="str">
        <f>IF(A10301="","",VLOOKUP(A10301,AA_Equipos,7,FALSE))</f>
        <v/>
      </c>
      <c r="I10301" s="394" t="str">
        <f>IF(A10301="","",VLOOKUP(A10301,AA_Equipos,8,FALSE))</f>
        <v/>
      </c>
      <c r="J10301" s="273"/>
      <c r="K10301" s="395"/>
      <c r="L10301" s="273"/>
      <c r="M10301" s="394" t="str">
        <f t="shared" si="1373"/>
        <v/>
      </c>
      <c r="N10301" s="273"/>
    </row>
    <row r="10302" spans="1:14" ht="12.75" customHeight="1" x14ac:dyDescent="0.2">
      <c r="A10302" s="400"/>
      <c r="B10302" s="271"/>
      <c r="C10302" s="271"/>
      <c r="D10302" s="271"/>
      <c r="E10302" s="271"/>
      <c r="F10302" s="271"/>
      <c r="G10302" s="273"/>
      <c r="H10302" s="29" t="str">
        <f>IF(A10302="","",VLOOKUP(A10302,AA_Equipos,7,FALSE))</f>
        <v/>
      </c>
      <c r="I10302" s="394" t="str">
        <f>IF(A10302="","",VLOOKUP(A10302,AA_Equipos,8,FALSE))</f>
        <v/>
      </c>
      <c r="J10302" s="273"/>
      <c r="K10302" s="395"/>
      <c r="L10302" s="273"/>
      <c r="M10302" s="394" t="str">
        <f t="shared" si="1373"/>
        <v/>
      </c>
      <c r="N10302" s="273"/>
    </row>
    <row r="10303" spans="1:14" ht="12.75" customHeight="1" x14ac:dyDescent="0.25">
      <c r="A10303" s="4"/>
      <c r="B10303" s="4"/>
      <c r="C10303" s="4"/>
      <c r="D10303" s="4"/>
      <c r="E10303" s="4"/>
      <c r="F10303" s="4"/>
      <c r="G10303" s="4"/>
      <c r="H10303" s="4"/>
      <c r="I10303" s="4"/>
      <c r="J10303" s="4"/>
      <c r="K10303" s="396" t="s">
        <v>444</v>
      </c>
      <c r="L10303" s="273"/>
      <c r="M10303" s="394">
        <f>SUM(M10298:N10302)</f>
        <v>5636.770564352415</v>
      </c>
      <c r="N10303" s="273"/>
    </row>
    <row r="10304" spans="1:14" ht="12.75" customHeight="1" x14ac:dyDescent="0.25">
      <c r="A10304" s="4"/>
      <c r="B10304" s="4"/>
      <c r="C10304" s="4"/>
      <c r="D10304" s="4"/>
      <c r="E10304" s="4"/>
      <c r="F10304" s="4"/>
      <c r="G10304" s="4"/>
      <c r="H10304" s="4"/>
      <c r="I10304" s="4"/>
      <c r="J10304" s="4"/>
      <c r="K10304" s="4"/>
      <c r="L10304" s="4"/>
      <c r="M10304" s="4"/>
      <c r="N10304" s="4"/>
    </row>
    <row r="10305" spans="1:14" ht="12.75" customHeight="1" x14ac:dyDescent="0.2">
      <c r="A10305" s="398" t="s">
        <v>929</v>
      </c>
      <c r="B10305" s="271"/>
      <c r="C10305" s="271"/>
      <c r="D10305" s="271"/>
      <c r="E10305" s="271"/>
      <c r="F10305" s="271"/>
      <c r="G10305" s="271"/>
      <c r="H10305" s="271"/>
      <c r="I10305" s="271"/>
      <c r="J10305" s="271"/>
      <c r="K10305" s="271"/>
      <c r="L10305" s="271"/>
      <c r="M10305" s="271"/>
      <c r="N10305" s="273"/>
    </row>
    <row r="10306" spans="1:14" ht="12.75" customHeight="1" x14ac:dyDescent="0.2">
      <c r="A10306" s="396" t="s">
        <v>76</v>
      </c>
      <c r="B10306" s="271"/>
      <c r="C10306" s="271"/>
      <c r="D10306" s="271"/>
      <c r="E10306" s="271"/>
      <c r="F10306" s="271"/>
      <c r="G10306" s="273"/>
      <c r="H10306" s="88" t="s">
        <v>77</v>
      </c>
      <c r="I10306" s="399" t="s">
        <v>920</v>
      </c>
      <c r="J10306" s="273"/>
      <c r="K10306" s="399" t="s">
        <v>453</v>
      </c>
      <c r="L10306" s="273"/>
      <c r="M10306" s="399" t="s">
        <v>921</v>
      </c>
      <c r="N10306" s="273"/>
    </row>
    <row r="10307" spans="1:14" ht="12.75" customHeight="1" x14ac:dyDescent="0.2">
      <c r="A10307" s="400" t="s">
        <v>965</v>
      </c>
      <c r="B10307" s="271"/>
      <c r="C10307" s="271"/>
      <c r="D10307" s="271"/>
      <c r="E10307" s="271"/>
      <c r="F10307" s="271"/>
      <c r="G10307" s="273"/>
      <c r="H10307" s="29" t="s">
        <v>959</v>
      </c>
      <c r="I10307" s="394">
        <f>+M10303</f>
        <v>5636.770564352415</v>
      </c>
      <c r="J10307" s="273"/>
      <c r="K10307" s="404">
        <v>0.05</v>
      </c>
      <c r="L10307" s="273"/>
      <c r="M10307" s="394">
        <f t="shared" ref="M10307:M10311" si="1374">IF(A10307="","",I10307*K10307)</f>
        <v>281.83852821762076</v>
      </c>
      <c r="N10307" s="273"/>
    </row>
    <row r="10308" spans="1:14" ht="12.75" customHeight="1" x14ac:dyDescent="0.2">
      <c r="A10308" s="403" t="s">
        <v>966</v>
      </c>
      <c r="B10308" s="271"/>
      <c r="C10308" s="271"/>
      <c r="D10308" s="271"/>
      <c r="E10308" s="271"/>
      <c r="F10308" s="271"/>
      <c r="G10308" s="273"/>
      <c r="H10308" s="29" t="s">
        <v>950</v>
      </c>
      <c r="I10308" s="394">
        <f>+M10294</f>
        <v>55911</v>
      </c>
      <c r="J10308" s="273"/>
      <c r="K10308" s="404">
        <v>0.05</v>
      </c>
      <c r="L10308" s="273"/>
      <c r="M10308" s="394">
        <f t="shared" si="1374"/>
        <v>2795.55</v>
      </c>
      <c r="N10308" s="273"/>
    </row>
    <row r="10309" spans="1:14" ht="12.75" customHeight="1" x14ac:dyDescent="0.2">
      <c r="A10309" s="400"/>
      <c r="B10309" s="271"/>
      <c r="C10309" s="271"/>
      <c r="D10309" s="271"/>
      <c r="E10309" s="271"/>
      <c r="F10309" s="271"/>
      <c r="G10309" s="273"/>
      <c r="H10309" s="29"/>
      <c r="I10309" s="394"/>
      <c r="J10309" s="273"/>
      <c r="K10309" s="395"/>
      <c r="L10309" s="273"/>
      <c r="M10309" s="394" t="str">
        <f t="shared" si="1374"/>
        <v/>
      </c>
      <c r="N10309" s="273"/>
    </row>
    <row r="10310" spans="1:14" ht="12.75" customHeight="1" x14ac:dyDescent="0.2">
      <c r="A10310" s="400"/>
      <c r="B10310" s="271"/>
      <c r="C10310" s="271"/>
      <c r="D10310" s="271"/>
      <c r="E10310" s="271"/>
      <c r="F10310" s="271"/>
      <c r="G10310" s="273"/>
      <c r="H10310" s="29"/>
      <c r="I10310" s="394"/>
      <c r="J10310" s="273"/>
      <c r="K10310" s="395"/>
      <c r="L10310" s="273"/>
      <c r="M10310" s="394" t="str">
        <f t="shared" si="1374"/>
        <v/>
      </c>
      <c r="N10310" s="273"/>
    </row>
    <row r="10311" spans="1:14" ht="12.75" customHeight="1" x14ac:dyDescent="0.2">
      <c r="A10311" s="400"/>
      <c r="B10311" s="271"/>
      <c r="C10311" s="271"/>
      <c r="D10311" s="271"/>
      <c r="E10311" s="271"/>
      <c r="F10311" s="271"/>
      <c r="G10311" s="273"/>
      <c r="H10311" s="29"/>
      <c r="I10311" s="394"/>
      <c r="J10311" s="273"/>
      <c r="K10311" s="395"/>
      <c r="L10311" s="273"/>
      <c r="M10311" s="394" t="str">
        <f t="shared" si="1374"/>
        <v/>
      </c>
      <c r="N10311" s="273"/>
    </row>
    <row r="10312" spans="1:14" ht="12.75" customHeight="1" x14ac:dyDescent="0.25">
      <c r="A10312" s="4"/>
      <c r="B10312" s="4"/>
      <c r="C10312" s="4"/>
      <c r="D10312" s="4"/>
      <c r="E10312" s="4"/>
      <c r="F10312" s="4"/>
      <c r="G10312" s="4"/>
      <c r="H10312" s="4"/>
      <c r="I10312" s="4"/>
      <c r="J10312" s="4"/>
      <c r="K10312" s="396" t="s">
        <v>444</v>
      </c>
      <c r="L10312" s="273"/>
      <c r="M10312" s="394">
        <f>SUM(M10307:N10311)</f>
        <v>3077.3885282176211</v>
      </c>
      <c r="N10312" s="273"/>
    </row>
    <row r="10313" spans="1:14" ht="12.75" customHeight="1" x14ac:dyDescent="0.25">
      <c r="A10313" s="4"/>
      <c r="B10313" s="4"/>
      <c r="C10313" s="4"/>
      <c r="D10313" s="4"/>
      <c r="E10313" s="4"/>
      <c r="F10313" s="4"/>
      <c r="G10313" s="4"/>
      <c r="H10313" s="4"/>
      <c r="I10313" s="4"/>
      <c r="J10313" s="4"/>
      <c r="K10313" s="94"/>
      <c r="L10313" s="95"/>
      <c r="M10313" s="89"/>
      <c r="N10313" s="96"/>
    </row>
    <row r="10314" spans="1:14" ht="12.75" customHeight="1" x14ac:dyDescent="0.2">
      <c r="A10314" s="398" t="s">
        <v>931</v>
      </c>
      <c r="B10314" s="271"/>
      <c r="C10314" s="271"/>
      <c r="D10314" s="271"/>
      <c r="E10314" s="271"/>
      <c r="F10314" s="271"/>
      <c r="G10314" s="271"/>
      <c r="H10314" s="271"/>
      <c r="I10314" s="271"/>
      <c r="J10314" s="271"/>
      <c r="K10314" s="271"/>
      <c r="L10314" s="271"/>
      <c r="M10314" s="271"/>
      <c r="N10314" s="273"/>
    </row>
    <row r="10315" spans="1:14" ht="12.75" customHeight="1" x14ac:dyDescent="0.2">
      <c r="A10315" s="396" t="s">
        <v>76</v>
      </c>
      <c r="B10315" s="271"/>
      <c r="C10315" s="271"/>
      <c r="D10315" s="271"/>
      <c r="E10315" s="271"/>
      <c r="F10315" s="271"/>
      <c r="G10315" s="273"/>
      <c r="H10315" s="88" t="s">
        <v>77</v>
      </c>
      <c r="I10315" s="399" t="s">
        <v>920</v>
      </c>
      <c r="J10315" s="273"/>
      <c r="K10315" s="90" t="s">
        <v>514</v>
      </c>
      <c r="L10315" s="91" t="s">
        <v>932</v>
      </c>
      <c r="M10315" s="399" t="s">
        <v>921</v>
      </c>
      <c r="N10315" s="273"/>
    </row>
    <row r="10316" spans="1:14" ht="12.75" customHeight="1" x14ac:dyDescent="0.25">
      <c r="A10316" s="393" t="s">
        <v>973</v>
      </c>
      <c r="B10316" s="271"/>
      <c r="C10316" s="271"/>
      <c r="D10316" s="271"/>
      <c r="E10316" s="271"/>
      <c r="F10316" s="271"/>
      <c r="G10316" s="273"/>
      <c r="H10316" s="29" t="str">
        <f>IF(A10316="","",VLOOKUP(A10316,AA_Cuadrillas,4,FALSE))</f>
        <v>Cuadrilla</v>
      </c>
      <c r="I10316" s="394">
        <f>IF(A10316="","",VLOOKUP(A10316,AA_Cuadrillas,5,FALSE))</f>
        <v>256799</v>
      </c>
      <c r="J10316" s="273"/>
      <c r="K10316" s="9">
        <f>IF(A10316="","",F.P!$I$2)</f>
        <v>1.88</v>
      </c>
      <c r="L10316" s="93">
        <f>1/16.42</f>
        <v>6.0901339829476243E-2</v>
      </c>
      <c r="M10316" s="394">
        <f t="shared" ref="M10316:M10320" si="1375">IF(A10316="","",I10316*K10316*L10316)</f>
        <v>29402.077953714979</v>
      </c>
      <c r="N10316" s="273"/>
    </row>
    <row r="10317" spans="1:14" ht="12.75" customHeight="1" x14ac:dyDescent="0.25">
      <c r="A10317" s="393"/>
      <c r="B10317" s="271"/>
      <c r="C10317" s="271"/>
      <c r="D10317" s="271"/>
      <c r="E10317" s="271"/>
      <c r="F10317" s="271"/>
      <c r="G10317" s="273"/>
      <c r="H10317" s="29" t="str">
        <f>IF(A10317="","",VLOOKUP(A10317,AA_Cuadrillas,4,FALSE))</f>
        <v/>
      </c>
      <c r="I10317" s="394" t="str">
        <f>IF(A10317="","",VLOOKUP(A10317,AA_Cuadrillas,5,FALSE))</f>
        <v/>
      </c>
      <c r="J10317" s="273"/>
      <c r="K10317" s="9" t="str">
        <f>IF(A10317="","",F.P!$I$2)</f>
        <v/>
      </c>
      <c r="L10317" s="9"/>
      <c r="M10317" s="394" t="str">
        <f t="shared" si="1375"/>
        <v/>
      </c>
      <c r="N10317" s="273"/>
    </row>
    <row r="10318" spans="1:14" ht="12.75" customHeight="1" x14ac:dyDescent="0.25">
      <c r="A10318" s="393"/>
      <c r="B10318" s="271"/>
      <c r="C10318" s="271"/>
      <c r="D10318" s="271"/>
      <c r="E10318" s="271"/>
      <c r="F10318" s="271"/>
      <c r="G10318" s="273"/>
      <c r="H10318" s="29" t="str">
        <f>IF(A10318="","",VLOOKUP(A10318,AA_Cuadrillas,4,FALSE))</f>
        <v/>
      </c>
      <c r="I10318" s="394" t="str">
        <f>IF(A10318="","",VLOOKUP(A10318,AA_Cuadrillas,5,FALSE))</f>
        <v/>
      </c>
      <c r="J10318" s="273"/>
      <c r="K10318" s="9" t="str">
        <f>IF(A10318="","",F.P!$I$2)</f>
        <v/>
      </c>
      <c r="L10318" s="37"/>
      <c r="M10318" s="394" t="str">
        <f t="shared" si="1375"/>
        <v/>
      </c>
      <c r="N10318" s="273"/>
    </row>
    <row r="10319" spans="1:14" ht="12.75" customHeight="1" x14ac:dyDescent="0.25">
      <c r="A10319" s="393"/>
      <c r="B10319" s="271"/>
      <c r="C10319" s="271"/>
      <c r="D10319" s="271"/>
      <c r="E10319" s="271"/>
      <c r="F10319" s="271"/>
      <c r="G10319" s="273"/>
      <c r="H10319" s="29" t="str">
        <f>IF(A10319="","",VLOOKUP(A10319,AA_Cuadrillas,4,FALSE))</f>
        <v/>
      </c>
      <c r="I10319" s="394" t="str">
        <f>IF(A10319="","",VLOOKUP(A10319,AA_Cuadrillas,5,FALSE))</f>
        <v/>
      </c>
      <c r="J10319" s="273"/>
      <c r="K10319" s="9" t="str">
        <f>IF(A10319="","",F.P!$I$2)</f>
        <v/>
      </c>
      <c r="L10319" s="37"/>
      <c r="M10319" s="394" t="str">
        <f t="shared" si="1375"/>
        <v/>
      </c>
      <c r="N10319" s="273"/>
    </row>
    <row r="10320" spans="1:14" ht="12.75" customHeight="1" x14ac:dyDescent="0.25">
      <c r="A10320" s="393"/>
      <c r="B10320" s="271"/>
      <c r="C10320" s="271"/>
      <c r="D10320" s="271"/>
      <c r="E10320" s="271"/>
      <c r="F10320" s="271"/>
      <c r="G10320" s="273"/>
      <c r="H10320" s="29" t="str">
        <f>IF(A10320="","",VLOOKUP(A10320,AA_Cuadrillas,4,FALSE))</f>
        <v/>
      </c>
      <c r="I10320" s="394" t="str">
        <f>IF(A10320="","",VLOOKUP(A10320,AA_Cuadrillas,5,FALSE))</f>
        <v/>
      </c>
      <c r="J10320" s="273"/>
      <c r="K10320" s="9" t="str">
        <f>IF(A10320="","",F.P!$I$2)</f>
        <v/>
      </c>
      <c r="L10320" s="37"/>
      <c r="M10320" s="394" t="str">
        <f t="shared" si="1375"/>
        <v/>
      </c>
      <c r="N10320" s="273"/>
    </row>
    <row r="10321" spans="1:15" ht="12.75" customHeight="1" x14ac:dyDescent="0.25">
      <c r="A10321" s="4"/>
      <c r="B10321" s="4"/>
      <c r="C10321" s="4"/>
      <c r="D10321" s="4"/>
      <c r="E10321" s="4"/>
      <c r="F10321" s="4"/>
      <c r="G10321" s="4"/>
      <c r="H10321" s="4"/>
      <c r="I10321" s="4"/>
      <c r="J10321" s="4"/>
      <c r="K10321" s="396" t="s">
        <v>444</v>
      </c>
      <c r="L10321" s="273"/>
      <c r="M10321" s="394">
        <f>SUM(M10316:N10320)</f>
        <v>29402.077953714979</v>
      </c>
      <c r="N10321" s="273"/>
    </row>
    <row r="10322" spans="1:15" ht="12.75" customHeight="1" x14ac:dyDescent="0.2"/>
    <row r="10323" spans="1:15" ht="12.75" customHeight="1" x14ac:dyDescent="0.2">
      <c r="A10323" s="397" t="s">
        <v>277</v>
      </c>
      <c r="B10323" s="275"/>
      <c r="C10323" s="275"/>
      <c r="D10323" s="275"/>
      <c r="E10323" s="275"/>
      <c r="F10323" s="275"/>
      <c r="G10323" s="275"/>
      <c r="H10323" s="275"/>
      <c r="I10323" s="275"/>
      <c r="J10323" s="275"/>
      <c r="K10323" s="275"/>
      <c r="L10323" s="275"/>
      <c r="M10323" s="275"/>
      <c r="N10323" s="276"/>
      <c r="O10323" s="166"/>
    </row>
    <row r="10324" spans="1:15" ht="12.75" customHeight="1" x14ac:dyDescent="0.2">
      <c r="A10324" s="277"/>
      <c r="B10324" s="278"/>
      <c r="C10324" s="278"/>
      <c r="D10324" s="278"/>
      <c r="E10324" s="278"/>
      <c r="F10324" s="278"/>
      <c r="G10324" s="278"/>
      <c r="H10324" s="278"/>
      <c r="I10324" s="278"/>
      <c r="J10324" s="278"/>
      <c r="K10324" s="278"/>
      <c r="L10324" s="278"/>
      <c r="M10324" s="278"/>
      <c r="N10324" s="279"/>
      <c r="O10324" s="166"/>
    </row>
    <row r="10325" spans="1:15" ht="12.75" customHeight="1" x14ac:dyDescent="0.2">
      <c r="A10325" s="75"/>
      <c r="B10325" s="75"/>
      <c r="C10325" s="75"/>
      <c r="D10325" s="75"/>
      <c r="E10325" s="75"/>
      <c r="F10325" s="75"/>
      <c r="G10325" s="75"/>
      <c r="H10325" s="75"/>
      <c r="I10325" s="75"/>
      <c r="J10325" s="75"/>
      <c r="K10325" s="75"/>
      <c r="L10325" s="75"/>
      <c r="M10325" s="75"/>
      <c r="N10325" s="75"/>
    </row>
    <row r="10326" spans="1:15" ht="12.75" customHeight="1" x14ac:dyDescent="0.3">
      <c r="A10326" s="79" t="s">
        <v>841</v>
      </c>
      <c r="B10326" s="80" t="str">
        <f>A10323</f>
        <v>SUMINISTRO E INSTALACIÓN DE TEJA TERMOACÚSTICA E=2MM PARA CUBIERTAS (INCLUYE TORNILLOS, TUBO CUADRADO, TEJA, HERRAMIENTA MENOR Y MANO DE OBRA)</v>
      </c>
      <c r="C10326" s="81" t="s">
        <v>916</v>
      </c>
      <c r="D10326" s="82" t="s">
        <v>934</v>
      </c>
      <c r="E10326" s="83" t="s">
        <v>445</v>
      </c>
      <c r="F10326" s="234">
        <f>(H10326+J10326+L10326+N10326)*1.3</f>
        <v>177033.98473299775</v>
      </c>
      <c r="G10326" s="83" t="s">
        <v>607</v>
      </c>
      <c r="H10326" s="86">
        <f>M10347</f>
        <v>2495.3616405667412</v>
      </c>
      <c r="I10326" s="83" t="s">
        <v>918</v>
      </c>
      <c r="J10326" s="86">
        <f>M10338</f>
        <v>82314.669999999984</v>
      </c>
      <c r="K10326" s="83" t="s">
        <v>609</v>
      </c>
      <c r="L10326" s="86">
        <f>M10356</f>
        <v>4240.5015820283361</v>
      </c>
      <c r="M10326" s="83" t="s">
        <v>610</v>
      </c>
      <c r="N10326" s="86">
        <f>M10365</f>
        <v>47129.455033557046</v>
      </c>
    </row>
    <row r="10327" spans="1:15" ht="12.75" customHeight="1" x14ac:dyDescent="0.25">
      <c r="A10327" s="87"/>
      <c r="B10327" s="87"/>
      <c r="C10327" s="87"/>
      <c r="D10327" s="87"/>
      <c r="E10327" s="87"/>
      <c r="F10327" s="87"/>
      <c r="G10327" s="87"/>
      <c r="J10327" s="87"/>
      <c r="K10327" s="215" t="s">
        <v>3217</v>
      </c>
      <c r="L10327" s="215">
        <f>+F10326*presup!$O$5</f>
        <v>230144.18015289708</v>
      </c>
      <c r="M10327" s="87"/>
      <c r="N10327" s="87"/>
    </row>
    <row r="10328" spans="1:15" ht="12.75" customHeight="1" x14ac:dyDescent="0.2">
      <c r="A10328" s="398" t="s">
        <v>919</v>
      </c>
      <c r="B10328" s="271"/>
      <c r="C10328" s="271"/>
      <c r="D10328" s="271"/>
      <c r="E10328" s="271"/>
      <c r="F10328" s="271"/>
      <c r="G10328" s="271"/>
      <c r="H10328" s="271"/>
      <c r="I10328" s="271"/>
      <c r="J10328" s="271"/>
      <c r="K10328" s="271"/>
      <c r="L10328" s="271"/>
      <c r="M10328" s="271"/>
      <c r="N10328" s="273"/>
    </row>
    <row r="10329" spans="1:15" ht="12.75" customHeight="1" x14ac:dyDescent="0.2">
      <c r="A10329" s="396" t="s">
        <v>76</v>
      </c>
      <c r="B10329" s="271"/>
      <c r="C10329" s="271"/>
      <c r="D10329" s="271"/>
      <c r="E10329" s="271"/>
      <c r="F10329" s="271"/>
      <c r="G10329" s="273"/>
      <c r="H10329" s="88" t="s">
        <v>77</v>
      </c>
      <c r="I10329" s="399" t="s">
        <v>920</v>
      </c>
      <c r="J10329" s="273"/>
      <c r="K10329" s="399" t="s">
        <v>453</v>
      </c>
      <c r="L10329" s="273"/>
      <c r="M10329" s="399" t="s">
        <v>921</v>
      </c>
      <c r="N10329" s="273"/>
    </row>
    <row r="10330" spans="1:15" ht="12.75" customHeight="1" x14ac:dyDescent="0.2">
      <c r="A10330" s="400" t="s">
        <v>1507</v>
      </c>
      <c r="B10330" s="271"/>
      <c r="C10330" s="271"/>
      <c r="D10330" s="271"/>
      <c r="E10330" s="271"/>
      <c r="F10330" s="271"/>
      <c r="G10330" s="273"/>
      <c r="H10330" s="29" t="str">
        <f t="shared" ref="H10330:H10337" si="1376">IF(A10330="","",VLOOKUP(A10330,AA_Materiales,7,FALSE))</f>
        <v>m2</v>
      </c>
      <c r="I10330" s="394">
        <f t="shared" ref="I10330:I10337" si="1377">IF(A10330="","",VLOOKUP(A10330,AA_Materiales,8,FALSE))</f>
        <v>55166.27</v>
      </c>
      <c r="J10330" s="273"/>
      <c r="K10330" s="395">
        <v>1</v>
      </c>
      <c r="L10330" s="273"/>
      <c r="M10330" s="394">
        <f t="shared" ref="M10330:M10337" si="1378">IF(A10330="","",I10330*K10330)</f>
        <v>55166.27</v>
      </c>
      <c r="N10330" s="273"/>
    </row>
    <row r="10331" spans="1:15" ht="12.75" customHeight="1" x14ac:dyDescent="0.2">
      <c r="A10331" s="400" t="s">
        <v>1508</v>
      </c>
      <c r="B10331" s="271"/>
      <c r="C10331" s="271"/>
      <c r="D10331" s="271"/>
      <c r="E10331" s="271"/>
      <c r="F10331" s="271"/>
      <c r="G10331" s="273"/>
      <c r="H10331" s="29" t="str">
        <f t="shared" si="1376"/>
        <v>Unidad</v>
      </c>
      <c r="I10331" s="394">
        <f t="shared" si="1377"/>
        <v>429</v>
      </c>
      <c r="J10331" s="273"/>
      <c r="K10331" s="401">
        <v>6</v>
      </c>
      <c r="L10331" s="273"/>
      <c r="M10331" s="394">
        <f t="shared" si="1378"/>
        <v>2574</v>
      </c>
      <c r="N10331" s="273"/>
    </row>
    <row r="10332" spans="1:15" ht="12.75" customHeight="1" x14ac:dyDescent="0.2">
      <c r="A10332" s="400" t="s">
        <v>1509</v>
      </c>
      <c r="B10332" s="271"/>
      <c r="C10332" s="271"/>
      <c r="D10332" s="271"/>
      <c r="E10332" s="271"/>
      <c r="F10332" s="271"/>
      <c r="G10332" s="273"/>
      <c r="H10332" s="29" t="str">
        <f t="shared" si="1376"/>
        <v>ml</v>
      </c>
      <c r="I10332" s="394">
        <f t="shared" si="1377"/>
        <v>9325</v>
      </c>
      <c r="J10332" s="273"/>
      <c r="K10332" s="401">
        <v>2</v>
      </c>
      <c r="L10332" s="273"/>
      <c r="M10332" s="394">
        <f t="shared" si="1378"/>
        <v>18650</v>
      </c>
      <c r="N10332" s="273"/>
    </row>
    <row r="10333" spans="1:15" ht="12.75" customHeight="1" x14ac:dyDescent="0.2">
      <c r="A10333" s="400" t="s">
        <v>1510</v>
      </c>
      <c r="B10333" s="271"/>
      <c r="C10333" s="271"/>
      <c r="D10333" s="271"/>
      <c r="E10333" s="271"/>
      <c r="F10333" s="271"/>
      <c r="G10333" s="273"/>
      <c r="H10333" s="29" t="str">
        <f t="shared" si="1376"/>
        <v>Unidad</v>
      </c>
      <c r="I10333" s="394">
        <f t="shared" si="1377"/>
        <v>19748</v>
      </c>
      <c r="J10333" s="273"/>
      <c r="K10333" s="395">
        <v>0.3</v>
      </c>
      <c r="L10333" s="273"/>
      <c r="M10333" s="394">
        <f t="shared" si="1378"/>
        <v>5924.4</v>
      </c>
      <c r="N10333" s="273"/>
    </row>
    <row r="10334" spans="1:15" ht="12.75" customHeight="1" x14ac:dyDescent="0.2">
      <c r="A10334" s="400"/>
      <c r="B10334" s="271"/>
      <c r="C10334" s="271"/>
      <c r="D10334" s="271"/>
      <c r="E10334" s="271"/>
      <c r="F10334" s="271"/>
      <c r="G10334" s="273"/>
      <c r="H10334" s="29" t="str">
        <f t="shared" si="1376"/>
        <v/>
      </c>
      <c r="I10334" s="394" t="str">
        <f t="shared" si="1377"/>
        <v/>
      </c>
      <c r="J10334" s="273"/>
      <c r="K10334" s="395"/>
      <c r="L10334" s="273"/>
      <c r="M10334" s="394" t="str">
        <f t="shared" si="1378"/>
        <v/>
      </c>
      <c r="N10334" s="273"/>
    </row>
    <row r="10335" spans="1:15" ht="12.75" customHeight="1" x14ac:dyDescent="0.2">
      <c r="A10335" s="400"/>
      <c r="B10335" s="271"/>
      <c r="C10335" s="271"/>
      <c r="D10335" s="271"/>
      <c r="E10335" s="271"/>
      <c r="F10335" s="271"/>
      <c r="G10335" s="273"/>
      <c r="H10335" s="29" t="str">
        <f t="shared" si="1376"/>
        <v/>
      </c>
      <c r="I10335" s="394" t="str">
        <f t="shared" si="1377"/>
        <v/>
      </c>
      <c r="J10335" s="273"/>
      <c r="K10335" s="395"/>
      <c r="L10335" s="273"/>
      <c r="M10335" s="394" t="str">
        <f t="shared" si="1378"/>
        <v/>
      </c>
      <c r="N10335" s="273"/>
    </row>
    <row r="10336" spans="1:15" ht="12.75" customHeight="1" x14ac:dyDescent="0.2">
      <c r="A10336" s="400"/>
      <c r="B10336" s="271"/>
      <c r="C10336" s="271"/>
      <c r="D10336" s="271"/>
      <c r="E10336" s="271"/>
      <c r="F10336" s="271"/>
      <c r="G10336" s="273"/>
      <c r="H10336" s="29" t="str">
        <f t="shared" si="1376"/>
        <v/>
      </c>
      <c r="I10336" s="394" t="str">
        <f t="shared" si="1377"/>
        <v/>
      </c>
      <c r="J10336" s="273"/>
      <c r="K10336" s="395"/>
      <c r="L10336" s="273"/>
      <c r="M10336" s="394" t="str">
        <f t="shared" si="1378"/>
        <v/>
      </c>
      <c r="N10336" s="273"/>
    </row>
    <row r="10337" spans="1:14" ht="12.75" customHeight="1" x14ac:dyDescent="0.2">
      <c r="A10337" s="400"/>
      <c r="B10337" s="271"/>
      <c r="C10337" s="271"/>
      <c r="D10337" s="271"/>
      <c r="E10337" s="271"/>
      <c r="F10337" s="271"/>
      <c r="G10337" s="273"/>
      <c r="H10337" s="29" t="str">
        <f t="shared" si="1376"/>
        <v/>
      </c>
      <c r="I10337" s="394" t="str">
        <f t="shared" si="1377"/>
        <v/>
      </c>
      <c r="J10337" s="273"/>
      <c r="K10337" s="395"/>
      <c r="L10337" s="273"/>
      <c r="M10337" s="394" t="str">
        <f t="shared" si="1378"/>
        <v/>
      </c>
      <c r="N10337" s="273"/>
    </row>
    <row r="10338" spans="1:14" ht="12.75" customHeight="1" x14ac:dyDescent="0.25">
      <c r="A10338" s="4"/>
      <c r="B10338" s="4"/>
      <c r="C10338" s="4"/>
      <c r="D10338" s="4"/>
      <c r="E10338" s="4"/>
      <c r="F10338" s="4"/>
      <c r="G10338" s="4"/>
      <c r="H10338" s="4"/>
      <c r="I10338" s="4"/>
      <c r="J10338" s="4"/>
      <c r="K10338" s="396" t="s">
        <v>444</v>
      </c>
      <c r="L10338" s="273"/>
      <c r="M10338" s="394">
        <f>SUM(M10330:N10337)</f>
        <v>82314.669999999984</v>
      </c>
      <c r="N10338" s="273"/>
    </row>
    <row r="10339" spans="1:14" ht="12.75" customHeight="1" x14ac:dyDescent="0.25">
      <c r="A10339" s="4"/>
      <c r="B10339" s="4"/>
      <c r="C10339" s="4"/>
      <c r="D10339" s="4"/>
      <c r="E10339" s="4"/>
      <c r="F10339" s="4"/>
      <c r="G10339" s="4"/>
      <c r="H10339" s="4"/>
      <c r="I10339" s="4"/>
      <c r="J10339" s="4"/>
      <c r="K10339" s="4"/>
      <c r="L10339" s="4"/>
      <c r="M10339" s="4"/>
      <c r="N10339" s="4"/>
    </row>
    <row r="10340" spans="1:14" ht="12.75" customHeight="1" x14ac:dyDescent="0.2">
      <c r="A10340" s="398" t="s">
        <v>926</v>
      </c>
      <c r="B10340" s="271"/>
      <c r="C10340" s="271"/>
      <c r="D10340" s="271"/>
      <c r="E10340" s="271"/>
      <c r="F10340" s="271"/>
      <c r="G10340" s="271"/>
      <c r="H10340" s="271"/>
      <c r="I10340" s="271"/>
      <c r="J10340" s="271"/>
      <c r="K10340" s="271"/>
      <c r="L10340" s="271"/>
      <c r="M10340" s="271"/>
      <c r="N10340" s="273"/>
    </row>
    <row r="10341" spans="1:14" ht="12.75" customHeight="1" x14ac:dyDescent="0.2">
      <c r="A10341" s="396" t="s">
        <v>76</v>
      </c>
      <c r="B10341" s="271"/>
      <c r="C10341" s="271"/>
      <c r="D10341" s="271"/>
      <c r="E10341" s="271"/>
      <c r="F10341" s="271"/>
      <c r="G10341" s="273"/>
      <c r="H10341" s="88" t="s">
        <v>77</v>
      </c>
      <c r="I10341" s="399" t="s">
        <v>920</v>
      </c>
      <c r="J10341" s="273"/>
      <c r="K10341" s="399" t="s">
        <v>453</v>
      </c>
      <c r="L10341" s="273"/>
      <c r="M10341" s="399" t="s">
        <v>921</v>
      </c>
      <c r="N10341" s="273"/>
    </row>
    <row r="10342" spans="1:14" ht="12.75" customHeight="1" x14ac:dyDescent="0.2">
      <c r="A10342" s="400" t="s">
        <v>927</v>
      </c>
      <c r="B10342" s="271"/>
      <c r="C10342" s="271"/>
      <c r="D10342" s="271"/>
      <c r="E10342" s="271"/>
      <c r="F10342" s="271"/>
      <c r="G10342" s="273"/>
      <c r="H10342" s="29" t="str">
        <f>IF(A10342="","",VLOOKUP(A10342,AA_Equipos,7,FALSE))</f>
        <v>% M.O.</v>
      </c>
      <c r="I10342" s="394">
        <f>M10365</f>
        <v>47129.455033557046</v>
      </c>
      <c r="J10342" s="273"/>
      <c r="K10342" s="404">
        <v>0.05</v>
      </c>
      <c r="L10342" s="273"/>
      <c r="M10342" s="394">
        <f t="shared" ref="M10342:M10346" si="1379">IF(A10342="","",I10342*K10342)</f>
        <v>2356.4727516778526</v>
      </c>
      <c r="N10342" s="273"/>
    </row>
    <row r="10343" spans="1:14" ht="12.75" customHeight="1" x14ac:dyDescent="0.2">
      <c r="A10343" s="403" t="s">
        <v>1101</v>
      </c>
      <c r="B10343" s="271"/>
      <c r="C10343" s="271"/>
      <c r="D10343" s="271"/>
      <c r="E10343" s="271"/>
      <c r="F10343" s="271"/>
      <c r="G10343" s="273"/>
      <c r="H10343" s="29" t="str">
        <f>IF(A10343="","",VLOOKUP(A10343,AA_Equipos,7,FALSE))</f>
        <v>Dia</v>
      </c>
      <c r="I10343" s="394">
        <f>IF(A10343="","",VLOOKUP(A10343,AA_Equipos,8,FALSE))</f>
        <v>2500</v>
      </c>
      <c r="J10343" s="273"/>
      <c r="K10343" s="402">
        <f>1/18</f>
        <v>5.5555555555555552E-2</v>
      </c>
      <c r="L10343" s="273"/>
      <c r="M10343" s="394">
        <f t="shared" si="1379"/>
        <v>138.88888888888889</v>
      </c>
      <c r="N10343" s="273"/>
    </row>
    <row r="10344" spans="1:14" ht="12.75" customHeight="1" x14ac:dyDescent="0.2">
      <c r="A10344" s="400"/>
      <c r="B10344" s="271"/>
      <c r="C10344" s="271"/>
      <c r="D10344" s="271"/>
      <c r="E10344" s="271"/>
      <c r="F10344" s="271"/>
      <c r="G10344" s="273"/>
      <c r="H10344" s="29" t="str">
        <f>IF(A10344="","",VLOOKUP(A10344,AA_Equipos,7,FALSE))</f>
        <v/>
      </c>
      <c r="I10344" s="394" t="str">
        <f>IF(A10344="","",VLOOKUP(A10344,AA_Equipos,8,FALSE))</f>
        <v/>
      </c>
      <c r="J10344" s="273"/>
      <c r="K10344" s="401"/>
      <c r="L10344" s="273"/>
      <c r="M10344" s="394" t="str">
        <f t="shared" si="1379"/>
        <v/>
      </c>
      <c r="N10344" s="273"/>
    </row>
    <row r="10345" spans="1:14" ht="12.75" customHeight="1" x14ac:dyDescent="0.2">
      <c r="A10345" s="400"/>
      <c r="B10345" s="271"/>
      <c r="C10345" s="271"/>
      <c r="D10345" s="271"/>
      <c r="E10345" s="271"/>
      <c r="F10345" s="271"/>
      <c r="G10345" s="273"/>
      <c r="H10345" s="29" t="str">
        <f>IF(A10345="","",VLOOKUP(A10345,AA_Equipos,7,FALSE))</f>
        <v/>
      </c>
      <c r="I10345" s="394" t="str">
        <f>IF(A10345="","",VLOOKUP(A10345,AA_Equipos,8,FALSE))</f>
        <v/>
      </c>
      <c r="J10345" s="273"/>
      <c r="K10345" s="395"/>
      <c r="L10345" s="273"/>
      <c r="M10345" s="394" t="str">
        <f t="shared" si="1379"/>
        <v/>
      </c>
      <c r="N10345" s="273"/>
    </row>
    <row r="10346" spans="1:14" ht="12.75" customHeight="1" x14ac:dyDescent="0.2">
      <c r="A10346" s="400"/>
      <c r="B10346" s="271"/>
      <c r="C10346" s="271"/>
      <c r="D10346" s="271"/>
      <c r="E10346" s="271"/>
      <c r="F10346" s="271"/>
      <c r="G10346" s="273"/>
      <c r="H10346" s="29" t="str">
        <f>IF(A10346="","",VLOOKUP(A10346,AA_Equipos,7,FALSE))</f>
        <v/>
      </c>
      <c r="I10346" s="394" t="str">
        <f>IF(A10346="","",VLOOKUP(A10346,AA_Equipos,8,FALSE))</f>
        <v/>
      </c>
      <c r="J10346" s="273"/>
      <c r="K10346" s="395"/>
      <c r="L10346" s="273"/>
      <c r="M10346" s="394" t="str">
        <f t="shared" si="1379"/>
        <v/>
      </c>
      <c r="N10346" s="273"/>
    </row>
    <row r="10347" spans="1:14" ht="12.75" customHeight="1" x14ac:dyDescent="0.25">
      <c r="A10347" s="4"/>
      <c r="B10347" s="4"/>
      <c r="C10347" s="4"/>
      <c r="D10347" s="4"/>
      <c r="E10347" s="4"/>
      <c r="F10347" s="4"/>
      <c r="G10347" s="4"/>
      <c r="H10347" s="4"/>
      <c r="I10347" s="4"/>
      <c r="J10347" s="4"/>
      <c r="K10347" s="396" t="s">
        <v>444</v>
      </c>
      <c r="L10347" s="273"/>
      <c r="M10347" s="394">
        <f>SUM(M10342:N10346)</f>
        <v>2495.3616405667412</v>
      </c>
      <c r="N10347" s="273"/>
    </row>
    <row r="10348" spans="1:14" ht="12.75" customHeight="1" x14ac:dyDescent="0.25">
      <c r="A10348" s="4"/>
      <c r="B10348" s="4"/>
      <c r="C10348" s="4"/>
      <c r="D10348" s="4"/>
      <c r="E10348" s="4"/>
      <c r="F10348" s="4"/>
      <c r="G10348" s="4"/>
      <c r="H10348" s="4"/>
      <c r="I10348" s="4"/>
      <c r="J10348" s="4"/>
      <c r="K10348" s="4"/>
      <c r="L10348" s="4"/>
      <c r="M10348" s="4"/>
      <c r="N10348" s="4"/>
    </row>
    <row r="10349" spans="1:14" ht="12.75" customHeight="1" x14ac:dyDescent="0.2">
      <c r="A10349" s="398" t="s">
        <v>929</v>
      </c>
      <c r="B10349" s="271"/>
      <c r="C10349" s="271"/>
      <c r="D10349" s="271"/>
      <c r="E10349" s="271"/>
      <c r="F10349" s="271"/>
      <c r="G10349" s="271"/>
      <c r="H10349" s="271"/>
      <c r="I10349" s="271"/>
      <c r="J10349" s="271"/>
      <c r="K10349" s="271"/>
      <c r="L10349" s="271"/>
      <c r="M10349" s="271"/>
      <c r="N10349" s="273"/>
    </row>
    <row r="10350" spans="1:14" ht="12.75" customHeight="1" x14ac:dyDescent="0.2">
      <c r="A10350" s="396" t="s">
        <v>76</v>
      </c>
      <c r="B10350" s="271"/>
      <c r="C10350" s="271"/>
      <c r="D10350" s="271"/>
      <c r="E10350" s="271"/>
      <c r="F10350" s="271"/>
      <c r="G10350" s="273"/>
      <c r="H10350" s="88" t="s">
        <v>77</v>
      </c>
      <c r="I10350" s="399" t="s">
        <v>920</v>
      </c>
      <c r="J10350" s="273"/>
      <c r="K10350" s="399" t="s">
        <v>453</v>
      </c>
      <c r="L10350" s="273"/>
      <c r="M10350" s="399" t="s">
        <v>921</v>
      </c>
      <c r="N10350" s="273"/>
    </row>
    <row r="10351" spans="1:14" ht="12.75" customHeight="1" x14ac:dyDescent="0.2">
      <c r="A10351" s="400" t="s">
        <v>965</v>
      </c>
      <c r="B10351" s="271"/>
      <c r="C10351" s="271"/>
      <c r="D10351" s="271"/>
      <c r="E10351" s="271"/>
      <c r="F10351" s="271"/>
      <c r="G10351" s="273"/>
      <c r="H10351" s="29" t="s">
        <v>959</v>
      </c>
      <c r="I10351" s="394">
        <f>+M10347</f>
        <v>2495.3616405667412</v>
      </c>
      <c r="J10351" s="273"/>
      <c r="K10351" s="404">
        <v>0.05</v>
      </c>
      <c r="L10351" s="273"/>
      <c r="M10351" s="394">
        <f t="shared" ref="M10351:M10355" si="1380">IF(A10351="","",I10351*K10351)</f>
        <v>124.76808202833706</v>
      </c>
      <c r="N10351" s="273"/>
    </row>
    <row r="10352" spans="1:14" ht="12.75" customHeight="1" x14ac:dyDescent="0.2">
      <c r="A10352" s="403" t="s">
        <v>966</v>
      </c>
      <c r="B10352" s="271"/>
      <c r="C10352" s="271"/>
      <c r="D10352" s="271"/>
      <c r="E10352" s="271"/>
      <c r="F10352" s="271"/>
      <c r="G10352" s="273"/>
      <c r="H10352" s="29" t="s">
        <v>950</v>
      </c>
      <c r="I10352" s="394">
        <f>+M10338</f>
        <v>82314.669999999984</v>
      </c>
      <c r="J10352" s="273"/>
      <c r="K10352" s="404">
        <v>0.05</v>
      </c>
      <c r="L10352" s="273"/>
      <c r="M10352" s="394">
        <f t="shared" si="1380"/>
        <v>4115.7334999999994</v>
      </c>
      <c r="N10352" s="273"/>
    </row>
    <row r="10353" spans="1:14" ht="12.75" customHeight="1" x14ac:dyDescent="0.2">
      <c r="A10353" s="400"/>
      <c r="B10353" s="271"/>
      <c r="C10353" s="271"/>
      <c r="D10353" s="271"/>
      <c r="E10353" s="271"/>
      <c r="F10353" s="271"/>
      <c r="G10353" s="273"/>
      <c r="H10353" s="29"/>
      <c r="I10353" s="394"/>
      <c r="J10353" s="273"/>
      <c r="K10353" s="395"/>
      <c r="L10353" s="273"/>
      <c r="M10353" s="394" t="str">
        <f t="shared" si="1380"/>
        <v/>
      </c>
      <c r="N10353" s="273"/>
    </row>
    <row r="10354" spans="1:14" ht="12.75" customHeight="1" x14ac:dyDescent="0.2">
      <c r="A10354" s="400"/>
      <c r="B10354" s="271"/>
      <c r="C10354" s="271"/>
      <c r="D10354" s="271"/>
      <c r="E10354" s="271"/>
      <c r="F10354" s="271"/>
      <c r="G10354" s="273"/>
      <c r="H10354" s="29"/>
      <c r="I10354" s="394"/>
      <c r="J10354" s="273"/>
      <c r="K10354" s="395"/>
      <c r="L10354" s="273"/>
      <c r="M10354" s="394" t="str">
        <f t="shared" si="1380"/>
        <v/>
      </c>
      <c r="N10354" s="273"/>
    </row>
    <row r="10355" spans="1:14" ht="12.75" customHeight="1" x14ac:dyDescent="0.2">
      <c r="A10355" s="400"/>
      <c r="B10355" s="271"/>
      <c r="C10355" s="271"/>
      <c r="D10355" s="271"/>
      <c r="E10355" s="271"/>
      <c r="F10355" s="271"/>
      <c r="G10355" s="273"/>
      <c r="H10355" s="29"/>
      <c r="I10355" s="394"/>
      <c r="J10355" s="273"/>
      <c r="K10355" s="395"/>
      <c r="L10355" s="273"/>
      <c r="M10355" s="394" t="str">
        <f t="shared" si="1380"/>
        <v/>
      </c>
      <c r="N10355" s="273"/>
    </row>
    <row r="10356" spans="1:14" ht="12.75" customHeight="1" x14ac:dyDescent="0.25">
      <c r="A10356" s="4"/>
      <c r="B10356" s="4"/>
      <c r="C10356" s="4"/>
      <c r="D10356" s="4"/>
      <c r="E10356" s="4"/>
      <c r="F10356" s="4"/>
      <c r="G10356" s="4"/>
      <c r="H10356" s="4"/>
      <c r="I10356" s="4"/>
      <c r="J10356" s="4"/>
      <c r="K10356" s="396" t="s">
        <v>444</v>
      </c>
      <c r="L10356" s="273"/>
      <c r="M10356" s="394">
        <f>SUM(M10351:N10355)</f>
        <v>4240.5015820283361</v>
      </c>
      <c r="N10356" s="273"/>
    </row>
    <row r="10357" spans="1:14" ht="12.75" customHeight="1" x14ac:dyDescent="0.25">
      <c r="A10357" s="4"/>
      <c r="B10357" s="4"/>
      <c r="C10357" s="4"/>
      <c r="D10357" s="4"/>
      <c r="E10357" s="4"/>
      <c r="F10357" s="4"/>
      <c r="G10357" s="4"/>
      <c r="H10357" s="4"/>
      <c r="I10357" s="4"/>
      <c r="J10357" s="4"/>
      <c r="K10357" s="94"/>
      <c r="L10357" s="95"/>
      <c r="M10357" s="89"/>
      <c r="N10357" s="96"/>
    </row>
    <row r="10358" spans="1:14" ht="12.75" customHeight="1" x14ac:dyDescent="0.2">
      <c r="A10358" s="398" t="s">
        <v>931</v>
      </c>
      <c r="B10358" s="271"/>
      <c r="C10358" s="271"/>
      <c r="D10358" s="271"/>
      <c r="E10358" s="271"/>
      <c r="F10358" s="271"/>
      <c r="G10358" s="271"/>
      <c r="H10358" s="271"/>
      <c r="I10358" s="271"/>
      <c r="J10358" s="271"/>
      <c r="K10358" s="271"/>
      <c r="L10358" s="271"/>
      <c r="M10358" s="271"/>
      <c r="N10358" s="273"/>
    </row>
    <row r="10359" spans="1:14" ht="12.75" customHeight="1" x14ac:dyDescent="0.2">
      <c r="A10359" s="396" t="s">
        <v>76</v>
      </c>
      <c r="B10359" s="271"/>
      <c r="C10359" s="271"/>
      <c r="D10359" s="271"/>
      <c r="E10359" s="271"/>
      <c r="F10359" s="271"/>
      <c r="G10359" s="273"/>
      <c r="H10359" s="88" t="s">
        <v>77</v>
      </c>
      <c r="I10359" s="399" t="s">
        <v>920</v>
      </c>
      <c r="J10359" s="273"/>
      <c r="K10359" s="90" t="s">
        <v>514</v>
      </c>
      <c r="L10359" s="91" t="s">
        <v>932</v>
      </c>
      <c r="M10359" s="399" t="s">
        <v>921</v>
      </c>
      <c r="N10359" s="273"/>
    </row>
    <row r="10360" spans="1:14" ht="12.75" customHeight="1" x14ac:dyDescent="0.25">
      <c r="A10360" s="393" t="s">
        <v>951</v>
      </c>
      <c r="B10360" s="271"/>
      <c r="C10360" s="271"/>
      <c r="D10360" s="271"/>
      <c r="E10360" s="271"/>
      <c r="F10360" s="271"/>
      <c r="G10360" s="273"/>
      <c r="H10360" s="29" t="str">
        <f>IF(A10360="","",VLOOKUP(A10360,AA_Cuadrillas,4,FALSE))</f>
        <v>Cuadrilla</v>
      </c>
      <c r="I10360" s="394">
        <f>IF(A10360="","",VLOOKUP(A10360,AA_Cuadrillas,5,FALSE))</f>
        <v>186763</v>
      </c>
      <c r="J10360" s="273"/>
      <c r="K10360" s="9">
        <f>IF(A10360="","",F.P!$I$2)</f>
        <v>1.88</v>
      </c>
      <c r="L10360" s="93">
        <f>1/7.45</f>
        <v>0.13422818791946309</v>
      </c>
      <c r="M10360" s="394">
        <f t="shared" ref="M10360:M10364" si="1381">IF(A10360="","",I10360*K10360*L10360)</f>
        <v>47129.455033557046</v>
      </c>
      <c r="N10360" s="273"/>
    </row>
    <row r="10361" spans="1:14" ht="12.75" customHeight="1" x14ac:dyDescent="0.25">
      <c r="A10361" s="393"/>
      <c r="B10361" s="271"/>
      <c r="C10361" s="271"/>
      <c r="D10361" s="271"/>
      <c r="E10361" s="271"/>
      <c r="F10361" s="271"/>
      <c r="G10361" s="273"/>
      <c r="H10361" s="29" t="str">
        <f>IF(A10361="","",VLOOKUP(A10361,AA_Cuadrillas,4,FALSE))</f>
        <v/>
      </c>
      <c r="I10361" s="394" t="str">
        <f>IF(A10361="","",VLOOKUP(A10361,AA_Cuadrillas,5,FALSE))</f>
        <v/>
      </c>
      <c r="J10361" s="273"/>
      <c r="K10361" s="9" t="str">
        <f>IF(A10361="","",F.P!$I$2)</f>
        <v/>
      </c>
      <c r="L10361" s="9"/>
      <c r="M10361" s="394" t="str">
        <f t="shared" si="1381"/>
        <v/>
      </c>
      <c r="N10361" s="273"/>
    </row>
    <row r="10362" spans="1:14" ht="12.75" customHeight="1" x14ac:dyDescent="0.25">
      <c r="A10362" s="393"/>
      <c r="B10362" s="271"/>
      <c r="C10362" s="271"/>
      <c r="D10362" s="271"/>
      <c r="E10362" s="271"/>
      <c r="F10362" s="271"/>
      <c r="G10362" s="273"/>
      <c r="H10362" s="29" t="str">
        <f>IF(A10362="","",VLOOKUP(A10362,AA_Cuadrillas,4,FALSE))</f>
        <v/>
      </c>
      <c r="I10362" s="394" t="str">
        <f>IF(A10362="","",VLOOKUP(A10362,AA_Cuadrillas,5,FALSE))</f>
        <v/>
      </c>
      <c r="J10362" s="273"/>
      <c r="K10362" s="9" t="str">
        <f>IF(A10362="","",F.P!$I$2)</f>
        <v/>
      </c>
      <c r="L10362" s="37"/>
      <c r="M10362" s="394" t="str">
        <f t="shared" si="1381"/>
        <v/>
      </c>
      <c r="N10362" s="273"/>
    </row>
    <row r="10363" spans="1:14" ht="12.75" customHeight="1" x14ac:dyDescent="0.25">
      <c r="A10363" s="393"/>
      <c r="B10363" s="271"/>
      <c r="C10363" s="271"/>
      <c r="D10363" s="271"/>
      <c r="E10363" s="271"/>
      <c r="F10363" s="271"/>
      <c r="G10363" s="273"/>
      <c r="H10363" s="29" t="str">
        <f>IF(A10363="","",VLOOKUP(A10363,AA_Cuadrillas,4,FALSE))</f>
        <v/>
      </c>
      <c r="I10363" s="394" t="str">
        <f>IF(A10363="","",VLOOKUP(A10363,AA_Cuadrillas,5,FALSE))</f>
        <v/>
      </c>
      <c r="J10363" s="273"/>
      <c r="K10363" s="9" t="str">
        <f>IF(A10363="","",F.P!$I$2)</f>
        <v/>
      </c>
      <c r="L10363" s="37"/>
      <c r="M10363" s="394" t="str">
        <f t="shared" si="1381"/>
        <v/>
      </c>
      <c r="N10363" s="273"/>
    </row>
    <row r="10364" spans="1:14" ht="12.75" customHeight="1" x14ac:dyDescent="0.25">
      <c r="A10364" s="393"/>
      <c r="B10364" s="271"/>
      <c r="C10364" s="271"/>
      <c r="D10364" s="271"/>
      <c r="E10364" s="271"/>
      <c r="F10364" s="271"/>
      <c r="G10364" s="273"/>
      <c r="H10364" s="29" t="str">
        <f>IF(A10364="","",VLOOKUP(A10364,AA_Cuadrillas,4,FALSE))</f>
        <v/>
      </c>
      <c r="I10364" s="394" t="str">
        <f>IF(A10364="","",VLOOKUP(A10364,AA_Cuadrillas,5,FALSE))</f>
        <v/>
      </c>
      <c r="J10364" s="273"/>
      <c r="K10364" s="9" t="str">
        <f>IF(A10364="","",F.P!$I$2)</f>
        <v/>
      </c>
      <c r="L10364" s="37"/>
      <c r="M10364" s="394" t="str">
        <f t="shared" si="1381"/>
        <v/>
      </c>
      <c r="N10364" s="273"/>
    </row>
    <row r="10365" spans="1:14" ht="12.75" customHeight="1" x14ac:dyDescent="0.25">
      <c r="A10365" s="4"/>
      <c r="B10365" s="4"/>
      <c r="C10365" s="4"/>
      <c r="D10365" s="4"/>
      <c r="E10365" s="4"/>
      <c r="F10365" s="4"/>
      <c r="G10365" s="4"/>
      <c r="H10365" s="4"/>
      <c r="I10365" s="4"/>
      <c r="J10365" s="4"/>
      <c r="K10365" s="396" t="s">
        <v>444</v>
      </c>
      <c r="L10365" s="273"/>
      <c r="M10365" s="394">
        <f>SUM(M10360:N10364)</f>
        <v>47129.455033557046</v>
      </c>
      <c r="N10365" s="273"/>
    </row>
    <row r="10366" spans="1:14" ht="12.75" customHeight="1" x14ac:dyDescent="0.2"/>
    <row r="10367" spans="1:14" ht="12.75" customHeight="1" x14ac:dyDescent="0.2">
      <c r="A10367" s="397" t="s">
        <v>266</v>
      </c>
      <c r="B10367" s="275"/>
      <c r="C10367" s="275"/>
      <c r="D10367" s="275"/>
      <c r="E10367" s="275"/>
      <c r="F10367" s="275"/>
      <c r="G10367" s="275"/>
      <c r="H10367" s="275"/>
      <c r="I10367" s="275"/>
      <c r="J10367" s="275"/>
      <c r="K10367" s="275"/>
      <c r="L10367" s="275"/>
      <c r="M10367" s="275"/>
      <c r="N10367" s="276"/>
    </row>
    <row r="10368" spans="1:14" ht="12.75" customHeight="1" x14ac:dyDescent="0.2">
      <c r="A10368" s="277"/>
      <c r="B10368" s="278"/>
      <c r="C10368" s="278"/>
      <c r="D10368" s="278"/>
      <c r="E10368" s="278"/>
      <c r="F10368" s="278"/>
      <c r="G10368" s="278"/>
      <c r="H10368" s="278"/>
      <c r="I10368" s="278"/>
      <c r="J10368" s="278"/>
      <c r="K10368" s="278"/>
      <c r="L10368" s="278"/>
      <c r="M10368" s="278"/>
      <c r="N10368" s="279"/>
    </row>
    <row r="10369" spans="1:14" ht="12.75" customHeight="1" x14ac:dyDescent="0.2">
      <c r="A10369" s="75"/>
      <c r="B10369" s="75"/>
      <c r="C10369" s="75"/>
      <c r="D10369" s="75"/>
      <c r="E10369" s="75"/>
      <c r="F10369" s="75"/>
      <c r="G10369" s="75"/>
      <c r="H10369" s="75"/>
      <c r="I10369" s="75"/>
      <c r="J10369" s="75"/>
      <c r="K10369" s="75"/>
      <c r="L10369" s="75"/>
      <c r="M10369" s="75"/>
      <c r="N10369" s="75"/>
    </row>
    <row r="10370" spans="1:14" ht="12.75" customHeight="1" x14ac:dyDescent="0.3">
      <c r="A10370" s="79" t="s">
        <v>842</v>
      </c>
      <c r="B10370" s="80" t="str">
        <f>A10367</f>
        <v>CERCHA METÁLICA PARA CUBIERTA EN ÁNGULO 1x1/8" DE 12 M (INCLUYE SOLDADURA, PINTURA, PLATINAS, HERRAMIENTAS, EQUIPO, Y MANO DE OBRA)</v>
      </c>
      <c r="C10370" s="81" t="s">
        <v>916</v>
      </c>
      <c r="D10370" s="82" t="s">
        <v>999</v>
      </c>
      <c r="E10370" s="83" t="s">
        <v>445</v>
      </c>
      <c r="F10370" s="86">
        <f>H10370+J10370+L10370+N10370</f>
        <v>5462614.7750067124</v>
      </c>
      <c r="G10370" s="83" t="s">
        <v>607</v>
      </c>
      <c r="H10370" s="86">
        <f>M10391</f>
        <v>3240.148456375839</v>
      </c>
      <c r="I10370" s="83" t="s">
        <v>918</v>
      </c>
      <c r="J10370" s="86">
        <f>M10382</f>
        <v>5137533</v>
      </c>
      <c r="K10370" s="83" t="s">
        <v>609</v>
      </c>
      <c r="L10370" s="86">
        <f>M10400</f>
        <v>257038.65742281883</v>
      </c>
      <c r="M10370" s="83" t="s">
        <v>610</v>
      </c>
      <c r="N10370" s="86">
        <f>M10409</f>
        <v>64802.969127516779</v>
      </c>
    </row>
    <row r="10371" spans="1:14" ht="12.75" customHeight="1" x14ac:dyDescent="0.25">
      <c r="A10371" s="87"/>
      <c r="B10371" s="87"/>
      <c r="C10371" s="87"/>
      <c r="D10371" s="87"/>
      <c r="E10371" s="87"/>
      <c r="F10371" s="87"/>
      <c r="G10371" s="87"/>
      <c r="J10371" s="87"/>
      <c r="K10371" s="215" t="s">
        <v>3217</v>
      </c>
      <c r="L10371" s="215">
        <f>+F10370*presup!$O$5</f>
        <v>7101399.207508726</v>
      </c>
      <c r="M10371" s="87"/>
      <c r="N10371" s="87"/>
    </row>
    <row r="10372" spans="1:14" ht="12.75" customHeight="1" x14ac:dyDescent="0.2">
      <c r="A10372" s="398" t="s">
        <v>919</v>
      </c>
      <c r="B10372" s="271"/>
      <c r="C10372" s="271"/>
      <c r="D10372" s="271"/>
      <c r="E10372" s="271"/>
      <c r="F10372" s="271"/>
      <c r="G10372" s="271"/>
      <c r="H10372" s="271"/>
      <c r="I10372" s="271"/>
      <c r="J10372" s="271"/>
      <c r="K10372" s="271"/>
      <c r="L10372" s="271"/>
      <c r="M10372" s="271"/>
      <c r="N10372" s="273"/>
    </row>
    <row r="10373" spans="1:14" ht="12.75" customHeight="1" x14ac:dyDescent="0.2">
      <c r="A10373" s="396" t="s">
        <v>76</v>
      </c>
      <c r="B10373" s="271"/>
      <c r="C10373" s="271"/>
      <c r="D10373" s="271"/>
      <c r="E10373" s="271"/>
      <c r="F10373" s="271"/>
      <c r="G10373" s="273"/>
      <c r="H10373" s="88" t="s">
        <v>77</v>
      </c>
      <c r="I10373" s="399" t="s">
        <v>920</v>
      </c>
      <c r="J10373" s="273"/>
      <c r="K10373" s="399" t="s">
        <v>453</v>
      </c>
      <c r="L10373" s="273"/>
      <c r="M10373" s="399" t="s">
        <v>921</v>
      </c>
      <c r="N10373" s="273"/>
    </row>
    <row r="10374" spans="1:14" ht="12.75" customHeight="1" x14ac:dyDescent="0.2">
      <c r="A10374" s="400" t="s">
        <v>1511</v>
      </c>
      <c r="B10374" s="271"/>
      <c r="C10374" s="271"/>
      <c r="D10374" s="271"/>
      <c r="E10374" s="271"/>
      <c r="F10374" s="271"/>
      <c r="G10374" s="273"/>
      <c r="H10374" s="29" t="str">
        <f t="shared" ref="H10374:H10381" si="1382">IF(A10374="","",VLOOKUP(A10374,AA_Materiales,7,FALSE))</f>
        <v>ml</v>
      </c>
      <c r="I10374" s="394">
        <f t="shared" ref="I10374:I10381" si="1383">IF(A10374="","",VLOOKUP(A10374,AA_Materiales,8,FALSE))</f>
        <v>7558.33</v>
      </c>
      <c r="J10374" s="273"/>
      <c r="K10374" s="395">
        <v>100</v>
      </c>
      <c r="L10374" s="273"/>
      <c r="M10374" s="394">
        <f t="shared" ref="M10374:M10381" si="1384">IF(A10374="","",I10374*K10374)</f>
        <v>755833</v>
      </c>
      <c r="N10374" s="273"/>
    </row>
    <row r="10375" spans="1:14" ht="12.75" customHeight="1" x14ac:dyDescent="0.2">
      <c r="A10375" s="400" t="s">
        <v>1512</v>
      </c>
      <c r="B10375" s="271"/>
      <c r="C10375" s="271"/>
      <c r="D10375" s="271"/>
      <c r="E10375" s="271"/>
      <c r="F10375" s="271"/>
      <c r="G10375" s="273"/>
      <c r="H10375" s="29" t="str">
        <f t="shared" si="1382"/>
        <v>Kg</v>
      </c>
      <c r="I10375" s="394">
        <f t="shared" si="1383"/>
        <v>23400</v>
      </c>
      <c r="J10375" s="273"/>
      <c r="K10375" s="401">
        <v>2</v>
      </c>
      <c r="L10375" s="273"/>
      <c r="M10375" s="394">
        <f t="shared" si="1384"/>
        <v>46800</v>
      </c>
      <c r="N10375" s="273"/>
    </row>
    <row r="10376" spans="1:14" ht="12.75" customHeight="1" x14ac:dyDescent="0.2">
      <c r="A10376" s="400" t="s">
        <v>995</v>
      </c>
      <c r="B10376" s="271"/>
      <c r="C10376" s="271"/>
      <c r="D10376" s="271"/>
      <c r="E10376" s="271"/>
      <c r="F10376" s="271"/>
      <c r="G10376" s="273"/>
      <c r="H10376" s="29" t="str">
        <f t="shared" si="1382"/>
        <v>Galón</v>
      </c>
      <c r="I10376" s="394">
        <f t="shared" si="1383"/>
        <v>95900</v>
      </c>
      <c r="J10376" s="273"/>
      <c r="K10376" s="401">
        <v>1</v>
      </c>
      <c r="L10376" s="273"/>
      <c r="M10376" s="394">
        <f t="shared" si="1384"/>
        <v>95900</v>
      </c>
      <c r="N10376" s="273"/>
    </row>
    <row r="10377" spans="1:14" ht="12.75" customHeight="1" x14ac:dyDescent="0.2">
      <c r="A10377" s="400" t="s">
        <v>991</v>
      </c>
      <c r="B10377" s="271"/>
      <c r="C10377" s="271"/>
      <c r="D10377" s="271"/>
      <c r="E10377" s="271"/>
      <c r="F10377" s="271"/>
      <c r="G10377" s="273"/>
      <c r="H10377" s="29" t="str">
        <f t="shared" si="1382"/>
        <v>Unidad</v>
      </c>
      <c r="I10377" s="394">
        <f t="shared" si="1383"/>
        <v>23550</v>
      </c>
      <c r="J10377" s="273"/>
      <c r="K10377" s="395">
        <v>180</v>
      </c>
      <c r="L10377" s="273"/>
      <c r="M10377" s="394">
        <f t="shared" si="1384"/>
        <v>4239000</v>
      </c>
      <c r="N10377" s="273"/>
    </row>
    <row r="10378" spans="1:14" ht="12.75" customHeight="1" x14ac:dyDescent="0.2">
      <c r="A10378" s="400"/>
      <c r="B10378" s="271"/>
      <c r="C10378" s="271"/>
      <c r="D10378" s="271"/>
      <c r="E10378" s="271"/>
      <c r="F10378" s="271"/>
      <c r="G10378" s="273"/>
      <c r="H10378" s="29" t="str">
        <f t="shared" si="1382"/>
        <v/>
      </c>
      <c r="I10378" s="394" t="str">
        <f t="shared" si="1383"/>
        <v/>
      </c>
      <c r="J10378" s="273"/>
      <c r="K10378" s="395"/>
      <c r="L10378" s="273"/>
      <c r="M10378" s="394" t="str">
        <f t="shared" si="1384"/>
        <v/>
      </c>
      <c r="N10378" s="273"/>
    </row>
    <row r="10379" spans="1:14" ht="12.75" customHeight="1" x14ac:dyDescent="0.2">
      <c r="A10379" s="400"/>
      <c r="B10379" s="271"/>
      <c r="C10379" s="271"/>
      <c r="D10379" s="271"/>
      <c r="E10379" s="271"/>
      <c r="F10379" s="271"/>
      <c r="G10379" s="273"/>
      <c r="H10379" s="29" t="str">
        <f t="shared" si="1382"/>
        <v/>
      </c>
      <c r="I10379" s="394" t="str">
        <f t="shared" si="1383"/>
        <v/>
      </c>
      <c r="J10379" s="273"/>
      <c r="K10379" s="395"/>
      <c r="L10379" s="273"/>
      <c r="M10379" s="394" t="str">
        <f t="shared" si="1384"/>
        <v/>
      </c>
      <c r="N10379" s="273"/>
    </row>
    <row r="10380" spans="1:14" ht="12.75" customHeight="1" x14ac:dyDescent="0.2">
      <c r="A10380" s="400"/>
      <c r="B10380" s="271"/>
      <c r="C10380" s="271"/>
      <c r="D10380" s="271"/>
      <c r="E10380" s="271"/>
      <c r="F10380" s="271"/>
      <c r="G10380" s="273"/>
      <c r="H10380" s="29" t="str">
        <f t="shared" si="1382"/>
        <v/>
      </c>
      <c r="I10380" s="394" t="str">
        <f t="shared" si="1383"/>
        <v/>
      </c>
      <c r="J10380" s="273"/>
      <c r="K10380" s="395"/>
      <c r="L10380" s="273"/>
      <c r="M10380" s="394" t="str">
        <f t="shared" si="1384"/>
        <v/>
      </c>
      <c r="N10380" s="273"/>
    </row>
    <row r="10381" spans="1:14" ht="12.75" customHeight="1" x14ac:dyDescent="0.2">
      <c r="A10381" s="400"/>
      <c r="B10381" s="271"/>
      <c r="C10381" s="271"/>
      <c r="D10381" s="271"/>
      <c r="E10381" s="271"/>
      <c r="F10381" s="271"/>
      <c r="G10381" s="273"/>
      <c r="H10381" s="29" t="str">
        <f t="shared" si="1382"/>
        <v/>
      </c>
      <c r="I10381" s="394" t="str">
        <f t="shared" si="1383"/>
        <v/>
      </c>
      <c r="J10381" s="273"/>
      <c r="K10381" s="395"/>
      <c r="L10381" s="273"/>
      <c r="M10381" s="394" t="str">
        <f t="shared" si="1384"/>
        <v/>
      </c>
      <c r="N10381" s="273"/>
    </row>
    <row r="10382" spans="1:14" ht="12.75" customHeight="1" x14ac:dyDescent="0.25">
      <c r="A10382" s="4"/>
      <c r="B10382" s="4"/>
      <c r="C10382" s="4"/>
      <c r="D10382" s="4"/>
      <c r="E10382" s="4"/>
      <c r="F10382" s="4"/>
      <c r="G10382" s="4"/>
      <c r="H10382" s="4"/>
      <c r="I10382" s="4"/>
      <c r="J10382" s="4"/>
      <c r="K10382" s="396" t="s">
        <v>444</v>
      </c>
      <c r="L10382" s="273"/>
      <c r="M10382" s="394">
        <f>SUM(M10374:N10381)</f>
        <v>5137533</v>
      </c>
      <c r="N10382" s="273"/>
    </row>
    <row r="10383" spans="1:14" ht="12.75" customHeight="1" x14ac:dyDescent="0.25">
      <c r="A10383" s="4"/>
      <c r="B10383" s="4"/>
      <c r="C10383" s="4"/>
      <c r="D10383" s="4"/>
      <c r="E10383" s="4"/>
      <c r="F10383" s="4"/>
      <c r="G10383" s="4"/>
      <c r="H10383" s="4"/>
      <c r="I10383" s="4"/>
      <c r="J10383" s="4"/>
      <c r="K10383" s="4"/>
      <c r="L10383" s="4"/>
      <c r="M10383" s="4"/>
      <c r="N10383" s="4"/>
    </row>
    <row r="10384" spans="1:14" ht="12.75" customHeight="1" x14ac:dyDescent="0.2">
      <c r="A10384" s="398" t="s">
        <v>926</v>
      </c>
      <c r="B10384" s="271"/>
      <c r="C10384" s="271"/>
      <c r="D10384" s="271"/>
      <c r="E10384" s="271"/>
      <c r="F10384" s="271"/>
      <c r="G10384" s="271"/>
      <c r="H10384" s="271"/>
      <c r="I10384" s="271"/>
      <c r="J10384" s="271"/>
      <c r="K10384" s="271"/>
      <c r="L10384" s="271"/>
      <c r="M10384" s="271"/>
      <c r="N10384" s="273"/>
    </row>
    <row r="10385" spans="1:14" ht="12.75" customHeight="1" x14ac:dyDescent="0.2">
      <c r="A10385" s="396" t="s">
        <v>76</v>
      </c>
      <c r="B10385" s="271"/>
      <c r="C10385" s="271"/>
      <c r="D10385" s="271"/>
      <c r="E10385" s="271"/>
      <c r="F10385" s="271"/>
      <c r="G10385" s="273"/>
      <c r="H10385" s="88" t="s">
        <v>77</v>
      </c>
      <c r="I10385" s="399" t="s">
        <v>920</v>
      </c>
      <c r="J10385" s="273"/>
      <c r="K10385" s="399" t="s">
        <v>453</v>
      </c>
      <c r="L10385" s="273"/>
      <c r="M10385" s="399" t="s">
        <v>921</v>
      </c>
      <c r="N10385" s="273"/>
    </row>
    <row r="10386" spans="1:14" ht="12.75" customHeight="1" x14ac:dyDescent="0.2">
      <c r="A10386" s="400" t="s">
        <v>927</v>
      </c>
      <c r="B10386" s="271"/>
      <c r="C10386" s="271"/>
      <c r="D10386" s="271"/>
      <c r="E10386" s="271"/>
      <c r="F10386" s="271"/>
      <c r="G10386" s="273"/>
      <c r="H10386" s="29" t="str">
        <f>IF(A10386="","",VLOOKUP(A10386,AA_Equipos,7,FALSE))</f>
        <v>% M.O.</v>
      </c>
      <c r="I10386" s="394">
        <f>M10409</f>
        <v>64802.969127516779</v>
      </c>
      <c r="J10386" s="273"/>
      <c r="K10386" s="404">
        <v>0.05</v>
      </c>
      <c r="L10386" s="273"/>
      <c r="M10386" s="394">
        <f t="shared" ref="M10386:M10390" si="1385">IF(A10386="","",I10386*K10386)</f>
        <v>3240.148456375839</v>
      </c>
      <c r="N10386" s="273"/>
    </row>
    <row r="10387" spans="1:14" ht="12.75" customHeight="1" x14ac:dyDescent="0.2">
      <c r="A10387" s="403" t="s">
        <v>1032</v>
      </c>
      <c r="B10387" s="271"/>
      <c r="C10387" s="271"/>
      <c r="D10387" s="271"/>
      <c r="E10387" s="271"/>
      <c r="F10387" s="271"/>
      <c r="G10387" s="273"/>
      <c r="H10387" s="29" t="str">
        <f>IF(A10387="","",VLOOKUP(A10387,AA_Equipos,7,FALSE))</f>
        <v>Dia</v>
      </c>
      <c r="I10387" s="394">
        <f>IF(A10387="","",VLOOKUP(A10387,AA_Equipos,8,FALSE))</f>
        <v>50000</v>
      </c>
      <c r="J10387" s="273"/>
      <c r="K10387" s="402"/>
      <c r="L10387" s="273"/>
      <c r="M10387" s="394">
        <f t="shared" si="1385"/>
        <v>0</v>
      </c>
      <c r="N10387" s="273"/>
    </row>
    <row r="10388" spans="1:14" ht="12.75" customHeight="1" x14ac:dyDescent="0.2">
      <c r="A10388" s="400"/>
      <c r="B10388" s="271"/>
      <c r="C10388" s="271"/>
      <c r="D10388" s="271"/>
      <c r="E10388" s="271"/>
      <c r="F10388" s="271"/>
      <c r="G10388" s="273"/>
      <c r="H10388" s="29" t="str">
        <f>IF(A10388="","",VLOOKUP(A10388,AA_Equipos,7,FALSE))</f>
        <v/>
      </c>
      <c r="I10388" s="394" t="str">
        <f>IF(A10388="","",VLOOKUP(A10388,AA_Equipos,8,FALSE))</f>
        <v/>
      </c>
      <c r="J10388" s="273"/>
      <c r="K10388" s="401"/>
      <c r="L10388" s="273"/>
      <c r="M10388" s="394" t="str">
        <f t="shared" si="1385"/>
        <v/>
      </c>
      <c r="N10388" s="273"/>
    </row>
    <row r="10389" spans="1:14" ht="12.75" customHeight="1" x14ac:dyDescent="0.2">
      <c r="A10389" s="400"/>
      <c r="B10389" s="271"/>
      <c r="C10389" s="271"/>
      <c r="D10389" s="271"/>
      <c r="E10389" s="271"/>
      <c r="F10389" s="271"/>
      <c r="G10389" s="273"/>
      <c r="H10389" s="29" t="str">
        <f>IF(A10389="","",VLOOKUP(A10389,AA_Equipos,7,FALSE))</f>
        <v/>
      </c>
      <c r="I10389" s="394" t="str">
        <f>IF(A10389="","",VLOOKUP(A10389,AA_Equipos,8,FALSE))</f>
        <v/>
      </c>
      <c r="J10389" s="273"/>
      <c r="K10389" s="395"/>
      <c r="L10389" s="273"/>
      <c r="M10389" s="394" t="str">
        <f t="shared" si="1385"/>
        <v/>
      </c>
      <c r="N10389" s="273"/>
    </row>
    <row r="10390" spans="1:14" ht="12.75" customHeight="1" x14ac:dyDescent="0.2">
      <c r="A10390" s="400"/>
      <c r="B10390" s="271"/>
      <c r="C10390" s="271"/>
      <c r="D10390" s="271"/>
      <c r="E10390" s="271"/>
      <c r="F10390" s="271"/>
      <c r="G10390" s="273"/>
      <c r="H10390" s="29" t="str">
        <f>IF(A10390="","",VLOOKUP(A10390,AA_Equipos,7,FALSE))</f>
        <v/>
      </c>
      <c r="I10390" s="394" t="str">
        <f>IF(A10390="","",VLOOKUP(A10390,AA_Equipos,8,FALSE))</f>
        <v/>
      </c>
      <c r="J10390" s="273"/>
      <c r="K10390" s="395"/>
      <c r="L10390" s="273"/>
      <c r="M10390" s="394" t="str">
        <f t="shared" si="1385"/>
        <v/>
      </c>
      <c r="N10390" s="273"/>
    </row>
    <row r="10391" spans="1:14" ht="12.75" customHeight="1" x14ac:dyDescent="0.25">
      <c r="A10391" s="4"/>
      <c r="B10391" s="4"/>
      <c r="C10391" s="4"/>
      <c r="D10391" s="4"/>
      <c r="E10391" s="4"/>
      <c r="F10391" s="4"/>
      <c r="G10391" s="4"/>
      <c r="H10391" s="4"/>
      <c r="I10391" s="4"/>
      <c r="J10391" s="4"/>
      <c r="K10391" s="396" t="s">
        <v>444</v>
      </c>
      <c r="L10391" s="273"/>
      <c r="M10391" s="394">
        <f>SUM(M10386:N10390)</f>
        <v>3240.148456375839</v>
      </c>
      <c r="N10391" s="273"/>
    </row>
    <row r="10392" spans="1:14" ht="12.75" customHeight="1" x14ac:dyDescent="0.25">
      <c r="A10392" s="4"/>
      <c r="B10392" s="4"/>
      <c r="C10392" s="4"/>
      <c r="D10392" s="4"/>
      <c r="E10392" s="4"/>
      <c r="F10392" s="4"/>
      <c r="G10392" s="4"/>
      <c r="H10392" s="4"/>
      <c r="I10392" s="4"/>
      <c r="J10392" s="4"/>
      <c r="K10392" s="4"/>
      <c r="L10392" s="4"/>
      <c r="M10392" s="4"/>
      <c r="N10392" s="4"/>
    </row>
    <row r="10393" spans="1:14" ht="12.75" customHeight="1" x14ac:dyDescent="0.2">
      <c r="A10393" s="398" t="s">
        <v>929</v>
      </c>
      <c r="B10393" s="271"/>
      <c r="C10393" s="271"/>
      <c r="D10393" s="271"/>
      <c r="E10393" s="271"/>
      <c r="F10393" s="271"/>
      <c r="G10393" s="271"/>
      <c r="H10393" s="271"/>
      <c r="I10393" s="271"/>
      <c r="J10393" s="271"/>
      <c r="K10393" s="271"/>
      <c r="L10393" s="271"/>
      <c r="M10393" s="271"/>
      <c r="N10393" s="273"/>
    </row>
    <row r="10394" spans="1:14" ht="12.75" customHeight="1" x14ac:dyDescent="0.2">
      <c r="A10394" s="396" t="s">
        <v>76</v>
      </c>
      <c r="B10394" s="271"/>
      <c r="C10394" s="271"/>
      <c r="D10394" s="271"/>
      <c r="E10394" s="271"/>
      <c r="F10394" s="271"/>
      <c r="G10394" s="273"/>
      <c r="H10394" s="88" t="s">
        <v>77</v>
      </c>
      <c r="I10394" s="399" t="s">
        <v>920</v>
      </c>
      <c r="J10394" s="273"/>
      <c r="K10394" s="399" t="s">
        <v>453</v>
      </c>
      <c r="L10394" s="273"/>
      <c r="M10394" s="399" t="s">
        <v>921</v>
      </c>
      <c r="N10394" s="273"/>
    </row>
    <row r="10395" spans="1:14" ht="12.75" customHeight="1" x14ac:dyDescent="0.2">
      <c r="A10395" s="400" t="s">
        <v>965</v>
      </c>
      <c r="B10395" s="271"/>
      <c r="C10395" s="271"/>
      <c r="D10395" s="271"/>
      <c r="E10395" s="271"/>
      <c r="F10395" s="271"/>
      <c r="G10395" s="273"/>
      <c r="H10395" s="29" t="s">
        <v>959</v>
      </c>
      <c r="I10395" s="394">
        <f>+M10391</f>
        <v>3240.148456375839</v>
      </c>
      <c r="J10395" s="273"/>
      <c r="K10395" s="404">
        <v>0.05</v>
      </c>
      <c r="L10395" s="273"/>
      <c r="M10395" s="394">
        <f t="shared" ref="M10395:M10399" si="1386">IF(A10395="","",I10395*K10395)</f>
        <v>162.00742281879195</v>
      </c>
      <c r="N10395" s="273"/>
    </row>
    <row r="10396" spans="1:14" ht="12.75" customHeight="1" x14ac:dyDescent="0.2">
      <c r="A10396" s="403" t="s">
        <v>966</v>
      </c>
      <c r="B10396" s="271"/>
      <c r="C10396" s="271"/>
      <c r="D10396" s="271"/>
      <c r="E10396" s="271"/>
      <c r="F10396" s="271"/>
      <c r="G10396" s="273"/>
      <c r="H10396" s="29" t="s">
        <v>950</v>
      </c>
      <c r="I10396" s="394">
        <f>+M10382</f>
        <v>5137533</v>
      </c>
      <c r="J10396" s="273"/>
      <c r="K10396" s="404">
        <v>0.05</v>
      </c>
      <c r="L10396" s="273"/>
      <c r="M10396" s="394">
        <f t="shared" si="1386"/>
        <v>256876.65000000002</v>
      </c>
      <c r="N10396" s="273"/>
    </row>
    <row r="10397" spans="1:14" ht="12.75" customHeight="1" x14ac:dyDescent="0.2">
      <c r="A10397" s="400"/>
      <c r="B10397" s="271"/>
      <c r="C10397" s="271"/>
      <c r="D10397" s="271"/>
      <c r="E10397" s="271"/>
      <c r="F10397" s="271"/>
      <c r="G10397" s="273"/>
      <c r="H10397" s="29"/>
      <c r="I10397" s="394"/>
      <c r="J10397" s="273"/>
      <c r="K10397" s="395"/>
      <c r="L10397" s="273"/>
      <c r="M10397" s="394" t="str">
        <f t="shared" si="1386"/>
        <v/>
      </c>
      <c r="N10397" s="273"/>
    </row>
    <row r="10398" spans="1:14" ht="12.75" customHeight="1" x14ac:dyDescent="0.2">
      <c r="A10398" s="400"/>
      <c r="B10398" s="271"/>
      <c r="C10398" s="271"/>
      <c r="D10398" s="271"/>
      <c r="E10398" s="271"/>
      <c r="F10398" s="271"/>
      <c r="G10398" s="273"/>
      <c r="H10398" s="29"/>
      <c r="I10398" s="394"/>
      <c r="J10398" s="273"/>
      <c r="K10398" s="395"/>
      <c r="L10398" s="273"/>
      <c r="M10398" s="394" t="str">
        <f t="shared" si="1386"/>
        <v/>
      </c>
      <c r="N10398" s="273"/>
    </row>
    <row r="10399" spans="1:14" ht="12.75" customHeight="1" x14ac:dyDescent="0.2">
      <c r="A10399" s="400"/>
      <c r="B10399" s="271"/>
      <c r="C10399" s="271"/>
      <c r="D10399" s="271"/>
      <c r="E10399" s="271"/>
      <c r="F10399" s="271"/>
      <c r="G10399" s="273"/>
      <c r="H10399" s="29"/>
      <c r="I10399" s="394"/>
      <c r="J10399" s="273"/>
      <c r="K10399" s="395"/>
      <c r="L10399" s="273"/>
      <c r="M10399" s="394" t="str">
        <f t="shared" si="1386"/>
        <v/>
      </c>
      <c r="N10399" s="273"/>
    </row>
    <row r="10400" spans="1:14" ht="12.75" customHeight="1" x14ac:dyDescent="0.25">
      <c r="A10400" s="4"/>
      <c r="B10400" s="4"/>
      <c r="C10400" s="4"/>
      <c r="D10400" s="4"/>
      <c r="E10400" s="4"/>
      <c r="F10400" s="4"/>
      <c r="G10400" s="4"/>
      <c r="H10400" s="4"/>
      <c r="I10400" s="4"/>
      <c r="J10400" s="4"/>
      <c r="K10400" s="396" t="s">
        <v>444</v>
      </c>
      <c r="L10400" s="273"/>
      <c r="M10400" s="394">
        <f>SUM(M10395:N10399)</f>
        <v>257038.65742281883</v>
      </c>
      <c r="N10400" s="273"/>
    </row>
    <row r="10401" spans="1:15" ht="12.75" customHeight="1" x14ac:dyDescent="0.25">
      <c r="A10401" s="4"/>
      <c r="B10401" s="4"/>
      <c r="C10401" s="4"/>
      <c r="D10401" s="4"/>
      <c r="E10401" s="4"/>
      <c r="F10401" s="4"/>
      <c r="G10401" s="4"/>
      <c r="H10401" s="4"/>
      <c r="I10401" s="4"/>
      <c r="J10401" s="4"/>
      <c r="K10401" s="94"/>
      <c r="L10401" s="95"/>
      <c r="M10401" s="89"/>
      <c r="N10401" s="96"/>
    </row>
    <row r="10402" spans="1:15" ht="12.75" customHeight="1" x14ac:dyDescent="0.2">
      <c r="A10402" s="398" t="s">
        <v>931</v>
      </c>
      <c r="B10402" s="271"/>
      <c r="C10402" s="271"/>
      <c r="D10402" s="271"/>
      <c r="E10402" s="271"/>
      <c r="F10402" s="271"/>
      <c r="G10402" s="271"/>
      <c r="H10402" s="271"/>
      <c r="I10402" s="271"/>
      <c r="J10402" s="271"/>
      <c r="K10402" s="271"/>
      <c r="L10402" s="271"/>
      <c r="M10402" s="271"/>
      <c r="N10402" s="273"/>
    </row>
    <row r="10403" spans="1:15" ht="12.75" customHeight="1" x14ac:dyDescent="0.2">
      <c r="A10403" s="396" t="s">
        <v>76</v>
      </c>
      <c r="B10403" s="271"/>
      <c r="C10403" s="271"/>
      <c r="D10403" s="271"/>
      <c r="E10403" s="271"/>
      <c r="F10403" s="271"/>
      <c r="G10403" s="273"/>
      <c r="H10403" s="88" t="s">
        <v>77</v>
      </c>
      <c r="I10403" s="399" t="s">
        <v>920</v>
      </c>
      <c r="J10403" s="273"/>
      <c r="K10403" s="90" t="s">
        <v>514</v>
      </c>
      <c r="L10403" s="91" t="s">
        <v>932</v>
      </c>
      <c r="M10403" s="399" t="s">
        <v>921</v>
      </c>
      <c r="N10403" s="273"/>
    </row>
    <row r="10404" spans="1:15" ht="12.75" customHeight="1" x14ac:dyDescent="0.25">
      <c r="A10404" s="393" t="s">
        <v>973</v>
      </c>
      <c r="B10404" s="271"/>
      <c r="C10404" s="271"/>
      <c r="D10404" s="271"/>
      <c r="E10404" s="271"/>
      <c r="F10404" s="271"/>
      <c r="G10404" s="273"/>
      <c r="H10404" s="29" t="str">
        <f>IF(A10404="","",VLOOKUP(A10404,AA_Cuadrillas,4,FALSE))</f>
        <v>Cuadrilla</v>
      </c>
      <c r="I10404" s="394">
        <f>IF(A10404="","",VLOOKUP(A10404,AA_Cuadrillas,5,FALSE))</f>
        <v>256799</v>
      </c>
      <c r="J10404" s="273"/>
      <c r="K10404" s="9">
        <f>IF(A10404="","",F.P!$I$2)</f>
        <v>1.88</v>
      </c>
      <c r="L10404" s="93">
        <f>1/7.45</f>
        <v>0.13422818791946309</v>
      </c>
      <c r="M10404" s="394">
        <f t="shared" ref="M10404:M10408" si="1387">IF(A10404="","",I10404*K10404*L10404)</f>
        <v>64802.969127516779</v>
      </c>
      <c r="N10404" s="273"/>
    </row>
    <row r="10405" spans="1:15" ht="12.75" customHeight="1" x14ac:dyDescent="0.25">
      <c r="A10405" s="393"/>
      <c r="B10405" s="271"/>
      <c r="C10405" s="271"/>
      <c r="D10405" s="271"/>
      <c r="E10405" s="271"/>
      <c r="F10405" s="271"/>
      <c r="G10405" s="273"/>
      <c r="H10405" s="29" t="str">
        <f>IF(A10405="","",VLOOKUP(A10405,AA_Cuadrillas,4,FALSE))</f>
        <v/>
      </c>
      <c r="I10405" s="394" t="str">
        <f>IF(A10405="","",VLOOKUP(A10405,AA_Cuadrillas,5,FALSE))</f>
        <v/>
      </c>
      <c r="J10405" s="273"/>
      <c r="K10405" s="9" t="str">
        <f>IF(A10405="","",F.P!$I$2)</f>
        <v/>
      </c>
      <c r="L10405" s="9"/>
      <c r="M10405" s="394" t="str">
        <f t="shared" si="1387"/>
        <v/>
      </c>
      <c r="N10405" s="273"/>
    </row>
    <row r="10406" spans="1:15" ht="12.75" customHeight="1" x14ac:dyDescent="0.25">
      <c r="A10406" s="393"/>
      <c r="B10406" s="271"/>
      <c r="C10406" s="271"/>
      <c r="D10406" s="271"/>
      <c r="E10406" s="271"/>
      <c r="F10406" s="271"/>
      <c r="G10406" s="273"/>
      <c r="H10406" s="29" t="str">
        <f>IF(A10406="","",VLOOKUP(A10406,AA_Cuadrillas,4,FALSE))</f>
        <v/>
      </c>
      <c r="I10406" s="394" t="str">
        <f>IF(A10406="","",VLOOKUP(A10406,AA_Cuadrillas,5,FALSE))</f>
        <v/>
      </c>
      <c r="J10406" s="273"/>
      <c r="K10406" s="9" t="str">
        <f>IF(A10406="","",F.P!$I$2)</f>
        <v/>
      </c>
      <c r="L10406" s="37"/>
      <c r="M10406" s="394" t="str">
        <f t="shared" si="1387"/>
        <v/>
      </c>
      <c r="N10406" s="273"/>
    </row>
    <row r="10407" spans="1:15" ht="12.75" customHeight="1" x14ac:dyDescent="0.25">
      <c r="A10407" s="393"/>
      <c r="B10407" s="271"/>
      <c r="C10407" s="271"/>
      <c r="D10407" s="271"/>
      <c r="E10407" s="271"/>
      <c r="F10407" s="271"/>
      <c r="G10407" s="273"/>
      <c r="H10407" s="29" t="str">
        <f>IF(A10407="","",VLOOKUP(A10407,AA_Cuadrillas,4,FALSE))</f>
        <v/>
      </c>
      <c r="I10407" s="394" t="str">
        <f>IF(A10407="","",VLOOKUP(A10407,AA_Cuadrillas,5,FALSE))</f>
        <v/>
      </c>
      <c r="J10407" s="273"/>
      <c r="K10407" s="9" t="str">
        <f>IF(A10407="","",F.P!$I$2)</f>
        <v/>
      </c>
      <c r="L10407" s="37"/>
      <c r="M10407" s="394" t="str">
        <f t="shared" si="1387"/>
        <v/>
      </c>
      <c r="N10407" s="273"/>
    </row>
    <row r="10408" spans="1:15" ht="12.75" customHeight="1" x14ac:dyDescent="0.25">
      <c r="A10408" s="393"/>
      <c r="B10408" s="271"/>
      <c r="C10408" s="271"/>
      <c r="D10408" s="271"/>
      <c r="E10408" s="271"/>
      <c r="F10408" s="271"/>
      <c r="G10408" s="273"/>
      <c r="H10408" s="29" t="str">
        <f>IF(A10408="","",VLOOKUP(A10408,AA_Cuadrillas,4,FALSE))</f>
        <v/>
      </c>
      <c r="I10408" s="394" t="str">
        <f>IF(A10408="","",VLOOKUP(A10408,AA_Cuadrillas,5,FALSE))</f>
        <v/>
      </c>
      <c r="J10408" s="273"/>
      <c r="K10408" s="9" t="str">
        <f>IF(A10408="","",F.P!$I$2)</f>
        <v/>
      </c>
      <c r="L10408" s="37"/>
      <c r="M10408" s="394" t="str">
        <f t="shared" si="1387"/>
        <v/>
      </c>
      <c r="N10408" s="273"/>
    </row>
    <row r="10409" spans="1:15" ht="12.75" customHeight="1" x14ac:dyDescent="0.25">
      <c r="A10409" s="4"/>
      <c r="B10409" s="4"/>
      <c r="C10409" s="4"/>
      <c r="D10409" s="4"/>
      <c r="E10409" s="4"/>
      <c r="F10409" s="4"/>
      <c r="G10409" s="4"/>
      <c r="H10409" s="4"/>
      <c r="I10409" s="4"/>
      <c r="J10409" s="4"/>
      <c r="K10409" s="396" t="s">
        <v>444</v>
      </c>
      <c r="L10409" s="273"/>
      <c r="M10409" s="394">
        <f>SUM(M10404:N10408)</f>
        <v>64802.969127516779</v>
      </c>
      <c r="N10409" s="273"/>
    </row>
    <row r="10410" spans="1:15" ht="12.75" customHeight="1" x14ac:dyDescent="0.2"/>
    <row r="10411" spans="1:15" ht="12.75" customHeight="1" x14ac:dyDescent="0.2">
      <c r="A10411" s="397" t="s">
        <v>275</v>
      </c>
      <c r="B10411" s="275"/>
      <c r="C10411" s="275"/>
      <c r="D10411" s="275"/>
      <c r="E10411" s="275"/>
      <c r="F10411" s="275"/>
      <c r="G10411" s="275"/>
      <c r="H10411" s="275"/>
      <c r="I10411" s="275"/>
      <c r="J10411" s="275"/>
      <c r="K10411" s="275"/>
      <c r="L10411" s="275"/>
      <c r="M10411" s="275"/>
      <c r="N10411" s="276"/>
      <c r="O10411" s="166"/>
    </row>
    <row r="10412" spans="1:15" ht="12.75" customHeight="1" x14ac:dyDescent="0.2">
      <c r="A10412" s="277"/>
      <c r="B10412" s="278"/>
      <c r="C10412" s="278"/>
      <c r="D10412" s="278"/>
      <c r="E10412" s="278"/>
      <c r="F10412" s="278"/>
      <c r="G10412" s="278"/>
      <c r="H10412" s="278"/>
      <c r="I10412" s="278"/>
      <c r="J10412" s="278"/>
      <c r="K10412" s="278"/>
      <c r="L10412" s="278"/>
      <c r="M10412" s="278"/>
      <c r="N10412" s="279"/>
      <c r="O10412" s="166"/>
    </row>
    <row r="10413" spans="1:15" ht="12.75" customHeight="1" x14ac:dyDescent="0.2">
      <c r="A10413" s="75"/>
      <c r="B10413" s="75"/>
      <c r="C10413" s="75"/>
      <c r="D10413" s="75"/>
      <c r="E10413" s="75"/>
      <c r="F10413" s="75"/>
      <c r="G10413" s="75"/>
      <c r="H10413" s="75"/>
      <c r="I10413" s="75"/>
      <c r="J10413" s="75"/>
      <c r="K10413" s="75"/>
      <c r="L10413" s="75"/>
      <c r="M10413" s="75"/>
      <c r="N10413" s="75"/>
    </row>
    <row r="10414" spans="1:15" ht="12.75" customHeight="1" x14ac:dyDescent="0.3">
      <c r="A10414" s="79" t="s">
        <v>843</v>
      </c>
      <c r="B10414" s="80" t="str">
        <f>A10411</f>
        <v>CAJA DE INSPECCIÓN DE 1,10 x 1,10 M (INCLUYE TAPA EN CONCRETO, MATERIALES, HERRAMIENTA MENOR Y MANO DE OBRA)</v>
      </c>
      <c r="C10414" s="81" t="s">
        <v>916</v>
      </c>
      <c r="D10414" s="82" t="s">
        <v>999</v>
      </c>
      <c r="E10414" s="83" t="s">
        <v>445</v>
      </c>
      <c r="F10414" s="234">
        <f>H10414+J10414+L10414+N10414</f>
        <v>1836090.1977798981</v>
      </c>
      <c r="G10414" s="83" t="s">
        <v>607</v>
      </c>
      <c r="H10414" s="86">
        <f>M10438</f>
        <v>12069.553</v>
      </c>
      <c r="I10414" s="83" t="s">
        <v>918</v>
      </c>
      <c r="J10414" s="86">
        <f>M10429</f>
        <v>1581912.969879898</v>
      </c>
      <c r="K10414" s="83" t="s">
        <v>609</v>
      </c>
      <c r="L10414" s="86">
        <f>M10447</f>
        <v>716.61490000000003</v>
      </c>
      <c r="M10414" s="83" t="s">
        <v>610</v>
      </c>
      <c r="N10414" s="86">
        <f>M10456</f>
        <v>241391.06</v>
      </c>
    </row>
    <row r="10415" spans="1:15" ht="12.75" customHeight="1" x14ac:dyDescent="0.25">
      <c r="A10415" s="87"/>
      <c r="B10415" s="87"/>
      <c r="C10415" s="87"/>
      <c r="D10415" s="87"/>
      <c r="E10415" s="87"/>
      <c r="F10415" s="87"/>
      <c r="G10415" s="87"/>
      <c r="J10415" s="87"/>
      <c r="K10415" s="215" t="s">
        <v>3217</v>
      </c>
      <c r="L10415" s="215">
        <f>+F10414*presup!$O$5</f>
        <v>2386917.2571138674</v>
      </c>
      <c r="M10415" s="87"/>
      <c r="N10415" s="87"/>
    </row>
    <row r="10416" spans="1:15" ht="12.75" customHeight="1" x14ac:dyDescent="0.2">
      <c r="A10416" s="398" t="s">
        <v>919</v>
      </c>
      <c r="B10416" s="271"/>
      <c r="C10416" s="271"/>
      <c r="D10416" s="271"/>
      <c r="E10416" s="271"/>
      <c r="F10416" s="271"/>
      <c r="G10416" s="271"/>
      <c r="H10416" s="271"/>
      <c r="I10416" s="271"/>
      <c r="J10416" s="271"/>
      <c r="K10416" s="271"/>
      <c r="L10416" s="271"/>
      <c r="M10416" s="271"/>
      <c r="N10416" s="273"/>
    </row>
    <row r="10417" spans="1:14" ht="12.75" customHeight="1" x14ac:dyDescent="0.2">
      <c r="A10417" s="396" t="s">
        <v>76</v>
      </c>
      <c r="B10417" s="271"/>
      <c r="C10417" s="271"/>
      <c r="D10417" s="271"/>
      <c r="E10417" s="271"/>
      <c r="F10417" s="271"/>
      <c r="G10417" s="273"/>
      <c r="H10417" s="88" t="s">
        <v>77</v>
      </c>
      <c r="I10417" s="399" t="s">
        <v>920</v>
      </c>
      <c r="J10417" s="273"/>
      <c r="K10417" s="399" t="s">
        <v>453</v>
      </c>
      <c r="L10417" s="273"/>
      <c r="M10417" s="399" t="s">
        <v>921</v>
      </c>
      <c r="N10417" s="273"/>
    </row>
    <row r="10418" spans="1:14" ht="12.75" customHeight="1" x14ac:dyDescent="0.2">
      <c r="A10418" s="400" t="s">
        <v>1307</v>
      </c>
      <c r="B10418" s="271"/>
      <c r="C10418" s="271"/>
      <c r="D10418" s="271"/>
      <c r="E10418" s="271"/>
      <c r="F10418" s="271"/>
      <c r="G10418" s="273"/>
      <c r="H10418" s="29" t="str">
        <f t="shared" ref="H10418:H10428" si="1388">IF(A10418="","",VLOOKUP(A10418,AA_Materiales,7,FALSE))</f>
        <v>m2</v>
      </c>
      <c r="I10418" s="409">
        <f>'BASICOS SIN AIU '!F267</f>
        <v>4150.0217132000016</v>
      </c>
      <c r="J10418" s="410"/>
      <c r="K10418" s="395">
        <f>1.1*1.1</f>
        <v>1.2100000000000002</v>
      </c>
      <c r="L10418" s="273"/>
      <c r="M10418" s="394">
        <f t="shared" ref="M10418:M10428" si="1389">IF(A10418="","",I10418*K10418)</f>
        <v>5021.5262729720025</v>
      </c>
      <c r="N10418" s="273"/>
    </row>
    <row r="10419" spans="1:14" ht="12.75" customHeight="1" x14ac:dyDescent="0.2">
      <c r="A10419" s="400" t="s">
        <v>1513</v>
      </c>
      <c r="B10419" s="271"/>
      <c r="C10419" s="271"/>
      <c r="D10419" s="271"/>
      <c r="E10419" s="271"/>
      <c r="F10419" s="271"/>
      <c r="G10419" s="273"/>
      <c r="H10419" s="29" t="str">
        <f t="shared" si="1388"/>
        <v>m3</v>
      </c>
      <c r="I10419" s="411">
        <f t="shared" ref="I10419:I10428" si="1390">IF(A10419="","",VLOOKUP(A10419,AA_Materiales,8,FALSE))</f>
        <v>51472.658045714285</v>
      </c>
      <c r="J10419" s="368"/>
      <c r="K10419" s="401">
        <f>K10418*1.1</f>
        <v>1.3310000000000004</v>
      </c>
      <c r="L10419" s="273"/>
      <c r="M10419" s="394">
        <f t="shared" si="1389"/>
        <v>68510.107858845731</v>
      </c>
      <c r="N10419" s="273"/>
    </row>
    <row r="10420" spans="1:14" ht="12.75" customHeight="1" x14ac:dyDescent="0.2">
      <c r="A10420" s="400" t="s">
        <v>1309</v>
      </c>
      <c r="B10420" s="271"/>
      <c r="C10420" s="271"/>
      <c r="D10420" s="271"/>
      <c r="E10420" s="271"/>
      <c r="F10420" s="271"/>
      <c r="G10420" s="273"/>
      <c r="H10420" s="29" t="str">
        <f t="shared" si="1388"/>
        <v>m3</v>
      </c>
      <c r="I10420" s="409">
        <f>'BASICOS SIN AIU '!F47</f>
        <v>176301.78268129006</v>
      </c>
      <c r="J10420" s="410"/>
      <c r="K10420" s="401">
        <f>K10418*0.2</f>
        <v>0.24200000000000005</v>
      </c>
      <c r="L10420" s="273"/>
      <c r="M10420" s="394">
        <f t="shared" si="1389"/>
        <v>42665.031408872201</v>
      </c>
      <c r="N10420" s="273"/>
    </row>
    <row r="10421" spans="1:14" ht="12.75" customHeight="1" x14ac:dyDescent="0.2">
      <c r="A10421" s="400" t="s">
        <v>1310</v>
      </c>
      <c r="B10421" s="271"/>
      <c r="C10421" s="271"/>
      <c r="D10421" s="271"/>
      <c r="E10421" s="271"/>
      <c r="F10421" s="271"/>
      <c r="G10421" s="273"/>
      <c r="H10421" s="29" t="str">
        <f t="shared" si="1388"/>
        <v>m3</v>
      </c>
      <c r="I10421" s="409">
        <f t="shared" si="1390"/>
        <v>619876.4246790678</v>
      </c>
      <c r="J10421" s="410"/>
      <c r="K10421" s="401">
        <f>K10418*0.05</f>
        <v>6.0500000000000012E-2</v>
      </c>
      <c r="L10421" s="273"/>
      <c r="M10421" s="394">
        <f t="shared" si="1389"/>
        <v>37502.523693083611</v>
      </c>
      <c r="N10421" s="273"/>
    </row>
    <row r="10422" spans="1:14" ht="12.75" customHeight="1" x14ac:dyDescent="0.2">
      <c r="A10422" s="400" t="s">
        <v>1311</v>
      </c>
      <c r="B10422" s="271"/>
      <c r="C10422" s="271"/>
      <c r="D10422" s="271"/>
      <c r="E10422" s="271"/>
      <c r="F10422" s="271"/>
      <c r="G10422" s="273"/>
      <c r="H10422" s="29" t="str">
        <f t="shared" si="1388"/>
        <v>Kg</v>
      </c>
      <c r="I10422" s="409">
        <f>'BASICOS SIN AIU '!F309</f>
        <v>8006.0498787222223</v>
      </c>
      <c r="J10422" s="410"/>
      <c r="K10422" s="401">
        <f>(8*4.4)+(2.9*16)+(16*0.996)</f>
        <v>97.536000000000001</v>
      </c>
      <c r="L10422" s="273"/>
      <c r="M10422" s="394">
        <f t="shared" si="1389"/>
        <v>780878.08097105066</v>
      </c>
      <c r="N10422" s="273"/>
    </row>
    <row r="10423" spans="1:14" ht="12.75" customHeight="1" x14ac:dyDescent="0.2">
      <c r="A10423" s="400" t="s">
        <v>1371</v>
      </c>
      <c r="B10423" s="271"/>
      <c r="C10423" s="271"/>
      <c r="D10423" s="271"/>
      <c r="E10423" s="271"/>
      <c r="F10423" s="271"/>
      <c r="G10423" s="273"/>
      <c r="H10423" s="29" t="str">
        <f t="shared" si="1388"/>
        <v>m3</v>
      </c>
      <c r="I10423" s="409">
        <f>'BASICOS SIN AIU '!F486</f>
        <v>909113.4069229567</v>
      </c>
      <c r="J10423" s="410"/>
      <c r="K10423" s="401">
        <f>K10418*0.1</f>
        <v>0.12100000000000002</v>
      </c>
      <c r="L10423" s="273"/>
      <c r="M10423" s="394">
        <f t="shared" si="1389"/>
        <v>110002.72223767778</v>
      </c>
      <c r="N10423" s="273"/>
    </row>
    <row r="10424" spans="1:14" ht="12.75" customHeight="1" x14ac:dyDescent="0.2">
      <c r="A10424" s="400" t="s">
        <v>1463</v>
      </c>
      <c r="B10424" s="271"/>
      <c r="C10424" s="271"/>
      <c r="D10424" s="271"/>
      <c r="E10424" s="271"/>
      <c r="F10424" s="271"/>
      <c r="G10424" s="273"/>
      <c r="H10424" s="29" t="str">
        <f t="shared" si="1388"/>
        <v>m3</v>
      </c>
      <c r="I10424" s="409">
        <f>'BASICOS SIN AIU '!F394</f>
        <v>935642.83752499998</v>
      </c>
      <c r="J10424" s="410"/>
      <c r="K10424" s="401">
        <f>0.8*4*0.15*0.85</f>
        <v>0.40799999999999997</v>
      </c>
      <c r="L10424" s="273"/>
      <c r="M10424" s="394">
        <f t="shared" si="1389"/>
        <v>381742.2777102</v>
      </c>
      <c r="N10424" s="273"/>
    </row>
    <row r="10425" spans="1:14" ht="12.75" customHeight="1" x14ac:dyDescent="0.2">
      <c r="A10425" s="400" t="s">
        <v>1462</v>
      </c>
      <c r="B10425" s="271"/>
      <c r="C10425" s="271"/>
      <c r="D10425" s="271"/>
      <c r="E10425" s="271"/>
      <c r="F10425" s="271"/>
      <c r="G10425" s="273"/>
      <c r="H10425" s="29" t="str">
        <f t="shared" si="1388"/>
        <v>m3</v>
      </c>
      <c r="I10425" s="409">
        <f>'BASICOS SIN AIU '!F440</f>
        <v>844782.11970906786</v>
      </c>
      <c r="J10425" s="410"/>
      <c r="K10425" s="401">
        <f>K10418*0.15</f>
        <v>0.18150000000000002</v>
      </c>
      <c r="L10425" s="273"/>
      <c r="M10425" s="394">
        <f t="shared" si="1389"/>
        <v>153327.95472719584</v>
      </c>
      <c r="N10425" s="273"/>
    </row>
    <row r="10426" spans="1:14" ht="12.75" customHeight="1" x14ac:dyDescent="0.2">
      <c r="A10426" s="400" t="s">
        <v>1091</v>
      </c>
      <c r="B10426" s="271"/>
      <c r="C10426" s="271"/>
      <c r="D10426" s="271"/>
      <c r="E10426" s="271"/>
      <c r="F10426" s="271"/>
      <c r="G10426" s="273"/>
      <c r="H10426" s="29" t="str">
        <f t="shared" si="1388"/>
        <v>Kg</v>
      </c>
      <c r="I10426" s="394">
        <f t="shared" si="1390"/>
        <v>4525.49</v>
      </c>
      <c r="J10426" s="273"/>
      <c r="K10426" s="401">
        <v>0.5</v>
      </c>
      <c r="L10426" s="273"/>
      <c r="M10426" s="394">
        <f t="shared" si="1389"/>
        <v>2262.7449999999999</v>
      </c>
      <c r="N10426" s="273"/>
    </row>
    <row r="10427" spans="1:14" ht="12.75" customHeight="1" x14ac:dyDescent="0.2">
      <c r="A10427" s="400"/>
      <c r="B10427" s="271"/>
      <c r="C10427" s="271"/>
      <c r="D10427" s="271"/>
      <c r="E10427" s="271"/>
      <c r="F10427" s="271"/>
      <c r="G10427" s="273"/>
      <c r="H10427" s="29" t="str">
        <f t="shared" si="1388"/>
        <v/>
      </c>
      <c r="I10427" s="394" t="str">
        <f t="shared" si="1390"/>
        <v/>
      </c>
      <c r="J10427" s="273"/>
      <c r="K10427" s="395"/>
      <c r="L10427" s="273"/>
      <c r="M10427" s="394" t="str">
        <f t="shared" si="1389"/>
        <v/>
      </c>
      <c r="N10427" s="273"/>
    </row>
    <row r="10428" spans="1:14" ht="12.75" customHeight="1" x14ac:dyDescent="0.2">
      <c r="A10428" s="400"/>
      <c r="B10428" s="271"/>
      <c r="C10428" s="271"/>
      <c r="D10428" s="271"/>
      <c r="E10428" s="271"/>
      <c r="F10428" s="271"/>
      <c r="G10428" s="273"/>
      <c r="H10428" s="29" t="str">
        <f t="shared" si="1388"/>
        <v/>
      </c>
      <c r="I10428" s="394" t="str">
        <f t="shared" si="1390"/>
        <v/>
      </c>
      <c r="J10428" s="273"/>
      <c r="K10428" s="395"/>
      <c r="L10428" s="273"/>
      <c r="M10428" s="394" t="str">
        <f t="shared" si="1389"/>
        <v/>
      </c>
      <c r="N10428" s="273"/>
    </row>
    <row r="10429" spans="1:14" ht="12.75" customHeight="1" x14ac:dyDescent="0.25">
      <c r="A10429" s="4"/>
      <c r="B10429" s="4"/>
      <c r="C10429" s="4"/>
      <c r="D10429" s="4"/>
      <c r="E10429" s="4"/>
      <c r="F10429" s="4"/>
      <c r="G10429" s="4"/>
      <c r="H10429" s="4"/>
      <c r="I10429" s="4"/>
      <c r="J10429" s="4"/>
      <c r="K10429" s="396" t="s">
        <v>444</v>
      </c>
      <c r="L10429" s="273"/>
      <c r="M10429" s="394">
        <f>SUM(M10418:N10428)</f>
        <v>1581912.969879898</v>
      </c>
      <c r="N10429" s="273"/>
    </row>
    <row r="10430" spans="1:14" ht="12.75" customHeight="1" x14ac:dyDescent="0.25">
      <c r="A10430" s="4"/>
      <c r="B10430" s="4"/>
      <c r="C10430" s="4"/>
      <c r="D10430" s="4"/>
      <c r="E10430" s="4"/>
      <c r="F10430" s="4"/>
      <c r="G10430" s="4"/>
      <c r="H10430" s="4"/>
      <c r="I10430" s="4"/>
      <c r="J10430" s="4"/>
      <c r="K10430" s="4"/>
      <c r="L10430" s="4"/>
      <c r="M10430" s="4"/>
      <c r="N10430" s="4"/>
    </row>
    <row r="10431" spans="1:14" ht="12.75" customHeight="1" x14ac:dyDescent="0.2">
      <c r="A10431" s="398" t="s">
        <v>926</v>
      </c>
      <c r="B10431" s="271"/>
      <c r="C10431" s="271"/>
      <c r="D10431" s="271"/>
      <c r="E10431" s="271"/>
      <c r="F10431" s="271"/>
      <c r="G10431" s="271"/>
      <c r="H10431" s="271"/>
      <c r="I10431" s="271"/>
      <c r="J10431" s="271"/>
      <c r="K10431" s="271"/>
      <c r="L10431" s="271"/>
      <c r="M10431" s="271"/>
      <c r="N10431" s="273"/>
    </row>
    <row r="10432" spans="1:14" ht="12.75" customHeight="1" x14ac:dyDescent="0.2">
      <c r="A10432" s="396" t="s">
        <v>76</v>
      </c>
      <c r="B10432" s="271"/>
      <c r="C10432" s="271"/>
      <c r="D10432" s="271"/>
      <c r="E10432" s="271"/>
      <c r="F10432" s="271"/>
      <c r="G10432" s="273"/>
      <c r="H10432" s="88" t="s">
        <v>77</v>
      </c>
      <c r="I10432" s="399" t="s">
        <v>920</v>
      </c>
      <c r="J10432" s="273"/>
      <c r="K10432" s="399" t="s">
        <v>453</v>
      </c>
      <c r="L10432" s="273"/>
      <c r="M10432" s="399" t="s">
        <v>921</v>
      </c>
      <c r="N10432" s="273"/>
    </row>
    <row r="10433" spans="1:14" ht="12.75" customHeight="1" x14ac:dyDescent="0.2">
      <c r="A10433" s="400" t="s">
        <v>927</v>
      </c>
      <c r="B10433" s="271"/>
      <c r="C10433" s="271"/>
      <c r="D10433" s="271"/>
      <c r="E10433" s="271"/>
      <c r="F10433" s="271"/>
      <c r="G10433" s="273"/>
      <c r="H10433" s="29" t="str">
        <f>IF(A10433="","",VLOOKUP(A10433,AA_Equipos,7,FALSE))</f>
        <v>% M.O.</v>
      </c>
      <c r="I10433" s="394">
        <f>M10456</f>
        <v>241391.06</v>
      </c>
      <c r="J10433" s="273"/>
      <c r="K10433" s="404">
        <v>0.05</v>
      </c>
      <c r="L10433" s="273"/>
      <c r="M10433" s="394">
        <f t="shared" ref="M10433:M10437" si="1391">IF(A10433="","",I10433*K10433)</f>
        <v>12069.553</v>
      </c>
      <c r="N10433" s="273"/>
    </row>
    <row r="10434" spans="1:14" ht="12.75" customHeight="1" x14ac:dyDescent="0.2">
      <c r="A10434" s="403"/>
      <c r="B10434" s="271"/>
      <c r="C10434" s="271"/>
      <c r="D10434" s="271"/>
      <c r="E10434" s="271"/>
      <c r="F10434" s="271"/>
      <c r="G10434" s="273"/>
      <c r="H10434" s="29" t="str">
        <f>IF(A10434="","",VLOOKUP(A10434,AA_Equipos,7,FALSE))</f>
        <v/>
      </c>
      <c r="I10434" s="394" t="str">
        <f>IF(A10434="","",VLOOKUP(A10434,AA_Equipos,8,FALSE))</f>
        <v/>
      </c>
      <c r="J10434" s="273"/>
      <c r="K10434" s="402"/>
      <c r="L10434" s="273"/>
      <c r="M10434" s="394" t="str">
        <f t="shared" si="1391"/>
        <v/>
      </c>
      <c r="N10434" s="273"/>
    </row>
    <row r="10435" spans="1:14" ht="12.75" customHeight="1" x14ac:dyDescent="0.2">
      <c r="A10435" s="400"/>
      <c r="B10435" s="271"/>
      <c r="C10435" s="271"/>
      <c r="D10435" s="271"/>
      <c r="E10435" s="271"/>
      <c r="F10435" s="271"/>
      <c r="G10435" s="273"/>
      <c r="H10435" s="29" t="str">
        <f>IF(A10435="","",VLOOKUP(A10435,AA_Equipos,7,FALSE))</f>
        <v/>
      </c>
      <c r="I10435" s="394" t="str">
        <f>IF(A10435="","",VLOOKUP(A10435,AA_Equipos,8,FALSE))</f>
        <v/>
      </c>
      <c r="J10435" s="273"/>
      <c r="K10435" s="401"/>
      <c r="L10435" s="273"/>
      <c r="M10435" s="394" t="str">
        <f t="shared" si="1391"/>
        <v/>
      </c>
      <c r="N10435" s="273"/>
    </row>
    <row r="10436" spans="1:14" ht="12.75" customHeight="1" x14ac:dyDescent="0.2">
      <c r="A10436" s="400"/>
      <c r="B10436" s="271"/>
      <c r="C10436" s="271"/>
      <c r="D10436" s="271"/>
      <c r="E10436" s="271"/>
      <c r="F10436" s="271"/>
      <c r="G10436" s="273"/>
      <c r="H10436" s="29" t="str">
        <f>IF(A10436="","",VLOOKUP(A10436,AA_Equipos,7,FALSE))</f>
        <v/>
      </c>
      <c r="I10436" s="394" t="str">
        <f>IF(A10436="","",VLOOKUP(A10436,AA_Equipos,8,FALSE))</f>
        <v/>
      </c>
      <c r="J10436" s="273"/>
      <c r="K10436" s="395"/>
      <c r="L10436" s="273"/>
      <c r="M10436" s="394" t="str">
        <f t="shared" si="1391"/>
        <v/>
      </c>
      <c r="N10436" s="273"/>
    </row>
    <row r="10437" spans="1:14" ht="12.75" customHeight="1" x14ac:dyDescent="0.2">
      <c r="A10437" s="400"/>
      <c r="B10437" s="271"/>
      <c r="C10437" s="271"/>
      <c r="D10437" s="271"/>
      <c r="E10437" s="271"/>
      <c r="F10437" s="271"/>
      <c r="G10437" s="273"/>
      <c r="H10437" s="29" t="str">
        <f>IF(A10437="","",VLOOKUP(A10437,AA_Equipos,7,FALSE))</f>
        <v/>
      </c>
      <c r="I10437" s="394" t="str">
        <f>IF(A10437="","",VLOOKUP(A10437,AA_Equipos,8,FALSE))</f>
        <v/>
      </c>
      <c r="J10437" s="273"/>
      <c r="K10437" s="395"/>
      <c r="L10437" s="273"/>
      <c r="M10437" s="394" t="str">
        <f t="shared" si="1391"/>
        <v/>
      </c>
      <c r="N10437" s="273"/>
    </row>
    <row r="10438" spans="1:14" ht="12.75" customHeight="1" x14ac:dyDescent="0.25">
      <c r="A10438" s="4"/>
      <c r="B10438" s="4"/>
      <c r="C10438" s="4"/>
      <c r="D10438" s="4"/>
      <c r="E10438" s="4"/>
      <c r="F10438" s="4"/>
      <c r="G10438" s="4"/>
      <c r="H10438" s="4"/>
      <c r="I10438" s="4"/>
      <c r="J10438" s="4"/>
      <c r="K10438" s="396" t="s">
        <v>444</v>
      </c>
      <c r="L10438" s="273"/>
      <c r="M10438" s="394">
        <f>SUM(M10433:N10437)</f>
        <v>12069.553</v>
      </c>
      <c r="N10438" s="273"/>
    </row>
    <row r="10439" spans="1:14" ht="12.75" customHeight="1" x14ac:dyDescent="0.25">
      <c r="A10439" s="4"/>
      <c r="B10439" s="4"/>
      <c r="C10439" s="4"/>
      <c r="D10439" s="4"/>
      <c r="E10439" s="4"/>
      <c r="F10439" s="4"/>
      <c r="G10439" s="4"/>
      <c r="H10439" s="4"/>
      <c r="I10439" s="4"/>
      <c r="J10439" s="4"/>
      <c r="K10439" s="4"/>
      <c r="L10439" s="4"/>
      <c r="M10439" s="4"/>
      <c r="N10439" s="4"/>
    </row>
    <row r="10440" spans="1:14" ht="12.75" customHeight="1" x14ac:dyDescent="0.2">
      <c r="A10440" s="398" t="s">
        <v>929</v>
      </c>
      <c r="B10440" s="271"/>
      <c r="C10440" s="271"/>
      <c r="D10440" s="271"/>
      <c r="E10440" s="271"/>
      <c r="F10440" s="271"/>
      <c r="G10440" s="271"/>
      <c r="H10440" s="271"/>
      <c r="I10440" s="271"/>
      <c r="J10440" s="271"/>
      <c r="K10440" s="271"/>
      <c r="L10440" s="271"/>
      <c r="M10440" s="271"/>
      <c r="N10440" s="273"/>
    </row>
    <row r="10441" spans="1:14" ht="12.75" customHeight="1" x14ac:dyDescent="0.2">
      <c r="A10441" s="396" t="s">
        <v>76</v>
      </c>
      <c r="B10441" s="271"/>
      <c r="C10441" s="271"/>
      <c r="D10441" s="271"/>
      <c r="E10441" s="271"/>
      <c r="F10441" s="271"/>
      <c r="G10441" s="273"/>
      <c r="H10441" s="88" t="s">
        <v>77</v>
      </c>
      <c r="I10441" s="399" t="s">
        <v>920</v>
      </c>
      <c r="J10441" s="273"/>
      <c r="K10441" s="399" t="s">
        <v>453</v>
      </c>
      <c r="L10441" s="273"/>
      <c r="M10441" s="399" t="s">
        <v>921</v>
      </c>
      <c r="N10441" s="273"/>
    </row>
    <row r="10442" spans="1:14" ht="12.75" customHeight="1" x14ac:dyDescent="0.2">
      <c r="A10442" s="400" t="s">
        <v>965</v>
      </c>
      <c r="B10442" s="271"/>
      <c r="C10442" s="271"/>
      <c r="D10442" s="271"/>
      <c r="E10442" s="271"/>
      <c r="F10442" s="271"/>
      <c r="G10442" s="273"/>
      <c r="H10442" s="29" t="s">
        <v>959</v>
      </c>
      <c r="I10442" s="394">
        <f>+M10438</f>
        <v>12069.553</v>
      </c>
      <c r="J10442" s="273"/>
      <c r="K10442" s="404">
        <v>0.05</v>
      </c>
      <c r="L10442" s="273"/>
      <c r="M10442" s="394">
        <f t="shared" ref="M10442:M10446" si="1392">IF(A10442="","",I10442*K10442)</f>
        <v>603.47765000000004</v>
      </c>
      <c r="N10442" s="273"/>
    </row>
    <row r="10443" spans="1:14" ht="12.75" customHeight="1" x14ac:dyDescent="0.2">
      <c r="A10443" s="403" t="s">
        <v>966</v>
      </c>
      <c r="B10443" s="271"/>
      <c r="C10443" s="271"/>
      <c r="D10443" s="271"/>
      <c r="E10443" s="271"/>
      <c r="F10443" s="271"/>
      <c r="G10443" s="273"/>
      <c r="H10443" s="29" t="s">
        <v>950</v>
      </c>
      <c r="I10443" s="394">
        <f>+M10426</f>
        <v>2262.7449999999999</v>
      </c>
      <c r="J10443" s="273"/>
      <c r="K10443" s="404">
        <v>0.05</v>
      </c>
      <c r="L10443" s="273"/>
      <c r="M10443" s="394">
        <f t="shared" si="1392"/>
        <v>113.13724999999999</v>
      </c>
      <c r="N10443" s="273"/>
    </row>
    <row r="10444" spans="1:14" ht="12.75" customHeight="1" x14ac:dyDescent="0.2">
      <c r="A10444" s="400"/>
      <c r="B10444" s="271"/>
      <c r="C10444" s="271"/>
      <c r="D10444" s="271"/>
      <c r="E10444" s="271"/>
      <c r="F10444" s="271"/>
      <c r="G10444" s="273"/>
      <c r="H10444" s="29"/>
      <c r="I10444" s="394"/>
      <c r="J10444" s="273"/>
      <c r="K10444" s="395"/>
      <c r="L10444" s="273"/>
      <c r="M10444" s="394" t="str">
        <f t="shared" si="1392"/>
        <v/>
      </c>
      <c r="N10444" s="273"/>
    </row>
    <row r="10445" spans="1:14" ht="12.75" customHeight="1" x14ac:dyDescent="0.2">
      <c r="A10445" s="400"/>
      <c r="B10445" s="271"/>
      <c r="C10445" s="271"/>
      <c r="D10445" s="271"/>
      <c r="E10445" s="271"/>
      <c r="F10445" s="271"/>
      <c r="G10445" s="273"/>
      <c r="H10445" s="29"/>
      <c r="I10445" s="394"/>
      <c r="J10445" s="273"/>
      <c r="K10445" s="395"/>
      <c r="L10445" s="273"/>
      <c r="M10445" s="394" t="str">
        <f t="shared" si="1392"/>
        <v/>
      </c>
      <c r="N10445" s="273"/>
    </row>
    <row r="10446" spans="1:14" ht="12.75" customHeight="1" x14ac:dyDescent="0.2">
      <c r="A10446" s="400"/>
      <c r="B10446" s="271"/>
      <c r="C10446" s="271"/>
      <c r="D10446" s="271"/>
      <c r="E10446" s="271"/>
      <c r="F10446" s="271"/>
      <c r="G10446" s="273"/>
      <c r="H10446" s="29"/>
      <c r="I10446" s="394"/>
      <c r="J10446" s="273"/>
      <c r="K10446" s="395"/>
      <c r="L10446" s="273"/>
      <c r="M10446" s="394" t="str">
        <f t="shared" si="1392"/>
        <v/>
      </c>
      <c r="N10446" s="273"/>
    </row>
    <row r="10447" spans="1:14" ht="12.75" customHeight="1" x14ac:dyDescent="0.25">
      <c r="A10447" s="4"/>
      <c r="B10447" s="4"/>
      <c r="C10447" s="4"/>
      <c r="D10447" s="4"/>
      <c r="E10447" s="4"/>
      <c r="F10447" s="4"/>
      <c r="G10447" s="4"/>
      <c r="H10447" s="4"/>
      <c r="I10447" s="4"/>
      <c r="J10447" s="4"/>
      <c r="K10447" s="396" t="s">
        <v>444</v>
      </c>
      <c r="L10447" s="273"/>
      <c r="M10447" s="394">
        <f>SUM(M10442:N10446)</f>
        <v>716.61490000000003</v>
      </c>
      <c r="N10447" s="273"/>
    </row>
    <row r="10448" spans="1:14" ht="12.75" customHeight="1" x14ac:dyDescent="0.25">
      <c r="A10448" s="4"/>
      <c r="B10448" s="4"/>
      <c r="C10448" s="4"/>
      <c r="D10448" s="4"/>
      <c r="E10448" s="4"/>
      <c r="F10448" s="4"/>
      <c r="G10448" s="4"/>
      <c r="H10448" s="4"/>
      <c r="I10448" s="4"/>
      <c r="J10448" s="4"/>
      <c r="K10448" s="94"/>
      <c r="L10448" s="95"/>
      <c r="M10448" s="89"/>
      <c r="N10448" s="96"/>
    </row>
    <row r="10449" spans="1:14" ht="12.75" customHeight="1" x14ac:dyDescent="0.2">
      <c r="A10449" s="398" t="s">
        <v>931</v>
      </c>
      <c r="B10449" s="271"/>
      <c r="C10449" s="271"/>
      <c r="D10449" s="271"/>
      <c r="E10449" s="271"/>
      <c r="F10449" s="271"/>
      <c r="G10449" s="271"/>
      <c r="H10449" s="271"/>
      <c r="I10449" s="271"/>
      <c r="J10449" s="271"/>
      <c r="K10449" s="271"/>
      <c r="L10449" s="271"/>
      <c r="M10449" s="271"/>
      <c r="N10449" s="273"/>
    </row>
    <row r="10450" spans="1:14" ht="12.75" customHeight="1" x14ac:dyDescent="0.2">
      <c r="A10450" s="396" t="s">
        <v>76</v>
      </c>
      <c r="B10450" s="271"/>
      <c r="C10450" s="271"/>
      <c r="D10450" s="271"/>
      <c r="E10450" s="271"/>
      <c r="F10450" s="271"/>
      <c r="G10450" s="273"/>
      <c r="H10450" s="88" t="s">
        <v>77</v>
      </c>
      <c r="I10450" s="399" t="s">
        <v>920</v>
      </c>
      <c r="J10450" s="273"/>
      <c r="K10450" s="90" t="s">
        <v>514</v>
      </c>
      <c r="L10450" s="91" t="s">
        <v>932</v>
      </c>
      <c r="M10450" s="399" t="s">
        <v>921</v>
      </c>
      <c r="N10450" s="273"/>
    </row>
    <row r="10451" spans="1:14" ht="12.75" customHeight="1" x14ac:dyDescent="0.25">
      <c r="A10451" s="393" t="s">
        <v>973</v>
      </c>
      <c r="B10451" s="271"/>
      <c r="C10451" s="271"/>
      <c r="D10451" s="271"/>
      <c r="E10451" s="271"/>
      <c r="F10451" s="271"/>
      <c r="G10451" s="273"/>
      <c r="H10451" s="29" t="str">
        <f>IF(A10451="","",VLOOKUP(A10451,AA_Cuadrillas,4,FALSE))</f>
        <v>Cuadrilla</v>
      </c>
      <c r="I10451" s="394">
        <f>IF(A10451="","",VLOOKUP(A10451,AA_Cuadrillas,5,FALSE))</f>
        <v>256799</v>
      </c>
      <c r="J10451" s="273"/>
      <c r="K10451" s="9">
        <f>IF(A10451="","",F.P!$I$2)</f>
        <v>1.88</v>
      </c>
      <c r="L10451" s="93">
        <v>0.5</v>
      </c>
      <c r="M10451" s="394">
        <f t="shared" ref="M10451:M10455" si="1393">IF(A10451="","",I10451*K10451*L10451)</f>
        <v>241391.06</v>
      </c>
      <c r="N10451" s="273"/>
    </row>
    <row r="10452" spans="1:14" ht="12.75" customHeight="1" x14ac:dyDescent="0.25">
      <c r="A10452" s="393"/>
      <c r="B10452" s="271"/>
      <c r="C10452" s="271"/>
      <c r="D10452" s="271"/>
      <c r="E10452" s="271"/>
      <c r="F10452" s="271"/>
      <c r="G10452" s="273"/>
      <c r="H10452" s="29" t="str">
        <f>IF(A10452="","",VLOOKUP(A10452,AA_Cuadrillas,4,FALSE))</f>
        <v/>
      </c>
      <c r="I10452" s="394" t="str">
        <f>IF(A10452="","",VLOOKUP(A10452,AA_Cuadrillas,5,FALSE))</f>
        <v/>
      </c>
      <c r="J10452" s="273"/>
      <c r="K10452" s="9" t="str">
        <f>IF(A10452="","",F.P!$I$2)</f>
        <v/>
      </c>
      <c r="L10452" s="9"/>
      <c r="M10452" s="394" t="str">
        <f t="shared" si="1393"/>
        <v/>
      </c>
      <c r="N10452" s="273"/>
    </row>
    <row r="10453" spans="1:14" ht="12.75" customHeight="1" x14ac:dyDescent="0.25">
      <c r="A10453" s="393"/>
      <c r="B10453" s="271"/>
      <c r="C10453" s="271"/>
      <c r="D10453" s="271"/>
      <c r="E10453" s="271"/>
      <c r="F10453" s="271"/>
      <c r="G10453" s="273"/>
      <c r="H10453" s="29" t="str">
        <f>IF(A10453="","",VLOOKUP(A10453,AA_Cuadrillas,4,FALSE))</f>
        <v/>
      </c>
      <c r="I10453" s="394" t="str">
        <f>IF(A10453="","",VLOOKUP(A10453,AA_Cuadrillas,5,FALSE))</f>
        <v/>
      </c>
      <c r="J10453" s="273"/>
      <c r="K10453" s="9" t="str">
        <f>IF(A10453="","",F.P!$I$2)</f>
        <v/>
      </c>
      <c r="L10453" s="37"/>
      <c r="M10453" s="394" t="str">
        <f t="shared" si="1393"/>
        <v/>
      </c>
      <c r="N10453" s="273"/>
    </row>
    <row r="10454" spans="1:14" ht="12.75" customHeight="1" x14ac:dyDescent="0.25">
      <c r="A10454" s="393"/>
      <c r="B10454" s="271"/>
      <c r="C10454" s="271"/>
      <c r="D10454" s="271"/>
      <c r="E10454" s="271"/>
      <c r="F10454" s="271"/>
      <c r="G10454" s="273"/>
      <c r="H10454" s="29" t="str">
        <f>IF(A10454="","",VLOOKUP(A10454,AA_Cuadrillas,4,FALSE))</f>
        <v/>
      </c>
      <c r="I10454" s="394" t="str">
        <f>IF(A10454="","",VLOOKUP(A10454,AA_Cuadrillas,5,FALSE))</f>
        <v/>
      </c>
      <c r="J10454" s="273"/>
      <c r="K10454" s="9" t="str">
        <f>IF(A10454="","",F.P!$I$2)</f>
        <v/>
      </c>
      <c r="L10454" s="37"/>
      <c r="M10454" s="394" t="str">
        <f t="shared" si="1393"/>
        <v/>
      </c>
      <c r="N10454" s="273"/>
    </row>
    <row r="10455" spans="1:14" ht="12.75" customHeight="1" x14ac:dyDescent="0.25">
      <c r="A10455" s="393"/>
      <c r="B10455" s="271"/>
      <c r="C10455" s="271"/>
      <c r="D10455" s="271"/>
      <c r="E10455" s="271"/>
      <c r="F10455" s="271"/>
      <c r="G10455" s="273"/>
      <c r="H10455" s="29" t="str">
        <f>IF(A10455="","",VLOOKUP(A10455,AA_Cuadrillas,4,FALSE))</f>
        <v/>
      </c>
      <c r="I10455" s="394" t="str">
        <f>IF(A10455="","",VLOOKUP(A10455,AA_Cuadrillas,5,FALSE))</f>
        <v/>
      </c>
      <c r="J10455" s="273"/>
      <c r="K10455" s="9" t="str">
        <f>IF(A10455="","",F.P!$I$2)</f>
        <v/>
      </c>
      <c r="L10455" s="37"/>
      <c r="M10455" s="394" t="str">
        <f t="shared" si="1393"/>
        <v/>
      </c>
      <c r="N10455" s="273"/>
    </row>
    <row r="10456" spans="1:14" ht="12.75" customHeight="1" x14ac:dyDescent="0.25">
      <c r="A10456" s="4"/>
      <c r="B10456" s="4"/>
      <c r="C10456" s="4"/>
      <c r="D10456" s="4"/>
      <c r="E10456" s="4"/>
      <c r="F10456" s="4"/>
      <c r="G10456" s="4"/>
      <c r="H10456" s="4"/>
      <c r="I10456" s="4"/>
      <c r="J10456" s="4"/>
      <c r="K10456" s="396" t="s">
        <v>444</v>
      </c>
      <c r="L10456" s="273"/>
      <c r="M10456" s="394">
        <f>SUM(M10451:N10455)</f>
        <v>241391.06</v>
      </c>
      <c r="N10456" s="273"/>
    </row>
    <row r="10457" spans="1:14" ht="12.75" customHeight="1" x14ac:dyDescent="0.2"/>
    <row r="10458" spans="1:14" ht="12.75" customHeight="1" x14ac:dyDescent="0.2">
      <c r="A10458" s="397" t="s">
        <v>1514</v>
      </c>
      <c r="B10458" s="275"/>
      <c r="C10458" s="275"/>
      <c r="D10458" s="275"/>
      <c r="E10458" s="275"/>
      <c r="F10458" s="275"/>
      <c r="G10458" s="275"/>
      <c r="H10458" s="275"/>
      <c r="I10458" s="275"/>
      <c r="J10458" s="275"/>
      <c r="K10458" s="275"/>
      <c r="L10458" s="275"/>
      <c r="M10458" s="275"/>
      <c r="N10458" s="276"/>
    </row>
    <row r="10459" spans="1:14" ht="12.75" customHeight="1" x14ac:dyDescent="0.2">
      <c r="A10459" s="277"/>
      <c r="B10459" s="278"/>
      <c r="C10459" s="278"/>
      <c r="D10459" s="278"/>
      <c r="E10459" s="278"/>
      <c r="F10459" s="278"/>
      <c r="G10459" s="278"/>
      <c r="H10459" s="278"/>
      <c r="I10459" s="278"/>
      <c r="J10459" s="278"/>
      <c r="K10459" s="278"/>
      <c r="L10459" s="278"/>
      <c r="M10459" s="278"/>
      <c r="N10459" s="279"/>
    </row>
    <row r="10460" spans="1:14" ht="12.75" customHeight="1" x14ac:dyDescent="0.2">
      <c r="A10460" s="75"/>
      <c r="B10460" s="75"/>
      <c r="C10460" s="75"/>
      <c r="D10460" s="75"/>
      <c r="E10460" s="75"/>
      <c r="F10460" s="75"/>
      <c r="G10460" s="75"/>
      <c r="H10460" s="75"/>
      <c r="I10460" s="75"/>
      <c r="J10460" s="75"/>
      <c r="K10460" s="75"/>
      <c r="L10460" s="75"/>
      <c r="M10460" s="75"/>
      <c r="N10460" s="75"/>
    </row>
    <row r="10461" spans="1:14" ht="12.75" customHeight="1" x14ac:dyDescent="0.3">
      <c r="A10461" s="79" t="s">
        <v>844</v>
      </c>
      <c r="B10461" s="80" t="str">
        <f>A10458</f>
        <v>OPTIMIZACIÓN Y MANTENIMIENTO DE PASRELAS PTAP</v>
      </c>
      <c r="C10461" s="81" t="s">
        <v>916</v>
      </c>
      <c r="D10461" s="82"/>
      <c r="E10461" s="83" t="s">
        <v>445</v>
      </c>
      <c r="F10461" s="86">
        <f>H10461+J10461+L10461+N10461</f>
        <v>0</v>
      </c>
      <c r="G10461" s="83" t="s">
        <v>607</v>
      </c>
      <c r="H10461" s="86">
        <f>M10476</f>
        <v>0</v>
      </c>
      <c r="I10461" s="83" t="s">
        <v>918</v>
      </c>
      <c r="J10461" s="86">
        <f>M10485</f>
        <v>0</v>
      </c>
      <c r="K10461" s="83" t="s">
        <v>609</v>
      </c>
      <c r="L10461" s="86">
        <f>M10494</f>
        <v>0</v>
      </c>
      <c r="M10461" s="83" t="s">
        <v>610</v>
      </c>
      <c r="N10461" s="86">
        <f>M10503</f>
        <v>0</v>
      </c>
    </row>
    <row r="10462" spans="1:14" ht="12.75" customHeight="1" x14ac:dyDescent="0.25">
      <c r="A10462" s="87"/>
      <c r="B10462" s="87"/>
      <c r="C10462" s="87"/>
      <c r="D10462" s="87"/>
      <c r="E10462" s="87"/>
      <c r="F10462" s="87"/>
      <c r="G10462" s="87"/>
      <c r="J10462" s="87"/>
      <c r="K10462" s="215" t="s">
        <v>3217</v>
      </c>
      <c r="L10462" s="215">
        <f>+F10461*presup!$O$5</f>
        <v>0</v>
      </c>
      <c r="M10462" s="87"/>
      <c r="N10462" s="87"/>
    </row>
    <row r="10463" spans="1:14" ht="12.75" customHeight="1" x14ac:dyDescent="0.2">
      <c r="A10463" s="398" t="s">
        <v>919</v>
      </c>
      <c r="B10463" s="271"/>
      <c r="C10463" s="271"/>
      <c r="D10463" s="271"/>
      <c r="E10463" s="271"/>
      <c r="F10463" s="271"/>
      <c r="G10463" s="271"/>
      <c r="H10463" s="271"/>
      <c r="I10463" s="271"/>
      <c r="J10463" s="271"/>
      <c r="K10463" s="271"/>
      <c r="L10463" s="271"/>
      <c r="M10463" s="271"/>
      <c r="N10463" s="273"/>
    </row>
    <row r="10464" spans="1:14" ht="12.75" customHeight="1" x14ac:dyDescent="0.2">
      <c r="A10464" s="396" t="s">
        <v>76</v>
      </c>
      <c r="B10464" s="271"/>
      <c r="C10464" s="271"/>
      <c r="D10464" s="271"/>
      <c r="E10464" s="271"/>
      <c r="F10464" s="271"/>
      <c r="G10464" s="273"/>
      <c r="H10464" s="88" t="s">
        <v>77</v>
      </c>
      <c r="I10464" s="399" t="s">
        <v>920</v>
      </c>
      <c r="J10464" s="273"/>
      <c r="K10464" s="399" t="s">
        <v>453</v>
      </c>
      <c r="L10464" s="273"/>
      <c r="M10464" s="399" t="s">
        <v>921</v>
      </c>
      <c r="N10464" s="273"/>
    </row>
    <row r="10465" spans="1:14" ht="12.75" customHeight="1" x14ac:dyDescent="0.2">
      <c r="A10465" s="400"/>
      <c r="B10465" s="271"/>
      <c r="C10465" s="271"/>
      <c r="D10465" s="271"/>
      <c r="E10465" s="271"/>
      <c r="F10465" s="271"/>
      <c r="G10465" s="273"/>
      <c r="H10465" s="29" t="str">
        <f t="shared" ref="H10465:H10475" si="1394">IF(A10465="","",VLOOKUP(A10465,AA_Materiales,7,FALSE))</f>
        <v/>
      </c>
      <c r="I10465" s="394" t="str">
        <f t="shared" ref="I10465:I10475" si="1395">IF(A10465="","",VLOOKUP(A10465,AA_Materiales,8,FALSE))</f>
        <v/>
      </c>
      <c r="J10465" s="273"/>
      <c r="K10465" s="395"/>
      <c r="L10465" s="273"/>
      <c r="M10465" s="394" t="str">
        <f t="shared" ref="M10465:M10475" si="1396">IF(A10465="","",I10465*K10465)</f>
        <v/>
      </c>
      <c r="N10465" s="273"/>
    </row>
    <row r="10466" spans="1:14" ht="12.75" customHeight="1" x14ac:dyDescent="0.2">
      <c r="A10466" s="400"/>
      <c r="B10466" s="271"/>
      <c r="C10466" s="271"/>
      <c r="D10466" s="271"/>
      <c r="E10466" s="271"/>
      <c r="F10466" s="271"/>
      <c r="G10466" s="273"/>
      <c r="H10466" s="29" t="str">
        <f t="shared" si="1394"/>
        <v/>
      </c>
      <c r="I10466" s="394" t="str">
        <f t="shared" si="1395"/>
        <v/>
      </c>
      <c r="J10466" s="273"/>
      <c r="K10466" s="401"/>
      <c r="L10466" s="273"/>
      <c r="M10466" s="394" t="str">
        <f t="shared" si="1396"/>
        <v/>
      </c>
      <c r="N10466" s="273"/>
    </row>
    <row r="10467" spans="1:14" ht="12.75" customHeight="1" x14ac:dyDescent="0.2">
      <c r="A10467" s="400"/>
      <c r="B10467" s="271"/>
      <c r="C10467" s="271"/>
      <c r="D10467" s="271"/>
      <c r="E10467" s="271"/>
      <c r="F10467" s="271"/>
      <c r="G10467" s="273"/>
      <c r="H10467" s="29" t="str">
        <f t="shared" si="1394"/>
        <v/>
      </c>
      <c r="I10467" s="394" t="str">
        <f t="shared" si="1395"/>
        <v/>
      </c>
      <c r="J10467" s="273"/>
      <c r="K10467" s="401"/>
      <c r="L10467" s="273"/>
      <c r="M10467" s="394" t="str">
        <f t="shared" si="1396"/>
        <v/>
      </c>
      <c r="N10467" s="273"/>
    </row>
    <row r="10468" spans="1:14" ht="12.75" customHeight="1" x14ac:dyDescent="0.2">
      <c r="A10468" s="400"/>
      <c r="B10468" s="271"/>
      <c r="C10468" s="271"/>
      <c r="D10468" s="271"/>
      <c r="E10468" s="271"/>
      <c r="F10468" s="271"/>
      <c r="G10468" s="273"/>
      <c r="H10468" s="29" t="str">
        <f t="shared" si="1394"/>
        <v/>
      </c>
      <c r="I10468" s="394" t="str">
        <f t="shared" si="1395"/>
        <v/>
      </c>
      <c r="J10468" s="273"/>
      <c r="K10468" s="401"/>
      <c r="L10468" s="273"/>
      <c r="M10468" s="394" t="str">
        <f t="shared" si="1396"/>
        <v/>
      </c>
      <c r="N10468" s="273"/>
    </row>
    <row r="10469" spans="1:14" ht="12.75" customHeight="1" x14ac:dyDescent="0.2">
      <c r="A10469" s="400"/>
      <c r="B10469" s="271"/>
      <c r="C10469" s="271"/>
      <c r="D10469" s="271"/>
      <c r="E10469" s="271"/>
      <c r="F10469" s="271"/>
      <c r="G10469" s="273"/>
      <c r="H10469" s="29" t="str">
        <f t="shared" si="1394"/>
        <v/>
      </c>
      <c r="I10469" s="394" t="str">
        <f t="shared" si="1395"/>
        <v/>
      </c>
      <c r="J10469" s="273"/>
      <c r="K10469" s="401"/>
      <c r="L10469" s="273"/>
      <c r="M10469" s="394" t="str">
        <f t="shared" si="1396"/>
        <v/>
      </c>
      <c r="N10469" s="273"/>
    </row>
    <row r="10470" spans="1:14" ht="12.75" customHeight="1" x14ac:dyDescent="0.2">
      <c r="A10470" s="400"/>
      <c r="B10470" s="271"/>
      <c r="C10470" s="271"/>
      <c r="D10470" s="271"/>
      <c r="E10470" s="271"/>
      <c r="F10470" s="271"/>
      <c r="G10470" s="273"/>
      <c r="H10470" s="29" t="str">
        <f t="shared" si="1394"/>
        <v/>
      </c>
      <c r="I10470" s="394" t="str">
        <f t="shared" si="1395"/>
        <v/>
      </c>
      <c r="J10470" s="273"/>
      <c r="K10470" s="401"/>
      <c r="L10470" s="273"/>
      <c r="M10470" s="394" t="str">
        <f t="shared" si="1396"/>
        <v/>
      </c>
      <c r="N10470" s="273"/>
    </row>
    <row r="10471" spans="1:14" ht="12.75" customHeight="1" x14ac:dyDescent="0.2">
      <c r="A10471" s="400"/>
      <c r="B10471" s="271"/>
      <c r="C10471" s="271"/>
      <c r="D10471" s="271"/>
      <c r="E10471" s="271"/>
      <c r="F10471" s="271"/>
      <c r="G10471" s="273"/>
      <c r="H10471" s="29" t="str">
        <f t="shared" si="1394"/>
        <v/>
      </c>
      <c r="I10471" s="394" t="str">
        <f t="shared" si="1395"/>
        <v/>
      </c>
      <c r="J10471" s="273"/>
      <c r="K10471" s="401"/>
      <c r="L10471" s="273"/>
      <c r="M10471" s="394" t="str">
        <f t="shared" si="1396"/>
        <v/>
      </c>
      <c r="N10471" s="273"/>
    </row>
    <row r="10472" spans="1:14" ht="12.75" customHeight="1" x14ac:dyDescent="0.2">
      <c r="A10472" s="400"/>
      <c r="B10472" s="271"/>
      <c r="C10472" s="271"/>
      <c r="D10472" s="271"/>
      <c r="E10472" s="271"/>
      <c r="F10472" s="271"/>
      <c r="G10472" s="273"/>
      <c r="H10472" s="29" t="str">
        <f t="shared" si="1394"/>
        <v/>
      </c>
      <c r="I10472" s="394" t="str">
        <f t="shared" si="1395"/>
        <v/>
      </c>
      <c r="J10472" s="273"/>
      <c r="K10472" s="401"/>
      <c r="L10472" s="273"/>
      <c r="M10472" s="394" t="str">
        <f t="shared" si="1396"/>
        <v/>
      </c>
      <c r="N10472" s="273"/>
    </row>
    <row r="10473" spans="1:14" ht="12.75" customHeight="1" x14ac:dyDescent="0.2">
      <c r="A10473" s="400"/>
      <c r="B10473" s="271"/>
      <c r="C10473" s="271"/>
      <c r="D10473" s="271"/>
      <c r="E10473" s="271"/>
      <c r="F10473" s="271"/>
      <c r="G10473" s="273"/>
      <c r="H10473" s="29" t="str">
        <f t="shared" si="1394"/>
        <v/>
      </c>
      <c r="I10473" s="394" t="str">
        <f t="shared" si="1395"/>
        <v/>
      </c>
      <c r="J10473" s="273"/>
      <c r="K10473" s="401"/>
      <c r="L10473" s="273"/>
      <c r="M10473" s="394" t="str">
        <f t="shared" si="1396"/>
        <v/>
      </c>
      <c r="N10473" s="273"/>
    </row>
    <row r="10474" spans="1:14" ht="12.75" customHeight="1" x14ac:dyDescent="0.2">
      <c r="A10474" s="400"/>
      <c r="B10474" s="271"/>
      <c r="C10474" s="271"/>
      <c r="D10474" s="271"/>
      <c r="E10474" s="271"/>
      <c r="F10474" s="271"/>
      <c r="G10474" s="273"/>
      <c r="H10474" s="29" t="str">
        <f t="shared" si="1394"/>
        <v/>
      </c>
      <c r="I10474" s="394" t="str">
        <f t="shared" si="1395"/>
        <v/>
      </c>
      <c r="J10474" s="273"/>
      <c r="K10474" s="395"/>
      <c r="L10474" s="273"/>
      <c r="M10474" s="394" t="str">
        <f t="shared" si="1396"/>
        <v/>
      </c>
      <c r="N10474" s="273"/>
    </row>
    <row r="10475" spans="1:14" ht="12.75" customHeight="1" x14ac:dyDescent="0.2">
      <c r="A10475" s="400"/>
      <c r="B10475" s="271"/>
      <c r="C10475" s="271"/>
      <c r="D10475" s="271"/>
      <c r="E10475" s="271"/>
      <c r="F10475" s="271"/>
      <c r="G10475" s="273"/>
      <c r="H10475" s="29" t="str">
        <f t="shared" si="1394"/>
        <v/>
      </c>
      <c r="I10475" s="394" t="str">
        <f t="shared" si="1395"/>
        <v/>
      </c>
      <c r="J10475" s="273"/>
      <c r="K10475" s="395"/>
      <c r="L10475" s="273"/>
      <c r="M10475" s="394" t="str">
        <f t="shared" si="1396"/>
        <v/>
      </c>
      <c r="N10475" s="273"/>
    </row>
    <row r="10476" spans="1:14" ht="12.75" customHeight="1" x14ac:dyDescent="0.25">
      <c r="A10476" s="4"/>
      <c r="B10476" s="4"/>
      <c r="C10476" s="4"/>
      <c r="D10476" s="4"/>
      <c r="E10476" s="4"/>
      <c r="F10476" s="4"/>
      <c r="G10476" s="4"/>
      <c r="H10476" s="4"/>
      <c r="I10476" s="4"/>
      <c r="J10476" s="4"/>
      <c r="K10476" s="396" t="s">
        <v>444</v>
      </c>
      <c r="L10476" s="273"/>
      <c r="M10476" s="394">
        <f>SUM(M10465:N10475)</f>
        <v>0</v>
      </c>
      <c r="N10476" s="273"/>
    </row>
    <row r="10477" spans="1:14" ht="12.75" customHeight="1" x14ac:dyDescent="0.25">
      <c r="A10477" s="4"/>
      <c r="B10477" s="4"/>
      <c r="C10477" s="4"/>
      <c r="D10477" s="4"/>
      <c r="E10477" s="4"/>
      <c r="F10477" s="4"/>
      <c r="G10477" s="4"/>
      <c r="H10477" s="4"/>
      <c r="I10477" s="4"/>
      <c r="J10477" s="4"/>
      <c r="K10477" s="4"/>
      <c r="L10477" s="4"/>
      <c r="M10477" s="4"/>
      <c r="N10477" s="4"/>
    </row>
    <row r="10478" spans="1:14" ht="12.75" customHeight="1" x14ac:dyDescent="0.2">
      <c r="A10478" s="398" t="s">
        <v>926</v>
      </c>
      <c r="B10478" s="271"/>
      <c r="C10478" s="271"/>
      <c r="D10478" s="271"/>
      <c r="E10478" s="271"/>
      <c r="F10478" s="271"/>
      <c r="G10478" s="271"/>
      <c r="H10478" s="271"/>
      <c r="I10478" s="271"/>
      <c r="J10478" s="271"/>
      <c r="K10478" s="271"/>
      <c r="L10478" s="271"/>
      <c r="M10478" s="271"/>
      <c r="N10478" s="273"/>
    </row>
    <row r="10479" spans="1:14" ht="12.75" customHeight="1" x14ac:dyDescent="0.2">
      <c r="A10479" s="396" t="s">
        <v>76</v>
      </c>
      <c r="B10479" s="271"/>
      <c r="C10479" s="271"/>
      <c r="D10479" s="271"/>
      <c r="E10479" s="271"/>
      <c r="F10479" s="271"/>
      <c r="G10479" s="273"/>
      <c r="H10479" s="88" t="s">
        <v>77</v>
      </c>
      <c r="I10479" s="399" t="s">
        <v>920</v>
      </c>
      <c r="J10479" s="273"/>
      <c r="K10479" s="399" t="s">
        <v>453</v>
      </c>
      <c r="L10479" s="273"/>
      <c r="M10479" s="399" t="s">
        <v>921</v>
      </c>
      <c r="N10479" s="273"/>
    </row>
    <row r="10480" spans="1:14" ht="12.75" customHeight="1" x14ac:dyDescent="0.2">
      <c r="A10480" s="400" t="s">
        <v>927</v>
      </c>
      <c r="B10480" s="271"/>
      <c r="C10480" s="271"/>
      <c r="D10480" s="271"/>
      <c r="E10480" s="271"/>
      <c r="F10480" s="271"/>
      <c r="G10480" s="273"/>
      <c r="H10480" s="29" t="str">
        <f>IF(A10480="","",VLOOKUP(A10480,AA_Equipos,7,FALSE))</f>
        <v>% M.O.</v>
      </c>
      <c r="I10480" s="394">
        <f>M10503</f>
        <v>0</v>
      </c>
      <c r="J10480" s="273"/>
      <c r="K10480" s="404">
        <v>0.05</v>
      </c>
      <c r="L10480" s="273"/>
      <c r="M10480" s="394">
        <f t="shared" ref="M10480:M10484" si="1397">IF(A10480="","",I10480*K10480)</f>
        <v>0</v>
      </c>
      <c r="N10480" s="273"/>
    </row>
    <row r="10481" spans="1:14" ht="12.75" customHeight="1" x14ac:dyDescent="0.2">
      <c r="A10481" s="403"/>
      <c r="B10481" s="271"/>
      <c r="C10481" s="271"/>
      <c r="D10481" s="271"/>
      <c r="E10481" s="271"/>
      <c r="F10481" s="271"/>
      <c r="G10481" s="273"/>
      <c r="H10481" s="29" t="str">
        <f>IF(A10481="","",VLOOKUP(A10481,AA_Equipos,7,FALSE))</f>
        <v/>
      </c>
      <c r="I10481" s="394" t="str">
        <f>IF(A10481="","",VLOOKUP(A10481,AA_Equipos,8,FALSE))</f>
        <v/>
      </c>
      <c r="J10481" s="273"/>
      <c r="K10481" s="402"/>
      <c r="L10481" s="273"/>
      <c r="M10481" s="394" t="str">
        <f t="shared" si="1397"/>
        <v/>
      </c>
      <c r="N10481" s="273"/>
    </row>
    <row r="10482" spans="1:14" ht="12.75" customHeight="1" x14ac:dyDescent="0.2">
      <c r="A10482" s="400"/>
      <c r="B10482" s="271"/>
      <c r="C10482" s="271"/>
      <c r="D10482" s="271"/>
      <c r="E10482" s="271"/>
      <c r="F10482" s="271"/>
      <c r="G10482" s="273"/>
      <c r="H10482" s="29" t="str">
        <f>IF(A10482="","",VLOOKUP(A10482,AA_Equipos,7,FALSE))</f>
        <v/>
      </c>
      <c r="I10482" s="394" t="str">
        <f>IF(A10482="","",VLOOKUP(A10482,AA_Equipos,8,FALSE))</f>
        <v/>
      </c>
      <c r="J10482" s="273"/>
      <c r="K10482" s="401"/>
      <c r="L10482" s="273"/>
      <c r="M10482" s="394" t="str">
        <f t="shared" si="1397"/>
        <v/>
      </c>
      <c r="N10482" s="273"/>
    </row>
    <row r="10483" spans="1:14" ht="12.75" customHeight="1" x14ac:dyDescent="0.2">
      <c r="A10483" s="400"/>
      <c r="B10483" s="271"/>
      <c r="C10483" s="271"/>
      <c r="D10483" s="271"/>
      <c r="E10483" s="271"/>
      <c r="F10483" s="271"/>
      <c r="G10483" s="273"/>
      <c r="H10483" s="29" t="str">
        <f>IF(A10483="","",VLOOKUP(A10483,AA_Equipos,7,FALSE))</f>
        <v/>
      </c>
      <c r="I10483" s="394" t="str">
        <f>IF(A10483="","",VLOOKUP(A10483,AA_Equipos,8,FALSE))</f>
        <v/>
      </c>
      <c r="J10483" s="273"/>
      <c r="K10483" s="395"/>
      <c r="L10483" s="273"/>
      <c r="M10483" s="394" t="str">
        <f t="shared" si="1397"/>
        <v/>
      </c>
      <c r="N10483" s="273"/>
    </row>
    <row r="10484" spans="1:14" ht="12.75" customHeight="1" x14ac:dyDescent="0.2">
      <c r="A10484" s="400"/>
      <c r="B10484" s="271"/>
      <c r="C10484" s="271"/>
      <c r="D10484" s="271"/>
      <c r="E10484" s="271"/>
      <c r="F10484" s="271"/>
      <c r="G10484" s="273"/>
      <c r="H10484" s="29" t="str">
        <f>IF(A10484="","",VLOOKUP(A10484,AA_Equipos,7,FALSE))</f>
        <v/>
      </c>
      <c r="I10484" s="394" t="str">
        <f>IF(A10484="","",VLOOKUP(A10484,AA_Equipos,8,FALSE))</f>
        <v/>
      </c>
      <c r="J10484" s="273"/>
      <c r="K10484" s="395"/>
      <c r="L10484" s="273"/>
      <c r="M10484" s="394" t="str">
        <f t="shared" si="1397"/>
        <v/>
      </c>
      <c r="N10484" s="273"/>
    </row>
    <row r="10485" spans="1:14" ht="12.75" customHeight="1" x14ac:dyDescent="0.25">
      <c r="A10485" s="4"/>
      <c r="B10485" s="4"/>
      <c r="C10485" s="4"/>
      <c r="D10485" s="4"/>
      <c r="E10485" s="4"/>
      <c r="F10485" s="4"/>
      <c r="G10485" s="4"/>
      <c r="H10485" s="4"/>
      <c r="I10485" s="4"/>
      <c r="J10485" s="4"/>
      <c r="K10485" s="396" t="s">
        <v>444</v>
      </c>
      <c r="L10485" s="273"/>
      <c r="M10485" s="394">
        <f>SUM(M10480:N10484)</f>
        <v>0</v>
      </c>
      <c r="N10485" s="273"/>
    </row>
    <row r="10486" spans="1:14" ht="12.75" customHeight="1" x14ac:dyDescent="0.25">
      <c r="A10486" s="4"/>
      <c r="B10486" s="4"/>
      <c r="C10486" s="4"/>
      <c r="D10486" s="4"/>
      <c r="E10486" s="4"/>
      <c r="F10486" s="4"/>
      <c r="G10486" s="4"/>
      <c r="H10486" s="4"/>
      <c r="I10486" s="4"/>
      <c r="J10486" s="4"/>
      <c r="K10486" s="4"/>
      <c r="L10486" s="4"/>
      <c r="M10486" s="4"/>
      <c r="N10486" s="4"/>
    </row>
    <row r="10487" spans="1:14" ht="12.75" customHeight="1" x14ac:dyDescent="0.2">
      <c r="A10487" s="398" t="s">
        <v>929</v>
      </c>
      <c r="B10487" s="271"/>
      <c r="C10487" s="271"/>
      <c r="D10487" s="271"/>
      <c r="E10487" s="271"/>
      <c r="F10487" s="271"/>
      <c r="G10487" s="271"/>
      <c r="H10487" s="271"/>
      <c r="I10487" s="271"/>
      <c r="J10487" s="271"/>
      <c r="K10487" s="271"/>
      <c r="L10487" s="271"/>
      <c r="M10487" s="271"/>
      <c r="N10487" s="273"/>
    </row>
    <row r="10488" spans="1:14" ht="12.75" customHeight="1" x14ac:dyDescent="0.2">
      <c r="A10488" s="396" t="s">
        <v>76</v>
      </c>
      <c r="B10488" s="271"/>
      <c r="C10488" s="271"/>
      <c r="D10488" s="271"/>
      <c r="E10488" s="271"/>
      <c r="F10488" s="271"/>
      <c r="G10488" s="273"/>
      <c r="H10488" s="88" t="s">
        <v>77</v>
      </c>
      <c r="I10488" s="399" t="s">
        <v>920</v>
      </c>
      <c r="J10488" s="273"/>
      <c r="K10488" s="399" t="s">
        <v>453</v>
      </c>
      <c r="L10488" s="273"/>
      <c r="M10488" s="399" t="s">
        <v>921</v>
      </c>
      <c r="N10488" s="273"/>
    </row>
    <row r="10489" spans="1:14" ht="12.75" customHeight="1" x14ac:dyDescent="0.2">
      <c r="A10489" s="400" t="s">
        <v>965</v>
      </c>
      <c r="B10489" s="271"/>
      <c r="C10489" s="271"/>
      <c r="D10489" s="271"/>
      <c r="E10489" s="271"/>
      <c r="F10489" s="271"/>
      <c r="G10489" s="273"/>
      <c r="H10489" s="29" t="s">
        <v>959</v>
      </c>
      <c r="I10489" s="394"/>
      <c r="J10489" s="273"/>
      <c r="K10489" s="404">
        <v>0.05</v>
      </c>
      <c r="L10489" s="273"/>
      <c r="M10489" s="394">
        <f t="shared" ref="M10489:M10493" si="1398">IF(A10489="","",I10489*K10489)</f>
        <v>0</v>
      </c>
      <c r="N10489" s="273"/>
    </row>
    <row r="10490" spans="1:14" ht="12.75" customHeight="1" x14ac:dyDescent="0.2">
      <c r="A10490" s="403" t="s">
        <v>966</v>
      </c>
      <c r="B10490" s="271"/>
      <c r="C10490" s="271"/>
      <c r="D10490" s="271"/>
      <c r="E10490" s="271"/>
      <c r="F10490" s="271"/>
      <c r="G10490" s="273"/>
      <c r="H10490" s="29" t="s">
        <v>950</v>
      </c>
      <c r="I10490" s="394">
        <f>+M10476</f>
        <v>0</v>
      </c>
      <c r="J10490" s="273"/>
      <c r="K10490" s="404">
        <v>0.05</v>
      </c>
      <c r="L10490" s="273"/>
      <c r="M10490" s="394">
        <f t="shared" si="1398"/>
        <v>0</v>
      </c>
      <c r="N10490" s="273"/>
    </row>
    <row r="10491" spans="1:14" ht="12.75" customHeight="1" x14ac:dyDescent="0.2">
      <c r="A10491" s="400"/>
      <c r="B10491" s="271"/>
      <c r="C10491" s="271"/>
      <c r="D10491" s="271"/>
      <c r="E10491" s="271"/>
      <c r="F10491" s="271"/>
      <c r="G10491" s="273"/>
      <c r="H10491" s="29"/>
      <c r="I10491" s="394"/>
      <c r="J10491" s="273"/>
      <c r="K10491" s="395"/>
      <c r="L10491" s="273"/>
      <c r="M10491" s="394" t="str">
        <f t="shared" si="1398"/>
        <v/>
      </c>
      <c r="N10491" s="273"/>
    </row>
    <row r="10492" spans="1:14" ht="12.75" customHeight="1" x14ac:dyDescent="0.2">
      <c r="A10492" s="400"/>
      <c r="B10492" s="271"/>
      <c r="C10492" s="271"/>
      <c r="D10492" s="271"/>
      <c r="E10492" s="271"/>
      <c r="F10492" s="271"/>
      <c r="G10492" s="273"/>
      <c r="H10492" s="29"/>
      <c r="I10492" s="394"/>
      <c r="J10492" s="273"/>
      <c r="K10492" s="395"/>
      <c r="L10492" s="273"/>
      <c r="M10492" s="394" t="str">
        <f t="shared" si="1398"/>
        <v/>
      </c>
      <c r="N10492" s="273"/>
    </row>
    <row r="10493" spans="1:14" ht="12.75" customHeight="1" x14ac:dyDescent="0.2">
      <c r="A10493" s="400"/>
      <c r="B10493" s="271"/>
      <c r="C10493" s="271"/>
      <c r="D10493" s="271"/>
      <c r="E10493" s="271"/>
      <c r="F10493" s="271"/>
      <c r="G10493" s="273"/>
      <c r="H10493" s="29"/>
      <c r="I10493" s="394"/>
      <c r="J10493" s="273"/>
      <c r="K10493" s="395"/>
      <c r="L10493" s="273"/>
      <c r="M10493" s="394" t="str">
        <f t="shared" si="1398"/>
        <v/>
      </c>
      <c r="N10493" s="273"/>
    </row>
    <row r="10494" spans="1:14" ht="12.75" customHeight="1" x14ac:dyDescent="0.25">
      <c r="A10494" s="4"/>
      <c r="B10494" s="4"/>
      <c r="C10494" s="4"/>
      <c r="D10494" s="4"/>
      <c r="E10494" s="4"/>
      <c r="F10494" s="4"/>
      <c r="G10494" s="4"/>
      <c r="H10494" s="4"/>
      <c r="I10494" s="4"/>
      <c r="J10494" s="4"/>
      <c r="K10494" s="396" t="s">
        <v>444</v>
      </c>
      <c r="L10494" s="273"/>
      <c r="M10494" s="394">
        <f>SUM(M10489:N10493)</f>
        <v>0</v>
      </c>
      <c r="N10494" s="273"/>
    </row>
    <row r="10495" spans="1:14" ht="12.75" customHeight="1" x14ac:dyDescent="0.25">
      <c r="A10495" s="4"/>
      <c r="B10495" s="4"/>
      <c r="C10495" s="4"/>
      <c r="D10495" s="4"/>
      <c r="E10495" s="4"/>
      <c r="F10495" s="4"/>
      <c r="G10495" s="4"/>
      <c r="H10495" s="4"/>
      <c r="I10495" s="4"/>
      <c r="J10495" s="4"/>
      <c r="K10495" s="94"/>
      <c r="L10495" s="95"/>
      <c r="M10495" s="89"/>
      <c r="N10495" s="96"/>
    </row>
    <row r="10496" spans="1:14" ht="12.75" customHeight="1" x14ac:dyDescent="0.2">
      <c r="A10496" s="398" t="s">
        <v>931</v>
      </c>
      <c r="B10496" s="271"/>
      <c r="C10496" s="271"/>
      <c r="D10496" s="271"/>
      <c r="E10496" s="271"/>
      <c r="F10496" s="271"/>
      <c r="G10496" s="271"/>
      <c r="H10496" s="271"/>
      <c r="I10496" s="271"/>
      <c r="J10496" s="271"/>
      <c r="K10496" s="271"/>
      <c r="L10496" s="271"/>
      <c r="M10496" s="271"/>
      <c r="N10496" s="273"/>
    </row>
    <row r="10497" spans="1:14" ht="12.75" customHeight="1" x14ac:dyDescent="0.2">
      <c r="A10497" s="396" t="s">
        <v>76</v>
      </c>
      <c r="B10497" s="271"/>
      <c r="C10497" s="271"/>
      <c r="D10497" s="271"/>
      <c r="E10497" s="271"/>
      <c r="F10497" s="271"/>
      <c r="G10497" s="273"/>
      <c r="H10497" s="88" t="s">
        <v>77</v>
      </c>
      <c r="I10497" s="399" t="s">
        <v>920</v>
      </c>
      <c r="J10497" s="273"/>
      <c r="K10497" s="90" t="s">
        <v>514</v>
      </c>
      <c r="L10497" s="91" t="s">
        <v>932</v>
      </c>
      <c r="M10497" s="399" t="s">
        <v>921</v>
      </c>
      <c r="N10497" s="273"/>
    </row>
    <row r="10498" spans="1:14" ht="12.75" customHeight="1" x14ac:dyDescent="0.25">
      <c r="A10498" s="393" t="s">
        <v>973</v>
      </c>
      <c r="B10498" s="271"/>
      <c r="C10498" s="271"/>
      <c r="D10498" s="271"/>
      <c r="E10498" s="271"/>
      <c r="F10498" s="271"/>
      <c r="G10498" s="273"/>
      <c r="H10498" s="29" t="str">
        <f>IF(A10498="","",VLOOKUP(A10498,AA_Cuadrillas,4,FALSE))</f>
        <v>Cuadrilla</v>
      </c>
      <c r="I10498" s="394">
        <f>IF(A10498="","",VLOOKUP(A10498,AA_Cuadrillas,5,FALSE))</f>
        <v>256799</v>
      </c>
      <c r="J10498" s="273"/>
      <c r="K10498" s="9">
        <f>IF(A10498="","",F.P!$I$2)</f>
        <v>1.88</v>
      </c>
      <c r="L10498" s="93"/>
      <c r="M10498" s="394">
        <f t="shared" ref="M10498:M10502" si="1399">IF(A10498="","",I10498*K10498*L10498)</f>
        <v>0</v>
      </c>
      <c r="N10498" s="273"/>
    </row>
    <row r="10499" spans="1:14" ht="12.75" customHeight="1" x14ac:dyDescent="0.25">
      <c r="A10499" s="393"/>
      <c r="B10499" s="271"/>
      <c r="C10499" s="271"/>
      <c r="D10499" s="271"/>
      <c r="E10499" s="271"/>
      <c r="F10499" s="271"/>
      <c r="G10499" s="273"/>
      <c r="H10499" s="29" t="str">
        <f>IF(A10499="","",VLOOKUP(A10499,AA_Cuadrillas,4,FALSE))</f>
        <v/>
      </c>
      <c r="I10499" s="394" t="str">
        <f>IF(A10499="","",VLOOKUP(A10499,AA_Cuadrillas,5,FALSE))</f>
        <v/>
      </c>
      <c r="J10499" s="273"/>
      <c r="K10499" s="9" t="str">
        <f>IF(A10499="","",F.P!$I$2)</f>
        <v/>
      </c>
      <c r="L10499" s="9"/>
      <c r="M10499" s="394" t="str">
        <f t="shared" si="1399"/>
        <v/>
      </c>
      <c r="N10499" s="273"/>
    </row>
    <row r="10500" spans="1:14" ht="12.75" customHeight="1" x14ac:dyDescent="0.25">
      <c r="A10500" s="393"/>
      <c r="B10500" s="271"/>
      <c r="C10500" s="271"/>
      <c r="D10500" s="271"/>
      <c r="E10500" s="271"/>
      <c r="F10500" s="271"/>
      <c r="G10500" s="273"/>
      <c r="H10500" s="29" t="str">
        <f>IF(A10500="","",VLOOKUP(A10500,AA_Cuadrillas,4,FALSE))</f>
        <v/>
      </c>
      <c r="I10500" s="394" t="str">
        <f>IF(A10500="","",VLOOKUP(A10500,AA_Cuadrillas,5,FALSE))</f>
        <v/>
      </c>
      <c r="J10500" s="273"/>
      <c r="K10500" s="9" t="str">
        <f>IF(A10500="","",F.P!$I$2)</f>
        <v/>
      </c>
      <c r="L10500" s="37"/>
      <c r="M10500" s="394" t="str">
        <f t="shared" si="1399"/>
        <v/>
      </c>
      <c r="N10500" s="273"/>
    </row>
    <row r="10501" spans="1:14" ht="12.75" customHeight="1" x14ac:dyDescent="0.25">
      <c r="A10501" s="393"/>
      <c r="B10501" s="271"/>
      <c r="C10501" s="271"/>
      <c r="D10501" s="271"/>
      <c r="E10501" s="271"/>
      <c r="F10501" s="271"/>
      <c r="G10501" s="273"/>
      <c r="H10501" s="29" t="str">
        <f>IF(A10501="","",VLOOKUP(A10501,AA_Cuadrillas,4,FALSE))</f>
        <v/>
      </c>
      <c r="I10501" s="394" t="str">
        <f>IF(A10501="","",VLOOKUP(A10501,AA_Cuadrillas,5,FALSE))</f>
        <v/>
      </c>
      <c r="J10501" s="273"/>
      <c r="K10501" s="9" t="str">
        <f>IF(A10501="","",F.P!$I$2)</f>
        <v/>
      </c>
      <c r="L10501" s="37"/>
      <c r="M10501" s="394" t="str">
        <f t="shared" si="1399"/>
        <v/>
      </c>
      <c r="N10501" s="273"/>
    </row>
    <row r="10502" spans="1:14" ht="12.75" customHeight="1" x14ac:dyDescent="0.25">
      <c r="A10502" s="393"/>
      <c r="B10502" s="271"/>
      <c r="C10502" s="271"/>
      <c r="D10502" s="271"/>
      <c r="E10502" s="271"/>
      <c r="F10502" s="271"/>
      <c r="G10502" s="273"/>
      <c r="H10502" s="29" t="str">
        <f>IF(A10502="","",VLOOKUP(A10502,AA_Cuadrillas,4,FALSE))</f>
        <v/>
      </c>
      <c r="I10502" s="394" t="str">
        <f>IF(A10502="","",VLOOKUP(A10502,AA_Cuadrillas,5,FALSE))</f>
        <v/>
      </c>
      <c r="J10502" s="273"/>
      <c r="K10502" s="9" t="str">
        <f>IF(A10502="","",F.P!$I$2)</f>
        <v/>
      </c>
      <c r="L10502" s="37"/>
      <c r="M10502" s="394" t="str">
        <f t="shared" si="1399"/>
        <v/>
      </c>
      <c r="N10502" s="273"/>
    </row>
    <row r="10503" spans="1:14" ht="12.75" customHeight="1" x14ac:dyDescent="0.25">
      <c r="A10503" s="4"/>
      <c r="B10503" s="4"/>
      <c r="C10503" s="4"/>
      <c r="D10503" s="4"/>
      <c r="E10503" s="4"/>
      <c r="F10503" s="4"/>
      <c r="G10503" s="4"/>
      <c r="H10503" s="4"/>
      <c r="I10503" s="4"/>
      <c r="J10503" s="4"/>
      <c r="K10503" s="396" t="s">
        <v>444</v>
      </c>
      <c r="L10503" s="273"/>
      <c r="M10503" s="394">
        <f>SUM(M10498:N10502)</f>
        <v>0</v>
      </c>
      <c r="N10503" s="273"/>
    </row>
    <row r="10504" spans="1:14" ht="12.75" customHeight="1" x14ac:dyDescent="0.2"/>
    <row r="10505" spans="1:14" ht="12.75" customHeight="1" x14ac:dyDescent="0.2">
      <c r="A10505" s="407" t="s">
        <v>194</v>
      </c>
      <c r="B10505" s="275"/>
      <c r="C10505" s="275"/>
      <c r="D10505" s="275"/>
      <c r="E10505" s="275"/>
      <c r="F10505" s="275"/>
      <c r="G10505" s="275"/>
      <c r="H10505" s="275"/>
      <c r="I10505" s="275"/>
      <c r="J10505" s="275"/>
      <c r="K10505" s="275"/>
      <c r="L10505" s="275"/>
      <c r="M10505" s="275"/>
      <c r="N10505" s="276"/>
    </row>
    <row r="10506" spans="1:14" ht="12.75" customHeight="1" x14ac:dyDescent="0.2">
      <c r="A10506" s="277"/>
      <c r="B10506" s="278"/>
      <c r="C10506" s="278"/>
      <c r="D10506" s="278"/>
      <c r="E10506" s="278"/>
      <c r="F10506" s="278"/>
      <c r="G10506" s="278"/>
      <c r="H10506" s="278"/>
      <c r="I10506" s="278"/>
      <c r="J10506" s="278"/>
      <c r="K10506" s="278"/>
      <c r="L10506" s="278"/>
      <c r="M10506" s="278"/>
      <c r="N10506" s="279"/>
    </row>
    <row r="10507" spans="1:14" ht="12.75" customHeight="1" x14ac:dyDescent="0.2">
      <c r="A10507" s="75"/>
      <c r="B10507" s="75"/>
      <c r="C10507" s="75"/>
      <c r="D10507" s="75"/>
      <c r="E10507" s="75"/>
      <c r="F10507" s="75"/>
      <c r="G10507" s="75"/>
      <c r="H10507" s="75"/>
      <c r="I10507" s="75"/>
      <c r="J10507" s="75"/>
      <c r="K10507" s="75"/>
      <c r="L10507" s="75"/>
      <c r="M10507" s="75"/>
      <c r="N10507" s="75"/>
    </row>
    <row r="10508" spans="1:14" ht="12.75" customHeight="1" x14ac:dyDescent="0.3">
      <c r="A10508" s="79" t="s">
        <v>845</v>
      </c>
      <c r="B10508" s="80" t="str">
        <f>A10505</f>
        <v>LECHO FILTRANTE CON ANTRACITA (INCLUYE MATERIALES, TRANSPORTE Y MANO DE OBRA)</v>
      </c>
      <c r="C10508" s="81" t="s">
        <v>916</v>
      </c>
      <c r="D10508" s="82" t="s">
        <v>258</v>
      </c>
      <c r="E10508" s="83" t="s">
        <v>445</v>
      </c>
      <c r="F10508" s="86">
        <f>H10508+J10508+L10508+N10508</f>
        <v>554651.61916795676</v>
      </c>
      <c r="G10508" s="83" t="s">
        <v>607</v>
      </c>
      <c r="H10508" s="86">
        <f>M10527</f>
        <v>1755.5722000000003</v>
      </c>
      <c r="I10508" s="83" t="s">
        <v>918</v>
      </c>
      <c r="J10508" s="86">
        <f>M10518</f>
        <v>416000</v>
      </c>
      <c r="K10508" s="83" t="s">
        <v>609</v>
      </c>
      <c r="L10508" s="86">
        <f>M10536</f>
        <v>101784.60296795673</v>
      </c>
      <c r="M10508" s="83" t="s">
        <v>610</v>
      </c>
      <c r="N10508" s="86">
        <f>M10545</f>
        <v>35111.444000000003</v>
      </c>
    </row>
    <row r="10509" spans="1:14" ht="12.75" customHeight="1" x14ac:dyDescent="0.25">
      <c r="A10509" s="87"/>
      <c r="B10509" s="87"/>
      <c r="C10509" s="87"/>
      <c r="D10509" s="87"/>
      <c r="E10509" s="87"/>
      <c r="F10509" s="87"/>
      <c r="G10509" s="87"/>
      <c r="J10509" s="87"/>
      <c r="K10509" s="215" t="s">
        <v>3217</v>
      </c>
      <c r="L10509" s="215">
        <f>+F10508*presup!$O$5</f>
        <v>721047.10491834383</v>
      </c>
      <c r="M10509" s="87"/>
      <c r="N10509" s="87"/>
    </row>
    <row r="10510" spans="1:14" ht="12.75" customHeight="1" x14ac:dyDescent="0.2">
      <c r="A10510" s="398" t="s">
        <v>919</v>
      </c>
      <c r="B10510" s="271"/>
      <c r="C10510" s="271"/>
      <c r="D10510" s="271"/>
      <c r="E10510" s="271"/>
      <c r="F10510" s="271"/>
      <c r="G10510" s="271"/>
      <c r="H10510" s="271"/>
      <c r="I10510" s="271"/>
      <c r="J10510" s="271"/>
      <c r="K10510" s="271"/>
      <c r="L10510" s="271"/>
      <c r="M10510" s="271"/>
      <c r="N10510" s="273"/>
    </row>
    <row r="10511" spans="1:14" ht="12.75" customHeight="1" x14ac:dyDescent="0.2">
      <c r="A10511" s="396" t="s">
        <v>76</v>
      </c>
      <c r="B10511" s="271"/>
      <c r="C10511" s="271"/>
      <c r="D10511" s="271"/>
      <c r="E10511" s="271"/>
      <c r="F10511" s="271"/>
      <c r="G10511" s="273"/>
      <c r="H10511" s="88" t="s">
        <v>77</v>
      </c>
      <c r="I10511" s="399" t="s">
        <v>920</v>
      </c>
      <c r="J10511" s="273"/>
      <c r="K10511" s="399" t="s">
        <v>453</v>
      </c>
      <c r="L10511" s="273"/>
      <c r="M10511" s="399" t="s">
        <v>921</v>
      </c>
      <c r="N10511" s="273"/>
    </row>
    <row r="10512" spans="1:14" ht="12.75" customHeight="1" x14ac:dyDescent="0.2">
      <c r="A10512" s="403" t="s">
        <v>1515</v>
      </c>
      <c r="B10512" s="271"/>
      <c r="C10512" s="271"/>
      <c r="D10512" s="271"/>
      <c r="E10512" s="271"/>
      <c r="F10512" s="271"/>
      <c r="G10512" s="273"/>
      <c r="H10512" s="29" t="str">
        <f t="shared" ref="H10512:H10517" si="1400">IF(A10512="","",VLOOKUP(A10512,AA_Materiales,7,FALSE))</f>
        <v>m3</v>
      </c>
      <c r="I10512" s="394">
        <f t="shared" ref="I10512:I10517" si="1401">IF(A10512="","",VLOOKUP(A10512,AA_Materiales,8,FALSE))</f>
        <v>416000</v>
      </c>
      <c r="J10512" s="273"/>
      <c r="K10512" s="395">
        <v>1</v>
      </c>
      <c r="L10512" s="273"/>
      <c r="M10512" s="394">
        <f t="shared" ref="M10512:M10517" si="1402">IF(A10512="","",I10512*K10512)</f>
        <v>416000</v>
      </c>
      <c r="N10512" s="273"/>
    </row>
    <row r="10513" spans="1:14" ht="12.75" customHeight="1" x14ac:dyDescent="0.2">
      <c r="A10513" s="403"/>
      <c r="B10513" s="271"/>
      <c r="C10513" s="271"/>
      <c r="D10513" s="271"/>
      <c r="E10513" s="271"/>
      <c r="F10513" s="271"/>
      <c r="G10513" s="273"/>
      <c r="H10513" s="29" t="str">
        <f t="shared" si="1400"/>
        <v/>
      </c>
      <c r="I10513" s="394" t="str">
        <f t="shared" si="1401"/>
        <v/>
      </c>
      <c r="J10513" s="273"/>
      <c r="K10513" s="395"/>
      <c r="L10513" s="273"/>
      <c r="M10513" s="394" t="str">
        <f t="shared" si="1402"/>
        <v/>
      </c>
      <c r="N10513" s="273"/>
    </row>
    <row r="10514" spans="1:14" ht="12.75" customHeight="1" x14ac:dyDescent="0.2">
      <c r="A10514" s="403"/>
      <c r="B10514" s="271"/>
      <c r="C10514" s="271"/>
      <c r="D10514" s="271"/>
      <c r="E10514" s="271"/>
      <c r="F10514" s="271"/>
      <c r="G10514" s="273"/>
      <c r="H10514" s="29" t="str">
        <f t="shared" si="1400"/>
        <v/>
      </c>
      <c r="I10514" s="394" t="str">
        <f t="shared" si="1401"/>
        <v/>
      </c>
      <c r="J10514" s="273"/>
      <c r="K10514" s="395"/>
      <c r="L10514" s="273"/>
      <c r="M10514" s="394" t="str">
        <f t="shared" si="1402"/>
        <v/>
      </c>
      <c r="N10514" s="273"/>
    </row>
    <row r="10515" spans="1:14" ht="12.75" customHeight="1" x14ac:dyDescent="0.2">
      <c r="A10515" s="403"/>
      <c r="B10515" s="271"/>
      <c r="C10515" s="271"/>
      <c r="D10515" s="271"/>
      <c r="E10515" s="271"/>
      <c r="F10515" s="271"/>
      <c r="G10515" s="273"/>
      <c r="H10515" s="29" t="str">
        <f t="shared" si="1400"/>
        <v/>
      </c>
      <c r="I10515" s="394" t="str">
        <f t="shared" si="1401"/>
        <v/>
      </c>
      <c r="J10515" s="273"/>
      <c r="K10515" s="395"/>
      <c r="L10515" s="273"/>
      <c r="M10515" s="394" t="str">
        <f t="shared" si="1402"/>
        <v/>
      </c>
      <c r="N10515" s="273"/>
    </row>
    <row r="10516" spans="1:14" ht="12.75" customHeight="1" x14ac:dyDescent="0.2">
      <c r="A10516" s="403"/>
      <c r="B10516" s="271"/>
      <c r="C10516" s="271"/>
      <c r="D10516" s="271"/>
      <c r="E10516" s="271"/>
      <c r="F10516" s="271"/>
      <c r="G10516" s="273"/>
      <c r="H10516" s="29" t="str">
        <f t="shared" si="1400"/>
        <v/>
      </c>
      <c r="I10516" s="394" t="str">
        <f t="shared" si="1401"/>
        <v/>
      </c>
      <c r="J10516" s="273"/>
      <c r="K10516" s="395"/>
      <c r="L10516" s="273"/>
      <c r="M10516" s="394" t="str">
        <f t="shared" si="1402"/>
        <v/>
      </c>
      <c r="N10516" s="273"/>
    </row>
    <row r="10517" spans="1:14" ht="12.75" customHeight="1" x14ac:dyDescent="0.2">
      <c r="A10517" s="403"/>
      <c r="B10517" s="271"/>
      <c r="C10517" s="271"/>
      <c r="D10517" s="271"/>
      <c r="E10517" s="271"/>
      <c r="F10517" s="271"/>
      <c r="G10517" s="273"/>
      <c r="H10517" s="29" t="str">
        <f t="shared" si="1400"/>
        <v/>
      </c>
      <c r="I10517" s="394" t="str">
        <f t="shared" si="1401"/>
        <v/>
      </c>
      <c r="J10517" s="273"/>
      <c r="K10517" s="395"/>
      <c r="L10517" s="273"/>
      <c r="M10517" s="394" t="str">
        <f t="shared" si="1402"/>
        <v/>
      </c>
      <c r="N10517" s="273"/>
    </row>
    <row r="10518" spans="1:14" ht="12.75" customHeight="1" x14ac:dyDescent="0.25">
      <c r="A10518" s="4"/>
      <c r="B10518" s="4"/>
      <c r="C10518" s="4"/>
      <c r="D10518" s="4"/>
      <c r="E10518" s="4"/>
      <c r="F10518" s="4"/>
      <c r="G10518" s="4"/>
      <c r="H10518" s="4"/>
      <c r="I10518" s="4"/>
      <c r="J10518" s="4"/>
      <c r="K10518" s="396" t="s">
        <v>444</v>
      </c>
      <c r="L10518" s="273"/>
      <c r="M10518" s="394">
        <f>SUM(M10512:N10517)</f>
        <v>416000</v>
      </c>
      <c r="N10518" s="273"/>
    </row>
    <row r="10519" spans="1:14" ht="12.75" customHeight="1" x14ac:dyDescent="0.25">
      <c r="A10519" s="4"/>
      <c r="B10519" s="4"/>
      <c r="C10519" s="4"/>
      <c r="D10519" s="4"/>
      <c r="E10519" s="4"/>
      <c r="F10519" s="4"/>
      <c r="G10519" s="4"/>
      <c r="H10519" s="4"/>
      <c r="I10519" s="4"/>
      <c r="J10519" s="4"/>
      <c r="K10519" s="4"/>
      <c r="L10519" s="4"/>
      <c r="M10519" s="4"/>
      <c r="N10519" s="4"/>
    </row>
    <row r="10520" spans="1:14" ht="12.75" customHeight="1" x14ac:dyDescent="0.2">
      <c r="A10520" s="398" t="s">
        <v>926</v>
      </c>
      <c r="B10520" s="271"/>
      <c r="C10520" s="271"/>
      <c r="D10520" s="271"/>
      <c r="E10520" s="271"/>
      <c r="F10520" s="271"/>
      <c r="G10520" s="271"/>
      <c r="H10520" s="271"/>
      <c r="I10520" s="271"/>
      <c r="J10520" s="271"/>
      <c r="K10520" s="271"/>
      <c r="L10520" s="271"/>
      <c r="M10520" s="271"/>
      <c r="N10520" s="273"/>
    </row>
    <row r="10521" spans="1:14" ht="12.75" customHeight="1" x14ac:dyDescent="0.2">
      <c r="A10521" s="396" t="s">
        <v>76</v>
      </c>
      <c r="B10521" s="271"/>
      <c r="C10521" s="271"/>
      <c r="D10521" s="271"/>
      <c r="E10521" s="271"/>
      <c r="F10521" s="271"/>
      <c r="G10521" s="273"/>
      <c r="H10521" s="88" t="s">
        <v>77</v>
      </c>
      <c r="I10521" s="399" t="s">
        <v>920</v>
      </c>
      <c r="J10521" s="273"/>
      <c r="K10521" s="399" t="s">
        <v>453</v>
      </c>
      <c r="L10521" s="273"/>
      <c r="M10521" s="399" t="s">
        <v>921</v>
      </c>
      <c r="N10521" s="273"/>
    </row>
    <row r="10522" spans="1:14" ht="12.75" customHeight="1" x14ac:dyDescent="0.2">
      <c r="A10522" s="400" t="s">
        <v>927</v>
      </c>
      <c r="B10522" s="271"/>
      <c r="C10522" s="271"/>
      <c r="D10522" s="271"/>
      <c r="E10522" s="271"/>
      <c r="F10522" s="271"/>
      <c r="G10522" s="273"/>
      <c r="H10522" s="29" t="str">
        <f>IF(A10522="","",VLOOKUP(A10522,AA_Equipos,7,FALSE))</f>
        <v>% M.O.</v>
      </c>
      <c r="I10522" s="394">
        <f>+M10545</f>
        <v>35111.444000000003</v>
      </c>
      <c r="J10522" s="273"/>
      <c r="K10522" s="404">
        <v>0.05</v>
      </c>
      <c r="L10522" s="273"/>
      <c r="M10522" s="394">
        <f t="shared" ref="M10522:M10526" si="1403">IF(A10522="","",I10522*K10522)</f>
        <v>1755.5722000000003</v>
      </c>
      <c r="N10522" s="273"/>
    </row>
    <row r="10523" spans="1:14" ht="12.75" customHeight="1" x14ac:dyDescent="0.2">
      <c r="A10523" s="403"/>
      <c r="B10523" s="271"/>
      <c r="C10523" s="271"/>
      <c r="D10523" s="271"/>
      <c r="E10523" s="271"/>
      <c r="F10523" s="271"/>
      <c r="G10523" s="273"/>
      <c r="H10523" s="29" t="str">
        <f>IF(A10523="","",VLOOKUP(A10523,AA_Equipos,7,FALSE))</f>
        <v/>
      </c>
      <c r="I10523" s="394" t="str">
        <f>IF(A10523="","",VLOOKUP(A10523,AA_Equipos,8,FALSE))</f>
        <v/>
      </c>
      <c r="J10523" s="273"/>
      <c r="K10523" s="402"/>
      <c r="L10523" s="273"/>
      <c r="M10523" s="394" t="str">
        <f t="shared" si="1403"/>
        <v/>
      </c>
      <c r="N10523" s="273"/>
    </row>
    <row r="10524" spans="1:14" ht="12.75" customHeight="1" x14ac:dyDescent="0.2">
      <c r="A10524" s="400"/>
      <c r="B10524" s="271"/>
      <c r="C10524" s="271"/>
      <c r="D10524" s="271"/>
      <c r="E10524" s="271"/>
      <c r="F10524" s="271"/>
      <c r="G10524" s="273"/>
      <c r="H10524" s="29" t="str">
        <f>IF(A10524="","",VLOOKUP(A10524,AA_Equipos,7,FALSE))</f>
        <v/>
      </c>
      <c r="I10524" s="394" t="str">
        <f>IF(A10524="","",VLOOKUP(A10524,AA_Equipos,8,FALSE))</f>
        <v/>
      </c>
      <c r="J10524" s="273"/>
      <c r="K10524" s="401"/>
      <c r="L10524" s="273"/>
      <c r="M10524" s="394" t="str">
        <f t="shared" si="1403"/>
        <v/>
      </c>
      <c r="N10524" s="273"/>
    </row>
    <row r="10525" spans="1:14" ht="12.75" customHeight="1" x14ac:dyDescent="0.2">
      <c r="A10525" s="400"/>
      <c r="B10525" s="271"/>
      <c r="C10525" s="271"/>
      <c r="D10525" s="271"/>
      <c r="E10525" s="271"/>
      <c r="F10525" s="271"/>
      <c r="G10525" s="273"/>
      <c r="H10525" s="29" t="str">
        <f>IF(A10525="","",VLOOKUP(A10525,AA_Equipos,7,FALSE))</f>
        <v/>
      </c>
      <c r="I10525" s="394" t="str">
        <f>IF(A10525="","",VLOOKUP(A10525,AA_Equipos,8,FALSE))</f>
        <v/>
      </c>
      <c r="J10525" s="273"/>
      <c r="K10525" s="395"/>
      <c r="L10525" s="273"/>
      <c r="M10525" s="394" t="str">
        <f t="shared" si="1403"/>
        <v/>
      </c>
      <c r="N10525" s="273"/>
    </row>
    <row r="10526" spans="1:14" ht="12.75" customHeight="1" x14ac:dyDescent="0.2">
      <c r="A10526" s="400"/>
      <c r="B10526" s="271"/>
      <c r="C10526" s="271"/>
      <c r="D10526" s="271"/>
      <c r="E10526" s="271"/>
      <c r="F10526" s="271"/>
      <c r="G10526" s="273"/>
      <c r="H10526" s="29" t="str">
        <f>IF(A10526="","",VLOOKUP(A10526,AA_Equipos,7,FALSE))</f>
        <v/>
      </c>
      <c r="I10526" s="394" t="str">
        <f>IF(A10526="","",VLOOKUP(A10526,AA_Equipos,8,FALSE))</f>
        <v/>
      </c>
      <c r="J10526" s="273"/>
      <c r="K10526" s="395"/>
      <c r="L10526" s="273"/>
      <c r="M10526" s="394" t="str">
        <f t="shared" si="1403"/>
        <v/>
      </c>
      <c r="N10526" s="273"/>
    </row>
    <row r="10527" spans="1:14" ht="12.75" customHeight="1" x14ac:dyDescent="0.25">
      <c r="A10527" s="4"/>
      <c r="B10527" s="4"/>
      <c r="C10527" s="4"/>
      <c r="D10527" s="4"/>
      <c r="E10527" s="4"/>
      <c r="F10527" s="4"/>
      <c r="G10527" s="4"/>
      <c r="H10527" s="4"/>
      <c r="I10527" s="4"/>
      <c r="J10527" s="4"/>
      <c r="K10527" s="396" t="s">
        <v>444</v>
      </c>
      <c r="L10527" s="273"/>
      <c r="M10527" s="394">
        <f>SUM(M10522:N10526)</f>
        <v>1755.5722000000003</v>
      </c>
      <c r="N10527" s="273"/>
    </row>
    <row r="10528" spans="1:14" ht="12.75" customHeight="1" x14ac:dyDescent="0.25">
      <c r="A10528" s="4"/>
      <c r="B10528" s="4"/>
      <c r="C10528" s="4"/>
      <c r="D10528" s="4"/>
      <c r="E10528" s="4"/>
      <c r="F10528" s="4"/>
      <c r="G10528" s="4"/>
      <c r="H10528" s="4"/>
      <c r="I10528" s="4"/>
      <c r="J10528" s="4"/>
      <c r="K10528" s="4"/>
      <c r="L10528" s="4"/>
      <c r="M10528" s="4"/>
      <c r="N10528" s="4"/>
    </row>
    <row r="10529" spans="1:14" ht="12.75" customHeight="1" x14ac:dyDescent="0.2">
      <c r="A10529" s="398" t="s">
        <v>929</v>
      </c>
      <c r="B10529" s="271"/>
      <c r="C10529" s="271"/>
      <c r="D10529" s="271"/>
      <c r="E10529" s="271"/>
      <c r="F10529" s="271"/>
      <c r="G10529" s="271"/>
      <c r="H10529" s="271"/>
      <c r="I10529" s="271"/>
      <c r="J10529" s="271"/>
      <c r="K10529" s="271"/>
      <c r="L10529" s="271"/>
      <c r="M10529" s="271"/>
      <c r="N10529" s="273"/>
    </row>
    <row r="10530" spans="1:14" ht="12.75" customHeight="1" x14ac:dyDescent="0.2">
      <c r="A10530" s="396" t="s">
        <v>76</v>
      </c>
      <c r="B10530" s="271"/>
      <c r="C10530" s="271"/>
      <c r="D10530" s="271"/>
      <c r="E10530" s="271"/>
      <c r="F10530" s="271"/>
      <c r="G10530" s="273"/>
      <c r="H10530" s="88" t="s">
        <v>77</v>
      </c>
      <c r="I10530" s="399" t="s">
        <v>920</v>
      </c>
      <c r="J10530" s="273"/>
      <c r="K10530" s="399" t="s">
        <v>453</v>
      </c>
      <c r="L10530" s="273"/>
      <c r="M10530" s="399" t="s">
        <v>921</v>
      </c>
      <c r="N10530" s="273"/>
    </row>
    <row r="10531" spans="1:14" ht="12.75" customHeight="1" x14ac:dyDescent="0.2">
      <c r="A10531" s="400" t="s">
        <v>966</v>
      </c>
      <c r="B10531" s="271"/>
      <c r="C10531" s="271"/>
      <c r="D10531" s="271"/>
      <c r="E10531" s="271"/>
      <c r="F10531" s="271"/>
      <c r="G10531" s="273"/>
      <c r="H10531" s="29" t="s">
        <v>1025</v>
      </c>
      <c r="I10531" s="394">
        <f>+'precios '!$J$222</f>
        <v>2077.2367952644231</v>
      </c>
      <c r="J10531" s="273"/>
      <c r="K10531" s="417">
        <f>+Indice!$L$21</f>
        <v>49</v>
      </c>
      <c r="L10531" s="273"/>
      <c r="M10531" s="394">
        <f t="shared" ref="M10531:M10535" si="1404">IF(A10531="","",I10531*K10531)</f>
        <v>101784.60296795673</v>
      </c>
      <c r="N10531" s="273"/>
    </row>
    <row r="10532" spans="1:14" ht="12.75" customHeight="1" x14ac:dyDescent="0.2">
      <c r="A10532" s="403"/>
      <c r="B10532" s="271"/>
      <c r="C10532" s="271"/>
      <c r="D10532" s="271"/>
      <c r="E10532" s="271"/>
      <c r="F10532" s="271"/>
      <c r="G10532" s="273"/>
      <c r="H10532" s="29"/>
      <c r="I10532" s="394"/>
      <c r="J10532" s="273"/>
      <c r="K10532" s="404"/>
      <c r="L10532" s="273"/>
      <c r="M10532" s="394" t="str">
        <f t="shared" si="1404"/>
        <v/>
      </c>
      <c r="N10532" s="273"/>
    </row>
    <row r="10533" spans="1:14" ht="12.75" customHeight="1" x14ac:dyDescent="0.2">
      <c r="A10533" s="400"/>
      <c r="B10533" s="271"/>
      <c r="C10533" s="271"/>
      <c r="D10533" s="271"/>
      <c r="E10533" s="271"/>
      <c r="F10533" s="271"/>
      <c r="G10533" s="273"/>
      <c r="H10533" s="29"/>
      <c r="I10533" s="394"/>
      <c r="J10533" s="273"/>
      <c r="K10533" s="395"/>
      <c r="L10533" s="273"/>
      <c r="M10533" s="394" t="str">
        <f t="shared" si="1404"/>
        <v/>
      </c>
      <c r="N10533" s="273"/>
    </row>
    <row r="10534" spans="1:14" ht="12.75" customHeight="1" x14ac:dyDescent="0.2">
      <c r="A10534" s="400"/>
      <c r="B10534" s="271"/>
      <c r="C10534" s="271"/>
      <c r="D10534" s="271"/>
      <c r="E10534" s="271"/>
      <c r="F10534" s="271"/>
      <c r="G10534" s="273"/>
      <c r="H10534" s="29"/>
      <c r="I10534" s="394"/>
      <c r="J10534" s="273"/>
      <c r="K10534" s="395"/>
      <c r="L10534" s="273"/>
      <c r="M10534" s="394" t="str">
        <f t="shared" si="1404"/>
        <v/>
      </c>
      <c r="N10534" s="273"/>
    </row>
    <row r="10535" spans="1:14" ht="12.75" customHeight="1" x14ac:dyDescent="0.2">
      <c r="A10535" s="400"/>
      <c r="B10535" s="271"/>
      <c r="C10535" s="271"/>
      <c r="D10535" s="271"/>
      <c r="E10535" s="271"/>
      <c r="F10535" s="271"/>
      <c r="G10535" s="273"/>
      <c r="H10535" s="29"/>
      <c r="I10535" s="394"/>
      <c r="J10535" s="273"/>
      <c r="K10535" s="395"/>
      <c r="L10535" s="273"/>
      <c r="M10535" s="394" t="str">
        <f t="shared" si="1404"/>
        <v/>
      </c>
      <c r="N10535" s="273"/>
    </row>
    <row r="10536" spans="1:14" ht="12.75" customHeight="1" x14ac:dyDescent="0.25">
      <c r="A10536" s="4"/>
      <c r="B10536" s="4"/>
      <c r="C10536" s="4"/>
      <c r="D10536" s="4"/>
      <c r="E10536" s="4"/>
      <c r="F10536" s="4"/>
      <c r="G10536" s="4"/>
      <c r="H10536" s="4"/>
      <c r="I10536" s="4"/>
      <c r="J10536" s="4"/>
      <c r="K10536" s="396" t="s">
        <v>444</v>
      </c>
      <c r="L10536" s="273"/>
      <c r="M10536" s="394">
        <f>SUM(M10531:N10535)</f>
        <v>101784.60296795673</v>
      </c>
      <c r="N10536" s="273"/>
    </row>
    <row r="10537" spans="1:14" ht="12.75" customHeight="1" x14ac:dyDescent="0.25">
      <c r="A10537" s="4"/>
      <c r="B10537" s="4"/>
      <c r="C10537" s="4"/>
      <c r="D10537" s="4"/>
      <c r="E10537" s="4"/>
      <c r="F10537" s="4"/>
      <c r="G10537" s="4"/>
      <c r="H10537" s="4"/>
      <c r="I10537" s="4"/>
      <c r="J10537" s="4"/>
      <c r="K10537" s="4"/>
      <c r="L10537" s="4"/>
      <c r="M10537" s="4"/>
      <c r="N10537" s="4"/>
    </row>
    <row r="10538" spans="1:14" ht="12.75" customHeight="1" x14ac:dyDescent="0.2">
      <c r="A10538" s="398" t="s">
        <v>931</v>
      </c>
      <c r="B10538" s="271"/>
      <c r="C10538" s="271"/>
      <c r="D10538" s="271"/>
      <c r="E10538" s="271"/>
      <c r="F10538" s="271"/>
      <c r="G10538" s="271"/>
      <c r="H10538" s="271"/>
      <c r="I10538" s="271"/>
      <c r="J10538" s="271"/>
      <c r="K10538" s="271"/>
      <c r="L10538" s="271"/>
      <c r="M10538" s="271"/>
      <c r="N10538" s="273"/>
    </row>
    <row r="10539" spans="1:14" ht="12.75" customHeight="1" x14ac:dyDescent="0.2">
      <c r="A10539" s="396" t="s">
        <v>76</v>
      </c>
      <c r="B10539" s="271"/>
      <c r="C10539" s="271"/>
      <c r="D10539" s="271"/>
      <c r="E10539" s="271"/>
      <c r="F10539" s="271"/>
      <c r="G10539" s="273"/>
      <c r="H10539" s="88" t="s">
        <v>77</v>
      </c>
      <c r="I10539" s="399" t="s">
        <v>920</v>
      </c>
      <c r="J10539" s="273"/>
      <c r="K10539" s="90" t="s">
        <v>514</v>
      </c>
      <c r="L10539" s="91" t="s">
        <v>932</v>
      </c>
      <c r="M10539" s="399" t="s">
        <v>921</v>
      </c>
      <c r="N10539" s="273"/>
    </row>
    <row r="10540" spans="1:14" ht="12.75" customHeight="1" x14ac:dyDescent="0.25">
      <c r="A10540" s="393" t="s">
        <v>951</v>
      </c>
      <c r="B10540" s="271"/>
      <c r="C10540" s="271"/>
      <c r="D10540" s="271"/>
      <c r="E10540" s="271"/>
      <c r="F10540" s="271"/>
      <c r="G10540" s="273"/>
      <c r="H10540" s="29" t="str">
        <f>IF(A10540="","",VLOOKUP(A10540,AA_Cuadrillas,4,FALSE))</f>
        <v>Cuadrilla</v>
      </c>
      <c r="I10540" s="394">
        <f>IF(A10540="","",VLOOKUP(A10540,AA_Cuadrillas,5,FALSE))</f>
        <v>186763</v>
      </c>
      <c r="J10540" s="273"/>
      <c r="K10540" s="9">
        <f>IF(A10540="","",F.P!$I$2)</f>
        <v>1.88</v>
      </c>
      <c r="L10540" s="97">
        <f>1/10</f>
        <v>0.1</v>
      </c>
      <c r="M10540" s="394">
        <f t="shared" ref="M10540:M10544" si="1405">IF(A10540="","",I10540*K10540*L10540)</f>
        <v>35111.444000000003</v>
      </c>
      <c r="N10540" s="273"/>
    </row>
    <row r="10541" spans="1:14" ht="12.75" customHeight="1" x14ac:dyDescent="0.25">
      <c r="A10541" s="393"/>
      <c r="B10541" s="271"/>
      <c r="C10541" s="271"/>
      <c r="D10541" s="271"/>
      <c r="E10541" s="271"/>
      <c r="F10541" s="271"/>
      <c r="G10541" s="273"/>
      <c r="H10541" s="29" t="str">
        <f>IF(A10541="","",VLOOKUP(A10541,AA_Cuadrillas,4,FALSE))</f>
        <v/>
      </c>
      <c r="I10541" s="394" t="str">
        <f>IF(A10541="","",VLOOKUP(A10541,AA_Cuadrillas,5,FALSE))</f>
        <v/>
      </c>
      <c r="J10541" s="273"/>
      <c r="K10541" s="9" t="str">
        <f>IF(A10541="","",F.P!$I$2)</f>
        <v/>
      </c>
      <c r="L10541" s="9"/>
      <c r="M10541" s="394" t="str">
        <f t="shared" si="1405"/>
        <v/>
      </c>
      <c r="N10541" s="273"/>
    </row>
    <row r="10542" spans="1:14" ht="12.75" customHeight="1" x14ac:dyDescent="0.25">
      <c r="A10542" s="393"/>
      <c r="B10542" s="271"/>
      <c r="C10542" s="271"/>
      <c r="D10542" s="271"/>
      <c r="E10542" s="271"/>
      <c r="F10542" s="271"/>
      <c r="G10542" s="273"/>
      <c r="H10542" s="29" t="str">
        <f>IF(A10542="","",VLOOKUP(A10542,AA_Cuadrillas,4,FALSE))</f>
        <v/>
      </c>
      <c r="I10542" s="394" t="str">
        <f>IF(A10542="","",VLOOKUP(A10542,AA_Cuadrillas,5,FALSE))</f>
        <v/>
      </c>
      <c r="J10542" s="273"/>
      <c r="K10542" s="9" t="str">
        <f>IF(A10542="","",F.P!$I$2)</f>
        <v/>
      </c>
      <c r="L10542" s="37"/>
      <c r="M10542" s="394" t="str">
        <f t="shared" si="1405"/>
        <v/>
      </c>
      <c r="N10542" s="273"/>
    </row>
    <row r="10543" spans="1:14" ht="12.75" customHeight="1" x14ac:dyDescent="0.25">
      <c r="A10543" s="393"/>
      <c r="B10543" s="271"/>
      <c r="C10543" s="271"/>
      <c r="D10543" s="271"/>
      <c r="E10543" s="271"/>
      <c r="F10543" s="271"/>
      <c r="G10543" s="273"/>
      <c r="H10543" s="29" t="str">
        <f>IF(A10543="","",VLOOKUP(A10543,AA_Cuadrillas,4,FALSE))</f>
        <v/>
      </c>
      <c r="I10543" s="394" t="str">
        <f>IF(A10543="","",VLOOKUP(A10543,AA_Cuadrillas,5,FALSE))</f>
        <v/>
      </c>
      <c r="J10543" s="273"/>
      <c r="K10543" s="9" t="str">
        <f>IF(A10543="","",F.P!$I$2)</f>
        <v/>
      </c>
      <c r="L10543" s="37"/>
      <c r="M10543" s="394" t="str">
        <f t="shared" si="1405"/>
        <v/>
      </c>
      <c r="N10543" s="273"/>
    </row>
    <row r="10544" spans="1:14" ht="12.75" customHeight="1" x14ac:dyDescent="0.25">
      <c r="A10544" s="393"/>
      <c r="B10544" s="271"/>
      <c r="C10544" s="271"/>
      <c r="D10544" s="271"/>
      <c r="E10544" s="271"/>
      <c r="F10544" s="271"/>
      <c r="G10544" s="273"/>
      <c r="H10544" s="29" t="str">
        <f>IF(A10544="","",VLOOKUP(A10544,AA_Cuadrillas,4,FALSE))</f>
        <v/>
      </c>
      <c r="I10544" s="394" t="str">
        <f>IF(A10544="","",VLOOKUP(A10544,AA_Cuadrillas,5,FALSE))</f>
        <v/>
      </c>
      <c r="J10544" s="273"/>
      <c r="K10544" s="9" t="str">
        <f>IF(A10544="","",F.P!$I$2)</f>
        <v/>
      </c>
      <c r="L10544" s="37"/>
      <c r="M10544" s="394" t="str">
        <f t="shared" si="1405"/>
        <v/>
      </c>
      <c r="N10544" s="273"/>
    </row>
    <row r="10545" spans="1:14" ht="12.75" customHeight="1" x14ac:dyDescent="0.25">
      <c r="A10545" s="4"/>
      <c r="B10545" s="4"/>
      <c r="C10545" s="4"/>
      <c r="D10545" s="4"/>
      <c r="E10545" s="4"/>
      <c r="F10545" s="4"/>
      <c r="G10545" s="4"/>
      <c r="H10545" s="4"/>
      <c r="I10545" s="4"/>
      <c r="J10545" s="4"/>
      <c r="K10545" s="396" t="s">
        <v>444</v>
      </c>
      <c r="L10545" s="273"/>
      <c r="M10545" s="394">
        <f>SUM(M10540:N10544)</f>
        <v>35111.444000000003</v>
      </c>
      <c r="N10545" s="273"/>
    </row>
    <row r="10546" spans="1:14" ht="12.75" customHeight="1" x14ac:dyDescent="0.2"/>
    <row r="10547" spans="1:14" ht="12.75" customHeight="1" x14ac:dyDescent="0.2">
      <c r="A10547" s="407" t="s">
        <v>201</v>
      </c>
      <c r="B10547" s="275"/>
      <c r="C10547" s="275"/>
      <c r="D10547" s="275"/>
      <c r="E10547" s="275"/>
      <c r="F10547" s="275"/>
      <c r="G10547" s="275"/>
      <c r="H10547" s="275"/>
      <c r="I10547" s="275"/>
      <c r="J10547" s="275"/>
      <c r="K10547" s="275"/>
      <c r="L10547" s="275"/>
      <c r="M10547" s="275"/>
      <c r="N10547" s="276"/>
    </row>
    <row r="10548" spans="1:14" ht="12.75" customHeight="1" x14ac:dyDescent="0.2">
      <c r="A10548" s="277"/>
      <c r="B10548" s="278"/>
      <c r="C10548" s="278"/>
      <c r="D10548" s="278"/>
      <c r="E10548" s="278"/>
      <c r="F10548" s="278"/>
      <c r="G10548" s="278"/>
      <c r="H10548" s="278"/>
      <c r="I10548" s="278"/>
      <c r="J10548" s="278"/>
      <c r="K10548" s="278"/>
      <c r="L10548" s="278"/>
      <c r="M10548" s="278"/>
      <c r="N10548" s="279"/>
    </row>
    <row r="10549" spans="1:14" ht="12.75" customHeight="1" x14ac:dyDescent="0.2">
      <c r="A10549" s="75"/>
      <c r="B10549" s="75"/>
      <c r="C10549" s="75"/>
      <c r="D10549" s="75"/>
      <c r="E10549" s="75"/>
      <c r="F10549" s="75"/>
      <c r="G10549" s="75"/>
      <c r="H10549" s="75"/>
      <c r="I10549" s="75"/>
      <c r="J10549" s="75"/>
      <c r="K10549" s="75"/>
      <c r="L10549" s="75"/>
      <c r="M10549" s="75"/>
      <c r="N10549" s="75"/>
    </row>
    <row r="10550" spans="1:14" ht="12.75" customHeight="1" x14ac:dyDescent="0.3">
      <c r="A10550" s="79" t="s">
        <v>846</v>
      </c>
      <c r="B10550" s="80" t="str">
        <f>A10547</f>
        <v>PAÑETE INTERIOR Y EXTERIOR 1:4 (INCLUYE MATERIALES, HERRAMIENTAS Y MANO DE OBRA)</v>
      </c>
      <c r="C10550" s="81" t="s">
        <v>916</v>
      </c>
      <c r="D10550" s="82" t="s">
        <v>934</v>
      </c>
      <c r="E10550" s="83" t="s">
        <v>445</v>
      </c>
      <c r="F10550" s="86">
        <f>H10550+J10550+L10550+N10550</f>
        <v>42573.788609090909</v>
      </c>
      <c r="G10550" s="83" t="s">
        <v>607</v>
      </c>
      <c r="H10550" s="86">
        <f>M10568</f>
        <v>1595.9747272727273</v>
      </c>
      <c r="I10550" s="83" t="s">
        <v>918</v>
      </c>
      <c r="J10550" s="86">
        <f>M10559</f>
        <v>8550.9719999999998</v>
      </c>
      <c r="K10550" s="83" t="s">
        <v>609</v>
      </c>
      <c r="L10550" s="86">
        <f>M10577</f>
        <v>507.34733636363637</v>
      </c>
      <c r="M10550" s="83" t="s">
        <v>610</v>
      </c>
      <c r="N10550" s="86">
        <f>M10586</f>
        <v>31919.494545454545</v>
      </c>
    </row>
    <row r="10551" spans="1:14" ht="12.75" customHeight="1" x14ac:dyDescent="0.25">
      <c r="A10551" s="87"/>
      <c r="B10551" s="87"/>
      <c r="C10551" s="87"/>
      <c r="D10551" s="87"/>
      <c r="E10551" s="87"/>
      <c r="F10551" s="87"/>
      <c r="G10551" s="87"/>
      <c r="J10551" s="87"/>
      <c r="K10551" s="215" t="s">
        <v>3217</v>
      </c>
      <c r="L10551" s="215">
        <f>+F10550*presup!$O$5</f>
        <v>55345.925191818184</v>
      </c>
      <c r="M10551" s="87"/>
      <c r="N10551" s="87"/>
    </row>
    <row r="10552" spans="1:14" ht="12.75" customHeight="1" x14ac:dyDescent="0.2">
      <c r="A10552" s="398" t="s">
        <v>919</v>
      </c>
      <c r="B10552" s="271"/>
      <c r="C10552" s="271"/>
      <c r="D10552" s="271"/>
      <c r="E10552" s="271"/>
      <c r="F10552" s="271"/>
      <c r="G10552" s="271"/>
      <c r="H10552" s="271"/>
      <c r="I10552" s="271"/>
      <c r="J10552" s="271"/>
      <c r="K10552" s="271"/>
      <c r="L10552" s="271"/>
      <c r="M10552" s="271"/>
      <c r="N10552" s="273"/>
    </row>
    <row r="10553" spans="1:14" ht="12.75" customHeight="1" x14ac:dyDescent="0.2">
      <c r="A10553" s="396" t="s">
        <v>76</v>
      </c>
      <c r="B10553" s="271"/>
      <c r="C10553" s="271"/>
      <c r="D10553" s="271"/>
      <c r="E10553" s="271"/>
      <c r="F10553" s="271"/>
      <c r="G10553" s="273"/>
      <c r="H10553" s="88" t="s">
        <v>77</v>
      </c>
      <c r="I10553" s="399" t="s">
        <v>920</v>
      </c>
      <c r="J10553" s="273"/>
      <c r="K10553" s="399" t="s">
        <v>453</v>
      </c>
      <c r="L10553" s="273"/>
      <c r="M10553" s="399" t="s">
        <v>921</v>
      </c>
      <c r="N10553" s="273"/>
    </row>
    <row r="10554" spans="1:14" ht="12.75" customHeight="1" x14ac:dyDescent="0.2">
      <c r="A10554" s="400" t="s">
        <v>997</v>
      </c>
      <c r="B10554" s="271"/>
      <c r="C10554" s="271"/>
      <c r="D10554" s="271"/>
      <c r="E10554" s="271"/>
      <c r="F10554" s="271"/>
      <c r="G10554" s="273"/>
      <c r="H10554" s="29" t="str">
        <f>IF(A10554="","",VLOOKUP(A10554,AA_Materiales,7,FALSE))</f>
        <v>m3</v>
      </c>
      <c r="I10554" s="394">
        <f>IF(A10554="","",VLOOKUP(A10554,AA_Materiales,8,FALSE))</f>
        <v>497116</v>
      </c>
      <c r="J10554" s="273"/>
      <c r="K10554" s="395">
        <v>1.7000000000000001E-2</v>
      </c>
      <c r="L10554" s="273"/>
      <c r="M10554" s="394">
        <f t="shared" ref="M10554:M10558" si="1406">IF(A10554="","",I10554*K10554)</f>
        <v>8450.9719999999998</v>
      </c>
      <c r="N10554" s="273"/>
    </row>
    <row r="10555" spans="1:14" ht="12.75" customHeight="1" x14ac:dyDescent="0.2">
      <c r="A10555" s="400" t="s">
        <v>956</v>
      </c>
      <c r="B10555" s="271"/>
      <c r="C10555" s="271"/>
      <c r="D10555" s="271"/>
      <c r="E10555" s="271"/>
      <c r="F10555" s="271"/>
      <c r="G10555" s="273"/>
      <c r="H10555" s="29" t="str">
        <f>IF(A10555="","",VLOOKUP(A10555,AA_Materiales,7,FALSE))</f>
        <v>Lt</v>
      </c>
      <c r="I10555" s="394">
        <f>IF(A10555="","",VLOOKUP(A10555,AA_Materiales,8,FALSE))</f>
        <v>20</v>
      </c>
      <c r="J10555" s="273"/>
      <c r="K10555" s="395">
        <v>5</v>
      </c>
      <c r="L10555" s="273"/>
      <c r="M10555" s="394">
        <f t="shared" si="1406"/>
        <v>100</v>
      </c>
      <c r="N10555" s="273"/>
    </row>
    <row r="10556" spans="1:14" ht="12.75" customHeight="1" x14ac:dyDescent="0.2">
      <c r="A10556" s="400"/>
      <c r="B10556" s="271"/>
      <c r="C10556" s="271"/>
      <c r="D10556" s="271"/>
      <c r="E10556" s="271"/>
      <c r="F10556" s="271"/>
      <c r="G10556" s="273"/>
      <c r="H10556" s="29" t="str">
        <f>IF(A10556="","",VLOOKUP(A10556,AA_Materiales,7,FALSE))</f>
        <v/>
      </c>
      <c r="I10556" s="394" t="str">
        <f>IF(A10556="","",VLOOKUP(A10556,AA_Materiales,8,FALSE))</f>
        <v/>
      </c>
      <c r="J10556" s="273"/>
      <c r="K10556" s="395"/>
      <c r="L10556" s="273"/>
      <c r="M10556" s="394" t="str">
        <f t="shared" si="1406"/>
        <v/>
      </c>
      <c r="N10556" s="273"/>
    </row>
    <row r="10557" spans="1:14" ht="12.75" customHeight="1" x14ac:dyDescent="0.2">
      <c r="A10557" s="400"/>
      <c r="B10557" s="271"/>
      <c r="C10557" s="271"/>
      <c r="D10557" s="271"/>
      <c r="E10557" s="271"/>
      <c r="F10557" s="271"/>
      <c r="G10557" s="273"/>
      <c r="H10557" s="29" t="str">
        <f>IF(A10557="","",VLOOKUP(A10557,AA_Materiales,7,FALSE))</f>
        <v/>
      </c>
      <c r="I10557" s="394" t="str">
        <f>IF(A10557="","",VLOOKUP(A10557,AA_Materiales,8,FALSE))</f>
        <v/>
      </c>
      <c r="J10557" s="273"/>
      <c r="K10557" s="395"/>
      <c r="L10557" s="273"/>
      <c r="M10557" s="394" t="str">
        <f t="shared" si="1406"/>
        <v/>
      </c>
      <c r="N10557" s="273"/>
    </row>
    <row r="10558" spans="1:14" ht="12.75" customHeight="1" x14ac:dyDescent="0.2">
      <c r="A10558" s="400"/>
      <c r="B10558" s="271"/>
      <c r="C10558" s="271"/>
      <c r="D10558" s="271"/>
      <c r="E10558" s="271"/>
      <c r="F10558" s="271"/>
      <c r="G10558" s="273"/>
      <c r="H10558" s="29" t="str">
        <f>IF(A10558="","",VLOOKUP(A10558,AA_Materiales,7,FALSE))</f>
        <v/>
      </c>
      <c r="I10558" s="394" t="str">
        <f>IF(A10558="","",VLOOKUP(A10558,AA_Materiales,8,FALSE))</f>
        <v/>
      </c>
      <c r="J10558" s="273"/>
      <c r="K10558" s="395"/>
      <c r="L10558" s="273"/>
      <c r="M10558" s="394" t="str">
        <f t="shared" si="1406"/>
        <v/>
      </c>
      <c r="N10558" s="273"/>
    </row>
    <row r="10559" spans="1:14" ht="12.75" customHeight="1" x14ac:dyDescent="0.25">
      <c r="A10559" s="4"/>
      <c r="B10559" s="4"/>
      <c r="C10559" s="4"/>
      <c r="D10559" s="4"/>
      <c r="E10559" s="4"/>
      <c r="F10559" s="4"/>
      <c r="G10559" s="4"/>
      <c r="H10559" s="4"/>
      <c r="I10559" s="4"/>
      <c r="J10559" s="4"/>
      <c r="K10559" s="396" t="s">
        <v>444</v>
      </c>
      <c r="L10559" s="273"/>
      <c r="M10559" s="394">
        <f>SUM(M10554:N10558)</f>
        <v>8550.9719999999998</v>
      </c>
      <c r="N10559" s="273"/>
    </row>
    <row r="10560" spans="1:14" ht="12.75" customHeight="1" x14ac:dyDescent="0.25">
      <c r="A10560" s="4"/>
      <c r="B10560" s="4"/>
      <c r="C10560" s="4"/>
      <c r="D10560" s="4"/>
      <c r="E10560" s="4"/>
      <c r="F10560" s="4"/>
      <c r="G10560" s="4"/>
      <c r="H10560" s="4"/>
      <c r="I10560" s="4"/>
      <c r="J10560" s="4"/>
      <c r="K10560" s="4"/>
      <c r="L10560" s="4"/>
      <c r="M10560" s="4"/>
      <c r="N10560" s="4"/>
    </row>
    <row r="10561" spans="1:14" ht="12.75" customHeight="1" x14ac:dyDescent="0.2">
      <c r="A10561" s="398" t="s">
        <v>926</v>
      </c>
      <c r="B10561" s="271"/>
      <c r="C10561" s="271"/>
      <c r="D10561" s="271"/>
      <c r="E10561" s="271"/>
      <c r="F10561" s="271"/>
      <c r="G10561" s="271"/>
      <c r="H10561" s="271"/>
      <c r="I10561" s="271"/>
      <c r="J10561" s="271"/>
      <c r="K10561" s="271"/>
      <c r="L10561" s="271"/>
      <c r="M10561" s="271"/>
      <c r="N10561" s="273"/>
    </row>
    <row r="10562" spans="1:14" ht="12.75" customHeight="1" x14ac:dyDescent="0.2">
      <c r="A10562" s="396" t="s">
        <v>76</v>
      </c>
      <c r="B10562" s="271"/>
      <c r="C10562" s="271"/>
      <c r="D10562" s="271"/>
      <c r="E10562" s="271"/>
      <c r="F10562" s="271"/>
      <c r="G10562" s="273"/>
      <c r="H10562" s="88" t="s">
        <v>77</v>
      </c>
      <c r="I10562" s="399" t="s">
        <v>920</v>
      </c>
      <c r="J10562" s="273"/>
      <c r="K10562" s="399" t="s">
        <v>453</v>
      </c>
      <c r="L10562" s="273"/>
      <c r="M10562" s="399" t="s">
        <v>921</v>
      </c>
      <c r="N10562" s="273"/>
    </row>
    <row r="10563" spans="1:14" ht="12.75" customHeight="1" x14ac:dyDescent="0.2">
      <c r="A10563" s="400" t="s">
        <v>927</v>
      </c>
      <c r="B10563" s="271"/>
      <c r="C10563" s="271"/>
      <c r="D10563" s="271"/>
      <c r="E10563" s="271"/>
      <c r="F10563" s="271"/>
      <c r="G10563" s="273"/>
      <c r="H10563" s="29" t="str">
        <f>IF(A10563="","",VLOOKUP(A10563,AA_Equipos,7,FALSE))</f>
        <v>% M.O.</v>
      </c>
      <c r="I10563" s="394">
        <f>M10586</f>
        <v>31919.494545454545</v>
      </c>
      <c r="J10563" s="273"/>
      <c r="K10563" s="404">
        <v>0.05</v>
      </c>
      <c r="L10563" s="273"/>
      <c r="M10563" s="394">
        <f t="shared" ref="M10563:M10567" si="1407">IF(A10563="","",I10563*K10563)</f>
        <v>1595.9747272727273</v>
      </c>
      <c r="N10563" s="273"/>
    </row>
    <row r="10564" spans="1:14" ht="12.75" customHeight="1" x14ac:dyDescent="0.2">
      <c r="A10564" s="403"/>
      <c r="B10564" s="271"/>
      <c r="C10564" s="271"/>
      <c r="D10564" s="271"/>
      <c r="E10564" s="271"/>
      <c r="F10564" s="271"/>
      <c r="G10564" s="273"/>
      <c r="H10564" s="29" t="str">
        <f>IF(A10564="","",VLOOKUP(A10564,AA_Equipos,7,FALSE))</f>
        <v/>
      </c>
      <c r="I10564" s="394" t="str">
        <f>IF(A10564="","",VLOOKUP(A10564,AA_Equipos,8,FALSE))</f>
        <v/>
      </c>
      <c r="J10564" s="273"/>
      <c r="K10564" s="402"/>
      <c r="L10564" s="273"/>
      <c r="M10564" s="394" t="str">
        <f t="shared" si="1407"/>
        <v/>
      </c>
      <c r="N10564" s="273"/>
    </row>
    <row r="10565" spans="1:14" ht="12.75" customHeight="1" x14ac:dyDescent="0.2">
      <c r="A10565" s="400"/>
      <c r="B10565" s="271"/>
      <c r="C10565" s="271"/>
      <c r="D10565" s="271"/>
      <c r="E10565" s="271"/>
      <c r="F10565" s="271"/>
      <c r="G10565" s="273"/>
      <c r="H10565" s="29" t="str">
        <f>IF(A10565="","",VLOOKUP(A10565,AA_Equipos,7,FALSE))</f>
        <v/>
      </c>
      <c r="I10565" s="394" t="str">
        <f>IF(A10565="","",VLOOKUP(A10565,AA_Equipos,8,FALSE))</f>
        <v/>
      </c>
      <c r="J10565" s="273"/>
      <c r="K10565" s="401"/>
      <c r="L10565" s="273"/>
      <c r="M10565" s="394" t="str">
        <f t="shared" si="1407"/>
        <v/>
      </c>
      <c r="N10565" s="273"/>
    </row>
    <row r="10566" spans="1:14" ht="12.75" customHeight="1" x14ac:dyDescent="0.2">
      <c r="A10566" s="400"/>
      <c r="B10566" s="271"/>
      <c r="C10566" s="271"/>
      <c r="D10566" s="271"/>
      <c r="E10566" s="271"/>
      <c r="F10566" s="271"/>
      <c r="G10566" s="273"/>
      <c r="H10566" s="29" t="str">
        <f>IF(A10566="","",VLOOKUP(A10566,AA_Equipos,7,FALSE))</f>
        <v/>
      </c>
      <c r="I10566" s="394" t="str">
        <f>IF(A10566="","",VLOOKUP(A10566,AA_Equipos,8,FALSE))</f>
        <v/>
      </c>
      <c r="J10566" s="273"/>
      <c r="K10566" s="395"/>
      <c r="L10566" s="273"/>
      <c r="M10566" s="394" t="str">
        <f t="shared" si="1407"/>
        <v/>
      </c>
      <c r="N10566" s="273"/>
    </row>
    <row r="10567" spans="1:14" ht="12.75" customHeight="1" x14ac:dyDescent="0.2">
      <c r="A10567" s="400"/>
      <c r="B10567" s="271"/>
      <c r="C10567" s="271"/>
      <c r="D10567" s="271"/>
      <c r="E10567" s="271"/>
      <c r="F10567" s="271"/>
      <c r="G10567" s="273"/>
      <c r="H10567" s="29" t="str">
        <f>IF(A10567="","",VLOOKUP(A10567,AA_Equipos,7,FALSE))</f>
        <v/>
      </c>
      <c r="I10567" s="394" t="str">
        <f>IF(A10567="","",VLOOKUP(A10567,AA_Equipos,8,FALSE))</f>
        <v/>
      </c>
      <c r="J10567" s="273"/>
      <c r="K10567" s="395"/>
      <c r="L10567" s="273"/>
      <c r="M10567" s="394" t="str">
        <f t="shared" si="1407"/>
        <v/>
      </c>
      <c r="N10567" s="273"/>
    </row>
    <row r="10568" spans="1:14" ht="12.75" customHeight="1" x14ac:dyDescent="0.25">
      <c r="A10568" s="4"/>
      <c r="B10568" s="4"/>
      <c r="C10568" s="4"/>
      <c r="D10568" s="4"/>
      <c r="E10568" s="4"/>
      <c r="F10568" s="4"/>
      <c r="G10568" s="4"/>
      <c r="H10568" s="4"/>
      <c r="I10568" s="4"/>
      <c r="J10568" s="4"/>
      <c r="K10568" s="396" t="s">
        <v>444</v>
      </c>
      <c r="L10568" s="273"/>
      <c r="M10568" s="394">
        <f>SUM(M10563:N10567)</f>
        <v>1595.9747272727273</v>
      </c>
      <c r="N10568" s="273"/>
    </row>
    <row r="10569" spans="1:14" ht="12.75" customHeight="1" x14ac:dyDescent="0.25">
      <c r="A10569" s="4"/>
      <c r="B10569" s="4"/>
      <c r="C10569" s="4"/>
      <c r="D10569" s="4"/>
      <c r="E10569" s="4"/>
      <c r="F10569" s="4"/>
      <c r="G10569" s="4"/>
      <c r="H10569" s="4"/>
      <c r="I10569" s="4"/>
      <c r="J10569" s="4"/>
      <c r="K10569" s="4"/>
      <c r="L10569" s="4"/>
      <c r="M10569" s="4"/>
      <c r="N10569" s="4"/>
    </row>
    <row r="10570" spans="1:14" ht="12.75" customHeight="1" x14ac:dyDescent="0.2">
      <c r="A10570" s="398" t="s">
        <v>929</v>
      </c>
      <c r="B10570" s="271"/>
      <c r="C10570" s="271"/>
      <c r="D10570" s="271"/>
      <c r="E10570" s="271"/>
      <c r="F10570" s="271"/>
      <c r="G10570" s="271"/>
      <c r="H10570" s="271"/>
      <c r="I10570" s="271"/>
      <c r="J10570" s="271"/>
      <c r="K10570" s="271"/>
      <c r="L10570" s="271"/>
      <c r="M10570" s="271"/>
      <c r="N10570" s="273"/>
    </row>
    <row r="10571" spans="1:14" ht="12.75" customHeight="1" x14ac:dyDescent="0.2">
      <c r="A10571" s="396" t="s">
        <v>76</v>
      </c>
      <c r="B10571" s="271"/>
      <c r="C10571" s="271"/>
      <c r="D10571" s="271"/>
      <c r="E10571" s="271"/>
      <c r="F10571" s="271"/>
      <c r="G10571" s="273"/>
      <c r="H10571" s="88" t="s">
        <v>77</v>
      </c>
      <c r="I10571" s="399" t="s">
        <v>920</v>
      </c>
      <c r="J10571" s="273"/>
      <c r="K10571" s="399" t="s">
        <v>453</v>
      </c>
      <c r="L10571" s="273"/>
      <c r="M10571" s="399" t="s">
        <v>921</v>
      </c>
      <c r="N10571" s="273"/>
    </row>
    <row r="10572" spans="1:14" ht="12.75" customHeight="1" x14ac:dyDescent="0.2">
      <c r="A10572" s="400" t="s">
        <v>949</v>
      </c>
      <c r="B10572" s="271"/>
      <c r="C10572" s="271"/>
      <c r="D10572" s="271"/>
      <c r="E10572" s="271"/>
      <c r="F10572" s="271"/>
      <c r="G10572" s="273"/>
      <c r="H10572" s="29" t="s">
        <v>950</v>
      </c>
      <c r="I10572" s="394">
        <f>+M10559</f>
        <v>8550.9719999999998</v>
      </c>
      <c r="J10572" s="273"/>
      <c r="K10572" s="404">
        <v>0.05</v>
      </c>
      <c r="L10572" s="273"/>
      <c r="M10572" s="394">
        <f t="shared" ref="M10572:M10576" si="1408">IF(A10572="","",I10572*K10572)</f>
        <v>427.54860000000002</v>
      </c>
      <c r="N10572" s="273"/>
    </row>
    <row r="10573" spans="1:14" ht="12.75" customHeight="1" x14ac:dyDescent="0.2">
      <c r="A10573" s="403" t="s">
        <v>1015</v>
      </c>
      <c r="B10573" s="271"/>
      <c r="C10573" s="271"/>
      <c r="D10573" s="271"/>
      <c r="E10573" s="271"/>
      <c r="F10573" s="271"/>
      <c r="G10573" s="273"/>
      <c r="H10573" s="29" t="s">
        <v>944</v>
      </c>
      <c r="I10573" s="394">
        <f>M10568</f>
        <v>1595.9747272727273</v>
      </c>
      <c r="J10573" s="273"/>
      <c r="K10573" s="404">
        <v>0.05</v>
      </c>
      <c r="L10573" s="273"/>
      <c r="M10573" s="394">
        <f t="shared" si="1408"/>
        <v>79.798736363636365</v>
      </c>
      <c r="N10573" s="273"/>
    </row>
    <row r="10574" spans="1:14" ht="12.75" customHeight="1" x14ac:dyDescent="0.2">
      <c r="A10574" s="400"/>
      <c r="B10574" s="271"/>
      <c r="C10574" s="271"/>
      <c r="D10574" s="271"/>
      <c r="E10574" s="271"/>
      <c r="F10574" s="271"/>
      <c r="G10574" s="273"/>
      <c r="H10574" s="29"/>
      <c r="I10574" s="394"/>
      <c r="J10574" s="273"/>
      <c r="K10574" s="395"/>
      <c r="L10574" s="273"/>
      <c r="M10574" s="394" t="str">
        <f t="shared" si="1408"/>
        <v/>
      </c>
      <c r="N10574" s="273"/>
    </row>
    <row r="10575" spans="1:14" ht="12.75" customHeight="1" x14ac:dyDescent="0.2">
      <c r="A10575" s="400"/>
      <c r="B10575" s="271"/>
      <c r="C10575" s="271"/>
      <c r="D10575" s="271"/>
      <c r="E10575" s="271"/>
      <c r="F10575" s="271"/>
      <c r="G10575" s="273"/>
      <c r="H10575" s="29"/>
      <c r="I10575" s="394"/>
      <c r="J10575" s="273"/>
      <c r="K10575" s="395"/>
      <c r="L10575" s="273"/>
      <c r="M10575" s="394" t="str">
        <f t="shared" si="1408"/>
        <v/>
      </c>
      <c r="N10575" s="273"/>
    </row>
    <row r="10576" spans="1:14" ht="12.75" customHeight="1" x14ac:dyDescent="0.2">
      <c r="A10576" s="400"/>
      <c r="B10576" s="271"/>
      <c r="C10576" s="271"/>
      <c r="D10576" s="271"/>
      <c r="E10576" s="271"/>
      <c r="F10576" s="271"/>
      <c r="G10576" s="273"/>
      <c r="H10576" s="29"/>
      <c r="I10576" s="394"/>
      <c r="J10576" s="273"/>
      <c r="K10576" s="395"/>
      <c r="L10576" s="273"/>
      <c r="M10576" s="394" t="str">
        <f t="shared" si="1408"/>
        <v/>
      </c>
      <c r="N10576" s="273"/>
    </row>
    <row r="10577" spans="1:14" ht="12.75" customHeight="1" x14ac:dyDescent="0.25">
      <c r="A10577" s="4"/>
      <c r="B10577" s="4"/>
      <c r="C10577" s="4"/>
      <c r="D10577" s="4"/>
      <c r="E10577" s="4"/>
      <c r="F10577" s="4"/>
      <c r="G10577" s="4"/>
      <c r="H10577" s="4"/>
      <c r="I10577" s="4"/>
      <c r="J10577" s="4"/>
      <c r="K10577" s="396" t="s">
        <v>444</v>
      </c>
      <c r="L10577" s="273"/>
      <c r="M10577" s="394">
        <f>SUM(M10572:N10576)</f>
        <v>507.34733636363637</v>
      </c>
      <c r="N10577" s="273"/>
    </row>
    <row r="10578" spans="1:14" ht="12.75" customHeight="1" x14ac:dyDescent="0.25">
      <c r="A10578" s="4"/>
      <c r="B10578" s="4"/>
      <c r="C10578" s="4"/>
      <c r="D10578" s="4"/>
      <c r="E10578" s="4"/>
      <c r="F10578" s="4"/>
      <c r="G10578" s="4"/>
      <c r="H10578" s="4"/>
      <c r="I10578" s="4"/>
      <c r="J10578" s="4"/>
      <c r="K10578" s="4"/>
      <c r="L10578" s="4"/>
      <c r="M10578" s="4"/>
      <c r="N10578" s="4"/>
    </row>
    <row r="10579" spans="1:14" ht="12.75" customHeight="1" x14ac:dyDescent="0.2">
      <c r="A10579" s="398" t="s">
        <v>931</v>
      </c>
      <c r="B10579" s="271"/>
      <c r="C10579" s="271"/>
      <c r="D10579" s="271"/>
      <c r="E10579" s="271"/>
      <c r="F10579" s="271"/>
      <c r="G10579" s="271"/>
      <c r="H10579" s="271"/>
      <c r="I10579" s="271"/>
      <c r="J10579" s="271"/>
      <c r="K10579" s="271"/>
      <c r="L10579" s="271"/>
      <c r="M10579" s="271"/>
      <c r="N10579" s="273"/>
    </row>
    <row r="10580" spans="1:14" ht="12.75" customHeight="1" x14ac:dyDescent="0.2">
      <c r="A10580" s="396" t="s">
        <v>76</v>
      </c>
      <c r="B10580" s="271"/>
      <c r="C10580" s="271"/>
      <c r="D10580" s="271"/>
      <c r="E10580" s="271"/>
      <c r="F10580" s="271"/>
      <c r="G10580" s="273"/>
      <c r="H10580" s="88" t="s">
        <v>77</v>
      </c>
      <c r="I10580" s="399" t="s">
        <v>920</v>
      </c>
      <c r="J10580" s="273"/>
      <c r="K10580" s="90" t="s">
        <v>514</v>
      </c>
      <c r="L10580" s="91" t="s">
        <v>932</v>
      </c>
      <c r="M10580" s="399" t="s">
        <v>921</v>
      </c>
      <c r="N10580" s="273"/>
    </row>
    <row r="10581" spans="1:14" ht="12.75" customHeight="1" x14ac:dyDescent="0.25">
      <c r="A10581" s="393" t="s">
        <v>951</v>
      </c>
      <c r="B10581" s="271"/>
      <c r="C10581" s="271"/>
      <c r="D10581" s="271"/>
      <c r="E10581" s="271"/>
      <c r="F10581" s="271"/>
      <c r="G10581" s="273"/>
      <c r="H10581" s="29" t="str">
        <f>IF(A10581="","",VLOOKUP(A10581,AA_Cuadrillas,4,FALSE))</f>
        <v>Cuadrilla</v>
      </c>
      <c r="I10581" s="394">
        <f>IF(A10581="","",VLOOKUP(A10581,AA_Cuadrillas,5,FALSE))</f>
        <v>186763</v>
      </c>
      <c r="J10581" s="273"/>
      <c r="K10581" s="9">
        <f>IF(A10581="","",F.P!$I$2)</f>
        <v>1.88</v>
      </c>
      <c r="L10581" s="93">
        <f>1/11</f>
        <v>9.0909090909090912E-2</v>
      </c>
      <c r="M10581" s="394">
        <f t="shared" ref="M10581:M10585" si="1409">IF(A10581="","",I10581*K10581*L10581)</f>
        <v>31919.494545454545</v>
      </c>
      <c r="N10581" s="273"/>
    </row>
    <row r="10582" spans="1:14" ht="12.75" customHeight="1" x14ac:dyDescent="0.25">
      <c r="A10582" s="393"/>
      <c r="B10582" s="271"/>
      <c r="C10582" s="271"/>
      <c r="D10582" s="271"/>
      <c r="E10582" s="271"/>
      <c r="F10582" s="271"/>
      <c r="G10582" s="273"/>
      <c r="H10582" s="29" t="str">
        <f>IF(A10582="","",VLOOKUP(A10582,AA_Cuadrillas,4,FALSE))</f>
        <v/>
      </c>
      <c r="I10582" s="394" t="str">
        <f>IF(A10582="","",VLOOKUP(A10582,AA_Cuadrillas,5,FALSE))</f>
        <v/>
      </c>
      <c r="J10582" s="273"/>
      <c r="K10582" s="9" t="str">
        <f>IF(A10582="","",F.P!$I$2)</f>
        <v/>
      </c>
      <c r="L10582" s="9"/>
      <c r="M10582" s="394" t="str">
        <f t="shared" si="1409"/>
        <v/>
      </c>
      <c r="N10582" s="273"/>
    </row>
    <row r="10583" spans="1:14" ht="12.75" customHeight="1" x14ac:dyDescent="0.25">
      <c r="A10583" s="393"/>
      <c r="B10583" s="271"/>
      <c r="C10583" s="271"/>
      <c r="D10583" s="271"/>
      <c r="E10583" s="271"/>
      <c r="F10583" s="271"/>
      <c r="G10583" s="273"/>
      <c r="H10583" s="29" t="str">
        <f>IF(A10583="","",VLOOKUP(A10583,AA_Cuadrillas,4,FALSE))</f>
        <v/>
      </c>
      <c r="I10583" s="394" t="str">
        <f>IF(A10583="","",VLOOKUP(A10583,AA_Cuadrillas,5,FALSE))</f>
        <v/>
      </c>
      <c r="J10583" s="273"/>
      <c r="K10583" s="9" t="str">
        <f>IF(A10583="","",F.P!$I$2)</f>
        <v/>
      </c>
      <c r="L10583" s="37"/>
      <c r="M10583" s="394" t="str">
        <f t="shared" si="1409"/>
        <v/>
      </c>
      <c r="N10583" s="273"/>
    </row>
    <row r="10584" spans="1:14" ht="12.75" customHeight="1" x14ac:dyDescent="0.25">
      <c r="A10584" s="393"/>
      <c r="B10584" s="271"/>
      <c r="C10584" s="271"/>
      <c r="D10584" s="271"/>
      <c r="E10584" s="271"/>
      <c r="F10584" s="271"/>
      <c r="G10584" s="273"/>
      <c r="H10584" s="29" t="str">
        <f>IF(A10584="","",VLOOKUP(A10584,AA_Cuadrillas,4,FALSE))</f>
        <v/>
      </c>
      <c r="I10584" s="394" t="str">
        <f>IF(A10584="","",VLOOKUP(A10584,AA_Cuadrillas,5,FALSE))</f>
        <v/>
      </c>
      <c r="J10584" s="273"/>
      <c r="K10584" s="9" t="str">
        <f>IF(A10584="","",F.P!$I$2)</f>
        <v/>
      </c>
      <c r="L10584" s="37"/>
      <c r="M10584" s="394" t="str">
        <f t="shared" si="1409"/>
        <v/>
      </c>
      <c r="N10584" s="273"/>
    </row>
    <row r="10585" spans="1:14" ht="12.75" customHeight="1" x14ac:dyDescent="0.25">
      <c r="A10585" s="393"/>
      <c r="B10585" s="271"/>
      <c r="C10585" s="271"/>
      <c r="D10585" s="271"/>
      <c r="E10585" s="271"/>
      <c r="F10585" s="271"/>
      <c r="G10585" s="273"/>
      <c r="H10585" s="29" t="str">
        <f>IF(A10585="","",VLOOKUP(A10585,AA_Cuadrillas,4,FALSE))</f>
        <v/>
      </c>
      <c r="I10585" s="394" t="str">
        <f>IF(A10585="","",VLOOKUP(A10585,AA_Cuadrillas,5,FALSE))</f>
        <v/>
      </c>
      <c r="J10585" s="273"/>
      <c r="K10585" s="9" t="str">
        <f>IF(A10585="","",F.P!$I$2)</f>
        <v/>
      </c>
      <c r="L10585" s="37"/>
      <c r="M10585" s="394" t="str">
        <f t="shared" si="1409"/>
        <v/>
      </c>
      <c r="N10585" s="273"/>
    </row>
    <row r="10586" spans="1:14" ht="12.75" customHeight="1" x14ac:dyDescent="0.25">
      <c r="A10586" s="4"/>
      <c r="B10586" s="4"/>
      <c r="C10586" s="4"/>
      <c r="D10586" s="4"/>
      <c r="E10586" s="4"/>
      <c r="F10586" s="4"/>
      <c r="G10586" s="4"/>
      <c r="H10586" s="4"/>
      <c r="I10586" s="4"/>
      <c r="J10586" s="4"/>
      <c r="K10586" s="396" t="s">
        <v>444</v>
      </c>
      <c r="L10586" s="273"/>
      <c r="M10586" s="394">
        <f>SUM(M10581:N10585)</f>
        <v>31919.494545454545</v>
      </c>
      <c r="N10586" s="273"/>
    </row>
    <row r="10587" spans="1:14" ht="12.75" customHeight="1" x14ac:dyDescent="0.2"/>
    <row r="10588" spans="1:14" ht="12.75" customHeight="1" x14ac:dyDescent="0.2">
      <c r="A10588" s="407" t="s">
        <v>224</v>
      </c>
      <c r="B10588" s="275"/>
      <c r="C10588" s="275"/>
      <c r="D10588" s="275"/>
      <c r="E10588" s="275"/>
      <c r="F10588" s="275"/>
      <c r="G10588" s="275"/>
      <c r="H10588" s="275"/>
      <c r="I10588" s="275"/>
      <c r="J10588" s="275"/>
      <c r="K10588" s="275"/>
      <c r="L10588" s="275"/>
      <c r="M10588" s="275"/>
      <c r="N10588" s="276"/>
    </row>
    <row r="10589" spans="1:14" ht="12.75" customHeight="1" x14ac:dyDescent="0.2">
      <c r="A10589" s="277"/>
      <c r="B10589" s="278"/>
      <c r="C10589" s="278"/>
      <c r="D10589" s="278"/>
      <c r="E10589" s="278"/>
      <c r="F10589" s="278"/>
      <c r="G10589" s="278"/>
      <c r="H10589" s="278"/>
      <c r="I10589" s="278"/>
      <c r="J10589" s="278"/>
      <c r="K10589" s="278"/>
      <c r="L10589" s="278"/>
      <c r="M10589" s="278"/>
      <c r="N10589" s="279"/>
    </row>
    <row r="10590" spans="1:14" ht="12.75" customHeight="1" x14ac:dyDescent="0.2">
      <c r="A10590" s="75"/>
      <c r="B10590" s="75"/>
      <c r="C10590" s="75"/>
      <c r="D10590" s="75"/>
      <c r="E10590" s="75"/>
      <c r="F10590" s="75"/>
      <c r="G10590" s="75"/>
      <c r="H10590" s="75"/>
      <c r="I10590" s="75"/>
      <c r="J10590" s="75"/>
      <c r="K10590" s="75"/>
      <c r="L10590" s="75"/>
      <c r="M10590" s="75"/>
      <c r="N10590" s="75"/>
    </row>
    <row r="10591" spans="1:14" ht="12.75" customHeight="1" x14ac:dyDescent="0.3">
      <c r="A10591" s="79" t="s">
        <v>847</v>
      </c>
      <c r="B10591" s="80" t="str">
        <f>A10588</f>
        <v>SUMINISTRO E INSTALACIÓN DE FALSO FONDO PARA FILTROS (INCLUYE PLACA, HERRAMIENTAS Y MANO DE OBRA)</v>
      </c>
      <c r="C10591" s="81" t="s">
        <v>916</v>
      </c>
      <c r="D10591" s="82" t="s">
        <v>934</v>
      </c>
      <c r="E10591" s="83" t="s">
        <v>445</v>
      </c>
      <c r="F10591" s="86">
        <f>H10591+J10591+L10591+N10591</f>
        <v>2368255.7430000002</v>
      </c>
      <c r="G10591" s="83" t="s">
        <v>607</v>
      </c>
      <c r="H10591" s="86">
        <f>M10610</f>
        <v>1024.0829999999999</v>
      </c>
      <c r="I10591" s="83" t="s">
        <v>918</v>
      </c>
      <c r="J10591" s="86">
        <f>M10601</f>
        <v>2235000</v>
      </c>
      <c r="K10591" s="83" t="s">
        <v>609</v>
      </c>
      <c r="L10591" s="86">
        <f>M10619</f>
        <v>111750</v>
      </c>
      <c r="M10591" s="83" t="s">
        <v>610</v>
      </c>
      <c r="N10591" s="86">
        <f>M10628</f>
        <v>20481.659999999996</v>
      </c>
    </row>
    <row r="10592" spans="1:14" ht="12.75" customHeight="1" x14ac:dyDescent="0.25">
      <c r="A10592" s="87"/>
      <c r="B10592" s="87"/>
      <c r="C10592" s="87"/>
      <c r="D10592" s="87"/>
      <c r="E10592" s="87"/>
      <c r="F10592" s="87"/>
      <c r="G10592" s="87"/>
      <c r="J10592" s="87"/>
      <c r="K10592" s="215" t="s">
        <v>3217</v>
      </c>
      <c r="L10592" s="215">
        <f>+F10591*presup!$O$5</f>
        <v>3078732.4659000007</v>
      </c>
      <c r="M10592" s="87"/>
      <c r="N10592" s="87"/>
    </row>
    <row r="10593" spans="1:14" ht="12.75" customHeight="1" x14ac:dyDescent="0.2">
      <c r="A10593" s="398" t="s">
        <v>919</v>
      </c>
      <c r="B10593" s="271"/>
      <c r="C10593" s="271"/>
      <c r="D10593" s="271"/>
      <c r="E10593" s="271"/>
      <c r="F10593" s="271"/>
      <c r="G10593" s="271"/>
      <c r="H10593" s="271"/>
      <c r="I10593" s="271"/>
      <c r="J10593" s="271"/>
      <c r="K10593" s="271"/>
      <c r="L10593" s="271"/>
      <c r="M10593" s="271"/>
      <c r="N10593" s="273"/>
    </row>
    <row r="10594" spans="1:14" ht="12.75" customHeight="1" x14ac:dyDescent="0.2">
      <c r="A10594" s="396" t="s">
        <v>76</v>
      </c>
      <c r="B10594" s="271"/>
      <c r="C10594" s="271"/>
      <c r="D10594" s="271"/>
      <c r="E10594" s="271"/>
      <c r="F10594" s="271"/>
      <c r="G10594" s="273"/>
      <c r="H10594" s="88" t="s">
        <v>77</v>
      </c>
      <c r="I10594" s="399" t="s">
        <v>920</v>
      </c>
      <c r="J10594" s="273"/>
      <c r="K10594" s="399" t="s">
        <v>453</v>
      </c>
      <c r="L10594" s="273"/>
      <c r="M10594" s="399" t="s">
        <v>921</v>
      </c>
      <c r="N10594" s="273"/>
    </row>
    <row r="10595" spans="1:14" ht="12.75" customHeight="1" x14ac:dyDescent="0.2">
      <c r="A10595" s="403" t="s">
        <v>1516</v>
      </c>
      <c r="B10595" s="271"/>
      <c r="C10595" s="271"/>
      <c r="D10595" s="271"/>
      <c r="E10595" s="271"/>
      <c r="F10595" s="271"/>
      <c r="G10595" s="273"/>
      <c r="H10595" s="29" t="str">
        <f t="shared" ref="H10595:H10600" si="1410">IF(A10595="","",VLOOKUP(A10595,AA_Materiales,7,FALSE))</f>
        <v>m2</v>
      </c>
      <c r="I10595" s="394">
        <f t="shared" ref="I10595:I10600" si="1411">IF(A10595="","",VLOOKUP(A10595,AA_Materiales,8,FALSE))</f>
        <v>2235000</v>
      </c>
      <c r="J10595" s="273"/>
      <c r="K10595" s="395">
        <v>1</v>
      </c>
      <c r="L10595" s="273"/>
      <c r="M10595" s="394">
        <f t="shared" ref="M10595:M10600" si="1412">IF(A10595="","",I10595*K10595)</f>
        <v>2235000</v>
      </c>
      <c r="N10595" s="273"/>
    </row>
    <row r="10596" spans="1:14" ht="12.75" customHeight="1" x14ac:dyDescent="0.2">
      <c r="A10596" s="403"/>
      <c r="B10596" s="271"/>
      <c r="C10596" s="271"/>
      <c r="D10596" s="271"/>
      <c r="E10596" s="271"/>
      <c r="F10596" s="271"/>
      <c r="G10596" s="273"/>
      <c r="H10596" s="29" t="str">
        <f t="shared" si="1410"/>
        <v/>
      </c>
      <c r="I10596" s="394" t="str">
        <f t="shared" si="1411"/>
        <v/>
      </c>
      <c r="J10596" s="273"/>
      <c r="K10596" s="395"/>
      <c r="L10596" s="273"/>
      <c r="M10596" s="394" t="str">
        <f t="shared" si="1412"/>
        <v/>
      </c>
      <c r="N10596" s="273"/>
    </row>
    <row r="10597" spans="1:14" ht="12.75" customHeight="1" x14ac:dyDescent="0.2">
      <c r="A10597" s="403"/>
      <c r="B10597" s="271"/>
      <c r="C10597" s="271"/>
      <c r="D10597" s="271"/>
      <c r="E10597" s="271"/>
      <c r="F10597" s="271"/>
      <c r="G10597" s="273"/>
      <c r="H10597" s="29" t="str">
        <f t="shared" si="1410"/>
        <v/>
      </c>
      <c r="I10597" s="394" t="str">
        <f t="shared" si="1411"/>
        <v/>
      </c>
      <c r="J10597" s="273"/>
      <c r="K10597" s="395"/>
      <c r="L10597" s="273"/>
      <c r="M10597" s="394" t="str">
        <f t="shared" si="1412"/>
        <v/>
      </c>
      <c r="N10597" s="273"/>
    </row>
    <row r="10598" spans="1:14" ht="12.75" customHeight="1" x14ac:dyDescent="0.2">
      <c r="A10598" s="403"/>
      <c r="B10598" s="271"/>
      <c r="C10598" s="271"/>
      <c r="D10598" s="271"/>
      <c r="E10598" s="271"/>
      <c r="F10598" s="271"/>
      <c r="G10598" s="273"/>
      <c r="H10598" s="29" t="str">
        <f t="shared" si="1410"/>
        <v/>
      </c>
      <c r="I10598" s="394" t="str">
        <f t="shared" si="1411"/>
        <v/>
      </c>
      <c r="J10598" s="273"/>
      <c r="K10598" s="395"/>
      <c r="L10598" s="273"/>
      <c r="M10598" s="394" t="str">
        <f t="shared" si="1412"/>
        <v/>
      </c>
      <c r="N10598" s="273"/>
    </row>
    <row r="10599" spans="1:14" ht="12.75" customHeight="1" x14ac:dyDescent="0.2">
      <c r="A10599" s="403"/>
      <c r="B10599" s="271"/>
      <c r="C10599" s="271"/>
      <c r="D10599" s="271"/>
      <c r="E10599" s="271"/>
      <c r="F10599" s="271"/>
      <c r="G10599" s="273"/>
      <c r="H10599" s="29" t="str">
        <f t="shared" si="1410"/>
        <v/>
      </c>
      <c r="I10599" s="394" t="str">
        <f t="shared" si="1411"/>
        <v/>
      </c>
      <c r="J10599" s="273"/>
      <c r="K10599" s="395"/>
      <c r="L10599" s="273"/>
      <c r="M10599" s="394" t="str">
        <f t="shared" si="1412"/>
        <v/>
      </c>
      <c r="N10599" s="273"/>
    </row>
    <row r="10600" spans="1:14" ht="12.75" customHeight="1" x14ac:dyDescent="0.2">
      <c r="A10600" s="403"/>
      <c r="B10600" s="271"/>
      <c r="C10600" s="271"/>
      <c r="D10600" s="271"/>
      <c r="E10600" s="271"/>
      <c r="F10600" s="271"/>
      <c r="G10600" s="273"/>
      <c r="H10600" s="29" t="str">
        <f t="shared" si="1410"/>
        <v/>
      </c>
      <c r="I10600" s="394" t="str">
        <f t="shared" si="1411"/>
        <v/>
      </c>
      <c r="J10600" s="273"/>
      <c r="K10600" s="395"/>
      <c r="L10600" s="273"/>
      <c r="M10600" s="394" t="str">
        <f t="shared" si="1412"/>
        <v/>
      </c>
      <c r="N10600" s="273"/>
    </row>
    <row r="10601" spans="1:14" ht="12.75" customHeight="1" x14ac:dyDescent="0.25">
      <c r="A10601" s="4"/>
      <c r="B10601" s="4"/>
      <c r="C10601" s="4"/>
      <c r="D10601" s="4"/>
      <c r="E10601" s="4"/>
      <c r="F10601" s="4"/>
      <c r="G10601" s="4"/>
      <c r="H10601" s="4"/>
      <c r="I10601" s="4"/>
      <c r="J10601" s="4"/>
      <c r="K10601" s="396" t="s">
        <v>444</v>
      </c>
      <c r="L10601" s="273"/>
      <c r="M10601" s="394">
        <f>SUM(M10595:N10600)</f>
        <v>2235000</v>
      </c>
      <c r="N10601" s="273"/>
    </row>
    <row r="10602" spans="1:14" ht="12.75" customHeight="1" x14ac:dyDescent="0.25">
      <c r="A10602" s="4"/>
      <c r="B10602" s="4"/>
      <c r="C10602" s="4"/>
      <c r="D10602" s="4"/>
      <c r="E10602" s="4"/>
      <c r="F10602" s="4"/>
      <c r="G10602" s="4"/>
      <c r="H10602" s="4"/>
      <c r="I10602" s="4"/>
      <c r="J10602" s="4"/>
      <c r="K10602" s="4"/>
      <c r="L10602" s="4"/>
      <c r="M10602" s="4"/>
      <c r="N10602" s="4"/>
    </row>
    <row r="10603" spans="1:14" ht="12.75" customHeight="1" x14ac:dyDescent="0.2">
      <c r="A10603" s="398" t="s">
        <v>926</v>
      </c>
      <c r="B10603" s="271"/>
      <c r="C10603" s="271"/>
      <c r="D10603" s="271"/>
      <c r="E10603" s="271"/>
      <c r="F10603" s="271"/>
      <c r="G10603" s="271"/>
      <c r="H10603" s="271"/>
      <c r="I10603" s="271"/>
      <c r="J10603" s="271"/>
      <c r="K10603" s="271"/>
      <c r="L10603" s="271"/>
      <c r="M10603" s="271"/>
      <c r="N10603" s="273"/>
    </row>
    <row r="10604" spans="1:14" ht="12.75" customHeight="1" x14ac:dyDescent="0.2">
      <c r="A10604" s="396" t="s">
        <v>76</v>
      </c>
      <c r="B10604" s="271"/>
      <c r="C10604" s="271"/>
      <c r="D10604" s="271"/>
      <c r="E10604" s="271"/>
      <c r="F10604" s="271"/>
      <c r="G10604" s="273"/>
      <c r="H10604" s="88" t="s">
        <v>77</v>
      </c>
      <c r="I10604" s="399" t="s">
        <v>920</v>
      </c>
      <c r="J10604" s="273"/>
      <c r="K10604" s="399" t="s">
        <v>453</v>
      </c>
      <c r="L10604" s="273"/>
      <c r="M10604" s="399" t="s">
        <v>921</v>
      </c>
      <c r="N10604" s="273"/>
    </row>
    <row r="10605" spans="1:14" ht="12.75" customHeight="1" x14ac:dyDescent="0.2">
      <c r="A10605" s="400" t="s">
        <v>927</v>
      </c>
      <c r="B10605" s="271"/>
      <c r="C10605" s="271"/>
      <c r="D10605" s="271"/>
      <c r="E10605" s="271"/>
      <c r="F10605" s="271"/>
      <c r="G10605" s="273"/>
      <c r="H10605" s="29" t="str">
        <f>IF(A10605="","",VLOOKUP(A10605,AA_Equipos,7,FALSE))</f>
        <v>% M.O.</v>
      </c>
      <c r="I10605" s="394">
        <f>+M10628</f>
        <v>20481.659999999996</v>
      </c>
      <c r="J10605" s="273"/>
      <c r="K10605" s="404">
        <v>0.05</v>
      </c>
      <c r="L10605" s="273"/>
      <c r="M10605" s="394">
        <f t="shared" ref="M10605:M10609" si="1413">IF(A10605="","",I10605*K10605)</f>
        <v>1024.0829999999999</v>
      </c>
      <c r="N10605" s="273"/>
    </row>
    <row r="10606" spans="1:14" ht="12.75" customHeight="1" x14ac:dyDescent="0.2">
      <c r="A10606" s="403"/>
      <c r="B10606" s="271"/>
      <c r="C10606" s="271"/>
      <c r="D10606" s="271"/>
      <c r="E10606" s="271"/>
      <c r="F10606" s="271"/>
      <c r="G10606" s="273"/>
      <c r="H10606" s="29" t="str">
        <f>IF(A10606="","",VLOOKUP(A10606,AA_Equipos,7,FALSE))</f>
        <v/>
      </c>
      <c r="I10606" s="394" t="str">
        <f>IF(A10606="","",VLOOKUP(A10606,AA_Equipos,8,FALSE))</f>
        <v/>
      </c>
      <c r="J10606" s="273"/>
      <c r="K10606" s="402"/>
      <c r="L10606" s="273"/>
      <c r="M10606" s="394" t="str">
        <f t="shared" si="1413"/>
        <v/>
      </c>
      <c r="N10606" s="273"/>
    </row>
    <row r="10607" spans="1:14" ht="12.75" customHeight="1" x14ac:dyDescent="0.2">
      <c r="A10607" s="400"/>
      <c r="B10607" s="271"/>
      <c r="C10607" s="271"/>
      <c r="D10607" s="271"/>
      <c r="E10607" s="271"/>
      <c r="F10607" s="271"/>
      <c r="G10607" s="273"/>
      <c r="H10607" s="29" t="str">
        <f>IF(A10607="","",VLOOKUP(A10607,AA_Equipos,7,FALSE))</f>
        <v/>
      </c>
      <c r="I10607" s="394" t="str">
        <f>IF(A10607="","",VLOOKUP(A10607,AA_Equipos,8,FALSE))</f>
        <v/>
      </c>
      <c r="J10607" s="273"/>
      <c r="K10607" s="401"/>
      <c r="L10607" s="273"/>
      <c r="M10607" s="394" t="str">
        <f t="shared" si="1413"/>
        <v/>
      </c>
      <c r="N10607" s="273"/>
    </row>
    <row r="10608" spans="1:14" ht="12.75" customHeight="1" x14ac:dyDescent="0.2">
      <c r="A10608" s="400"/>
      <c r="B10608" s="271"/>
      <c r="C10608" s="271"/>
      <c r="D10608" s="271"/>
      <c r="E10608" s="271"/>
      <c r="F10608" s="271"/>
      <c r="G10608" s="273"/>
      <c r="H10608" s="29" t="str">
        <f>IF(A10608="","",VLOOKUP(A10608,AA_Equipos,7,FALSE))</f>
        <v/>
      </c>
      <c r="I10608" s="394" t="str">
        <f>IF(A10608="","",VLOOKUP(A10608,AA_Equipos,8,FALSE))</f>
        <v/>
      </c>
      <c r="J10608" s="273"/>
      <c r="K10608" s="395"/>
      <c r="L10608" s="273"/>
      <c r="M10608" s="394" t="str">
        <f t="shared" si="1413"/>
        <v/>
      </c>
      <c r="N10608" s="273"/>
    </row>
    <row r="10609" spans="1:14" ht="12.75" customHeight="1" x14ac:dyDescent="0.2">
      <c r="A10609" s="400"/>
      <c r="B10609" s="271"/>
      <c r="C10609" s="271"/>
      <c r="D10609" s="271"/>
      <c r="E10609" s="271"/>
      <c r="F10609" s="271"/>
      <c r="G10609" s="273"/>
      <c r="H10609" s="29" t="str">
        <f>IF(A10609="","",VLOOKUP(A10609,AA_Equipos,7,FALSE))</f>
        <v/>
      </c>
      <c r="I10609" s="394" t="str">
        <f>IF(A10609="","",VLOOKUP(A10609,AA_Equipos,8,FALSE))</f>
        <v/>
      </c>
      <c r="J10609" s="273"/>
      <c r="K10609" s="395"/>
      <c r="L10609" s="273"/>
      <c r="M10609" s="394" t="str">
        <f t="shared" si="1413"/>
        <v/>
      </c>
      <c r="N10609" s="273"/>
    </row>
    <row r="10610" spans="1:14" ht="12.75" customHeight="1" x14ac:dyDescent="0.25">
      <c r="A10610" s="4"/>
      <c r="B10610" s="4"/>
      <c r="C10610" s="4"/>
      <c r="D10610" s="4"/>
      <c r="E10610" s="4"/>
      <c r="F10610" s="4"/>
      <c r="G10610" s="4"/>
      <c r="H10610" s="4"/>
      <c r="I10610" s="4"/>
      <c r="J10610" s="4"/>
      <c r="K10610" s="396" t="s">
        <v>444</v>
      </c>
      <c r="L10610" s="273"/>
      <c r="M10610" s="394">
        <f>SUM(M10605:N10609)</f>
        <v>1024.0829999999999</v>
      </c>
      <c r="N10610" s="273"/>
    </row>
    <row r="10611" spans="1:14" ht="12.75" customHeight="1" x14ac:dyDescent="0.25">
      <c r="A10611" s="4"/>
      <c r="B10611" s="4"/>
      <c r="C10611" s="4"/>
      <c r="D10611" s="4"/>
      <c r="E10611" s="4"/>
      <c r="F10611" s="4"/>
      <c r="G10611" s="4"/>
      <c r="H10611" s="4"/>
      <c r="I10611" s="4"/>
      <c r="J10611" s="4"/>
      <c r="K10611" s="4"/>
      <c r="L10611" s="4"/>
      <c r="M10611" s="4"/>
      <c r="N10611" s="4"/>
    </row>
    <row r="10612" spans="1:14" ht="12.75" customHeight="1" x14ac:dyDescent="0.2">
      <c r="A10612" s="398" t="s">
        <v>929</v>
      </c>
      <c r="B10612" s="271"/>
      <c r="C10612" s="271"/>
      <c r="D10612" s="271"/>
      <c r="E10612" s="271"/>
      <c r="F10612" s="271"/>
      <c r="G10612" s="271"/>
      <c r="H10612" s="271"/>
      <c r="I10612" s="271"/>
      <c r="J10612" s="271"/>
      <c r="K10612" s="271"/>
      <c r="L10612" s="271"/>
      <c r="M10612" s="271"/>
      <c r="N10612" s="273"/>
    </row>
    <row r="10613" spans="1:14" ht="12.75" customHeight="1" x14ac:dyDescent="0.2">
      <c r="A10613" s="396" t="s">
        <v>76</v>
      </c>
      <c r="B10613" s="271"/>
      <c r="C10613" s="271"/>
      <c r="D10613" s="271"/>
      <c r="E10613" s="271"/>
      <c r="F10613" s="271"/>
      <c r="G10613" s="273"/>
      <c r="H10613" s="88" t="s">
        <v>77</v>
      </c>
      <c r="I10613" s="399" t="s">
        <v>920</v>
      </c>
      <c r="J10613" s="273"/>
      <c r="K10613" s="399" t="s">
        <v>453</v>
      </c>
      <c r="L10613" s="273"/>
      <c r="M10613" s="399" t="s">
        <v>921</v>
      </c>
      <c r="N10613" s="273"/>
    </row>
    <row r="10614" spans="1:14" ht="12.75" customHeight="1" x14ac:dyDescent="0.2">
      <c r="A10614" s="400" t="s">
        <v>966</v>
      </c>
      <c r="B10614" s="271"/>
      <c r="C10614" s="271"/>
      <c r="D10614" s="271"/>
      <c r="E10614" s="271"/>
      <c r="F10614" s="271"/>
      <c r="G10614" s="273"/>
      <c r="H10614" s="29" t="s">
        <v>950</v>
      </c>
      <c r="I10614" s="394">
        <f>+M10601</f>
        <v>2235000</v>
      </c>
      <c r="J10614" s="273"/>
      <c r="K10614" s="404">
        <v>0.05</v>
      </c>
      <c r="L10614" s="273"/>
      <c r="M10614" s="394">
        <f t="shared" ref="M10614:M10618" si="1414">IF(A10614="","",I10614*K10614)</f>
        <v>111750</v>
      </c>
      <c r="N10614" s="273"/>
    </row>
    <row r="10615" spans="1:14" ht="12.75" customHeight="1" x14ac:dyDescent="0.2">
      <c r="A10615" s="403"/>
      <c r="B10615" s="271"/>
      <c r="C10615" s="271"/>
      <c r="D10615" s="271"/>
      <c r="E10615" s="271"/>
      <c r="F10615" s="271"/>
      <c r="G10615" s="273"/>
      <c r="H10615" s="29"/>
      <c r="I10615" s="394"/>
      <c r="J10615" s="273"/>
      <c r="K10615" s="404"/>
      <c r="L10615" s="273"/>
      <c r="M10615" s="394" t="str">
        <f t="shared" si="1414"/>
        <v/>
      </c>
      <c r="N10615" s="273"/>
    </row>
    <row r="10616" spans="1:14" ht="12.75" customHeight="1" x14ac:dyDescent="0.2">
      <c r="A10616" s="400"/>
      <c r="B10616" s="271"/>
      <c r="C10616" s="271"/>
      <c r="D10616" s="271"/>
      <c r="E10616" s="271"/>
      <c r="F10616" s="271"/>
      <c r="G10616" s="273"/>
      <c r="H10616" s="29"/>
      <c r="I10616" s="394"/>
      <c r="J10616" s="273"/>
      <c r="K10616" s="395"/>
      <c r="L10616" s="273"/>
      <c r="M10616" s="394" t="str">
        <f t="shared" si="1414"/>
        <v/>
      </c>
      <c r="N10616" s="273"/>
    </row>
    <row r="10617" spans="1:14" ht="12.75" customHeight="1" x14ac:dyDescent="0.2">
      <c r="A10617" s="400"/>
      <c r="B10617" s="271"/>
      <c r="C10617" s="271"/>
      <c r="D10617" s="271"/>
      <c r="E10617" s="271"/>
      <c r="F10617" s="271"/>
      <c r="G10617" s="273"/>
      <c r="H10617" s="29"/>
      <c r="I10617" s="394"/>
      <c r="J10617" s="273"/>
      <c r="K10617" s="395"/>
      <c r="L10617" s="273"/>
      <c r="M10617" s="394" t="str">
        <f t="shared" si="1414"/>
        <v/>
      </c>
      <c r="N10617" s="273"/>
    </row>
    <row r="10618" spans="1:14" ht="12.75" customHeight="1" x14ac:dyDescent="0.2">
      <c r="A10618" s="400"/>
      <c r="B10618" s="271"/>
      <c r="C10618" s="271"/>
      <c r="D10618" s="271"/>
      <c r="E10618" s="271"/>
      <c r="F10618" s="271"/>
      <c r="G10618" s="273"/>
      <c r="H10618" s="29"/>
      <c r="I10618" s="394"/>
      <c r="J10618" s="273"/>
      <c r="K10618" s="395"/>
      <c r="L10618" s="273"/>
      <c r="M10618" s="394" t="str">
        <f t="shared" si="1414"/>
        <v/>
      </c>
      <c r="N10618" s="273"/>
    </row>
    <row r="10619" spans="1:14" ht="12.75" customHeight="1" x14ac:dyDescent="0.25">
      <c r="A10619" s="4"/>
      <c r="B10619" s="4"/>
      <c r="C10619" s="4"/>
      <c r="D10619" s="4"/>
      <c r="E10619" s="4"/>
      <c r="F10619" s="4"/>
      <c r="G10619" s="4"/>
      <c r="H10619" s="4"/>
      <c r="I10619" s="4"/>
      <c r="J10619" s="4"/>
      <c r="K10619" s="396" t="s">
        <v>444</v>
      </c>
      <c r="L10619" s="273"/>
      <c r="M10619" s="394">
        <f>SUM(M10614:N10618)</f>
        <v>111750</v>
      </c>
      <c r="N10619" s="273"/>
    </row>
    <row r="10620" spans="1:14" ht="12.75" customHeight="1" x14ac:dyDescent="0.25">
      <c r="A10620" s="4"/>
      <c r="B10620" s="4"/>
      <c r="C10620" s="4"/>
      <c r="D10620" s="4"/>
      <c r="E10620" s="4"/>
      <c r="F10620" s="4"/>
      <c r="G10620" s="4"/>
      <c r="H10620" s="4"/>
      <c r="I10620" s="4"/>
      <c r="J10620" s="4"/>
      <c r="K10620" s="4"/>
      <c r="L10620" s="4"/>
      <c r="M10620" s="4"/>
      <c r="N10620" s="4"/>
    </row>
    <row r="10621" spans="1:14" ht="12.75" customHeight="1" x14ac:dyDescent="0.2">
      <c r="A10621" s="398" t="s">
        <v>931</v>
      </c>
      <c r="B10621" s="271"/>
      <c r="C10621" s="271"/>
      <c r="D10621" s="271"/>
      <c r="E10621" s="271"/>
      <c r="F10621" s="271"/>
      <c r="G10621" s="271"/>
      <c r="H10621" s="271"/>
      <c r="I10621" s="271"/>
      <c r="J10621" s="271"/>
      <c r="K10621" s="271"/>
      <c r="L10621" s="271"/>
      <c r="M10621" s="271"/>
      <c r="N10621" s="273"/>
    </row>
    <row r="10622" spans="1:14" ht="12.75" customHeight="1" x14ac:dyDescent="0.2">
      <c r="A10622" s="396" t="s">
        <v>76</v>
      </c>
      <c r="B10622" s="271"/>
      <c r="C10622" s="271"/>
      <c r="D10622" s="271"/>
      <c r="E10622" s="271"/>
      <c r="F10622" s="271"/>
      <c r="G10622" s="273"/>
      <c r="H10622" s="88" t="s">
        <v>77</v>
      </c>
      <c r="I10622" s="399" t="s">
        <v>920</v>
      </c>
      <c r="J10622" s="273"/>
      <c r="K10622" s="90" t="s">
        <v>514</v>
      </c>
      <c r="L10622" s="91" t="s">
        <v>932</v>
      </c>
      <c r="M10622" s="399" t="s">
        <v>921</v>
      </c>
      <c r="N10622" s="273"/>
    </row>
    <row r="10623" spans="1:14" ht="12.75" customHeight="1" x14ac:dyDescent="0.25">
      <c r="A10623" s="393" t="s">
        <v>1177</v>
      </c>
      <c r="B10623" s="271"/>
      <c r="C10623" s="271"/>
      <c r="D10623" s="271"/>
      <c r="E10623" s="271"/>
      <c r="F10623" s="271"/>
      <c r="G10623" s="273"/>
      <c r="H10623" s="29" t="str">
        <f>IF(A10623="","",VLOOKUP(A10623,AA_Cuadrillas,4,FALSE))</f>
        <v>Cuadrilla</v>
      </c>
      <c r="I10623" s="394">
        <f>IF(A10623="","",VLOOKUP(A10623,AA_Cuadrillas,5,FALSE))</f>
        <v>326835</v>
      </c>
      <c r="J10623" s="273"/>
      <c r="K10623" s="9">
        <f>IF(A10623="","",F.P!$I$2)</f>
        <v>1.88</v>
      </c>
      <c r="L10623" s="97">
        <f>1/30</f>
        <v>3.3333333333333333E-2</v>
      </c>
      <c r="M10623" s="394">
        <f t="shared" ref="M10623:M10627" si="1415">IF(A10623="","",I10623*K10623*L10623)</f>
        <v>20481.659999999996</v>
      </c>
      <c r="N10623" s="273"/>
    </row>
    <row r="10624" spans="1:14" ht="12.75" customHeight="1" x14ac:dyDescent="0.25">
      <c r="A10624" s="393"/>
      <c r="B10624" s="271"/>
      <c r="C10624" s="271"/>
      <c r="D10624" s="271"/>
      <c r="E10624" s="271"/>
      <c r="F10624" s="271"/>
      <c r="G10624" s="273"/>
      <c r="H10624" s="29" t="str">
        <f>IF(A10624="","",VLOOKUP(A10624,AA_Cuadrillas,4,FALSE))</f>
        <v/>
      </c>
      <c r="I10624" s="394" t="str">
        <f>IF(A10624="","",VLOOKUP(A10624,AA_Cuadrillas,5,FALSE))</f>
        <v/>
      </c>
      <c r="J10624" s="273"/>
      <c r="K10624" s="9" t="str">
        <f>IF(A10624="","",F.P!$I$2)</f>
        <v/>
      </c>
      <c r="L10624" s="9"/>
      <c r="M10624" s="394" t="str">
        <f t="shared" si="1415"/>
        <v/>
      </c>
      <c r="N10624" s="273"/>
    </row>
    <row r="10625" spans="1:14" ht="12.75" customHeight="1" x14ac:dyDescent="0.25">
      <c r="A10625" s="393"/>
      <c r="B10625" s="271"/>
      <c r="C10625" s="271"/>
      <c r="D10625" s="271"/>
      <c r="E10625" s="271"/>
      <c r="F10625" s="271"/>
      <c r="G10625" s="273"/>
      <c r="H10625" s="29" t="str">
        <f>IF(A10625="","",VLOOKUP(A10625,AA_Cuadrillas,4,FALSE))</f>
        <v/>
      </c>
      <c r="I10625" s="394" t="str">
        <f>IF(A10625="","",VLOOKUP(A10625,AA_Cuadrillas,5,FALSE))</f>
        <v/>
      </c>
      <c r="J10625" s="273"/>
      <c r="K10625" s="9" t="str">
        <f>IF(A10625="","",F.P!$I$2)</f>
        <v/>
      </c>
      <c r="L10625" s="37"/>
      <c r="M10625" s="394" t="str">
        <f t="shared" si="1415"/>
        <v/>
      </c>
      <c r="N10625" s="273"/>
    </row>
    <row r="10626" spans="1:14" ht="12.75" customHeight="1" x14ac:dyDescent="0.25">
      <c r="A10626" s="393"/>
      <c r="B10626" s="271"/>
      <c r="C10626" s="271"/>
      <c r="D10626" s="271"/>
      <c r="E10626" s="271"/>
      <c r="F10626" s="271"/>
      <c r="G10626" s="273"/>
      <c r="H10626" s="29" t="str">
        <f>IF(A10626="","",VLOOKUP(A10626,AA_Cuadrillas,4,FALSE))</f>
        <v/>
      </c>
      <c r="I10626" s="394" t="str">
        <f>IF(A10626="","",VLOOKUP(A10626,AA_Cuadrillas,5,FALSE))</f>
        <v/>
      </c>
      <c r="J10626" s="273"/>
      <c r="K10626" s="9" t="str">
        <f>IF(A10626="","",F.P!$I$2)</f>
        <v/>
      </c>
      <c r="L10626" s="37"/>
      <c r="M10626" s="394" t="str">
        <f t="shared" si="1415"/>
        <v/>
      </c>
      <c r="N10626" s="273"/>
    </row>
    <row r="10627" spans="1:14" ht="12.75" customHeight="1" x14ac:dyDescent="0.25">
      <c r="A10627" s="393"/>
      <c r="B10627" s="271"/>
      <c r="C10627" s="271"/>
      <c r="D10627" s="271"/>
      <c r="E10627" s="271"/>
      <c r="F10627" s="271"/>
      <c r="G10627" s="273"/>
      <c r="H10627" s="29" t="str">
        <f>IF(A10627="","",VLOOKUP(A10627,AA_Cuadrillas,4,FALSE))</f>
        <v/>
      </c>
      <c r="I10627" s="394" t="str">
        <f>IF(A10627="","",VLOOKUP(A10627,AA_Cuadrillas,5,FALSE))</f>
        <v/>
      </c>
      <c r="J10627" s="273"/>
      <c r="K10627" s="9" t="str">
        <f>IF(A10627="","",F.P!$I$2)</f>
        <v/>
      </c>
      <c r="L10627" s="37"/>
      <c r="M10627" s="394" t="str">
        <f t="shared" si="1415"/>
        <v/>
      </c>
      <c r="N10627" s="273"/>
    </row>
    <row r="10628" spans="1:14" ht="12.75" customHeight="1" x14ac:dyDescent="0.25">
      <c r="A10628" s="4"/>
      <c r="B10628" s="4"/>
      <c r="C10628" s="4"/>
      <c r="D10628" s="4"/>
      <c r="E10628" s="4"/>
      <c r="F10628" s="4"/>
      <c r="G10628" s="4"/>
      <c r="H10628" s="4"/>
      <c r="I10628" s="4"/>
      <c r="J10628" s="4"/>
      <c r="K10628" s="396" t="s">
        <v>444</v>
      </c>
      <c r="L10628" s="273"/>
      <c r="M10628" s="394">
        <f>SUM(M10623:N10627)</f>
        <v>20481.659999999996</v>
      </c>
      <c r="N10628" s="273"/>
    </row>
    <row r="10629" spans="1:14" ht="12.75" customHeight="1" x14ac:dyDescent="0.2"/>
    <row r="10630" spans="1:14" ht="12.75" customHeight="1" x14ac:dyDescent="0.2">
      <c r="A10630" s="397" t="s">
        <v>206</v>
      </c>
      <c r="B10630" s="275"/>
      <c r="C10630" s="275"/>
      <c r="D10630" s="275"/>
      <c r="E10630" s="275"/>
      <c r="F10630" s="275"/>
      <c r="G10630" s="275"/>
      <c r="H10630" s="275"/>
      <c r="I10630" s="275"/>
      <c r="J10630" s="275"/>
      <c r="K10630" s="275"/>
      <c r="L10630" s="275"/>
      <c r="M10630" s="275"/>
      <c r="N10630" s="276"/>
    </row>
    <row r="10631" spans="1:14" ht="12.75" customHeight="1" x14ac:dyDescent="0.2">
      <c r="A10631" s="277"/>
      <c r="B10631" s="278"/>
      <c r="C10631" s="278"/>
      <c r="D10631" s="278"/>
      <c r="E10631" s="278"/>
      <c r="F10631" s="278"/>
      <c r="G10631" s="278"/>
      <c r="H10631" s="278"/>
      <c r="I10631" s="278"/>
      <c r="J10631" s="278"/>
      <c r="K10631" s="278"/>
      <c r="L10631" s="278"/>
      <c r="M10631" s="278"/>
      <c r="N10631" s="279"/>
    </row>
    <row r="10632" spans="1:14" ht="12.75" customHeight="1" x14ac:dyDescent="0.2">
      <c r="A10632" s="75"/>
      <c r="B10632" s="75"/>
      <c r="C10632" s="75"/>
      <c r="D10632" s="75"/>
      <c r="E10632" s="75"/>
      <c r="F10632" s="75"/>
      <c r="G10632" s="75"/>
      <c r="H10632" s="75"/>
      <c r="I10632" s="75"/>
      <c r="J10632" s="75"/>
      <c r="K10632" s="75"/>
      <c r="L10632" s="75"/>
      <c r="M10632" s="75"/>
      <c r="N10632" s="75"/>
    </row>
    <row r="10633" spans="1:14" ht="12.75" customHeight="1" x14ac:dyDescent="0.3">
      <c r="A10633" s="79" t="s">
        <v>848</v>
      </c>
      <c r="B10633" s="80" t="str">
        <f>A10630</f>
        <v>SUMINISTRO DE PTAP COMPACTA EN PRFV DE CICLO COMPLETO PARA CAUDAL DE 3 LPS (INCLUYE BANDEJAS DE AIREACIÓN, UNIDAD DE MEZCLA RÁPIDA, FLOCULADOR, SEDIMENTADOR, TANQUE DE CONTACTO CLORO, FILTRACIÓN, DISEÑO, CONSTRUCCIÓN Y PUESTA EN MARCHA)</v>
      </c>
      <c r="C10633" s="81" t="s">
        <v>916</v>
      </c>
      <c r="D10633" s="82" t="s">
        <v>999</v>
      </c>
      <c r="E10633" s="83" t="s">
        <v>445</v>
      </c>
      <c r="F10633" s="86">
        <f>H10633+J10633+L10633+N10633</f>
        <v>158083200</v>
      </c>
      <c r="G10633" s="83" t="s">
        <v>607</v>
      </c>
      <c r="H10633" s="86">
        <f>M10652</f>
        <v>0</v>
      </c>
      <c r="I10633" s="83" t="s">
        <v>918</v>
      </c>
      <c r="J10633" s="86">
        <f>M10643</f>
        <v>158083200</v>
      </c>
      <c r="K10633" s="83" t="s">
        <v>609</v>
      </c>
      <c r="L10633" s="86">
        <f>M10661</f>
        <v>0</v>
      </c>
      <c r="M10633" s="83" t="s">
        <v>610</v>
      </c>
      <c r="N10633" s="86">
        <f>M10670</f>
        <v>0</v>
      </c>
    </row>
    <row r="10634" spans="1:14" ht="12.75" customHeight="1" x14ac:dyDescent="0.25">
      <c r="A10634" s="87"/>
      <c r="B10634" s="87"/>
      <c r="C10634" s="87"/>
      <c r="D10634" s="87"/>
      <c r="E10634" s="87"/>
      <c r="F10634" s="87"/>
      <c r="G10634" s="87"/>
      <c r="J10634" s="87"/>
      <c r="K10634" s="215" t="s">
        <v>3217</v>
      </c>
      <c r="L10634" s="215">
        <f>+F10633*presup!$O$5</f>
        <v>205508160</v>
      </c>
      <c r="M10634" s="87"/>
      <c r="N10634" s="87"/>
    </row>
    <row r="10635" spans="1:14" ht="12.75" customHeight="1" x14ac:dyDescent="0.2">
      <c r="A10635" s="398" t="s">
        <v>919</v>
      </c>
      <c r="B10635" s="271"/>
      <c r="C10635" s="271"/>
      <c r="D10635" s="271"/>
      <c r="E10635" s="271"/>
      <c r="F10635" s="271"/>
      <c r="G10635" s="271"/>
      <c r="H10635" s="271"/>
      <c r="I10635" s="271"/>
      <c r="J10635" s="271"/>
      <c r="K10635" s="271"/>
      <c r="L10635" s="271"/>
      <c r="M10635" s="271"/>
      <c r="N10635" s="273"/>
    </row>
    <row r="10636" spans="1:14" ht="12.75" customHeight="1" x14ac:dyDescent="0.2">
      <c r="A10636" s="396" t="s">
        <v>76</v>
      </c>
      <c r="B10636" s="271"/>
      <c r="C10636" s="271"/>
      <c r="D10636" s="271"/>
      <c r="E10636" s="271"/>
      <c r="F10636" s="271"/>
      <c r="G10636" s="273"/>
      <c r="H10636" s="88" t="s">
        <v>77</v>
      </c>
      <c r="I10636" s="399" t="s">
        <v>920</v>
      </c>
      <c r="J10636" s="273"/>
      <c r="K10636" s="399" t="s">
        <v>453</v>
      </c>
      <c r="L10636" s="273"/>
      <c r="M10636" s="399" t="s">
        <v>921</v>
      </c>
      <c r="N10636" s="273"/>
    </row>
    <row r="10637" spans="1:14" ht="12.75" customHeight="1" x14ac:dyDescent="0.2">
      <c r="A10637" s="403" t="s">
        <v>1517</v>
      </c>
      <c r="B10637" s="271"/>
      <c r="C10637" s="271"/>
      <c r="D10637" s="271"/>
      <c r="E10637" s="271"/>
      <c r="F10637" s="271"/>
      <c r="G10637" s="273"/>
      <c r="H10637" s="29" t="str">
        <f t="shared" ref="H10637:H10642" si="1416">IF(A10637="","",VLOOKUP(A10637,AA_Materiales,7,FALSE))</f>
        <v>Unidad</v>
      </c>
      <c r="I10637" s="394">
        <f t="shared" ref="I10637:I10642" si="1417">IF(A10637="","",VLOOKUP(A10637,AA_Materiales,8,FALSE))</f>
        <v>158083200</v>
      </c>
      <c r="J10637" s="273"/>
      <c r="K10637" s="395">
        <v>1</v>
      </c>
      <c r="L10637" s="273"/>
      <c r="M10637" s="394">
        <f t="shared" ref="M10637:M10642" si="1418">IF(A10637="","",I10637*K10637)</f>
        <v>158083200</v>
      </c>
      <c r="N10637" s="273"/>
    </row>
    <row r="10638" spans="1:14" ht="12.75" customHeight="1" x14ac:dyDescent="0.2">
      <c r="A10638" s="403"/>
      <c r="B10638" s="271"/>
      <c r="C10638" s="271"/>
      <c r="D10638" s="271"/>
      <c r="E10638" s="271"/>
      <c r="F10638" s="271"/>
      <c r="G10638" s="273"/>
      <c r="H10638" s="29" t="str">
        <f t="shared" si="1416"/>
        <v/>
      </c>
      <c r="I10638" s="394" t="str">
        <f t="shared" si="1417"/>
        <v/>
      </c>
      <c r="J10638" s="273"/>
      <c r="K10638" s="395"/>
      <c r="L10638" s="273"/>
      <c r="M10638" s="394" t="str">
        <f t="shared" si="1418"/>
        <v/>
      </c>
      <c r="N10638" s="273"/>
    </row>
    <row r="10639" spans="1:14" ht="12.75" customHeight="1" x14ac:dyDescent="0.2">
      <c r="A10639" s="403"/>
      <c r="B10639" s="271"/>
      <c r="C10639" s="271"/>
      <c r="D10639" s="271"/>
      <c r="E10639" s="271"/>
      <c r="F10639" s="271"/>
      <c r="G10639" s="273"/>
      <c r="H10639" s="29" t="str">
        <f t="shared" si="1416"/>
        <v/>
      </c>
      <c r="I10639" s="394" t="str">
        <f t="shared" si="1417"/>
        <v/>
      </c>
      <c r="J10639" s="273"/>
      <c r="K10639" s="395"/>
      <c r="L10639" s="273"/>
      <c r="M10639" s="394" t="str">
        <f t="shared" si="1418"/>
        <v/>
      </c>
      <c r="N10639" s="273"/>
    </row>
    <row r="10640" spans="1:14" ht="12.75" customHeight="1" x14ac:dyDescent="0.2">
      <c r="A10640" s="403"/>
      <c r="B10640" s="271"/>
      <c r="C10640" s="271"/>
      <c r="D10640" s="271"/>
      <c r="E10640" s="271"/>
      <c r="F10640" s="271"/>
      <c r="G10640" s="273"/>
      <c r="H10640" s="29" t="str">
        <f t="shared" si="1416"/>
        <v/>
      </c>
      <c r="I10640" s="394" t="str">
        <f t="shared" si="1417"/>
        <v/>
      </c>
      <c r="J10640" s="273"/>
      <c r="K10640" s="395"/>
      <c r="L10640" s="273"/>
      <c r="M10640" s="394" t="str">
        <f t="shared" si="1418"/>
        <v/>
      </c>
      <c r="N10640" s="273"/>
    </row>
    <row r="10641" spans="1:14" ht="12.75" customHeight="1" x14ac:dyDescent="0.2">
      <c r="A10641" s="403"/>
      <c r="B10641" s="271"/>
      <c r="C10641" s="271"/>
      <c r="D10641" s="271"/>
      <c r="E10641" s="271"/>
      <c r="F10641" s="271"/>
      <c r="G10641" s="273"/>
      <c r="H10641" s="29" t="str">
        <f t="shared" si="1416"/>
        <v/>
      </c>
      <c r="I10641" s="394" t="str">
        <f t="shared" si="1417"/>
        <v/>
      </c>
      <c r="J10641" s="273"/>
      <c r="K10641" s="395"/>
      <c r="L10641" s="273"/>
      <c r="M10641" s="394" t="str">
        <f t="shared" si="1418"/>
        <v/>
      </c>
      <c r="N10641" s="273"/>
    </row>
    <row r="10642" spans="1:14" ht="12.75" customHeight="1" x14ac:dyDescent="0.2">
      <c r="A10642" s="403"/>
      <c r="B10642" s="271"/>
      <c r="C10642" s="271"/>
      <c r="D10642" s="271"/>
      <c r="E10642" s="271"/>
      <c r="F10642" s="271"/>
      <c r="G10642" s="273"/>
      <c r="H10642" s="29" t="str">
        <f t="shared" si="1416"/>
        <v/>
      </c>
      <c r="I10642" s="394" t="str">
        <f t="shared" si="1417"/>
        <v/>
      </c>
      <c r="J10642" s="273"/>
      <c r="K10642" s="395"/>
      <c r="L10642" s="273"/>
      <c r="M10642" s="394" t="str">
        <f t="shared" si="1418"/>
        <v/>
      </c>
      <c r="N10642" s="273"/>
    </row>
    <row r="10643" spans="1:14" ht="12.75" customHeight="1" x14ac:dyDescent="0.25">
      <c r="A10643" s="4"/>
      <c r="B10643" s="4"/>
      <c r="C10643" s="4"/>
      <c r="D10643" s="4"/>
      <c r="E10643" s="4"/>
      <c r="F10643" s="4"/>
      <c r="G10643" s="4"/>
      <c r="H10643" s="4"/>
      <c r="I10643" s="4"/>
      <c r="J10643" s="4"/>
      <c r="K10643" s="396" t="s">
        <v>444</v>
      </c>
      <c r="L10643" s="273"/>
      <c r="M10643" s="394">
        <f>SUM(M10637:N10642)</f>
        <v>158083200</v>
      </c>
      <c r="N10643" s="273"/>
    </row>
    <row r="10644" spans="1:14" ht="12.75" customHeight="1" x14ac:dyDescent="0.25">
      <c r="A10644" s="4"/>
      <c r="B10644" s="4"/>
      <c r="C10644" s="4"/>
      <c r="D10644" s="4"/>
      <c r="E10644" s="4"/>
      <c r="F10644" s="4"/>
      <c r="G10644" s="4"/>
      <c r="H10644" s="4"/>
      <c r="I10644" s="4"/>
      <c r="J10644" s="4"/>
      <c r="K10644" s="4"/>
      <c r="L10644" s="4"/>
      <c r="M10644" s="4"/>
      <c r="N10644" s="4"/>
    </row>
    <row r="10645" spans="1:14" ht="12.75" customHeight="1" x14ac:dyDescent="0.2">
      <c r="A10645" s="398" t="s">
        <v>926</v>
      </c>
      <c r="B10645" s="271"/>
      <c r="C10645" s="271"/>
      <c r="D10645" s="271"/>
      <c r="E10645" s="271"/>
      <c r="F10645" s="271"/>
      <c r="G10645" s="271"/>
      <c r="H10645" s="271"/>
      <c r="I10645" s="271"/>
      <c r="J10645" s="271"/>
      <c r="K10645" s="271"/>
      <c r="L10645" s="271"/>
      <c r="M10645" s="271"/>
      <c r="N10645" s="273"/>
    </row>
    <row r="10646" spans="1:14" ht="12.75" customHeight="1" x14ac:dyDescent="0.2">
      <c r="A10646" s="396" t="s">
        <v>76</v>
      </c>
      <c r="B10646" s="271"/>
      <c r="C10646" s="271"/>
      <c r="D10646" s="271"/>
      <c r="E10646" s="271"/>
      <c r="F10646" s="271"/>
      <c r="G10646" s="273"/>
      <c r="H10646" s="88" t="s">
        <v>77</v>
      </c>
      <c r="I10646" s="399" t="s">
        <v>920</v>
      </c>
      <c r="J10646" s="273"/>
      <c r="K10646" s="399" t="s">
        <v>453</v>
      </c>
      <c r="L10646" s="273"/>
      <c r="M10646" s="399" t="s">
        <v>921</v>
      </c>
      <c r="N10646" s="273"/>
    </row>
    <row r="10647" spans="1:14" ht="12.75" customHeight="1" x14ac:dyDescent="0.2">
      <c r="A10647" s="400"/>
      <c r="B10647" s="271"/>
      <c r="C10647" s="271"/>
      <c r="D10647" s="271"/>
      <c r="E10647" s="271"/>
      <c r="F10647" s="271"/>
      <c r="G10647" s="273"/>
      <c r="H10647" s="29" t="str">
        <f>IF(A10647="","",VLOOKUP(A10647,AA_Equipos,7,FALSE))</f>
        <v/>
      </c>
      <c r="I10647" s="394"/>
      <c r="J10647" s="273"/>
      <c r="K10647" s="404"/>
      <c r="L10647" s="273"/>
      <c r="M10647" s="394" t="str">
        <f t="shared" ref="M10647:M10651" si="1419">IF(A10647="","",I10647*K10647)</f>
        <v/>
      </c>
      <c r="N10647" s="273"/>
    </row>
    <row r="10648" spans="1:14" ht="12.75" customHeight="1" x14ac:dyDescent="0.2">
      <c r="A10648" s="403"/>
      <c r="B10648" s="271"/>
      <c r="C10648" s="271"/>
      <c r="D10648" s="271"/>
      <c r="E10648" s="271"/>
      <c r="F10648" s="271"/>
      <c r="G10648" s="273"/>
      <c r="H10648" s="29" t="str">
        <f>IF(A10648="","",VLOOKUP(A10648,AA_Equipos,7,FALSE))</f>
        <v/>
      </c>
      <c r="I10648" s="394" t="str">
        <f>IF(A10648="","",VLOOKUP(A10648,AA_Equipos,8,FALSE))</f>
        <v/>
      </c>
      <c r="J10648" s="273"/>
      <c r="K10648" s="402"/>
      <c r="L10648" s="273"/>
      <c r="M10648" s="394" t="str">
        <f t="shared" si="1419"/>
        <v/>
      </c>
      <c r="N10648" s="273"/>
    </row>
    <row r="10649" spans="1:14" ht="12.75" customHeight="1" x14ac:dyDescent="0.2">
      <c r="A10649" s="400"/>
      <c r="B10649" s="271"/>
      <c r="C10649" s="271"/>
      <c r="D10649" s="271"/>
      <c r="E10649" s="271"/>
      <c r="F10649" s="271"/>
      <c r="G10649" s="273"/>
      <c r="H10649" s="29" t="str">
        <f>IF(A10649="","",VLOOKUP(A10649,AA_Equipos,7,FALSE))</f>
        <v/>
      </c>
      <c r="I10649" s="394" t="str">
        <f>IF(A10649="","",VLOOKUP(A10649,AA_Equipos,8,FALSE))</f>
        <v/>
      </c>
      <c r="J10649" s="273"/>
      <c r="K10649" s="401"/>
      <c r="L10649" s="273"/>
      <c r="M10649" s="394" t="str">
        <f t="shared" si="1419"/>
        <v/>
      </c>
      <c r="N10649" s="273"/>
    </row>
    <row r="10650" spans="1:14" ht="12.75" customHeight="1" x14ac:dyDescent="0.2">
      <c r="A10650" s="400"/>
      <c r="B10650" s="271"/>
      <c r="C10650" s="271"/>
      <c r="D10650" s="271"/>
      <c r="E10650" s="271"/>
      <c r="F10650" s="271"/>
      <c r="G10650" s="273"/>
      <c r="H10650" s="29" t="str">
        <f>IF(A10650="","",VLOOKUP(A10650,AA_Equipos,7,FALSE))</f>
        <v/>
      </c>
      <c r="I10650" s="394" t="str">
        <f>IF(A10650="","",VLOOKUP(A10650,AA_Equipos,8,FALSE))</f>
        <v/>
      </c>
      <c r="J10650" s="273"/>
      <c r="K10650" s="395"/>
      <c r="L10650" s="273"/>
      <c r="M10650" s="394" t="str">
        <f t="shared" si="1419"/>
        <v/>
      </c>
      <c r="N10650" s="273"/>
    </row>
    <row r="10651" spans="1:14" ht="12.75" customHeight="1" x14ac:dyDescent="0.2">
      <c r="A10651" s="400"/>
      <c r="B10651" s="271"/>
      <c r="C10651" s="271"/>
      <c r="D10651" s="271"/>
      <c r="E10651" s="271"/>
      <c r="F10651" s="271"/>
      <c r="G10651" s="273"/>
      <c r="H10651" s="29" t="str">
        <f>IF(A10651="","",VLOOKUP(A10651,AA_Equipos,7,FALSE))</f>
        <v/>
      </c>
      <c r="I10651" s="394" t="str">
        <f>IF(A10651="","",VLOOKUP(A10651,AA_Equipos,8,FALSE))</f>
        <v/>
      </c>
      <c r="J10651" s="273"/>
      <c r="K10651" s="395"/>
      <c r="L10651" s="273"/>
      <c r="M10651" s="394" t="str">
        <f t="shared" si="1419"/>
        <v/>
      </c>
      <c r="N10651" s="273"/>
    </row>
    <row r="10652" spans="1:14" ht="12.75" customHeight="1" x14ac:dyDescent="0.25">
      <c r="A10652" s="4"/>
      <c r="B10652" s="4"/>
      <c r="C10652" s="4"/>
      <c r="D10652" s="4"/>
      <c r="E10652" s="4"/>
      <c r="F10652" s="4"/>
      <c r="G10652" s="4"/>
      <c r="H10652" s="4"/>
      <c r="I10652" s="4"/>
      <c r="J10652" s="4"/>
      <c r="K10652" s="396" t="s">
        <v>444</v>
      </c>
      <c r="L10652" s="273"/>
      <c r="M10652" s="394">
        <f>SUM(M10647:N10651)</f>
        <v>0</v>
      </c>
      <c r="N10652" s="273"/>
    </row>
    <row r="10653" spans="1:14" ht="12.75" customHeight="1" x14ac:dyDescent="0.25">
      <c r="A10653" s="4"/>
      <c r="B10653" s="4"/>
      <c r="C10653" s="4"/>
      <c r="D10653" s="4"/>
      <c r="E10653" s="4"/>
      <c r="F10653" s="4"/>
      <c r="G10653" s="4"/>
      <c r="H10653" s="4"/>
      <c r="I10653" s="4"/>
      <c r="J10653" s="4"/>
      <c r="K10653" s="4"/>
      <c r="L10653" s="4"/>
      <c r="M10653" s="4"/>
      <c r="N10653" s="4"/>
    </row>
    <row r="10654" spans="1:14" ht="12.75" customHeight="1" x14ac:dyDescent="0.2">
      <c r="A10654" s="398" t="s">
        <v>929</v>
      </c>
      <c r="B10654" s="271"/>
      <c r="C10654" s="271"/>
      <c r="D10654" s="271"/>
      <c r="E10654" s="271"/>
      <c r="F10654" s="271"/>
      <c r="G10654" s="271"/>
      <c r="H10654" s="271"/>
      <c r="I10654" s="271"/>
      <c r="J10654" s="271"/>
      <c r="K10654" s="271"/>
      <c r="L10654" s="271"/>
      <c r="M10654" s="271"/>
      <c r="N10654" s="273"/>
    </row>
    <row r="10655" spans="1:14" ht="12.75" customHeight="1" x14ac:dyDescent="0.2">
      <c r="A10655" s="396" t="s">
        <v>76</v>
      </c>
      <c r="B10655" s="271"/>
      <c r="C10655" s="271"/>
      <c r="D10655" s="271"/>
      <c r="E10655" s="271"/>
      <c r="F10655" s="271"/>
      <c r="G10655" s="273"/>
      <c r="H10655" s="88" t="s">
        <v>77</v>
      </c>
      <c r="I10655" s="399" t="s">
        <v>920</v>
      </c>
      <c r="J10655" s="273"/>
      <c r="K10655" s="399" t="s">
        <v>453</v>
      </c>
      <c r="L10655" s="273"/>
      <c r="M10655" s="399" t="s">
        <v>921</v>
      </c>
      <c r="N10655" s="273"/>
    </row>
    <row r="10656" spans="1:14" ht="12.75" customHeight="1" x14ac:dyDescent="0.2">
      <c r="A10656" s="400"/>
      <c r="B10656" s="271"/>
      <c r="C10656" s="271"/>
      <c r="D10656" s="271"/>
      <c r="E10656" s="271"/>
      <c r="F10656" s="271"/>
      <c r="G10656" s="273"/>
      <c r="H10656" s="29"/>
      <c r="I10656" s="394"/>
      <c r="J10656" s="273"/>
      <c r="K10656" s="404"/>
      <c r="L10656" s="273"/>
      <c r="M10656" s="394" t="str">
        <f t="shared" ref="M10656:M10660" si="1420">IF(A10656="","",I10656*K10656)</f>
        <v/>
      </c>
      <c r="N10656" s="273"/>
    </row>
    <row r="10657" spans="1:14" ht="12.75" customHeight="1" x14ac:dyDescent="0.2">
      <c r="A10657" s="403"/>
      <c r="B10657" s="271"/>
      <c r="C10657" s="271"/>
      <c r="D10657" s="271"/>
      <c r="E10657" s="271"/>
      <c r="F10657" s="271"/>
      <c r="G10657" s="273"/>
      <c r="H10657" s="29"/>
      <c r="I10657" s="394"/>
      <c r="J10657" s="273"/>
      <c r="K10657" s="404"/>
      <c r="L10657" s="273"/>
      <c r="M10657" s="394" t="str">
        <f t="shared" si="1420"/>
        <v/>
      </c>
      <c r="N10657" s="273"/>
    </row>
    <row r="10658" spans="1:14" ht="12.75" customHeight="1" x14ac:dyDescent="0.2">
      <c r="A10658" s="400"/>
      <c r="B10658" s="271"/>
      <c r="C10658" s="271"/>
      <c r="D10658" s="271"/>
      <c r="E10658" s="271"/>
      <c r="F10658" s="271"/>
      <c r="G10658" s="273"/>
      <c r="H10658" s="29"/>
      <c r="I10658" s="394"/>
      <c r="J10658" s="273"/>
      <c r="K10658" s="395"/>
      <c r="L10658" s="273"/>
      <c r="M10658" s="394" t="str">
        <f t="shared" si="1420"/>
        <v/>
      </c>
      <c r="N10658" s="273"/>
    </row>
    <row r="10659" spans="1:14" ht="12.75" customHeight="1" x14ac:dyDescent="0.2">
      <c r="A10659" s="400"/>
      <c r="B10659" s="271"/>
      <c r="C10659" s="271"/>
      <c r="D10659" s="271"/>
      <c r="E10659" s="271"/>
      <c r="F10659" s="271"/>
      <c r="G10659" s="273"/>
      <c r="H10659" s="29"/>
      <c r="I10659" s="394"/>
      <c r="J10659" s="273"/>
      <c r="K10659" s="395"/>
      <c r="L10659" s="273"/>
      <c r="M10659" s="394" t="str">
        <f t="shared" si="1420"/>
        <v/>
      </c>
      <c r="N10659" s="273"/>
    </row>
    <row r="10660" spans="1:14" ht="12.75" customHeight="1" x14ac:dyDescent="0.2">
      <c r="A10660" s="400"/>
      <c r="B10660" s="271"/>
      <c r="C10660" s="271"/>
      <c r="D10660" s="271"/>
      <c r="E10660" s="271"/>
      <c r="F10660" s="271"/>
      <c r="G10660" s="273"/>
      <c r="H10660" s="29"/>
      <c r="I10660" s="394"/>
      <c r="J10660" s="273"/>
      <c r="K10660" s="395"/>
      <c r="L10660" s="273"/>
      <c r="M10660" s="394" t="str">
        <f t="shared" si="1420"/>
        <v/>
      </c>
      <c r="N10660" s="273"/>
    </row>
    <row r="10661" spans="1:14" ht="12.75" customHeight="1" x14ac:dyDescent="0.25">
      <c r="A10661" s="4"/>
      <c r="B10661" s="4"/>
      <c r="C10661" s="4"/>
      <c r="D10661" s="4"/>
      <c r="E10661" s="4"/>
      <c r="F10661" s="4"/>
      <c r="G10661" s="4"/>
      <c r="H10661" s="4"/>
      <c r="I10661" s="4"/>
      <c r="J10661" s="4"/>
      <c r="K10661" s="396" t="s">
        <v>444</v>
      </c>
      <c r="L10661" s="273"/>
      <c r="M10661" s="394">
        <f>SUM(M10656:N10660)</f>
        <v>0</v>
      </c>
      <c r="N10661" s="273"/>
    </row>
    <row r="10662" spans="1:14" ht="12.75" customHeight="1" x14ac:dyDescent="0.25">
      <c r="A10662" s="4"/>
      <c r="B10662" s="4"/>
      <c r="C10662" s="4"/>
      <c r="D10662" s="4"/>
      <c r="E10662" s="4"/>
      <c r="F10662" s="4"/>
      <c r="G10662" s="4"/>
      <c r="H10662" s="4"/>
      <c r="I10662" s="4"/>
      <c r="J10662" s="4"/>
      <c r="K10662" s="4"/>
      <c r="L10662" s="4"/>
      <c r="M10662" s="4"/>
      <c r="N10662" s="4"/>
    </row>
    <row r="10663" spans="1:14" ht="12.75" customHeight="1" x14ac:dyDescent="0.2">
      <c r="A10663" s="398" t="s">
        <v>931</v>
      </c>
      <c r="B10663" s="271"/>
      <c r="C10663" s="271"/>
      <c r="D10663" s="271"/>
      <c r="E10663" s="271"/>
      <c r="F10663" s="271"/>
      <c r="G10663" s="271"/>
      <c r="H10663" s="271"/>
      <c r="I10663" s="271"/>
      <c r="J10663" s="271"/>
      <c r="K10663" s="271"/>
      <c r="L10663" s="271"/>
      <c r="M10663" s="271"/>
      <c r="N10663" s="273"/>
    </row>
    <row r="10664" spans="1:14" ht="12.75" customHeight="1" x14ac:dyDescent="0.2">
      <c r="A10664" s="396" t="s">
        <v>76</v>
      </c>
      <c r="B10664" s="271"/>
      <c r="C10664" s="271"/>
      <c r="D10664" s="271"/>
      <c r="E10664" s="271"/>
      <c r="F10664" s="271"/>
      <c r="G10664" s="273"/>
      <c r="H10664" s="88" t="s">
        <v>77</v>
      </c>
      <c r="I10664" s="399" t="s">
        <v>920</v>
      </c>
      <c r="J10664" s="273"/>
      <c r="K10664" s="90" t="s">
        <v>514</v>
      </c>
      <c r="L10664" s="91" t="s">
        <v>932</v>
      </c>
      <c r="M10664" s="399" t="s">
        <v>921</v>
      </c>
      <c r="N10664" s="273"/>
    </row>
    <row r="10665" spans="1:14" ht="12.75" customHeight="1" x14ac:dyDescent="0.25">
      <c r="A10665" s="393"/>
      <c r="B10665" s="271"/>
      <c r="C10665" s="271"/>
      <c r="D10665" s="271"/>
      <c r="E10665" s="271"/>
      <c r="F10665" s="271"/>
      <c r="G10665" s="273"/>
      <c r="H10665" s="29" t="str">
        <f>IF(A10665="","",VLOOKUP(A10665,AA_Cuadrillas,4,FALSE))</f>
        <v/>
      </c>
      <c r="I10665" s="394" t="str">
        <f>IF(A10665="","",VLOOKUP(A10665,AA_Cuadrillas,5,FALSE))</f>
        <v/>
      </c>
      <c r="J10665" s="273"/>
      <c r="K10665" s="9" t="str">
        <f>IF(A10665="","",F.P!$I$2)</f>
        <v/>
      </c>
      <c r="L10665" s="97"/>
      <c r="M10665" s="394" t="str">
        <f t="shared" ref="M10665:M10669" si="1421">IF(A10665="","",I10665*K10665*L10665)</f>
        <v/>
      </c>
      <c r="N10665" s="273"/>
    </row>
    <row r="10666" spans="1:14" ht="12.75" customHeight="1" x14ac:dyDescent="0.25">
      <c r="A10666" s="393"/>
      <c r="B10666" s="271"/>
      <c r="C10666" s="271"/>
      <c r="D10666" s="271"/>
      <c r="E10666" s="271"/>
      <c r="F10666" s="271"/>
      <c r="G10666" s="273"/>
      <c r="H10666" s="29" t="str">
        <f>IF(A10666="","",VLOOKUP(A10666,AA_Cuadrillas,4,FALSE))</f>
        <v/>
      </c>
      <c r="I10666" s="394" t="str">
        <f>IF(A10666="","",VLOOKUP(A10666,AA_Cuadrillas,5,FALSE))</f>
        <v/>
      </c>
      <c r="J10666" s="273"/>
      <c r="K10666" s="9" t="str">
        <f>IF(A10666="","",F.P!$I$2)</f>
        <v/>
      </c>
      <c r="L10666" s="9"/>
      <c r="M10666" s="394" t="str">
        <f t="shared" si="1421"/>
        <v/>
      </c>
      <c r="N10666" s="273"/>
    </row>
    <row r="10667" spans="1:14" ht="12.75" customHeight="1" x14ac:dyDescent="0.25">
      <c r="A10667" s="393"/>
      <c r="B10667" s="271"/>
      <c r="C10667" s="271"/>
      <c r="D10667" s="271"/>
      <c r="E10667" s="271"/>
      <c r="F10667" s="271"/>
      <c r="G10667" s="273"/>
      <c r="H10667" s="29" t="str">
        <f>IF(A10667="","",VLOOKUP(A10667,AA_Cuadrillas,4,FALSE))</f>
        <v/>
      </c>
      <c r="I10667" s="394" t="str">
        <f>IF(A10667="","",VLOOKUP(A10667,AA_Cuadrillas,5,FALSE))</f>
        <v/>
      </c>
      <c r="J10667" s="273"/>
      <c r="K10667" s="9" t="str">
        <f>IF(A10667="","",F.P!$I$2)</f>
        <v/>
      </c>
      <c r="L10667" s="37"/>
      <c r="M10667" s="394" t="str">
        <f t="shared" si="1421"/>
        <v/>
      </c>
      <c r="N10667" s="273"/>
    </row>
    <row r="10668" spans="1:14" ht="12.75" customHeight="1" x14ac:dyDescent="0.25">
      <c r="A10668" s="393"/>
      <c r="B10668" s="271"/>
      <c r="C10668" s="271"/>
      <c r="D10668" s="271"/>
      <c r="E10668" s="271"/>
      <c r="F10668" s="271"/>
      <c r="G10668" s="273"/>
      <c r="H10668" s="29" t="str">
        <f>IF(A10668="","",VLOOKUP(A10668,AA_Cuadrillas,4,FALSE))</f>
        <v/>
      </c>
      <c r="I10668" s="394" t="str">
        <f>IF(A10668="","",VLOOKUP(A10668,AA_Cuadrillas,5,FALSE))</f>
        <v/>
      </c>
      <c r="J10668" s="273"/>
      <c r="K10668" s="9" t="str">
        <f>IF(A10668="","",F.P!$I$2)</f>
        <v/>
      </c>
      <c r="L10668" s="37"/>
      <c r="M10668" s="394" t="str">
        <f t="shared" si="1421"/>
        <v/>
      </c>
      <c r="N10668" s="273"/>
    </row>
    <row r="10669" spans="1:14" ht="12.75" customHeight="1" x14ac:dyDescent="0.25">
      <c r="A10669" s="393"/>
      <c r="B10669" s="271"/>
      <c r="C10669" s="271"/>
      <c r="D10669" s="271"/>
      <c r="E10669" s="271"/>
      <c r="F10669" s="271"/>
      <c r="G10669" s="273"/>
      <c r="H10669" s="29" t="str">
        <f>IF(A10669="","",VLOOKUP(A10669,AA_Cuadrillas,4,FALSE))</f>
        <v/>
      </c>
      <c r="I10669" s="394" t="str">
        <f>IF(A10669="","",VLOOKUP(A10669,AA_Cuadrillas,5,FALSE))</f>
        <v/>
      </c>
      <c r="J10669" s="273"/>
      <c r="K10669" s="9" t="str">
        <f>IF(A10669="","",F.P!$I$2)</f>
        <v/>
      </c>
      <c r="L10669" s="37"/>
      <c r="M10669" s="394" t="str">
        <f t="shared" si="1421"/>
        <v/>
      </c>
      <c r="N10669" s="273"/>
    </row>
    <row r="10670" spans="1:14" ht="12.75" customHeight="1" x14ac:dyDescent="0.25">
      <c r="A10670" s="4"/>
      <c r="B10670" s="4"/>
      <c r="C10670" s="4"/>
      <c r="D10670" s="4"/>
      <c r="E10670" s="4"/>
      <c r="F10670" s="4"/>
      <c r="G10670" s="4"/>
      <c r="H10670" s="4"/>
      <c r="I10670" s="4"/>
      <c r="J10670" s="4"/>
      <c r="K10670" s="396" t="s">
        <v>444</v>
      </c>
      <c r="L10670" s="273"/>
      <c r="M10670" s="394">
        <f>SUM(M10665:N10669)</f>
        <v>0</v>
      </c>
      <c r="N10670" s="273"/>
    </row>
    <row r="10671" spans="1:14" ht="12.75" customHeight="1" x14ac:dyDescent="0.2"/>
    <row r="10672" spans="1:14" ht="12.75" customHeight="1" x14ac:dyDescent="0.2">
      <c r="A10672" s="397" t="s">
        <v>1518</v>
      </c>
      <c r="B10672" s="275"/>
      <c r="C10672" s="275"/>
      <c r="D10672" s="275"/>
      <c r="E10672" s="275"/>
      <c r="F10672" s="275"/>
      <c r="G10672" s="275"/>
      <c r="H10672" s="275"/>
      <c r="I10672" s="275"/>
      <c r="J10672" s="275"/>
      <c r="K10672" s="275"/>
      <c r="L10672" s="275"/>
      <c r="M10672" s="275"/>
      <c r="N10672" s="276"/>
    </row>
    <row r="10673" spans="1:14" ht="12.75" customHeight="1" x14ac:dyDescent="0.2">
      <c r="A10673" s="277"/>
      <c r="B10673" s="278"/>
      <c r="C10673" s="278"/>
      <c r="D10673" s="278"/>
      <c r="E10673" s="278"/>
      <c r="F10673" s="278"/>
      <c r="G10673" s="278"/>
      <c r="H10673" s="278"/>
      <c r="I10673" s="278"/>
      <c r="J10673" s="278"/>
      <c r="K10673" s="278"/>
      <c r="L10673" s="278"/>
      <c r="M10673" s="278"/>
      <c r="N10673" s="279"/>
    </row>
    <row r="10674" spans="1:14" ht="12.75" customHeight="1" x14ac:dyDescent="0.2">
      <c r="A10674" s="75"/>
      <c r="B10674" s="75"/>
      <c r="C10674" s="75"/>
      <c r="D10674" s="75"/>
      <c r="E10674" s="75"/>
      <c r="F10674" s="75"/>
      <c r="G10674" s="75"/>
      <c r="H10674" s="75"/>
      <c r="I10674" s="75"/>
      <c r="J10674" s="75"/>
      <c r="K10674" s="75"/>
      <c r="L10674" s="75"/>
      <c r="M10674" s="75"/>
      <c r="N10674" s="75"/>
    </row>
    <row r="10675" spans="1:14" ht="12.75" customHeight="1" x14ac:dyDescent="0.3">
      <c r="A10675" s="79" t="s">
        <v>849</v>
      </c>
      <c r="B10675" s="80" t="str">
        <f>A10672</f>
        <v>ADECUACIÓN DE PTAP DE CICLO COMPLETO PARA CAUDAL DE 4,5 LPS (INCLUYE LECHO FILTRANTE, MODULO DE SEDIMENTACION, PINTURA, ACCESORIOS, TUBERIAS, HERRAMIENTAS Y MANO DE OBRA)</v>
      </c>
      <c r="C10675" s="81" t="s">
        <v>916</v>
      </c>
      <c r="D10675" s="82" t="s">
        <v>999</v>
      </c>
      <c r="E10675" s="83" t="s">
        <v>445</v>
      </c>
      <c r="F10675" s="86">
        <f>H10675+J10675+L10675+N10675</f>
        <v>0</v>
      </c>
      <c r="G10675" s="83" t="s">
        <v>607</v>
      </c>
      <c r="H10675" s="86">
        <f>M10685</f>
        <v>0</v>
      </c>
      <c r="I10675" s="83" t="s">
        <v>918</v>
      </c>
      <c r="J10675" s="86">
        <f>M10694</f>
        <v>0</v>
      </c>
      <c r="K10675" s="83" t="s">
        <v>609</v>
      </c>
      <c r="L10675" s="86">
        <f>M10703</f>
        <v>0</v>
      </c>
      <c r="M10675" s="83" t="s">
        <v>610</v>
      </c>
      <c r="N10675" s="86">
        <f>M10712</f>
        <v>0</v>
      </c>
    </row>
    <row r="10676" spans="1:14" ht="12.75" customHeight="1" x14ac:dyDescent="0.25">
      <c r="A10676" s="87"/>
      <c r="B10676" s="87"/>
      <c r="C10676" s="87"/>
      <c r="D10676" s="87"/>
      <c r="E10676" s="87"/>
      <c r="F10676" s="87"/>
      <c r="G10676" s="87"/>
      <c r="J10676" s="87"/>
      <c r="K10676" s="215" t="s">
        <v>3217</v>
      </c>
      <c r="L10676" s="215">
        <f>+F10675*presup!$O$5</f>
        <v>0</v>
      </c>
      <c r="M10676" s="87"/>
      <c r="N10676" s="87"/>
    </row>
    <row r="10677" spans="1:14" ht="12.75" customHeight="1" x14ac:dyDescent="0.2">
      <c r="A10677" s="398" t="s">
        <v>919</v>
      </c>
      <c r="B10677" s="271"/>
      <c r="C10677" s="271"/>
      <c r="D10677" s="271"/>
      <c r="E10677" s="271"/>
      <c r="F10677" s="271"/>
      <c r="G10677" s="271"/>
      <c r="H10677" s="271"/>
      <c r="I10677" s="271"/>
      <c r="J10677" s="271"/>
      <c r="K10677" s="271"/>
      <c r="L10677" s="271"/>
      <c r="M10677" s="271"/>
      <c r="N10677" s="273"/>
    </row>
    <row r="10678" spans="1:14" ht="12.75" customHeight="1" x14ac:dyDescent="0.2">
      <c r="A10678" s="396" t="s">
        <v>76</v>
      </c>
      <c r="B10678" s="271"/>
      <c r="C10678" s="271"/>
      <c r="D10678" s="271"/>
      <c r="E10678" s="271"/>
      <c r="F10678" s="271"/>
      <c r="G10678" s="273"/>
      <c r="H10678" s="88" t="s">
        <v>77</v>
      </c>
      <c r="I10678" s="399" t="s">
        <v>920</v>
      </c>
      <c r="J10678" s="273"/>
      <c r="K10678" s="399" t="s">
        <v>453</v>
      </c>
      <c r="L10678" s="273"/>
      <c r="M10678" s="399" t="s">
        <v>921</v>
      </c>
      <c r="N10678" s="273"/>
    </row>
    <row r="10679" spans="1:14" ht="12.75" customHeight="1" x14ac:dyDescent="0.2">
      <c r="A10679" s="403" t="s">
        <v>1519</v>
      </c>
      <c r="B10679" s="271"/>
      <c r="C10679" s="271"/>
      <c r="D10679" s="271"/>
      <c r="E10679" s="271"/>
      <c r="F10679" s="271"/>
      <c r="G10679" s="273"/>
      <c r="H10679" s="29" t="str">
        <f t="shared" ref="H10679:H10684" si="1422">IF(A10679="","",VLOOKUP(A10679,AA_Materiales,7,FALSE))</f>
        <v>Unidad</v>
      </c>
      <c r="I10679" s="394">
        <f t="shared" ref="I10679:I10684" si="1423">IF(A10679="","",VLOOKUP(A10679,AA_Materiales,8,FALSE))</f>
        <v>0</v>
      </c>
      <c r="J10679" s="273"/>
      <c r="K10679" s="395">
        <v>1</v>
      </c>
      <c r="L10679" s="273"/>
      <c r="M10679" s="394">
        <f t="shared" ref="M10679:M10684" si="1424">IF(A10679="","",I10679*K10679)</f>
        <v>0</v>
      </c>
      <c r="N10679" s="273"/>
    </row>
    <row r="10680" spans="1:14" ht="12.75" customHeight="1" x14ac:dyDescent="0.2">
      <c r="A10680" s="403"/>
      <c r="B10680" s="271"/>
      <c r="C10680" s="271"/>
      <c r="D10680" s="271"/>
      <c r="E10680" s="271"/>
      <c r="F10680" s="271"/>
      <c r="G10680" s="273"/>
      <c r="H10680" s="29" t="str">
        <f t="shared" si="1422"/>
        <v/>
      </c>
      <c r="I10680" s="394" t="str">
        <f t="shared" si="1423"/>
        <v/>
      </c>
      <c r="J10680" s="273"/>
      <c r="K10680" s="395"/>
      <c r="L10680" s="273"/>
      <c r="M10680" s="394" t="str">
        <f t="shared" si="1424"/>
        <v/>
      </c>
      <c r="N10680" s="273"/>
    </row>
    <row r="10681" spans="1:14" ht="12.75" customHeight="1" x14ac:dyDescent="0.2">
      <c r="A10681" s="403"/>
      <c r="B10681" s="271"/>
      <c r="C10681" s="271"/>
      <c r="D10681" s="271"/>
      <c r="E10681" s="271"/>
      <c r="F10681" s="271"/>
      <c r="G10681" s="273"/>
      <c r="H10681" s="29" t="str">
        <f t="shared" si="1422"/>
        <v/>
      </c>
      <c r="I10681" s="394" t="str">
        <f t="shared" si="1423"/>
        <v/>
      </c>
      <c r="J10681" s="273"/>
      <c r="K10681" s="395"/>
      <c r="L10681" s="273"/>
      <c r="M10681" s="394" t="str">
        <f t="shared" si="1424"/>
        <v/>
      </c>
      <c r="N10681" s="273"/>
    </row>
    <row r="10682" spans="1:14" ht="12.75" customHeight="1" x14ac:dyDescent="0.2">
      <c r="A10682" s="403"/>
      <c r="B10682" s="271"/>
      <c r="C10682" s="271"/>
      <c r="D10682" s="271"/>
      <c r="E10682" s="271"/>
      <c r="F10682" s="271"/>
      <c r="G10682" s="273"/>
      <c r="H10682" s="29" t="str">
        <f t="shared" si="1422"/>
        <v/>
      </c>
      <c r="I10682" s="394" t="str">
        <f t="shared" si="1423"/>
        <v/>
      </c>
      <c r="J10682" s="273"/>
      <c r="K10682" s="395"/>
      <c r="L10682" s="273"/>
      <c r="M10682" s="394" t="str">
        <f t="shared" si="1424"/>
        <v/>
      </c>
      <c r="N10682" s="273"/>
    </row>
    <row r="10683" spans="1:14" ht="12.75" customHeight="1" x14ac:dyDescent="0.2">
      <c r="A10683" s="403"/>
      <c r="B10683" s="271"/>
      <c r="C10683" s="271"/>
      <c r="D10683" s="271"/>
      <c r="E10683" s="271"/>
      <c r="F10683" s="271"/>
      <c r="G10683" s="273"/>
      <c r="H10683" s="29" t="str">
        <f t="shared" si="1422"/>
        <v/>
      </c>
      <c r="I10683" s="394" t="str">
        <f t="shared" si="1423"/>
        <v/>
      </c>
      <c r="J10683" s="273"/>
      <c r="K10683" s="395"/>
      <c r="L10683" s="273"/>
      <c r="M10683" s="394" t="str">
        <f t="shared" si="1424"/>
        <v/>
      </c>
      <c r="N10683" s="273"/>
    </row>
    <row r="10684" spans="1:14" ht="12.75" customHeight="1" x14ac:dyDescent="0.2">
      <c r="A10684" s="403"/>
      <c r="B10684" s="271"/>
      <c r="C10684" s="271"/>
      <c r="D10684" s="271"/>
      <c r="E10684" s="271"/>
      <c r="F10684" s="271"/>
      <c r="G10684" s="273"/>
      <c r="H10684" s="29" t="str">
        <f t="shared" si="1422"/>
        <v/>
      </c>
      <c r="I10684" s="394" t="str">
        <f t="shared" si="1423"/>
        <v/>
      </c>
      <c r="J10684" s="273"/>
      <c r="K10684" s="395"/>
      <c r="L10684" s="273"/>
      <c r="M10684" s="394" t="str">
        <f t="shared" si="1424"/>
        <v/>
      </c>
      <c r="N10684" s="273"/>
    </row>
    <row r="10685" spans="1:14" ht="12.75" customHeight="1" x14ac:dyDescent="0.25">
      <c r="A10685" s="4"/>
      <c r="B10685" s="4"/>
      <c r="C10685" s="4"/>
      <c r="D10685" s="4"/>
      <c r="E10685" s="4"/>
      <c r="F10685" s="4"/>
      <c r="G10685" s="4"/>
      <c r="H10685" s="4"/>
      <c r="I10685" s="4"/>
      <c r="J10685" s="4"/>
      <c r="K10685" s="396" t="s">
        <v>444</v>
      </c>
      <c r="L10685" s="273"/>
      <c r="M10685" s="394">
        <f>SUM(M10679:N10684)</f>
        <v>0</v>
      </c>
      <c r="N10685" s="273"/>
    </row>
    <row r="10686" spans="1:14" ht="12.75" customHeight="1" x14ac:dyDescent="0.25">
      <c r="A10686" s="4"/>
      <c r="B10686" s="4"/>
      <c r="C10686" s="4"/>
      <c r="D10686" s="4"/>
      <c r="E10686" s="4"/>
      <c r="F10686" s="4"/>
      <c r="G10686" s="4"/>
      <c r="H10686" s="4"/>
      <c r="I10686" s="4"/>
      <c r="J10686" s="4"/>
      <c r="K10686" s="4"/>
      <c r="L10686" s="4"/>
      <c r="M10686" s="4"/>
      <c r="N10686" s="4"/>
    </row>
    <row r="10687" spans="1:14" ht="12.75" customHeight="1" x14ac:dyDescent="0.2">
      <c r="A10687" s="398" t="s">
        <v>926</v>
      </c>
      <c r="B10687" s="271"/>
      <c r="C10687" s="271"/>
      <c r="D10687" s="271"/>
      <c r="E10687" s="271"/>
      <c r="F10687" s="271"/>
      <c r="G10687" s="271"/>
      <c r="H10687" s="271"/>
      <c r="I10687" s="271"/>
      <c r="J10687" s="271"/>
      <c r="K10687" s="271"/>
      <c r="L10687" s="271"/>
      <c r="M10687" s="271"/>
      <c r="N10687" s="273"/>
    </row>
    <row r="10688" spans="1:14" ht="12.75" customHeight="1" x14ac:dyDescent="0.2">
      <c r="A10688" s="396" t="s">
        <v>76</v>
      </c>
      <c r="B10688" s="271"/>
      <c r="C10688" s="271"/>
      <c r="D10688" s="271"/>
      <c r="E10688" s="271"/>
      <c r="F10688" s="271"/>
      <c r="G10688" s="273"/>
      <c r="H10688" s="88" t="s">
        <v>77</v>
      </c>
      <c r="I10688" s="399" t="s">
        <v>920</v>
      </c>
      <c r="J10688" s="273"/>
      <c r="K10688" s="399" t="s">
        <v>453</v>
      </c>
      <c r="L10688" s="273"/>
      <c r="M10688" s="399" t="s">
        <v>921</v>
      </c>
      <c r="N10688" s="273"/>
    </row>
    <row r="10689" spans="1:14" ht="12.75" customHeight="1" x14ac:dyDescent="0.2">
      <c r="A10689" s="400"/>
      <c r="B10689" s="271"/>
      <c r="C10689" s="271"/>
      <c r="D10689" s="271"/>
      <c r="E10689" s="271"/>
      <c r="F10689" s="271"/>
      <c r="G10689" s="273"/>
      <c r="H10689" s="29" t="str">
        <f>IF(A10689="","",VLOOKUP(A10689,AA_Equipos,7,FALSE))</f>
        <v/>
      </c>
      <c r="I10689" s="394">
        <f>+M10712</f>
        <v>0</v>
      </c>
      <c r="J10689" s="273"/>
      <c r="K10689" s="404"/>
      <c r="L10689" s="273"/>
      <c r="M10689" s="394" t="str">
        <f t="shared" ref="M10689:M10693" si="1425">IF(A10689="","",I10689*K10689)</f>
        <v/>
      </c>
      <c r="N10689" s="273"/>
    </row>
    <row r="10690" spans="1:14" ht="12.75" customHeight="1" x14ac:dyDescent="0.2">
      <c r="A10690" s="403"/>
      <c r="B10690" s="271"/>
      <c r="C10690" s="271"/>
      <c r="D10690" s="271"/>
      <c r="E10690" s="271"/>
      <c r="F10690" s="271"/>
      <c r="G10690" s="273"/>
      <c r="H10690" s="29" t="str">
        <f>IF(A10690="","",VLOOKUP(A10690,AA_Equipos,7,FALSE))</f>
        <v/>
      </c>
      <c r="I10690" s="394" t="str">
        <f>IF(A10690="","",VLOOKUP(A10690,AA_Equipos,8,FALSE))</f>
        <v/>
      </c>
      <c r="J10690" s="273"/>
      <c r="K10690" s="402"/>
      <c r="L10690" s="273"/>
      <c r="M10690" s="394" t="str">
        <f t="shared" si="1425"/>
        <v/>
      </c>
      <c r="N10690" s="273"/>
    </row>
    <row r="10691" spans="1:14" ht="12.75" customHeight="1" x14ac:dyDescent="0.2">
      <c r="A10691" s="400"/>
      <c r="B10691" s="271"/>
      <c r="C10691" s="271"/>
      <c r="D10691" s="271"/>
      <c r="E10691" s="271"/>
      <c r="F10691" s="271"/>
      <c r="G10691" s="273"/>
      <c r="H10691" s="29" t="str">
        <f>IF(A10691="","",VLOOKUP(A10691,AA_Equipos,7,FALSE))</f>
        <v/>
      </c>
      <c r="I10691" s="394" t="str">
        <f>IF(A10691="","",VLOOKUP(A10691,AA_Equipos,8,FALSE))</f>
        <v/>
      </c>
      <c r="J10691" s="273"/>
      <c r="K10691" s="401"/>
      <c r="L10691" s="273"/>
      <c r="M10691" s="394" t="str">
        <f t="shared" si="1425"/>
        <v/>
      </c>
      <c r="N10691" s="273"/>
    </row>
    <row r="10692" spans="1:14" ht="12.75" customHeight="1" x14ac:dyDescent="0.2">
      <c r="A10692" s="400"/>
      <c r="B10692" s="271"/>
      <c r="C10692" s="271"/>
      <c r="D10692" s="271"/>
      <c r="E10692" s="271"/>
      <c r="F10692" s="271"/>
      <c r="G10692" s="273"/>
      <c r="H10692" s="29" t="str">
        <f>IF(A10692="","",VLOOKUP(A10692,AA_Equipos,7,FALSE))</f>
        <v/>
      </c>
      <c r="I10692" s="394" t="str">
        <f>IF(A10692="","",VLOOKUP(A10692,AA_Equipos,8,FALSE))</f>
        <v/>
      </c>
      <c r="J10692" s="273"/>
      <c r="K10692" s="395"/>
      <c r="L10692" s="273"/>
      <c r="M10692" s="394" t="str">
        <f t="shared" si="1425"/>
        <v/>
      </c>
      <c r="N10692" s="273"/>
    </row>
    <row r="10693" spans="1:14" ht="12.75" customHeight="1" x14ac:dyDescent="0.2">
      <c r="A10693" s="400"/>
      <c r="B10693" s="271"/>
      <c r="C10693" s="271"/>
      <c r="D10693" s="271"/>
      <c r="E10693" s="271"/>
      <c r="F10693" s="271"/>
      <c r="G10693" s="273"/>
      <c r="H10693" s="29" t="str">
        <f>IF(A10693="","",VLOOKUP(A10693,AA_Equipos,7,FALSE))</f>
        <v/>
      </c>
      <c r="I10693" s="394" t="str">
        <f>IF(A10693="","",VLOOKUP(A10693,AA_Equipos,8,FALSE))</f>
        <v/>
      </c>
      <c r="J10693" s="273"/>
      <c r="K10693" s="395"/>
      <c r="L10693" s="273"/>
      <c r="M10693" s="394" t="str">
        <f t="shared" si="1425"/>
        <v/>
      </c>
      <c r="N10693" s="273"/>
    </row>
    <row r="10694" spans="1:14" ht="12.75" customHeight="1" x14ac:dyDescent="0.25">
      <c r="A10694" s="4"/>
      <c r="B10694" s="4"/>
      <c r="C10694" s="4"/>
      <c r="D10694" s="4"/>
      <c r="E10694" s="4"/>
      <c r="F10694" s="4"/>
      <c r="G10694" s="4"/>
      <c r="H10694" s="4"/>
      <c r="I10694" s="4"/>
      <c r="J10694" s="4"/>
      <c r="K10694" s="396" t="s">
        <v>444</v>
      </c>
      <c r="L10694" s="273"/>
      <c r="M10694" s="394">
        <f>SUM(M10689:N10693)</f>
        <v>0</v>
      </c>
      <c r="N10694" s="273"/>
    </row>
    <row r="10695" spans="1:14" ht="12.75" customHeight="1" x14ac:dyDescent="0.25">
      <c r="A10695" s="4"/>
      <c r="B10695" s="4"/>
      <c r="C10695" s="4"/>
      <c r="D10695" s="4"/>
      <c r="E10695" s="4"/>
      <c r="F10695" s="4"/>
      <c r="G10695" s="4"/>
      <c r="H10695" s="4"/>
      <c r="I10695" s="4"/>
      <c r="J10695" s="4"/>
      <c r="K10695" s="4"/>
      <c r="L10695" s="4"/>
      <c r="M10695" s="4"/>
      <c r="N10695" s="4"/>
    </row>
    <row r="10696" spans="1:14" ht="12.75" customHeight="1" x14ac:dyDescent="0.2">
      <c r="A10696" s="398" t="s">
        <v>929</v>
      </c>
      <c r="B10696" s="271"/>
      <c r="C10696" s="271"/>
      <c r="D10696" s="271"/>
      <c r="E10696" s="271"/>
      <c r="F10696" s="271"/>
      <c r="G10696" s="271"/>
      <c r="H10696" s="271"/>
      <c r="I10696" s="271"/>
      <c r="J10696" s="271"/>
      <c r="K10696" s="271"/>
      <c r="L10696" s="271"/>
      <c r="M10696" s="271"/>
      <c r="N10696" s="273"/>
    </row>
    <row r="10697" spans="1:14" ht="12.75" customHeight="1" x14ac:dyDescent="0.2">
      <c r="A10697" s="396" t="s">
        <v>76</v>
      </c>
      <c r="B10697" s="271"/>
      <c r="C10697" s="271"/>
      <c r="D10697" s="271"/>
      <c r="E10697" s="271"/>
      <c r="F10697" s="271"/>
      <c r="G10697" s="273"/>
      <c r="H10697" s="88" t="s">
        <v>77</v>
      </c>
      <c r="I10697" s="399" t="s">
        <v>920</v>
      </c>
      <c r="J10697" s="273"/>
      <c r="K10697" s="399" t="s">
        <v>453</v>
      </c>
      <c r="L10697" s="273"/>
      <c r="M10697" s="399" t="s">
        <v>921</v>
      </c>
      <c r="N10697" s="273"/>
    </row>
    <row r="10698" spans="1:14" ht="12.75" customHeight="1" x14ac:dyDescent="0.2">
      <c r="A10698" s="400"/>
      <c r="B10698" s="271"/>
      <c r="C10698" s="271"/>
      <c r="D10698" s="271"/>
      <c r="E10698" s="271"/>
      <c r="F10698" s="271"/>
      <c r="G10698" s="273"/>
      <c r="H10698" s="29" t="s">
        <v>950</v>
      </c>
      <c r="I10698" s="394">
        <f>+M10685</f>
        <v>0</v>
      </c>
      <c r="J10698" s="273"/>
      <c r="K10698" s="404"/>
      <c r="L10698" s="273"/>
      <c r="M10698" s="394" t="str">
        <f t="shared" ref="M10698:M10702" si="1426">IF(A10698="","",I10698*K10698)</f>
        <v/>
      </c>
      <c r="N10698" s="273"/>
    </row>
    <row r="10699" spans="1:14" ht="12.75" customHeight="1" x14ac:dyDescent="0.2">
      <c r="A10699" s="403"/>
      <c r="B10699" s="271"/>
      <c r="C10699" s="271"/>
      <c r="D10699" s="271"/>
      <c r="E10699" s="271"/>
      <c r="F10699" s="271"/>
      <c r="G10699" s="273"/>
      <c r="H10699" s="29"/>
      <c r="I10699" s="394"/>
      <c r="J10699" s="273"/>
      <c r="K10699" s="404"/>
      <c r="L10699" s="273"/>
      <c r="M10699" s="394" t="str">
        <f t="shared" si="1426"/>
        <v/>
      </c>
      <c r="N10699" s="273"/>
    </row>
    <row r="10700" spans="1:14" ht="12.75" customHeight="1" x14ac:dyDescent="0.2">
      <c r="A10700" s="400"/>
      <c r="B10700" s="271"/>
      <c r="C10700" s="271"/>
      <c r="D10700" s="271"/>
      <c r="E10700" s="271"/>
      <c r="F10700" s="271"/>
      <c r="G10700" s="273"/>
      <c r="H10700" s="29"/>
      <c r="I10700" s="394"/>
      <c r="J10700" s="273"/>
      <c r="K10700" s="395"/>
      <c r="L10700" s="273"/>
      <c r="M10700" s="394" t="str">
        <f t="shared" si="1426"/>
        <v/>
      </c>
      <c r="N10700" s="273"/>
    </row>
    <row r="10701" spans="1:14" ht="12.75" customHeight="1" x14ac:dyDescent="0.2">
      <c r="A10701" s="400"/>
      <c r="B10701" s="271"/>
      <c r="C10701" s="271"/>
      <c r="D10701" s="271"/>
      <c r="E10701" s="271"/>
      <c r="F10701" s="271"/>
      <c r="G10701" s="273"/>
      <c r="H10701" s="29"/>
      <c r="I10701" s="394"/>
      <c r="J10701" s="273"/>
      <c r="K10701" s="395"/>
      <c r="L10701" s="273"/>
      <c r="M10701" s="394" t="str">
        <f t="shared" si="1426"/>
        <v/>
      </c>
      <c r="N10701" s="273"/>
    </row>
    <row r="10702" spans="1:14" ht="12.75" customHeight="1" x14ac:dyDescent="0.2">
      <c r="A10702" s="400"/>
      <c r="B10702" s="271"/>
      <c r="C10702" s="271"/>
      <c r="D10702" s="271"/>
      <c r="E10702" s="271"/>
      <c r="F10702" s="271"/>
      <c r="G10702" s="273"/>
      <c r="H10702" s="29"/>
      <c r="I10702" s="394"/>
      <c r="J10702" s="273"/>
      <c r="K10702" s="395"/>
      <c r="L10702" s="273"/>
      <c r="M10702" s="394" t="str">
        <f t="shared" si="1426"/>
        <v/>
      </c>
      <c r="N10702" s="273"/>
    </row>
    <row r="10703" spans="1:14" ht="12.75" customHeight="1" x14ac:dyDescent="0.25">
      <c r="A10703" s="4"/>
      <c r="B10703" s="4"/>
      <c r="C10703" s="4"/>
      <c r="D10703" s="4"/>
      <c r="E10703" s="4"/>
      <c r="F10703" s="4"/>
      <c r="G10703" s="4"/>
      <c r="H10703" s="4"/>
      <c r="I10703" s="4"/>
      <c r="J10703" s="4"/>
      <c r="K10703" s="396" t="s">
        <v>444</v>
      </c>
      <c r="L10703" s="273"/>
      <c r="M10703" s="394">
        <f>SUM(M10698:N10702)</f>
        <v>0</v>
      </c>
      <c r="N10703" s="273"/>
    </row>
    <row r="10704" spans="1:14" ht="12.75" customHeight="1" x14ac:dyDescent="0.25">
      <c r="A10704" s="4"/>
      <c r="B10704" s="4"/>
      <c r="C10704" s="4"/>
      <c r="D10704" s="4"/>
      <c r="E10704" s="4"/>
      <c r="F10704" s="4"/>
      <c r="G10704" s="4"/>
      <c r="H10704" s="4"/>
      <c r="I10704" s="4"/>
      <c r="J10704" s="4"/>
      <c r="K10704" s="4"/>
      <c r="L10704" s="4"/>
      <c r="M10704" s="4"/>
      <c r="N10704" s="4"/>
    </row>
    <row r="10705" spans="1:15" ht="12.75" customHeight="1" x14ac:dyDescent="0.2">
      <c r="A10705" s="398" t="s">
        <v>931</v>
      </c>
      <c r="B10705" s="271"/>
      <c r="C10705" s="271"/>
      <c r="D10705" s="271"/>
      <c r="E10705" s="271"/>
      <c r="F10705" s="271"/>
      <c r="G10705" s="271"/>
      <c r="H10705" s="271"/>
      <c r="I10705" s="271"/>
      <c r="J10705" s="271"/>
      <c r="K10705" s="271"/>
      <c r="L10705" s="271"/>
      <c r="M10705" s="271"/>
      <c r="N10705" s="273"/>
    </row>
    <row r="10706" spans="1:15" ht="12.75" customHeight="1" x14ac:dyDescent="0.2">
      <c r="A10706" s="396" t="s">
        <v>76</v>
      </c>
      <c r="B10706" s="271"/>
      <c r="C10706" s="271"/>
      <c r="D10706" s="271"/>
      <c r="E10706" s="271"/>
      <c r="F10706" s="271"/>
      <c r="G10706" s="273"/>
      <c r="H10706" s="88" t="s">
        <v>77</v>
      </c>
      <c r="I10706" s="399" t="s">
        <v>920</v>
      </c>
      <c r="J10706" s="273"/>
      <c r="K10706" s="90" t="s">
        <v>514</v>
      </c>
      <c r="L10706" s="91" t="s">
        <v>932</v>
      </c>
      <c r="M10706" s="399" t="s">
        <v>921</v>
      </c>
      <c r="N10706" s="273"/>
    </row>
    <row r="10707" spans="1:15" ht="12.75" customHeight="1" x14ac:dyDescent="0.25">
      <c r="A10707" s="393"/>
      <c r="B10707" s="271"/>
      <c r="C10707" s="271"/>
      <c r="D10707" s="271"/>
      <c r="E10707" s="271"/>
      <c r="F10707" s="271"/>
      <c r="G10707" s="273"/>
      <c r="H10707" s="29" t="str">
        <f>IF(A10707="","",VLOOKUP(A10707,AA_Cuadrillas,4,FALSE))</f>
        <v/>
      </c>
      <c r="I10707" s="394" t="str">
        <f>IF(A10707="","",VLOOKUP(A10707,AA_Cuadrillas,5,FALSE))</f>
        <v/>
      </c>
      <c r="J10707" s="273"/>
      <c r="K10707" s="9" t="str">
        <f>IF(A10707="","",F.P!$I$2)</f>
        <v/>
      </c>
      <c r="L10707" s="97"/>
      <c r="M10707" s="394" t="str">
        <f t="shared" ref="M10707:M10711" si="1427">IF(A10707="","",I10707*K10707*L10707)</f>
        <v/>
      </c>
      <c r="N10707" s="273"/>
    </row>
    <row r="10708" spans="1:15" ht="12.75" customHeight="1" x14ac:dyDescent="0.25">
      <c r="A10708" s="393"/>
      <c r="B10708" s="271"/>
      <c r="C10708" s="271"/>
      <c r="D10708" s="271"/>
      <c r="E10708" s="271"/>
      <c r="F10708" s="271"/>
      <c r="G10708" s="273"/>
      <c r="H10708" s="29" t="str">
        <f>IF(A10708="","",VLOOKUP(A10708,AA_Cuadrillas,4,FALSE))</f>
        <v/>
      </c>
      <c r="I10708" s="394" t="str">
        <f>IF(A10708="","",VLOOKUP(A10708,AA_Cuadrillas,5,FALSE))</f>
        <v/>
      </c>
      <c r="J10708" s="273"/>
      <c r="K10708" s="9" t="str">
        <f>IF(A10708="","",F.P!$I$2)</f>
        <v/>
      </c>
      <c r="L10708" s="9"/>
      <c r="M10708" s="394" t="str">
        <f t="shared" si="1427"/>
        <v/>
      </c>
      <c r="N10708" s="273"/>
    </row>
    <row r="10709" spans="1:15" ht="12.75" customHeight="1" x14ac:dyDescent="0.25">
      <c r="A10709" s="393"/>
      <c r="B10709" s="271"/>
      <c r="C10709" s="271"/>
      <c r="D10709" s="271"/>
      <c r="E10709" s="271"/>
      <c r="F10709" s="271"/>
      <c r="G10709" s="273"/>
      <c r="H10709" s="29" t="str">
        <f>IF(A10709="","",VLOOKUP(A10709,AA_Cuadrillas,4,FALSE))</f>
        <v/>
      </c>
      <c r="I10709" s="394" t="str">
        <f>IF(A10709="","",VLOOKUP(A10709,AA_Cuadrillas,5,FALSE))</f>
        <v/>
      </c>
      <c r="J10709" s="273"/>
      <c r="K10709" s="9" t="str">
        <f>IF(A10709="","",F.P!$I$2)</f>
        <v/>
      </c>
      <c r="L10709" s="37"/>
      <c r="M10709" s="394" t="str">
        <f t="shared" si="1427"/>
        <v/>
      </c>
      <c r="N10709" s="273"/>
    </row>
    <row r="10710" spans="1:15" ht="12.75" customHeight="1" x14ac:dyDescent="0.25">
      <c r="A10710" s="393"/>
      <c r="B10710" s="271"/>
      <c r="C10710" s="271"/>
      <c r="D10710" s="271"/>
      <c r="E10710" s="271"/>
      <c r="F10710" s="271"/>
      <c r="G10710" s="273"/>
      <c r="H10710" s="29" t="str">
        <f>IF(A10710="","",VLOOKUP(A10710,AA_Cuadrillas,4,FALSE))</f>
        <v/>
      </c>
      <c r="I10710" s="394" t="str">
        <f>IF(A10710="","",VLOOKUP(A10710,AA_Cuadrillas,5,FALSE))</f>
        <v/>
      </c>
      <c r="J10710" s="273"/>
      <c r="K10710" s="9" t="str">
        <f>IF(A10710="","",F.P!$I$2)</f>
        <v/>
      </c>
      <c r="L10710" s="37"/>
      <c r="M10710" s="394" t="str">
        <f t="shared" si="1427"/>
        <v/>
      </c>
      <c r="N10710" s="273"/>
    </row>
    <row r="10711" spans="1:15" ht="12.75" customHeight="1" x14ac:dyDescent="0.25">
      <c r="A10711" s="393"/>
      <c r="B10711" s="271"/>
      <c r="C10711" s="271"/>
      <c r="D10711" s="271"/>
      <c r="E10711" s="271"/>
      <c r="F10711" s="271"/>
      <c r="G10711" s="273"/>
      <c r="H10711" s="29" t="str">
        <f>IF(A10711="","",VLOOKUP(A10711,AA_Cuadrillas,4,FALSE))</f>
        <v/>
      </c>
      <c r="I10711" s="394" t="str">
        <f>IF(A10711="","",VLOOKUP(A10711,AA_Cuadrillas,5,FALSE))</f>
        <v/>
      </c>
      <c r="J10711" s="273"/>
      <c r="K10711" s="9" t="str">
        <f>IF(A10711="","",F.P!$I$2)</f>
        <v/>
      </c>
      <c r="L10711" s="37"/>
      <c r="M10711" s="394" t="str">
        <f t="shared" si="1427"/>
        <v/>
      </c>
      <c r="N10711" s="273"/>
    </row>
    <row r="10712" spans="1:15" ht="12.75" customHeight="1" x14ac:dyDescent="0.25">
      <c r="A10712" s="4"/>
      <c r="B10712" s="4"/>
      <c r="C10712" s="4"/>
      <c r="D10712" s="4"/>
      <c r="E10712" s="4"/>
      <c r="F10712" s="4"/>
      <c r="G10712" s="4"/>
      <c r="H10712" s="4"/>
      <c r="I10712" s="4"/>
      <c r="J10712" s="4"/>
      <c r="K10712" s="396" t="s">
        <v>444</v>
      </c>
      <c r="L10712" s="273"/>
      <c r="M10712" s="394">
        <f>SUM(M10707:N10711)</f>
        <v>0</v>
      </c>
      <c r="N10712" s="273"/>
    </row>
    <row r="10713" spans="1:15" ht="12.75" customHeight="1" x14ac:dyDescent="0.2"/>
    <row r="10714" spans="1:15" ht="12.75" customHeight="1" x14ac:dyDescent="0.2">
      <c r="A10714" s="397" t="s">
        <v>208</v>
      </c>
      <c r="B10714" s="275"/>
      <c r="C10714" s="275"/>
      <c r="D10714" s="275"/>
      <c r="E10714" s="275"/>
      <c r="F10714" s="275"/>
      <c r="G10714" s="275"/>
      <c r="H10714" s="275"/>
      <c r="I10714" s="275"/>
      <c r="J10714" s="275"/>
      <c r="K10714" s="275"/>
      <c r="L10714" s="275"/>
      <c r="M10714" s="275"/>
      <c r="N10714" s="276"/>
      <c r="O10714" s="166"/>
    </row>
    <row r="10715" spans="1:15" ht="12.75" customHeight="1" x14ac:dyDescent="0.2">
      <c r="A10715" s="277"/>
      <c r="B10715" s="278"/>
      <c r="C10715" s="278"/>
      <c r="D10715" s="278"/>
      <c r="E10715" s="278"/>
      <c r="F10715" s="278"/>
      <c r="G10715" s="278"/>
      <c r="H10715" s="278"/>
      <c r="I10715" s="278"/>
      <c r="J10715" s="278"/>
      <c r="K10715" s="278"/>
      <c r="L10715" s="278"/>
      <c r="M10715" s="278"/>
      <c r="N10715" s="279"/>
      <c r="O10715" s="166"/>
    </row>
    <row r="10716" spans="1:15" ht="12.75" customHeight="1" x14ac:dyDescent="0.2">
      <c r="A10716" s="75"/>
      <c r="B10716" s="75"/>
      <c r="C10716" s="75"/>
      <c r="D10716" s="75"/>
      <c r="E10716" s="75"/>
      <c r="F10716" s="75"/>
      <c r="G10716" s="75"/>
      <c r="H10716" s="75"/>
      <c r="I10716" s="75"/>
      <c r="J10716" s="75"/>
      <c r="K10716" s="75"/>
      <c r="L10716" s="75"/>
      <c r="M10716" s="75"/>
      <c r="N10716" s="75"/>
    </row>
    <row r="10717" spans="1:15" ht="12.75" customHeight="1" x14ac:dyDescent="0.3">
      <c r="A10717" s="79" t="s">
        <v>850</v>
      </c>
      <c r="B10717" s="80" t="str">
        <f>A10714</f>
        <v>ADECUACIÓN DE PTAP COMPACTA TIPO MODUPACK PARA CAUDAL DE 6-10 LPS (INCLUYE LIMPIEZA, GRATEO Y PINTURA GENERAL, RECONSTRUCCIÓN DE F. FONDOS, CAMBIO Y ADAPTACIÓN DE MOD. SED. Y L. FILTRANTES, ELABORACIÓN DE MANUAL DE OPERACIÓN Y PUESTA EN MARCHA)</v>
      </c>
      <c r="C10717" s="81" t="s">
        <v>916</v>
      </c>
      <c r="D10717" s="82" t="s">
        <v>999</v>
      </c>
      <c r="E10717" s="83" t="s">
        <v>445</v>
      </c>
      <c r="F10717" s="234">
        <f>(H10717+J10717+L10717+N10717)*1.3</f>
        <v>128325834</v>
      </c>
      <c r="G10717" s="83" t="s">
        <v>607</v>
      </c>
      <c r="H10717" s="86">
        <f>M10736</f>
        <v>0</v>
      </c>
      <c r="I10717" s="83" t="s">
        <v>918</v>
      </c>
      <c r="J10717" s="86">
        <f>M10727</f>
        <v>94011600</v>
      </c>
      <c r="K10717" s="83" t="s">
        <v>609</v>
      </c>
      <c r="L10717" s="86">
        <f>M10745</f>
        <v>4700580</v>
      </c>
      <c r="M10717" s="83" t="s">
        <v>610</v>
      </c>
      <c r="N10717" s="86">
        <f>M10754</f>
        <v>0</v>
      </c>
    </row>
    <row r="10718" spans="1:15" ht="12.75" customHeight="1" x14ac:dyDescent="0.25">
      <c r="A10718" s="87"/>
      <c r="B10718" s="87"/>
      <c r="C10718" s="87"/>
      <c r="D10718" s="87"/>
      <c r="E10718" s="87"/>
      <c r="F10718" s="87"/>
      <c r="G10718" s="87"/>
      <c r="J10718" s="87"/>
      <c r="K10718" s="215" t="s">
        <v>3217</v>
      </c>
      <c r="L10718" s="215">
        <f>+F10717*presup!$O$5</f>
        <v>166823584.20000002</v>
      </c>
      <c r="M10718" s="87"/>
      <c r="N10718" s="87"/>
    </row>
    <row r="10719" spans="1:15" ht="12.75" customHeight="1" x14ac:dyDescent="0.2">
      <c r="A10719" s="398" t="s">
        <v>919</v>
      </c>
      <c r="B10719" s="271"/>
      <c r="C10719" s="271"/>
      <c r="D10719" s="271"/>
      <c r="E10719" s="271"/>
      <c r="F10719" s="271"/>
      <c r="G10719" s="271"/>
      <c r="H10719" s="271"/>
      <c r="I10719" s="271"/>
      <c r="J10719" s="271"/>
      <c r="K10719" s="271"/>
      <c r="L10719" s="271"/>
      <c r="M10719" s="271"/>
      <c r="N10719" s="273"/>
    </row>
    <row r="10720" spans="1:15" ht="12.75" customHeight="1" x14ac:dyDescent="0.2">
      <c r="A10720" s="396" t="s">
        <v>76</v>
      </c>
      <c r="B10720" s="271"/>
      <c r="C10720" s="271"/>
      <c r="D10720" s="271"/>
      <c r="E10720" s="271"/>
      <c r="F10720" s="271"/>
      <c r="G10720" s="273"/>
      <c r="H10720" s="88" t="s">
        <v>77</v>
      </c>
      <c r="I10720" s="399" t="s">
        <v>920</v>
      </c>
      <c r="J10720" s="273"/>
      <c r="K10720" s="399" t="s">
        <v>453</v>
      </c>
      <c r="L10720" s="273"/>
      <c r="M10720" s="399" t="s">
        <v>921</v>
      </c>
      <c r="N10720" s="273"/>
    </row>
    <row r="10721" spans="1:14" ht="12.75" customHeight="1" x14ac:dyDescent="0.2">
      <c r="A10721" s="403" t="s">
        <v>1520</v>
      </c>
      <c r="B10721" s="271"/>
      <c r="C10721" s="271"/>
      <c r="D10721" s="271"/>
      <c r="E10721" s="271"/>
      <c r="F10721" s="271"/>
      <c r="G10721" s="273"/>
      <c r="H10721" s="29" t="str">
        <f t="shared" ref="H10721:H10726" si="1428">IF(A10721="","",VLOOKUP(A10721,AA_Materiales,7,FALSE))</f>
        <v>Unidad</v>
      </c>
      <c r="I10721" s="394">
        <f t="shared" ref="I10721:I10726" si="1429">IF(A10721="","",VLOOKUP(A10721,AA_Materiales,8,FALSE))</f>
        <v>94011600</v>
      </c>
      <c r="J10721" s="273"/>
      <c r="K10721" s="395">
        <v>1</v>
      </c>
      <c r="L10721" s="273"/>
      <c r="M10721" s="394">
        <f t="shared" ref="M10721:M10726" si="1430">IF(A10721="","",I10721*K10721)</f>
        <v>94011600</v>
      </c>
      <c r="N10721" s="273"/>
    </row>
    <row r="10722" spans="1:14" ht="12.75" customHeight="1" x14ac:dyDescent="0.2">
      <c r="A10722" s="403"/>
      <c r="B10722" s="271"/>
      <c r="C10722" s="271"/>
      <c r="D10722" s="271"/>
      <c r="E10722" s="271"/>
      <c r="F10722" s="271"/>
      <c r="G10722" s="273"/>
      <c r="H10722" s="29" t="str">
        <f t="shared" si="1428"/>
        <v/>
      </c>
      <c r="I10722" s="394" t="str">
        <f t="shared" si="1429"/>
        <v/>
      </c>
      <c r="J10722" s="273"/>
      <c r="K10722" s="395"/>
      <c r="L10722" s="273"/>
      <c r="M10722" s="394" t="str">
        <f t="shared" si="1430"/>
        <v/>
      </c>
      <c r="N10722" s="273"/>
    </row>
    <row r="10723" spans="1:14" ht="12.75" customHeight="1" x14ac:dyDescent="0.2">
      <c r="A10723" s="403"/>
      <c r="B10723" s="271"/>
      <c r="C10723" s="271"/>
      <c r="D10723" s="271"/>
      <c r="E10723" s="271"/>
      <c r="F10723" s="271"/>
      <c r="G10723" s="273"/>
      <c r="H10723" s="29" t="str">
        <f t="shared" si="1428"/>
        <v/>
      </c>
      <c r="I10723" s="394" t="str">
        <f t="shared" si="1429"/>
        <v/>
      </c>
      <c r="J10723" s="273"/>
      <c r="K10723" s="395"/>
      <c r="L10723" s="273"/>
      <c r="M10723" s="394" t="str">
        <f t="shared" si="1430"/>
        <v/>
      </c>
      <c r="N10723" s="273"/>
    </row>
    <row r="10724" spans="1:14" ht="12.75" customHeight="1" x14ac:dyDescent="0.2">
      <c r="A10724" s="403"/>
      <c r="B10724" s="271"/>
      <c r="C10724" s="271"/>
      <c r="D10724" s="271"/>
      <c r="E10724" s="271"/>
      <c r="F10724" s="271"/>
      <c r="G10724" s="273"/>
      <c r="H10724" s="29" t="str">
        <f t="shared" si="1428"/>
        <v/>
      </c>
      <c r="I10724" s="394" t="str">
        <f t="shared" si="1429"/>
        <v/>
      </c>
      <c r="J10724" s="273"/>
      <c r="K10724" s="395"/>
      <c r="L10724" s="273"/>
      <c r="M10724" s="394" t="str">
        <f t="shared" si="1430"/>
        <v/>
      </c>
      <c r="N10724" s="273"/>
    </row>
    <row r="10725" spans="1:14" ht="12.75" customHeight="1" x14ac:dyDescent="0.2">
      <c r="A10725" s="403"/>
      <c r="B10725" s="271"/>
      <c r="C10725" s="271"/>
      <c r="D10725" s="271"/>
      <c r="E10725" s="271"/>
      <c r="F10725" s="271"/>
      <c r="G10725" s="273"/>
      <c r="H10725" s="29" t="str">
        <f t="shared" si="1428"/>
        <v/>
      </c>
      <c r="I10725" s="394" t="str">
        <f t="shared" si="1429"/>
        <v/>
      </c>
      <c r="J10725" s="273"/>
      <c r="K10725" s="395"/>
      <c r="L10725" s="273"/>
      <c r="M10725" s="394" t="str">
        <f t="shared" si="1430"/>
        <v/>
      </c>
      <c r="N10725" s="273"/>
    </row>
    <row r="10726" spans="1:14" ht="12.75" customHeight="1" x14ac:dyDescent="0.2">
      <c r="A10726" s="403"/>
      <c r="B10726" s="271"/>
      <c r="C10726" s="271"/>
      <c r="D10726" s="271"/>
      <c r="E10726" s="271"/>
      <c r="F10726" s="271"/>
      <c r="G10726" s="273"/>
      <c r="H10726" s="29" t="str">
        <f t="shared" si="1428"/>
        <v/>
      </c>
      <c r="I10726" s="394" t="str">
        <f t="shared" si="1429"/>
        <v/>
      </c>
      <c r="J10726" s="273"/>
      <c r="K10726" s="395"/>
      <c r="L10726" s="273"/>
      <c r="M10726" s="394" t="str">
        <f t="shared" si="1430"/>
        <v/>
      </c>
      <c r="N10726" s="273"/>
    </row>
    <row r="10727" spans="1:14" ht="12.75" customHeight="1" x14ac:dyDescent="0.25">
      <c r="A10727" s="4"/>
      <c r="B10727" s="4"/>
      <c r="C10727" s="4"/>
      <c r="D10727" s="4"/>
      <c r="E10727" s="4"/>
      <c r="F10727" s="4"/>
      <c r="G10727" s="4"/>
      <c r="H10727" s="4"/>
      <c r="I10727" s="4"/>
      <c r="J10727" s="4"/>
      <c r="K10727" s="396" t="s">
        <v>444</v>
      </c>
      <c r="L10727" s="273"/>
      <c r="M10727" s="394">
        <f>SUM(M10721:N10726)</f>
        <v>94011600</v>
      </c>
      <c r="N10727" s="273"/>
    </row>
    <row r="10728" spans="1:14" ht="12.75" customHeight="1" x14ac:dyDescent="0.25">
      <c r="A10728" s="4"/>
      <c r="B10728" s="4"/>
      <c r="C10728" s="4"/>
      <c r="D10728" s="4"/>
      <c r="E10728" s="4"/>
      <c r="F10728" s="4"/>
      <c r="G10728" s="4"/>
      <c r="H10728" s="4"/>
      <c r="I10728" s="4"/>
      <c r="J10728" s="4"/>
      <c r="K10728" s="4"/>
      <c r="L10728" s="4"/>
      <c r="M10728" s="4"/>
      <c r="N10728" s="4"/>
    </row>
    <row r="10729" spans="1:14" ht="12.75" customHeight="1" x14ac:dyDescent="0.2">
      <c r="A10729" s="398" t="s">
        <v>926</v>
      </c>
      <c r="B10729" s="271"/>
      <c r="C10729" s="271"/>
      <c r="D10729" s="271"/>
      <c r="E10729" s="271"/>
      <c r="F10729" s="271"/>
      <c r="G10729" s="271"/>
      <c r="H10729" s="271"/>
      <c r="I10729" s="271"/>
      <c r="J10729" s="271"/>
      <c r="K10729" s="271"/>
      <c r="L10729" s="271"/>
      <c r="M10729" s="271"/>
      <c r="N10729" s="273"/>
    </row>
    <row r="10730" spans="1:14" ht="12.75" customHeight="1" x14ac:dyDescent="0.2">
      <c r="A10730" s="396" t="s">
        <v>76</v>
      </c>
      <c r="B10730" s="271"/>
      <c r="C10730" s="271"/>
      <c r="D10730" s="271"/>
      <c r="E10730" s="271"/>
      <c r="F10730" s="271"/>
      <c r="G10730" s="273"/>
      <c r="H10730" s="88" t="s">
        <v>77</v>
      </c>
      <c r="I10730" s="399" t="s">
        <v>920</v>
      </c>
      <c r="J10730" s="273"/>
      <c r="K10730" s="399" t="s">
        <v>453</v>
      </c>
      <c r="L10730" s="273"/>
      <c r="M10730" s="399" t="s">
        <v>921</v>
      </c>
      <c r="N10730" s="273"/>
    </row>
    <row r="10731" spans="1:14" ht="12.75" customHeight="1" x14ac:dyDescent="0.2">
      <c r="A10731" s="400"/>
      <c r="B10731" s="271"/>
      <c r="C10731" s="271"/>
      <c r="D10731" s="271"/>
      <c r="E10731" s="271"/>
      <c r="F10731" s="271"/>
      <c r="G10731" s="273"/>
      <c r="H10731" s="29" t="str">
        <f>IF(A10731="","",VLOOKUP(A10731,AA_Equipos,7,FALSE))</f>
        <v/>
      </c>
      <c r="I10731" s="394"/>
      <c r="J10731" s="273"/>
      <c r="K10731" s="404"/>
      <c r="L10731" s="273"/>
      <c r="M10731" s="394" t="str">
        <f t="shared" ref="M10731:M10735" si="1431">IF(A10731="","",I10731*K10731)</f>
        <v/>
      </c>
      <c r="N10731" s="273"/>
    </row>
    <row r="10732" spans="1:14" ht="12.75" customHeight="1" x14ac:dyDescent="0.2">
      <c r="A10732" s="403"/>
      <c r="B10732" s="271"/>
      <c r="C10732" s="271"/>
      <c r="D10732" s="271"/>
      <c r="E10732" s="271"/>
      <c r="F10732" s="271"/>
      <c r="G10732" s="273"/>
      <c r="H10732" s="29" t="str">
        <f>IF(A10732="","",VLOOKUP(A10732,AA_Equipos,7,FALSE))</f>
        <v/>
      </c>
      <c r="I10732" s="394" t="str">
        <f>IF(A10732="","",VLOOKUP(A10732,AA_Equipos,8,FALSE))</f>
        <v/>
      </c>
      <c r="J10732" s="273"/>
      <c r="K10732" s="402"/>
      <c r="L10732" s="273"/>
      <c r="M10732" s="394" t="str">
        <f t="shared" si="1431"/>
        <v/>
      </c>
      <c r="N10732" s="273"/>
    </row>
    <row r="10733" spans="1:14" ht="12.75" customHeight="1" x14ac:dyDescent="0.2">
      <c r="A10733" s="400"/>
      <c r="B10733" s="271"/>
      <c r="C10733" s="271"/>
      <c r="D10733" s="271"/>
      <c r="E10733" s="271"/>
      <c r="F10733" s="271"/>
      <c r="G10733" s="273"/>
      <c r="H10733" s="29" t="str">
        <f>IF(A10733="","",VLOOKUP(A10733,AA_Equipos,7,FALSE))</f>
        <v/>
      </c>
      <c r="I10733" s="394" t="str">
        <f>IF(A10733="","",VLOOKUP(A10733,AA_Equipos,8,FALSE))</f>
        <v/>
      </c>
      <c r="J10733" s="273"/>
      <c r="K10733" s="401"/>
      <c r="L10733" s="273"/>
      <c r="M10733" s="394" t="str">
        <f t="shared" si="1431"/>
        <v/>
      </c>
      <c r="N10733" s="273"/>
    </row>
    <row r="10734" spans="1:14" ht="12.75" customHeight="1" x14ac:dyDescent="0.2">
      <c r="A10734" s="400"/>
      <c r="B10734" s="271"/>
      <c r="C10734" s="271"/>
      <c r="D10734" s="271"/>
      <c r="E10734" s="271"/>
      <c r="F10734" s="271"/>
      <c r="G10734" s="273"/>
      <c r="H10734" s="29" t="str">
        <f>IF(A10734="","",VLOOKUP(A10734,AA_Equipos,7,FALSE))</f>
        <v/>
      </c>
      <c r="I10734" s="394" t="str">
        <f>IF(A10734="","",VLOOKUP(A10734,AA_Equipos,8,FALSE))</f>
        <v/>
      </c>
      <c r="J10734" s="273"/>
      <c r="K10734" s="395"/>
      <c r="L10734" s="273"/>
      <c r="M10734" s="394" t="str">
        <f t="shared" si="1431"/>
        <v/>
      </c>
      <c r="N10734" s="273"/>
    </row>
    <row r="10735" spans="1:14" ht="12.75" customHeight="1" x14ac:dyDescent="0.2">
      <c r="A10735" s="400"/>
      <c r="B10735" s="271"/>
      <c r="C10735" s="271"/>
      <c r="D10735" s="271"/>
      <c r="E10735" s="271"/>
      <c r="F10735" s="271"/>
      <c r="G10735" s="273"/>
      <c r="H10735" s="29" t="str">
        <f>IF(A10735="","",VLOOKUP(A10735,AA_Equipos,7,FALSE))</f>
        <v/>
      </c>
      <c r="I10735" s="394" t="str">
        <f>IF(A10735="","",VLOOKUP(A10735,AA_Equipos,8,FALSE))</f>
        <v/>
      </c>
      <c r="J10735" s="273"/>
      <c r="K10735" s="395"/>
      <c r="L10735" s="273"/>
      <c r="M10735" s="394" t="str">
        <f t="shared" si="1431"/>
        <v/>
      </c>
      <c r="N10735" s="273"/>
    </row>
    <row r="10736" spans="1:14" ht="12.75" customHeight="1" x14ac:dyDescent="0.25">
      <c r="A10736" s="4"/>
      <c r="B10736" s="4"/>
      <c r="C10736" s="4"/>
      <c r="D10736" s="4"/>
      <c r="E10736" s="4"/>
      <c r="F10736" s="4"/>
      <c r="G10736" s="4"/>
      <c r="H10736" s="4"/>
      <c r="I10736" s="4"/>
      <c r="J10736" s="4"/>
      <c r="K10736" s="396" t="s">
        <v>444</v>
      </c>
      <c r="L10736" s="273"/>
      <c r="M10736" s="394">
        <f>SUM(M10731:N10735)</f>
        <v>0</v>
      </c>
      <c r="N10736" s="273"/>
    </row>
    <row r="10737" spans="1:14" ht="12.75" customHeight="1" x14ac:dyDescent="0.25">
      <c r="A10737" s="4"/>
      <c r="B10737" s="4"/>
      <c r="C10737" s="4"/>
      <c r="D10737" s="4"/>
      <c r="E10737" s="4"/>
      <c r="F10737" s="4"/>
      <c r="G10737" s="4"/>
      <c r="H10737" s="4"/>
      <c r="I10737" s="4"/>
      <c r="J10737" s="4"/>
      <c r="K10737" s="4"/>
      <c r="L10737" s="4"/>
      <c r="M10737" s="4"/>
      <c r="N10737" s="4"/>
    </row>
    <row r="10738" spans="1:14" ht="12.75" customHeight="1" x14ac:dyDescent="0.2">
      <c r="A10738" s="398" t="s">
        <v>929</v>
      </c>
      <c r="B10738" s="271"/>
      <c r="C10738" s="271"/>
      <c r="D10738" s="271"/>
      <c r="E10738" s="271"/>
      <c r="F10738" s="271"/>
      <c r="G10738" s="271"/>
      <c r="H10738" s="271"/>
      <c r="I10738" s="271"/>
      <c r="J10738" s="271"/>
      <c r="K10738" s="271"/>
      <c r="L10738" s="271"/>
      <c r="M10738" s="271"/>
      <c r="N10738" s="273"/>
    </row>
    <row r="10739" spans="1:14" ht="12.75" customHeight="1" x14ac:dyDescent="0.2">
      <c r="A10739" s="396" t="s">
        <v>76</v>
      </c>
      <c r="B10739" s="271"/>
      <c r="C10739" s="271"/>
      <c r="D10739" s="271"/>
      <c r="E10739" s="271"/>
      <c r="F10739" s="271"/>
      <c r="G10739" s="273"/>
      <c r="H10739" s="88" t="s">
        <v>77</v>
      </c>
      <c r="I10739" s="399" t="s">
        <v>920</v>
      </c>
      <c r="J10739" s="273"/>
      <c r="K10739" s="399" t="s">
        <v>453</v>
      </c>
      <c r="L10739" s="273"/>
      <c r="M10739" s="399" t="s">
        <v>921</v>
      </c>
      <c r="N10739" s="273"/>
    </row>
    <row r="10740" spans="1:14" ht="12.75" customHeight="1" x14ac:dyDescent="0.2">
      <c r="A10740" s="400" t="s">
        <v>930</v>
      </c>
      <c r="B10740" s="271"/>
      <c r="C10740" s="271"/>
      <c r="D10740" s="271"/>
      <c r="E10740" s="271"/>
      <c r="F10740" s="271"/>
      <c r="G10740" s="273"/>
      <c r="H10740" s="29" t="s">
        <v>24</v>
      </c>
      <c r="I10740" s="394">
        <f>+M10727</f>
        <v>94011600</v>
      </c>
      <c r="J10740" s="273"/>
      <c r="K10740" s="404">
        <v>0.05</v>
      </c>
      <c r="L10740" s="273"/>
      <c r="M10740" s="394">
        <f t="shared" ref="M10740:M10744" si="1432">IF(A10740="","",I10740*K10740)</f>
        <v>4700580</v>
      </c>
      <c r="N10740" s="273"/>
    </row>
    <row r="10741" spans="1:14" ht="12.75" customHeight="1" x14ac:dyDescent="0.2">
      <c r="A10741" s="403"/>
      <c r="B10741" s="271"/>
      <c r="C10741" s="271"/>
      <c r="D10741" s="271"/>
      <c r="E10741" s="271"/>
      <c r="F10741" s="271"/>
      <c r="G10741" s="273"/>
      <c r="H10741" s="29"/>
      <c r="I10741" s="394"/>
      <c r="J10741" s="273"/>
      <c r="K10741" s="404"/>
      <c r="L10741" s="273"/>
      <c r="M10741" s="394" t="str">
        <f t="shared" si="1432"/>
        <v/>
      </c>
      <c r="N10741" s="273"/>
    </row>
    <row r="10742" spans="1:14" ht="12.75" customHeight="1" x14ac:dyDescent="0.2">
      <c r="A10742" s="400"/>
      <c r="B10742" s="271"/>
      <c r="C10742" s="271"/>
      <c r="D10742" s="271"/>
      <c r="E10742" s="271"/>
      <c r="F10742" s="271"/>
      <c r="G10742" s="273"/>
      <c r="H10742" s="29"/>
      <c r="I10742" s="394"/>
      <c r="J10742" s="273"/>
      <c r="K10742" s="395"/>
      <c r="L10742" s="273"/>
      <c r="M10742" s="394" t="str">
        <f t="shared" si="1432"/>
        <v/>
      </c>
      <c r="N10742" s="273"/>
    </row>
    <row r="10743" spans="1:14" ht="12.75" customHeight="1" x14ac:dyDescent="0.2">
      <c r="A10743" s="400"/>
      <c r="B10743" s="271"/>
      <c r="C10743" s="271"/>
      <c r="D10743" s="271"/>
      <c r="E10743" s="271"/>
      <c r="F10743" s="271"/>
      <c r="G10743" s="273"/>
      <c r="H10743" s="29"/>
      <c r="I10743" s="394"/>
      <c r="J10743" s="273"/>
      <c r="K10743" s="395"/>
      <c r="L10743" s="273"/>
      <c r="M10743" s="394" t="str">
        <f t="shared" si="1432"/>
        <v/>
      </c>
      <c r="N10743" s="273"/>
    </row>
    <row r="10744" spans="1:14" ht="12.75" customHeight="1" x14ac:dyDescent="0.2">
      <c r="A10744" s="400"/>
      <c r="B10744" s="271"/>
      <c r="C10744" s="271"/>
      <c r="D10744" s="271"/>
      <c r="E10744" s="271"/>
      <c r="F10744" s="271"/>
      <c r="G10744" s="273"/>
      <c r="H10744" s="29"/>
      <c r="I10744" s="394"/>
      <c r="J10744" s="273"/>
      <c r="K10744" s="395"/>
      <c r="L10744" s="273"/>
      <c r="M10744" s="394" t="str">
        <f t="shared" si="1432"/>
        <v/>
      </c>
      <c r="N10744" s="273"/>
    </row>
    <row r="10745" spans="1:14" ht="12.75" customHeight="1" x14ac:dyDescent="0.25">
      <c r="A10745" s="4"/>
      <c r="B10745" s="4"/>
      <c r="C10745" s="4"/>
      <c r="D10745" s="4"/>
      <c r="E10745" s="4"/>
      <c r="F10745" s="4"/>
      <c r="G10745" s="4"/>
      <c r="H10745" s="4"/>
      <c r="I10745" s="4"/>
      <c r="J10745" s="4"/>
      <c r="K10745" s="396" t="s">
        <v>444</v>
      </c>
      <c r="L10745" s="273"/>
      <c r="M10745" s="394">
        <f>SUM(M10740:N10744)</f>
        <v>4700580</v>
      </c>
      <c r="N10745" s="273"/>
    </row>
    <row r="10746" spans="1:14" ht="12.75" customHeight="1" x14ac:dyDescent="0.25">
      <c r="A10746" s="4"/>
      <c r="B10746" s="4"/>
      <c r="C10746" s="4"/>
      <c r="D10746" s="4"/>
      <c r="E10746" s="4"/>
      <c r="F10746" s="4"/>
      <c r="G10746" s="4"/>
      <c r="H10746" s="4"/>
      <c r="I10746" s="4"/>
      <c r="J10746" s="4"/>
      <c r="K10746" s="4"/>
      <c r="L10746" s="4"/>
      <c r="M10746" s="4"/>
      <c r="N10746" s="4"/>
    </row>
    <row r="10747" spans="1:14" ht="12.75" customHeight="1" x14ac:dyDescent="0.2">
      <c r="A10747" s="398" t="s">
        <v>931</v>
      </c>
      <c r="B10747" s="271"/>
      <c r="C10747" s="271"/>
      <c r="D10747" s="271"/>
      <c r="E10747" s="271"/>
      <c r="F10747" s="271"/>
      <c r="G10747" s="271"/>
      <c r="H10747" s="271"/>
      <c r="I10747" s="271"/>
      <c r="J10747" s="271"/>
      <c r="K10747" s="271"/>
      <c r="L10747" s="271"/>
      <c r="M10747" s="271"/>
      <c r="N10747" s="273"/>
    </row>
    <row r="10748" spans="1:14" ht="12.75" customHeight="1" x14ac:dyDescent="0.2">
      <c r="A10748" s="396" t="s">
        <v>76</v>
      </c>
      <c r="B10748" s="271"/>
      <c r="C10748" s="271"/>
      <c r="D10748" s="271"/>
      <c r="E10748" s="271"/>
      <c r="F10748" s="271"/>
      <c r="G10748" s="273"/>
      <c r="H10748" s="88" t="s">
        <v>77</v>
      </c>
      <c r="I10748" s="399" t="s">
        <v>920</v>
      </c>
      <c r="J10748" s="273"/>
      <c r="K10748" s="90" t="s">
        <v>514</v>
      </c>
      <c r="L10748" s="91" t="s">
        <v>932</v>
      </c>
      <c r="M10748" s="399" t="s">
        <v>921</v>
      </c>
      <c r="N10748" s="273"/>
    </row>
    <row r="10749" spans="1:14" ht="12.75" customHeight="1" x14ac:dyDescent="0.25">
      <c r="A10749" s="393"/>
      <c r="B10749" s="271"/>
      <c r="C10749" s="271"/>
      <c r="D10749" s="271"/>
      <c r="E10749" s="271"/>
      <c r="F10749" s="271"/>
      <c r="G10749" s="273"/>
      <c r="H10749" s="29" t="str">
        <f>IF(A10749="","",VLOOKUP(A10749,AA_Cuadrillas,4,FALSE))</f>
        <v/>
      </c>
      <c r="I10749" s="394" t="str">
        <f>IF(A10749="","",VLOOKUP(A10749,AA_Cuadrillas,5,FALSE))</f>
        <v/>
      </c>
      <c r="J10749" s="273"/>
      <c r="K10749" s="9" t="str">
        <f>IF(A10749="","",F.P!$I$2)</f>
        <v/>
      </c>
      <c r="L10749" s="97"/>
      <c r="M10749" s="394" t="str">
        <f t="shared" ref="M10749:M10753" si="1433">IF(A10749="","",I10749*K10749*L10749)</f>
        <v/>
      </c>
      <c r="N10749" s="273"/>
    </row>
    <row r="10750" spans="1:14" ht="12.75" customHeight="1" x14ac:dyDescent="0.25">
      <c r="A10750" s="393"/>
      <c r="B10750" s="271"/>
      <c r="C10750" s="271"/>
      <c r="D10750" s="271"/>
      <c r="E10750" s="271"/>
      <c r="F10750" s="271"/>
      <c r="G10750" s="273"/>
      <c r="H10750" s="29" t="str">
        <f>IF(A10750="","",VLOOKUP(A10750,AA_Cuadrillas,4,FALSE))</f>
        <v/>
      </c>
      <c r="I10750" s="394" t="str">
        <f>IF(A10750="","",VLOOKUP(A10750,AA_Cuadrillas,5,FALSE))</f>
        <v/>
      </c>
      <c r="J10750" s="273"/>
      <c r="K10750" s="9" t="str">
        <f>IF(A10750="","",F.P!$I$2)</f>
        <v/>
      </c>
      <c r="L10750" s="9"/>
      <c r="M10750" s="394" t="str">
        <f t="shared" si="1433"/>
        <v/>
      </c>
      <c r="N10750" s="273"/>
    </row>
    <row r="10751" spans="1:14" ht="12.75" customHeight="1" x14ac:dyDescent="0.25">
      <c r="A10751" s="393"/>
      <c r="B10751" s="271"/>
      <c r="C10751" s="271"/>
      <c r="D10751" s="271"/>
      <c r="E10751" s="271"/>
      <c r="F10751" s="271"/>
      <c r="G10751" s="273"/>
      <c r="H10751" s="29" t="str">
        <f>IF(A10751="","",VLOOKUP(A10751,AA_Cuadrillas,4,FALSE))</f>
        <v/>
      </c>
      <c r="I10751" s="394" t="str">
        <f>IF(A10751="","",VLOOKUP(A10751,AA_Cuadrillas,5,FALSE))</f>
        <v/>
      </c>
      <c r="J10751" s="273"/>
      <c r="K10751" s="9" t="str">
        <f>IF(A10751="","",F.P!$I$2)</f>
        <v/>
      </c>
      <c r="L10751" s="37"/>
      <c r="M10751" s="394" t="str">
        <f t="shared" si="1433"/>
        <v/>
      </c>
      <c r="N10751" s="273"/>
    </row>
    <row r="10752" spans="1:14" ht="12.75" customHeight="1" x14ac:dyDescent="0.25">
      <c r="A10752" s="393"/>
      <c r="B10752" s="271"/>
      <c r="C10752" s="271"/>
      <c r="D10752" s="271"/>
      <c r="E10752" s="271"/>
      <c r="F10752" s="271"/>
      <c r="G10752" s="273"/>
      <c r="H10752" s="29" t="str">
        <f>IF(A10752="","",VLOOKUP(A10752,AA_Cuadrillas,4,FALSE))</f>
        <v/>
      </c>
      <c r="I10752" s="394" t="str">
        <f>IF(A10752="","",VLOOKUP(A10752,AA_Cuadrillas,5,FALSE))</f>
        <v/>
      </c>
      <c r="J10752" s="273"/>
      <c r="K10752" s="9" t="str">
        <f>IF(A10752="","",F.P!$I$2)</f>
        <v/>
      </c>
      <c r="L10752" s="37"/>
      <c r="M10752" s="394" t="str">
        <f t="shared" si="1433"/>
        <v/>
      </c>
      <c r="N10752" s="273"/>
    </row>
    <row r="10753" spans="1:15" ht="12.75" customHeight="1" x14ac:dyDescent="0.25">
      <c r="A10753" s="393"/>
      <c r="B10753" s="271"/>
      <c r="C10753" s="271"/>
      <c r="D10753" s="271"/>
      <c r="E10753" s="271"/>
      <c r="F10753" s="271"/>
      <c r="G10753" s="273"/>
      <c r="H10753" s="29" t="str">
        <f>IF(A10753="","",VLOOKUP(A10753,AA_Cuadrillas,4,FALSE))</f>
        <v/>
      </c>
      <c r="I10753" s="394" t="str">
        <f>IF(A10753="","",VLOOKUP(A10753,AA_Cuadrillas,5,FALSE))</f>
        <v/>
      </c>
      <c r="J10753" s="273"/>
      <c r="K10753" s="9" t="str">
        <f>IF(A10753="","",F.P!$I$2)</f>
        <v/>
      </c>
      <c r="L10753" s="37"/>
      <c r="M10753" s="394" t="str">
        <f t="shared" si="1433"/>
        <v/>
      </c>
      <c r="N10753" s="273"/>
    </row>
    <row r="10754" spans="1:15" ht="12.75" customHeight="1" x14ac:dyDescent="0.25">
      <c r="A10754" s="4"/>
      <c r="B10754" s="4"/>
      <c r="C10754" s="4"/>
      <c r="D10754" s="4"/>
      <c r="E10754" s="4"/>
      <c r="F10754" s="4"/>
      <c r="G10754" s="4"/>
      <c r="H10754" s="4"/>
      <c r="I10754" s="4"/>
      <c r="J10754" s="4"/>
      <c r="K10754" s="396" t="s">
        <v>444</v>
      </c>
      <c r="L10754" s="273"/>
      <c r="M10754" s="394">
        <f>SUM(M10749:N10753)</f>
        <v>0</v>
      </c>
      <c r="N10754" s="273"/>
    </row>
    <row r="10755" spans="1:15" ht="12.75" customHeight="1" x14ac:dyDescent="0.2"/>
    <row r="10756" spans="1:15" ht="12.75" customHeight="1" x14ac:dyDescent="0.2">
      <c r="A10756" s="407" t="s">
        <v>210</v>
      </c>
      <c r="B10756" s="275"/>
      <c r="C10756" s="275"/>
      <c r="D10756" s="275"/>
      <c r="E10756" s="275"/>
      <c r="F10756" s="275"/>
      <c r="G10756" s="275"/>
      <c r="H10756" s="275"/>
      <c r="I10756" s="275"/>
      <c r="J10756" s="275"/>
      <c r="K10756" s="275"/>
      <c r="L10756" s="275"/>
      <c r="M10756" s="275"/>
      <c r="N10756" s="276"/>
      <c r="O10756" s="166"/>
    </row>
    <row r="10757" spans="1:15" ht="12.75" customHeight="1" x14ac:dyDescent="0.2">
      <c r="A10757" s="277"/>
      <c r="B10757" s="278"/>
      <c r="C10757" s="278"/>
      <c r="D10757" s="278"/>
      <c r="E10757" s="278"/>
      <c r="F10757" s="278"/>
      <c r="G10757" s="278"/>
      <c r="H10757" s="278"/>
      <c r="I10757" s="278"/>
      <c r="J10757" s="278"/>
      <c r="K10757" s="278"/>
      <c r="L10757" s="278"/>
      <c r="M10757" s="278"/>
      <c r="N10757" s="279"/>
      <c r="O10757" s="166"/>
    </row>
    <row r="10758" spans="1:15" ht="12.75" customHeight="1" x14ac:dyDescent="0.2">
      <c r="A10758" s="75"/>
      <c r="B10758" s="75"/>
      <c r="C10758" s="75"/>
      <c r="D10758" s="75"/>
      <c r="E10758" s="75"/>
      <c r="F10758" s="75"/>
      <c r="G10758" s="75"/>
      <c r="H10758" s="75"/>
      <c r="I10758" s="75"/>
      <c r="J10758" s="75"/>
      <c r="K10758" s="75"/>
      <c r="L10758" s="75"/>
      <c r="M10758" s="75"/>
      <c r="N10758" s="75"/>
    </row>
    <row r="10759" spans="1:15" ht="12.75" customHeight="1" x14ac:dyDescent="0.3">
      <c r="A10759" s="79" t="s">
        <v>851</v>
      </c>
      <c r="B10759" s="80" t="str">
        <f>A10756</f>
        <v>SUMINISTRO DE KIT DE LABORATORIO PARA ANALISIS DE AGUA</v>
      </c>
      <c r="C10759" s="81" t="s">
        <v>916</v>
      </c>
      <c r="D10759" s="82" t="s">
        <v>999</v>
      </c>
      <c r="E10759" s="83" t="s">
        <v>445</v>
      </c>
      <c r="F10759" s="234">
        <f>(H10759+J10759+L10759+N10759)*1.3</f>
        <v>16626721.956</v>
      </c>
      <c r="G10759" s="83" t="s">
        <v>607</v>
      </c>
      <c r="H10759" s="86">
        <f>M10778</f>
        <v>0</v>
      </c>
      <c r="I10759" s="83" t="s">
        <v>918</v>
      </c>
      <c r="J10759" s="86">
        <f>M10769</f>
        <v>12539006</v>
      </c>
      <c r="K10759" s="83" t="s">
        <v>609</v>
      </c>
      <c r="L10759" s="86">
        <f>M10787</f>
        <v>250780.12</v>
      </c>
      <c r="M10759" s="83" t="s">
        <v>610</v>
      </c>
      <c r="N10759" s="86">
        <f>M10796</f>
        <v>0</v>
      </c>
    </row>
    <row r="10760" spans="1:15" ht="12.75" customHeight="1" x14ac:dyDescent="0.25">
      <c r="A10760" s="87"/>
      <c r="B10760" s="87"/>
      <c r="C10760" s="87"/>
      <c r="D10760" s="87"/>
      <c r="E10760" s="87"/>
      <c r="F10760" s="87"/>
      <c r="G10760" s="87"/>
      <c r="J10760" s="87"/>
      <c r="K10760" s="215" t="s">
        <v>3217</v>
      </c>
      <c r="L10760" s="215">
        <f>+F10759*presup!$O$5</f>
        <v>21614738.542800002</v>
      </c>
      <c r="M10760" s="87"/>
      <c r="N10760" s="87"/>
    </row>
    <row r="10761" spans="1:15" ht="12.75" customHeight="1" x14ac:dyDescent="0.2">
      <c r="A10761" s="398" t="s">
        <v>919</v>
      </c>
      <c r="B10761" s="271"/>
      <c r="C10761" s="271"/>
      <c r="D10761" s="271"/>
      <c r="E10761" s="271"/>
      <c r="F10761" s="271"/>
      <c r="G10761" s="271"/>
      <c r="H10761" s="271"/>
      <c r="I10761" s="271"/>
      <c r="J10761" s="271"/>
      <c r="K10761" s="271"/>
      <c r="L10761" s="271"/>
      <c r="M10761" s="271"/>
      <c r="N10761" s="273"/>
    </row>
    <row r="10762" spans="1:15" ht="12.75" customHeight="1" x14ac:dyDescent="0.2">
      <c r="A10762" s="396" t="s">
        <v>76</v>
      </c>
      <c r="B10762" s="271"/>
      <c r="C10762" s="271"/>
      <c r="D10762" s="271"/>
      <c r="E10762" s="271"/>
      <c r="F10762" s="271"/>
      <c r="G10762" s="273"/>
      <c r="H10762" s="88" t="s">
        <v>77</v>
      </c>
      <c r="I10762" s="399" t="s">
        <v>920</v>
      </c>
      <c r="J10762" s="273"/>
      <c r="K10762" s="399" t="s">
        <v>453</v>
      </c>
      <c r="L10762" s="273"/>
      <c r="M10762" s="399" t="s">
        <v>921</v>
      </c>
      <c r="N10762" s="273"/>
    </row>
    <row r="10763" spans="1:15" ht="27" customHeight="1" x14ac:dyDescent="0.2">
      <c r="A10763" s="403" t="s">
        <v>1521</v>
      </c>
      <c r="B10763" s="271"/>
      <c r="C10763" s="271"/>
      <c r="D10763" s="271"/>
      <c r="E10763" s="271"/>
      <c r="F10763" s="271"/>
      <c r="G10763" s="273"/>
      <c r="H10763" s="29" t="str">
        <f t="shared" ref="H10763:H10768" si="1434">IF(A10763="","",VLOOKUP(A10763,AA_Materiales,7,FALSE))</f>
        <v>Unidad</v>
      </c>
      <c r="I10763" s="394">
        <f t="shared" ref="I10763:I10768" si="1435">IF(A10763="","",VLOOKUP(A10763,AA_Materiales,8,FALSE))</f>
        <v>12539006</v>
      </c>
      <c r="J10763" s="273"/>
      <c r="K10763" s="395">
        <v>1</v>
      </c>
      <c r="L10763" s="273"/>
      <c r="M10763" s="394">
        <f t="shared" ref="M10763:M10768" si="1436">IF(A10763="","",I10763*K10763)</f>
        <v>12539006</v>
      </c>
      <c r="N10763" s="273"/>
    </row>
    <row r="10764" spans="1:15" ht="12.75" customHeight="1" x14ac:dyDescent="0.2">
      <c r="A10764" s="403"/>
      <c r="B10764" s="271"/>
      <c r="C10764" s="271"/>
      <c r="D10764" s="271"/>
      <c r="E10764" s="271"/>
      <c r="F10764" s="271"/>
      <c r="G10764" s="273"/>
      <c r="H10764" s="29" t="str">
        <f t="shared" si="1434"/>
        <v/>
      </c>
      <c r="I10764" s="394" t="str">
        <f t="shared" si="1435"/>
        <v/>
      </c>
      <c r="J10764" s="273"/>
      <c r="K10764" s="395"/>
      <c r="L10764" s="273"/>
      <c r="M10764" s="394" t="str">
        <f t="shared" si="1436"/>
        <v/>
      </c>
      <c r="N10764" s="273"/>
    </row>
    <row r="10765" spans="1:15" ht="12.75" customHeight="1" x14ac:dyDescent="0.2">
      <c r="A10765" s="403"/>
      <c r="B10765" s="271"/>
      <c r="C10765" s="271"/>
      <c r="D10765" s="271"/>
      <c r="E10765" s="271"/>
      <c r="F10765" s="271"/>
      <c r="G10765" s="273"/>
      <c r="H10765" s="29" t="str">
        <f t="shared" si="1434"/>
        <v/>
      </c>
      <c r="I10765" s="394" t="str">
        <f t="shared" si="1435"/>
        <v/>
      </c>
      <c r="J10765" s="273"/>
      <c r="K10765" s="395"/>
      <c r="L10765" s="273"/>
      <c r="M10765" s="394" t="str">
        <f t="shared" si="1436"/>
        <v/>
      </c>
      <c r="N10765" s="273"/>
    </row>
    <row r="10766" spans="1:15" ht="12.75" customHeight="1" x14ac:dyDescent="0.2">
      <c r="A10766" s="403"/>
      <c r="B10766" s="271"/>
      <c r="C10766" s="271"/>
      <c r="D10766" s="271"/>
      <c r="E10766" s="271"/>
      <c r="F10766" s="271"/>
      <c r="G10766" s="273"/>
      <c r="H10766" s="29" t="str">
        <f t="shared" si="1434"/>
        <v/>
      </c>
      <c r="I10766" s="394" t="str">
        <f t="shared" si="1435"/>
        <v/>
      </c>
      <c r="J10766" s="273"/>
      <c r="K10766" s="395"/>
      <c r="L10766" s="273"/>
      <c r="M10766" s="394" t="str">
        <f t="shared" si="1436"/>
        <v/>
      </c>
      <c r="N10766" s="273"/>
    </row>
    <row r="10767" spans="1:15" ht="12.75" customHeight="1" x14ac:dyDescent="0.2">
      <c r="A10767" s="403"/>
      <c r="B10767" s="271"/>
      <c r="C10767" s="271"/>
      <c r="D10767" s="271"/>
      <c r="E10767" s="271"/>
      <c r="F10767" s="271"/>
      <c r="G10767" s="273"/>
      <c r="H10767" s="29" t="str">
        <f t="shared" si="1434"/>
        <v/>
      </c>
      <c r="I10767" s="394" t="str">
        <f t="shared" si="1435"/>
        <v/>
      </c>
      <c r="J10767" s="273"/>
      <c r="K10767" s="395"/>
      <c r="L10767" s="273"/>
      <c r="M10767" s="394" t="str">
        <f t="shared" si="1436"/>
        <v/>
      </c>
      <c r="N10767" s="273"/>
    </row>
    <row r="10768" spans="1:15" ht="12.75" customHeight="1" x14ac:dyDescent="0.2">
      <c r="A10768" s="403"/>
      <c r="B10768" s="271"/>
      <c r="C10768" s="271"/>
      <c r="D10768" s="271"/>
      <c r="E10768" s="271"/>
      <c r="F10768" s="271"/>
      <c r="G10768" s="273"/>
      <c r="H10768" s="29" t="str">
        <f t="shared" si="1434"/>
        <v/>
      </c>
      <c r="I10768" s="394" t="str">
        <f t="shared" si="1435"/>
        <v/>
      </c>
      <c r="J10768" s="273"/>
      <c r="K10768" s="395"/>
      <c r="L10768" s="273"/>
      <c r="M10768" s="394" t="str">
        <f t="shared" si="1436"/>
        <v/>
      </c>
      <c r="N10768" s="273"/>
    </row>
    <row r="10769" spans="1:14" ht="12.75" customHeight="1" x14ac:dyDescent="0.25">
      <c r="A10769" s="4"/>
      <c r="B10769" s="4"/>
      <c r="C10769" s="4"/>
      <c r="D10769" s="4"/>
      <c r="E10769" s="4"/>
      <c r="F10769" s="4"/>
      <c r="G10769" s="4"/>
      <c r="H10769" s="4"/>
      <c r="I10769" s="4"/>
      <c r="J10769" s="4"/>
      <c r="K10769" s="396" t="s">
        <v>444</v>
      </c>
      <c r="L10769" s="273"/>
      <c r="M10769" s="394">
        <f>SUM(M10763:N10768)</f>
        <v>12539006</v>
      </c>
      <c r="N10769" s="273"/>
    </row>
    <row r="10770" spans="1:14" ht="12.75" customHeight="1" x14ac:dyDescent="0.25">
      <c r="A10770" s="4"/>
      <c r="B10770" s="4"/>
      <c r="C10770" s="4"/>
      <c r="D10770" s="4"/>
      <c r="E10770" s="4"/>
      <c r="F10770" s="4"/>
      <c r="G10770" s="4"/>
      <c r="H10770" s="4"/>
      <c r="I10770" s="4"/>
      <c r="J10770" s="4"/>
      <c r="K10770" s="4"/>
      <c r="L10770" s="4"/>
      <c r="M10770" s="4"/>
      <c r="N10770" s="4"/>
    </row>
    <row r="10771" spans="1:14" ht="12.75" customHeight="1" x14ac:dyDescent="0.2">
      <c r="A10771" s="398" t="s">
        <v>926</v>
      </c>
      <c r="B10771" s="271"/>
      <c r="C10771" s="271"/>
      <c r="D10771" s="271"/>
      <c r="E10771" s="271"/>
      <c r="F10771" s="271"/>
      <c r="G10771" s="271"/>
      <c r="H10771" s="271"/>
      <c r="I10771" s="271"/>
      <c r="J10771" s="271"/>
      <c r="K10771" s="271"/>
      <c r="L10771" s="271"/>
      <c r="M10771" s="271"/>
      <c r="N10771" s="273"/>
    </row>
    <row r="10772" spans="1:14" ht="12.75" customHeight="1" x14ac:dyDescent="0.2">
      <c r="A10772" s="396" t="s">
        <v>76</v>
      </c>
      <c r="B10772" s="271"/>
      <c r="C10772" s="271"/>
      <c r="D10772" s="271"/>
      <c r="E10772" s="271"/>
      <c r="F10772" s="271"/>
      <c r="G10772" s="273"/>
      <c r="H10772" s="88" t="s">
        <v>77</v>
      </c>
      <c r="I10772" s="399" t="s">
        <v>920</v>
      </c>
      <c r="J10772" s="273"/>
      <c r="K10772" s="399" t="s">
        <v>453</v>
      </c>
      <c r="L10772" s="273"/>
      <c r="M10772" s="399" t="s">
        <v>921</v>
      </c>
      <c r="N10772" s="273"/>
    </row>
    <row r="10773" spans="1:14" ht="12.75" customHeight="1" x14ac:dyDescent="0.2">
      <c r="A10773" s="400"/>
      <c r="B10773" s="271"/>
      <c r="C10773" s="271"/>
      <c r="D10773" s="271"/>
      <c r="E10773" s="271"/>
      <c r="F10773" s="271"/>
      <c r="G10773" s="273"/>
      <c r="H10773" s="29" t="str">
        <f>IF(A10773="","",VLOOKUP(A10773,AA_Equipos,7,FALSE))</f>
        <v/>
      </c>
      <c r="I10773" s="394"/>
      <c r="J10773" s="273"/>
      <c r="K10773" s="404"/>
      <c r="L10773" s="273"/>
      <c r="M10773" s="394" t="str">
        <f t="shared" ref="M10773:M10777" si="1437">IF(A10773="","",I10773*K10773)</f>
        <v/>
      </c>
      <c r="N10773" s="273"/>
    </row>
    <row r="10774" spans="1:14" ht="12.75" customHeight="1" x14ac:dyDescent="0.2">
      <c r="A10774" s="403"/>
      <c r="B10774" s="271"/>
      <c r="C10774" s="271"/>
      <c r="D10774" s="271"/>
      <c r="E10774" s="271"/>
      <c r="F10774" s="271"/>
      <c r="G10774" s="273"/>
      <c r="H10774" s="29" t="str">
        <f>IF(A10774="","",VLOOKUP(A10774,AA_Equipos,7,FALSE))</f>
        <v/>
      </c>
      <c r="I10774" s="394" t="str">
        <f>IF(A10774="","",VLOOKUP(A10774,AA_Equipos,8,FALSE))</f>
        <v/>
      </c>
      <c r="J10774" s="273"/>
      <c r="K10774" s="402"/>
      <c r="L10774" s="273"/>
      <c r="M10774" s="394" t="str">
        <f t="shared" si="1437"/>
        <v/>
      </c>
      <c r="N10774" s="273"/>
    </row>
    <row r="10775" spans="1:14" ht="12.75" customHeight="1" x14ac:dyDescent="0.2">
      <c r="A10775" s="400"/>
      <c r="B10775" s="271"/>
      <c r="C10775" s="271"/>
      <c r="D10775" s="271"/>
      <c r="E10775" s="271"/>
      <c r="F10775" s="271"/>
      <c r="G10775" s="273"/>
      <c r="H10775" s="29" t="str">
        <f>IF(A10775="","",VLOOKUP(A10775,AA_Equipos,7,FALSE))</f>
        <v/>
      </c>
      <c r="I10775" s="394" t="str">
        <f>IF(A10775="","",VLOOKUP(A10775,AA_Equipos,8,FALSE))</f>
        <v/>
      </c>
      <c r="J10775" s="273"/>
      <c r="K10775" s="401"/>
      <c r="L10775" s="273"/>
      <c r="M10775" s="394" t="str">
        <f t="shared" si="1437"/>
        <v/>
      </c>
      <c r="N10775" s="273"/>
    </row>
    <row r="10776" spans="1:14" ht="12.75" customHeight="1" x14ac:dyDescent="0.2">
      <c r="A10776" s="400"/>
      <c r="B10776" s="271"/>
      <c r="C10776" s="271"/>
      <c r="D10776" s="271"/>
      <c r="E10776" s="271"/>
      <c r="F10776" s="271"/>
      <c r="G10776" s="273"/>
      <c r="H10776" s="29" t="str">
        <f>IF(A10776="","",VLOOKUP(A10776,AA_Equipos,7,FALSE))</f>
        <v/>
      </c>
      <c r="I10776" s="394" t="str">
        <f>IF(A10776="","",VLOOKUP(A10776,AA_Equipos,8,FALSE))</f>
        <v/>
      </c>
      <c r="J10776" s="273"/>
      <c r="K10776" s="395"/>
      <c r="L10776" s="273"/>
      <c r="M10776" s="394" t="str">
        <f t="shared" si="1437"/>
        <v/>
      </c>
      <c r="N10776" s="273"/>
    </row>
    <row r="10777" spans="1:14" ht="12.75" customHeight="1" x14ac:dyDescent="0.2">
      <c r="A10777" s="400"/>
      <c r="B10777" s="271"/>
      <c r="C10777" s="271"/>
      <c r="D10777" s="271"/>
      <c r="E10777" s="271"/>
      <c r="F10777" s="271"/>
      <c r="G10777" s="273"/>
      <c r="H10777" s="29" t="str">
        <f>IF(A10777="","",VLOOKUP(A10777,AA_Equipos,7,FALSE))</f>
        <v/>
      </c>
      <c r="I10777" s="394" t="str">
        <f>IF(A10777="","",VLOOKUP(A10777,AA_Equipos,8,FALSE))</f>
        <v/>
      </c>
      <c r="J10777" s="273"/>
      <c r="K10777" s="395"/>
      <c r="L10777" s="273"/>
      <c r="M10777" s="394" t="str">
        <f t="shared" si="1437"/>
        <v/>
      </c>
      <c r="N10777" s="273"/>
    </row>
    <row r="10778" spans="1:14" ht="12.75" customHeight="1" x14ac:dyDescent="0.25">
      <c r="A10778" s="4"/>
      <c r="B10778" s="4"/>
      <c r="C10778" s="4"/>
      <c r="D10778" s="4"/>
      <c r="E10778" s="4"/>
      <c r="F10778" s="4"/>
      <c r="G10778" s="4"/>
      <c r="H10778" s="4"/>
      <c r="I10778" s="4"/>
      <c r="J10778" s="4"/>
      <c r="K10778" s="396" t="s">
        <v>444</v>
      </c>
      <c r="L10778" s="273"/>
      <c r="M10778" s="394">
        <f>SUM(M10773:N10777)</f>
        <v>0</v>
      </c>
      <c r="N10778" s="273"/>
    </row>
    <row r="10779" spans="1:14" ht="12.75" customHeight="1" x14ac:dyDescent="0.25">
      <c r="A10779" s="4"/>
      <c r="B10779" s="4"/>
      <c r="C10779" s="4"/>
      <c r="D10779" s="4"/>
      <c r="E10779" s="4"/>
      <c r="F10779" s="4"/>
      <c r="G10779" s="4"/>
      <c r="H10779" s="4"/>
      <c r="I10779" s="4"/>
      <c r="J10779" s="4"/>
      <c r="K10779" s="4"/>
      <c r="L10779" s="4"/>
      <c r="M10779" s="4"/>
      <c r="N10779" s="4"/>
    </row>
    <row r="10780" spans="1:14" ht="12.75" customHeight="1" x14ac:dyDescent="0.2">
      <c r="A10780" s="398" t="s">
        <v>929</v>
      </c>
      <c r="B10780" s="271"/>
      <c r="C10780" s="271"/>
      <c r="D10780" s="271"/>
      <c r="E10780" s="271"/>
      <c r="F10780" s="271"/>
      <c r="G10780" s="271"/>
      <c r="H10780" s="271"/>
      <c r="I10780" s="271"/>
      <c r="J10780" s="271"/>
      <c r="K10780" s="271"/>
      <c r="L10780" s="271"/>
      <c r="M10780" s="271"/>
      <c r="N10780" s="273"/>
    </row>
    <row r="10781" spans="1:14" ht="12.75" customHeight="1" x14ac:dyDescent="0.2">
      <c r="A10781" s="396" t="s">
        <v>76</v>
      </c>
      <c r="B10781" s="271"/>
      <c r="C10781" s="271"/>
      <c r="D10781" s="271"/>
      <c r="E10781" s="271"/>
      <c r="F10781" s="271"/>
      <c r="G10781" s="273"/>
      <c r="H10781" s="88" t="s">
        <v>77</v>
      </c>
      <c r="I10781" s="399" t="s">
        <v>920</v>
      </c>
      <c r="J10781" s="273"/>
      <c r="K10781" s="399" t="s">
        <v>453</v>
      </c>
      <c r="L10781" s="273"/>
      <c r="M10781" s="399" t="s">
        <v>921</v>
      </c>
      <c r="N10781" s="273"/>
    </row>
    <row r="10782" spans="1:14" ht="12.75" customHeight="1" x14ac:dyDescent="0.2">
      <c r="A10782" s="400" t="s">
        <v>930</v>
      </c>
      <c r="B10782" s="271"/>
      <c r="C10782" s="271"/>
      <c r="D10782" s="271"/>
      <c r="E10782" s="271"/>
      <c r="F10782" s="271"/>
      <c r="G10782" s="273"/>
      <c r="H10782" s="29" t="s">
        <v>24</v>
      </c>
      <c r="I10782" s="394">
        <f>+M10769</f>
        <v>12539006</v>
      </c>
      <c r="J10782" s="273"/>
      <c r="K10782" s="404">
        <v>0.02</v>
      </c>
      <c r="L10782" s="273"/>
      <c r="M10782" s="394">
        <f t="shared" ref="M10782:M10786" si="1438">IF(A10782="","",I10782*K10782)</f>
        <v>250780.12</v>
      </c>
      <c r="N10782" s="273"/>
    </row>
    <row r="10783" spans="1:14" ht="12.75" customHeight="1" x14ac:dyDescent="0.2">
      <c r="A10783" s="403"/>
      <c r="B10783" s="271"/>
      <c r="C10783" s="271"/>
      <c r="D10783" s="271"/>
      <c r="E10783" s="271"/>
      <c r="F10783" s="271"/>
      <c r="G10783" s="273"/>
      <c r="H10783" s="29"/>
      <c r="I10783" s="394"/>
      <c r="J10783" s="273"/>
      <c r="K10783" s="404"/>
      <c r="L10783" s="273"/>
      <c r="M10783" s="394" t="str">
        <f t="shared" si="1438"/>
        <v/>
      </c>
      <c r="N10783" s="273"/>
    </row>
    <row r="10784" spans="1:14" ht="12.75" customHeight="1" x14ac:dyDescent="0.2">
      <c r="A10784" s="400"/>
      <c r="B10784" s="271"/>
      <c r="C10784" s="271"/>
      <c r="D10784" s="271"/>
      <c r="E10784" s="271"/>
      <c r="F10784" s="271"/>
      <c r="G10784" s="273"/>
      <c r="H10784" s="29"/>
      <c r="I10784" s="394"/>
      <c r="J10784" s="273"/>
      <c r="K10784" s="395"/>
      <c r="L10784" s="273"/>
      <c r="M10784" s="394" t="str">
        <f t="shared" si="1438"/>
        <v/>
      </c>
      <c r="N10784" s="273"/>
    </row>
    <row r="10785" spans="1:15" ht="12.75" customHeight="1" x14ac:dyDescent="0.2">
      <c r="A10785" s="400"/>
      <c r="B10785" s="271"/>
      <c r="C10785" s="271"/>
      <c r="D10785" s="271"/>
      <c r="E10785" s="271"/>
      <c r="F10785" s="271"/>
      <c r="G10785" s="273"/>
      <c r="H10785" s="29"/>
      <c r="I10785" s="394"/>
      <c r="J10785" s="273"/>
      <c r="K10785" s="395"/>
      <c r="L10785" s="273"/>
      <c r="M10785" s="394" t="str">
        <f t="shared" si="1438"/>
        <v/>
      </c>
      <c r="N10785" s="273"/>
    </row>
    <row r="10786" spans="1:15" ht="12.75" customHeight="1" x14ac:dyDescent="0.2">
      <c r="A10786" s="400"/>
      <c r="B10786" s="271"/>
      <c r="C10786" s="271"/>
      <c r="D10786" s="271"/>
      <c r="E10786" s="271"/>
      <c r="F10786" s="271"/>
      <c r="G10786" s="273"/>
      <c r="H10786" s="29"/>
      <c r="I10786" s="394"/>
      <c r="J10786" s="273"/>
      <c r="K10786" s="395"/>
      <c r="L10786" s="273"/>
      <c r="M10786" s="394" t="str">
        <f t="shared" si="1438"/>
        <v/>
      </c>
      <c r="N10786" s="273"/>
    </row>
    <row r="10787" spans="1:15" ht="12.75" customHeight="1" x14ac:dyDescent="0.25">
      <c r="A10787" s="4"/>
      <c r="B10787" s="4"/>
      <c r="C10787" s="4"/>
      <c r="D10787" s="4"/>
      <c r="E10787" s="4"/>
      <c r="F10787" s="4"/>
      <c r="G10787" s="4"/>
      <c r="H10787" s="4"/>
      <c r="I10787" s="4"/>
      <c r="J10787" s="4"/>
      <c r="K10787" s="396" t="s">
        <v>444</v>
      </c>
      <c r="L10787" s="273"/>
      <c r="M10787" s="394">
        <f>SUM(M10782:N10786)</f>
        <v>250780.12</v>
      </c>
      <c r="N10787" s="273"/>
    </row>
    <row r="10788" spans="1:15" ht="12.75" customHeight="1" x14ac:dyDescent="0.25">
      <c r="A10788" s="4"/>
      <c r="B10788" s="4"/>
      <c r="C10788" s="4"/>
      <c r="D10788" s="4"/>
      <c r="E10788" s="4"/>
      <c r="F10788" s="4"/>
      <c r="G10788" s="4"/>
      <c r="H10788" s="4"/>
      <c r="I10788" s="4"/>
      <c r="J10788" s="4"/>
      <c r="K10788" s="4"/>
      <c r="L10788" s="4"/>
      <c r="M10788" s="4"/>
      <c r="N10788" s="4"/>
    </row>
    <row r="10789" spans="1:15" ht="12.75" customHeight="1" x14ac:dyDescent="0.2">
      <c r="A10789" s="398" t="s">
        <v>931</v>
      </c>
      <c r="B10789" s="271"/>
      <c r="C10789" s="271"/>
      <c r="D10789" s="271"/>
      <c r="E10789" s="271"/>
      <c r="F10789" s="271"/>
      <c r="G10789" s="271"/>
      <c r="H10789" s="271"/>
      <c r="I10789" s="271"/>
      <c r="J10789" s="271"/>
      <c r="K10789" s="271"/>
      <c r="L10789" s="271"/>
      <c r="M10789" s="271"/>
      <c r="N10789" s="273"/>
    </row>
    <row r="10790" spans="1:15" ht="12.75" customHeight="1" x14ac:dyDescent="0.2">
      <c r="A10790" s="396" t="s">
        <v>76</v>
      </c>
      <c r="B10790" s="271"/>
      <c r="C10790" s="271"/>
      <c r="D10790" s="271"/>
      <c r="E10790" s="271"/>
      <c r="F10790" s="271"/>
      <c r="G10790" s="273"/>
      <c r="H10790" s="88" t="s">
        <v>77</v>
      </c>
      <c r="I10790" s="399" t="s">
        <v>920</v>
      </c>
      <c r="J10790" s="273"/>
      <c r="K10790" s="90" t="s">
        <v>514</v>
      </c>
      <c r="L10790" s="91" t="s">
        <v>932</v>
      </c>
      <c r="M10790" s="399" t="s">
        <v>921</v>
      </c>
      <c r="N10790" s="273"/>
    </row>
    <row r="10791" spans="1:15" ht="12.75" customHeight="1" x14ac:dyDescent="0.25">
      <c r="A10791" s="393"/>
      <c r="B10791" s="271"/>
      <c r="C10791" s="271"/>
      <c r="D10791" s="271"/>
      <c r="E10791" s="271"/>
      <c r="F10791" s="271"/>
      <c r="G10791" s="273"/>
      <c r="H10791" s="29" t="str">
        <f>IF(A10791="","",VLOOKUP(A10791,AA_Cuadrillas,4,FALSE))</f>
        <v/>
      </c>
      <c r="I10791" s="394" t="str">
        <f>IF(A10791="","",VLOOKUP(A10791,AA_Cuadrillas,5,FALSE))</f>
        <v/>
      </c>
      <c r="J10791" s="273"/>
      <c r="K10791" s="9" t="str">
        <f>IF(A10791="","",F.P!$I$2)</f>
        <v/>
      </c>
      <c r="L10791" s="97"/>
      <c r="M10791" s="394" t="str">
        <f t="shared" ref="M10791:M10795" si="1439">IF(A10791="","",I10791*K10791*L10791)</f>
        <v/>
      </c>
      <c r="N10791" s="273"/>
    </row>
    <row r="10792" spans="1:15" ht="12.75" customHeight="1" x14ac:dyDescent="0.25">
      <c r="A10792" s="393"/>
      <c r="B10792" s="271"/>
      <c r="C10792" s="271"/>
      <c r="D10792" s="271"/>
      <c r="E10792" s="271"/>
      <c r="F10792" s="271"/>
      <c r="G10792" s="273"/>
      <c r="H10792" s="29" t="str">
        <f>IF(A10792="","",VLOOKUP(A10792,AA_Cuadrillas,4,FALSE))</f>
        <v/>
      </c>
      <c r="I10792" s="394" t="str">
        <f>IF(A10792="","",VLOOKUP(A10792,AA_Cuadrillas,5,FALSE))</f>
        <v/>
      </c>
      <c r="J10792" s="273"/>
      <c r="K10792" s="9" t="str">
        <f>IF(A10792="","",F.P!$I$2)</f>
        <v/>
      </c>
      <c r="L10792" s="9"/>
      <c r="M10792" s="394" t="str">
        <f t="shared" si="1439"/>
        <v/>
      </c>
      <c r="N10792" s="273"/>
    </row>
    <row r="10793" spans="1:15" ht="12.75" customHeight="1" x14ac:dyDescent="0.25">
      <c r="A10793" s="393"/>
      <c r="B10793" s="271"/>
      <c r="C10793" s="271"/>
      <c r="D10793" s="271"/>
      <c r="E10793" s="271"/>
      <c r="F10793" s="271"/>
      <c r="G10793" s="273"/>
      <c r="H10793" s="29" t="str">
        <f>IF(A10793="","",VLOOKUP(A10793,AA_Cuadrillas,4,FALSE))</f>
        <v/>
      </c>
      <c r="I10793" s="394" t="str">
        <f>IF(A10793="","",VLOOKUP(A10793,AA_Cuadrillas,5,FALSE))</f>
        <v/>
      </c>
      <c r="J10793" s="273"/>
      <c r="K10793" s="9" t="str">
        <f>IF(A10793="","",F.P!$I$2)</f>
        <v/>
      </c>
      <c r="L10793" s="37"/>
      <c r="M10793" s="394" t="str">
        <f t="shared" si="1439"/>
        <v/>
      </c>
      <c r="N10793" s="273"/>
    </row>
    <row r="10794" spans="1:15" ht="12.75" customHeight="1" x14ac:dyDescent="0.25">
      <c r="A10794" s="393"/>
      <c r="B10794" s="271"/>
      <c r="C10794" s="271"/>
      <c r="D10794" s="271"/>
      <c r="E10794" s="271"/>
      <c r="F10794" s="271"/>
      <c r="G10794" s="273"/>
      <c r="H10794" s="29" t="str">
        <f>IF(A10794="","",VLOOKUP(A10794,AA_Cuadrillas,4,FALSE))</f>
        <v/>
      </c>
      <c r="I10794" s="394" t="str">
        <f>IF(A10794="","",VLOOKUP(A10794,AA_Cuadrillas,5,FALSE))</f>
        <v/>
      </c>
      <c r="J10794" s="273"/>
      <c r="K10794" s="9" t="str">
        <f>IF(A10794="","",F.P!$I$2)</f>
        <v/>
      </c>
      <c r="L10794" s="37"/>
      <c r="M10794" s="394" t="str">
        <f t="shared" si="1439"/>
        <v/>
      </c>
      <c r="N10794" s="273"/>
    </row>
    <row r="10795" spans="1:15" ht="12.75" customHeight="1" x14ac:dyDescent="0.25">
      <c r="A10795" s="393"/>
      <c r="B10795" s="271"/>
      <c r="C10795" s="271"/>
      <c r="D10795" s="271"/>
      <c r="E10795" s="271"/>
      <c r="F10795" s="271"/>
      <c r="G10795" s="273"/>
      <c r="H10795" s="29" t="str">
        <f>IF(A10795="","",VLOOKUP(A10795,AA_Cuadrillas,4,FALSE))</f>
        <v/>
      </c>
      <c r="I10795" s="394" t="str">
        <f>IF(A10795="","",VLOOKUP(A10795,AA_Cuadrillas,5,FALSE))</f>
        <v/>
      </c>
      <c r="J10795" s="273"/>
      <c r="K10795" s="9" t="str">
        <f>IF(A10795="","",F.P!$I$2)</f>
        <v/>
      </c>
      <c r="L10795" s="37"/>
      <c r="M10795" s="394" t="str">
        <f t="shared" si="1439"/>
        <v/>
      </c>
      <c r="N10795" s="273"/>
    </row>
    <row r="10796" spans="1:15" ht="12.75" customHeight="1" x14ac:dyDescent="0.25">
      <c r="A10796" s="4"/>
      <c r="B10796" s="4"/>
      <c r="C10796" s="4"/>
      <c r="D10796" s="4"/>
      <c r="E10796" s="4"/>
      <c r="F10796" s="4"/>
      <c r="G10796" s="4"/>
      <c r="H10796" s="4"/>
      <c r="I10796" s="4"/>
      <c r="J10796" s="4"/>
      <c r="K10796" s="396" t="s">
        <v>444</v>
      </c>
      <c r="L10796" s="273"/>
      <c r="M10796" s="394">
        <f>SUM(M10791:N10795)</f>
        <v>0</v>
      </c>
      <c r="N10796" s="273"/>
    </row>
    <row r="10797" spans="1:15" ht="12.75" customHeight="1" x14ac:dyDescent="0.2"/>
    <row r="10798" spans="1:15" ht="12.75" customHeight="1" x14ac:dyDescent="0.2">
      <c r="A10798" s="407" t="s">
        <v>212</v>
      </c>
      <c r="B10798" s="275"/>
      <c r="C10798" s="275"/>
      <c r="D10798" s="275"/>
      <c r="E10798" s="275"/>
      <c r="F10798" s="275"/>
      <c r="G10798" s="275"/>
      <c r="H10798" s="275"/>
      <c r="I10798" s="275"/>
      <c r="J10798" s="275"/>
      <c r="K10798" s="275"/>
      <c r="L10798" s="275"/>
      <c r="M10798" s="275"/>
      <c r="N10798" s="276"/>
      <c r="O10798" s="166"/>
    </row>
    <row r="10799" spans="1:15" ht="12.75" customHeight="1" x14ac:dyDescent="0.2">
      <c r="A10799" s="277"/>
      <c r="B10799" s="278"/>
      <c r="C10799" s="278"/>
      <c r="D10799" s="278"/>
      <c r="E10799" s="278"/>
      <c r="F10799" s="278"/>
      <c r="G10799" s="278"/>
      <c r="H10799" s="278"/>
      <c r="I10799" s="278"/>
      <c r="J10799" s="278"/>
      <c r="K10799" s="278"/>
      <c r="L10799" s="278"/>
      <c r="M10799" s="278"/>
      <c r="N10799" s="279"/>
      <c r="O10799" s="166"/>
    </row>
    <row r="10800" spans="1:15" ht="12.75" customHeight="1" x14ac:dyDescent="0.2">
      <c r="A10800" s="75"/>
      <c r="B10800" s="75"/>
      <c r="C10800" s="75"/>
      <c r="D10800" s="75"/>
      <c r="E10800" s="75"/>
      <c r="F10800" s="75"/>
      <c r="G10800" s="75"/>
      <c r="H10800" s="75"/>
      <c r="I10800" s="75"/>
      <c r="J10800" s="75"/>
      <c r="K10800" s="75"/>
      <c r="L10800" s="75"/>
      <c r="M10800" s="75"/>
      <c r="N10800" s="75"/>
    </row>
    <row r="10801" spans="1:14" ht="12.75" customHeight="1" x14ac:dyDescent="0.3">
      <c r="A10801" s="79" t="s">
        <v>852</v>
      </c>
      <c r="B10801" s="80" t="str">
        <f>A10798</f>
        <v>SUMINISTRO DE BOMBA DE 3 HP - CENTRIFUGA</v>
      </c>
      <c r="C10801" s="81" t="s">
        <v>916</v>
      </c>
      <c r="D10801" s="82" t="s">
        <v>999</v>
      </c>
      <c r="E10801" s="83" t="s">
        <v>445</v>
      </c>
      <c r="F10801" s="234">
        <f>(H10801+J10801+L10801+N10801)*1.3</f>
        <v>3269175</v>
      </c>
      <c r="G10801" s="83" t="s">
        <v>607</v>
      </c>
      <c r="H10801" s="86">
        <f>M10821</f>
        <v>0</v>
      </c>
      <c r="I10801" s="83" t="s">
        <v>918</v>
      </c>
      <c r="J10801" s="86">
        <f>M10812</f>
        <v>2395000</v>
      </c>
      <c r="K10801" s="83" t="s">
        <v>609</v>
      </c>
      <c r="L10801" s="86">
        <f>M10830</f>
        <v>119750</v>
      </c>
      <c r="M10801" s="83" t="s">
        <v>610</v>
      </c>
      <c r="N10801" s="86">
        <f>M10839</f>
        <v>0</v>
      </c>
    </row>
    <row r="10802" spans="1:14" ht="12.75" customHeight="1" x14ac:dyDescent="0.25">
      <c r="A10802" s="87"/>
      <c r="B10802" s="87"/>
      <c r="C10802" s="87"/>
      <c r="D10802" s="87"/>
      <c r="E10802" s="87"/>
      <c r="F10802" s="87"/>
      <c r="G10802" s="87"/>
      <c r="J10802" s="87"/>
      <c r="K10802" s="215" t="s">
        <v>3217</v>
      </c>
      <c r="L10802" s="215">
        <f>+F10801*presup!$O$5</f>
        <v>4249927.5</v>
      </c>
      <c r="M10802" s="87"/>
      <c r="N10802" s="87"/>
    </row>
    <row r="10803" spans="1:14" ht="12.75" customHeight="1" x14ac:dyDescent="0.2">
      <c r="A10803" s="398" t="s">
        <v>919</v>
      </c>
      <c r="B10803" s="271"/>
      <c r="C10803" s="271"/>
      <c r="D10803" s="271"/>
      <c r="E10803" s="271"/>
      <c r="F10803" s="271"/>
      <c r="G10803" s="271"/>
      <c r="H10803" s="271"/>
      <c r="I10803" s="271"/>
      <c r="J10803" s="271"/>
      <c r="K10803" s="271"/>
      <c r="L10803" s="271"/>
      <c r="M10803" s="271"/>
      <c r="N10803" s="273"/>
    </row>
    <row r="10804" spans="1:14" ht="12.75" customHeight="1" x14ac:dyDescent="0.2">
      <c r="A10804" s="396" t="s">
        <v>76</v>
      </c>
      <c r="B10804" s="271"/>
      <c r="C10804" s="271"/>
      <c r="D10804" s="271"/>
      <c r="E10804" s="271"/>
      <c r="F10804" s="271"/>
      <c r="G10804" s="273"/>
      <c r="H10804" s="88" t="s">
        <v>77</v>
      </c>
      <c r="I10804" s="399" t="s">
        <v>920</v>
      </c>
      <c r="J10804" s="273"/>
      <c r="K10804" s="399" t="s">
        <v>453</v>
      </c>
      <c r="L10804" s="273"/>
      <c r="M10804" s="399" t="s">
        <v>921</v>
      </c>
      <c r="N10804" s="273"/>
    </row>
    <row r="10805" spans="1:14" ht="12.75" customHeight="1" x14ac:dyDescent="0.2">
      <c r="A10805" s="403" t="s">
        <v>1522</v>
      </c>
      <c r="B10805" s="271"/>
      <c r="C10805" s="271"/>
      <c r="D10805" s="271"/>
      <c r="E10805" s="271"/>
      <c r="F10805" s="271"/>
      <c r="G10805" s="273"/>
      <c r="H10805" s="29" t="str">
        <f t="shared" ref="H10805:H10811" si="1440">IF(A10805="","",VLOOKUP(A10805,AA_Materiales,7,FALSE))</f>
        <v>Unidad</v>
      </c>
      <c r="I10805" s="394">
        <f t="shared" ref="I10805:I10811" si="1441">IF(A10805="","",VLOOKUP(A10805,AA_Materiales,8,FALSE))</f>
        <v>2395000</v>
      </c>
      <c r="J10805" s="273"/>
      <c r="K10805" s="395">
        <v>1</v>
      </c>
      <c r="L10805" s="273"/>
      <c r="M10805" s="394">
        <f t="shared" ref="M10805:M10811" si="1442">IF(A10805="","",I10805*K10805)</f>
        <v>2395000</v>
      </c>
      <c r="N10805" s="273"/>
    </row>
    <row r="10806" spans="1:14" ht="12.75" customHeight="1" x14ac:dyDescent="0.2">
      <c r="A10806" s="403"/>
      <c r="B10806" s="271"/>
      <c r="C10806" s="271"/>
      <c r="D10806" s="271"/>
      <c r="E10806" s="271"/>
      <c r="F10806" s="271"/>
      <c r="G10806" s="273"/>
      <c r="H10806" s="29" t="str">
        <f t="shared" si="1440"/>
        <v/>
      </c>
      <c r="I10806" s="394" t="str">
        <f t="shared" si="1441"/>
        <v/>
      </c>
      <c r="J10806" s="273"/>
      <c r="K10806" s="395"/>
      <c r="L10806" s="273"/>
      <c r="M10806" s="394" t="str">
        <f t="shared" si="1442"/>
        <v/>
      </c>
      <c r="N10806" s="273"/>
    </row>
    <row r="10807" spans="1:14" ht="12.75" customHeight="1" x14ac:dyDescent="0.2">
      <c r="A10807" s="403"/>
      <c r="B10807" s="271"/>
      <c r="C10807" s="271"/>
      <c r="D10807" s="271"/>
      <c r="E10807" s="271"/>
      <c r="F10807" s="271"/>
      <c r="G10807" s="273"/>
      <c r="H10807" s="29" t="str">
        <f t="shared" si="1440"/>
        <v/>
      </c>
      <c r="I10807" s="394" t="str">
        <f t="shared" si="1441"/>
        <v/>
      </c>
      <c r="J10807" s="273"/>
      <c r="K10807" s="395"/>
      <c r="L10807" s="273"/>
      <c r="M10807" s="394" t="str">
        <f t="shared" si="1442"/>
        <v/>
      </c>
      <c r="N10807" s="273"/>
    </row>
    <row r="10808" spans="1:14" ht="12.75" customHeight="1" x14ac:dyDescent="0.2">
      <c r="A10808" s="403"/>
      <c r="B10808" s="271"/>
      <c r="C10808" s="271"/>
      <c r="D10808" s="271"/>
      <c r="E10808" s="271"/>
      <c r="F10808" s="271"/>
      <c r="G10808" s="273"/>
      <c r="H10808" s="29" t="str">
        <f t="shared" si="1440"/>
        <v/>
      </c>
      <c r="I10808" s="394" t="str">
        <f t="shared" si="1441"/>
        <v/>
      </c>
      <c r="J10808" s="273"/>
      <c r="K10808" s="395"/>
      <c r="L10808" s="273"/>
      <c r="M10808" s="394" t="str">
        <f t="shared" si="1442"/>
        <v/>
      </c>
      <c r="N10808" s="273"/>
    </row>
    <row r="10809" spans="1:14" ht="12.75" customHeight="1" x14ac:dyDescent="0.2">
      <c r="A10809" s="403"/>
      <c r="B10809" s="271"/>
      <c r="C10809" s="271"/>
      <c r="D10809" s="271"/>
      <c r="E10809" s="271"/>
      <c r="F10809" s="271"/>
      <c r="G10809" s="273"/>
      <c r="H10809" s="29" t="str">
        <f t="shared" si="1440"/>
        <v/>
      </c>
      <c r="I10809" s="394" t="str">
        <f t="shared" si="1441"/>
        <v/>
      </c>
      <c r="J10809" s="273"/>
      <c r="K10809" s="395"/>
      <c r="L10809" s="273"/>
      <c r="M10809" s="394" t="str">
        <f t="shared" si="1442"/>
        <v/>
      </c>
      <c r="N10809" s="273"/>
    </row>
    <row r="10810" spans="1:14" ht="12.75" customHeight="1" x14ac:dyDescent="0.2">
      <c r="A10810" s="403"/>
      <c r="B10810" s="271"/>
      <c r="C10810" s="271"/>
      <c r="D10810" s="271"/>
      <c r="E10810" s="271"/>
      <c r="F10810" s="271"/>
      <c r="G10810" s="273"/>
      <c r="H10810" s="29" t="str">
        <f t="shared" si="1440"/>
        <v/>
      </c>
      <c r="I10810" s="394" t="str">
        <f t="shared" si="1441"/>
        <v/>
      </c>
      <c r="J10810" s="273"/>
      <c r="K10810" s="395"/>
      <c r="L10810" s="273"/>
      <c r="M10810" s="394" t="str">
        <f t="shared" si="1442"/>
        <v/>
      </c>
      <c r="N10810" s="273"/>
    </row>
    <row r="10811" spans="1:14" ht="12.75" customHeight="1" x14ac:dyDescent="0.2">
      <c r="A10811" s="403"/>
      <c r="B10811" s="271"/>
      <c r="C10811" s="271"/>
      <c r="D10811" s="271"/>
      <c r="E10811" s="271"/>
      <c r="F10811" s="271"/>
      <c r="G10811" s="273"/>
      <c r="H10811" s="29" t="str">
        <f t="shared" si="1440"/>
        <v/>
      </c>
      <c r="I10811" s="394" t="str">
        <f t="shared" si="1441"/>
        <v/>
      </c>
      <c r="J10811" s="273"/>
      <c r="K10811" s="395"/>
      <c r="L10811" s="273"/>
      <c r="M10811" s="394" t="str">
        <f t="shared" si="1442"/>
        <v/>
      </c>
      <c r="N10811" s="273"/>
    </row>
    <row r="10812" spans="1:14" ht="12.75" customHeight="1" x14ac:dyDescent="0.25">
      <c r="A10812" s="4"/>
      <c r="B10812" s="4"/>
      <c r="C10812" s="4"/>
      <c r="D10812" s="4"/>
      <c r="E10812" s="4"/>
      <c r="F10812" s="4"/>
      <c r="G10812" s="4"/>
      <c r="H10812" s="4"/>
      <c r="I10812" s="4"/>
      <c r="J10812" s="4"/>
      <c r="K10812" s="396" t="s">
        <v>444</v>
      </c>
      <c r="L10812" s="273"/>
      <c r="M10812" s="394">
        <f>SUM(M10805:N10811)</f>
        <v>2395000</v>
      </c>
      <c r="N10812" s="273"/>
    </row>
    <row r="10813" spans="1:14" ht="12.75" customHeight="1" x14ac:dyDescent="0.25">
      <c r="A10813" s="4"/>
      <c r="B10813" s="4"/>
      <c r="C10813" s="4"/>
      <c r="D10813" s="4"/>
      <c r="E10813" s="4"/>
      <c r="F10813" s="4"/>
      <c r="G10813" s="4"/>
      <c r="H10813" s="4"/>
      <c r="I10813" s="4"/>
      <c r="J10813" s="4"/>
      <c r="K10813" s="4"/>
      <c r="L10813" s="4"/>
      <c r="M10813" s="4"/>
      <c r="N10813" s="4"/>
    </row>
    <row r="10814" spans="1:14" ht="12.75" customHeight="1" x14ac:dyDescent="0.2">
      <c r="A10814" s="398" t="s">
        <v>926</v>
      </c>
      <c r="B10814" s="271"/>
      <c r="C10814" s="271"/>
      <c r="D10814" s="271"/>
      <c r="E10814" s="271"/>
      <c r="F10814" s="271"/>
      <c r="G10814" s="271"/>
      <c r="H10814" s="271"/>
      <c r="I10814" s="271"/>
      <c r="J10814" s="271"/>
      <c r="K10814" s="271"/>
      <c r="L10814" s="271"/>
      <c r="M10814" s="271"/>
      <c r="N10814" s="273"/>
    </row>
    <row r="10815" spans="1:14" ht="12.75" customHeight="1" x14ac:dyDescent="0.2">
      <c r="A10815" s="396" t="s">
        <v>76</v>
      </c>
      <c r="B10815" s="271"/>
      <c r="C10815" s="271"/>
      <c r="D10815" s="271"/>
      <c r="E10815" s="271"/>
      <c r="F10815" s="271"/>
      <c r="G10815" s="273"/>
      <c r="H10815" s="88" t="s">
        <v>77</v>
      </c>
      <c r="I10815" s="399" t="s">
        <v>920</v>
      </c>
      <c r="J10815" s="273"/>
      <c r="K10815" s="399" t="s">
        <v>453</v>
      </c>
      <c r="L10815" s="273"/>
      <c r="M10815" s="399" t="s">
        <v>921</v>
      </c>
      <c r="N10815" s="273"/>
    </row>
    <row r="10816" spans="1:14" ht="12.75" customHeight="1" x14ac:dyDescent="0.2">
      <c r="A10816" s="400"/>
      <c r="B10816" s="271"/>
      <c r="C10816" s="271"/>
      <c r="D10816" s="271"/>
      <c r="E10816" s="271"/>
      <c r="F10816" s="271"/>
      <c r="G10816" s="273"/>
      <c r="H10816" s="29" t="str">
        <f>IF(A10816="","",VLOOKUP(A10816,AA_Equipos,7,FALSE))</f>
        <v/>
      </c>
      <c r="I10816" s="394"/>
      <c r="J10816" s="273"/>
      <c r="K10816" s="404"/>
      <c r="L10816" s="273"/>
      <c r="M10816" s="394" t="str">
        <f t="shared" ref="M10816:M10820" si="1443">IF(A10816="","",I10816*K10816)</f>
        <v/>
      </c>
      <c r="N10816" s="273"/>
    </row>
    <row r="10817" spans="1:14" ht="12.75" customHeight="1" x14ac:dyDescent="0.2">
      <c r="A10817" s="403"/>
      <c r="B10817" s="271"/>
      <c r="C10817" s="271"/>
      <c r="D10817" s="271"/>
      <c r="E10817" s="271"/>
      <c r="F10817" s="271"/>
      <c r="G10817" s="273"/>
      <c r="H10817" s="29" t="str">
        <f>IF(A10817="","",VLOOKUP(A10817,AA_Equipos,7,FALSE))</f>
        <v/>
      </c>
      <c r="I10817" s="394" t="str">
        <f>IF(A10817="","",VLOOKUP(A10817,AA_Equipos,8,FALSE))</f>
        <v/>
      </c>
      <c r="J10817" s="273"/>
      <c r="K10817" s="402"/>
      <c r="L10817" s="273"/>
      <c r="M10817" s="394" t="str">
        <f t="shared" si="1443"/>
        <v/>
      </c>
      <c r="N10817" s="273"/>
    </row>
    <row r="10818" spans="1:14" ht="12.75" customHeight="1" x14ac:dyDescent="0.2">
      <c r="A10818" s="400"/>
      <c r="B10818" s="271"/>
      <c r="C10818" s="271"/>
      <c r="D10818" s="271"/>
      <c r="E10818" s="271"/>
      <c r="F10818" s="271"/>
      <c r="G10818" s="273"/>
      <c r="H10818" s="29" t="str">
        <f>IF(A10818="","",VLOOKUP(A10818,AA_Equipos,7,FALSE))</f>
        <v/>
      </c>
      <c r="I10818" s="394" t="str">
        <f>IF(A10818="","",VLOOKUP(A10818,AA_Equipos,8,FALSE))</f>
        <v/>
      </c>
      <c r="J10818" s="273"/>
      <c r="K10818" s="401"/>
      <c r="L10818" s="273"/>
      <c r="M10818" s="394" t="str">
        <f t="shared" si="1443"/>
        <v/>
      </c>
      <c r="N10818" s="273"/>
    </row>
    <row r="10819" spans="1:14" ht="12.75" customHeight="1" x14ac:dyDescent="0.2">
      <c r="A10819" s="400"/>
      <c r="B10819" s="271"/>
      <c r="C10819" s="271"/>
      <c r="D10819" s="271"/>
      <c r="E10819" s="271"/>
      <c r="F10819" s="271"/>
      <c r="G10819" s="273"/>
      <c r="H10819" s="29" t="str">
        <f>IF(A10819="","",VLOOKUP(A10819,AA_Equipos,7,FALSE))</f>
        <v/>
      </c>
      <c r="I10819" s="394" t="str">
        <f>IF(A10819="","",VLOOKUP(A10819,AA_Equipos,8,FALSE))</f>
        <v/>
      </c>
      <c r="J10819" s="273"/>
      <c r="K10819" s="395"/>
      <c r="L10819" s="273"/>
      <c r="M10819" s="394" t="str">
        <f t="shared" si="1443"/>
        <v/>
      </c>
      <c r="N10819" s="273"/>
    </row>
    <row r="10820" spans="1:14" ht="12.75" customHeight="1" x14ac:dyDescent="0.2">
      <c r="A10820" s="400"/>
      <c r="B10820" s="271"/>
      <c r="C10820" s="271"/>
      <c r="D10820" s="271"/>
      <c r="E10820" s="271"/>
      <c r="F10820" s="271"/>
      <c r="G10820" s="273"/>
      <c r="H10820" s="29" t="str">
        <f>IF(A10820="","",VLOOKUP(A10820,AA_Equipos,7,FALSE))</f>
        <v/>
      </c>
      <c r="I10820" s="394" t="str">
        <f>IF(A10820="","",VLOOKUP(A10820,AA_Equipos,8,FALSE))</f>
        <v/>
      </c>
      <c r="J10820" s="273"/>
      <c r="K10820" s="395"/>
      <c r="L10820" s="273"/>
      <c r="M10820" s="394" t="str">
        <f t="shared" si="1443"/>
        <v/>
      </c>
      <c r="N10820" s="273"/>
    </row>
    <row r="10821" spans="1:14" ht="12.75" customHeight="1" x14ac:dyDescent="0.25">
      <c r="A10821" s="4"/>
      <c r="B10821" s="4"/>
      <c r="C10821" s="4"/>
      <c r="D10821" s="4"/>
      <c r="E10821" s="4"/>
      <c r="F10821" s="4"/>
      <c r="G10821" s="4"/>
      <c r="H10821" s="4"/>
      <c r="I10821" s="4"/>
      <c r="J10821" s="4"/>
      <c r="K10821" s="396" t="s">
        <v>444</v>
      </c>
      <c r="L10821" s="273"/>
      <c r="M10821" s="394">
        <f>SUM(M10816:N10820)</f>
        <v>0</v>
      </c>
      <c r="N10821" s="273"/>
    </row>
    <row r="10822" spans="1:14" ht="12.75" customHeight="1" x14ac:dyDescent="0.25">
      <c r="A10822" s="4"/>
      <c r="B10822" s="4"/>
      <c r="C10822" s="4"/>
      <c r="D10822" s="4"/>
      <c r="E10822" s="4"/>
      <c r="F10822" s="4"/>
      <c r="G10822" s="4"/>
      <c r="H10822" s="4"/>
      <c r="I10822" s="4"/>
      <c r="J10822" s="4"/>
      <c r="K10822" s="4"/>
      <c r="L10822" s="4"/>
      <c r="M10822" s="4"/>
      <c r="N10822" s="4"/>
    </row>
    <row r="10823" spans="1:14" ht="12.75" customHeight="1" x14ac:dyDescent="0.2">
      <c r="A10823" s="398" t="s">
        <v>929</v>
      </c>
      <c r="B10823" s="271"/>
      <c r="C10823" s="271"/>
      <c r="D10823" s="271"/>
      <c r="E10823" s="271"/>
      <c r="F10823" s="271"/>
      <c r="G10823" s="271"/>
      <c r="H10823" s="271"/>
      <c r="I10823" s="271"/>
      <c r="J10823" s="271"/>
      <c r="K10823" s="271"/>
      <c r="L10823" s="271"/>
      <c r="M10823" s="271"/>
      <c r="N10823" s="273"/>
    </row>
    <row r="10824" spans="1:14" ht="12.75" customHeight="1" x14ac:dyDescent="0.2">
      <c r="A10824" s="396" t="s">
        <v>76</v>
      </c>
      <c r="B10824" s="271"/>
      <c r="C10824" s="271"/>
      <c r="D10824" s="271"/>
      <c r="E10824" s="271"/>
      <c r="F10824" s="271"/>
      <c r="G10824" s="273"/>
      <c r="H10824" s="88" t="s">
        <v>77</v>
      </c>
      <c r="I10824" s="399" t="s">
        <v>920</v>
      </c>
      <c r="J10824" s="273"/>
      <c r="K10824" s="399" t="s">
        <v>453</v>
      </c>
      <c r="L10824" s="273"/>
      <c r="M10824" s="399" t="s">
        <v>921</v>
      </c>
      <c r="N10824" s="273"/>
    </row>
    <row r="10825" spans="1:14" ht="12.75" customHeight="1" x14ac:dyDescent="0.2">
      <c r="A10825" s="400" t="s">
        <v>930</v>
      </c>
      <c r="B10825" s="271"/>
      <c r="C10825" s="271"/>
      <c r="D10825" s="271"/>
      <c r="E10825" s="271"/>
      <c r="F10825" s="271"/>
      <c r="G10825" s="273"/>
      <c r="H10825" s="29" t="s">
        <v>24</v>
      </c>
      <c r="I10825" s="394">
        <f>+M10812</f>
        <v>2395000</v>
      </c>
      <c r="J10825" s="273"/>
      <c r="K10825" s="404">
        <v>0.05</v>
      </c>
      <c r="L10825" s="273"/>
      <c r="M10825" s="394">
        <f t="shared" ref="M10825:M10829" si="1444">IF(A10825="","",I10825*K10825)</f>
        <v>119750</v>
      </c>
      <c r="N10825" s="273"/>
    </row>
    <row r="10826" spans="1:14" ht="12.75" customHeight="1" x14ac:dyDescent="0.2">
      <c r="A10826" s="403"/>
      <c r="B10826" s="271"/>
      <c r="C10826" s="271"/>
      <c r="D10826" s="271"/>
      <c r="E10826" s="271"/>
      <c r="F10826" s="271"/>
      <c r="G10826" s="273"/>
      <c r="H10826" s="29"/>
      <c r="I10826" s="394"/>
      <c r="J10826" s="273"/>
      <c r="K10826" s="404"/>
      <c r="L10826" s="273"/>
      <c r="M10826" s="394" t="str">
        <f t="shared" si="1444"/>
        <v/>
      </c>
      <c r="N10826" s="273"/>
    </row>
    <row r="10827" spans="1:14" ht="12.75" customHeight="1" x14ac:dyDescent="0.2">
      <c r="A10827" s="400"/>
      <c r="B10827" s="271"/>
      <c r="C10827" s="271"/>
      <c r="D10827" s="271"/>
      <c r="E10827" s="271"/>
      <c r="F10827" s="271"/>
      <c r="G10827" s="273"/>
      <c r="H10827" s="29"/>
      <c r="I10827" s="394"/>
      <c r="J10827" s="273"/>
      <c r="K10827" s="395"/>
      <c r="L10827" s="273"/>
      <c r="M10827" s="394" t="str">
        <f t="shared" si="1444"/>
        <v/>
      </c>
      <c r="N10827" s="273"/>
    </row>
    <row r="10828" spans="1:14" ht="12.75" customHeight="1" x14ac:dyDescent="0.2">
      <c r="A10828" s="400"/>
      <c r="B10828" s="271"/>
      <c r="C10828" s="271"/>
      <c r="D10828" s="271"/>
      <c r="E10828" s="271"/>
      <c r="F10828" s="271"/>
      <c r="G10828" s="273"/>
      <c r="H10828" s="29"/>
      <c r="I10828" s="394"/>
      <c r="J10828" s="273"/>
      <c r="K10828" s="395"/>
      <c r="L10828" s="273"/>
      <c r="M10828" s="394" t="str">
        <f t="shared" si="1444"/>
        <v/>
      </c>
      <c r="N10828" s="273"/>
    </row>
    <row r="10829" spans="1:14" ht="12.75" customHeight="1" x14ac:dyDescent="0.2">
      <c r="A10829" s="400"/>
      <c r="B10829" s="271"/>
      <c r="C10829" s="271"/>
      <c r="D10829" s="271"/>
      <c r="E10829" s="271"/>
      <c r="F10829" s="271"/>
      <c r="G10829" s="273"/>
      <c r="H10829" s="29"/>
      <c r="I10829" s="394"/>
      <c r="J10829" s="273"/>
      <c r="K10829" s="395"/>
      <c r="L10829" s="273"/>
      <c r="M10829" s="394" t="str">
        <f t="shared" si="1444"/>
        <v/>
      </c>
      <c r="N10829" s="273"/>
    </row>
    <row r="10830" spans="1:14" ht="12.75" customHeight="1" x14ac:dyDescent="0.25">
      <c r="A10830" s="4"/>
      <c r="B10830" s="4"/>
      <c r="C10830" s="4"/>
      <c r="D10830" s="4"/>
      <c r="E10830" s="4"/>
      <c r="F10830" s="4"/>
      <c r="G10830" s="4"/>
      <c r="H10830" s="4"/>
      <c r="I10830" s="4"/>
      <c r="J10830" s="4"/>
      <c r="K10830" s="396" t="s">
        <v>444</v>
      </c>
      <c r="L10830" s="273"/>
      <c r="M10830" s="394">
        <f>SUM(M10825:N10829)</f>
        <v>119750</v>
      </c>
      <c r="N10830" s="273"/>
    </row>
    <row r="10831" spans="1:14" ht="12.75" customHeight="1" x14ac:dyDescent="0.25">
      <c r="A10831" s="4"/>
      <c r="B10831" s="4"/>
      <c r="C10831" s="4"/>
      <c r="D10831" s="4"/>
      <c r="E10831" s="4"/>
      <c r="F10831" s="4"/>
      <c r="G10831" s="4"/>
      <c r="H10831" s="4"/>
      <c r="I10831" s="4"/>
      <c r="J10831" s="4"/>
      <c r="K10831" s="4"/>
      <c r="L10831" s="4"/>
      <c r="M10831" s="4"/>
      <c r="N10831" s="4"/>
    </row>
    <row r="10832" spans="1:14" ht="12.75" customHeight="1" x14ac:dyDescent="0.2">
      <c r="A10832" s="398" t="s">
        <v>931</v>
      </c>
      <c r="B10832" s="271"/>
      <c r="C10832" s="271"/>
      <c r="D10832" s="271"/>
      <c r="E10832" s="271"/>
      <c r="F10832" s="271"/>
      <c r="G10832" s="271"/>
      <c r="H10832" s="271"/>
      <c r="I10832" s="271"/>
      <c r="J10832" s="271"/>
      <c r="K10832" s="271"/>
      <c r="L10832" s="271"/>
      <c r="M10832" s="271"/>
      <c r="N10832" s="273"/>
    </row>
    <row r="10833" spans="1:14" ht="12.75" customHeight="1" x14ac:dyDescent="0.2">
      <c r="A10833" s="396" t="s">
        <v>76</v>
      </c>
      <c r="B10833" s="271"/>
      <c r="C10833" s="271"/>
      <c r="D10833" s="271"/>
      <c r="E10833" s="271"/>
      <c r="F10833" s="271"/>
      <c r="G10833" s="273"/>
      <c r="H10833" s="88" t="s">
        <v>77</v>
      </c>
      <c r="I10833" s="399" t="s">
        <v>920</v>
      </c>
      <c r="J10833" s="273"/>
      <c r="K10833" s="90" t="s">
        <v>514</v>
      </c>
      <c r="L10833" s="91" t="s">
        <v>932</v>
      </c>
      <c r="M10833" s="399" t="s">
        <v>921</v>
      </c>
      <c r="N10833" s="273"/>
    </row>
    <row r="10834" spans="1:14" ht="12.75" customHeight="1" x14ac:dyDescent="0.25">
      <c r="A10834" s="393"/>
      <c r="B10834" s="271"/>
      <c r="C10834" s="271"/>
      <c r="D10834" s="271"/>
      <c r="E10834" s="271"/>
      <c r="F10834" s="271"/>
      <c r="G10834" s="273"/>
      <c r="H10834" s="29" t="str">
        <f>IF(A10834="","",VLOOKUP(A10834,AA_Cuadrillas,4,FALSE))</f>
        <v/>
      </c>
      <c r="I10834" s="394" t="str">
        <f>IF(A10834="","",VLOOKUP(A10834,AA_Cuadrillas,5,FALSE))</f>
        <v/>
      </c>
      <c r="J10834" s="273"/>
      <c r="K10834" s="9" t="str">
        <f>IF(A10834="","",F.P!$I$2)</f>
        <v/>
      </c>
      <c r="L10834" s="97"/>
      <c r="M10834" s="394" t="str">
        <f t="shared" ref="M10834:M10838" si="1445">IF(A10834="","",I10834*K10834*L10834)</f>
        <v/>
      </c>
      <c r="N10834" s="273"/>
    </row>
    <row r="10835" spans="1:14" ht="12.75" customHeight="1" x14ac:dyDescent="0.25">
      <c r="A10835" s="393"/>
      <c r="B10835" s="271"/>
      <c r="C10835" s="271"/>
      <c r="D10835" s="271"/>
      <c r="E10835" s="271"/>
      <c r="F10835" s="271"/>
      <c r="G10835" s="273"/>
      <c r="H10835" s="29" t="str">
        <f>IF(A10835="","",VLOOKUP(A10835,AA_Cuadrillas,4,FALSE))</f>
        <v/>
      </c>
      <c r="I10835" s="394" t="str">
        <f>IF(A10835="","",VLOOKUP(A10835,AA_Cuadrillas,5,FALSE))</f>
        <v/>
      </c>
      <c r="J10835" s="273"/>
      <c r="K10835" s="9" t="str">
        <f>IF(A10835="","",F.P!$I$2)</f>
        <v/>
      </c>
      <c r="L10835" s="9"/>
      <c r="M10835" s="394" t="str">
        <f t="shared" si="1445"/>
        <v/>
      </c>
      <c r="N10835" s="273"/>
    </row>
    <row r="10836" spans="1:14" ht="12.75" customHeight="1" x14ac:dyDescent="0.25">
      <c r="A10836" s="393"/>
      <c r="B10836" s="271"/>
      <c r="C10836" s="271"/>
      <c r="D10836" s="271"/>
      <c r="E10836" s="271"/>
      <c r="F10836" s="271"/>
      <c r="G10836" s="273"/>
      <c r="H10836" s="29" t="str">
        <f>IF(A10836="","",VLOOKUP(A10836,AA_Cuadrillas,4,FALSE))</f>
        <v/>
      </c>
      <c r="I10836" s="394" t="str">
        <f>IF(A10836="","",VLOOKUP(A10836,AA_Cuadrillas,5,FALSE))</f>
        <v/>
      </c>
      <c r="J10836" s="273"/>
      <c r="K10836" s="9" t="str">
        <f>IF(A10836="","",F.P!$I$2)</f>
        <v/>
      </c>
      <c r="L10836" s="37"/>
      <c r="M10836" s="394" t="str">
        <f t="shared" si="1445"/>
        <v/>
      </c>
      <c r="N10836" s="273"/>
    </row>
    <row r="10837" spans="1:14" ht="12.75" customHeight="1" x14ac:dyDescent="0.25">
      <c r="A10837" s="393"/>
      <c r="B10837" s="271"/>
      <c r="C10837" s="271"/>
      <c r="D10837" s="271"/>
      <c r="E10837" s="271"/>
      <c r="F10837" s="271"/>
      <c r="G10837" s="273"/>
      <c r="H10837" s="29" t="str">
        <f>IF(A10837="","",VLOOKUP(A10837,AA_Cuadrillas,4,FALSE))</f>
        <v/>
      </c>
      <c r="I10837" s="394" t="str">
        <f>IF(A10837="","",VLOOKUP(A10837,AA_Cuadrillas,5,FALSE))</f>
        <v/>
      </c>
      <c r="J10837" s="273"/>
      <c r="K10837" s="9" t="str">
        <f>IF(A10837="","",F.P!$I$2)</f>
        <v/>
      </c>
      <c r="L10837" s="37"/>
      <c r="M10837" s="394" t="str">
        <f t="shared" si="1445"/>
        <v/>
      </c>
      <c r="N10837" s="273"/>
    </row>
    <row r="10838" spans="1:14" ht="12.75" customHeight="1" x14ac:dyDescent="0.25">
      <c r="A10838" s="393"/>
      <c r="B10838" s="271"/>
      <c r="C10838" s="271"/>
      <c r="D10838" s="271"/>
      <c r="E10838" s="271"/>
      <c r="F10838" s="271"/>
      <c r="G10838" s="273"/>
      <c r="H10838" s="29" t="str">
        <f>IF(A10838="","",VLOOKUP(A10838,AA_Cuadrillas,4,FALSE))</f>
        <v/>
      </c>
      <c r="I10838" s="394" t="str">
        <f>IF(A10838="","",VLOOKUP(A10838,AA_Cuadrillas,5,FALSE))</f>
        <v/>
      </c>
      <c r="J10838" s="273"/>
      <c r="K10838" s="9" t="str">
        <f>IF(A10838="","",F.P!$I$2)</f>
        <v/>
      </c>
      <c r="L10838" s="37"/>
      <c r="M10838" s="394" t="str">
        <f t="shared" si="1445"/>
        <v/>
      </c>
      <c r="N10838" s="273"/>
    </row>
    <row r="10839" spans="1:14" ht="12.75" customHeight="1" x14ac:dyDescent="0.25">
      <c r="A10839" s="4"/>
      <c r="B10839" s="4"/>
      <c r="C10839" s="4"/>
      <c r="D10839" s="4"/>
      <c r="E10839" s="4"/>
      <c r="F10839" s="4"/>
      <c r="G10839" s="4"/>
      <c r="H10839" s="4"/>
      <c r="I10839" s="4"/>
      <c r="J10839" s="4"/>
      <c r="K10839" s="396" t="s">
        <v>444</v>
      </c>
      <c r="L10839" s="273"/>
      <c r="M10839" s="394">
        <f>SUM(M10834:N10838)</f>
        <v>0</v>
      </c>
      <c r="N10839" s="273"/>
    </row>
    <row r="10840" spans="1:14" ht="12.75" customHeight="1" x14ac:dyDescent="0.2"/>
    <row r="10841" spans="1:14" ht="12.75" customHeight="1" x14ac:dyDescent="0.2">
      <c r="A10841" s="397" t="s">
        <v>280</v>
      </c>
      <c r="B10841" s="275"/>
      <c r="C10841" s="275"/>
      <c r="D10841" s="275"/>
      <c r="E10841" s="275"/>
      <c r="F10841" s="275"/>
      <c r="G10841" s="275"/>
      <c r="H10841" s="275"/>
      <c r="I10841" s="275"/>
      <c r="J10841" s="275"/>
      <c r="K10841" s="275"/>
      <c r="L10841" s="275"/>
      <c r="M10841" s="275"/>
      <c r="N10841" s="276"/>
    </row>
    <row r="10842" spans="1:14" ht="12.75" customHeight="1" x14ac:dyDescent="0.2">
      <c r="A10842" s="277"/>
      <c r="B10842" s="278"/>
      <c r="C10842" s="278"/>
      <c r="D10842" s="278"/>
      <c r="E10842" s="278"/>
      <c r="F10842" s="278"/>
      <c r="G10842" s="278"/>
      <c r="H10842" s="278"/>
      <c r="I10842" s="278"/>
      <c r="J10842" s="278"/>
      <c r="K10842" s="278"/>
      <c r="L10842" s="278"/>
      <c r="M10842" s="278"/>
      <c r="N10842" s="279"/>
    </row>
    <row r="10843" spans="1:14" ht="12.75" customHeight="1" x14ac:dyDescent="0.2">
      <c r="A10843" s="75"/>
      <c r="B10843" s="75"/>
      <c r="C10843" s="75"/>
      <c r="D10843" s="75"/>
      <c r="E10843" s="75"/>
      <c r="F10843" s="75"/>
      <c r="G10843" s="75"/>
      <c r="H10843" s="75"/>
      <c r="I10843" s="75"/>
      <c r="J10843" s="75"/>
      <c r="K10843" s="75"/>
      <c r="L10843" s="75"/>
      <c r="M10843" s="75"/>
      <c r="N10843" s="75"/>
    </row>
    <row r="10844" spans="1:14" ht="12.75" customHeight="1" x14ac:dyDescent="0.3">
      <c r="A10844" s="79" t="s">
        <v>853</v>
      </c>
      <c r="B10844" s="80" t="str">
        <f>A10841</f>
        <v xml:space="preserve">KIT DE INTERCONEXIÓN PARA RECOLECCIÓN DE LODOS PRODUCIDOS POR LA PTAP (INCLUYE CODO, TUBERÍA, VÁLVULA, HERRAMIENTA MENOR, Y MANO DE OBRA) </v>
      </c>
      <c r="C10844" s="81" t="s">
        <v>916</v>
      </c>
      <c r="D10844" s="82" t="s">
        <v>999</v>
      </c>
      <c r="E10844" s="83" t="s">
        <v>445</v>
      </c>
      <c r="F10844" s="86">
        <f>H10844+J10844+L10844+N10844</f>
        <v>1235912.1810000001</v>
      </c>
      <c r="G10844" s="83" t="s">
        <v>607</v>
      </c>
      <c r="H10844" s="86">
        <f>M10864</f>
        <v>8777.8610000000008</v>
      </c>
      <c r="I10844" s="83" t="s">
        <v>918</v>
      </c>
      <c r="J10844" s="86">
        <f>M10855</f>
        <v>1001502</v>
      </c>
      <c r="K10844" s="83" t="s">
        <v>609</v>
      </c>
      <c r="L10844" s="86">
        <f>M10873</f>
        <v>50075.100000000006</v>
      </c>
      <c r="M10844" s="83" t="s">
        <v>610</v>
      </c>
      <c r="N10844" s="86">
        <f>M10882</f>
        <v>175557.22</v>
      </c>
    </row>
    <row r="10845" spans="1:14" ht="12.75" customHeight="1" x14ac:dyDescent="0.25">
      <c r="A10845" s="87"/>
      <c r="B10845" s="87"/>
      <c r="C10845" s="87"/>
      <c r="D10845" s="87"/>
      <c r="E10845" s="87"/>
      <c r="F10845" s="87"/>
      <c r="G10845" s="87"/>
      <c r="J10845" s="87"/>
      <c r="K10845" s="215" t="s">
        <v>3217</v>
      </c>
      <c r="L10845" s="215">
        <f>+F10844*presup!$O$5</f>
        <v>1606685.8353000002</v>
      </c>
      <c r="M10845" s="87"/>
      <c r="N10845" s="87"/>
    </row>
    <row r="10846" spans="1:14" ht="12.75" customHeight="1" x14ac:dyDescent="0.2">
      <c r="A10846" s="398" t="s">
        <v>919</v>
      </c>
      <c r="B10846" s="271"/>
      <c r="C10846" s="271"/>
      <c r="D10846" s="271"/>
      <c r="E10846" s="271"/>
      <c r="F10846" s="271"/>
      <c r="G10846" s="271"/>
      <c r="H10846" s="271"/>
      <c r="I10846" s="271"/>
      <c r="J10846" s="271"/>
      <c r="K10846" s="271"/>
      <c r="L10846" s="271"/>
      <c r="M10846" s="271"/>
      <c r="N10846" s="273"/>
    </row>
    <row r="10847" spans="1:14" ht="12.75" customHeight="1" x14ac:dyDescent="0.2">
      <c r="A10847" s="396" t="s">
        <v>76</v>
      </c>
      <c r="B10847" s="271"/>
      <c r="C10847" s="271"/>
      <c r="D10847" s="271"/>
      <c r="E10847" s="271"/>
      <c r="F10847" s="271"/>
      <c r="G10847" s="273"/>
      <c r="H10847" s="88" t="s">
        <v>77</v>
      </c>
      <c r="I10847" s="399" t="s">
        <v>920</v>
      </c>
      <c r="J10847" s="273"/>
      <c r="K10847" s="399" t="s">
        <v>453</v>
      </c>
      <c r="L10847" s="273"/>
      <c r="M10847" s="399" t="s">
        <v>921</v>
      </c>
      <c r="N10847" s="273"/>
    </row>
    <row r="10848" spans="1:14" ht="12.75" customHeight="1" x14ac:dyDescent="0.2">
      <c r="A10848" s="403" t="s">
        <v>1523</v>
      </c>
      <c r="B10848" s="271"/>
      <c r="C10848" s="271"/>
      <c r="D10848" s="271"/>
      <c r="E10848" s="271"/>
      <c r="F10848" s="271"/>
      <c r="G10848" s="273"/>
      <c r="H10848" s="29" t="str">
        <f t="shared" ref="H10848:H10854" si="1446">IF(A10848="","",VLOOKUP(A10848,AA_Materiales,7,FALSE))</f>
        <v>ml</v>
      </c>
      <c r="I10848" s="394">
        <f t="shared" ref="I10848:I10854" si="1447">IF(A10848="","",VLOOKUP(A10848,AA_Materiales,8,FALSE))</f>
        <v>30500</v>
      </c>
      <c r="J10848" s="273"/>
      <c r="K10848" s="395">
        <v>20</v>
      </c>
      <c r="L10848" s="273"/>
      <c r="M10848" s="394">
        <f t="shared" ref="M10848:M10854" si="1448">IF(A10848="","",I10848*K10848)</f>
        <v>610000</v>
      </c>
      <c r="N10848" s="273"/>
    </row>
    <row r="10849" spans="1:14" ht="12.75" customHeight="1" x14ac:dyDescent="0.2">
      <c r="A10849" s="403" t="s">
        <v>1524</v>
      </c>
      <c r="B10849" s="271"/>
      <c r="C10849" s="271"/>
      <c r="D10849" s="271"/>
      <c r="E10849" s="271"/>
      <c r="F10849" s="271"/>
      <c r="G10849" s="273"/>
      <c r="H10849" s="29" t="str">
        <f t="shared" si="1446"/>
        <v>Unidad</v>
      </c>
      <c r="I10849" s="394">
        <f t="shared" si="1447"/>
        <v>6200</v>
      </c>
      <c r="J10849" s="273"/>
      <c r="K10849" s="395">
        <v>7</v>
      </c>
      <c r="L10849" s="273"/>
      <c r="M10849" s="394">
        <f t="shared" si="1448"/>
        <v>43400</v>
      </c>
      <c r="N10849" s="273"/>
    </row>
    <row r="10850" spans="1:14" ht="12.75" customHeight="1" x14ac:dyDescent="0.2">
      <c r="A10850" s="403" t="s">
        <v>1525</v>
      </c>
      <c r="B10850" s="271"/>
      <c r="C10850" s="271"/>
      <c r="D10850" s="271"/>
      <c r="E10850" s="271"/>
      <c r="F10850" s="271"/>
      <c r="G10850" s="273"/>
      <c r="H10850" s="29" t="str">
        <f t="shared" si="1446"/>
        <v>Unidad</v>
      </c>
      <c r="I10850" s="394">
        <f t="shared" si="1447"/>
        <v>191352</v>
      </c>
      <c r="J10850" s="273"/>
      <c r="K10850" s="395">
        <v>1</v>
      </c>
      <c r="L10850" s="273"/>
      <c r="M10850" s="394">
        <f t="shared" si="1448"/>
        <v>191352</v>
      </c>
      <c r="N10850" s="273"/>
    </row>
    <row r="10851" spans="1:14" ht="12.75" customHeight="1" x14ac:dyDescent="0.2">
      <c r="A10851" s="403" t="s">
        <v>984</v>
      </c>
      <c r="B10851" s="271"/>
      <c r="C10851" s="271"/>
      <c r="D10851" s="271"/>
      <c r="E10851" s="271"/>
      <c r="F10851" s="271"/>
      <c r="G10851" s="273"/>
      <c r="H10851" s="29" t="str">
        <f t="shared" si="1446"/>
        <v>Galón</v>
      </c>
      <c r="I10851" s="394">
        <f t="shared" si="1447"/>
        <v>80900</v>
      </c>
      <c r="J10851" s="273"/>
      <c r="K10851" s="395">
        <v>1.5</v>
      </c>
      <c r="L10851" s="273"/>
      <c r="M10851" s="394">
        <f t="shared" si="1448"/>
        <v>121350</v>
      </c>
      <c r="N10851" s="273"/>
    </row>
    <row r="10852" spans="1:14" ht="12.75" customHeight="1" x14ac:dyDescent="0.2">
      <c r="A10852" s="403" t="s">
        <v>985</v>
      </c>
      <c r="B10852" s="271"/>
      <c r="C10852" s="271"/>
      <c r="D10852" s="271"/>
      <c r="E10852" s="271"/>
      <c r="F10852" s="271"/>
      <c r="G10852" s="273"/>
      <c r="H10852" s="29" t="str">
        <f t="shared" si="1446"/>
        <v>Galón</v>
      </c>
      <c r="I10852" s="394">
        <f t="shared" si="1447"/>
        <v>47200</v>
      </c>
      <c r="J10852" s="273"/>
      <c r="K10852" s="395">
        <v>0.75</v>
      </c>
      <c r="L10852" s="273"/>
      <c r="M10852" s="394">
        <f t="shared" si="1448"/>
        <v>35400</v>
      </c>
      <c r="N10852" s="273"/>
    </row>
    <row r="10853" spans="1:14" ht="12.75" customHeight="1" x14ac:dyDescent="0.2">
      <c r="A10853" s="403"/>
      <c r="B10853" s="271"/>
      <c r="C10853" s="271"/>
      <c r="D10853" s="271"/>
      <c r="E10853" s="271"/>
      <c r="F10853" s="271"/>
      <c r="G10853" s="273"/>
      <c r="H10853" s="29" t="str">
        <f t="shared" si="1446"/>
        <v/>
      </c>
      <c r="I10853" s="394" t="str">
        <f t="shared" si="1447"/>
        <v/>
      </c>
      <c r="J10853" s="273"/>
      <c r="K10853" s="395"/>
      <c r="L10853" s="273"/>
      <c r="M10853" s="394" t="str">
        <f t="shared" si="1448"/>
        <v/>
      </c>
      <c r="N10853" s="273"/>
    </row>
    <row r="10854" spans="1:14" ht="12.75" customHeight="1" x14ac:dyDescent="0.2">
      <c r="A10854" s="403"/>
      <c r="B10854" s="271"/>
      <c r="C10854" s="271"/>
      <c r="D10854" s="271"/>
      <c r="E10854" s="271"/>
      <c r="F10854" s="271"/>
      <c r="G10854" s="273"/>
      <c r="H10854" s="29" t="str">
        <f t="shared" si="1446"/>
        <v/>
      </c>
      <c r="I10854" s="394" t="str">
        <f t="shared" si="1447"/>
        <v/>
      </c>
      <c r="J10854" s="273"/>
      <c r="K10854" s="395"/>
      <c r="L10854" s="273"/>
      <c r="M10854" s="394" t="str">
        <f t="shared" si="1448"/>
        <v/>
      </c>
      <c r="N10854" s="273"/>
    </row>
    <row r="10855" spans="1:14" ht="12.75" customHeight="1" x14ac:dyDescent="0.25">
      <c r="A10855" s="4"/>
      <c r="B10855" s="4"/>
      <c r="C10855" s="4"/>
      <c r="D10855" s="4"/>
      <c r="E10855" s="4"/>
      <c r="F10855" s="4"/>
      <c r="G10855" s="4"/>
      <c r="H10855" s="4"/>
      <c r="I10855" s="4"/>
      <c r="J10855" s="4"/>
      <c r="K10855" s="396" t="s">
        <v>444</v>
      </c>
      <c r="L10855" s="273"/>
      <c r="M10855" s="394">
        <f>SUM(M10848:N10854)</f>
        <v>1001502</v>
      </c>
      <c r="N10855" s="273"/>
    </row>
    <row r="10856" spans="1:14" ht="12.75" customHeight="1" x14ac:dyDescent="0.25">
      <c r="A10856" s="4"/>
      <c r="B10856" s="4"/>
      <c r="C10856" s="4"/>
      <c r="D10856" s="4"/>
      <c r="E10856" s="4"/>
      <c r="F10856" s="4"/>
      <c r="G10856" s="4"/>
      <c r="H10856" s="4"/>
      <c r="I10856" s="4"/>
      <c r="J10856" s="4"/>
      <c r="K10856" s="4"/>
      <c r="L10856" s="4"/>
      <c r="M10856" s="4"/>
      <c r="N10856" s="4"/>
    </row>
    <row r="10857" spans="1:14" ht="12.75" customHeight="1" x14ac:dyDescent="0.2">
      <c r="A10857" s="398" t="s">
        <v>926</v>
      </c>
      <c r="B10857" s="271"/>
      <c r="C10857" s="271"/>
      <c r="D10857" s="271"/>
      <c r="E10857" s="271"/>
      <c r="F10857" s="271"/>
      <c r="G10857" s="271"/>
      <c r="H10857" s="271"/>
      <c r="I10857" s="271"/>
      <c r="J10857" s="271"/>
      <c r="K10857" s="271"/>
      <c r="L10857" s="271"/>
      <c r="M10857" s="271"/>
      <c r="N10857" s="273"/>
    </row>
    <row r="10858" spans="1:14" ht="12.75" customHeight="1" x14ac:dyDescent="0.2">
      <c r="A10858" s="396" t="s">
        <v>76</v>
      </c>
      <c r="B10858" s="271"/>
      <c r="C10858" s="271"/>
      <c r="D10858" s="271"/>
      <c r="E10858" s="271"/>
      <c r="F10858" s="271"/>
      <c r="G10858" s="273"/>
      <c r="H10858" s="88" t="s">
        <v>77</v>
      </c>
      <c r="I10858" s="399" t="s">
        <v>920</v>
      </c>
      <c r="J10858" s="273"/>
      <c r="K10858" s="399" t="s">
        <v>453</v>
      </c>
      <c r="L10858" s="273"/>
      <c r="M10858" s="399" t="s">
        <v>921</v>
      </c>
      <c r="N10858" s="273"/>
    </row>
    <row r="10859" spans="1:14" ht="12.75" customHeight="1" x14ac:dyDescent="0.2">
      <c r="A10859" s="400" t="s">
        <v>927</v>
      </c>
      <c r="B10859" s="271"/>
      <c r="C10859" s="271"/>
      <c r="D10859" s="271"/>
      <c r="E10859" s="271"/>
      <c r="F10859" s="271"/>
      <c r="G10859" s="273"/>
      <c r="H10859" s="29" t="str">
        <f>IF(A10859="","",VLOOKUP(A10859,AA_Equipos,7,FALSE))</f>
        <v>% M.O.</v>
      </c>
      <c r="I10859" s="394">
        <f>+M10882</f>
        <v>175557.22</v>
      </c>
      <c r="J10859" s="273"/>
      <c r="K10859" s="404">
        <v>0.05</v>
      </c>
      <c r="L10859" s="273"/>
      <c r="M10859" s="394">
        <f t="shared" ref="M10859:M10863" si="1449">IF(A10859="","",I10859*K10859)</f>
        <v>8777.8610000000008</v>
      </c>
      <c r="N10859" s="273"/>
    </row>
    <row r="10860" spans="1:14" ht="12.75" customHeight="1" x14ac:dyDescent="0.2">
      <c r="A10860" s="403"/>
      <c r="B10860" s="271"/>
      <c r="C10860" s="271"/>
      <c r="D10860" s="271"/>
      <c r="E10860" s="271"/>
      <c r="F10860" s="271"/>
      <c r="G10860" s="273"/>
      <c r="H10860" s="29" t="str">
        <f>IF(A10860="","",VLOOKUP(A10860,AA_Equipos,7,FALSE))</f>
        <v/>
      </c>
      <c r="I10860" s="394" t="str">
        <f>IF(A10860="","",VLOOKUP(A10860,AA_Equipos,8,FALSE))</f>
        <v/>
      </c>
      <c r="J10860" s="273"/>
      <c r="K10860" s="402"/>
      <c r="L10860" s="273"/>
      <c r="M10860" s="394" t="str">
        <f t="shared" si="1449"/>
        <v/>
      </c>
      <c r="N10860" s="273"/>
    </row>
    <row r="10861" spans="1:14" ht="12.75" customHeight="1" x14ac:dyDescent="0.2">
      <c r="A10861" s="400"/>
      <c r="B10861" s="271"/>
      <c r="C10861" s="271"/>
      <c r="D10861" s="271"/>
      <c r="E10861" s="271"/>
      <c r="F10861" s="271"/>
      <c r="G10861" s="273"/>
      <c r="H10861" s="29" t="str">
        <f>IF(A10861="","",VLOOKUP(A10861,AA_Equipos,7,FALSE))</f>
        <v/>
      </c>
      <c r="I10861" s="394" t="str">
        <f>IF(A10861="","",VLOOKUP(A10861,AA_Equipos,8,FALSE))</f>
        <v/>
      </c>
      <c r="J10861" s="273"/>
      <c r="K10861" s="401"/>
      <c r="L10861" s="273"/>
      <c r="M10861" s="394" t="str">
        <f t="shared" si="1449"/>
        <v/>
      </c>
      <c r="N10861" s="273"/>
    </row>
    <row r="10862" spans="1:14" ht="12.75" customHeight="1" x14ac:dyDescent="0.2">
      <c r="A10862" s="400"/>
      <c r="B10862" s="271"/>
      <c r="C10862" s="271"/>
      <c r="D10862" s="271"/>
      <c r="E10862" s="271"/>
      <c r="F10862" s="271"/>
      <c r="G10862" s="273"/>
      <c r="H10862" s="29" t="str">
        <f>IF(A10862="","",VLOOKUP(A10862,AA_Equipos,7,FALSE))</f>
        <v/>
      </c>
      <c r="I10862" s="394" t="str">
        <f>IF(A10862="","",VLOOKUP(A10862,AA_Equipos,8,FALSE))</f>
        <v/>
      </c>
      <c r="J10862" s="273"/>
      <c r="K10862" s="395"/>
      <c r="L10862" s="273"/>
      <c r="M10862" s="394" t="str">
        <f t="shared" si="1449"/>
        <v/>
      </c>
      <c r="N10862" s="273"/>
    </row>
    <row r="10863" spans="1:14" ht="12.75" customHeight="1" x14ac:dyDescent="0.2">
      <c r="A10863" s="400"/>
      <c r="B10863" s="271"/>
      <c r="C10863" s="271"/>
      <c r="D10863" s="271"/>
      <c r="E10863" s="271"/>
      <c r="F10863" s="271"/>
      <c r="G10863" s="273"/>
      <c r="H10863" s="29" t="str">
        <f>IF(A10863="","",VLOOKUP(A10863,AA_Equipos,7,FALSE))</f>
        <v/>
      </c>
      <c r="I10863" s="394" t="str">
        <f>IF(A10863="","",VLOOKUP(A10863,AA_Equipos,8,FALSE))</f>
        <v/>
      </c>
      <c r="J10863" s="273"/>
      <c r="K10863" s="395"/>
      <c r="L10863" s="273"/>
      <c r="M10863" s="394" t="str">
        <f t="shared" si="1449"/>
        <v/>
      </c>
      <c r="N10863" s="273"/>
    </row>
    <row r="10864" spans="1:14" ht="12.75" customHeight="1" x14ac:dyDescent="0.25">
      <c r="A10864" s="4"/>
      <c r="B10864" s="4"/>
      <c r="C10864" s="4"/>
      <c r="D10864" s="4"/>
      <c r="E10864" s="4"/>
      <c r="F10864" s="4"/>
      <c r="G10864" s="4"/>
      <c r="H10864" s="4"/>
      <c r="I10864" s="4"/>
      <c r="J10864" s="4"/>
      <c r="K10864" s="396" t="s">
        <v>444</v>
      </c>
      <c r="L10864" s="273"/>
      <c r="M10864" s="394">
        <f>SUM(M10859:N10863)</f>
        <v>8777.8610000000008</v>
      </c>
      <c r="N10864" s="273"/>
    </row>
    <row r="10865" spans="1:14" ht="12.75" customHeight="1" x14ac:dyDescent="0.25">
      <c r="A10865" s="4"/>
      <c r="B10865" s="4"/>
      <c r="C10865" s="4"/>
      <c r="D10865" s="4"/>
      <c r="E10865" s="4"/>
      <c r="F10865" s="4"/>
      <c r="G10865" s="4"/>
      <c r="H10865" s="4"/>
      <c r="I10865" s="4"/>
      <c r="J10865" s="4"/>
      <c r="K10865" s="4"/>
      <c r="L10865" s="4"/>
      <c r="M10865" s="4"/>
      <c r="N10865" s="4"/>
    </row>
    <row r="10866" spans="1:14" ht="12.75" customHeight="1" x14ac:dyDescent="0.2">
      <c r="A10866" s="398" t="s">
        <v>929</v>
      </c>
      <c r="B10866" s="271"/>
      <c r="C10866" s="271"/>
      <c r="D10866" s="271"/>
      <c r="E10866" s="271"/>
      <c r="F10866" s="271"/>
      <c r="G10866" s="271"/>
      <c r="H10866" s="271"/>
      <c r="I10866" s="271"/>
      <c r="J10866" s="271"/>
      <c r="K10866" s="271"/>
      <c r="L10866" s="271"/>
      <c r="M10866" s="271"/>
      <c r="N10866" s="273"/>
    </row>
    <row r="10867" spans="1:14" ht="12.75" customHeight="1" x14ac:dyDescent="0.2">
      <c r="A10867" s="396" t="s">
        <v>76</v>
      </c>
      <c r="B10867" s="271"/>
      <c r="C10867" s="271"/>
      <c r="D10867" s="271"/>
      <c r="E10867" s="271"/>
      <c r="F10867" s="271"/>
      <c r="G10867" s="273"/>
      <c r="H10867" s="88" t="s">
        <v>77</v>
      </c>
      <c r="I10867" s="399" t="s">
        <v>920</v>
      </c>
      <c r="J10867" s="273"/>
      <c r="K10867" s="399" t="s">
        <v>453</v>
      </c>
      <c r="L10867" s="273"/>
      <c r="M10867" s="399" t="s">
        <v>921</v>
      </c>
      <c r="N10867" s="273"/>
    </row>
    <row r="10868" spans="1:14" ht="12.75" customHeight="1" x14ac:dyDescent="0.2">
      <c r="A10868" s="400" t="s">
        <v>960</v>
      </c>
      <c r="B10868" s="271"/>
      <c r="C10868" s="271"/>
      <c r="D10868" s="271"/>
      <c r="E10868" s="271"/>
      <c r="F10868" s="271"/>
      <c r="G10868" s="273"/>
      <c r="H10868" s="29" t="s">
        <v>950</v>
      </c>
      <c r="I10868" s="394">
        <f>+M10855</f>
        <v>1001502</v>
      </c>
      <c r="J10868" s="273"/>
      <c r="K10868" s="404">
        <v>0.05</v>
      </c>
      <c r="L10868" s="273"/>
      <c r="M10868" s="394">
        <f t="shared" ref="M10868:M10872" si="1450">IF(A10868="","",I10868*K10868)</f>
        <v>50075.100000000006</v>
      </c>
      <c r="N10868" s="273"/>
    </row>
    <row r="10869" spans="1:14" ht="12.75" customHeight="1" x14ac:dyDescent="0.2">
      <c r="A10869" s="403"/>
      <c r="B10869" s="271"/>
      <c r="C10869" s="271"/>
      <c r="D10869" s="271"/>
      <c r="E10869" s="271"/>
      <c r="F10869" s="271"/>
      <c r="G10869" s="273"/>
      <c r="H10869" s="29"/>
      <c r="I10869" s="394"/>
      <c r="J10869" s="273"/>
      <c r="K10869" s="404"/>
      <c r="L10869" s="273"/>
      <c r="M10869" s="394" t="str">
        <f t="shared" si="1450"/>
        <v/>
      </c>
      <c r="N10869" s="273"/>
    </row>
    <row r="10870" spans="1:14" ht="12.75" customHeight="1" x14ac:dyDescent="0.2">
      <c r="A10870" s="400"/>
      <c r="B10870" s="271"/>
      <c r="C10870" s="271"/>
      <c r="D10870" s="271"/>
      <c r="E10870" s="271"/>
      <c r="F10870" s="271"/>
      <c r="G10870" s="273"/>
      <c r="H10870" s="29"/>
      <c r="I10870" s="394"/>
      <c r="J10870" s="273"/>
      <c r="K10870" s="395"/>
      <c r="L10870" s="273"/>
      <c r="M10870" s="394" t="str">
        <f t="shared" si="1450"/>
        <v/>
      </c>
      <c r="N10870" s="273"/>
    </row>
    <row r="10871" spans="1:14" ht="12.75" customHeight="1" x14ac:dyDescent="0.2">
      <c r="A10871" s="400"/>
      <c r="B10871" s="271"/>
      <c r="C10871" s="271"/>
      <c r="D10871" s="271"/>
      <c r="E10871" s="271"/>
      <c r="F10871" s="271"/>
      <c r="G10871" s="273"/>
      <c r="H10871" s="29"/>
      <c r="I10871" s="394"/>
      <c r="J10871" s="273"/>
      <c r="K10871" s="395"/>
      <c r="L10871" s="273"/>
      <c r="M10871" s="394" t="str">
        <f t="shared" si="1450"/>
        <v/>
      </c>
      <c r="N10871" s="273"/>
    </row>
    <row r="10872" spans="1:14" ht="12.75" customHeight="1" x14ac:dyDescent="0.2">
      <c r="A10872" s="400"/>
      <c r="B10872" s="271"/>
      <c r="C10872" s="271"/>
      <c r="D10872" s="271"/>
      <c r="E10872" s="271"/>
      <c r="F10872" s="271"/>
      <c r="G10872" s="273"/>
      <c r="H10872" s="29"/>
      <c r="I10872" s="394"/>
      <c r="J10872" s="273"/>
      <c r="K10872" s="395"/>
      <c r="L10872" s="273"/>
      <c r="M10872" s="394" t="str">
        <f t="shared" si="1450"/>
        <v/>
      </c>
      <c r="N10872" s="273"/>
    </row>
    <row r="10873" spans="1:14" ht="12.75" customHeight="1" x14ac:dyDescent="0.25">
      <c r="A10873" s="4"/>
      <c r="B10873" s="4"/>
      <c r="C10873" s="4"/>
      <c r="D10873" s="4"/>
      <c r="E10873" s="4"/>
      <c r="F10873" s="4"/>
      <c r="G10873" s="4"/>
      <c r="H10873" s="4"/>
      <c r="I10873" s="4"/>
      <c r="J10873" s="4"/>
      <c r="K10873" s="396" t="s">
        <v>444</v>
      </c>
      <c r="L10873" s="273"/>
      <c r="M10873" s="394">
        <f>SUM(M10868:N10872)</f>
        <v>50075.100000000006</v>
      </c>
      <c r="N10873" s="273"/>
    </row>
    <row r="10874" spans="1:14" ht="12.75" customHeight="1" x14ac:dyDescent="0.25">
      <c r="A10874" s="4"/>
      <c r="B10874" s="4"/>
      <c r="C10874" s="4"/>
      <c r="D10874" s="4"/>
      <c r="E10874" s="4"/>
      <c r="F10874" s="4"/>
      <c r="G10874" s="4"/>
      <c r="H10874" s="4"/>
      <c r="I10874" s="4"/>
      <c r="J10874" s="4"/>
      <c r="K10874" s="4"/>
      <c r="L10874" s="4"/>
      <c r="M10874" s="4"/>
      <c r="N10874" s="4"/>
    </row>
    <row r="10875" spans="1:14" ht="12.75" customHeight="1" x14ac:dyDescent="0.2">
      <c r="A10875" s="398" t="s">
        <v>931</v>
      </c>
      <c r="B10875" s="271"/>
      <c r="C10875" s="271"/>
      <c r="D10875" s="271"/>
      <c r="E10875" s="271"/>
      <c r="F10875" s="271"/>
      <c r="G10875" s="271"/>
      <c r="H10875" s="271"/>
      <c r="I10875" s="271"/>
      <c r="J10875" s="271"/>
      <c r="K10875" s="271"/>
      <c r="L10875" s="271"/>
      <c r="M10875" s="271"/>
      <c r="N10875" s="273"/>
    </row>
    <row r="10876" spans="1:14" ht="12.75" customHeight="1" x14ac:dyDescent="0.2">
      <c r="A10876" s="396" t="s">
        <v>76</v>
      </c>
      <c r="B10876" s="271"/>
      <c r="C10876" s="271"/>
      <c r="D10876" s="271"/>
      <c r="E10876" s="271"/>
      <c r="F10876" s="271"/>
      <c r="G10876" s="273"/>
      <c r="H10876" s="88" t="s">
        <v>77</v>
      </c>
      <c r="I10876" s="399" t="s">
        <v>920</v>
      </c>
      <c r="J10876" s="273"/>
      <c r="K10876" s="90" t="s">
        <v>514</v>
      </c>
      <c r="L10876" s="91" t="s">
        <v>932</v>
      </c>
      <c r="M10876" s="399" t="s">
        <v>921</v>
      </c>
      <c r="N10876" s="273"/>
    </row>
    <row r="10877" spans="1:14" ht="12.75" customHeight="1" x14ac:dyDescent="0.25">
      <c r="A10877" s="393" t="s">
        <v>986</v>
      </c>
      <c r="B10877" s="271"/>
      <c r="C10877" s="271"/>
      <c r="D10877" s="271"/>
      <c r="E10877" s="271"/>
      <c r="F10877" s="271"/>
      <c r="G10877" s="273"/>
      <c r="H10877" s="29" t="str">
        <f>IF(A10877="","",VLOOKUP(A10877,AA_Cuadrillas,4,FALSE))</f>
        <v>Cuadrilla</v>
      </c>
      <c r="I10877" s="394">
        <f>IF(A10877="","",VLOOKUP(A10877,AA_Cuadrillas,5,FALSE))</f>
        <v>186763</v>
      </c>
      <c r="J10877" s="273"/>
      <c r="K10877" s="9">
        <f>IF(A10877="","",F.P!$I$2)</f>
        <v>1.88</v>
      </c>
      <c r="L10877" s="97">
        <v>0.5</v>
      </c>
      <c r="M10877" s="394">
        <f t="shared" ref="M10877:M10881" si="1451">IF(A10877="","",I10877*K10877*L10877)</f>
        <v>175557.22</v>
      </c>
      <c r="N10877" s="273"/>
    </row>
    <row r="10878" spans="1:14" ht="12.75" customHeight="1" x14ac:dyDescent="0.25">
      <c r="A10878" s="393"/>
      <c r="B10878" s="271"/>
      <c r="C10878" s="271"/>
      <c r="D10878" s="271"/>
      <c r="E10878" s="271"/>
      <c r="F10878" s="271"/>
      <c r="G10878" s="273"/>
      <c r="H10878" s="29" t="str">
        <f>IF(A10878="","",VLOOKUP(A10878,AA_Cuadrillas,4,FALSE))</f>
        <v/>
      </c>
      <c r="I10878" s="394" t="str">
        <f>IF(A10878="","",VLOOKUP(A10878,AA_Cuadrillas,5,FALSE))</f>
        <v/>
      </c>
      <c r="J10878" s="273"/>
      <c r="K10878" s="9" t="str">
        <f>IF(A10878="","",F.P!$I$2)</f>
        <v/>
      </c>
      <c r="L10878" s="9"/>
      <c r="M10878" s="394" t="str">
        <f t="shared" si="1451"/>
        <v/>
      </c>
      <c r="N10878" s="273"/>
    </row>
    <row r="10879" spans="1:14" ht="12.75" customHeight="1" x14ac:dyDescent="0.25">
      <c r="A10879" s="393"/>
      <c r="B10879" s="271"/>
      <c r="C10879" s="271"/>
      <c r="D10879" s="271"/>
      <c r="E10879" s="271"/>
      <c r="F10879" s="271"/>
      <c r="G10879" s="273"/>
      <c r="H10879" s="29" t="str">
        <f>IF(A10879="","",VLOOKUP(A10879,AA_Cuadrillas,4,FALSE))</f>
        <v/>
      </c>
      <c r="I10879" s="394" t="str">
        <f>IF(A10879="","",VLOOKUP(A10879,AA_Cuadrillas,5,FALSE))</f>
        <v/>
      </c>
      <c r="J10879" s="273"/>
      <c r="K10879" s="9" t="str">
        <f>IF(A10879="","",F.P!$I$2)</f>
        <v/>
      </c>
      <c r="L10879" s="37"/>
      <c r="M10879" s="394" t="str">
        <f t="shared" si="1451"/>
        <v/>
      </c>
      <c r="N10879" s="273"/>
    </row>
    <row r="10880" spans="1:14" ht="12.75" customHeight="1" x14ac:dyDescent="0.25">
      <c r="A10880" s="393"/>
      <c r="B10880" s="271"/>
      <c r="C10880" s="271"/>
      <c r="D10880" s="271"/>
      <c r="E10880" s="271"/>
      <c r="F10880" s="271"/>
      <c r="G10880" s="273"/>
      <c r="H10880" s="29" t="str">
        <f>IF(A10880="","",VLOOKUP(A10880,AA_Cuadrillas,4,FALSE))</f>
        <v/>
      </c>
      <c r="I10880" s="394" t="str">
        <f>IF(A10880="","",VLOOKUP(A10880,AA_Cuadrillas,5,FALSE))</f>
        <v/>
      </c>
      <c r="J10880" s="273"/>
      <c r="K10880" s="9" t="str">
        <f>IF(A10880="","",F.P!$I$2)</f>
        <v/>
      </c>
      <c r="L10880" s="37"/>
      <c r="M10880" s="394" t="str">
        <f t="shared" si="1451"/>
        <v/>
      </c>
      <c r="N10880" s="273"/>
    </row>
    <row r="10881" spans="1:14" ht="12.75" customHeight="1" x14ac:dyDescent="0.25">
      <c r="A10881" s="393"/>
      <c r="B10881" s="271"/>
      <c r="C10881" s="271"/>
      <c r="D10881" s="271"/>
      <c r="E10881" s="271"/>
      <c r="F10881" s="271"/>
      <c r="G10881" s="273"/>
      <c r="H10881" s="29" t="str">
        <f>IF(A10881="","",VLOOKUP(A10881,AA_Cuadrillas,4,FALSE))</f>
        <v/>
      </c>
      <c r="I10881" s="394" t="str">
        <f>IF(A10881="","",VLOOKUP(A10881,AA_Cuadrillas,5,FALSE))</f>
        <v/>
      </c>
      <c r="J10881" s="273"/>
      <c r="K10881" s="9" t="str">
        <f>IF(A10881="","",F.P!$I$2)</f>
        <v/>
      </c>
      <c r="L10881" s="37"/>
      <c r="M10881" s="394" t="str">
        <f t="shared" si="1451"/>
        <v/>
      </c>
      <c r="N10881" s="273"/>
    </row>
    <row r="10882" spans="1:14" ht="12.75" customHeight="1" x14ac:dyDescent="0.25">
      <c r="A10882" s="4"/>
      <c r="B10882" s="4"/>
      <c r="C10882" s="4"/>
      <c r="D10882" s="4"/>
      <c r="E10882" s="4"/>
      <c r="F10882" s="4"/>
      <c r="G10882" s="4"/>
      <c r="H10882" s="4"/>
      <c r="I10882" s="4"/>
      <c r="J10882" s="4"/>
      <c r="K10882" s="396" t="s">
        <v>444</v>
      </c>
      <c r="L10882" s="273"/>
      <c r="M10882" s="394">
        <f>SUM(M10877:N10881)</f>
        <v>175557.22</v>
      </c>
      <c r="N10882" s="273"/>
    </row>
    <row r="10883" spans="1:14" ht="12.75" customHeight="1" x14ac:dyDescent="0.2"/>
    <row r="10884" spans="1:14" ht="12.75" customHeight="1" x14ac:dyDescent="0.2">
      <c r="A10884" s="407" t="s">
        <v>1526</v>
      </c>
      <c r="B10884" s="275"/>
      <c r="C10884" s="275"/>
      <c r="D10884" s="275"/>
      <c r="E10884" s="275"/>
      <c r="F10884" s="275"/>
      <c r="G10884" s="275"/>
      <c r="H10884" s="275"/>
      <c r="I10884" s="275"/>
      <c r="J10884" s="275"/>
      <c r="K10884" s="275"/>
      <c r="L10884" s="275"/>
      <c r="M10884" s="275"/>
      <c r="N10884" s="276"/>
    </row>
    <row r="10885" spans="1:14" ht="12.75" customHeight="1" x14ac:dyDescent="0.2">
      <c r="A10885" s="277"/>
      <c r="B10885" s="278"/>
      <c r="C10885" s="278"/>
      <c r="D10885" s="278"/>
      <c r="E10885" s="278"/>
      <c r="F10885" s="278"/>
      <c r="G10885" s="278"/>
      <c r="H10885" s="278"/>
      <c r="I10885" s="278"/>
      <c r="J10885" s="278"/>
      <c r="K10885" s="278"/>
      <c r="L10885" s="278"/>
      <c r="M10885" s="278"/>
      <c r="N10885" s="279"/>
    </row>
    <row r="10886" spans="1:14" ht="12.75" customHeight="1" x14ac:dyDescent="0.2">
      <c r="A10886" s="75"/>
      <c r="B10886" s="75"/>
      <c r="C10886" s="75"/>
      <c r="D10886" s="75"/>
      <c r="E10886" s="75"/>
      <c r="F10886" s="75"/>
      <c r="G10886" s="75"/>
      <c r="H10886" s="75"/>
      <c r="I10886" s="75"/>
      <c r="J10886" s="75"/>
      <c r="K10886" s="75"/>
      <c r="L10886" s="75"/>
      <c r="M10886" s="75"/>
      <c r="N10886" s="75"/>
    </row>
    <row r="10887" spans="1:14" ht="12.75" customHeight="1" x14ac:dyDescent="0.3">
      <c r="A10887" s="79" t="s">
        <v>854</v>
      </c>
      <c r="B10887" s="80" t="str">
        <f>A10884</f>
        <v>KIT DE TUBERÍA PERFORADA DE RECOLECCIÓN (INCLUYE SUMINISTRO E INSTALACIÓN, MATERIALES, HERRAMIENTA MENOR Y MANO DE OBRA)</v>
      </c>
      <c r="C10887" s="81" t="s">
        <v>916</v>
      </c>
      <c r="D10887" s="82" t="s">
        <v>999</v>
      </c>
      <c r="E10887" s="83" t="s">
        <v>445</v>
      </c>
      <c r="F10887" s="86">
        <f>H10887+J10887+L10887+N10887</f>
        <v>0</v>
      </c>
      <c r="G10887" s="83" t="s">
        <v>607</v>
      </c>
      <c r="H10887" s="86">
        <f>M10898</f>
        <v>0</v>
      </c>
      <c r="I10887" s="83" t="s">
        <v>918</v>
      </c>
      <c r="J10887" s="86">
        <f>M10907</f>
        <v>0</v>
      </c>
      <c r="K10887" s="83" t="s">
        <v>609</v>
      </c>
      <c r="L10887" s="86">
        <f>M10916</f>
        <v>0</v>
      </c>
      <c r="M10887" s="83" t="s">
        <v>610</v>
      </c>
      <c r="N10887" s="86">
        <f>M10925</f>
        <v>0</v>
      </c>
    </row>
    <row r="10888" spans="1:14" ht="12.75" customHeight="1" x14ac:dyDescent="0.25">
      <c r="A10888" s="87"/>
      <c r="B10888" s="87"/>
      <c r="C10888" s="87"/>
      <c r="D10888" s="87"/>
      <c r="E10888" s="87"/>
      <c r="F10888" s="87"/>
      <c r="G10888" s="87"/>
      <c r="J10888" s="87"/>
      <c r="K10888" s="215" t="s">
        <v>3217</v>
      </c>
      <c r="L10888" s="215">
        <f>+F10887*presup!$O$5</f>
        <v>0</v>
      </c>
      <c r="M10888" s="87"/>
      <c r="N10888" s="87"/>
    </row>
    <row r="10889" spans="1:14" ht="12.75" customHeight="1" x14ac:dyDescent="0.2">
      <c r="A10889" s="398" t="s">
        <v>919</v>
      </c>
      <c r="B10889" s="271"/>
      <c r="C10889" s="271"/>
      <c r="D10889" s="271"/>
      <c r="E10889" s="271"/>
      <c r="F10889" s="271"/>
      <c r="G10889" s="271"/>
      <c r="H10889" s="271"/>
      <c r="I10889" s="271"/>
      <c r="J10889" s="271"/>
      <c r="K10889" s="271"/>
      <c r="L10889" s="271"/>
      <c r="M10889" s="271"/>
      <c r="N10889" s="273"/>
    </row>
    <row r="10890" spans="1:14" ht="12.75" customHeight="1" x14ac:dyDescent="0.2">
      <c r="A10890" s="396" t="s">
        <v>76</v>
      </c>
      <c r="B10890" s="271"/>
      <c r="C10890" s="271"/>
      <c r="D10890" s="271"/>
      <c r="E10890" s="271"/>
      <c r="F10890" s="271"/>
      <c r="G10890" s="273"/>
      <c r="H10890" s="88" t="s">
        <v>77</v>
      </c>
      <c r="I10890" s="399" t="s">
        <v>920</v>
      </c>
      <c r="J10890" s="273"/>
      <c r="K10890" s="399" t="s">
        <v>453</v>
      </c>
      <c r="L10890" s="273"/>
      <c r="M10890" s="399" t="s">
        <v>921</v>
      </c>
      <c r="N10890" s="273"/>
    </row>
    <row r="10891" spans="1:14" ht="12.75" customHeight="1" x14ac:dyDescent="0.2">
      <c r="A10891" s="403"/>
      <c r="B10891" s="271"/>
      <c r="C10891" s="271"/>
      <c r="D10891" s="271"/>
      <c r="E10891" s="271"/>
      <c r="F10891" s="271"/>
      <c r="G10891" s="273"/>
      <c r="H10891" s="29" t="str">
        <f t="shared" ref="H10891:H10897" si="1452">IF(A10891="","",VLOOKUP(A10891,AA_Materiales,7,FALSE))</f>
        <v/>
      </c>
      <c r="I10891" s="394" t="str">
        <f t="shared" ref="I10891:I10897" si="1453">IF(A10891="","",VLOOKUP(A10891,AA_Materiales,8,FALSE))</f>
        <v/>
      </c>
      <c r="J10891" s="273"/>
      <c r="K10891" s="395">
        <v>1</v>
      </c>
      <c r="L10891" s="273"/>
      <c r="M10891" s="394" t="str">
        <f t="shared" ref="M10891:M10897" si="1454">IF(A10891="","",I10891*K10891)</f>
        <v/>
      </c>
      <c r="N10891" s="273"/>
    </row>
    <row r="10892" spans="1:14" ht="12.75" customHeight="1" x14ac:dyDescent="0.2">
      <c r="A10892" s="403"/>
      <c r="B10892" s="271"/>
      <c r="C10892" s="271"/>
      <c r="D10892" s="271"/>
      <c r="E10892" s="271"/>
      <c r="F10892" s="271"/>
      <c r="G10892" s="273"/>
      <c r="H10892" s="29" t="str">
        <f t="shared" si="1452"/>
        <v/>
      </c>
      <c r="I10892" s="394" t="str">
        <f t="shared" si="1453"/>
        <v/>
      </c>
      <c r="J10892" s="273"/>
      <c r="K10892" s="395"/>
      <c r="L10892" s="273"/>
      <c r="M10892" s="394" t="str">
        <f t="shared" si="1454"/>
        <v/>
      </c>
      <c r="N10892" s="273"/>
    </row>
    <row r="10893" spans="1:14" ht="12.75" customHeight="1" x14ac:dyDescent="0.2">
      <c r="A10893" s="403"/>
      <c r="B10893" s="271"/>
      <c r="C10893" s="271"/>
      <c r="D10893" s="271"/>
      <c r="E10893" s="271"/>
      <c r="F10893" s="271"/>
      <c r="G10893" s="273"/>
      <c r="H10893" s="29" t="str">
        <f t="shared" si="1452"/>
        <v/>
      </c>
      <c r="I10893" s="394" t="str">
        <f t="shared" si="1453"/>
        <v/>
      </c>
      <c r="J10893" s="273"/>
      <c r="K10893" s="395"/>
      <c r="L10893" s="273"/>
      <c r="M10893" s="394" t="str">
        <f t="shared" si="1454"/>
        <v/>
      </c>
      <c r="N10893" s="273"/>
    </row>
    <row r="10894" spans="1:14" ht="12.75" customHeight="1" x14ac:dyDescent="0.2">
      <c r="A10894" s="403"/>
      <c r="B10894" s="271"/>
      <c r="C10894" s="271"/>
      <c r="D10894" s="271"/>
      <c r="E10894" s="271"/>
      <c r="F10894" s="271"/>
      <c r="G10894" s="273"/>
      <c r="H10894" s="29" t="str">
        <f t="shared" si="1452"/>
        <v/>
      </c>
      <c r="I10894" s="394" t="str">
        <f t="shared" si="1453"/>
        <v/>
      </c>
      <c r="J10894" s="273"/>
      <c r="K10894" s="395"/>
      <c r="L10894" s="273"/>
      <c r="M10894" s="394" t="str">
        <f t="shared" si="1454"/>
        <v/>
      </c>
      <c r="N10894" s="273"/>
    </row>
    <row r="10895" spans="1:14" ht="12.75" customHeight="1" x14ac:dyDescent="0.2">
      <c r="A10895" s="403"/>
      <c r="B10895" s="271"/>
      <c r="C10895" s="271"/>
      <c r="D10895" s="271"/>
      <c r="E10895" s="271"/>
      <c r="F10895" s="271"/>
      <c r="G10895" s="273"/>
      <c r="H10895" s="29" t="str">
        <f t="shared" si="1452"/>
        <v/>
      </c>
      <c r="I10895" s="394" t="str">
        <f t="shared" si="1453"/>
        <v/>
      </c>
      <c r="J10895" s="273"/>
      <c r="K10895" s="395"/>
      <c r="L10895" s="273"/>
      <c r="M10895" s="394" t="str">
        <f t="shared" si="1454"/>
        <v/>
      </c>
      <c r="N10895" s="273"/>
    </row>
    <row r="10896" spans="1:14" ht="12.75" customHeight="1" x14ac:dyDescent="0.2">
      <c r="A10896" s="403"/>
      <c r="B10896" s="271"/>
      <c r="C10896" s="271"/>
      <c r="D10896" s="271"/>
      <c r="E10896" s="271"/>
      <c r="F10896" s="271"/>
      <c r="G10896" s="273"/>
      <c r="H10896" s="29" t="str">
        <f t="shared" si="1452"/>
        <v/>
      </c>
      <c r="I10896" s="394" t="str">
        <f t="shared" si="1453"/>
        <v/>
      </c>
      <c r="J10896" s="273"/>
      <c r="K10896" s="395"/>
      <c r="L10896" s="273"/>
      <c r="M10896" s="394" t="str">
        <f t="shared" si="1454"/>
        <v/>
      </c>
      <c r="N10896" s="273"/>
    </row>
    <row r="10897" spans="1:14" ht="12.75" customHeight="1" x14ac:dyDescent="0.2">
      <c r="A10897" s="403"/>
      <c r="B10897" s="271"/>
      <c r="C10897" s="271"/>
      <c r="D10897" s="271"/>
      <c r="E10897" s="271"/>
      <c r="F10897" s="271"/>
      <c r="G10897" s="273"/>
      <c r="H10897" s="29" t="str">
        <f t="shared" si="1452"/>
        <v/>
      </c>
      <c r="I10897" s="394" t="str">
        <f t="shared" si="1453"/>
        <v/>
      </c>
      <c r="J10897" s="273"/>
      <c r="K10897" s="395"/>
      <c r="L10897" s="273"/>
      <c r="M10897" s="394" t="str">
        <f t="shared" si="1454"/>
        <v/>
      </c>
      <c r="N10897" s="273"/>
    </row>
    <row r="10898" spans="1:14" ht="12.75" customHeight="1" x14ac:dyDescent="0.25">
      <c r="A10898" s="4"/>
      <c r="B10898" s="4"/>
      <c r="C10898" s="4"/>
      <c r="D10898" s="4"/>
      <c r="E10898" s="4"/>
      <c r="F10898" s="4"/>
      <c r="G10898" s="4"/>
      <c r="H10898" s="4"/>
      <c r="I10898" s="4"/>
      <c r="J10898" s="4"/>
      <c r="K10898" s="396" t="s">
        <v>444</v>
      </c>
      <c r="L10898" s="273"/>
      <c r="M10898" s="394">
        <f>SUM(M10891:N10897)</f>
        <v>0</v>
      </c>
      <c r="N10898" s="273"/>
    </row>
    <row r="10899" spans="1:14" ht="12.75" customHeight="1" x14ac:dyDescent="0.25">
      <c r="A10899" s="4"/>
      <c r="B10899" s="4"/>
      <c r="C10899" s="4"/>
      <c r="D10899" s="4"/>
      <c r="E10899" s="4"/>
      <c r="F10899" s="4"/>
      <c r="G10899" s="4"/>
      <c r="H10899" s="4"/>
      <c r="I10899" s="4"/>
      <c r="J10899" s="4"/>
      <c r="K10899" s="4"/>
      <c r="L10899" s="4"/>
      <c r="M10899" s="4"/>
      <c r="N10899" s="4"/>
    </row>
    <row r="10900" spans="1:14" ht="12.75" customHeight="1" x14ac:dyDescent="0.2">
      <c r="A10900" s="398" t="s">
        <v>926</v>
      </c>
      <c r="B10900" s="271"/>
      <c r="C10900" s="271"/>
      <c r="D10900" s="271"/>
      <c r="E10900" s="271"/>
      <c r="F10900" s="271"/>
      <c r="G10900" s="271"/>
      <c r="H10900" s="271"/>
      <c r="I10900" s="271"/>
      <c r="J10900" s="271"/>
      <c r="K10900" s="271"/>
      <c r="L10900" s="271"/>
      <c r="M10900" s="271"/>
      <c r="N10900" s="273"/>
    </row>
    <row r="10901" spans="1:14" ht="12.75" customHeight="1" x14ac:dyDescent="0.2">
      <c r="A10901" s="396" t="s">
        <v>76</v>
      </c>
      <c r="B10901" s="271"/>
      <c r="C10901" s="271"/>
      <c r="D10901" s="271"/>
      <c r="E10901" s="271"/>
      <c r="F10901" s="271"/>
      <c r="G10901" s="273"/>
      <c r="H10901" s="88" t="s">
        <v>77</v>
      </c>
      <c r="I10901" s="399" t="s">
        <v>920</v>
      </c>
      <c r="J10901" s="273"/>
      <c r="K10901" s="399" t="s">
        <v>453</v>
      </c>
      <c r="L10901" s="273"/>
      <c r="M10901" s="399" t="s">
        <v>921</v>
      </c>
      <c r="N10901" s="273"/>
    </row>
    <row r="10902" spans="1:14" ht="12.75" customHeight="1" x14ac:dyDescent="0.2">
      <c r="A10902" s="400" t="s">
        <v>927</v>
      </c>
      <c r="B10902" s="271"/>
      <c r="C10902" s="271"/>
      <c r="D10902" s="271"/>
      <c r="E10902" s="271"/>
      <c r="F10902" s="271"/>
      <c r="G10902" s="273"/>
      <c r="H10902" s="29" t="str">
        <f>IF(A10902="","",VLOOKUP(A10902,AA_Equipos,7,FALSE))</f>
        <v>% M.O.</v>
      </c>
      <c r="I10902" s="394">
        <f>+M10925</f>
        <v>0</v>
      </c>
      <c r="J10902" s="273"/>
      <c r="K10902" s="404"/>
      <c r="L10902" s="273"/>
      <c r="M10902" s="394">
        <f t="shared" ref="M10902:M10906" si="1455">IF(A10902="","",I10902*K10902)</f>
        <v>0</v>
      </c>
      <c r="N10902" s="273"/>
    </row>
    <row r="10903" spans="1:14" ht="12.75" customHeight="1" x14ac:dyDescent="0.2">
      <c r="A10903" s="403"/>
      <c r="B10903" s="271"/>
      <c r="C10903" s="271"/>
      <c r="D10903" s="271"/>
      <c r="E10903" s="271"/>
      <c r="F10903" s="271"/>
      <c r="G10903" s="273"/>
      <c r="H10903" s="29" t="str">
        <f>IF(A10903="","",VLOOKUP(A10903,AA_Equipos,7,FALSE))</f>
        <v/>
      </c>
      <c r="I10903" s="394" t="str">
        <f>IF(A10903="","",VLOOKUP(A10903,AA_Equipos,8,FALSE))</f>
        <v/>
      </c>
      <c r="J10903" s="273"/>
      <c r="K10903" s="402"/>
      <c r="L10903" s="273"/>
      <c r="M10903" s="394" t="str">
        <f t="shared" si="1455"/>
        <v/>
      </c>
      <c r="N10903" s="273"/>
    </row>
    <row r="10904" spans="1:14" ht="12.75" customHeight="1" x14ac:dyDescent="0.2">
      <c r="A10904" s="400"/>
      <c r="B10904" s="271"/>
      <c r="C10904" s="271"/>
      <c r="D10904" s="271"/>
      <c r="E10904" s="271"/>
      <c r="F10904" s="271"/>
      <c r="G10904" s="273"/>
      <c r="H10904" s="29" t="str">
        <f>IF(A10904="","",VLOOKUP(A10904,AA_Equipos,7,FALSE))</f>
        <v/>
      </c>
      <c r="I10904" s="394" t="str">
        <f>IF(A10904="","",VLOOKUP(A10904,AA_Equipos,8,FALSE))</f>
        <v/>
      </c>
      <c r="J10904" s="273"/>
      <c r="K10904" s="401"/>
      <c r="L10904" s="273"/>
      <c r="M10904" s="394" t="str">
        <f t="shared" si="1455"/>
        <v/>
      </c>
      <c r="N10904" s="273"/>
    </row>
    <row r="10905" spans="1:14" ht="12.75" customHeight="1" x14ac:dyDescent="0.2">
      <c r="A10905" s="400"/>
      <c r="B10905" s="271"/>
      <c r="C10905" s="271"/>
      <c r="D10905" s="271"/>
      <c r="E10905" s="271"/>
      <c r="F10905" s="271"/>
      <c r="G10905" s="273"/>
      <c r="H10905" s="29" t="str">
        <f>IF(A10905="","",VLOOKUP(A10905,AA_Equipos,7,FALSE))</f>
        <v/>
      </c>
      <c r="I10905" s="394" t="str">
        <f>IF(A10905="","",VLOOKUP(A10905,AA_Equipos,8,FALSE))</f>
        <v/>
      </c>
      <c r="J10905" s="273"/>
      <c r="K10905" s="395"/>
      <c r="L10905" s="273"/>
      <c r="M10905" s="394" t="str">
        <f t="shared" si="1455"/>
        <v/>
      </c>
      <c r="N10905" s="273"/>
    </row>
    <row r="10906" spans="1:14" ht="12.75" customHeight="1" x14ac:dyDescent="0.2">
      <c r="A10906" s="400"/>
      <c r="B10906" s="271"/>
      <c r="C10906" s="271"/>
      <c r="D10906" s="271"/>
      <c r="E10906" s="271"/>
      <c r="F10906" s="271"/>
      <c r="G10906" s="273"/>
      <c r="H10906" s="29" t="str">
        <f>IF(A10906="","",VLOOKUP(A10906,AA_Equipos,7,FALSE))</f>
        <v/>
      </c>
      <c r="I10906" s="394" t="str">
        <f>IF(A10906="","",VLOOKUP(A10906,AA_Equipos,8,FALSE))</f>
        <v/>
      </c>
      <c r="J10906" s="273"/>
      <c r="K10906" s="395"/>
      <c r="L10906" s="273"/>
      <c r="M10906" s="394" t="str">
        <f t="shared" si="1455"/>
        <v/>
      </c>
      <c r="N10906" s="273"/>
    </row>
    <row r="10907" spans="1:14" ht="12.75" customHeight="1" x14ac:dyDescent="0.25">
      <c r="A10907" s="4"/>
      <c r="B10907" s="4"/>
      <c r="C10907" s="4"/>
      <c r="D10907" s="4"/>
      <c r="E10907" s="4"/>
      <c r="F10907" s="4"/>
      <c r="G10907" s="4"/>
      <c r="H10907" s="4"/>
      <c r="I10907" s="4"/>
      <c r="J10907" s="4"/>
      <c r="K10907" s="396" t="s">
        <v>444</v>
      </c>
      <c r="L10907" s="273"/>
      <c r="M10907" s="394">
        <f>SUM(M10902:N10906)</f>
        <v>0</v>
      </c>
      <c r="N10907" s="273"/>
    </row>
    <row r="10908" spans="1:14" ht="12.75" customHeight="1" x14ac:dyDescent="0.25">
      <c r="A10908" s="4"/>
      <c r="B10908" s="4"/>
      <c r="C10908" s="4"/>
      <c r="D10908" s="4"/>
      <c r="E10908" s="4"/>
      <c r="F10908" s="4"/>
      <c r="G10908" s="4"/>
      <c r="H10908" s="4"/>
      <c r="I10908" s="4"/>
      <c r="J10908" s="4"/>
      <c r="K10908" s="4"/>
      <c r="L10908" s="4"/>
      <c r="M10908" s="4"/>
      <c r="N10908" s="4"/>
    </row>
    <row r="10909" spans="1:14" ht="12.75" customHeight="1" x14ac:dyDescent="0.2">
      <c r="A10909" s="398" t="s">
        <v>929</v>
      </c>
      <c r="B10909" s="271"/>
      <c r="C10909" s="271"/>
      <c r="D10909" s="271"/>
      <c r="E10909" s="271"/>
      <c r="F10909" s="271"/>
      <c r="G10909" s="271"/>
      <c r="H10909" s="271"/>
      <c r="I10909" s="271"/>
      <c r="J10909" s="271"/>
      <c r="K10909" s="271"/>
      <c r="L10909" s="271"/>
      <c r="M10909" s="271"/>
      <c r="N10909" s="273"/>
    </row>
    <row r="10910" spans="1:14" ht="12.75" customHeight="1" x14ac:dyDescent="0.2">
      <c r="A10910" s="396" t="s">
        <v>76</v>
      </c>
      <c r="B10910" s="271"/>
      <c r="C10910" s="271"/>
      <c r="D10910" s="271"/>
      <c r="E10910" s="271"/>
      <c r="F10910" s="271"/>
      <c r="G10910" s="273"/>
      <c r="H10910" s="88" t="s">
        <v>77</v>
      </c>
      <c r="I10910" s="399" t="s">
        <v>920</v>
      </c>
      <c r="J10910" s="273"/>
      <c r="K10910" s="399" t="s">
        <v>453</v>
      </c>
      <c r="L10910" s="273"/>
      <c r="M10910" s="399" t="s">
        <v>921</v>
      </c>
      <c r="N10910" s="273"/>
    </row>
    <row r="10911" spans="1:14" ht="12.75" customHeight="1" x14ac:dyDescent="0.2">
      <c r="A10911" s="400" t="s">
        <v>960</v>
      </c>
      <c r="B10911" s="271"/>
      <c r="C10911" s="271"/>
      <c r="D10911" s="271"/>
      <c r="E10911" s="271"/>
      <c r="F10911" s="271"/>
      <c r="G10911" s="273"/>
      <c r="H10911" s="29" t="s">
        <v>950</v>
      </c>
      <c r="I10911" s="394">
        <f>+M10898</f>
        <v>0</v>
      </c>
      <c r="J10911" s="273"/>
      <c r="K10911" s="404">
        <v>0.05</v>
      </c>
      <c r="L10911" s="273"/>
      <c r="M10911" s="394">
        <f t="shared" ref="M10911:M10915" si="1456">IF(A10911="","",I10911*K10911)</f>
        <v>0</v>
      </c>
      <c r="N10911" s="273"/>
    </row>
    <row r="10912" spans="1:14" ht="12.75" customHeight="1" x14ac:dyDescent="0.2">
      <c r="A10912" s="403"/>
      <c r="B10912" s="271"/>
      <c r="C10912" s="271"/>
      <c r="D10912" s="271"/>
      <c r="E10912" s="271"/>
      <c r="F10912" s="271"/>
      <c r="G10912" s="273"/>
      <c r="H10912" s="29"/>
      <c r="I10912" s="394"/>
      <c r="J10912" s="273"/>
      <c r="K10912" s="404"/>
      <c r="L10912" s="273"/>
      <c r="M10912" s="394" t="str">
        <f t="shared" si="1456"/>
        <v/>
      </c>
      <c r="N10912" s="273"/>
    </row>
    <row r="10913" spans="1:15" ht="12.75" customHeight="1" x14ac:dyDescent="0.2">
      <c r="A10913" s="400"/>
      <c r="B10913" s="271"/>
      <c r="C10913" s="271"/>
      <c r="D10913" s="271"/>
      <c r="E10913" s="271"/>
      <c r="F10913" s="271"/>
      <c r="G10913" s="273"/>
      <c r="H10913" s="29"/>
      <c r="I10913" s="394"/>
      <c r="J10913" s="273"/>
      <c r="K10913" s="395"/>
      <c r="L10913" s="273"/>
      <c r="M10913" s="394" t="str">
        <f t="shared" si="1456"/>
        <v/>
      </c>
      <c r="N10913" s="273"/>
    </row>
    <row r="10914" spans="1:15" ht="12.75" customHeight="1" x14ac:dyDescent="0.2">
      <c r="A10914" s="400"/>
      <c r="B10914" s="271"/>
      <c r="C10914" s="271"/>
      <c r="D10914" s="271"/>
      <c r="E10914" s="271"/>
      <c r="F10914" s="271"/>
      <c r="G10914" s="273"/>
      <c r="H10914" s="29"/>
      <c r="I10914" s="394"/>
      <c r="J10914" s="273"/>
      <c r="K10914" s="395"/>
      <c r="L10914" s="273"/>
      <c r="M10914" s="394" t="str">
        <f t="shared" si="1456"/>
        <v/>
      </c>
      <c r="N10914" s="273"/>
    </row>
    <row r="10915" spans="1:15" ht="12.75" customHeight="1" x14ac:dyDescent="0.2">
      <c r="A10915" s="400"/>
      <c r="B10915" s="271"/>
      <c r="C10915" s="271"/>
      <c r="D10915" s="271"/>
      <c r="E10915" s="271"/>
      <c r="F10915" s="271"/>
      <c r="G10915" s="273"/>
      <c r="H10915" s="29"/>
      <c r="I10915" s="394"/>
      <c r="J10915" s="273"/>
      <c r="K10915" s="395"/>
      <c r="L10915" s="273"/>
      <c r="M10915" s="394" t="str">
        <f t="shared" si="1456"/>
        <v/>
      </c>
      <c r="N10915" s="273"/>
    </row>
    <row r="10916" spans="1:15" ht="12.75" customHeight="1" x14ac:dyDescent="0.25">
      <c r="A10916" s="4"/>
      <c r="B10916" s="4"/>
      <c r="C10916" s="4"/>
      <c r="D10916" s="4"/>
      <c r="E10916" s="4"/>
      <c r="F10916" s="4"/>
      <c r="G10916" s="4"/>
      <c r="H10916" s="4"/>
      <c r="I10916" s="4"/>
      <c r="J10916" s="4"/>
      <c r="K10916" s="396" t="s">
        <v>444</v>
      </c>
      <c r="L10916" s="273"/>
      <c r="M10916" s="394">
        <f>SUM(M10911:N10915)</f>
        <v>0</v>
      </c>
      <c r="N10916" s="273"/>
    </row>
    <row r="10917" spans="1:15" ht="12.75" customHeight="1" x14ac:dyDescent="0.25">
      <c r="A10917" s="4"/>
      <c r="B10917" s="4"/>
      <c r="C10917" s="4"/>
      <c r="D10917" s="4"/>
      <c r="E10917" s="4"/>
      <c r="F10917" s="4"/>
      <c r="G10917" s="4"/>
      <c r="H10917" s="4"/>
      <c r="I10917" s="4"/>
      <c r="J10917" s="4"/>
      <c r="K10917" s="4"/>
      <c r="L10917" s="4"/>
      <c r="M10917" s="4"/>
      <c r="N10917" s="4"/>
    </row>
    <row r="10918" spans="1:15" ht="12.75" customHeight="1" x14ac:dyDescent="0.2">
      <c r="A10918" s="398" t="s">
        <v>931</v>
      </c>
      <c r="B10918" s="271"/>
      <c r="C10918" s="271"/>
      <c r="D10918" s="271"/>
      <c r="E10918" s="271"/>
      <c r="F10918" s="271"/>
      <c r="G10918" s="271"/>
      <c r="H10918" s="271"/>
      <c r="I10918" s="271"/>
      <c r="J10918" s="271"/>
      <c r="K10918" s="271"/>
      <c r="L10918" s="271"/>
      <c r="M10918" s="271"/>
      <c r="N10918" s="273"/>
    </row>
    <row r="10919" spans="1:15" ht="12.75" customHeight="1" x14ac:dyDescent="0.2">
      <c r="A10919" s="396" t="s">
        <v>76</v>
      </c>
      <c r="B10919" s="271"/>
      <c r="C10919" s="271"/>
      <c r="D10919" s="271"/>
      <c r="E10919" s="271"/>
      <c r="F10919" s="271"/>
      <c r="G10919" s="273"/>
      <c r="H10919" s="88" t="s">
        <v>77</v>
      </c>
      <c r="I10919" s="399" t="s">
        <v>920</v>
      </c>
      <c r="J10919" s="273"/>
      <c r="K10919" s="90" t="s">
        <v>514</v>
      </c>
      <c r="L10919" s="91" t="s">
        <v>932</v>
      </c>
      <c r="M10919" s="399" t="s">
        <v>921</v>
      </c>
      <c r="N10919" s="273"/>
    </row>
    <row r="10920" spans="1:15" ht="12.75" customHeight="1" x14ac:dyDescent="0.25">
      <c r="A10920" s="393" t="s">
        <v>986</v>
      </c>
      <c r="B10920" s="271"/>
      <c r="C10920" s="271"/>
      <c r="D10920" s="271"/>
      <c r="E10920" s="271"/>
      <c r="F10920" s="271"/>
      <c r="G10920" s="273"/>
      <c r="H10920" s="29" t="str">
        <f>IF(A10920="","",VLOOKUP(A10920,AA_Cuadrillas,4,FALSE))</f>
        <v>Cuadrilla</v>
      </c>
      <c r="I10920" s="394">
        <f>IF(A10920="","",VLOOKUP(A10920,AA_Cuadrillas,5,FALSE))</f>
        <v>186763</v>
      </c>
      <c r="J10920" s="273"/>
      <c r="K10920" s="9">
        <f>IF(A10920="","",F.P!$I$2)</f>
        <v>1.88</v>
      </c>
      <c r="L10920" s="97"/>
      <c r="M10920" s="394">
        <f t="shared" ref="M10920:M10924" si="1457">IF(A10920="","",I10920*K10920*L10920)</f>
        <v>0</v>
      </c>
      <c r="N10920" s="273"/>
    </row>
    <row r="10921" spans="1:15" ht="12.75" customHeight="1" x14ac:dyDescent="0.25">
      <c r="A10921" s="393"/>
      <c r="B10921" s="271"/>
      <c r="C10921" s="271"/>
      <c r="D10921" s="271"/>
      <c r="E10921" s="271"/>
      <c r="F10921" s="271"/>
      <c r="G10921" s="273"/>
      <c r="H10921" s="29" t="str">
        <f>IF(A10921="","",VLOOKUP(A10921,AA_Cuadrillas,4,FALSE))</f>
        <v/>
      </c>
      <c r="I10921" s="394" t="str">
        <f>IF(A10921="","",VLOOKUP(A10921,AA_Cuadrillas,5,FALSE))</f>
        <v/>
      </c>
      <c r="J10921" s="273"/>
      <c r="K10921" s="9" t="str">
        <f>IF(A10921="","",F.P!$I$2)</f>
        <v/>
      </c>
      <c r="L10921" s="9"/>
      <c r="M10921" s="394" t="str">
        <f t="shared" si="1457"/>
        <v/>
      </c>
      <c r="N10921" s="273"/>
    </row>
    <row r="10922" spans="1:15" ht="12.75" customHeight="1" x14ac:dyDescent="0.25">
      <c r="A10922" s="393"/>
      <c r="B10922" s="271"/>
      <c r="C10922" s="271"/>
      <c r="D10922" s="271"/>
      <c r="E10922" s="271"/>
      <c r="F10922" s="271"/>
      <c r="G10922" s="273"/>
      <c r="H10922" s="29" t="str">
        <f>IF(A10922="","",VLOOKUP(A10922,AA_Cuadrillas,4,FALSE))</f>
        <v/>
      </c>
      <c r="I10922" s="394" t="str">
        <f>IF(A10922="","",VLOOKUP(A10922,AA_Cuadrillas,5,FALSE))</f>
        <v/>
      </c>
      <c r="J10922" s="273"/>
      <c r="K10922" s="9" t="str">
        <f>IF(A10922="","",F.P!$I$2)</f>
        <v/>
      </c>
      <c r="L10922" s="37"/>
      <c r="M10922" s="394" t="str">
        <f t="shared" si="1457"/>
        <v/>
      </c>
      <c r="N10922" s="273"/>
    </row>
    <row r="10923" spans="1:15" ht="12.75" customHeight="1" x14ac:dyDescent="0.25">
      <c r="A10923" s="393"/>
      <c r="B10923" s="271"/>
      <c r="C10923" s="271"/>
      <c r="D10923" s="271"/>
      <c r="E10923" s="271"/>
      <c r="F10923" s="271"/>
      <c r="G10923" s="273"/>
      <c r="H10923" s="29" t="str">
        <f>IF(A10923="","",VLOOKUP(A10923,AA_Cuadrillas,4,FALSE))</f>
        <v/>
      </c>
      <c r="I10923" s="394" t="str">
        <f>IF(A10923="","",VLOOKUP(A10923,AA_Cuadrillas,5,FALSE))</f>
        <v/>
      </c>
      <c r="J10923" s="273"/>
      <c r="K10923" s="9" t="str">
        <f>IF(A10923="","",F.P!$I$2)</f>
        <v/>
      </c>
      <c r="L10923" s="37"/>
      <c r="M10923" s="394" t="str">
        <f t="shared" si="1457"/>
        <v/>
      </c>
      <c r="N10923" s="273"/>
    </row>
    <row r="10924" spans="1:15" ht="12.75" customHeight="1" x14ac:dyDescent="0.25">
      <c r="A10924" s="393"/>
      <c r="B10924" s="271"/>
      <c r="C10924" s="271"/>
      <c r="D10924" s="271"/>
      <c r="E10924" s="271"/>
      <c r="F10924" s="271"/>
      <c r="G10924" s="273"/>
      <c r="H10924" s="29" t="str">
        <f>IF(A10924="","",VLOOKUP(A10924,AA_Cuadrillas,4,FALSE))</f>
        <v/>
      </c>
      <c r="I10924" s="394" t="str">
        <f>IF(A10924="","",VLOOKUP(A10924,AA_Cuadrillas,5,FALSE))</f>
        <v/>
      </c>
      <c r="J10924" s="273"/>
      <c r="K10924" s="9" t="str">
        <f>IF(A10924="","",F.P!$I$2)</f>
        <v/>
      </c>
      <c r="L10924" s="37"/>
      <c r="M10924" s="394" t="str">
        <f t="shared" si="1457"/>
        <v/>
      </c>
      <c r="N10924" s="273"/>
    </row>
    <row r="10925" spans="1:15" ht="12.75" customHeight="1" x14ac:dyDescent="0.25">
      <c r="A10925" s="4"/>
      <c r="B10925" s="4"/>
      <c r="C10925" s="4"/>
      <c r="D10925" s="4"/>
      <c r="E10925" s="4"/>
      <c r="F10925" s="4"/>
      <c r="G10925" s="4"/>
      <c r="H10925" s="4"/>
      <c r="I10925" s="4"/>
      <c r="J10925" s="4"/>
      <c r="K10925" s="396" t="s">
        <v>444</v>
      </c>
      <c r="L10925" s="273"/>
      <c r="M10925" s="394">
        <f>SUM(M10920:N10924)</f>
        <v>0</v>
      </c>
      <c r="N10925" s="273"/>
    </row>
    <row r="10926" spans="1:15" ht="12.75" customHeight="1" x14ac:dyDescent="0.2"/>
    <row r="10927" spans="1:15" ht="12.75" customHeight="1" x14ac:dyDescent="0.2">
      <c r="A10927" s="397" t="s">
        <v>1527</v>
      </c>
      <c r="B10927" s="275"/>
      <c r="C10927" s="275"/>
      <c r="D10927" s="275"/>
      <c r="E10927" s="275"/>
      <c r="F10927" s="275"/>
      <c r="G10927" s="275"/>
      <c r="H10927" s="275"/>
      <c r="I10927" s="275"/>
      <c r="J10927" s="275"/>
      <c r="K10927" s="275"/>
      <c r="L10927" s="275"/>
      <c r="M10927" s="275"/>
      <c r="N10927" s="276"/>
      <c r="O10927" s="166"/>
    </row>
    <row r="10928" spans="1:15" ht="12.75" customHeight="1" x14ac:dyDescent="0.2">
      <c r="A10928" s="277"/>
      <c r="B10928" s="278"/>
      <c r="C10928" s="278"/>
      <c r="D10928" s="278"/>
      <c r="E10928" s="278"/>
      <c r="F10928" s="278"/>
      <c r="G10928" s="278"/>
      <c r="H10928" s="278"/>
      <c r="I10928" s="278"/>
      <c r="J10928" s="278"/>
      <c r="K10928" s="278"/>
      <c r="L10928" s="278"/>
      <c r="M10928" s="278"/>
      <c r="N10928" s="279"/>
      <c r="O10928" s="166"/>
    </row>
    <row r="10929" spans="1:14" ht="12.75" customHeight="1" x14ac:dyDescent="0.2">
      <c r="A10929" s="75"/>
      <c r="B10929" s="75"/>
      <c r="C10929" s="75"/>
      <c r="D10929" s="75"/>
      <c r="E10929" s="75"/>
      <c r="F10929" s="75"/>
      <c r="G10929" s="75"/>
      <c r="H10929" s="75"/>
      <c r="I10929" s="75"/>
      <c r="J10929" s="75"/>
      <c r="K10929" s="75"/>
      <c r="L10929" s="75"/>
      <c r="M10929" s="75"/>
      <c r="N10929" s="75"/>
    </row>
    <row r="10930" spans="1:14" ht="12.75" customHeight="1" x14ac:dyDescent="0.3">
      <c r="A10930" s="79" t="s">
        <v>855</v>
      </c>
      <c r="B10930" s="80" t="str">
        <f>A10927</f>
        <v>KIT DE TUBERÍA DE RECOLECCIÓN DE AGUA FILTRADA PARA LECHOS DE SECADO TIPO 1 DE Ø4" (INCLUYE NIPLE, PASAMURO, CODO, TEE, TUBERÍA PERFORADA Y NO PERFORADA, MATERIALES, HERRAMIENTAS Y MANO DE OBRA)</v>
      </c>
      <c r="C10930" s="81" t="s">
        <v>916</v>
      </c>
      <c r="D10930" s="82" t="s">
        <v>999</v>
      </c>
      <c r="E10930" s="83" t="s">
        <v>445</v>
      </c>
      <c r="F10930" s="234">
        <f>(H10930+J10930+L10930+N10930)*1.3</f>
        <v>626072.43700300006</v>
      </c>
      <c r="G10930" s="83" t="s">
        <v>607</v>
      </c>
      <c r="H10930" s="86">
        <f>M10950</f>
        <v>1755.5722000000003</v>
      </c>
      <c r="I10930" s="83" t="s">
        <v>918</v>
      </c>
      <c r="J10930" s="86">
        <f>M10941</f>
        <v>423466.08333333331</v>
      </c>
      <c r="K10930" s="83" t="s">
        <v>609</v>
      </c>
      <c r="L10930" s="86">
        <f>M10959</f>
        <v>21261.08277666667</v>
      </c>
      <c r="M10930" s="83" t="s">
        <v>610</v>
      </c>
      <c r="N10930" s="86">
        <f>M10968</f>
        <v>35111.444000000003</v>
      </c>
    </row>
    <row r="10931" spans="1:14" ht="12.75" customHeight="1" x14ac:dyDescent="0.25">
      <c r="A10931" s="87"/>
      <c r="B10931" s="87"/>
      <c r="C10931" s="87"/>
      <c r="D10931" s="87"/>
      <c r="E10931" s="87"/>
      <c r="F10931" s="87"/>
      <c r="G10931" s="87"/>
      <c r="J10931" s="87"/>
      <c r="K10931" s="215" t="s">
        <v>3217</v>
      </c>
      <c r="L10931" s="215">
        <f>+F10930*presup!$O$5</f>
        <v>813894.16810390016</v>
      </c>
      <c r="M10931" s="87"/>
      <c r="N10931" s="87"/>
    </row>
    <row r="10932" spans="1:14" ht="12.75" customHeight="1" x14ac:dyDescent="0.2">
      <c r="A10932" s="398" t="s">
        <v>919</v>
      </c>
      <c r="B10932" s="271"/>
      <c r="C10932" s="271"/>
      <c r="D10932" s="271"/>
      <c r="E10932" s="271"/>
      <c r="F10932" s="271"/>
      <c r="G10932" s="271"/>
      <c r="H10932" s="271"/>
      <c r="I10932" s="271"/>
      <c r="J10932" s="271"/>
      <c r="K10932" s="271"/>
      <c r="L10932" s="271"/>
      <c r="M10932" s="271"/>
      <c r="N10932" s="273"/>
    </row>
    <row r="10933" spans="1:14" ht="12.75" customHeight="1" x14ac:dyDescent="0.2">
      <c r="A10933" s="396" t="s">
        <v>76</v>
      </c>
      <c r="B10933" s="271"/>
      <c r="C10933" s="271"/>
      <c r="D10933" s="271"/>
      <c r="E10933" s="271"/>
      <c r="F10933" s="271"/>
      <c r="G10933" s="273"/>
      <c r="H10933" s="88" t="s">
        <v>77</v>
      </c>
      <c r="I10933" s="399" t="s">
        <v>920</v>
      </c>
      <c r="J10933" s="273"/>
      <c r="K10933" s="399" t="s">
        <v>453</v>
      </c>
      <c r="L10933" s="273"/>
      <c r="M10933" s="399" t="s">
        <v>921</v>
      </c>
      <c r="N10933" s="273"/>
    </row>
    <row r="10934" spans="1:14" ht="12.75" customHeight="1" x14ac:dyDescent="0.2">
      <c r="A10934" s="403" t="s">
        <v>1528</v>
      </c>
      <c r="B10934" s="271"/>
      <c r="C10934" s="271"/>
      <c r="D10934" s="271"/>
      <c r="E10934" s="271"/>
      <c r="F10934" s="271"/>
      <c r="G10934" s="273"/>
      <c r="H10934" s="29" t="str">
        <f t="shared" ref="H10934:H10940" si="1458">IF(A10934="","",VLOOKUP(A10934,AA_Materiales,7,FALSE))</f>
        <v>ml</v>
      </c>
      <c r="I10934" s="394">
        <f t="shared" ref="I10934:I10940" si="1459">IF(A10934="","",VLOOKUP(A10934,AA_Materiales,8,FALSE))</f>
        <v>17990</v>
      </c>
      <c r="J10934" s="273"/>
      <c r="K10934" s="395">
        <f>1.15*6</f>
        <v>6.8999999999999995</v>
      </c>
      <c r="L10934" s="273"/>
      <c r="M10934" s="394">
        <f t="shared" ref="M10934:M10940" si="1460">IF(A10934="","",I10934*K10934)</f>
        <v>124130.99999999999</v>
      </c>
      <c r="N10934" s="273"/>
    </row>
    <row r="10935" spans="1:14" ht="12.75" customHeight="1" x14ac:dyDescent="0.2">
      <c r="A10935" s="403" t="s">
        <v>1529</v>
      </c>
      <c r="B10935" s="271"/>
      <c r="C10935" s="271"/>
      <c r="D10935" s="271"/>
      <c r="E10935" s="271"/>
      <c r="F10935" s="271"/>
      <c r="G10935" s="273"/>
      <c r="H10935" s="29" t="str">
        <f t="shared" si="1458"/>
        <v>Unidad</v>
      </c>
      <c r="I10935" s="394">
        <f t="shared" si="1459"/>
        <v>18900</v>
      </c>
      <c r="J10935" s="273"/>
      <c r="K10935" s="395">
        <v>6</v>
      </c>
      <c r="L10935" s="273"/>
      <c r="M10935" s="394">
        <f t="shared" si="1460"/>
        <v>113400</v>
      </c>
      <c r="N10935" s="273"/>
    </row>
    <row r="10936" spans="1:14" ht="12.75" customHeight="1" x14ac:dyDescent="0.2">
      <c r="A10936" s="403" t="s">
        <v>1530</v>
      </c>
      <c r="B10936" s="271"/>
      <c r="C10936" s="271"/>
      <c r="D10936" s="271"/>
      <c r="E10936" s="271"/>
      <c r="F10936" s="271"/>
      <c r="G10936" s="273"/>
      <c r="H10936" s="29" t="str">
        <f t="shared" si="1458"/>
        <v>Unidad</v>
      </c>
      <c r="I10936" s="394">
        <f t="shared" si="1459"/>
        <v>3200</v>
      </c>
      <c r="J10936" s="273"/>
      <c r="K10936" s="395">
        <v>6</v>
      </c>
      <c r="L10936" s="273"/>
      <c r="M10936" s="394">
        <f t="shared" si="1460"/>
        <v>19200</v>
      </c>
      <c r="N10936" s="273"/>
    </row>
    <row r="10937" spans="1:14" ht="12.75" customHeight="1" x14ac:dyDescent="0.2">
      <c r="A10937" s="403" t="s">
        <v>1531</v>
      </c>
      <c r="B10937" s="271"/>
      <c r="C10937" s="271"/>
      <c r="D10937" s="271"/>
      <c r="E10937" s="271"/>
      <c r="F10937" s="271"/>
      <c r="G10937" s="273"/>
      <c r="H10937" s="29" t="str">
        <f t="shared" si="1458"/>
        <v>ml</v>
      </c>
      <c r="I10937" s="394">
        <f t="shared" si="1459"/>
        <v>16999.166666666668</v>
      </c>
      <c r="J10937" s="273"/>
      <c r="K10937" s="395">
        <f>2*0.55</f>
        <v>1.1000000000000001</v>
      </c>
      <c r="L10937" s="273"/>
      <c r="M10937" s="394">
        <f t="shared" si="1460"/>
        <v>18699.083333333336</v>
      </c>
      <c r="N10937" s="273"/>
    </row>
    <row r="10938" spans="1:14" ht="12.75" customHeight="1" x14ac:dyDescent="0.2">
      <c r="A10938" s="403" t="s">
        <v>1532</v>
      </c>
      <c r="B10938" s="271"/>
      <c r="C10938" s="271"/>
      <c r="D10938" s="271"/>
      <c r="E10938" s="271"/>
      <c r="F10938" s="271"/>
      <c r="G10938" s="273"/>
      <c r="H10938" s="29" t="str">
        <f t="shared" si="1458"/>
        <v>Unidad</v>
      </c>
      <c r="I10938" s="394">
        <f t="shared" si="1459"/>
        <v>43536</v>
      </c>
      <c r="J10938" s="273"/>
      <c r="K10938" s="395">
        <v>1</v>
      </c>
      <c r="L10938" s="273"/>
      <c r="M10938" s="394">
        <f t="shared" si="1460"/>
        <v>43536</v>
      </c>
      <c r="N10938" s="273"/>
    </row>
    <row r="10939" spans="1:14" ht="12.75" customHeight="1" x14ac:dyDescent="0.2">
      <c r="A10939" s="403" t="s">
        <v>985</v>
      </c>
      <c r="B10939" s="271"/>
      <c r="C10939" s="271"/>
      <c r="D10939" s="271"/>
      <c r="E10939" s="271"/>
      <c r="F10939" s="271"/>
      <c r="G10939" s="273"/>
      <c r="H10939" s="29" t="str">
        <f t="shared" si="1458"/>
        <v>Galón</v>
      </c>
      <c r="I10939" s="394">
        <f t="shared" si="1459"/>
        <v>47200</v>
      </c>
      <c r="J10939" s="273"/>
      <c r="K10939" s="395">
        <v>0.5</v>
      </c>
      <c r="L10939" s="273"/>
      <c r="M10939" s="394">
        <f t="shared" si="1460"/>
        <v>23600</v>
      </c>
      <c r="N10939" s="273"/>
    </row>
    <row r="10940" spans="1:14" ht="12.75" customHeight="1" x14ac:dyDescent="0.2">
      <c r="A10940" s="403" t="s">
        <v>984</v>
      </c>
      <c r="B10940" s="271"/>
      <c r="C10940" s="271"/>
      <c r="D10940" s="271"/>
      <c r="E10940" s="271"/>
      <c r="F10940" s="271"/>
      <c r="G10940" s="273"/>
      <c r="H10940" s="29" t="str">
        <f t="shared" si="1458"/>
        <v>Galón</v>
      </c>
      <c r="I10940" s="394">
        <f t="shared" si="1459"/>
        <v>80900</v>
      </c>
      <c r="J10940" s="273"/>
      <c r="K10940" s="395">
        <v>1</v>
      </c>
      <c r="L10940" s="273"/>
      <c r="M10940" s="394">
        <f t="shared" si="1460"/>
        <v>80900</v>
      </c>
      <c r="N10940" s="273"/>
    </row>
    <row r="10941" spans="1:14" ht="12.75" customHeight="1" x14ac:dyDescent="0.25">
      <c r="A10941" s="4"/>
      <c r="B10941" s="4"/>
      <c r="C10941" s="4"/>
      <c r="D10941" s="4"/>
      <c r="E10941" s="4"/>
      <c r="F10941" s="4"/>
      <c r="G10941" s="4"/>
      <c r="H10941" s="4"/>
      <c r="I10941" s="4"/>
      <c r="J10941" s="4"/>
      <c r="K10941" s="396" t="s">
        <v>444</v>
      </c>
      <c r="L10941" s="273"/>
      <c r="M10941" s="394">
        <f>SUM(M10934:N10940)</f>
        <v>423466.08333333331</v>
      </c>
      <c r="N10941" s="273"/>
    </row>
    <row r="10942" spans="1:14" ht="12.75" customHeight="1" x14ac:dyDescent="0.25">
      <c r="A10942" s="4"/>
      <c r="B10942" s="4"/>
      <c r="C10942" s="4"/>
      <c r="D10942" s="4"/>
      <c r="E10942" s="4"/>
      <c r="F10942" s="4"/>
      <c r="G10942" s="4"/>
      <c r="H10942" s="4"/>
      <c r="I10942" s="4"/>
      <c r="J10942" s="4"/>
      <c r="K10942" s="4"/>
      <c r="L10942" s="4"/>
      <c r="M10942" s="4"/>
      <c r="N10942" s="4"/>
    </row>
    <row r="10943" spans="1:14" ht="12.75" customHeight="1" x14ac:dyDescent="0.2">
      <c r="A10943" s="398" t="s">
        <v>926</v>
      </c>
      <c r="B10943" s="271"/>
      <c r="C10943" s="271"/>
      <c r="D10943" s="271"/>
      <c r="E10943" s="271"/>
      <c r="F10943" s="271"/>
      <c r="G10943" s="271"/>
      <c r="H10943" s="271"/>
      <c r="I10943" s="271"/>
      <c r="J10943" s="271"/>
      <c r="K10943" s="271"/>
      <c r="L10943" s="271"/>
      <c r="M10943" s="271"/>
      <c r="N10943" s="273"/>
    </row>
    <row r="10944" spans="1:14" ht="12.75" customHeight="1" x14ac:dyDescent="0.2">
      <c r="A10944" s="396" t="s">
        <v>76</v>
      </c>
      <c r="B10944" s="271"/>
      <c r="C10944" s="271"/>
      <c r="D10944" s="271"/>
      <c r="E10944" s="271"/>
      <c r="F10944" s="271"/>
      <c r="G10944" s="273"/>
      <c r="H10944" s="88" t="s">
        <v>77</v>
      </c>
      <c r="I10944" s="399" t="s">
        <v>920</v>
      </c>
      <c r="J10944" s="273"/>
      <c r="K10944" s="399" t="s">
        <v>453</v>
      </c>
      <c r="L10944" s="273"/>
      <c r="M10944" s="399" t="s">
        <v>921</v>
      </c>
      <c r="N10944" s="273"/>
    </row>
    <row r="10945" spans="1:14" ht="12.75" customHeight="1" x14ac:dyDescent="0.2">
      <c r="A10945" s="400" t="s">
        <v>927</v>
      </c>
      <c r="B10945" s="271"/>
      <c r="C10945" s="271"/>
      <c r="D10945" s="271"/>
      <c r="E10945" s="271"/>
      <c r="F10945" s="271"/>
      <c r="G10945" s="273"/>
      <c r="H10945" s="29" t="str">
        <f>IF(A10945="","",VLOOKUP(A10945,AA_Equipos,7,FALSE))</f>
        <v>% M.O.</v>
      </c>
      <c r="I10945" s="394">
        <f>+M10968</f>
        <v>35111.444000000003</v>
      </c>
      <c r="J10945" s="273"/>
      <c r="K10945" s="404">
        <v>0.05</v>
      </c>
      <c r="L10945" s="273"/>
      <c r="M10945" s="394">
        <f t="shared" ref="M10945:M10949" si="1461">IF(A10945="","",I10945*K10945)</f>
        <v>1755.5722000000003</v>
      </c>
      <c r="N10945" s="273"/>
    </row>
    <row r="10946" spans="1:14" ht="12.75" customHeight="1" x14ac:dyDescent="0.2">
      <c r="A10946" s="403"/>
      <c r="B10946" s="271"/>
      <c r="C10946" s="271"/>
      <c r="D10946" s="271"/>
      <c r="E10946" s="271"/>
      <c r="F10946" s="271"/>
      <c r="G10946" s="273"/>
      <c r="H10946" s="29" t="str">
        <f>IF(A10946="","",VLOOKUP(A10946,AA_Equipos,7,FALSE))</f>
        <v/>
      </c>
      <c r="I10946" s="394" t="str">
        <f>IF(A10946="","",VLOOKUP(A10946,AA_Equipos,8,FALSE))</f>
        <v/>
      </c>
      <c r="J10946" s="273"/>
      <c r="K10946" s="402"/>
      <c r="L10946" s="273"/>
      <c r="M10946" s="394" t="str">
        <f t="shared" si="1461"/>
        <v/>
      </c>
      <c r="N10946" s="273"/>
    </row>
    <row r="10947" spans="1:14" ht="12.75" customHeight="1" x14ac:dyDescent="0.2">
      <c r="A10947" s="400"/>
      <c r="B10947" s="271"/>
      <c r="C10947" s="271"/>
      <c r="D10947" s="271"/>
      <c r="E10947" s="271"/>
      <c r="F10947" s="271"/>
      <c r="G10947" s="273"/>
      <c r="H10947" s="29" t="str">
        <f>IF(A10947="","",VLOOKUP(A10947,AA_Equipos,7,FALSE))</f>
        <v/>
      </c>
      <c r="I10947" s="394" t="str">
        <f>IF(A10947="","",VLOOKUP(A10947,AA_Equipos,8,FALSE))</f>
        <v/>
      </c>
      <c r="J10947" s="273"/>
      <c r="K10947" s="401"/>
      <c r="L10947" s="273"/>
      <c r="M10947" s="394" t="str">
        <f t="shared" si="1461"/>
        <v/>
      </c>
      <c r="N10947" s="273"/>
    </row>
    <row r="10948" spans="1:14" ht="12.75" customHeight="1" x14ac:dyDescent="0.2">
      <c r="A10948" s="400"/>
      <c r="B10948" s="271"/>
      <c r="C10948" s="271"/>
      <c r="D10948" s="271"/>
      <c r="E10948" s="271"/>
      <c r="F10948" s="271"/>
      <c r="G10948" s="273"/>
      <c r="H10948" s="29" t="str">
        <f>IF(A10948="","",VLOOKUP(A10948,AA_Equipos,7,FALSE))</f>
        <v/>
      </c>
      <c r="I10948" s="394" t="str">
        <f>IF(A10948="","",VLOOKUP(A10948,AA_Equipos,8,FALSE))</f>
        <v/>
      </c>
      <c r="J10948" s="273"/>
      <c r="K10948" s="395"/>
      <c r="L10948" s="273"/>
      <c r="M10948" s="394" t="str">
        <f t="shared" si="1461"/>
        <v/>
      </c>
      <c r="N10948" s="273"/>
    </row>
    <row r="10949" spans="1:14" ht="12.75" customHeight="1" x14ac:dyDescent="0.2">
      <c r="A10949" s="400"/>
      <c r="B10949" s="271"/>
      <c r="C10949" s="271"/>
      <c r="D10949" s="271"/>
      <c r="E10949" s="271"/>
      <c r="F10949" s="271"/>
      <c r="G10949" s="273"/>
      <c r="H10949" s="29" t="str">
        <f>IF(A10949="","",VLOOKUP(A10949,AA_Equipos,7,FALSE))</f>
        <v/>
      </c>
      <c r="I10949" s="394" t="str">
        <f>IF(A10949="","",VLOOKUP(A10949,AA_Equipos,8,FALSE))</f>
        <v/>
      </c>
      <c r="J10949" s="273"/>
      <c r="K10949" s="395"/>
      <c r="L10949" s="273"/>
      <c r="M10949" s="394" t="str">
        <f t="shared" si="1461"/>
        <v/>
      </c>
      <c r="N10949" s="273"/>
    </row>
    <row r="10950" spans="1:14" ht="12.75" customHeight="1" x14ac:dyDescent="0.25">
      <c r="A10950" s="4"/>
      <c r="B10950" s="4"/>
      <c r="C10950" s="4"/>
      <c r="D10950" s="4"/>
      <c r="E10950" s="4"/>
      <c r="F10950" s="4"/>
      <c r="G10950" s="4"/>
      <c r="H10950" s="4"/>
      <c r="I10950" s="4"/>
      <c r="J10950" s="4"/>
      <c r="K10950" s="396" t="s">
        <v>444</v>
      </c>
      <c r="L10950" s="273"/>
      <c r="M10950" s="394">
        <f>SUM(M10945:N10949)</f>
        <v>1755.5722000000003</v>
      </c>
      <c r="N10950" s="273"/>
    </row>
    <row r="10951" spans="1:14" ht="12.75" customHeight="1" x14ac:dyDescent="0.25">
      <c r="A10951" s="4"/>
      <c r="B10951" s="4"/>
      <c r="C10951" s="4"/>
      <c r="D10951" s="4"/>
      <c r="E10951" s="4"/>
      <c r="F10951" s="4"/>
      <c r="G10951" s="4"/>
      <c r="H10951" s="4"/>
      <c r="I10951" s="4"/>
      <c r="J10951" s="4"/>
      <c r="K10951" s="4"/>
      <c r="L10951" s="4"/>
      <c r="M10951" s="4"/>
      <c r="N10951" s="4"/>
    </row>
    <row r="10952" spans="1:14" ht="12.75" customHeight="1" x14ac:dyDescent="0.2">
      <c r="A10952" s="398" t="s">
        <v>929</v>
      </c>
      <c r="B10952" s="271"/>
      <c r="C10952" s="271"/>
      <c r="D10952" s="271"/>
      <c r="E10952" s="271"/>
      <c r="F10952" s="271"/>
      <c r="G10952" s="271"/>
      <c r="H10952" s="271"/>
      <c r="I10952" s="271"/>
      <c r="J10952" s="271"/>
      <c r="K10952" s="271"/>
      <c r="L10952" s="271"/>
      <c r="M10952" s="271"/>
      <c r="N10952" s="273"/>
    </row>
    <row r="10953" spans="1:14" ht="12.75" customHeight="1" x14ac:dyDescent="0.2">
      <c r="A10953" s="396" t="s">
        <v>76</v>
      </c>
      <c r="B10953" s="271"/>
      <c r="C10953" s="271"/>
      <c r="D10953" s="271"/>
      <c r="E10953" s="271"/>
      <c r="F10953" s="271"/>
      <c r="G10953" s="273"/>
      <c r="H10953" s="88" t="s">
        <v>77</v>
      </c>
      <c r="I10953" s="399" t="s">
        <v>920</v>
      </c>
      <c r="J10953" s="273"/>
      <c r="K10953" s="399" t="s">
        <v>453</v>
      </c>
      <c r="L10953" s="273"/>
      <c r="M10953" s="399" t="s">
        <v>921</v>
      </c>
      <c r="N10953" s="273"/>
    </row>
    <row r="10954" spans="1:14" ht="12.75" customHeight="1" x14ac:dyDescent="0.2">
      <c r="A10954" s="400" t="s">
        <v>960</v>
      </c>
      <c r="B10954" s="271"/>
      <c r="C10954" s="271"/>
      <c r="D10954" s="271"/>
      <c r="E10954" s="271"/>
      <c r="F10954" s="271"/>
      <c r="G10954" s="273"/>
      <c r="H10954" s="29" t="s">
        <v>950</v>
      </c>
      <c r="I10954" s="394">
        <f>+M10941</f>
        <v>423466.08333333331</v>
      </c>
      <c r="J10954" s="273"/>
      <c r="K10954" s="404">
        <v>0.05</v>
      </c>
      <c r="L10954" s="273"/>
      <c r="M10954" s="394">
        <f t="shared" ref="M10954:M10958" si="1462">IF(A10954="","",I10954*K10954)</f>
        <v>21173.304166666669</v>
      </c>
      <c r="N10954" s="273"/>
    </row>
    <row r="10955" spans="1:14" ht="12.75" customHeight="1" x14ac:dyDescent="0.2">
      <c r="A10955" s="403" t="s">
        <v>3174</v>
      </c>
      <c r="B10955" s="271"/>
      <c r="C10955" s="271"/>
      <c r="D10955" s="271"/>
      <c r="E10955" s="271"/>
      <c r="F10955" s="271"/>
      <c r="G10955" s="273"/>
      <c r="H10955" s="29" t="s">
        <v>24</v>
      </c>
      <c r="I10955" s="394">
        <f>+M10950</f>
        <v>1755.5722000000003</v>
      </c>
      <c r="J10955" s="273"/>
      <c r="K10955" s="404">
        <v>0.05</v>
      </c>
      <c r="L10955" s="273"/>
      <c r="M10955" s="394">
        <f t="shared" si="1462"/>
        <v>87.778610000000015</v>
      </c>
      <c r="N10955" s="273"/>
    </row>
    <row r="10956" spans="1:14" ht="12.75" customHeight="1" x14ac:dyDescent="0.2">
      <c r="A10956" s="400"/>
      <c r="B10956" s="271"/>
      <c r="C10956" s="271"/>
      <c r="D10956" s="271"/>
      <c r="E10956" s="271"/>
      <c r="F10956" s="271"/>
      <c r="G10956" s="273"/>
      <c r="H10956" s="29"/>
      <c r="I10956" s="394"/>
      <c r="J10956" s="273"/>
      <c r="K10956" s="395"/>
      <c r="L10956" s="273"/>
      <c r="M10956" s="394" t="str">
        <f t="shared" si="1462"/>
        <v/>
      </c>
      <c r="N10956" s="273"/>
    </row>
    <row r="10957" spans="1:14" ht="12.75" customHeight="1" x14ac:dyDescent="0.2">
      <c r="A10957" s="400"/>
      <c r="B10957" s="271"/>
      <c r="C10957" s="271"/>
      <c r="D10957" s="271"/>
      <c r="E10957" s="271"/>
      <c r="F10957" s="271"/>
      <c r="G10957" s="273"/>
      <c r="H10957" s="29"/>
      <c r="I10957" s="394"/>
      <c r="J10957" s="273"/>
      <c r="K10957" s="395"/>
      <c r="L10957" s="273"/>
      <c r="M10957" s="394" t="str">
        <f t="shared" si="1462"/>
        <v/>
      </c>
      <c r="N10957" s="273"/>
    </row>
    <row r="10958" spans="1:14" ht="12.75" customHeight="1" x14ac:dyDescent="0.2">
      <c r="A10958" s="400"/>
      <c r="B10958" s="271"/>
      <c r="C10958" s="271"/>
      <c r="D10958" s="271"/>
      <c r="E10958" s="271"/>
      <c r="F10958" s="271"/>
      <c r="G10958" s="273"/>
      <c r="H10958" s="29"/>
      <c r="I10958" s="394"/>
      <c r="J10958" s="273"/>
      <c r="K10958" s="395"/>
      <c r="L10958" s="273"/>
      <c r="M10958" s="394" t="str">
        <f t="shared" si="1462"/>
        <v/>
      </c>
      <c r="N10958" s="273"/>
    </row>
    <row r="10959" spans="1:14" ht="12.75" customHeight="1" x14ac:dyDescent="0.25">
      <c r="A10959" s="4"/>
      <c r="B10959" s="4"/>
      <c r="C10959" s="4"/>
      <c r="D10959" s="4"/>
      <c r="E10959" s="4"/>
      <c r="F10959" s="4"/>
      <c r="G10959" s="4"/>
      <c r="H10959" s="4"/>
      <c r="I10959" s="4"/>
      <c r="J10959" s="4"/>
      <c r="K10959" s="396" t="s">
        <v>444</v>
      </c>
      <c r="L10959" s="273"/>
      <c r="M10959" s="394">
        <f>SUM(M10954:N10958)</f>
        <v>21261.08277666667</v>
      </c>
      <c r="N10959" s="273"/>
    </row>
    <row r="10960" spans="1:14" ht="12.75" customHeight="1" x14ac:dyDescent="0.25">
      <c r="A10960" s="4"/>
      <c r="B10960" s="4"/>
      <c r="C10960" s="4"/>
      <c r="D10960" s="4"/>
      <c r="E10960" s="4"/>
      <c r="F10960" s="4"/>
      <c r="G10960" s="4"/>
      <c r="H10960" s="4"/>
      <c r="I10960" s="4"/>
      <c r="J10960" s="4"/>
      <c r="K10960" s="4"/>
      <c r="L10960" s="4"/>
      <c r="M10960" s="4"/>
      <c r="N10960" s="4"/>
    </row>
    <row r="10961" spans="1:14" ht="12.75" customHeight="1" x14ac:dyDescent="0.2">
      <c r="A10961" s="398" t="s">
        <v>931</v>
      </c>
      <c r="B10961" s="271"/>
      <c r="C10961" s="271"/>
      <c r="D10961" s="271"/>
      <c r="E10961" s="271"/>
      <c r="F10961" s="271"/>
      <c r="G10961" s="271"/>
      <c r="H10961" s="271"/>
      <c r="I10961" s="271"/>
      <c r="J10961" s="271"/>
      <c r="K10961" s="271"/>
      <c r="L10961" s="271"/>
      <c r="M10961" s="271"/>
      <c r="N10961" s="273"/>
    </row>
    <row r="10962" spans="1:14" ht="12.75" customHeight="1" x14ac:dyDescent="0.2">
      <c r="A10962" s="396" t="s">
        <v>76</v>
      </c>
      <c r="B10962" s="271"/>
      <c r="C10962" s="271"/>
      <c r="D10962" s="271"/>
      <c r="E10962" s="271"/>
      <c r="F10962" s="271"/>
      <c r="G10962" s="273"/>
      <c r="H10962" s="88" t="s">
        <v>77</v>
      </c>
      <c r="I10962" s="399" t="s">
        <v>920</v>
      </c>
      <c r="J10962" s="273"/>
      <c r="K10962" s="90" t="s">
        <v>514</v>
      </c>
      <c r="L10962" s="91" t="s">
        <v>932</v>
      </c>
      <c r="M10962" s="399" t="s">
        <v>921</v>
      </c>
      <c r="N10962" s="273"/>
    </row>
    <row r="10963" spans="1:14" ht="12.75" customHeight="1" x14ac:dyDescent="0.25">
      <c r="A10963" s="393" t="s">
        <v>986</v>
      </c>
      <c r="B10963" s="271"/>
      <c r="C10963" s="271"/>
      <c r="D10963" s="271"/>
      <c r="E10963" s="271"/>
      <c r="F10963" s="271"/>
      <c r="G10963" s="273"/>
      <c r="H10963" s="29" t="str">
        <f>IF(A10963="","",VLOOKUP(A10963,AA_Cuadrillas,4,FALSE))</f>
        <v>Cuadrilla</v>
      </c>
      <c r="I10963" s="394">
        <f>IF(A10963="","",VLOOKUP(A10963,AA_Cuadrillas,5,FALSE))</f>
        <v>186763</v>
      </c>
      <c r="J10963" s="273"/>
      <c r="K10963" s="9">
        <f>IF(A10963="","",F.P!$I$2)</f>
        <v>1.88</v>
      </c>
      <c r="L10963" s="97">
        <v>0.1</v>
      </c>
      <c r="M10963" s="394">
        <f t="shared" ref="M10963:M10967" si="1463">IF(A10963="","",I10963*K10963*L10963)</f>
        <v>35111.444000000003</v>
      </c>
      <c r="N10963" s="273"/>
    </row>
    <row r="10964" spans="1:14" ht="12.75" customHeight="1" x14ac:dyDescent="0.25">
      <c r="A10964" s="393"/>
      <c r="B10964" s="271"/>
      <c r="C10964" s="271"/>
      <c r="D10964" s="271"/>
      <c r="E10964" s="271"/>
      <c r="F10964" s="271"/>
      <c r="G10964" s="273"/>
      <c r="H10964" s="29" t="str">
        <f>IF(A10964="","",VLOOKUP(A10964,AA_Cuadrillas,4,FALSE))</f>
        <v/>
      </c>
      <c r="I10964" s="394" t="str">
        <f>IF(A10964="","",VLOOKUP(A10964,AA_Cuadrillas,5,FALSE))</f>
        <v/>
      </c>
      <c r="J10964" s="273"/>
      <c r="K10964" s="9" t="str">
        <f>IF(A10964="","",F.P!$I$2)</f>
        <v/>
      </c>
      <c r="L10964" s="9"/>
      <c r="M10964" s="394" t="str">
        <f t="shared" si="1463"/>
        <v/>
      </c>
      <c r="N10964" s="273"/>
    </row>
    <row r="10965" spans="1:14" ht="12.75" customHeight="1" x14ac:dyDescent="0.25">
      <c r="A10965" s="393"/>
      <c r="B10965" s="271"/>
      <c r="C10965" s="271"/>
      <c r="D10965" s="271"/>
      <c r="E10965" s="271"/>
      <c r="F10965" s="271"/>
      <c r="G10965" s="273"/>
      <c r="H10965" s="29" t="str">
        <f>IF(A10965="","",VLOOKUP(A10965,AA_Cuadrillas,4,FALSE))</f>
        <v/>
      </c>
      <c r="I10965" s="394" t="str">
        <f>IF(A10965="","",VLOOKUP(A10965,AA_Cuadrillas,5,FALSE))</f>
        <v/>
      </c>
      <c r="J10965" s="273"/>
      <c r="K10965" s="9" t="str">
        <f>IF(A10965="","",F.P!$I$2)</f>
        <v/>
      </c>
      <c r="L10965" s="37"/>
      <c r="M10965" s="394" t="str">
        <f t="shared" si="1463"/>
        <v/>
      </c>
      <c r="N10965" s="273"/>
    </row>
    <row r="10966" spans="1:14" ht="12.75" customHeight="1" x14ac:dyDescent="0.25">
      <c r="A10966" s="393"/>
      <c r="B10966" s="271"/>
      <c r="C10966" s="271"/>
      <c r="D10966" s="271"/>
      <c r="E10966" s="271"/>
      <c r="F10966" s="271"/>
      <c r="G10966" s="273"/>
      <c r="H10966" s="29" t="str">
        <f>IF(A10966="","",VLOOKUP(A10966,AA_Cuadrillas,4,FALSE))</f>
        <v/>
      </c>
      <c r="I10966" s="394" t="str">
        <f>IF(A10966="","",VLOOKUP(A10966,AA_Cuadrillas,5,FALSE))</f>
        <v/>
      </c>
      <c r="J10966" s="273"/>
      <c r="K10966" s="9" t="str">
        <f>IF(A10966="","",F.P!$I$2)</f>
        <v/>
      </c>
      <c r="L10966" s="37"/>
      <c r="M10966" s="394" t="str">
        <f t="shared" si="1463"/>
        <v/>
      </c>
      <c r="N10966" s="273"/>
    </row>
    <row r="10967" spans="1:14" ht="12.75" customHeight="1" x14ac:dyDescent="0.25">
      <c r="A10967" s="393"/>
      <c r="B10967" s="271"/>
      <c r="C10967" s="271"/>
      <c r="D10967" s="271"/>
      <c r="E10967" s="271"/>
      <c r="F10967" s="271"/>
      <c r="G10967" s="273"/>
      <c r="H10967" s="29" t="str">
        <f>IF(A10967="","",VLOOKUP(A10967,AA_Cuadrillas,4,FALSE))</f>
        <v/>
      </c>
      <c r="I10967" s="394" t="str">
        <f>IF(A10967="","",VLOOKUP(A10967,AA_Cuadrillas,5,FALSE))</f>
        <v/>
      </c>
      <c r="J10967" s="273"/>
      <c r="K10967" s="9" t="str">
        <f>IF(A10967="","",F.P!$I$2)</f>
        <v/>
      </c>
      <c r="L10967" s="37"/>
      <c r="M10967" s="394" t="str">
        <f t="shared" si="1463"/>
        <v/>
      </c>
      <c r="N10967" s="273"/>
    </row>
    <row r="10968" spans="1:14" ht="12.75" customHeight="1" x14ac:dyDescent="0.25">
      <c r="A10968" s="4"/>
      <c r="B10968" s="4"/>
      <c r="C10968" s="4"/>
      <c r="D10968" s="4"/>
      <c r="E10968" s="4"/>
      <c r="F10968" s="4"/>
      <c r="G10968" s="4"/>
      <c r="H10968" s="4"/>
      <c r="I10968" s="4"/>
      <c r="J10968" s="4"/>
      <c r="K10968" s="396" t="s">
        <v>444</v>
      </c>
      <c r="L10968" s="273"/>
      <c r="M10968" s="394">
        <f>SUM(M10963:N10967)</f>
        <v>35111.444000000003</v>
      </c>
      <c r="N10968" s="273"/>
    </row>
    <row r="10969" spans="1:14" ht="12.75" customHeight="1" x14ac:dyDescent="0.2"/>
    <row r="10970" spans="1:14" ht="12.75" customHeight="1" x14ac:dyDescent="0.2">
      <c r="A10970" s="397" t="s">
        <v>273</v>
      </c>
      <c r="B10970" s="275"/>
      <c r="C10970" s="275"/>
      <c r="D10970" s="275"/>
      <c r="E10970" s="275"/>
      <c r="F10970" s="275"/>
      <c r="G10970" s="275"/>
      <c r="H10970" s="275"/>
      <c r="I10970" s="275"/>
      <c r="J10970" s="275"/>
      <c r="K10970" s="275"/>
      <c r="L10970" s="275"/>
      <c r="M10970" s="275"/>
      <c r="N10970" s="276"/>
    </row>
    <row r="10971" spans="1:14" ht="12.75" customHeight="1" x14ac:dyDescent="0.2">
      <c r="A10971" s="277"/>
      <c r="B10971" s="278"/>
      <c r="C10971" s="278"/>
      <c r="D10971" s="278"/>
      <c r="E10971" s="278"/>
      <c r="F10971" s="278"/>
      <c r="G10971" s="278"/>
      <c r="H10971" s="278"/>
      <c r="I10971" s="278"/>
      <c r="J10971" s="278"/>
      <c r="K10971" s="278"/>
      <c r="L10971" s="278"/>
      <c r="M10971" s="278"/>
      <c r="N10971" s="279"/>
    </row>
    <row r="10972" spans="1:14" ht="12.75" customHeight="1" x14ac:dyDescent="0.2">
      <c r="A10972" s="75"/>
      <c r="B10972" s="75"/>
      <c r="C10972" s="75"/>
      <c r="D10972" s="75"/>
      <c r="E10972" s="75"/>
      <c r="F10972" s="75"/>
      <c r="G10972" s="75"/>
      <c r="H10972" s="75"/>
      <c r="I10972" s="75"/>
      <c r="J10972" s="75"/>
      <c r="K10972" s="75"/>
      <c r="L10972" s="75"/>
      <c r="M10972" s="75"/>
      <c r="N10972" s="75"/>
    </row>
    <row r="10973" spans="1:14" ht="12.75" customHeight="1" x14ac:dyDescent="0.3">
      <c r="A10973" s="79" t="s">
        <v>856</v>
      </c>
      <c r="B10973" s="80" t="str">
        <f>A10970</f>
        <v>KIT DE TUBERÍA DE RECOLECCIÓN DE AGUA FILTRADA  PARA LECHOS DE SECADO TIPO 2 Ø4" (INCLUYE NIPLE, PASAMURO, CODO, TEE, TUBERÍA PERFORADA Y NO PERFORADA, MATERIALES, HERRAMIENTAS Y MANO DE OBRA)</v>
      </c>
      <c r="C10973" s="81" t="s">
        <v>916</v>
      </c>
      <c r="D10973" s="82" t="s">
        <v>999</v>
      </c>
      <c r="E10973" s="83" t="s">
        <v>445</v>
      </c>
      <c r="F10973" s="86">
        <f>H10973+J10973+L10973+N10973</f>
        <v>3371119.3810000005</v>
      </c>
      <c r="G10973" s="83" t="s">
        <v>607</v>
      </c>
      <c r="H10973" s="86">
        <f>M10994</f>
        <v>8777.8610000000008</v>
      </c>
      <c r="I10973" s="83" t="s">
        <v>918</v>
      </c>
      <c r="J10973" s="86">
        <f>M10985</f>
        <v>3035032.666666667</v>
      </c>
      <c r="K10973" s="83" t="s">
        <v>609</v>
      </c>
      <c r="L10973" s="86">
        <f>M11003</f>
        <v>151751.63333333336</v>
      </c>
      <c r="M10973" s="83" t="s">
        <v>610</v>
      </c>
      <c r="N10973" s="86">
        <f>M11012</f>
        <v>175557.22</v>
      </c>
    </row>
    <row r="10974" spans="1:14" ht="12.75" customHeight="1" x14ac:dyDescent="0.25">
      <c r="A10974" s="87"/>
      <c r="B10974" s="87"/>
      <c r="C10974" s="87"/>
      <c r="D10974" s="87"/>
      <c r="E10974" s="87"/>
      <c r="F10974" s="87"/>
      <c r="G10974" s="87"/>
      <c r="J10974" s="87"/>
      <c r="K10974" s="215" t="s">
        <v>3217</v>
      </c>
      <c r="L10974" s="215">
        <f>+F10973*presup!$O$5</f>
        <v>4382455.1953000007</v>
      </c>
      <c r="M10974" s="87"/>
      <c r="N10974" s="87"/>
    </row>
    <row r="10975" spans="1:14" ht="12.75" customHeight="1" x14ac:dyDescent="0.2">
      <c r="A10975" s="398" t="s">
        <v>919</v>
      </c>
      <c r="B10975" s="271"/>
      <c r="C10975" s="271"/>
      <c r="D10975" s="271"/>
      <c r="E10975" s="271"/>
      <c r="F10975" s="271"/>
      <c r="G10975" s="271"/>
      <c r="H10975" s="271"/>
      <c r="I10975" s="271"/>
      <c r="J10975" s="271"/>
      <c r="K10975" s="271"/>
      <c r="L10975" s="271"/>
      <c r="M10975" s="271"/>
      <c r="N10975" s="273"/>
    </row>
    <row r="10976" spans="1:14" ht="12.75" customHeight="1" x14ac:dyDescent="0.2">
      <c r="A10976" s="396" t="s">
        <v>76</v>
      </c>
      <c r="B10976" s="271"/>
      <c r="C10976" s="271"/>
      <c r="D10976" s="271"/>
      <c r="E10976" s="271"/>
      <c r="F10976" s="271"/>
      <c r="G10976" s="273"/>
      <c r="H10976" s="88" t="s">
        <v>77</v>
      </c>
      <c r="I10976" s="399" t="s">
        <v>920</v>
      </c>
      <c r="J10976" s="273"/>
      <c r="K10976" s="399" t="s">
        <v>453</v>
      </c>
      <c r="L10976" s="273"/>
      <c r="M10976" s="399" t="s">
        <v>921</v>
      </c>
      <c r="N10976" s="273"/>
    </row>
    <row r="10977" spans="1:14" ht="12.75" customHeight="1" x14ac:dyDescent="0.2">
      <c r="A10977" s="403" t="s">
        <v>1528</v>
      </c>
      <c r="B10977" s="271"/>
      <c r="C10977" s="271"/>
      <c r="D10977" s="271"/>
      <c r="E10977" s="271"/>
      <c r="F10977" s="271"/>
      <c r="G10977" s="273"/>
      <c r="H10977" s="29" t="str">
        <f t="shared" ref="H10977:H10984" si="1464">IF(A10977="","",VLOOKUP(A10977,AA_Materiales,7,FALSE))</f>
        <v>ml</v>
      </c>
      <c r="I10977" s="394">
        <f t="shared" ref="I10977:I10984" si="1465">IF(A10977="","",VLOOKUP(A10977,AA_Materiales,8,FALSE))</f>
        <v>17990</v>
      </c>
      <c r="J10977" s="273"/>
      <c r="K10977" s="395">
        <v>37.6</v>
      </c>
      <c r="L10977" s="273"/>
      <c r="M10977" s="394">
        <f t="shared" ref="M10977:M10984" si="1466">IF(A10977="","",I10977*K10977)</f>
        <v>676424</v>
      </c>
      <c r="N10977" s="273"/>
    </row>
    <row r="10978" spans="1:14" ht="12.75" customHeight="1" x14ac:dyDescent="0.2">
      <c r="A10978" s="403" t="s">
        <v>1530</v>
      </c>
      <c r="B10978" s="271"/>
      <c r="C10978" s="271"/>
      <c r="D10978" s="271"/>
      <c r="E10978" s="271"/>
      <c r="F10978" s="271"/>
      <c r="G10978" s="273"/>
      <c r="H10978" s="29" t="str">
        <f t="shared" si="1464"/>
        <v>Unidad</v>
      </c>
      <c r="I10978" s="394">
        <f t="shared" si="1465"/>
        <v>3200</v>
      </c>
      <c r="J10978" s="273"/>
      <c r="K10978" s="395">
        <v>8</v>
      </c>
      <c r="L10978" s="273"/>
      <c r="M10978" s="394">
        <f t="shared" si="1466"/>
        <v>25600</v>
      </c>
      <c r="N10978" s="273"/>
    </row>
    <row r="10979" spans="1:14" ht="12.75" customHeight="1" x14ac:dyDescent="0.2">
      <c r="A10979" s="403" t="s">
        <v>1531</v>
      </c>
      <c r="B10979" s="271"/>
      <c r="C10979" s="271"/>
      <c r="D10979" s="271"/>
      <c r="E10979" s="271"/>
      <c r="F10979" s="271"/>
      <c r="G10979" s="273"/>
      <c r="H10979" s="29" t="str">
        <f t="shared" si="1464"/>
        <v>ml</v>
      </c>
      <c r="I10979" s="394">
        <f t="shared" si="1465"/>
        <v>16999.166666666668</v>
      </c>
      <c r="J10979" s="273"/>
      <c r="K10979" s="395">
        <v>16</v>
      </c>
      <c r="L10979" s="273"/>
      <c r="M10979" s="394">
        <f t="shared" si="1466"/>
        <v>271986.66666666669</v>
      </c>
      <c r="N10979" s="273"/>
    </row>
    <row r="10980" spans="1:14" ht="12.75" customHeight="1" x14ac:dyDescent="0.2">
      <c r="A10980" s="403" t="s">
        <v>1532</v>
      </c>
      <c r="B10980" s="271"/>
      <c r="C10980" s="271"/>
      <c r="D10980" s="271"/>
      <c r="E10980" s="271"/>
      <c r="F10980" s="271"/>
      <c r="G10980" s="273"/>
      <c r="H10980" s="29" t="str">
        <f t="shared" si="1464"/>
        <v>Unidad</v>
      </c>
      <c r="I10980" s="394">
        <f t="shared" si="1465"/>
        <v>43536</v>
      </c>
      <c r="J10980" s="273"/>
      <c r="K10980" s="395">
        <v>2</v>
      </c>
      <c r="L10980" s="273"/>
      <c r="M10980" s="394">
        <f t="shared" si="1466"/>
        <v>87072</v>
      </c>
      <c r="N10980" s="273"/>
    </row>
    <row r="10981" spans="1:14" ht="12.75" customHeight="1" x14ac:dyDescent="0.2">
      <c r="A10981" s="403" t="s">
        <v>985</v>
      </c>
      <c r="B10981" s="271"/>
      <c r="C10981" s="271"/>
      <c r="D10981" s="271"/>
      <c r="E10981" s="271"/>
      <c r="F10981" s="271"/>
      <c r="G10981" s="273"/>
      <c r="H10981" s="29" t="str">
        <f t="shared" si="1464"/>
        <v>Galón</v>
      </c>
      <c r="I10981" s="394">
        <f t="shared" si="1465"/>
        <v>47200</v>
      </c>
      <c r="J10981" s="273"/>
      <c r="K10981" s="395">
        <v>1</v>
      </c>
      <c r="L10981" s="273"/>
      <c r="M10981" s="394">
        <f t="shared" si="1466"/>
        <v>47200</v>
      </c>
      <c r="N10981" s="273"/>
    </row>
    <row r="10982" spans="1:14" ht="12.75" customHeight="1" x14ac:dyDescent="0.2">
      <c r="A10982" s="403" t="s">
        <v>1237</v>
      </c>
      <c r="B10982" s="271"/>
      <c r="C10982" s="271"/>
      <c r="D10982" s="271"/>
      <c r="E10982" s="271"/>
      <c r="F10982" s="271"/>
      <c r="G10982" s="273"/>
      <c r="H10982" s="29" t="str">
        <f t="shared" si="1464"/>
        <v>Unidad</v>
      </c>
      <c r="I10982" s="394">
        <f t="shared" si="1465"/>
        <v>27900</v>
      </c>
      <c r="J10982" s="273"/>
      <c r="K10982" s="395">
        <v>8</v>
      </c>
      <c r="L10982" s="273"/>
      <c r="M10982" s="394">
        <f t="shared" si="1466"/>
        <v>223200</v>
      </c>
      <c r="N10982" s="273"/>
    </row>
    <row r="10983" spans="1:14" ht="12.75" customHeight="1" x14ac:dyDescent="0.2">
      <c r="A10983" s="403" t="s">
        <v>1239</v>
      </c>
      <c r="B10983" s="271"/>
      <c r="C10983" s="271"/>
      <c r="D10983" s="271"/>
      <c r="E10983" s="271"/>
      <c r="F10983" s="271"/>
      <c r="G10983" s="273"/>
      <c r="H10983" s="29" t="str">
        <f t="shared" si="1464"/>
        <v>Unidad</v>
      </c>
      <c r="I10983" s="394">
        <f t="shared" si="1465"/>
        <v>87900</v>
      </c>
      <c r="J10983" s="273"/>
      <c r="K10983" s="395">
        <v>18</v>
      </c>
      <c r="L10983" s="273"/>
      <c r="M10983" s="394">
        <f t="shared" si="1466"/>
        <v>1582200</v>
      </c>
      <c r="N10983" s="273"/>
    </row>
    <row r="10984" spans="1:14" ht="12.75" customHeight="1" x14ac:dyDescent="0.2">
      <c r="A10984" s="403" t="s">
        <v>984</v>
      </c>
      <c r="B10984" s="271"/>
      <c r="C10984" s="271"/>
      <c r="D10984" s="271"/>
      <c r="E10984" s="271"/>
      <c r="F10984" s="271"/>
      <c r="G10984" s="273"/>
      <c r="H10984" s="29" t="str">
        <f t="shared" si="1464"/>
        <v>Galón</v>
      </c>
      <c r="I10984" s="394">
        <f t="shared" si="1465"/>
        <v>80900</v>
      </c>
      <c r="J10984" s="273"/>
      <c r="K10984" s="395">
        <v>1.5</v>
      </c>
      <c r="L10984" s="273"/>
      <c r="M10984" s="394">
        <f t="shared" si="1466"/>
        <v>121350</v>
      </c>
      <c r="N10984" s="273"/>
    </row>
    <row r="10985" spans="1:14" ht="12.75" customHeight="1" x14ac:dyDescent="0.25">
      <c r="A10985" s="4"/>
      <c r="B10985" s="4"/>
      <c r="C10985" s="4"/>
      <c r="D10985" s="4"/>
      <c r="E10985" s="4"/>
      <c r="F10985" s="4"/>
      <c r="G10985" s="4"/>
      <c r="H10985" s="4"/>
      <c r="I10985" s="4"/>
      <c r="J10985" s="4"/>
      <c r="K10985" s="396" t="s">
        <v>444</v>
      </c>
      <c r="L10985" s="273"/>
      <c r="M10985" s="394">
        <f>SUM(M10977:N10984)</f>
        <v>3035032.666666667</v>
      </c>
      <c r="N10985" s="273"/>
    </row>
    <row r="10986" spans="1:14" ht="12.75" customHeight="1" x14ac:dyDescent="0.25">
      <c r="A10986" s="4"/>
      <c r="B10986" s="4"/>
      <c r="C10986" s="4"/>
      <c r="D10986" s="4"/>
      <c r="E10986" s="4"/>
      <c r="F10986" s="4"/>
      <c r="G10986" s="4"/>
      <c r="H10986" s="4"/>
      <c r="I10986" s="4"/>
      <c r="J10986" s="4"/>
      <c r="K10986" s="4"/>
      <c r="L10986" s="4"/>
      <c r="M10986" s="4"/>
      <c r="N10986" s="4"/>
    </row>
    <row r="10987" spans="1:14" ht="12.75" customHeight="1" x14ac:dyDescent="0.2">
      <c r="A10987" s="398" t="s">
        <v>926</v>
      </c>
      <c r="B10987" s="271"/>
      <c r="C10987" s="271"/>
      <c r="D10987" s="271"/>
      <c r="E10987" s="271"/>
      <c r="F10987" s="271"/>
      <c r="G10987" s="271"/>
      <c r="H10987" s="271"/>
      <c r="I10987" s="271"/>
      <c r="J10987" s="271"/>
      <c r="K10987" s="271"/>
      <c r="L10987" s="271"/>
      <c r="M10987" s="271"/>
      <c r="N10987" s="273"/>
    </row>
    <row r="10988" spans="1:14" ht="12.75" customHeight="1" x14ac:dyDescent="0.2">
      <c r="A10988" s="396" t="s">
        <v>76</v>
      </c>
      <c r="B10988" s="271"/>
      <c r="C10988" s="271"/>
      <c r="D10988" s="271"/>
      <c r="E10988" s="271"/>
      <c r="F10988" s="271"/>
      <c r="G10988" s="273"/>
      <c r="H10988" s="88" t="s">
        <v>77</v>
      </c>
      <c r="I10988" s="399" t="s">
        <v>920</v>
      </c>
      <c r="J10988" s="273"/>
      <c r="K10988" s="399" t="s">
        <v>453</v>
      </c>
      <c r="L10988" s="273"/>
      <c r="M10988" s="399" t="s">
        <v>921</v>
      </c>
      <c r="N10988" s="273"/>
    </row>
    <row r="10989" spans="1:14" ht="12.75" customHeight="1" x14ac:dyDescent="0.2">
      <c r="A10989" s="400" t="s">
        <v>927</v>
      </c>
      <c r="B10989" s="271"/>
      <c r="C10989" s="271"/>
      <c r="D10989" s="271"/>
      <c r="E10989" s="271"/>
      <c r="F10989" s="271"/>
      <c r="G10989" s="273"/>
      <c r="H10989" s="29" t="str">
        <f>IF(A10989="","",VLOOKUP(A10989,AA_Equipos,7,FALSE))</f>
        <v>% M.O.</v>
      </c>
      <c r="I10989" s="394">
        <f>+M11012</f>
        <v>175557.22</v>
      </c>
      <c r="J10989" s="273"/>
      <c r="K10989" s="404">
        <v>0.05</v>
      </c>
      <c r="L10989" s="273"/>
      <c r="M10989" s="394">
        <f t="shared" ref="M10989:M10993" si="1467">IF(A10989="","",I10989*K10989)</f>
        <v>8777.8610000000008</v>
      </c>
      <c r="N10989" s="273"/>
    </row>
    <row r="10990" spans="1:14" ht="12.75" customHeight="1" x14ac:dyDescent="0.2">
      <c r="A10990" s="403"/>
      <c r="B10990" s="271"/>
      <c r="C10990" s="271"/>
      <c r="D10990" s="271"/>
      <c r="E10990" s="271"/>
      <c r="F10990" s="271"/>
      <c r="G10990" s="273"/>
      <c r="H10990" s="29" t="str">
        <f>IF(A10990="","",VLOOKUP(A10990,AA_Equipos,7,FALSE))</f>
        <v/>
      </c>
      <c r="I10990" s="394" t="str">
        <f>IF(A10990="","",VLOOKUP(A10990,AA_Equipos,8,FALSE))</f>
        <v/>
      </c>
      <c r="J10990" s="273"/>
      <c r="K10990" s="402"/>
      <c r="L10990" s="273"/>
      <c r="M10990" s="394" t="str">
        <f t="shared" si="1467"/>
        <v/>
      </c>
      <c r="N10990" s="273"/>
    </row>
    <row r="10991" spans="1:14" ht="12.75" customHeight="1" x14ac:dyDescent="0.2">
      <c r="A10991" s="400"/>
      <c r="B10991" s="271"/>
      <c r="C10991" s="271"/>
      <c r="D10991" s="271"/>
      <c r="E10991" s="271"/>
      <c r="F10991" s="271"/>
      <c r="G10991" s="273"/>
      <c r="H10991" s="29" t="str">
        <f>IF(A10991="","",VLOOKUP(A10991,AA_Equipos,7,FALSE))</f>
        <v/>
      </c>
      <c r="I10991" s="394" t="str">
        <f>IF(A10991="","",VLOOKUP(A10991,AA_Equipos,8,FALSE))</f>
        <v/>
      </c>
      <c r="J10991" s="273"/>
      <c r="K10991" s="401"/>
      <c r="L10991" s="273"/>
      <c r="M10991" s="394" t="str">
        <f t="shared" si="1467"/>
        <v/>
      </c>
      <c r="N10991" s="273"/>
    </row>
    <row r="10992" spans="1:14" ht="12.75" customHeight="1" x14ac:dyDescent="0.2">
      <c r="A10992" s="400"/>
      <c r="B10992" s="271"/>
      <c r="C10992" s="271"/>
      <c r="D10992" s="271"/>
      <c r="E10992" s="271"/>
      <c r="F10992" s="271"/>
      <c r="G10992" s="273"/>
      <c r="H10992" s="29" t="str">
        <f>IF(A10992="","",VLOOKUP(A10992,AA_Equipos,7,FALSE))</f>
        <v/>
      </c>
      <c r="I10992" s="394" t="str">
        <f>IF(A10992="","",VLOOKUP(A10992,AA_Equipos,8,FALSE))</f>
        <v/>
      </c>
      <c r="J10992" s="273"/>
      <c r="K10992" s="395"/>
      <c r="L10992" s="273"/>
      <c r="M10992" s="394" t="str">
        <f t="shared" si="1467"/>
        <v/>
      </c>
      <c r="N10992" s="273"/>
    </row>
    <row r="10993" spans="1:14" ht="12.75" customHeight="1" x14ac:dyDescent="0.2">
      <c r="A10993" s="400"/>
      <c r="B10993" s="271"/>
      <c r="C10993" s="271"/>
      <c r="D10993" s="271"/>
      <c r="E10993" s="271"/>
      <c r="F10993" s="271"/>
      <c r="G10993" s="273"/>
      <c r="H10993" s="29" t="str">
        <f>IF(A10993="","",VLOOKUP(A10993,AA_Equipos,7,FALSE))</f>
        <v/>
      </c>
      <c r="I10993" s="394" t="str">
        <f>IF(A10993="","",VLOOKUP(A10993,AA_Equipos,8,FALSE))</f>
        <v/>
      </c>
      <c r="J10993" s="273"/>
      <c r="K10993" s="395"/>
      <c r="L10993" s="273"/>
      <c r="M10993" s="394" t="str">
        <f t="shared" si="1467"/>
        <v/>
      </c>
      <c r="N10993" s="273"/>
    </row>
    <row r="10994" spans="1:14" ht="12.75" customHeight="1" x14ac:dyDescent="0.25">
      <c r="A10994" s="4"/>
      <c r="B10994" s="4"/>
      <c r="C10994" s="4"/>
      <c r="D10994" s="4"/>
      <c r="E10994" s="4"/>
      <c r="F10994" s="4"/>
      <c r="G10994" s="4"/>
      <c r="H10994" s="4"/>
      <c r="I10994" s="4"/>
      <c r="J10994" s="4"/>
      <c r="K10994" s="396" t="s">
        <v>444</v>
      </c>
      <c r="L10994" s="273"/>
      <c r="M10994" s="394">
        <f>SUM(M10989:N10993)</f>
        <v>8777.8610000000008</v>
      </c>
      <c r="N10994" s="273"/>
    </row>
    <row r="10995" spans="1:14" ht="12.75" customHeight="1" x14ac:dyDescent="0.25">
      <c r="A10995" s="4"/>
      <c r="B10995" s="4"/>
      <c r="C10995" s="4"/>
      <c r="D10995" s="4"/>
      <c r="E10995" s="4"/>
      <c r="F10995" s="4"/>
      <c r="G10995" s="4"/>
      <c r="H10995" s="4"/>
      <c r="I10995" s="4"/>
      <c r="J10995" s="4"/>
      <c r="K10995" s="4"/>
      <c r="L10995" s="4"/>
      <c r="M10995" s="4"/>
      <c r="N10995" s="4"/>
    </row>
    <row r="10996" spans="1:14" ht="12.75" customHeight="1" x14ac:dyDescent="0.2">
      <c r="A10996" s="398" t="s">
        <v>929</v>
      </c>
      <c r="B10996" s="271"/>
      <c r="C10996" s="271"/>
      <c r="D10996" s="271"/>
      <c r="E10996" s="271"/>
      <c r="F10996" s="271"/>
      <c r="G10996" s="271"/>
      <c r="H10996" s="271"/>
      <c r="I10996" s="271"/>
      <c r="J10996" s="271"/>
      <c r="K10996" s="271"/>
      <c r="L10996" s="271"/>
      <c r="M10996" s="271"/>
      <c r="N10996" s="273"/>
    </row>
    <row r="10997" spans="1:14" ht="12.75" customHeight="1" x14ac:dyDescent="0.2">
      <c r="A10997" s="396" t="s">
        <v>76</v>
      </c>
      <c r="B10997" s="271"/>
      <c r="C10997" s="271"/>
      <c r="D10997" s="271"/>
      <c r="E10997" s="271"/>
      <c r="F10997" s="271"/>
      <c r="G10997" s="273"/>
      <c r="H10997" s="88" t="s">
        <v>77</v>
      </c>
      <c r="I10997" s="399" t="s">
        <v>920</v>
      </c>
      <c r="J10997" s="273"/>
      <c r="K10997" s="399" t="s">
        <v>453</v>
      </c>
      <c r="L10997" s="273"/>
      <c r="M10997" s="399" t="s">
        <v>921</v>
      </c>
      <c r="N10997" s="273"/>
    </row>
    <row r="10998" spans="1:14" ht="12.75" customHeight="1" x14ac:dyDescent="0.2">
      <c r="A10998" s="400" t="s">
        <v>960</v>
      </c>
      <c r="B10998" s="271"/>
      <c r="C10998" s="271"/>
      <c r="D10998" s="271"/>
      <c r="E10998" s="271"/>
      <c r="F10998" s="271"/>
      <c r="G10998" s="273"/>
      <c r="H10998" s="29" t="s">
        <v>950</v>
      </c>
      <c r="I10998" s="394">
        <f>+M10985</f>
        <v>3035032.666666667</v>
      </c>
      <c r="J10998" s="273"/>
      <c r="K10998" s="404">
        <v>0.05</v>
      </c>
      <c r="L10998" s="273"/>
      <c r="M10998" s="394">
        <f t="shared" ref="M10998:M11002" si="1468">IF(A10998="","",I10998*K10998)</f>
        <v>151751.63333333336</v>
      </c>
      <c r="N10998" s="273"/>
    </row>
    <row r="10999" spans="1:14" ht="12.75" customHeight="1" x14ac:dyDescent="0.2">
      <c r="A10999" s="403"/>
      <c r="B10999" s="271"/>
      <c r="C10999" s="271"/>
      <c r="D10999" s="271"/>
      <c r="E10999" s="271"/>
      <c r="F10999" s="271"/>
      <c r="G10999" s="273"/>
      <c r="H10999" s="29"/>
      <c r="I10999" s="394"/>
      <c r="J10999" s="273"/>
      <c r="K10999" s="404"/>
      <c r="L10999" s="273"/>
      <c r="M10999" s="394" t="str">
        <f t="shared" si="1468"/>
        <v/>
      </c>
      <c r="N10999" s="273"/>
    </row>
    <row r="11000" spans="1:14" ht="12.75" customHeight="1" x14ac:dyDescent="0.2">
      <c r="A11000" s="400"/>
      <c r="B11000" s="271"/>
      <c r="C11000" s="271"/>
      <c r="D11000" s="271"/>
      <c r="E11000" s="271"/>
      <c r="F11000" s="271"/>
      <c r="G11000" s="273"/>
      <c r="H11000" s="29"/>
      <c r="I11000" s="394"/>
      <c r="J11000" s="273"/>
      <c r="K11000" s="395"/>
      <c r="L11000" s="273"/>
      <c r="M11000" s="394" t="str">
        <f t="shared" si="1468"/>
        <v/>
      </c>
      <c r="N11000" s="273"/>
    </row>
    <row r="11001" spans="1:14" ht="12.75" customHeight="1" x14ac:dyDescent="0.2">
      <c r="A11001" s="400"/>
      <c r="B11001" s="271"/>
      <c r="C11001" s="271"/>
      <c r="D11001" s="271"/>
      <c r="E11001" s="271"/>
      <c r="F11001" s="271"/>
      <c r="G11001" s="273"/>
      <c r="H11001" s="29"/>
      <c r="I11001" s="394"/>
      <c r="J11001" s="273"/>
      <c r="K11001" s="395"/>
      <c r="L11001" s="273"/>
      <c r="M11001" s="394" t="str">
        <f t="shared" si="1468"/>
        <v/>
      </c>
      <c r="N11001" s="273"/>
    </row>
    <row r="11002" spans="1:14" ht="12.75" customHeight="1" x14ac:dyDescent="0.2">
      <c r="A11002" s="400"/>
      <c r="B11002" s="271"/>
      <c r="C11002" s="271"/>
      <c r="D11002" s="271"/>
      <c r="E11002" s="271"/>
      <c r="F11002" s="271"/>
      <c r="G11002" s="273"/>
      <c r="H11002" s="29"/>
      <c r="I11002" s="394"/>
      <c r="J11002" s="273"/>
      <c r="K11002" s="395"/>
      <c r="L11002" s="273"/>
      <c r="M11002" s="394" t="str">
        <f t="shared" si="1468"/>
        <v/>
      </c>
      <c r="N11002" s="273"/>
    </row>
    <row r="11003" spans="1:14" ht="12.75" customHeight="1" x14ac:dyDescent="0.25">
      <c r="A11003" s="4"/>
      <c r="B11003" s="4"/>
      <c r="C11003" s="4"/>
      <c r="D11003" s="4"/>
      <c r="E11003" s="4"/>
      <c r="F11003" s="4"/>
      <c r="G11003" s="4"/>
      <c r="H11003" s="4"/>
      <c r="I11003" s="4"/>
      <c r="J11003" s="4"/>
      <c r="K11003" s="396" t="s">
        <v>444</v>
      </c>
      <c r="L11003" s="273"/>
      <c r="M11003" s="394">
        <f>SUM(M10998:N11002)</f>
        <v>151751.63333333336</v>
      </c>
      <c r="N11003" s="273"/>
    </row>
    <row r="11004" spans="1:14" ht="12.75" customHeight="1" x14ac:dyDescent="0.25">
      <c r="A11004" s="4"/>
      <c r="B11004" s="4"/>
      <c r="C11004" s="4"/>
      <c r="D11004" s="4"/>
      <c r="E11004" s="4"/>
      <c r="F11004" s="4"/>
      <c r="G11004" s="4"/>
      <c r="H11004" s="4"/>
      <c r="I11004" s="4"/>
      <c r="J11004" s="4"/>
      <c r="K11004" s="4"/>
      <c r="L11004" s="4"/>
      <c r="M11004" s="4"/>
      <c r="N11004" s="4"/>
    </row>
    <row r="11005" spans="1:14" ht="12.75" customHeight="1" x14ac:dyDescent="0.2">
      <c r="A11005" s="398" t="s">
        <v>931</v>
      </c>
      <c r="B11005" s="271"/>
      <c r="C11005" s="271"/>
      <c r="D11005" s="271"/>
      <c r="E11005" s="271"/>
      <c r="F11005" s="271"/>
      <c r="G11005" s="271"/>
      <c r="H11005" s="271"/>
      <c r="I11005" s="271"/>
      <c r="J11005" s="271"/>
      <c r="K11005" s="271"/>
      <c r="L11005" s="271"/>
      <c r="M11005" s="271"/>
      <c r="N11005" s="273"/>
    </row>
    <row r="11006" spans="1:14" ht="12.75" customHeight="1" x14ac:dyDescent="0.2">
      <c r="A11006" s="396" t="s">
        <v>76</v>
      </c>
      <c r="B11006" s="271"/>
      <c r="C11006" s="271"/>
      <c r="D11006" s="271"/>
      <c r="E11006" s="271"/>
      <c r="F11006" s="271"/>
      <c r="G11006" s="273"/>
      <c r="H11006" s="88" t="s">
        <v>77</v>
      </c>
      <c r="I11006" s="399" t="s">
        <v>920</v>
      </c>
      <c r="J11006" s="273"/>
      <c r="K11006" s="90" t="s">
        <v>514</v>
      </c>
      <c r="L11006" s="91" t="s">
        <v>932</v>
      </c>
      <c r="M11006" s="399" t="s">
        <v>921</v>
      </c>
      <c r="N11006" s="273"/>
    </row>
    <row r="11007" spans="1:14" ht="12.75" customHeight="1" x14ac:dyDescent="0.25">
      <c r="A11007" s="393" t="s">
        <v>986</v>
      </c>
      <c r="B11007" s="271"/>
      <c r="C11007" s="271"/>
      <c r="D11007" s="271"/>
      <c r="E11007" s="271"/>
      <c r="F11007" s="271"/>
      <c r="G11007" s="273"/>
      <c r="H11007" s="29" t="str">
        <f>IF(A11007="","",VLOOKUP(A11007,AA_Cuadrillas,4,FALSE))</f>
        <v>Cuadrilla</v>
      </c>
      <c r="I11007" s="394">
        <f>IF(A11007="","",VLOOKUP(A11007,AA_Cuadrillas,5,FALSE))</f>
        <v>186763</v>
      </c>
      <c r="J11007" s="273"/>
      <c r="K11007" s="9">
        <f>IF(A11007="","",F.P!$I$2)</f>
        <v>1.88</v>
      </c>
      <c r="L11007" s="97">
        <v>0.5</v>
      </c>
      <c r="M11007" s="394">
        <f t="shared" ref="M11007:M11011" si="1469">IF(A11007="","",I11007*K11007*L11007)</f>
        <v>175557.22</v>
      </c>
      <c r="N11007" s="273"/>
    </row>
    <row r="11008" spans="1:14" ht="12.75" customHeight="1" x14ac:dyDescent="0.25">
      <c r="A11008" s="393"/>
      <c r="B11008" s="271"/>
      <c r="C11008" s="271"/>
      <c r="D11008" s="271"/>
      <c r="E11008" s="271"/>
      <c r="F11008" s="271"/>
      <c r="G11008" s="273"/>
      <c r="H11008" s="29" t="str">
        <f>IF(A11008="","",VLOOKUP(A11008,AA_Cuadrillas,4,FALSE))</f>
        <v/>
      </c>
      <c r="I11008" s="394" t="str">
        <f>IF(A11008="","",VLOOKUP(A11008,AA_Cuadrillas,5,FALSE))</f>
        <v/>
      </c>
      <c r="J11008" s="273"/>
      <c r="K11008" s="9" t="str">
        <f>IF(A11008="","",F.P!$I$2)</f>
        <v/>
      </c>
      <c r="L11008" s="9"/>
      <c r="M11008" s="394" t="str">
        <f t="shared" si="1469"/>
        <v/>
      </c>
      <c r="N11008" s="273"/>
    </row>
    <row r="11009" spans="1:15" ht="12.75" customHeight="1" x14ac:dyDescent="0.25">
      <c r="A11009" s="393"/>
      <c r="B11009" s="271"/>
      <c r="C11009" s="271"/>
      <c r="D11009" s="271"/>
      <c r="E11009" s="271"/>
      <c r="F11009" s="271"/>
      <c r="G11009" s="273"/>
      <c r="H11009" s="29" t="str">
        <f>IF(A11009="","",VLOOKUP(A11009,AA_Cuadrillas,4,FALSE))</f>
        <v/>
      </c>
      <c r="I11009" s="394" t="str">
        <f>IF(A11009="","",VLOOKUP(A11009,AA_Cuadrillas,5,FALSE))</f>
        <v/>
      </c>
      <c r="J11009" s="273"/>
      <c r="K11009" s="9" t="str">
        <f>IF(A11009="","",F.P!$I$2)</f>
        <v/>
      </c>
      <c r="L11009" s="37"/>
      <c r="M11009" s="394" t="str">
        <f t="shared" si="1469"/>
        <v/>
      </c>
      <c r="N11009" s="273"/>
    </row>
    <row r="11010" spans="1:15" ht="12.75" customHeight="1" x14ac:dyDescent="0.25">
      <c r="A11010" s="393"/>
      <c r="B11010" s="271"/>
      <c r="C11010" s="271"/>
      <c r="D11010" s="271"/>
      <c r="E11010" s="271"/>
      <c r="F11010" s="271"/>
      <c r="G11010" s="273"/>
      <c r="H11010" s="29" t="str">
        <f>IF(A11010="","",VLOOKUP(A11010,AA_Cuadrillas,4,FALSE))</f>
        <v/>
      </c>
      <c r="I11010" s="394" t="str">
        <f>IF(A11010="","",VLOOKUP(A11010,AA_Cuadrillas,5,FALSE))</f>
        <v/>
      </c>
      <c r="J11010" s="273"/>
      <c r="K11010" s="9" t="str">
        <f>IF(A11010="","",F.P!$I$2)</f>
        <v/>
      </c>
      <c r="L11010" s="37"/>
      <c r="M11010" s="394" t="str">
        <f t="shared" si="1469"/>
        <v/>
      </c>
      <c r="N11010" s="273"/>
    </row>
    <row r="11011" spans="1:15" ht="12.75" customHeight="1" x14ac:dyDescent="0.25">
      <c r="A11011" s="393"/>
      <c r="B11011" s="271"/>
      <c r="C11011" s="271"/>
      <c r="D11011" s="271"/>
      <c r="E11011" s="271"/>
      <c r="F11011" s="271"/>
      <c r="G11011" s="273"/>
      <c r="H11011" s="29" t="str">
        <f>IF(A11011="","",VLOOKUP(A11011,AA_Cuadrillas,4,FALSE))</f>
        <v/>
      </c>
      <c r="I11011" s="394" t="str">
        <f>IF(A11011="","",VLOOKUP(A11011,AA_Cuadrillas,5,FALSE))</f>
        <v/>
      </c>
      <c r="J11011" s="273"/>
      <c r="K11011" s="9" t="str">
        <f>IF(A11011="","",F.P!$I$2)</f>
        <v/>
      </c>
      <c r="L11011" s="37"/>
      <c r="M11011" s="394" t="str">
        <f t="shared" si="1469"/>
        <v/>
      </c>
      <c r="N11011" s="273"/>
    </row>
    <row r="11012" spans="1:15" ht="12.75" customHeight="1" x14ac:dyDescent="0.25">
      <c r="A11012" s="4"/>
      <c r="B11012" s="4"/>
      <c r="C11012" s="4"/>
      <c r="D11012" s="4"/>
      <c r="E11012" s="4"/>
      <c r="F11012" s="4"/>
      <c r="G11012" s="4"/>
      <c r="H11012" s="4"/>
      <c r="I11012" s="4"/>
      <c r="J11012" s="4"/>
      <c r="K11012" s="396" t="s">
        <v>444</v>
      </c>
      <c r="L11012" s="273"/>
      <c r="M11012" s="394">
        <f>SUM(M11007:N11011)</f>
        <v>175557.22</v>
      </c>
      <c r="N11012" s="273"/>
    </row>
    <row r="11013" spans="1:15" ht="12.75" customHeight="1" x14ac:dyDescent="0.2"/>
    <row r="11014" spans="1:15" ht="12.75" customHeight="1" x14ac:dyDescent="0.2">
      <c r="A11014" s="397" t="s">
        <v>270</v>
      </c>
      <c r="B11014" s="275"/>
      <c r="C11014" s="275"/>
      <c r="D11014" s="275"/>
      <c r="E11014" s="275"/>
      <c r="F11014" s="275"/>
      <c r="G11014" s="275"/>
      <c r="H11014" s="275"/>
      <c r="I11014" s="275"/>
      <c r="J11014" s="275"/>
      <c r="K11014" s="275"/>
      <c r="L11014" s="275"/>
      <c r="M11014" s="275"/>
      <c r="N11014" s="276"/>
      <c r="O11014" s="166"/>
    </row>
    <row r="11015" spans="1:15" ht="12.75" customHeight="1" x14ac:dyDescent="0.2">
      <c r="A11015" s="277"/>
      <c r="B11015" s="278"/>
      <c r="C11015" s="278"/>
      <c r="D11015" s="278"/>
      <c r="E11015" s="278"/>
      <c r="F11015" s="278"/>
      <c r="G11015" s="278"/>
      <c r="H11015" s="278"/>
      <c r="I11015" s="278"/>
      <c r="J11015" s="278"/>
      <c r="K11015" s="278"/>
      <c r="L11015" s="278"/>
      <c r="M11015" s="278"/>
      <c r="N11015" s="279"/>
      <c r="O11015" s="166"/>
    </row>
    <row r="11016" spans="1:15" ht="12.75" customHeight="1" x14ac:dyDescent="0.2">
      <c r="A11016" s="75"/>
      <c r="B11016" s="75"/>
      <c r="C11016" s="75"/>
      <c r="D11016" s="75"/>
      <c r="E11016" s="75"/>
      <c r="F11016" s="75"/>
      <c r="G11016" s="75"/>
      <c r="H11016" s="75"/>
      <c r="I11016" s="75"/>
      <c r="J11016" s="75"/>
      <c r="K11016" s="75"/>
      <c r="L11016" s="75"/>
      <c r="M11016" s="75"/>
      <c r="N11016" s="75"/>
    </row>
    <row r="11017" spans="1:15" ht="12.75" customHeight="1" x14ac:dyDescent="0.3">
      <c r="A11017" s="79" t="s">
        <v>857</v>
      </c>
      <c r="B11017" s="80" t="str">
        <f>A11014</f>
        <v>ESTRUCTURA DE COLUMNA METÁLICA EN ACERO (INCLUYE, PERFIL EN C, SOLDADURA, PITURA, PERNOS DE ANCLAJE, PLACA DE ANCLAJE, MATERIALES, EQUIPO, HERRAMIENTA MENOR Y MANO DE OBRA)</v>
      </c>
      <c r="C11017" s="81" t="s">
        <v>916</v>
      </c>
      <c r="D11017" s="82" t="s">
        <v>981</v>
      </c>
      <c r="E11017" s="83" t="s">
        <v>445</v>
      </c>
      <c r="F11017" s="234">
        <f>(H11017+J11017+L11017+N11017)*1.3</f>
        <v>1520733.3538971602</v>
      </c>
      <c r="G11017" s="83" t="s">
        <v>607</v>
      </c>
      <c r="H11017" s="86">
        <f>M11037</f>
        <v>34730.46875</v>
      </c>
      <c r="I11017" s="83" t="s">
        <v>918</v>
      </c>
      <c r="J11017" s="86">
        <f>M11028</f>
        <v>894017.63850066671</v>
      </c>
      <c r="K11017" s="83" t="s">
        <v>609</v>
      </c>
      <c r="L11017" s="86">
        <f>M11046</f>
        <v>46437.40536253334</v>
      </c>
      <c r="M11017" s="83" t="s">
        <v>610</v>
      </c>
      <c r="N11017" s="86">
        <f>M11055</f>
        <v>194609.375</v>
      </c>
    </row>
    <row r="11018" spans="1:15" ht="12.75" customHeight="1" x14ac:dyDescent="0.25">
      <c r="A11018" s="87"/>
      <c r="B11018" s="87"/>
      <c r="C11018" s="87"/>
      <c r="D11018" s="87"/>
      <c r="E11018" s="87"/>
      <c r="F11018" s="87"/>
      <c r="G11018" s="87"/>
      <c r="J11018" s="87"/>
      <c r="K11018" s="215" t="s">
        <v>3217</v>
      </c>
      <c r="L11018" s="215">
        <f>+F11017*presup!$O$5</f>
        <v>1976953.3600663082</v>
      </c>
      <c r="M11018" s="87"/>
      <c r="N11018" s="87"/>
    </row>
    <row r="11019" spans="1:15" ht="12.75" customHeight="1" x14ac:dyDescent="0.2">
      <c r="A11019" s="398" t="s">
        <v>919</v>
      </c>
      <c r="B11019" s="271"/>
      <c r="C11019" s="271"/>
      <c r="D11019" s="271"/>
      <c r="E11019" s="271"/>
      <c r="F11019" s="271"/>
      <c r="G11019" s="271"/>
      <c r="H11019" s="271"/>
      <c r="I11019" s="271"/>
      <c r="J11019" s="271"/>
      <c r="K11019" s="271"/>
      <c r="L11019" s="271"/>
      <c r="M11019" s="271"/>
      <c r="N11019" s="273"/>
    </row>
    <row r="11020" spans="1:15" ht="12.75" customHeight="1" x14ac:dyDescent="0.2">
      <c r="A11020" s="396" t="s">
        <v>76</v>
      </c>
      <c r="B11020" s="271"/>
      <c r="C11020" s="271"/>
      <c r="D11020" s="271"/>
      <c r="E11020" s="271"/>
      <c r="F11020" s="271"/>
      <c r="G11020" s="273"/>
      <c r="H11020" s="88" t="s">
        <v>77</v>
      </c>
      <c r="I11020" s="399" t="s">
        <v>920</v>
      </c>
      <c r="J11020" s="273"/>
      <c r="K11020" s="399" t="s">
        <v>453</v>
      </c>
      <c r="L11020" s="273"/>
      <c r="M11020" s="399" t="s">
        <v>921</v>
      </c>
      <c r="N11020" s="273"/>
    </row>
    <row r="11021" spans="1:15" ht="12.75" customHeight="1" x14ac:dyDescent="0.2">
      <c r="A11021" s="403" t="s">
        <v>1505</v>
      </c>
      <c r="B11021" s="271"/>
      <c r="C11021" s="271"/>
      <c r="D11021" s="271"/>
      <c r="E11021" s="271"/>
      <c r="F11021" s="271"/>
      <c r="G11021" s="273"/>
      <c r="H11021" s="29" t="str">
        <f t="shared" ref="H11021:H11027" si="1470">IF(A11021="","",VLOOKUP(A11021,AA_Materiales,7,FALSE))</f>
        <v>ml</v>
      </c>
      <c r="I11021" s="394">
        <f t="shared" ref="I11021:I11027" si="1471">IF(A11021="","",VLOOKUP(A11021,AA_Materiales,8,FALSE))</f>
        <v>32350</v>
      </c>
      <c r="J11021" s="273"/>
      <c r="K11021" s="395">
        <v>2</v>
      </c>
      <c r="L11021" s="273"/>
      <c r="M11021" s="394">
        <f t="shared" ref="M11021:M11027" si="1472">IF(A11021="","",I11021*K11021)</f>
        <v>64700</v>
      </c>
      <c r="N11021" s="273"/>
    </row>
    <row r="11022" spans="1:15" ht="12.75" customHeight="1" x14ac:dyDescent="0.2">
      <c r="A11022" s="403" t="s">
        <v>1355</v>
      </c>
      <c r="B11022" s="271"/>
      <c r="C11022" s="271"/>
      <c r="D11022" s="271"/>
      <c r="E11022" s="271"/>
      <c r="F11022" s="271"/>
      <c r="G11022" s="273"/>
      <c r="H11022" s="29" t="str">
        <f t="shared" si="1470"/>
        <v>Unidad</v>
      </c>
      <c r="I11022" s="394">
        <f t="shared" si="1471"/>
        <v>31952</v>
      </c>
      <c r="J11022" s="273"/>
      <c r="K11022" s="395">
        <v>8</v>
      </c>
      <c r="L11022" s="273"/>
      <c r="M11022" s="394">
        <f t="shared" si="1472"/>
        <v>255616</v>
      </c>
      <c r="N11022" s="273"/>
    </row>
    <row r="11023" spans="1:15" ht="12.75" customHeight="1" x14ac:dyDescent="0.2">
      <c r="A11023" s="403" t="s">
        <v>995</v>
      </c>
      <c r="B11023" s="271"/>
      <c r="C11023" s="271"/>
      <c r="D11023" s="271"/>
      <c r="E11023" s="271"/>
      <c r="F11023" s="271"/>
      <c r="G11023" s="273"/>
      <c r="H11023" s="29" t="str">
        <f t="shared" si="1470"/>
        <v>Galón</v>
      </c>
      <c r="I11023" s="394">
        <f t="shared" si="1471"/>
        <v>95900</v>
      </c>
      <c r="J11023" s="273"/>
      <c r="K11023" s="395">
        <v>0.1</v>
      </c>
      <c r="L11023" s="273"/>
      <c r="M11023" s="394">
        <f t="shared" si="1472"/>
        <v>9590</v>
      </c>
      <c r="N11023" s="273"/>
    </row>
    <row r="11024" spans="1:15" ht="12.75" customHeight="1" x14ac:dyDescent="0.2">
      <c r="A11024" s="403" t="s">
        <v>1349</v>
      </c>
      <c r="B11024" s="271"/>
      <c r="C11024" s="271"/>
      <c r="D11024" s="271"/>
      <c r="E11024" s="271"/>
      <c r="F11024" s="271"/>
      <c r="G11024" s="273"/>
      <c r="H11024" s="29" t="str">
        <f t="shared" si="1470"/>
        <v>Kg</v>
      </c>
      <c r="I11024" s="394">
        <f t="shared" si="1471"/>
        <v>28758.641138999999</v>
      </c>
      <c r="J11024" s="273"/>
      <c r="K11024" s="395">
        <v>6</v>
      </c>
      <c r="L11024" s="273"/>
      <c r="M11024" s="394">
        <f t="shared" si="1472"/>
        <v>172551.846834</v>
      </c>
      <c r="N11024" s="273"/>
    </row>
    <row r="11025" spans="1:14" ht="12.75" customHeight="1" x14ac:dyDescent="0.2">
      <c r="A11025" s="403" t="s">
        <v>1353</v>
      </c>
      <c r="B11025" s="271"/>
      <c r="C11025" s="271"/>
      <c r="D11025" s="271"/>
      <c r="E11025" s="271"/>
      <c r="F11025" s="271"/>
      <c r="G11025" s="273"/>
      <c r="H11025" s="29" t="str">
        <f t="shared" si="1470"/>
        <v>Unidad</v>
      </c>
      <c r="I11025" s="394">
        <f t="shared" si="1471"/>
        <v>24472.486979166668</v>
      </c>
      <c r="J11025" s="273"/>
      <c r="K11025" s="395">
        <v>16</v>
      </c>
      <c r="L11025" s="273"/>
      <c r="M11025" s="394">
        <f t="shared" si="1472"/>
        <v>391559.79166666669</v>
      </c>
      <c r="N11025" s="273"/>
    </row>
    <row r="11026" spans="1:14" ht="12.75" customHeight="1" x14ac:dyDescent="0.2">
      <c r="A11026" s="403"/>
      <c r="B11026" s="271"/>
      <c r="C11026" s="271"/>
      <c r="D11026" s="271"/>
      <c r="E11026" s="271"/>
      <c r="F11026" s="271"/>
      <c r="G11026" s="273"/>
      <c r="H11026" s="29" t="str">
        <f t="shared" si="1470"/>
        <v/>
      </c>
      <c r="I11026" s="394" t="str">
        <f t="shared" si="1471"/>
        <v/>
      </c>
      <c r="J11026" s="273"/>
      <c r="K11026" s="395"/>
      <c r="L11026" s="273"/>
      <c r="M11026" s="394" t="str">
        <f t="shared" si="1472"/>
        <v/>
      </c>
      <c r="N11026" s="273"/>
    </row>
    <row r="11027" spans="1:14" ht="12.75" customHeight="1" x14ac:dyDescent="0.2">
      <c r="A11027" s="403"/>
      <c r="B11027" s="271"/>
      <c r="C11027" s="271"/>
      <c r="D11027" s="271"/>
      <c r="E11027" s="271"/>
      <c r="F11027" s="271"/>
      <c r="G11027" s="273"/>
      <c r="H11027" s="29" t="str">
        <f t="shared" si="1470"/>
        <v/>
      </c>
      <c r="I11027" s="394" t="str">
        <f t="shared" si="1471"/>
        <v/>
      </c>
      <c r="J11027" s="273"/>
      <c r="K11027" s="395"/>
      <c r="L11027" s="273"/>
      <c r="M11027" s="394" t="str">
        <f t="shared" si="1472"/>
        <v/>
      </c>
      <c r="N11027" s="273"/>
    </row>
    <row r="11028" spans="1:14" ht="12.75" customHeight="1" x14ac:dyDescent="0.25">
      <c r="A11028" s="4"/>
      <c r="B11028" s="4"/>
      <c r="C11028" s="4"/>
      <c r="D11028" s="4"/>
      <c r="E11028" s="4"/>
      <c r="F11028" s="4"/>
      <c r="G11028" s="4"/>
      <c r="H11028" s="4"/>
      <c r="I11028" s="4"/>
      <c r="J11028" s="4"/>
      <c r="K11028" s="396" t="s">
        <v>444</v>
      </c>
      <c r="L11028" s="273"/>
      <c r="M11028" s="394">
        <f>SUM(M11021:N11027)</f>
        <v>894017.63850066671</v>
      </c>
      <c r="N11028" s="273"/>
    </row>
    <row r="11029" spans="1:14" ht="12.75" customHeight="1" x14ac:dyDescent="0.25">
      <c r="A11029" s="4"/>
      <c r="B11029" s="4"/>
      <c r="C11029" s="4"/>
      <c r="D11029" s="4"/>
      <c r="E11029" s="4"/>
      <c r="F11029" s="4"/>
      <c r="G11029" s="4"/>
      <c r="H11029" s="4"/>
      <c r="I11029" s="4"/>
      <c r="J11029" s="4"/>
      <c r="K11029" s="4"/>
      <c r="L11029" s="4"/>
      <c r="M11029" s="4"/>
      <c r="N11029" s="4"/>
    </row>
    <row r="11030" spans="1:14" ht="12.75" customHeight="1" x14ac:dyDescent="0.2">
      <c r="A11030" s="398" t="s">
        <v>926</v>
      </c>
      <c r="B11030" s="271"/>
      <c r="C11030" s="271"/>
      <c r="D11030" s="271"/>
      <c r="E11030" s="271"/>
      <c r="F11030" s="271"/>
      <c r="G11030" s="271"/>
      <c r="H11030" s="271"/>
      <c r="I11030" s="271"/>
      <c r="J11030" s="271"/>
      <c r="K11030" s="271"/>
      <c r="L11030" s="271"/>
      <c r="M11030" s="271"/>
      <c r="N11030" s="273"/>
    </row>
    <row r="11031" spans="1:14" ht="12.75" customHeight="1" x14ac:dyDescent="0.2">
      <c r="A11031" s="396" t="s">
        <v>76</v>
      </c>
      <c r="B11031" s="271"/>
      <c r="C11031" s="271"/>
      <c r="D11031" s="271"/>
      <c r="E11031" s="271"/>
      <c r="F11031" s="271"/>
      <c r="G11031" s="273"/>
      <c r="H11031" s="88" t="s">
        <v>77</v>
      </c>
      <c r="I11031" s="399" t="s">
        <v>920</v>
      </c>
      <c r="J11031" s="273"/>
      <c r="K11031" s="399" t="s">
        <v>453</v>
      </c>
      <c r="L11031" s="273"/>
      <c r="M11031" s="399" t="s">
        <v>921</v>
      </c>
      <c r="N11031" s="273"/>
    </row>
    <row r="11032" spans="1:14" ht="12.75" customHeight="1" x14ac:dyDescent="0.2">
      <c r="A11032" s="400" t="s">
        <v>927</v>
      </c>
      <c r="B11032" s="271"/>
      <c r="C11032" s="271"/>
      <c r="D11032" s="271"/>
      <c r="E11032" s="271"/>
      <c r="F11032" s="271"/>
      <c r="G11032" s="273"/>
      <c r="H11032" s="29" t="str">
        <f>IF(A11032="","",VLOOKUP(A11032,AA_Equipos,7,FALSE))</f>
        <v>% M.O.</v>
      </c>
      <c r="I11032" s="394">
        <f>+M11055</f>
        <v>194609.375</v>
      </c>
      <c r="J11032" s="273"/>
      <c r="K11032" s="404">
        <v>0.05</v>
      </c>
      <c r="L11032" s="273"/>
      <c r="M11032" s="394">
        <f t="shared" ref="M11032:M11036" si="1473">IF(A11032="","",I11032*K11032)</f>
        <v>9730.46875</v>
      </c>
      <c r="N11032" s="273"/>
    </row>
    <row r="11033" spans="1:14" ht="12.75" customHeight="1" x14ac:dyDescent="0.2">
      <c r="A11033" s="403" t="s">
        <v>1032</v>
      </c>
      <c r="B11033" s="271"/>
      <c r="C11033" s="271"/>
      <c r="D11033" s="271"/>
      <c r="E11033" s="271"/>
      <c r="F11033" s="271"/>
      <c r="G11033" s="273"/>
      <c r="H11033" s="29" t="str">
        <f>IF(A11033="","",VLOOKUP(A11033,AA_Equipos,7,FALSE))</f>
        <v>Dia</v>
      </c>
      <c r="I11033" s="394">
        <f>IF(A11033="","",VLOOKUP(A11033,AA_Equipos,8,FALSE))</f>
        <v>50000</v>
      </c>
      <c r="J11033" s="273"/>
      <c r="K11033" s="402">
        <v>0.5</v>
      </c>
      <c r="L11033" s="273"/>
      <c r="M11033" s="394">
        <f t="shared" si="1473"/>
        <v>25000</v>
      </c>
      <c r="N11033" s="273"/>
    </row>
    <row r="11034" spans="1:14" ht="12.75" customHeight="1" x14ac:dyDescent="0.2">
      <c r="A11034" s="400"/>
      <c r="B11034" s="271"/>
      <c r="C11034" s="271"/>
      <c r="D11034" s="271"/>
      <c r="E11034" s="271"/>
      <c r="F11034" s="271"/>
      <c r="G11034" s="273"/>
      <c r="H11034" s="29" t="str">
        <f>IF(A11034="","",VLOOKUP(A11034,AA_Equipos,7,FALSE))</f>
        <v/>
      </c>
      <c r="I11034" s="394" t="str">
        <f>IF(A11034="","",VLOOKUP(A11034,AA_Equipos,8,FALSE))</f>
        <v/>
      </c>
      <c r="J11034" s="273"/>
      <c r="K11034" s="401"/>
      <c r="L11034" s="273"/>
      <c r="M11034" s="394" t="str">
        <f t="shared" si="1473"/>
        <v/>
      </c>
      <c r="N11034" s="273"/>
    </row>
    <row r="11035" spans="1:14" ht="12.75" customHeight="1" x14ac:dyDescent="0.2">
      <c r="A11035" s="400"/>
      <c r="B11035" s="271"/>
      <c r="C11035" s="271"/>
      <c r="D11035" s="271"/>
      <c r="E11035" s="271"/>
      <c r="F11035" s="271"/>
      <c r="G11035" s="273"/>
      <c r="H11035" s="29" t="str">
        <f>IF(A11035="","",VLOOKUP(A11035,AA_Equipos,7,FALSE))</f>
        <v/>
      </c>
      <c r="I11035" s="394" t="str">
        <f>IF(A11035="","",VLOOKUP(A11035,AA_Equipos,8,FALSE))</f>
        <v/>
      </c>
      <c r="J11035" s="273"/>
      <c r="K11035" s="395"/>
      <c r="L11035" s="273"/>
      <c r="M11035" s="394" t="str">
        <f t="shared" si="1473"/>
        <v/>
      </c>
      <c r="N11035" s="273"/>
    </row>
    <row r="11036" spans="1:14" ht="12.75" customHeight="1" x14ac:dyDescent="0.2">
      <c r="A11036" s="400"/>
      <c r="B11036" s="271"/>
      <c r="C11036" s="271"/>
      <c r="D11036" s="271"/>
      <c r="E11036" s="271"/>
      <c r="F11036" s="271"/>
      <c r="G11036" s="273"/>
      <c r="H11036" s="29" t="str">
        <f>IF(A11036="","",VLOOKUP(A11036,AA_Equipos,7,FALSE))</f>
        <v/>
      </c>
      <c r="I11036" s="394" t="str">
        <f>IF(A11036="","",VLOOKUP(A11036,AA_Equipos,8,FALSE))</f>
        <v/>
      </c>
      <c r="J11036" s="273"/>
      <c r="K11036" s="395"/>
      <c r="L11036" s="273"/>
      <c r="M11036" s="394" t="str">
        <f t="shared" si="1473"/>
        <v/>
      </c>
      <c r="N11036" s="273"/>
    </row>
    <row r="11037" spans="1:14" ht="12.75" customHeight="1" x14ac:dyDescent="0.25">
      <c r="A11037" s="4"/>
      <c r="B11037" s="4"/>
      <c r="C11037" s="4"/>
      <c r="D11037" s="4"/>
      <c r="E11037" s="4"/>
      <c r="F11037" s="4"/>
      <c r="G11037" s="4"/>
      <c r="H11037" s="4"/>
      <c r="I11037" s="4"/>
      <c r="J11037" s="4"/>
      <c r="K11037" s="396" t="s">
        <v>444</v>
      </c>
      <c r="L11037" s="273"/>
      <c r="M11037" s="394">
        <f>SUM(M11032:N11036)</f>
        <v>34730.46875</v>
      </c>
      <c r="N11037" s="273"/>
    </row>
    <row r="11038" spans="1:14" ht="12.75" customHeight="1" x14ac:dyDescent="0.25">
      <c r="A11038" s="4"/>
      <c r="B11038" s="4"/>
      <c r="C11038" s="4"/>
      <c r="D11038" s="4"/>
      <c r="E11038" s="4"/>
      <c r="F11038" s="4"/>
      <c r="G11038" s="4"/>
      <c r="H11038" s="4"/>
      <c r="I11038" s="4"/>
      <c r="J11038" s="4"/>
      <c r="K11038" s="4"/>
      <c r="L11038" s="4"/>
      <c r="M11038" s="4"/>
      <c r="N11038" s="4"/>
    </row>
    <row r="11039" spans="1:14" ht="12.75" customHeight="1" x14ac:dyDescent="0.2">
      <c r="A11039" s="398" t="s">
        <v>929</v>
      </c>
      <c r="B11039" s="271"/>
      <c r="C11039" s="271"/>
      <c r="D11039" s="271"/>
      <c r="E11039" s="271"/>
      <c r="F11039" s="271"/>
      <c r="G11039" s="271"/>
      <c r="H11039" s="271"/>
      <c r="I11039" s="271"/>
      <c r="J11039" s="271"/>
      <c r="K11039" s="271"/>
      <c r="L11039" s="271"/>
      <c r="M11039" s="271"/>
      <c r="N11039" s="273"/>
    </row>
    <row r="11040" spans="1:14" ht="12.75" customHeight="1" x14ac:dyDescent="0.2">
      <c r="A11040" s="396" t="s">
        <v>76</v>
      </c>
      <c r="B11040" s="271"/>
      <c r="C11040" s="271"/>
      <c r="D11040" s="271"/>
      <c r="E11040" s="271"/>
      <c r="F11040" s="271"/>
      <c r="G11040" s="273"/>
      <c r="H11040" s="88" t="s">
        <v>77</v>
      </c>
      <c r="I11040" s="399" t="s">
        <v>920</v>
      </c>
      <c r="J11040" s="273"/>
      <c r="K11040" s="399" t="s">
        <v>453</v>
      </c>
      <c r="L11040" s="273"/>
      <c r="M11040" s="399" t="s">
        <v>921</v>
      </c>
      <c r="N11040" s="273"/>
    </row>
    <row r="11041" spans="1:14" ht="12.75" customHeight="1" x14ac:dyDescent="0.2">
      <c r="A11041" s="400" t="s">
        <v>960</v>
      </c>
      <c r="B11041" s="271"/>
      <c r="C11041" s="271"/>
      <c r="D11041" s="271"/>
      <c r="E11041" s="271"/>
      <c r="F11041" s="271"/>
      <c r="G11041" s="273"/>
      <c r="H11041" s="29" t="s">
        <v>950</v>
      </c>
      <c r="I11041" s="394">
        <f>+M11028</f>
        <v>894017.63850066671</v>
      </c>
      <c r="J11041" s="273"/>
      <c r="K11041" s="404">
        <v>0.05</v>
      </c>
      <c r="L11041" s="273"/>
      <c r="M11041" s="394">
        <f t="shared" ref="M11041:M11045" si="1474">IF(A11041="","",I11041*K11041)</f>
        <v>44700.88192503334</v>
      </c>
      <c r="N11041" s="273"/>
    </row>
    <row r="11042" spans="1:14" ht="12.75" customHeight="1" x14ac:dyDescent="0.2">
      <c r="A11042" s="403" t="s">
        <v>3174</v>
      </c>
      <c r="B11042" s="271"/>
      <c r="C11042" s="271"/>
      <c r="D11042" s="271"/>
      <c r="E11042" s="271"/>
      <c r="F11042" s="271"/>
      <c r="G11042" s="273"/>
      <c r="H11042" s="29" t="s">
        <v>24</v>
      </c>
      <c r="I11042" s="394">
        <f>+M11037</f>
        <v>34730.46875</v>
      </c>
      <c r="J11042" s="273"/>
      <c r="K11042" s="404">
        <v>0.05</v>
      </c>
      <c r="L11042" s="273"/>
      <c r="M11042" s="394">
        <f t="shared" si="1474"/>
        <v>1736.5234375</v>
      </c>
      <c r="N11042" s="273"/>
    </row>
    <row r="11043" spans="1:14" ht="12.75" customHeight="1" x14ac:dyDescent="0.2">
      <c r="A11043" s="400"/>
      <c r="B11043" s="271"/>
      <c r="C11043" s="271"/>
      <c r="D11043" s="271"/>
      <c r="E11043" s="271"/>
      <c r="F11043" s="271"/>
      <c r="G11043" s="273"/>
      <c r="H11043" s="29"/>
      <c r="I11043" s="394"/>
      <c r="J11043" s="273"/>
      <c r="K11043" s="395"/>
      <c r="L11043" s="273"/>
      <c r="M11043" s="394" t="str">
        <f t="shared" si="1474"/>
        <v/>
      </c>
      <c r="N11043" s="273"/>
    </row>
    <row r="11044" spans="1:14" ht="12.75" customHeight="1" x14ac:dyDescent="0.2">
      <c r="A11044" s="400"/>
      <c r="B11044" s="271"/>
      <c r="C11044" s="271"/>
      <c r="D11044" s="271"/>
      <c r="E11044" s="271"/>
      <c r="F11044" s="271"/>
      <c r="G11044" s="273"/>
      <c r="H11044" s="29"/>
      <c r="I11044" s="394"/>
      <c r="J11044" s="273"/>
      <c r="K11044" s="395"/>
      <c r="L11044" s="273"/>
      <c r="M11044" s="394" t="str">
        <f t="shared" si="1474"/>
        <v/>
      </c>
      <c r="N11044" s="273"/>
    </row>
    <row r="11045" spans="1:14" ht="12.75" customHeight="1" x14ac:dyDescent="0.2">
      <c r="A11045" s="400"/>
      <c r="B11045" s="271"/>
      <c r="C11045" s="271"/>
      <c r="D11045" s="271"/>
      <c r="E11045" s="271"/>
      <c r="F11045" s="271"/>
      <c r="G11045" s="273"/>
      <c r="H11045" s="29"/>
      <c r="I11045" s="394"/>
      <c r="J11045" s="273"/>
      <c r="K11045" s="395"/>
      <c r="L11045" s="273"/>
      <c r="M11045" s="394" t="str">
        <f t="shared" si="1474"/>
        <v/>
      </c>
      <c r="N11045" s="273"/>
    </row>
    <row r="11046" spans="1:14" ht="12.75" customHeight="1" x14ac:dyDescent="0.25">
      <c r="A11046" s="4"/>
      <c r="B11046" s="4"/>
      <c r="C11046" s="4"/>
      <c r="D11046" s="4"/>
      <c r="E11046" s="4"/>
      <c r="F11046" s="4"/>
      <c r="G11046" s="4"/>
      <c r="H11046" s="4"/>
      <c r="I11046" s="4"/>
      <c r="J11046" s="4"/>
      <c r="K11046" s="396" t="s">
        <v>444</v>
      </c>
      <c r="L11046" s="273"/>
      <c r="M11046" s="394">
        <f>SUM(M11041:N11045)</f>
        <v>46437.40536253334</v>
      </c>
      <c r="N11046" s="273"/>
    </row>
    <row r="11047" spans="1:14" ht="12.75" customHeight="1" x14ac:dyDescent="0.25">
      <c r="A11047" s="4"/>
      <c r="B11047" s="4"/>
      <c r="C11047" s="4"/>
      <c r="D11047" s="4"/>
      <c r="E11047" s="4"/>
      <c r="F11047" s="4"/>
      <c r="G11047" s="4"/>
      <c r="H11047" s="4"/>
      <c r="I11047" s="4"/>
      <c r="J11047" s="4"/>
      <c r="K11047" s="4"/>
      <c r="L11047" s="4"/>
      <c r="M11047" s="4"/>
      <c r="N11047" s="4"/>
    </row>
    <row r="11048" spans="1:14" ht="12.75" customHeight="1" x14ac:dyDescent="0.2">
      <c r="A11048" s="398" t="s">
        <v>931</v>
      </c>
      <c r="B11048" s="271"/>
      <c r="C11048" s="271"/>
      <c r="D11048" s="271"/>
      <c r="E11048" s="271"/>
      <c r="F11048" s="271"/>
      <c r="G11048" s="271"/>
      <c r="H11048" s="271"/>
      <c r="I11048" s="271"/>
      <c r="J11048" s="271"/>
      <c r="K11048" s="271"/>
      <c r="L11048" s="271"/>
      <c r="M11048" s="271"/>
      <c r="N11048" s="273"/>
    </row>
    <row r="11049" spans="1:14" ht="12.75" customHeight="1" x14ac:dyDescent="0.2">
      <c r="A11049" s="396" t="s">
        <v>76</v>
      </c>
      <c r="B11049" s="271"/>
      <c r="C11049" s="271"/>
      <c r="D11049" s="271"/>
      <c r="E11049" s="271"/>
      <c r="F11049" s="271"/>
      <c r="G11049" s="273"/>
      <c r="H11049" s="88" t="s">
        <v>77</v>
      </c>
      <c r="I11049" s="399" t="s">
        <v>920</v>
      </c>
      <c r="J11049" s="273"/>
      <c r="K11049" s="90" t="s">
        <v>514</v>
      </c>
      <c r="L11049" s="91" t="s">
        <v>932</v>
      </c>
      <c r="M11049" s="399" t="s">
        <v>921</v>
      </c>
      <c r="N11049" s="273"/>
    </row>
    <row r="11050" spans="1:14" ht="12.75" customHeight="1" x14ac:dyDescent="0.25">
      <c r="A11050" s="393" t="s">
        <v>1034</v>
      </c>
      <c r="B11050" s="271"/>
      <c r="C11050" s="271"/>
      <c r="D11050" s="271"/>
      <c r="E11050" s="271"/>
      <c r="F11050" s="271"/>
      <c r="G11050" s="273"/>
      <c r="H11050" s="29" t="str">
        <f>IF(A11050="","",VLOOKUP(A11050,AA_Cuadrillas,4,FALSE))</f>
        <v>Cuadrilla</v>
      </c>
      <c r="I11050" s="394">
        <f>IF(A11050="","",VLOOKUP(A11050,AA_Cuadrillas,5,FALSE))</f>
        <v>207031.25</v>
      </c>
      <c r="J11050" s="273"/>
      <c r="K11050" s="9">
        <f>IF(A11050="","",F.P!$I$2)</f>
        <v>1.88</v>
      </c>
      <c r="L11050" s="97">
        <v>0.5</v>
      </c>
      <c r="M11050" s="394">
        <f t="shared" ref="M11050:M11054" si="1475">IF(A11050="","",I11050*K11050*L11050)</f>
        <v>194609.375</v>
      </c>
      <c r="N11050" s="273"/>
    </row>
    <row r="11051" spans="1:14" ht="12.75" customHeight="1" x14ac:dyDescent="0.25">
      <c r="A11051" s="393"/>
      <c r="B11051" s="271"/>
      <c r="C11051" s="271"/>
      <c r="D11051" s="271"/>
      <c r="E11051" s="271"/>
      <c r="F11051" s="271"/>
      <c r="G11051" s="273"/>
      <c r="H11051" s="29" t="str">
        <f>IF(A11051="","",VLOOKUP(A11051,AA_Cuadrillas,4,FALSE))</f>
        <v/>
      </c>
      <c r="I11051" s="394" t="str">
        <f>IF(A11051="","",VLOOKUP(A11051,AA_Cuadrillas,5,FALSE))</f>
        <v/>
      </c>
      <c r="J11051" s="273"/>
      <c r="K11051" s="9" t="str">
        <f>IF(A11051="","",F.P!$I$2)</f>
        <v/>
      </c>
      <c r="L11051" s="9"/>
      <c r="M11051" s="394" t="str">
        <f t="shared" si="1475"/>
        <v/>
      </c>
      <c r="N11051" s="273"/>
    </row>
    <row r="11052" spans="1:14" ht="12.75" customHeight="1" x14ac:dyDescent="0.25">
      <c r="A11052" s="393"/>
      <c r="B11052" s="271"/>
      <c r="C11052" s="271"/>
      <c r="D11052" s="271"/>
      <c r="E11052" s="271"/>
      <c r="F11052" s="271"/>
      <c r="G11052" s="273"/>
      <c r="H11052" s="29" t="str">
        <f>IF(A11052="","",VLOOKUP(A11052,AA_Cuadrillas,4,FALSE))</f>
        <v/>
      </c>
      <c r="I11052" s="394" t="str">
        <f>IF(A11052="","",VLOOKUP(A11052,AA_Cuadrillas,5,FALSE))</f>
        <v/>
      </c>
      <c r="J11052" s="273"/>
      <c r="K11052" s="9" t="str">
        <f>IF(A11052="","",F.P!$I$2)</f>
        <v/>
      </c>
      <c r="L11052" s="37"/>
      <c r="M11052" s="394" t="str">
        <f t="shared" si="1475"/>
        <v/>
      </c>
      <c r="N11052" s="273"/>
    </row>
    <row r="11053" spans="1:14" ht="12.75" customHeight="1" x14ac:dyDescent="0.25">
      <c r="A11053" s="393"/>
      <c r="B11053" s="271"/>
      <c r="C11053" s="271"/>
      <c r="D11053" s="271"/>
      <c r="E11053" s="271"/>
      <c r="F11053" s="271"/>
      <c r="G11053" s="273"/>
      <c r="H11053" s="29" t="str">
        <f>IF(A11053="","",VLOOKUP(A11053,AA_Cuadrillas,4,FALSE))</f>
        <v/>
      </c>
      <c r="I11053" s="394" t="str">
        <f>IF(A11053="","",VLOOKUP(A11053,AA_Cuadrillas,5,FALSE))</f>
        <v/>
      </c>
      <c r="J11053" s="273"/>
      <c r="K11053" s="9" t="str">
        <f>IF(A11053="","",F.P!$I$2)</f>
        <v/>
      </c>
      <c r="L11053" s="37"/>
      <c r="M11053" s="394" t="str">
        <f t="shared" si="1475"/>
        <v/>
      </c>
      <c r="N11053" s="273"/>
    </row>
    <row r="11054" spans="1:14" ht="12.75" customHeight="1" x14ac:dyDescent="0.25">
      <c r="A11054" s="393"/>
      <c r="B11054" s="271"/>
      <c r="C11054" s="271"/>
      <c r="D11054" s="271"/>
      <c r="E11054" s="271"/>
      <c r="F11054" s="271"/>
      <c r="G11054" s="273"/>
      <c r="H11054" s="29" t="str">
        <f>IF(A11054="","",VLOOKUP(A11054,AA_Cuadrillas,4,FALSE))</f>
        <v/>
      </c>
      <c r="I11054" s="394" t="str">
        <f>IF(A11054="","",VLOOKUP(A11054,AA_Cuadrillas,5,FALSE))</f>
        <v/>
      </c>
      <c r="J11054" s="273"/>
      <c r="K11054" s="9" t="str">
        <f>IF(A11054="","",F.P!$I$2)</f>
        <v/>
      </c>
      <c r="L11054" s="37"/>
      <c r="M11054" s="394" t="str">
        <f t="shared" si="1475"/>
        <v/>
      </c>
      <c r="N11054" s="273"/>
    </row>
    <row r="11055" spans="1:14" ht="12.75" customHeight="1" x14ac:dyDescent="0.25">
      <c r="A11055" s="4"/>
      <c r="B11055" s="4"/>
      <c r="C11055" s="4"/>
      <c r="D11055" s="4"/>
      <c r="E11055" s="4"/>
      <c r="F11055" s="4"/>
      <c r="G11055" s="4"/>
      <c r="H11055" s="4"/>
      <c r="I11055" s="4"/>
      <c r="J11055" s="4"/>
      <c r="K11055" s="396" t="s">
        <v>444</v>
      </c>
      <c r="L11055" s="273"/>
      <c r="M11055" s="394">
        <f>SUM(M11050:N11054)</f>
        <v>194609.375</v>
      </c>
      <c r="N11055" s="273"/>
    </row>
    <row r="11056" spans="1:14" ht="12.75" customHeight="1" x14ac:dyDescent="0.2"/>
    <row r="11057" spans="1:14" ht="12.75" customHeight="1" x14ac:dyDescent="0.2">
      <c r="A11057" s="407" t="s">
        <v>228</v>
      </c>
      <c r="B11057" s="275"/>
      <c r="C11057" s="275"/>
      <c r="D11057" s="275"/>
      <c r="E11057" s="275"/>
      <c r="F11057" s="275"/>
      <c r="G11057" s="275"/>
      <c r="H11057" s="275"/>
      <c r="I11057" s="275"/>
      <c r="J11057" s="275"/>
      <c r="K11057" s="275"/>
      <c r="L11057" s="275"/>
      <c r="M11057" s="275"/>
      <c r="N11057" s="276"/>
    </row>
    <row r="11058" spans="1:14" ht="12.75" customHeight="1" x14ac:dyDescent="0.2">
      <c r="A11058" s="277"/>
      <c r="B11058" s="278"/>
      <c r="C11058" s="278"/>
      <c r="D11058" s="278"/>
      <c r="E11058" s="278"/>
      <c r="F11058" s="278"/>
      <c r="G11058" s="278"/>
      <c r="H11058" s="278"/>
      <c r="I11058" s="278"/>
      <c r="J11058" s="278"/>
      <c r="K11058" s="278"/>
      <c r="L11058" s="278"/>
      <c r="M11058" s="278"/>
      <c r="N11058" s="279"/>
    </row>
    <row r="11059" spans="1:14" ht="12.75" customHeight="1" x14ac:dyDescent="0.2">
      <c r="A11059" s="75"/>
      <c r="B11059" s="75"/>
      <c r="C11059" s="75"/>
      <c r="D11059" s="75"/>
      <c r="E11059" s="75"/>
      <c r="F11059" s="75"/>
      <c r="G11059" s="75"/>
      <c r="H11059" s="75"/>
      <c r="I11059" s="75"/>
      <c r="J11059" s="75"/>
      <c r="K11059" s="75"/>
      <c r="L11059" s="75"/>
      <c r="M11059" s="75"/>
      <c r="N11059" s="75"/>
    </row>
    <row r="11060" spans="1:14" ht="12.75" customHeight="1" x14ac:dyDescent="0.3">
      <c r="A11060" s="79" t="s">
        <v>858</v>
      </c>
      <c r="B11060" s="80" t="str">
        <f>A11057</f>
        <v>SUMINISTRO E INSTALACIÓN DE ADAPTADOR BRIDA UNIVERSAL Ø4" EN HIERRO DUCTIL (INCLUYE MATERIALES, HERRAMIENTAS Y MANO DE OBRA)</v>
      </c>
      <c r="C11060" s="81" t="s">
        <v>916</v>
      </c>
      <c r="D11060" s="82" t="s">
        <v>999</v>
      </c>
      <c r="E11060" s="83" t="s">
        <v>445</v>
      </c>
      <c r="F11060" s="86">
        <f>H11060+J11060+L11060+N11060</f>
        <v>182951.85640000002</v>
      </c>
      <c r="G11060" s="83" t="s">
        <v>607</v>
      </c>
      <c r="H11060" s="86">
        <f>M11079</f>
        <v>658.33840000000009</v>
      </c>
      <c r="I11060" s="83" t="s">
        <v>918</v>
      </c>
      <c r="J11060" s="86">
        <f>M11070</f>
        <v>169126.75</v>
      </c>
      <c r="K11060" s="83" t="s">
        <v>609</v>
      </c>
      <c r="L11060" s="86">
        <f>M11088</f>
        <v>0</v>
      </c>
      <c r="M11060" s="83" t="s">
        <v>610</v>
      </c>
      <c r="N11060" s="86">
        <f>M11097</f>
        <v>13166.768</v>
      </c>
    </row>
    <row r="11061" spans="1:14" ht="12.75" customHeight="1" x14ac:dyDescent="0.25">
      <c r="A11061" s="87"/>
      <c r="B11061" s="87"/>
      <c r="C11061" s="87"/>
      <c r="D11061" s="87"/>
      <c r="E11061" s="87"/>
      <c r="F11061" s="87"/>
      <c r="G11061" s="87"/>
      <c r="J11061" s="87"/>
      <c r="K11061" s="215" t="s">
        <v>3217</v>
      </c>
      <c r="L11061" s="215">
        <f>+F11060*presup!$O$5</f>
        <v>237837.41332000002</v>
      </c>
      <c r="M11061" s="87"/>
      <c r="N11061" s="87"/>
    </row>
    <row r="11062" spans="1:14" ht="12.75" customHeight="1" x14ac:dyDescent="0.2">
      <c r="A11062" s="398" t="s">
        <v>919</v>
      </c>
      <c r="B11062" s="271"/>
      <c r="C11062" s="271"/>
      <c r="D11062" s="271"/>
      <c r="E11062" s="271"/>
      <c r="F11062" s="271"/>
      <c r="G11062" s="271"/>
      <c r="H11062" s="271"/>
      <c r="I11062" s="271"/>
      <c r="J11062" s="271"/>
      <c r="K11062" s="271"/>
      <c r="L11062" s="271"/>
      <c r="M11062" s="271"/>
      <c r="N11062" s="273"/>
    </row>
    <row r="11063" spans="1:14" ht="12.75" customHeight="1" x14ac:dyDescent="0.2">
      <c r="A11063" s="396" t="s">
        <v>76</v>
      </c>
      <c r="B11063" s="271"/>
      <c r="C11063" s="271"/>
      <c r="D11063" s="271"/>
      <c r="E11063" s="271"/>
      <c r="F11063" s="271"/>
      <c r="G11063" s="273"/>
      <c r="H11063" s="88" t="s">
        <v>77</v>
      </c>
      <c r="I11063" s="399" t="s">
        <v>920</v>
      </c>
      <c r="J11063" s="273"/>
      <c r="K11063" s="399" t="s">
        <v>453</v>
      </c>
      <c r="L11063" s="273"/>
      <c r="M11063" s="399" t="s">
        <v>921</v>
      </c>
      <c r="N11063" s="273"/>
    </row>
    <row r="11064" spans="1:14" ht="12.75" customHeight="1" x14ac:dyDescent="0.2">
      <c r="A11064" s="403" t="s">
        <v>1533</v>
      </c>
      <c r="B11064" s="271"/>
      <c r="C11064" s="271"/>
      <c r="D11064" s="271"/>
      <c r="E11064" s="271"/>
      <c r="F11064" s="271"/>
      <c r="G11064" s="273"/>
      <c r="H11064" s="29" t="str">
        <f t="shared" ref="H11064:H11069" si="1476">IF(A11064="","",VLOOKUP(A11064,AA_Materiales,7,FALSE))</f>
        <v>Unidad</v>
      </c>
      <c r="I11064" s="394">
        <f t="shared" ref="I11064:I11069" si="1477">IF(A11064="","",VLOOKUP(A11064,AA_Materiales,8,FALSE))</f>
        <v>168000</v>
      </c>
      <c r="J11064" s="273"/>
      <c r="K11064" s="395">
        <v>1</v>
      </c>
      <c r="L11064" s="273"/>
      <c r="M11064" s="394">
        <f t="shared" ref="M11064:M11069" si="1478">IF(A11064="","",I11064*K11064)</f>
        <v>168000</v>
      </c>
      <c r="N11064" s="273"/>
    </row>
    <row r="11065" spans="1:14" ht="12.75" customHeight="1" x14ac:dyDescent="0.2">
      <c r="A11065" s="403" t="s">
        <v>1111</v>
      </c>
      <c r="B11065" s="271"/>
      <c r="C11065" s="271"/>
      <c r="D11065" s="271"/>
      <c r="E11065" s="271"/>
      <c r="F11065" s="271"/>
      <c r="G11065" s="273"/>
      <c r="H11065" s="29" t="str">
        <f t="shared" si="1476"/>
        <v>Unidad</v>
      </c>
      <c r="I11065" s="394">
        <f t="shared" si="1477"/>
        <v>22535</v>
      </c>
      <c r="J11065" s="273"/>
      <c r="K11065" s="395">
        <v>0.05</v>
      </c>
      <c r="L11065" s="273"/>
      <c r="M11065" s="394">
        <f t="shared" si="1478"/>
        <v>1126.75</v>
      </c>
      <c r="N11065" s="273"/>
    </row>
    <row r="11066" spans="1:14" ht="12.75" customHeight="1" x14ac:dyDescent="0.2">
      <c r="A11066" s="403"/>
      <c r="B11066" s="271"/>
      <c r="C11066" s="271"/>
      <c r="D11066" s="271"/>
      <c r="E11066" s="271"/>
      <c r="F11066" s="271"/>
      <c r="G11066" s="273"/>
      <c r="H11066" s="29" t="str">
        <f t="shared" si="1476"/>
        <v/>
      </c>
      <c r="I11066" s="394" t="str">
        <f t="shared" si="1477"/>
        <v/>
      </c>
      <c r="J11066" s="273"/>
      <c r="K11066" s="395"/>
      <c r="L11066" s="273"/>
      <c r="M11066" s="394" t="str">
        <f t="shared" si="1478"/>
        <v/>
      </c>
      <c r="N11066" s="273"/>
    </row>
    <row r="11067" spans="1:14" ht="12.75" customHeight="1" x14ac:dyDescent="0.2">
      <c r="A11067" s="403"/>
      <c r="B11067" s="271"/>
      <c r="C11067" s="271"/>
      <c r="D11067" s="271"/>
      <c r="E11067" s="271"/>
      <c r="F11067" s="271"/>
      <c r="G11067" s="273"/>
      <c r="H11067" s="29" t="str">
        <f t="shared" si="1476"/>
        <v/>
      </c>
      <c r="I11067" s="394" t="str">
        <f t="shared" si="1477"/>
        <v/>
      </c>
      <c r="J11067" s="273"/>
      <c r="K11067" s="395"/>
      <c r="L11067" s="273"/>
      <c r="M11067" s="394" t="str">
        <f t="shared" si="1478"/>
        <v/>
      </c>
      <c r="N11067" s="273"/>
    </row>
    <row r="11068" spans="1:14" ht="12.75" customHeight="1" x14ac:dyDescent="0.2">
      <c r="A11068" s="403"/>
      <c r="B11068" s="271"/>
      <c r="C11068" s="271"/>
      <c r="D11068" s="271"/>
      <c r="E11068" s="271"/>
      <c r="F11068" s="271"/>
      <c r="G11068" s="273"/>
      <c r="H11068" s="29" t="str">
        <f t="shared" si="1476"/>
        <v/>
      </c>
      <c r="I11068" s="394" t="str">
        <f t="shared" si="1477"/>
        <v/>
      </c>
      <c r="J11068" s="273"/>
      <c r="K11068" s="395"/>
      <c r="L11068" s="273"/>
      <c r="M11068" s="394" t="str">
        <f t="shared" si="1478"/>
        <v/>
      </c>
      <c r="N11068" s="273"/>
    </row>
    <row r="11069" spans="1:14" ht="12.75" customHeight="1" x14ac:dyDescent="0.2">
      <c r="A11069" s="403"/>
      <c r="B11069" s="271"/>
      <c r="C11069" s="271"/>
      <c r="D11069" s="271"/>
      <c r="E11069" s="271"/>
      <c r="F11069" s="271"/>
      <c r="G11069" s="273"/>
      <c r="H11069" s="29" t="str">
        <f t="shared" si="1476"/>
        <v/>
      </c>
      <c r="I11069" s="394" t="str">
        <f t="shared" si="1477"/>
        <v/>
      </c>
      <c r="J11069" s="273"/>
      <c r="K11069" s="395"/>
      <c r="L11069" s="273"/>
      <c r="M11069" s="394" t="str">
        <f t="shared" si="1478"/>
        <v/>
      </c>
      <c r="N11069" s="273"/>
    </row>
    <row r="11070" spans="1:14" ht="12.75" customHeight="1" x14ac:dyDescent="0.25">
      <c r="A11070" s="4"/>
      <c r="B11070" s="4"/>
      <c r="C11070" s="4"/>
      <c r="D11070" s="4"/>
      <c r="E11070" s="4"/>
      <c r="F11070" s="4"/>
      <c r="G11070" s="4"/>
      <c r="H11070" s="4"/>
      <c r="I11070" s="4"/>
      <c r="J11070" s="4"/>
      <c r="K11070" s="396" t="s">
        <v>444</v>
      </c>
      <c r="L11070" s="273"/>
      <c r="M11070" s="394">
        <f>SUM(M11064:N11069)</f>
        <v>169126.75</v>
      </c>
      <c r="N11070" s="273"/>
    </row>
    <row r="11071" spans="1:14" ht="12.75" customHeight="1" x14ac:dyDescent="0.25">
      <c r="A11071" s="4"/>
      <c r="B11071" s="4"/>
      <c r="C11071" s="4"/>
      <c r="D11071" s="4"/>
      <c r="E11071" s="4"/>
      <c r="F11071" s="4"/>
      <c r="G11071" s="4"/>
      <c r="H11071" s="4"/>
      <c r="I11071" s="4"/>
      <c r="J11071" s="4"/>
      <c r="K11071" s="4"/>
      <c r="L11071" s="4"/>
      <c r="M11071" s="4"/>
      <c r="N11071" s="4"/>
    </row>
    <row r="11072" spans="1:14" ht="12.75" customHeight="1" x14ac:dyDescent="0.2">
      <c r="A11072" s="398" t="s">
        <v>926</v>
      </c>
      <c r="B11072" s="271"/>
      <c r="C11072" s="271"/>
      <c r="D11072" s="271"/>
      <c r="E11072" s="271"/>
      <c r="F11072" s="271"/>
      <c r="G11072" s="271"/>
      <c r="H11072" s="271"/>
      <c r="I11072" s="271"/>
      <c r="J11072" s="271"/>
      <c r="K11072" s="271"/>
      <c r="L11072" s="271"/>
      <c r="M11072" s="271"/>
      <c r="N11072" s="273"/>
    </row>
    <row r="11073" spans="1:14" ht="12.75" customHeight="1" x14ac:dyDescent="0.2">
      <c r="A11073" s="396" t="s">
        <v>76</v>
      </c>
      <c r="B11073" s="271"/>
      <c r="C11073" s="271"/>
      <c r="D11073" s="271"/>
      <c r="E11073" s="271"/>
      <c r="F11073" s="271"/>
      <c r="G11073" s="273"/>
      <c r="H11073" s="88" t="s">
        <v>77</v>
      </c>
      <c r="I11073" s="399" t="s">
        <v>920</v>
      </c>
      <c r="J11073" s="273"/>
      <c r="K11073" s="399" t="s">
        <v>453</v>
      </c>
      <c r="L11073" s="273"/>
      <c r="M11073" s="399" t="s">
        <v>921</v>
      </c>
      <c r="N11073" s="273"/>
    </row>
    <row r="11074" spans="1:14" ht="12.75" customHeight="1" x14ac:dyDescent="0.2">
      <c r="A11074" s="400" t="s">
        <v>927</v>
      </c>
      <c r="B11074" s="271"/>
      <c r="C11074" s="271"/>
      <c r="D11074" s="271"/>
      <c r="E11074" s="271"/>
      <c r="F11074" s="271"/>
      <c r="G11074" s="273"/>
      <c r="H11074" s="29" t="str">
        <f>IF(A11074="","",VLOOKUP(A11074,AA_Equipos,7,FALSE))</f>
        <v>% M.O.</v>
      </c>
      <c r="I11074" s="394">
        <f>+M11097</f>
        <v>13166.768</v>
      </c>
      <c r="J11074" s="273"/>
      <c r="K11074" s="404">
        <v>0.05</v>
      </c>
      <c r="L11074" s="273"/>
      <c r="M11074" s="394">
        <f t="shared" ref="M11074:M11078" si="1479">IF(A11074="","",I11074*K11074)</f>
        <v>658.33840000000009</v>
      </c>
      <c r="N11074" s="273"/>
    </row>
    <row r="11075" spans="1:14" ht="12.75" customHeight="1" x14ac:dyDescent="0.2">
      <c r="A11075" s="403"/>
      <c r="B11075" s="271"/>
      <c r="C11075" s="271"/>
      <c r="D11075" s="271"/>
      <c r="E11075" s="271"/>
      <c r="F11075" s="271"/>
      <c r="G11075" s="273"/>
      <c r="H11075" s="29" t="str">
        <f>IF(A11075="","",VLOOKUP(A11075,AA_Equipos,7,FALSE))</f>
        <v/>
      </c>
      <c r="I11075" s="394" t="str">
        <f>IF(A11075="","",VLOOKUP(A11075,AA_Equipos,8,FALSE))</f>
        <v/>
      </c>
      <c r="J11075" s="273"/>
      <c r="K11075" s="402"/>
      <c r="L11075" s="273"/>
      <c r="M11075" s="394" t="str">
        <f t="shared" si="1479"/>
        <v/>
      </c>
      <c r="N11075" s="273"/>
    </row>
    <row r="11076" spans="1:14" ht="12.75" customHeight="1" x14ac:dyDescent="0.2">
      <c r="A11076" s="400"/>
      <c r="B11076" s="271"/>
      <c r="C11076" s="271"/>
      <c r="D11076" s="271"/>
      <c r="E11076" s="271"/>
      <c r="F11076" s="271"/>
      <c r="G11076" s="273"/>
      <c r="H11076" s="29" t="str">
        <f>IF(A11076="","",VLOOKUP(A11076,AA_Equipos,7,FALSE))</f>
        <v/>
      </c>
      <c r="I11076" s="394" t="str">
        <f>IF(A11076="","",VLOOKUP(A11076,AA_Equipos,8,FALSE))</f>
        <v/>
      </c>
      <c r="J11076" s="273"/>
      <c r="K11076" s="401"/>
      <c r="L11076" s="273"/>
      <c r="M11076" s="394" t="str">
        <f t="shared" si="1479"/>
        <v/>
      </c>
      <c r="N11076" s="273"/>
    </row>
    <row r="11077" spans="1:14" ht="12.75" customHeight="1" x14ac:dyDescent="0.2">
      <c r="A11077" s="400"/>
      <c r="B11077" s="271"/>
      <c r="C11077" s="271"/>
      <c r="D11077" s="271"/>
      <c r="E11077" s="271"/>
      <c r="F11077" s="271"/>
      <c r="G11077" s="273"/>
      <c r="H11077" s="29" t="str">
        <f>IF(A11077="","",VLOOKUP(A11077,AA_Equipos,7,FALSE))</f>
        <v/>
      </c>
      <c r="I11077" s="394" t="str">
        <f>IF(A11077="","",VLOOKUP(A11077,AA_Equipos,8,FALSE))</f>
        <v/>
      </c>
      <c r="J11077" s="273"/>
      <c r="K11077" s="395"/>
      <c r="L11077" s="273"/>
      <c r="M11077" s="394" t="str">
        <f t="shared" si="1479"/>
        <v/>
      </c>
      <c r="N11077" s="273"/>
    </row>
    <row r="11078" spans="1:14" ht="12.75" customHeight="1" x14ac:dyDescent="0.2">
      <c r="A11078" s="400"/>
      <c r="B11078" s="271"/>
      <c r="C11078" s="271"/>
      <c r="D11078" s="271"/>
      <c r="E11078" s="271"/>
      <c r="F11078" s="271"/>
      <c r="G11078" s="273"/>
      <c r="H11078" s="29" t="str">
        <f>IF(A11078="","",VLOOKUP(A11078,AA_Equipos,7,FALSE))</f>
        <v/>
      </c>
      <c r="I11078" s="394" t="str">
        <f>IF(A11078="","",VLOOKUP(A11078,AA_Equipos,8,FALSE))</f>
        <v/>
      </c>
      <c r="J11078" s="273"/>
      <c r="K11078" s="395"/>
      <c r="L11078" s="273"/>
      <c r="M11078" s="394" t="str">
        <f t="shared" si="1479"/>
        <v/>
      </c>
      <c r="N11078" s="273"/>
    </row>
    <row r="11079" spans="1:14" ht="12.75" customHeight="1" x14ac:dyDescent="0.25">
      <c r="A11079" s="4"/>
      <c r="B11079" s="4"/>
      <c r="C11079" s="4"/>
      <c r="D11079" s="4"/>
      <c r="E11079" s="4"/>
      <c r="F11079" s="4"/>
      <c r="G11079" s="4"/>
      <c r="H11079" s="4"/>
      <c r="I11079" s="4"/>
      <c r="J11079" s="4"/>
      <c r="K11079" s="396" t="s">
        <v>444</v>
      </c>
      <c r="L11079" s="273"/>
      <c r="M11079" s="394">
        <f>SUM(M11074:N11078)</f>
        <v>658.33840000000009</v>
      </c>
      <c r="N11079" s="273"/>
    </row>
    <row r="11080" spans="1:14" ht="12.75" customHeight="1" x14ac:dyDescent="0.25">
      <c r="A11080" s="4"/>
      <c r="B11080" s="4"/>
      <c r="C11080" s="4"/>
      <c r="D11080" s="4"/>
      <c r="E11080" s="4"/>
      <c r="F11080" s="4"/>
      <c r="G11080" s="4"/>
      <c r="H11080" s="4"/>
      <c r="I11080" s="4"/>
      <c r="J11080" s="4"/>
      <c r="K11080" s="4"/>
      <c r="L11080" s="4"/>
      <c r="M11080" s="4"/>
      <c r="N11080" s="4"/>
    </row>
    <row r="11081" spans="1:14" ht="12.75" customHeight="1" x14ac:dyDescent="0.2">
      <c r="A11081" s="398" t="s">
        <v>929</v>
      </c>
      <c r="B11081" s="271"/>
      <c r="C11081" s="271"/>
      <c r="D11081" s="271"/>
      <c r="E11081" s="271"/>
      <c r="F11081" s="271"/>
      <c r="G11081" s="271"/>
      <c r="H11081" s="271"/>
      <c r="I11081" s="271"/>
      <c r="J11081" s="271"/>
      <c r="K11081" s="271"/>
      <c r="L11081" s="271"/>
      <c r="M11081" s="271"/>
      <c r="N11081" s="273"/>
    </row>
    <row r="11082" spans="1:14" ht="12.75" customHeight="1" x14ac:dyDescent="0.2">
      <c r="A11082" s="396" t="s">
        <v>76</v>
      </c>
      <c r="B11082" s="271"/>
      <c r="C11082" s="271"/>
      <c r="D11082" s="271"/>
      <c r="E11082" s="271"/>
      <c r="F11082" s="271"/>
      <c r="G11082" s="273"/>
      <c r="H11082" s="88" t="s">
        <v>77</v>
      </c>
      <c r="I11082" s="399" t="s">
        <v>920</v>
      </c>
      <c r="J11082" s="273"/>
      <c r="K11082" s="399" t="s">
        <v>453</v>
      </c>
      <c r="L11082" s="273"/>
      <c r="M11082" s="399" t="s">
        <v>921</v>
      </c>
      <c r="N11082" s="273"/>
    </row>
    <row r="11083" spans="1:14" ht="12.75" customHeight="1" x14ac:dyDescent="0.2">
      <c r="A11083" s="400" t="s">
        <v>966</v>
      </c>
      <c r="B11083" s="271"/>
      <c r="C11083" s="271"/>
      <c r="D11083" s="271"/>
      <c r="E11083" s="271"/>
      <c r="F11083" s="271"/>
      <c r="G11083" s="273"/>
      <c r="H11083" s="29"/>
      <c r="I11083" s="394"/>
      <c r="J11083" s="273"/>
      <c r="K11083" s="417"/>
      <c r="L11083" s="273"/>
      <c r="M11083" s="394">
        <f t="shared" ref="M11083:M11087" si="1480">IF(A11083="","",I11083*K11083)</f>
        <v>0</v>
      </c>
      <c r="N11083" s="273"/>
    </row>
    <row r="11084" spans="1:14" ht="12.75" customHeight="1" x14ac:dyDescent="0.2">
      <c r="A11084" s="403"/>
      <c r="B11084" s="271"/>
      <c r="C11084" s="271"/>
      <c r="D11084" s="271"/>
      <c r="E11084" s="271"/>
      <c r="F11084" s="271"/>
      <c r="G11084" s="273"/>
      <c r="H11084" s="29"/>
      <c r="I11084" s="394"/>
      <c r="J11084" s="273"/>
      <c r="K11084" s="404"/>
      <c r="L11084" s="273"/>
      <c r="M11084" s="394" t="str">
        <f t="shared" si="1480"/>
        <v/>
      </c>
      <c r="N11084" s="273"/>
    </row>
    <row r="11085" spans="1:14" ht="12.75" customHeight="1" x14ac:dyDescent="0.2">
      <c r="A11085" s="400"/>
      <c r="B11085" s="271"/>
      <c r="C11085" s="271"/>
      <c r="D11085" s="271"/>
      <c r="E11085" s="271"/>
      <c r="F11085" s="271"/>
      <c r="G11085" s="273"/>
      <c r="H11085" s="29"/>
      <c r="I11085" s="394"/>
      <c r="J11085" s="273"/>
      <c r="K11085" s="395"/>
      <c r="L11085" s="273"/>
      <c r="M11085" s="394" t="str">
        <f t="shared" si="1480"/>
        <v/>
      </c>
      <c r="N11085" s="273"/>
    </row>
    <row r="11086" spans="1:14" ht="12.75" customHeight="1" x14ac:dyDescent="0.2">
      <c r="A11086" s="400"/>
      <c r="B11086" s="271"/>
      <c r="C11086" s="271"/>
      <c r="D11086" s="271"/>
      <c r="E11086" s="271"/>
      <c r="F11086" s="271"/>
      <c r="G11086" s="273"/>
      <c r="H11086" s="29"/>
      <c r="I11086" s="394"/>
      <c r="J11086" s="273"/>
      <c r="K11086" s="395"/>
      <c r="L11086" s="273"/>
      <c r="M11086" s="394" t="str">
        <f t="shared" si="1480"/>
        <v/>
      </c>
      <c r="N11086" s="273"/>
    </row>
    <row r="11087" spans="1:14" ht="12.75" customHeight="1" x14ac:dyDescent="0.2">
      <c r="A11087" s="400"/>
      <c r="B11087" s="271"/>
      <c r="C11087" s="271"/>
      <c r="D11087" s="271"/>
      <c r="E11087" s="271"/>
      <c r="F11087" s="271"/>
      <c r="G11087" s="273"/>
      <c r="H11087" s="29"/>
      <c r="I11087" s="394"/>
      <c r="J11087" s="273"/>
      <c r="K11087" s="395"/>
      <c r="L11087" s="273"/>
      <c r="M11087" s="394" t="str">
        <f t="shared" si="1480"/>
        <v/>
      </c>
      <c r="N11087" s="273"/>
    </row>
    <row r="11088" spans="1:14" ht="12.75" customHeight="1" x14ac:dyDescent="0.25">
      <c r="A11088" s="4"/>
      <c r="B11088" s="4"/>
      <c r="C11088" s="4"/>
      <c r="D11088" s="4"/>
      <c r="E11088" s="4"/>
      <c r="F11088" s="4"/>
      <c r="G11088" s="4"/>
      <c r="H11088" s="4"/>
      <c r="I11088" s="4"/>
      <c r="J11088" s="4"/>
      <c r="K11088" s="396" t="s">
        <v>444</v>
      </c>
      <c r="L11088" s="273"/>
      <c r="M11088" s="394">
        <f>SUM(M11083:N11087)</f>
        <v>0</v>
      </c>
      <c r="N11088" s="273"/>
    </row>
    <row r="11089" spans="1:14" ht="12.75" customHeight="1" x14ac:dyDescent="0.25">
      <c r="A11089" s="4"/>
      <c r="B11089" s="4"/>
      <c r="C11089" s="4"/>
      <c r="D11089" s="4"/>
      <c r="E11089" s="4"/>
      <c r="F11089" s="4"/>
      <c r="G11089" s="4"/>
      <c r="H11089" s="4"/>
      <c r="I11089" s="4"/>
      <c r="J11089" s="4"/>
      <c r="K11089" s="4"/>
      <c r="L11089" s="4"/>
      <c r="M11089" s="4"/>
      <c r="N11089" s="4"/>
    </row>
    <row r="11090" spans="1:14" ht="12.75" customHeight="1" x14ac:dyDescent="0.2">
      <c r="A11090" s="398" t="s">
        <v>931</v>
      </c>
      <c r="B11090" s="271"/>
      <c r="C11090" s="271"/>
      <c r="D11090" s="271"/>
      <c r="E11090" s="271"/>
      <c r="F11090" s="271"/>
      <c r="G11090" s="271"/>
      <c r="H11090" s="271"/>
      <c r="I11090" s="271"/>
      <c r="J11090" s="271"/>
      <c r="K11090" s="271"/>
      <c r="L11090" s="271"/>
      <c r="M11090" s="271"/>
      <c r="N11090" s="273"/>
    </row>
    <row r="11091" spans="1:14" ht="12.75" customHeight="1" x14ac:dyDescent="0.2">
      <c r="A11091" s="396" t="s">
        <v>76</v>
      </c>
      <c r="B11091" s="271"/>
      <c r="C11091" s="271"/>
      <c r="D11091" s="271"/>
      <c r="E11091" s="271"/>
      <c r="F11091" s="271"/>
      <c r="G11091" s="273"/>
      <c r="H11091" s="88" t="s">
        <v>77</v>
      </c>
      <c r="I11091" s="399" t="s">
        <v>920</v>
      </c>
      <c r="J11091" s="273"/>
      <c r="K11091" s="90" t="s">
        <v>514</v>
      </c>
      <c r="L11091" s="91" t="s">
        <v>932</v>
      </c>
      <c r="M11091" s="399" t="s">
        <v>921</v>
      </c>
      <c r="N11091" s="273"/>
    </row>
    <row r="11092" spans="1:14" ht="12.75" customHeight="1" x14ac:dyDescent="0.25">
      <c r="A11092" s="393" t="s">
        <v>979</v>
      </c>
      <c r="B11092" s="271"/>
      <c r="C11092" s="271"/>
      <c r="D11092" s="271"/>
      <c r="E11092" s="271"/>
      <c r="F11092" s="271"/>
      <c r="G11092" s="273"/>
      <c r="H11092" s="29" t="str">
        <f>IF(A11092="","",VLOOKUP(A11092,AA_Cuadrillas,4,FALSE))</f>
        <v>Cuadrilla</v>
      </c>
      <c r="I11092" s="394">
        <f>IF(A11092="","",VLOOKUP(A11092,AA_Cuadrillas,5,FALSE))</f>
        <v>140072</v>
      </c>
      <c r="J11092" s="273"/>
      <c r="K11092" s="9">
        <f>IF(A11092="","",F.P!$I$2)</f>
        <v>1.88</v>
      </c>
      <c r="L11092" s="97">
        <v>0.05</v>
      </c>
      <c r="M11092" s="394">
        <f t="shared" ref="M11092:M11096" si="1481">IF(A11092="","",I11092*K11092*L11092)</f>
        <v>13166.768</v>
      </c>
      <c r="N11092" s="273"/>
    </row>
    <row r="11093" spans="1:14" ht="12.75" customHeight="1" x14ac:dyDescent="0.25">
      <c r="A11093" s="393"/>
      <c r="B11093" s="271"/>
      <c r="C11093" s="271"/>
      <c r="D11093" s="271"/>
      <c r="E11093" s="271"/>
      <c r="F11093" s="271"/>
      <c r="G11093" s="273"/>
      <c r="H11093" s="29" t="str">
        <f>IF(A11093="","",VLOOKUP(A11093,AA_Cuadrillas,4,FALSE))</f>
        <v/>
      </c>
      <c r="I11093" s="394" t="str">
        <f>IF(A11093="","",VLOOKUP(A11093,AA_Cuadrillas,5,FALSE))</f>
        <v/>
      </c>
      <c r="J11093" s="273"/>
      <c r="K11093" s="9" t="str">
        <f>IF(A11093="","",F.P!$I$2)</f>
        <v/>
      </c>
      <c r="L11093" s="9"/>
      <c r="M11093" s="394" t="str">
        <f t="shared" si="1481"/>
        <v/>
      </c>
      <c r="N11093" s="273"/>
    </row>
    <row r="11094" spans="1:14" ht="12.75" customHeight="1" x14ac:dyDescent="0.25">
      <c r="A11094" s="393"/>
      <c r="B11094" s="271"/>
      <c r="C11094" s="271"/>
      <c r="D11094" s="271"/>
      <c r="E11094" s="271"/>
      <c r="F11094" s="271"/>
      <c r="G11094" s="273"/>
      <c r="H11094" s="29" t="str">
        <f>IF(A11094="","",VLOOKUP(A11094,AA_Cuadrillas,4,FALSE))</f>
        <v/>
      </c>
      <c r="I11094" s="394" t="str">
        <f>IF(A11094="","",VLOOKUP(A11094,AA_Cuadrillas,5,FALSE))</f>
        <v/>
      </c>
      <c r="J11094" s="273"/>
      <c r="K11094" s="9" t="str">
        <f>IF(A11094="","",F.P!$I$2)</f>
        <v/>
      </c>
      <c r="L11094" s="37"/>
      <c r="M11094" s="394" t="str">
        <f t="shared" si="1481"/>
        <v/>
      </c>
      <c r="N11094" s="273"/>
    </row>
    <row r="11095" spans="1:14" ht="12.75" customHeight="1" x14ac:dyDescent="0.25">
      <c r="A11095" s="393"/>
      <c r="B11095" s="271"/>
      <c r="C11095" s="271"/>
      <c r="D11095" s="271"/>
      <c r="E11095" s="271"/>
      <c r="F11095" s="271"/>
      <c r="G11095" s="273"/>
      <c r="H11095" s="29" t="str">
        <f>IF(A11095="","",VLOOKUP(A11095,AA_Cuadrillas,4,FALSE))</f>
        <v/>
      </c>
      <c r="I11095" s="394" t="str">
        <f>IF(A11095="","",VLOOKUP(A11095,AA_Cuadrillas,5,FALSE))</f>
        <v/>
      </c>
      <c r="J11095" s="273"/>
      <c r="K11095" s="9" t="str">
        <f>IF(A11095="","",F.P!$I$2)</f>
        <v/>
      </c>
      <c r="L11095" s="37"/>
      <c r="M11095" s="394" t="str">
        <f t="shared" si="1481"/>
        <v/>
      </c>
      <c r="N11095" s="273"/>
    </row>
    <row r="11096" spans="1:14" ht="12.75" customHeight="1" x14ac:dyDescent="0.25">
      <c r="A11096" s="393"/>
      <c r="B11096" s="271"/>
      <c r="C11096" s="271"/>
      <c r="D11096" s="271"/>
      <c r="E11096" s="271"/>
      <c r="F11096" s="271"/>
      <c r="G11096" s="273"/>
      <c r="H11096" s="29" t="str">
        <f>IF(A11096="","",VLOOKUP(A11096,AA_Cuadrillas,4,FALSE))</f>
        <v/>
      </c>
      <c r="I11096" s="394" t="str">
        <f>IF(A11096="","",VLOOKUP(A11096,AA_Cuadrillas,5,FALSE))</f>
        <v/>
      </c>
      <c r="J11096" s="273"/>
      <c r="K11096" s="9" t="str">
        <f>IF(A11096="","",F.P!$I$2)</f>
        <v/>
      </c>
      <c r="L11096" s="37"/>
      <c r="M11096" s="394" t="str">
        <f t="shared" si="1481"/>
        <v/>
      </c>
      <c r="N11096" s="273"/>
    </row>
    <row r="11097" spans="1:14" ht="12.75" customHeight="1" x14ac:dyDescent="0.25">
      <c r="A11097" s="4"/>
      <c r="B11097" s="4"/>
      <c r="C11097" s="4"/>
      <c r="D11097" s="4"/>
      <c r="E11097" s="4"/>
      <c r="F11097" s="4"/>
      <c r="G11097" s="4"/>
      <c r="H11097" s="4"/>
      <c r="I11097" s="4"/>
      <c r="J11097" s="4"/>
      <c r="K11097" s="396" t="s">
        <v>444</v>
      </c>
      <c r="L11097" s="273"/>
      <c r="M11097" s="394">
        <f>SUM(M11092:N11096)</f>
        <v>13166.768</v>
      </c>
      <c r="N11097" s="273"/>
    </row>
    <row r="11098" spans="1:14" ht="12.75" customHeight="1" x14ac:dyDescent="0.2"/>
    <row r="11099" spans="1:14" ht="12.75" customHeight="1" x14ac:dyDescent="0.2">
      <c r="A11099" s="407" t="s">
        <v>229</v>
      </c>
      <c r="B11099" s="275"/>
      <c r="C11099" s="275"/>
      <c r="D11099" s="275"/>
      <c r="E11099" s="275"/>
      <c r="F11099" s="275"/>
      <c r="G11099" s="275"/>
      <c r="H11099" s="275"/>
      <c r="I11099" s="275"/>
      <c r="J11099" s="275"/>
      <c r="K11099" s="275"/>
      <c r="L11099" s="275"/>
      <c r="M11099" s="275"/>
      <c r="N11099" s="276"/>
    </row>
    <row r="11100" spans="1:14" ht="12.75" customHeight="1" x14ac:dyDescent="0.2">
      <c r="A11100" s="277"/>
      <c r="B11100" s="278"/>
      <c r="C11100" s="278"/>
      <c r="D11100" s="278"/>
      <c r="E11100" s="278"/>
      <c r="F11100" s="278"/>
      <c r="G11100" s="278"/>
      <c r="H11100" s="278"/>
      <c r="I11100" s="278"/>
      <c r="J11100" s="278"/>
      <c r="K11100" s="278"/>
      <c r="L11100" s="278"/>
      <c r="M11100" s="278"/>
      <c r="N11100" s="279"/>
    </row>
    <row r="11101" spans="1:14" ht="12.75" customHeight="1" x14ac:dyDescent="0.2">
      <c r="A11101" s="75"/>
      <c r="B11101" s="75"/>
      <c r="C11101" s="75"/>
      <c r="D11101" s="75"/>
      <c r="E11101" s="75"/>
      <c r="F11101" s="75"/>
      <c r="G11101" s="75"/>
      <c r="H11101" s="75"/>
      <c r="I11101" s="75"/>
      <c r="J11101" s="75"/>
      <c r="K11101" s="75"/>
      <c r="L11101" s="75"/>
      <c r="M11101" s="75"/>
      <c r="N11101" s="75"/>
    </row>
    <row r="11102" spans="1:14" ht="12.75" customHeight="1" x14ac:dyDescent="0.3">
      <c r="A11102" s="79" t="s">
        <v>859</v>
      </c>
      <c r="B11102" s="80" t="str">
        <f>A11099</f>
        <v>SUMINISTRO E INSTALACIÓN DE ADAPTADOR BRIDA UNIVERSAL Ø3" EN HIERRO DUCTIL (INCLUYE MATERIALES, HERRAMIENTAS Y MANO DE OBRA)</v>
      </c>
      <c r="C11102" s="81" t="s">
        <v>916</v>
      </c>
      <c r="D11102" s="82" t="s">
        <v>999</v>
      </c>
      <c r="E11102" s="83" t="s">
        <v>445</v>
      </c>
      <c r="F11102" s="86">
        <f>H11102+J11102+L11102+N11102</f>
        <v>167951.85640000002</v>
      </c>
      <c r="G11102" s="83" t="s">
        <v>607</v>
      </c>
      <c r="H11102" s="86">
        <f>M11112</f>
        <v>154126.75</v>
      </c>
      <c r="I11102" s="83" t="s">
        <v>918</v>
      </c>
      <c r="J11102" s="86">
        <f>M11121</f>
        <v>658.33840000000009</v>
      </c>
      <c r="K11102" s="83" t="s">
        <v>609</v>
      </c>
      <c r="L11102" s="86">
        <f>M11130</f>
        <v>0</v>
      </c>
      <c r="M11102" s="83" t="s">
        <v>610</v>
      </c>
      <c r="N11102" s="86">
        <f>M11139</f>
        <v>13166.768</v>
      </c>
    </row>
    <row r="11103" spans="1:14" ht="12.75" customHeight="1" x14ac:dyDescent="0.25">
      <c r="A11103" s="87"/>
      <c r="B11103" s="87"/>
      <c r="C11103" s="87"/>
      <c r="D11103" s="87"/>
      <c r="E11103" s="87"/>
      <c r="F11103" s="87"/>
      <c r="G11103" s="87"/>
      <c r="J11103" s="87"/>
      <c r="K11103" s="215" t="s">
        <v>3217</v>
      </c>
      <c r="L11103" s="215">
        <f>+F11102*presup!$O$5</f>
        <v>218337.41332000002</v>
      </c>
      <c r="M11103" s="87"/>
      <c r="N11103" s="87"/>
    </row>
    <row r="11104" spans="1:14" ht="12.75" customHeight="1" x14ac:dyDescent="0.2">
      <c r="A11104" s="398" t="s">
        <v>919</v>
      </c>
      <c r="B11104" s="271"/>
      <c r="C11104" s="271"/>
      <c r="D11104" s="271"/>
      <c r="E11104" s="271"/>
      <c r="F11104" s="271"/>
      <c r="G11104" s="271"/>
      <c r="H11104" s="271"/>
      <c r="I11104" s="271"/>
      <c r="J11104" s="271"/>
      <c r="K11104" s="271"/>
      <c r="L11104" s="271"/>
      <c r="M11104" s="271"/>
      <c r="N11104" s="273"/>
    </row>
    <row r="11105" spans="1:14" ht="12.75" customHeight="1" x14ac:dyDescent="0.2">
      <c r="A11105" s="396" t="s">
        <v>76</v>
      </c>
      <c r="B11105" s="271"/>
      <c r="C11105" s="271"/>
      <c r="D11105" s="271"/>
      <c r="E11105" s="271"/>
      <c r="F11105" s="271"/>
      <c r="G11105" s="273"/>
      <c r="H11105" s="88" t="s">
        <v>77</v>
      </c>
      <c r="I11105" s="399" t="s">
        <v>920</v>
      </c>
      <c r="J11105" s="273"/>
      <c r="K11105" s="399" t="s">
        <v>453</v>
      </c>
      <c r="L11105" s="273"/>
      <c r="M11105" s="399" t="s">
        <v>921</v>
      </c>
      <c r="N11105" s="273"/>
    </row>
    <row r="11106" spans="1:14" ht="12.75" customHeight="1" x14ac:dyDescent="0.2">
      <c r="A11106" s="403" t="s">
        <v>1534</v>
      </c>
      <c r="B11106" s="271"/>
      <c r="C11106" s="271"/>
      <c r="D11106" s="271"/>
      <c r="E11106" s="271"/>
      <c r="F11106" s="271"/>
      <c r="G11106" s="273"/>
      <c r="H11106" s="29" t="str">
        <f t="shared" ref="H11106:H11111" si="1482">IF(A11106="","",VLOOKUP(A11106,AA_Materiales,7,FALSE))</f>
        <v>Unidad</v>
      </c>
      <c r="I11106" s="394">
        <f t="shared" ref="I11106:I11111" si="1483">IF(A11106="","",VLOOKUP(A11106,AA_Materiales,8,FALSE))</f>
        <v>153000</v>
      </c>
      <c r="J11106" s="273"/>
      <c r="K11106" s="395">
        <v>1</v>
      </c>
      <c r="L11106" s="273"/>
      <c r="M11106" s="394">
        <f t="shared" ref="M11106:M11111" si="1484">IF(A11106="","",I11106*K11106)</f>
        <v>153000</v>
      </c>
      <c r="N11106" s="273"/>
    </row>
    <row r="11107" spans="1:14" ht="12.75" customHeight="1" x14ac:dyDescent="0.2">
      <c r="A11107" s="403" t="s">
        <v>1111</v>
      </c>
      <c r="B11107" s="271"/>
      <c r="C11107" s="271"/>
      <c r="D11107" s="271"/>
      <c r="E11107" s="271"/>
      <c r="F11107" s="271"/>
      <c r="G11107" s="273"/>
      <c r="H11107" s="29" t="str">
        <f t="shared" si="1482"/>
        <v>Unidad</v>
      </c>
      <c r="I11107" s="394">
        <f t="shared" si="1483"/>
        <v>22535</v>
      </c>
      <c r="J11107" s="273"/>
      <c r="K11107" s="395">
        <v>0.05</v>
      </c>
      <c r="L11107" s="273"/>
      <c r="M11107" s="394">
        <f t="shared" si="1484"/>
        <v>1126.75</v>
      </c>
      <c r="N11107" s="273"/>
    </row>
    <row r="11108" spans="1:14" ht="12.75" customHeight="1" x14ac:dyDescent="0.2">
      <c r="A11108" s="403"/>
      <c r="B11108" s="271"/>
      <c r="C11108" s="271"/>
      <c r="D11108" s="271"/>
      <c r="E11108" s="271"/>
      <c r="F11108" s="271"/>
      <c r="G11108" s="273"/>
      <c r="H11108" s="29" t="str">
        <f t="shared" si="1482"/>
        <v/>
      </c>
      <c r="I11108" s="394" t="str">
        <f t="shared" si="1483"/>
        <v/>
      </c>
      <c r="J11108" s="273"/>
      <c r="K11108" s="395"/>
      <c r="L11108" s="273"/>
      <c r="M11108" s="394" t="str">
        <f t="shared" si="1484"/>
        <v/>
      </c>
      <c r="N11108" s="273"/>
    </row>
    <row r="11109" spans="1:14" ht="12.75" customHeight="1" x14ac:dyDescent="0.2">
      <c r="A11109" s="403"/>
      <c r="B11109" s="271"/>
      <c r="C11109" s="271"/>
      <c r="D11109" s="271"/>
      <c r="E11109" s="271"/>
      <c r="F11109" s="271"/>
      <c r="G11109" s="273"/>
      <c r="H11109" s="29" t="str">
        <f t="shared" si="1482"/>
        <v/>
      </c>
      <c r="I11109" s="394" t="str">
        <f t="shared" si="1483"/>
        <v/>
      </c>
      <c r="J11109" s="273"/>
      <c r="K11109" s="395"/>
      <c r="L11109" s="273"/>
      <c r="M11109" s="394" t="str">
        <f t="shared" si="1484"/>
        <v/>
      </c>
      <c r="N11109" s="273"/>
    </row>
    <row r="11110" spans="1:14" ht="12.75" customHeight="1" x14ac:dyDescent="0.2">
      <c r="A11110" s="403"/>
      <c r="B11110" s="271"/>
      <c r="C11110" s="271"/>
      <c r="D11110" s="271"/>
      <c r="E11110" s="271"/>
      <c r="F11110" s="271"/>
      <c r="G11110" s="273"/>
      <c r="H11110" s="29" t="str">
        <f t="shared" si="1482"/>
        <v/>
      </c>
      <c r="I11110" s="394" t="str">
        <f t="shared" si="1483"/>
        <v/>
      </c>
      <c r="J11110" s="273"/>
      <c r="K11110" s="395"/>
      <c r="L11110" s="273"/>
      <c r="M11110" s="394" t="str">
        <f t="shared" si="1484"/>
        <v/>
      </c>
      <c r="N11110" s="273"/>
    </row>
    <row r="11111" spans="1:14" ht="12.75" customHeight="1" x14ac:dyDescent="0.2">
      <c r="A11111" s="403"/>
      <c r="B11111" s="271"/>
      <c r="C11111" s="271"/>
      <c r="D11111" s="271"/>
      <c r="E11111" s="271"/>
      <c r="F11111" s="271"/>
      <c r="G11111" s="273"/>
      <c r="H11111" s="29" t="str">
        <f t="shared" si="1482"/>
        <v/>
      </c>
      <c r="I11111" s="394" t="str">
        <f t="shared" si="1483"/>
        <v/>
      </c>
      <c r="J11111" s="273"/>
      <c r="K11111" s="395"/>
      <c r="L11111" s="273"/>
      <c r="M11111" s="394" t="str">
        <f t="shared" si="1484"/>
        <v/>
      </c>
      <c r="N11111" s="273"/>
    </row>
    <row r="11112" spans="1:14" ht="12.75" customHeight="1" x14ac:dyDescent="0.25">
      <c r="A11112" s="4"/>
      <c r="B11112" s="4"/>
      <c r="C11112" s="4"/>
      <c r="D11112" s="4"/>
      <c r="E11112" s="4"/>
      <c r="F11112" s="4"/>
      <c r="G11112" s="4"/>
      <c r="H11112" s="4"/>
      <c r="I11112" s="4"/>
      <c r="J11112" s="4"/>
      <c r="K11112" s="396" t="s">
        <v>444</v>
      </c>
      <c r="L11112" s="273"/>
      <c r="M11112" s="394">
        <f>SUM(M11106:N11111)</f>
        <v>154126.75</v>
      </c>
      <c r="N11112" s="273"/>
    </row>
    <row r="11113" spans="1:14" ht="12.75" customHeight="1" x14ac:dyDescent="0.25">
      <c r="A11113" s="4"/>
      <c r="B11113" s="4"/>
      <c r="C11113" s="4"/>
      <c r="D11113" s="4"/>
      <c r="E11113" s="4"/>
      <c r="F11113" s="4"/>
      <c r="G11113" s="4"/>
      <c r="H11113" s="4"/>
      <c r="I11113" s="4"/>
      <c r="J11113" s="4"/>
      <c r="K11113" s="4"/>
      <c r="L11113" s="4"/>
      <c r="M11113" s="4"/>
      <c r="N11113" s="4"/>
    </row>
    <row r="11114" spans="1:14" ht="12.75" customHeight="1" x14ac:dyDescent="0.2">
      <c r="A11114" s="398" t="s">
        <v>926</v>
      </c>
      <c r="B11114" s="271"/>
      <c r="C11114" s="271"/>
      <c r="D11114" s="271"/>
      <c r="E11114" s="271"/>
      <c r="F11114" s="271"/>
      <c r="G11114" s="271"/>
      <c r="H11114" s="271"/>
      <c r="I11114" s="271"/>
      <c r="J11114" s="271"/>
      <c r="K11114" s="271"/>
      <c r="L11114" s="271"/>
      <c r="M11114" s="271"/>
      <c r="N11114" s="273"/>
    </row>
    <row r="11115" spans="1:14" ht="12.75" customHeight="1" x14ac:dyDescent="0.2">
      <c r="A11115" s="396" t="s">
        <v>76</v>
      </c>
      <c r="B11115" s="271"/>
      <c r="C11115" s="271"/>
      <c r="D11115" s="271"/>
      <c r="E11115" s="271"/>
      <c r="F11115" s="271"/>
      <c r="G11115" s="273"/>
      <c r="H11115" s="88" t="s">
        <v>77</v>
      </c>
      <c r="I11115" s="399" t="s">
        <v>920</v>
      </c>
      <c r="J11115" s="273"/>
      <c r="K11115" s="399" t="s">
        <v>453</v>
      </c>
      <c r="L11115" s="273"/>
      <c r="M11115" s="399" t="s">
        <v>921</v>
      </c>
      <c r="N11115" s="273"/>
    </row>
    <row r="11116" spans="1:14" ht="12.75" customHeight="1" x14ac:dyDescent="0.2">
      <c r="A11116" s="400" t="s">
        <v>927</v>
      </c>
      <c r="B11116" s="271"/>
      <c r="C11116" s="271"/>
      <c r="D11116" s="271"/>
      <c r="E11116" s="271"/>
      <c r="F11116" s="271"/>
      <c r="G11116" s="273"/>
      <c r="H11116" s="29" t="str">
        <f>IF(A11116="","",VLOOKUP(A11116,AA_Equipos,7,FALSE))</f>
        <v>% M.O.</v>
      </c>
      <c r="I11116" s="394">
        <f>+M11139</f>
        <v>13166.768</v>
      </c>
      <c r="J11116" s="273"/>
      <c r="K11116" s="404">
        <v>0.05</v>
      </c>
      <c r="L11116" s="273"/>
      <c r="M11116" s="394">
        <f t="shared" ref="M11116:M11120" si="1485">IF(A11116="","",I11116*K11116)</f>
        <v>658.33840000000009</v>
      </c>
      <c r="N11116" s="273"/>
    </row>
    <row r="11117" spans="1:14" ht="12.75" customHeight="1" x14ac:dyDescent="0.2">
      <c r="A11117" s="403"/>
      <c r="B11117" s="271"/>
      <c r="C11117" s="271"/>
      <c r="D11117" s="271"/>
      <c r="E11117" s="271"/>
      <c r="F11117" s="271"/>
      <c r="G11117" s="273"/>
      <c r="H11117" s="29" t="str">
        <f>IF(A11117="","",VLOOKUP(A11117,AA_Equipos,7,FALSE))</f>
        <v/>
      </c>
      <c r="I11117" s="394" t="str">
        <f>IF(A11117="","",VLOOKUP(A11117,AA_Equipos,8,FALSE))</f>
        <v/>
      </c>
      <c r="J11117" s="273"/>
      <c r="K11117" s="402"/>
      <c r="L11117" s="273"/>
      <c r="M11117" s="394" t="str">
        <f t="shared" si="1485"/>
        <v/>
      </c>
      <c r="N11117" s="273"/>
    </row>
    <row r="11118" spans="1:14" ht="12.75" customHeight="1" x14ac:dyDescent="0.2">
      <c r="A11118" s="400"/>
      <c r="B11118" s="271"/>
      <c r="C11118" s="271"/>
      <c r="D11118" s="271"/>
      <c r="E11118" s="271"/>
      <c r="F11118" s="271"/>
      <c r="G11118" s="273"/>
      <c r="H11118" s="29" t="str">
        <f>IF(A11118="","",VLOOKUP(A11118,AA_Equipos,7,FALSE))</f>
        <v/>
      </c>
      <c r="I11118" s="394" t="str">
        <f>IF(A11118="","",VLOOKUP(A11118,AA_Equipos,8,FALSE))</f>
        <v/>
      </c>
      <c r="J11118" s="273"/>
      <c r="K11118" s="401"/>
      <c r="L11118" s="273"/>
      <c r="M11118" s="394" t="str">
        <f t="shared" si="1485"/>
        <v/>
      </c>
      <c r="N11118" s="273"/>
    </row>
    <row r="11119" spans="1:14" ht="12.75" customHeight="1" x14ac:dyDescent="0.2">
      <c r="A11119" s="400"/>
      <c r="B11119" s="271"/>
      <c r="C11119" s="271"/>
      <c r="D11119" s="271"/>
      <c r="E11119" s="271"/>
      <c r="F11119" s="271"/>
      <c r="G11119" s="273"/>
      <c r="H11119" s="29" t="str">
        <f>IF(A11119="","",VLOOKUP(A11119,AA_Equipos,7,FALSE))</f>
        <v/>
      </c>
      <c r="I11119" s="394" t="str">
        <f>IF(A11119="","",VLOOKUP(A11119,AA_Equipos,8,FALSE))</f>
        <v/>
      </c>
      <c r="J11119" s="273"/>
      <c r="K11119" s="395"/>
      <c r="L11119" s="273"/>
      <c r="M11119" s="394" t="str">
        <f t="shared" si="1485"/>
        <v/>
      </c>
      <c r="N11119" s="273"/>
    </row>
    <row r="11120" spans="1:14" ht="12.75" customHeight="1" x14ac:dyDescent="0.2">
      <c r="A11120" s="400"/>
      <c r="B11120" s="271"/>
      <c r="C11120" s="271"/>
      <c r="D11120" s="271"/>
      <c r="E11120" s="271"/>
      <c r="F11120" s="271"/>
      <c r="G11120" s="273"/>
      <c r="H11120" s="29" t="str">
        <f>IF(A11120="","",VLOOKUP(A11120,AA_Equipos,7,FALSE))</f>
        <v/>
      </c>
      <c r="I11120" s="394" t="str">
        <f>IF(A11120="","",VLOOKUP(A11120,AA_Equipos,8,FALSE))</f>
        <v/>
      </c>
      <c r="J11120" s="273"/>
      <c r="K11120" s="395"/>
      <c r="L11120" s="273"/>
      <c r="M11120" s="394" t="str">
        <f t="shared" si="1485"/>
        <v/>
      </c>
      <c r="N11120" s="273"/>
    </row>
    <row r="11121" spans="1:14" ht="12.75" customHeight="1" x14ac:dyDescent="0.25">
      <c r="A11121" s="4"/>
      <c r="B11121" s="4"/>
      <c r="C11121" s="4"/>
      <c r="D11121" s="4"/>
      <c r="E11121" s="4"/>
      <c r="F11121" s="4"/>
      <c r="G11121" s="4"/>
      <c r="H11121" s="4"/>
      <c r="I11121" s="4"/>
      <c r="J11121" s="4"/>
      <c r="K11121" s="396" t="s">
        <v>444</v>
      </c>
      <c r="L11121" s="273"/>
      <c r="M11121" s="394">
        <f>SUM(M11116:N11120)</f>
        <v>658.33840000000009</v>
      </c>
      <c r="N11121" s="273"/>
    </row>
    <row r="11122" spans="1:14" ht="12.75" customHeight="1" x14ac:dyDescent="0.25">
      <c r="A11122" s="4"/>
      <c r="B11122" s="4"/>
      <c r="C11122" s="4"/>
      <c r="D11122" s="4"/>
      <c r="E11122" s="4"/>
      <c r="F11122" s="4"/>
      <c r="G11122" s="4"/>
      <c r="H11122" s="4"/>
      <c r="I11122" s="4"/>
      <c r="J11122" s="4"/>
      <c r="K11122" s="4"/>
      <c r="L11122" s="4"/>
      <c r="M11122" s="4"/>
      <c r="N11122" s="4"/>
    </row>
    <row r="11123" spans="1:14" ht="12.75" customHeight="1" x14ac:dyDescent="0.2">
      <c r="A11123" s="398" t="s">
        <v>929</v>
      </c>
      <c r="B11123" s="271"/>
      <c r="C11123" s="271"/>
      <c r="D11123" s="271"/>
      <c r="E11123" s="271"/>
      <c r="F11123" s="271"/>
      <c r="G11123" s="271"/>
      <c r="H11123" s="271"/>
      <c r="I11123" s="271"/>
      <c r="J11123" s="271"/>
      <c r="K11123" s="271"/>
      <c r="L11123" s="271"/>
      <c r="M11123" s="271"/>
      <c r="N11123" s="273"/>
    </row>
    <row r="11124" spans="1:14" ht="12.75" customHeight="1" x14ac:dyDescent="0.2">
      <c r="A11124" s="396" t="s">
        <v>76</v>
      </c>
      <c r="B11124" s="271"/>
      <c r="C11124" s="271"/>
      <c r="D11124" s="271"/>
      <c r="E11124" s="271"/>
      <c r="F11124" s="271"/>
      <c r="G11124" s="273"/>
      <c r="H11124" s="88" t="s">
        <v>77</v>
      </c>
      <c r="I11124" s="399" t="s">
        <v>920</v>
      </c>
      <c r="J11124" s="273"/>
      <c r="K11124" s="399" t="s">
        <v>453</v>
      </c>
      <c r="L11124" s="273"/>
      <c r="M11124" s="399" t="s">
        <v>921</v>
      </c>
      <c r="N11124" s="273"/>
    </row>
    <row r="11125" spans="1:14" ht="12.75" customHeight="1" x14ac:dyDescent="0.2">
      <c r="A11125" s="400" t="s">
        <v>966</v>
      </c>
      <c r="B11125" s="271"/>
      <c r="C11125" s="271"/>
      <c r="D11125" s="271"/>
      <c r="E11125" s="271"/>
      <c r="F11125" s="271"/>
      <c r="G11125" s="273"/>
      <c r="H11125" s="29"/>
      <c r="I11125" s="394"/>
      <c r="J11125" s="273"/>
      <c r="K11125" s="417"/>
      <c r="L11125" s="273"/>
      <c r="M11125" s="394">
        <f t="shared" ref="M11125:M11129" si="1486">IF(A11125="","",I11125*K11125)</f>
        <v>0</v>
      </c>
      <c r="N11125" s="273"/>
    </row>
    <row r="11126" spans="1:14" ht="12.75" customHeight="1" x14ac:dyDescent="0.2">
      <c r="A11126" s="403"/>
      <c r="B11126" s="271"/>
      <c r="C11126" s="271"/>
      <c r="D11126" s="271"/>
      <c r="E11126" s="271"/>
      <c r="F11126" s="271"/>
      <c r="G11126" s="273"/>
      <c r="H11126" s="29"/>
      <c r="I11126" s="394"/>
      <c r="J11126" s="273"/>
      <c r="K11126" s="404"/>
      <c r="L11126" s="273"/>
      <c r="M11126" s="394" t="str">
        <f t="shared" si="1486"/>
        <v/>
      </c>
      <c r="N11126" s="273"/>
    </row>
    <row r="11127" spans="1:14" ht="12.75" customHeight="1" x14ac:dyDescent="0.2">
      <c r="A11127" s="400"/>
      <c r="B11127" s="271"/>
      <c r="C11127" s="271"/>
      <c r="D11127" s="271"/>
      <c r="E11127" s="271"/>
      <c r="F11127" s="271"/>
      <c r="G11127" s="273"/>
      <c r="H11127" s="29"/>
      <c r="I11127" s="394"/>
      <c r="J11127" s="273"/>
      <c r="K11127" s="395"/>
      <c r="L11127" s="273"/>
      <c r="M11127" s="394" t="str">
        <f t="shared" si="1486"/>
        <v/>
      </c>
      <c r="N11127" s="273"/>
    </row>
    <row r="11128" spans="1:14" ht="12.75" customHeight="1" x14ac:dyDescent="0.2">
      <c r="A11128" s="400"/>
      <c r="B11128" s="271"/>
      <c r="C11128" s="271"/>
      <c r="D11128" s="271"/>
      <c r="E11128" s="271"/>
      <c r="F11128" s="271"/>
      <c r="G11128" s="273"/>
      <c r="H11128" s="29"/>
      <c r="I11128" s="394"/>
      <c r="J11128" s="273"/>
      <c r="K11128" s="395"/>
      <c r="L11128" s="273"/>
      <c r="M11128" s="394" t="str">
        <f t="shared" si="1486"/>
        <v/>
      </c>
      <c r="N11128" s="273"/>
    </row>
    <row r="11129" spans="1:14" ht="12.75" customHeight="1" x14ac:dyDescent="0.2">
      <c r="A11129" s="400"/>
      <c r="B11129" s="271"/>
      <c r="C11129" s="271"/>
      <c r="D11129" s="271"/>
      <c r="E11129" s="271"/>
      <c r="F11129" s="271"/>
      <c r="G11129" s="273"/>
      <c r="H11129" s="29"/>
      <c r="I11129" s="394"/>
      <c r="J11129" s="273"/>
      <c r="K11129" s="395"/>
      <c r="L11129" s="273"/>
      <c r="M11129" s="394" t="str">
        <f t="shared" si="1486"/>
        <v/>
      </c>
      <c r="N11129" s="273"/>
    </row>
    <row r="11130" spans="1:14" ht="12.75" customHeight="1" x14ac:dyDescent="0.25">
      <c r="A11130" s="4"/>
      <c r="B11130" s="4"/>
      <c r="C11130" s="4"/>
      <c r="D11130" s="4"/>
      <c r="E11130" s="4"/>
      <c r="F11130" s="4"/>
      <c r="G11130" s="4"/>
      <c r="H11130" s="4"/>
      <c r="I11130" s="4"/>
      <c r="J11130" s="4"/>
      <c r="K11130" s="396" t="s">
        <v>444</v>
      </c>
      <c r="L11130" s="273"/>
      <c r="M11130" s="394">
        <f>SUM(M11125:N11129)</f>
        <v>0</v>
      </c>
      <c r="N11130" s="273"/>
    </row>
    <row r="11131" spans="1:14" ht="12.75" customHeight="1" x14ac:dyDescent="0.25">
      <c r="A11131" s="4"/>
      <c r="B11131" s="4"/>
      <c r="C11131" s="4"/>
      <c r="D11131" s="4"/>
      <c r="E11131" s="4"/>
      <c r="F11131" s="4"/>
      <c r="G11131" s="4"/>
      <c r="H11131" s="4"/>
      <c r="I11131" s="4"/>
      <c r="J11131" s="4"/>
      <c r="K11131" s="4"/>
      <c r="L11131" s="4"/>
      <c r="M11131" s="4"/>
      <c r="N11131" s="4"/>
    </row>
    <row r="11132" spans="1:14" ht="12.75" customHeight="1" x14ac:dyDescent="0.2">
      <c r="A11132" s="398" t="s">
        <v>931</v>
      </c>
      <c r="B11132" s="271"/>
      <c r="C11132" s="271"/>
      <c r="D11132" s="271"/>
      <c r="E11132" s="271"/>
      <c r="F11132" s="271"/>
      <c r="G11132" s="271"/>
      <c r="H11132" s="271"/>
      <c r="I11132" s="271"/>
      <c r="J11132" s="271"/>
      <c r="K11132" s="271"/>
      <c r="L11132" s="271"/>
      <c r="M11132" s="271"/>
      <c r="N11132" s="273"/>
    </row>
    <row r="11133" spans="1:14" ht="12.75" customHeight="1" x14ac:dyDescent="0.2">
      <c r="A11133" s="396" t="s">
        <v>76</v>
      </c>
      <c r="B11133" s="271"/>
      <c r="C11133" s="271"/>
      <c r="D11133" s="271"/>
      <c r="E11133" s="271"/>
      <c r="F11133" s="271"/>
      <c r="G11133" s="273"/>
      <c r="H11133" s="88" t="s">
        <v>77</v>
      </c>
      <c r="I11133" s="399" t="s">
        <v>920</v>
      </c>
      <c r="J11133" s="273"/>
      <c r="K11133" s="90" t="s">
        <v>514</v>
      </c>
      <c r="L11133" s="91" t="s">
        <v>932</v>
      </c>
      <c r="M11133" s="399" t="s">
        <v>921</v>
      </c>
      <c r="N11133" s="273"/>
    </row>
    <row r="11134" spans="1:14" ht="12.75" customHeight="1" x14ac:dyDescent="0.25">
      <c r="A11134" s="393" t="s">
        <v>979</v>
      </c>
      <c r="B11134" s="271"/>
      <c r="C11134" s="271"/>
      <c r="D11134" s="271"/>
      <c r="E11134" s="271"/>
      <c r="F11134" s="271"/>
      <c r="G11134" s="273"/>
      <c r="H11134" s="29" t="str">
        <f>IF(A11134="","",VLOOKUP(A11134,AA_Cuadrillas,4,FALSE))</f>
        <v>Cuadrilla</v>
      </c>
      <c r="I11134" s="394">
        <f>IF(A11134="","",VLOOKUP(A11134,AA_Cuadrillas,5,FALSE))</f>
        <v>140072</v>
      </c>
      <c r="J11134" s="273"/>
      <c r="K11134" s="9">
        <f>IF(A11134="","",F.P!$I$2)</f>
        <v>1.88</v>
      </c>
      <c r="L11134" s="97">
        <v>0.05</v>
      </c>
      <c r="M11134" s="394">
        <f t="shared" ref="M11134:M11138" si="1487">IF(A11134="","",I11134*K11134*L11134)</f>
        <v>13166.768</v>
      </c>
      <c r="N11134" s="273"/>
    </row>
    <row r="11135" spans="1:14" ht="12.75" customHeight="1" x14ac:dyDescent="0.25">
      <c r="A11135" s="393"/>
      <c r="B11135" s="271"/>
      <c r="C11135" s="271"/>
      <c r="D11135" s="271"/>
      <c r="E11135" s="271"/>
      <c r="F11135" s="271"/>
      <c r="G11135" s="273"/>
      <c r="H11135" s="29" t="str">
        <f>IF(A11135="","",VLOOKUP(A11135,AA_Cuadrillas,4,FALSE))</f>
        <v/>
      </c>
      <c r="I11135" s="394" t="str">
        <f>IF(A11135="","",VLOOKUP(A11135,AA_Cuadrillas,5,FALSE))</f>
        <v/>
      </c>
      <c r="J11135" s="273"/>
      <c r="K11135" s="9" t="str">
        <f>IF(A11135="","",F.P!$I$2)</f>
        <v/>
      </c>
      <c r="L11135" s="9"/>
      <c r="M11135" s="394" t="str">
        <f t="shared" si="1487"/>
        <v/>
      </c>
      <c r="N11135" s="273"/>
    </row>
    <row r="11136" spans="1:14" ht="12.75" customHeight="1" x14ac:dyDescent="0.25">
      <c r="A11136" s="393"/>
      <c r="B11136" s="271"/>
      <c r="C11136" s="271"/>
      <c r="D11136" s="271"/>
      <c r="E11136" s="271"/>
      <c r="F11136" s="271"/>
      <c r="G11136" s="273"/>
      <c r="H11136" s="29" t="str">
        <f>IF(A11136="","",VLOOKUP(A11136,AA_Cuadrillas,4,FALSE))</f>
        <v/>
      </c>
      <c r="I11136" s="394" t="str">
        <f>IF(A11136="","",VLOOKUP(A11136,AA_Cuadrillas,5,FALSE))</f>
        <v/>
      </c>
      <c r="J11136" s="273"/>
      <c r="K11136" s="9" t="str">
        <f>IF(A11136="","",F.P!$I$2)</f>
        <v/>
      </c>
      <c r="L11136" s="37"/>
      <c r="M11136" s="394" t="str">
        <f t="shared" si="1487"/>
        <v/>
      </c>
      <c r="N11136" s="273"/>
    </row>
    <row r="11137" spans="1:15" ht="12.75" customHeight="1" x14ac:dyDescent="0.25">
      <c r="A11137" s="393"/>
      <c r="B11137" s="271"/>
      <c r="C11137" s="271"/>
      <c r="D11137" s="271"/>
      <c r="E11137" s="271"/>
      <c r="F11137" s="271"/>
      <c r="G11137" s="273"/>
      <c r="H11137" s="29" t="str">
        <f>IF(A11137="","",VLOOKUP(A11137,AA_Cuadrillas,4,FALSE))</f>
        <v/>
      </c>
      <c r="I11137" s="394" t="str">
        <f>IF(A11137="","",VLOOKUP(A11137,AA_Cuadrillas,5,FALSE))</f>
        <v/>
      </c>
      <c r="J11137" s="273"/>
      <c r="K11137" s="9" t="str">
        <f>IF(A11137="","",F.P!$I$2)</f>
        <v/>
      </c>
      <c r="L11137" s="37"/>
      <c r="M11137" s="394" t="str">
        <f t="shared" si="1487"/>
        <v/>
      </c>
      <c r="N11137" s="273"/>
    </row>
    <row r="11138" spans="1:15" ht="12.75" customHeight="1" x14ac:dyDescent="0.25">
      <c r="A11138" s="393"/>
      <c r="B11138" s="271"/>
      <c r="C11138" s="271"/>
      <c r="D11138" s="271"/>
      <c r="E11138" s="271"/>
      <c r="F11138" s="271"/>
      <c r="G11138" s="273"/>
      <c r="H11138" s="29" t="str">
        <f>IF(A11138="","",VLOOKUP(A11138,AA_Cuadrillas,4,FALSE))</f>
        <v/>
      </c>
      <c r="I11138" s="394" t="str">
        <f>IF(A11138="","",VLOOKUP(A11138,AA_Cuadrillas,5,FALSE))</f>
        <v/>
      </c>
      <c r="J11138" s="273"/>
      <c r="K11138" s="9" t="str">
        <f>IF(A11138="","",F.P!$I$2)</f>
        <v/>
      </c>
      <c r="L11138" s="37"/>
      <c r="M11138" s="394" t="str">
        <f t="shared" si="1487"/>
        <v/>
      </c>
      <c r="N11138" s="273"/>
    </row>
    <row r="11139" spans="1:15" ht="12.75" customHeight="1" x14ac:dyDescent="0.25">
      <c r="A11139" s="4"/>
      <c r="B11139" s="4"/>
      <c r="C11139" s="4"/>
      <c r="D11139" s="4"/>
      <c r="E11139" s="4"/>
      <c r="F11139" s="4"/>
      <c r="G11139" s="4"/>
      <c r="H11139" s="4"/>
      <c r="I11139" s="4"/>
      <c r="J11139" s="4"/>
      <c r="K11139" s="396" t="s">
        <v>444</v>
      </c>
      <c r="L11139" s="273"/>
      <c r="M11139" s="394">
        <f>SUM(M11134:N11138)</f>
        <v>13166.768</v>
      </c>
      <c r="N11139" s="273"/>
    </row>
    <row r="11140" spans="1:15" ht="12.75" customHeight="1" x14ac:dyDescent="0.2"/>
    <row r="11141" spans="1:15" ht="12.75" customHeight="1" x14ac:dyDescent="0.2">
      <c r="A11141" s="407" t="s">
        <v>1535</v>
      </c>
      <c r="B11141" s="275"/>
      <c r="C11141" s="275"/>
      <c r="D11141" s="275"/>
      <c r="E11141" s="275"/>
      <c r="F11141" s="275"/>
      <c r="G11141" s="275"/>
      <c r="H11141" s="275"/>
      <c r="I11141" s="275"/>
      <c r="J11141" s="275"/>
      <c r="K11141" s="275"/>
      <c r="L11141" s="275"/>
      <c r="M11141" s="275"/>
      <c r="N11141" s="276"/>
      <c r="O11141" s="166"/>
    </row>
    <row r="11142" spans="1:15" ht="12.75" customHeight="1" x14ac:dyDescent="0.2">
      <c r="A11142" s="277"/>
      <c r="B11142" s="278"/>
      <c r="C11142" s="278"/>
      <c r="D11142" s="278"/>
      <c r="E11142" s="278"/>
      <c r="F11142" s="278"/>
      <c r="G11142" s="278"/>
      <c r="H11142" s="278"/>
      <c r="I11142" s="278"/>
      <c r="J11142" s="278"/>
      <c r="K11142" s="278"/>
      <c r="L11142" s="278"/>
      <c r="M11142" s="278"/>
      <c r="N11142" s="279"/>
      <c r="O11142" s="166"/>
    </row>
    <row r="11143" spans="1:15" ht="12.75" customHeight="1" x14ac:dyDescent="0.2">
      <c r="A11143" s="75"/>
      <c r="B11143" s="75"/>
      <c r="C11143" s="75"/>
      <c r="D11143" s="75"/>
      <c r="E11143" s="75"/>
      <c r="F11143" s="75"/>
      <c r="G11143" s="75"/>
      <c r="H11143" s="75"/>
      <c r="I11143" s="75"/>
      <c r="J11143" s="75"/>
      <c r="K11143" s="75"/>
      <c r="L11143" s="75"/>
      <c r="M11143" s="75"/>
      <c r="N11143" s="75"/>
    </row>
    <row r="11144" spans="1:15" ht="12.75" customHeight="1" x14ac:dyDescent="0.3">
      <c r="A11144" s="79" t="s">
        <v>860</v>
      </c>
      <c r="B11144" s="80" t="str">
        <f>A11141</f>
        <v>SUMINISTRO E INSTALACIÓN DE CODO x 90° PVC Ø3"</v>
      </c>
      <c r="C11144" s="81" t="s">
        <v>916</v>
      </c>
      <c r="D11144" s="82" t="s">
        <v>999</v>
      </c>
      <c r="E11144" s="83" t="s">
        <v>445</v>
      </c>
      <c r="F11144" s="234">
        <f>(H11144+J11144+L11144+N11144)*1.3</f>
        <v>19607.886662649998</v>
      </c>
      <c r="G11144" s="83" t="s">
        <v>607</v>
      </c>
      <c r="H11144" s="86">
        <f>M11162</f>
        <v>87.778610000000015</v>
      </c>
      <c r="I11144" s="83" t="s">
        <v>918</v>
      </c>
      <c r="J11144" s="86">
        <f>M11153</f>
        <v>12605</v>
      </c>
      <c r="K11144" s="83" t="s">
        <v>609</v>
      </c>
      <c r="L11144" s="86">
        <f>M11171</f>
        <v>634.63893050000001</v>
      </c>
      <c r="M11144" s="83" t="s">
        <v>610</v>
      </c>
      <c r="N11144" s="86">
        <f>M11180</f>
        <v>1755.5722000000001</v>
      </c>
      <c r="O11144" t="s">
        <v>3242</v>
      </c>
    </row>
    <row r="11145" spans="1:15" ht="12.75" customHeight="1" x14ac:dyDescent="0.25">
      <c r="A11145" s="87"/>
      <c r="B11145" s="87"/>
      <c r="C11145" s="87"/>
      <c r="D11145" s="87"/>
      <c r="E11145" s="87"/>
      <c r="F11145" s="87"/>
      <c r="G11145" s="87"/>
      <c r="J11145" s="87"/>
      <c r="K11145" s="215" t="s">
        <v>3217</v>
      </c>
      <c r="L11145" s="215">
        <f>+F11144*presup!$O$5</f>
        <v>25490.252661445</v>
      </c>
      <c r="M11145" s="87"/>
      <c r="N11145" s="87"/>
    </row>
    <row r="11146" spans="1:15" ht="12.75" customHeight="1" x14ac:dyDescent="0.2">
      <c r="A11146" s="398" t="s">
        <v>919</v>
      </c>
      <c r="B11146" s="271"/>
      <c r="C11146" s="271"/>
      <c r="D11146" s="271"/>
      <c r="E11146" s="271"/>
      <c r="F11146" s="271"/>
      <c r="G11146" s="271"/>
      <c r="H11146" s="271"/>
      <c r="I11146" s="271"/>
      <c r="J11146" s="271"/>
      <c r="K11146" s="271"/>
      <c r="L11146" s="271"/>
      <c r="M11146" s="271"/>
      <c r="N11146" s="273"/>
    </row>
    <row r="11147" spans="1:15" ht="12.75" customHeight="1" x14ac:dyDescent="0.2">
      <c r="A11147" s="396" t="s">
        <v>76</v>
      </c>
      <c r="B11147" s="271"/>
      <c r="C11147" s="271"/>
      <c r="D11147" s="271"/>
      <c r="E11147" s="271"/>
      <c r="F11147" s="271"/>
      <c r="G11147" s="273"/>
      <c r="H11147" s="88" t="s">
        <v>77</v>
      </c>
      <c r="I11147" s="399" t="s">
        <v>920</v>
      </c>
      <c r="J11147" s="273"/>
      <c r="K11147" s="399" t="s">
        <v>453</v>
      </c>
      <c r="L11147" s="273"/>
      <c r="M11147" s="399" t="s">
        <v>921</v>
      </c>
      <c r="N11147" s="273"/>
    </row>
    <row r="11148" spans="1:15" ht="12.75" customHeight="1" x14ac:dyDescent="0.2">
      <c r="A11148" s="400" t="s">
        <v>1524</v>
      </c>
      <c r="B11148" s="271"/>
      <c r="C11148" s="271"/>
      <c r="D11148" s="271"/>
      <c r="E11148" s="271"/>
      <c r="F11148" s="271"/>
      <c r="G11148" s="273"/>
      <c r="H11148" s="29" t="str">
        <f>IF(A11148="","",VLOOKUP(A11148,AA_Materiales,7,FALSE))</f>
        <v>Unidad</v>
      </c>
      <c r="I11148" s="394">
        <f>IF(A11148="","",VLOOKUP(A11148,AA_Materiales,8,FALSE))</f>
        <v>6200</v>
      </c>
      <c r="J11148" s="273"/>
      <c r="K11148" s="395">
        <v>1</v>
      </c>
      <c r="L11148" s="273"/>
      <c r="M11148" s="394">
        <f t="shared" ref="M11148:M11152" si="1488">IF(A11148="","",I11148*K11148)</f>
        <v>6200</v>
      </c>
      <c r="N11148" s="273"/>
    </row>
    <row r="11149" spans="1:15" ht="12.75" customHeight="1" x14ac:dyDescent="0.2">
      <c r="A11149" s="400" t="s">
        <v>984</v>
      </c>
      <c r="B11149" s="271"/>
      <c r="C11149" s="271"/>
      <c r="D11149" s="271"/>
      <c r="E11149" s="271"/>
      <c r="F11149" s="271"/>
      <c r="G11149" s="273"/>
      <c r="H11149" s="29" t="str">
        <f>IF(A11149="","",VLOOKUP(A11149,AA_Materiales,7,FALSE))</f>
        <v>Galón</v>
      </c>
      <c r="I11149" s="394">
        <f>IF(A11149="","",VLOOKUP(A11149,AA_Materiales,8,FALSE))</f>
        <v>80900</v>
      </c>
      <c r="J11149" s="273"/>
      <c r="K11149" s="395">
        <v>0.05</v>
      </c>
      <c r="L11149" s="273"/>
      <c r="M11149" s="394">
        <f t="shared" si="1488"/>
        <v>4045</v>
      </c>
      <c r="N11149" s="273"/>
    </row>
    <row r="11150" spans="1:15" ht="12.75" customHeight="1" x14ac:dyDescent="0.2">
      <c r="A11150" s="400" t="s">
        <v>985</v>
      </c>
      <c r="B11150" s="271"/>
      <c r="C11150" s="271"/>
      <c r="D11150" s="271"/>
      <c r="E11150" s="271"/>
      <c r="F11150" s="271"/>
      <c r="G11150" s="273"/>
      <c r="H11150" s="29" t="str">
        <f>IF(A11150="","",VLOOKUP(A11150,AA_Materiales,7,FALSE))</f>
        <v>Galón</v>
      </c>
      <c r="I11150" s="394">
        <f>IF(A11150="","",VLOOKUP(A11150,AA_Materiales,8,FALSE))</f>
        <v>47200</v>
      </c>
      <c r="J11150" s="273"/>
      <c r="K11150" s="395">
        <v>0.05</v>
      </c>
      <c r="L11150" s="273"/>
      <c r="M11150" s="394">
        <f t="shared" si="1488"/>
        <v>2360</v>
      </c>
      <c r="N11150" s="273"/>
    </row>
    <row r="11151" spans="1:15" ht="12.75" customHeight="1" x14ac:dyDescent="0.2">
      <c r="A11151" s="400"/>
      <c r="B11151" s="271"/>
      <c r="C11151" s="271"/>
      <c r="D11151" s="271"/>
      <c r="E11151" s="271"/>
      <c r="F11151" s="271"/>
      <c r="G11151" s="273"/>
      <c r="H11151" s="29" t="str">
        <f>IF(A11151="","",VLOOKUP(A11151,AA_Materiales,7,FALSE))</f>
        <v/>
      </c>
      <c r="I11151" s="394" t="str">
        <f>IF(A11151="","",VLOOKUP(A11151,AA_Materiales,8,FALSE))</f>
        <v/>
      </c>
      <c r="J11151" s="273"/>
      <c r="K11151" s="395"/>
      <c r="L11151" s="273"/>
      <c r="M11151" s="394" t="str">
        <f t="shared" si="1488"/>
        <v/>
      </c>
      <c r="N11151" s="273"/>
    </row>
    <row r="11152" spans="1:15" ht="12.75" customHeight="1" x14ac:dyDescent="0.2">
      <c r="A11152" s="400"/>
      <c r="B11152" s="271"/>
      <c r="C11152" s="271"/>
      <c r="D11152" s="271"/>
      <c r="E11152" s="271"/>
      <c r="F11152" s="271"/>
      <c r="G11152" s="273"/>
      <c r="H11152" s="29" t="str">
        <f>IF(A11152="","",VLOOKUP(A11152,AA_Materiales,7,FALSE))</f>
        <v/>
      </c>
      <c r="I11152" s="394" t="str">
        <f>IF(A11152="","",VLOOKUP(A11152,AA_Materiales,8,FALSE))</f>
        <v/>
      </c>
      <c r="J11152" s="273"/>
      <c r="K11152" s="395"/>
      <c r="L11152" s="273"/>
      <c r="M11152" s="394" t="str">
        <f t="shared" si="1488"/>
        <v/>
      </c>
      <c r="N11152" s="273"/>
    </row>
    <row r="11153" spans="1:14" ht="12.75" customHeight="1" x14ac:dyDescent="0.25">
      <c r="A11153" s="4"/>
      <c r="B11153" s="4"/>
      <c r="C11153" s="4"/>
      <c r="D11153" s="4"/>
      <c r="E11153" s="4"/>
      <c r="F11153" s="4"/>
      <c r="G11153" s="4"/>
      <c r="H11153" s="4"/>
      <c r="I11153" s="4"/>
      <c r="J11153" s="4"/>
      <c r="K11153" s="396" t="s">
        <v>444</v>
      </c>
      <c r="L11153" s="273"/>
      <c r="M11153" s="394">
        <f>SUM(M11148:N11152)</f>
        <v>12605</v>
      </c>
      <c r="N11153" s="273"/>
    </row>
    <row r="11154" spans="1:14" ht="12.75" customHeight="1" x14ac:dyDescent="0.25">
      <c r="A11154" s="4"/>
      <c r="B11154" s="4"/>
      <c r="C11154" s="4"/>
      <c r="D11154" s="4"/>
      <c r="E11154" s="4"/>
      <c r="F11154" s="4"/>
      <c r="G11154" s="4"/>
      <c r="H11154" s="4"/>
      <c r="I11154" s="4"/>
      <c r="J11154" s="4"/>
      <c r="K11154" s="4"/>
      <c r="L11154" s="4"/>
      <c r="M11154" s="4"/>
      <c r="N11154" s="4"/>
    </row>
    <row r="11155" spans="1:14" ht="12.75" customHeight="1" x14ac:dyDescent="0.2">
      <c r="A11155" s="398" t="s">
        <v>926</v>
      </c>
      <c r="B11155" s="271"/>
      <c r="C11155" s="271"/>
      <c r="D11155" s="271"/>
      <c r="E11155" s="271"/>
      <c r="F11155" s="271"/>
      <c r="G11155" s="271"/>
      <c r="H11155" s="271"/>
      <c r="I11155" s="271"/>
      <c r="J11155" s="271"/>
      <c r="K11155" s="271"/>
      <c r="L11155" s="271"/>
      <c r="M11155" s="271"/>
      <c r="N11155" s="273"/>
    </row>
    <row r="11156" spans="1:14" ht="12.75" customHeight="1" x14ac:dyDescent="0.2">
      <c r="A11156" s="396" t="s">
        <v>76</v>
      </c>
      <c r="B11156" s="271"/>
      <c r="C11156" s="271"/>
      <c r="D11156" s="271"/>
      <c r="E11156" s="271"/>
      <c r="F11156" s="271"/>
      <c r="G11156" s="273"/>
      <c r="H11156" s="88" t="s">
        <v>77</v>
      </c>
      <c r="I11156" s="399" t="s">
        <v>920</v>
      </c>
      <c r="J11156" s="273"/>
      <c r="K11156" s="399" t="s">
        <v>453</v>
      </c>
      <c r="L11156" s="273"/>
      <c r="M11156" s="399" t="s">
        <v>921</v>
      </c>
      <c r="N11156" s="273"/>
    </row>
    <row r="11157" spans="1:14" ht="12.75" customHeight="1" x14ac:dyDescent="0.2">
      <c r="A11157" s="400" t="s">
        <v>927</v>
      </c>
      <c r="B11157" s="271"/>
      <c r="C11157" s="271"/>
      <c r="D11157" s="271"/>
      <c r="E11157" s="271"/>
      <c r="F11157" s="271"/>
      <c r="G11157" s="273"/>
      <c r="H11157" s="29" t="str">
        <f>IF(A11157="","",VLOOKUP(A11157,AA_Equipos,7,FALSE))</f>
        <v>% M.O.</v>
      </c>
      <c r="I11157" s="394">
        <f>M11180</f>
        <v>1755.5722000000001</v>
      </c>
      <c r="J11157" s="273"/>
      <c r="K11157" s="404">
        <v>0.05</v>
      </c>
      <c r="L11157" s="273"/>
      <c r="M11157" s="394">
        <f t="shared" ref="M11157:M11161" si="1489">IF(A11157="","",I11157*K11157)</f>
        <v>87.778610000000015</v>
      </c>
      <c r="N11157" s="273"/>
    </row>
    <row r="11158" spans="1:14" ht="12.75" customHeight="1" x14ac:dyDescent="0.2">
      <c r="A11158" s="403"/>
      <c r="B11158" s="271"/>
      <c r="C11158" s="271"/>
      <c r="D11158" s="271"/>
      <c r="E11158" s="271"/>
      <c r="F11158" s="271"/>
      <c r="G11158" s="273"/>
      <c r="H11158" s="29" t="str">
        <f>IF(A11158="","",VLOOKUP(A11158,AA_Equipos,7,FALSE))</f>
        <v/>
      </c>
      <c r="I11158" s="394" t="str">
        <f>IF(A11158="","",VLOOKUP(A11158,AA_Equipos,8,FALSE))</f>
        <v/>
      </c>
      <c r="J11158" s="273"/>
      <c r="K11158" s="402"/>
      <c r="L11158" s="273"/>
      <c r="M11158" s="394" t="str">
        <f t="shared" si="1489"/>
        <v/>
      </c>
      <c r="N11158" s="273"/>
    </row>
    <row r="11159" spans="1:14" ht="12.75" customHeight="1" x14ac:dyDescent="0.2">
      <c r="A11159" s="400"/>
      <c r="B11159" s="271"/>
      <c r="C11159" s="271"/>
      <c r="D11159" s="271"/>
      <c r="E11159" s="271"/>
      <c r="F11159" s="271"/>
      <c r="G11159" s="273"/>
      <c r="H11159" s="29" t="str">
        <f>IF(A11159="","",VLOOKUP(A11159,AA_Equipos,7,FALSE))</f>
        <v/>
      </c>
      <c r="I11159" s="394" t="str">
        <f>IF(A11159="","",VLOOKUP(A11159,AA_Equipos,8,FALSE))</f>
        <v/>
      </c>
      <c r="J11159" s="273"/>
      <c r="K11159" s="395"/>
      <c r="L11159" s="273"/>
      <c r="M11159" s="394" t="str">
        <f t="shared" si="1489"/>
        <v/>
      </c>
      <c r="N11159" s="273"/>
    </row>
    <row r="11160" spans="1:14" ht="12.75" customHeight="1" x14ac:dyDescent="0.2">
      <c r="A11160" s="400"/>
      <c r="B11160" s="271"/>
      <c r="C11160" s="271"/>
      <c r="D11160" s="271"/>
      <c r="E11160" s="271"/>
      <c r="F11160" s="271"/>
      <c r="G11160" s="273"/>
      <c r="H11160" s="29" t="str">
        <f>IF(A11160="","",VLOOKUP(A11160,AA_Equipos,7,FALSE))</f>
        <v/>
      </c>
      <c r="I11160" s="394" t="str">
        <f>IF(A11160="","",VLOOKUP(A11160,AA_Equipos,8,FALSE))</f>
        <v/>
      </c>
      <c r="J11160" s="273"/>
      <c r="K11160" s="395"/>
      <c r="L11160" s="273"/>
      <c r="M11160" s="394" t="str">
        <f t="shared" si="1489"/>
        <v/>
      </c>
      <c r="N11160" s="273"/>
    </row>
    <row r="11161" spans="1:14" ht="12.75" customHeight="1" x14ac:dyDescent="0.2">
      <c r="A11161" s="400"/>
      <c r="B11161" s="271"/>
      <c r="C11161" s="271"/>
      <c r="D11161" s="271"/>
      <c r="E11161" s="271"/>
      <c r="F11161" s="271"/>
      <c r="G11161" s="273"/>
      <c r="H11161" s="29" t="str">
        <f>IF(A11161="","",VLOOKUP(A11161,AA_Equipos,7,FALSE))</f>
        <v/>
      </c>
      <c r="I11161" s="394" t="str">
        <f>IF(A11161="","",VLOOKUP(A11161,AA_Equipos,8,FALSE))</f>
        <v/>
      </c>
      <c r="J11161" s="273"/>
      <c r="K11161" s="395"/>
      <c r="L11161" s="273"/>
      <c r="M11161" s="394" t="str">
        <f t="shared" si="1489"/>
        <v/>
      </c>
      <c r="N11161" s="273"/>
    </row>
    <row r="11162" spans="1:14" ht="12.75" customHeight="1" x14ac:dyDescent="0.25">
      <c r="A11162" s="4"/>
      <c r="B11162" s="4"/>
      <c r="C11162" s="4"/>
      <c r="D11162" s="4"/>
      <c r="E11162" s="4"/>
      <c r="F11162" s="4"/>
      <c r="G11162" s="4"/>
      <c r="H11162" s="4"/>
      <c r="I11162" s="4"/>
      <c r="J11162" s="4"/>
      <c r="K11162" s="396" t="s">
        <v>444</v>
      </c>
      <c r="L11162" s="273"/>
      <c r="M11162" s="394">
        <f>SUM(M11157:N11161)</f>
        <v>87.778610000000015</v>
      </c>
      <c r="N11162" s="273"/>
    </row>
    <row r="11163" spans="1:14" ht="12.75" customHeight="1" x14ac:dyDescent="0.25">
      <c r="A11163" s="4"/>
      <c r="B11163" s="4"/>
      <c r="C11163" s="4"/>
      <c r="D11163" s="4"/>
      <c r="E11163" s="4"/>
      <c r="F11163" s="4"/>
      <c r="G11163" s="4"/>
      <c r="H11163" s="4"/>
      <c r="I11163" s="4"/>
      <c r="J11163" s="4"/>
      <c r="K11163" s="4"/>
      <c r="L11163" s="4"/>
      <c r="M11163" s="4"/>
      <c r="N11163" s="4"/>
    </row>
    <row r="11164" spans="1:14" ht="12.75" customHeight="1" x14ac:dyDescent="0.2">
      <c r="A11164" s="398" t="s">
        <v>929</v>
      </c>
      <c r="B11164" s="271"/>
      <c r="C11164" s="271"/>
      <c r="D11164" s="271"/>
      <c r="E11164" s="271"/>
      <c r="F11164" s="271"/>
      <c r="G11164" s="271"/>
      <c r="H11164" s="271"/>
      <c r="I11164" s="271"/>
      <c r="J11164" s="271"/>
      <c r="K11164" s="271"/>
      <c r="L11164" s="271"/>
      <c r="M11164" s="271"/>
      <c r="N11164" s="273"/>
    </row>
    <row r="11165" spans="1:14" ht="12.75" customHeight="1" x14ac:dyDescent="0.2">
      <c r="A11165" s="396" t="s">
        <v>76</v>
      </c>
      <c r="B11165" s="271"/>
      <c r="C11165" s="271"/>
      <c r="D11165" s="271"/>
      <c r="E11165" s="271"/>
      <c r="F11165" s="271"/>
      <c r="G11165" s="273"/>
      <c r="H11165" s="88" t="s">
        <v>77</v>
      </c>
      <c r="I11165" s="399" t="s">
        <v>920</v>
      </c>
      <c r="J11165" s="273"/>
      <c r="K11165" s="399" t="s">
        <v>453</v>
      </c>
      <c r="L11165" s="273"/>
      <c r="M11165" s="399" t="s">
        <v>921</v>
      </c>
      <c r="N11165" s="273"/>
    </row>
    <row r="11166" spans="1:14" ht="12.75" customHeight="1" x14ac:dyDescent="0.2">
      <c r="A11166" s="403" t="s">
        <v>966</v>
      </c>
      <c r="B11166" s="271"/>
      <c r="C11166" s="271"/>
      <c r="D11166" s="271"/>
      <c r="E11166" s="271"/>
      <c r="F11166" s="271"/>
      <c r="G11166" s="273"/>
      <c r="H11166" s="29" t="s">
        <v>950</v>
      </c>
      <c r="I11166" s="394">
        <f>+M11153</f>
        <v>12605</v>
      </c>
      <c r="J11166" s="273"/>
      <c r="K11166" s="404">
        <v>0.05</v>
      </c>
      <c r="L11166" s="273"/>
      <c r="M11166" s="394">
        <f t="shared" ref="M11166:M11170" si="1490">IF(A11166="","",I11166*K11166)</f>
        <v>630.25</v>
      </c>
      <c r="N11166" s="273"/>
    </row>
    <row r="11167" spans="1:14" ht="12.75" customHeight="1" x14ac:dyDescent="0.2">
      <c r="A11167" s="403" t="s">
        <v>3174</v>
      </c>
      <c r="B11167" s="271"/>
      <c r="C11167" s="271"/>
      <c r="D11167" s="271"/>
      <c r="E11167" s="271"/>
      <c r="F11167" s="271"/>
      <c r="G11167" s="273"/>
      <c r="H11167" s="29" t="s">
        <v>24</v>
      </c>
      <c r="I11167" s="394">
        <f>+M11162</f>
        <v>87.778610000000015</v>
      </c>
      <c r="J11167" s="273"/>
      <c r="K11167" s="404">
        <v>0.05</v>
      </c>
      <c r="L11167" s="273"/>
      <c r="M11167" s="394">
        <f t="shared" si="1490"/>
        <v>4.3889305000000007</v>
      </c>
      <c r="N11167" s="273"/>
    </row>
    <row r="11168" spans="1:14" ht="12.75" customHeight="1" x14ac:dyDescent="0.2">
      <c r="A11168" s="400"/>
      <c r="B11168" s="271"/>
      <c r="C11168" s="271"/>
      <c r="D11168" s="271"/>
      <c r="E11168" s="271"/>
      <c r="F11168" s="271"/>
      <c r="G11168" s="273"/>
      <c r="H11168" s="29"/>
      <c r="I11168" s="394"/>
      <c r="J11168" s="273"/>
      <c r="K11168" s="395"/>
      <c r="L11168" s="273"/>
      <c r="M11168" s="394" t="str">
        <f t="shared" si="1490"/>
        <v/>
      </c>
      <c r="N11168" s="273"/>
    </row>
    <row r="11169" spans="1:14" ht="12.75" customHeight="1" x14ac:dyDescent="0.2">
      <c r="A11169" s="400"/>
      <c r="B11169" s="271"/>
      <c r="C11169" s="271"/>
      <c r="D11169" s="271"/>
      <c r="E11169" s="271"/>
      <c r="F11169" s="271"/>
      <c r="G11169" s="273"/>
      <c r="H11169" s="29"/>
      <c r="I11169" s="394"/>
      <c r="J11169" s="273"/>
      <c r="K11169" s="395"/>
      <c r="L11169" s="273"/>
      <c r="M11169" s="394" t="str">
        <f t="shared" si="1490"/>
        <v/>
      </c>
      <c r="N11169" s="273"/>
    </row>
    <row r="11170" spans="1:14" ht="12.75" customHeight="1" x14ac:dyDescent="0.2">
      <c r="A11170" s="400"/>
      <c r="B11170" s="271"/>
      <c r="C11170" s="271"/>
      <c r="D11170" s="271"/>
      <c r="E11170" s="271"/>
      <c r="F11170" s="271"/>
      <c r="G11170" s="273"/>
      <c r="H11170" s="29"/>
      <c r="I11170" s="394"/>
      <c r="J11170" s="273"/>
      <c r="K11170" s="395"/>
      <c r="L11170" s="273"/>
      <c r="M11170" s="394" t="str">
        <f t="shared" si="1490"/>
        <v/>
      </c>
      <c r="N11170" s="273"/>
    </row>
    <row r="11171" spans="1:14" ht="12.75" customHeight="1" x14ac:dyDescent="0.25">
      <c r="A11171" s="4"/>
      <c r="B11171" s="4"/>
      <c r="C11171" s="4"/>
      <c r="D11171" s="4"/>
      <c r="E11171" s="4"/>
      <c r="F11171" s="4"/>
      <c r="G11171" s="4"/>
      <c r="H11171" s="4"/>
      <c r="I11171" s="4"/>
      <c r="J11171" s="4"/>
      <c r="K11171" s="396" t="s">
        <v>444</v>
      </c>
      <c r="L11171" s="273"/>
      <c r="M11171" s="394">
        <f>SUM(M11166:N11170)</f>
        <v>634.63893050000001</v>
      </c>
      <c r="N11171" s="273"/>
    </row>
    <row r="11172" spans="1:14" ht="12.75" customHeight="1" x14ac:dyDescent="0.25">
      <c r="A11172" s="4"/>
      <c r="B11172" s="4"/>
      <c r="C11172" s="4"/>
      <c r="D11172" s="4"/>
      <c r="E11172" s="4"/>
      <c r="F11172" s="4"/>
      <c r="G11172" s="4"/>
      <c r="H11172" s="4"/>
      <c r="I11172" s="4"/>
      <c r="J11172" s="4"/>
      <c r="K11172" s="4"/>
      <c r="L11172" s="4"/>
      <c r="M11172" s="4"/>
      <c r="N11172" s="4"/>
    </row>
    <row r="11173" spans="1:14" ht="12.75" customHeight="1" x14ac:dyDescent="0.2">
      <c r="A11173" s="398" t="s">
        <v>931</v>
      </c>
      <c r="B11173" s="271"/>
      <c r="C11173" s="271"/>
      <c r="D11173" s="271"/>
      <c r="E11173" s="271"/>
      <c r="F11173" s="271"/>
      <c r="G11173" s="271"/>
      <c r="H11173" s="271"/>
      <c r="I11173" s="271"/>
      <c r="J11173" s="271"/>
      <c r="K11173" s="271"/>
      <c r="L11173" s="271"/>
      <c r="M11173" s="271"/>
      <c r="N11173" s="273"/>
    </row>
    <row r="11174" spans="1:14" ht="12.75" customHeight="1" x14ac:dyDescent="0.2">
      <c r="A11174" s="396" t="s">
        <v>76</v>
      </c>
      <c r="B11174" s="271"/>
      <c r="C11174" s="271"/>
      <c r="D11174" s="271"/>
      <c r="E11174" s="271"/>
      <c r="F11174" s="271"/>
      <c r="G11174" s="273"/>
      <c r="H11174" s="88" t="s">
        <v>77</v>
      </c>
      <c r="I11174" s="399" t="s">
        <v>920</v>
      </c>
      <c r="J11174" s="273"/>
      <c r="K11174" s="90" t="s">
        <v>514</v>
      </c>
      <c r="L11174" s="91" t="s">
        <v>932</v>
      </c>
      <c r="M11174" s="399" t="s">
        <v>921</v>
      </c>
      <c r="N11174" s="273"/>
    </row>
    <row r="11175" spans="1:14" ht="12.75" customHeight="1" x14ac:dyDescent="0.25">
      <c r="A11175" s="393" t="s">
        <v>986</v>
      </c>
      <c r="B11175" s="271"/>
      <c r="C11175" s="271"/>
      <c r="D11175" s="271"/>
      <c r="E11175" s="271"/>
      <c r="F11175" s="271"/>
      <c r="G11175" s="273"/>
      <c r="H11175" s="29" t="str">
        <f>IF(A11175="","",VLOOKUP(A11175,AA_Cuadrillas,4,FALSE))</f>
        <v>Cuadrilla</v>
      </c>
      <c r="I11175" s="394">
        <f>IF(A11175="","",VLOOKUP(A11175,AA_Cuadrillas,5,FALSE))</f>
        <v>186763</v>
      </c>
      <c r="J11175" s="273"/>
      <c r="K11175" s="9">
        <f>IF(A11175="","",F.P!$I$2)</f>
        <v>1.88</v>
      </c>
      <c r="L11175" s="93">
        <f>1/200</f>
        <v>5.0000000000000001E-3</v>
      </c>
      <c r="M11175" s="394">
        <f t="shared" ref="M11175:M11179" si="1491">IF(A11175="","",I11175*K11175*L11175)</f>
        <v>1755.5722000000001</v>
      </c>
      <c r="N11175" s="273"/>
    </row>
    <row r="11176" spans="1:14" ht="12.75" customHeight="1" x14ac:dyDescent="0.25">
      <c r="A11176" s="393"/>
      <c r="B11176" s="271"/>
      <c r="C11176" s="271"/>
      <c r="D11176" s="271"/>
      <c r="E11176" s="271"/>
      <c r="F11176" s="271"/>
      <c r="G11176" s="273"/>
      <c r="H11176" s="29" t="str">
        <f>IF(A11176="","",VLOOKUP(A11176,AA_Cuadrillas,4,FALSE))</f>
        <v/>
      </c>
      <c r="I11176" s="394" t="str">
        <f>IF(A11176="","",VLOOKUP(A11176,AA_Cuadrillas,5,FALSE))</f>
        <v/>
      </c>
      <c r="J11176" s="273"/>
      <c r="K11176" s="9" t="str">
        <f>IF(A11176="","",F.P!$I$2)</f>
        <v/>
      </c>
      <c r="L11176" s="9"/>
      <c r="M11176" s="394" t="str">
        <f t="shared" si="1491"/>
        <v/>
      </c>
      <c r="N11176" s="273"/>
    </row>
    <row r="11177" spans="1:14" ht="12.75" customHeight="1" x14ac:dyDescent="0.25">
      <c r="A11177" s="393"/>
      <c r="B11177" s="271"/>
      <c r="C11177" s="271"/>
      <c r="D11177" s="271"/>
      <c r="E11177" s="271"/>
      <c r="F11177" s="271"/>
      <c r="G11177" s="273"/>
      <c r="H11177" s="29" t="str">
        <f>IF(A11177="","",VLOOKUP(A11177,AA_Cuadrillas,4,FALSE))</f>
        <v/>
      </c>
      <c r="I11177" s="394" t="str">
        <f>IF(A11177="","",VLOOKUP(A11177,AA_Cuadrillas,5,FALSE))</f>
        <v/>
      </c>
      <c r="J11177" s="273"/>
      <c r="K11177" s="9" t="str">
        <f>IF(A11177="","",F.P!$I$2)</f>
        <v/>
      </c>
      <c r="L11177" s="37"/>
      <c r="M11177" s="394" t="str">
        <f t="shared" si="1491"/>
        <v/>
      </c>
      <c r="N11177" s="273"/>
    </row>
    <row r="11178" spans="1:14" ht="12.75" customHeight="1" x14ac:dyDescent="0.25">
      <c r="A11178" s="393"/>
      <c r="B11178" s="271"/>
      <c r="C11178" s="271"/>
      <c r="D11178" s="271"/>
      <c r="E11178" s="271"/>
      <c r="F11178" s="271"/>
      <c r="G11178" s="273"/>
      <c r="H11178" s="29" t="str">
        <f>IF(A11178="","",VLOOKUP(A11178,AA_Cuadrillas,4,FALSE))</f>
        <v/>
      </c>
      <c r="I11178" s="394" t="str">
        <f>IF(A11178="","",VLOOKUP(A11178,AA_Cuadrillas,5,FALSE))</f>
        <v/>
      </c>
      <c r="J11178" s="273"/>
      <c r="K11178" s="9" t="str">
        <f>IF(A11178="","",F.P!$I$2)</f>
        <v/>
      </c>
      <c r="L11178" s="37"/>
      <c r="M11178" s="394" t="str">
        <f t="shared" si="1491"/>
        <v/>
      </c>
      <c r="N11178" s="273"/>
    </row>
    <row r="11179" spans="1:14" ht="12.75" customHeight="1" x14ac:dyDescent="0.25">
      <c r="A11179" s="393"/>
      <c r="B11179" s="271"/>
      <c r="C11179" s="271"/>
      <c r="D11179" s="271"/>
      <c r="E11179" s="271"/>
      <c r="F11179" s="271"/>
      <c r="G11179" s="273"/>
      <c r="H11179" s="29" t="str">
        <f>IF(A11179="","",VLOOKUP(A11179,AA_Cuadrillas,4,FALSE))</f>
        <v/>
      </c>
      <c r="I11179" s="394" t="str">
        <f>IF(A11179="","",VLOOKUP(A11179,AA_Cuadrillas,5,FALSE))</f>
        <v/>
      </c>
      <c r="J11179" s="273"/>
      <c r="K11179" s="9" t="str">
        <f>IF(A11179="","",F.P!$I$2)</f>
        <v/>
      </c>
      <c r="L11179" s="37"/>
      <c r="M11179" s="394" t="str">
        <f t="shared" si="1491"/>
        <v/>
      </c>
      <c r="N11179" s="273"/>
    </row>
    <row r="11180" spans="1:14" ht="12.75" customHeight="1" x14ac:dyDescent="0.25">
      <c r="A11180" s="4"/>
      <c r="B11180" s="4"/>
      <c r="C11180" s="4"/>
      <c r="D11180" s="4"/>
      <c r="E11180" s="4"/>
      <c r="F11180" s="4"/>
      <c r="G11180" s="4"/>
      <c r="H11180" s="4"/>
      <c r="I11180" s="4"/>
      <c r="J11180" s="4"/>
      <c r="K11180" s="396" t="s">
        <v>444</v>
      </c>
      <c r="L11180" s="273"/>
      <c r="M11180" s="394">
        <f>SUM(M11175:N11179)</f>
        <v>1755.5722000000001</v>
      </c>
      <c r="N11180" s="273"/>
    </row>
    <row r="11181" spans="1:14" ht="12.75" customHeight="1" x14ac:dyDescent="0.2"/>
    <row r="11182" spans="1:14" ht="12.75" customHeight="1" x14ac:dyDescent="0.2">
      <c r="A11182" s="407" t="s">
        <v>1536</v>
      </c>
      <c r="B11182" s="275"/>
      <c r="C11182" s="275"/>
      <c r="D11182" s="275"/>
      <c r="E11182" s="275"/>
      <c r="F11182" s="275"/>
      <c r="G11182" s="275"/>
      <c r="H11182" s="275"/>
      <c r="I11182" s="275"/>
      <c r="J11182" s="275"/>
      <c r="K11182" s="275"/>
      <c r="L11182" s="275"/>
      <c r="M11182" s="275"/>
      <c r="N11182" s="276"/>
    </row>
    <row r="11183" spans="1:14" ht="12.75" customHeight="1" x14ac:dyDescent="0.2">
      <c r="A11183" s="277"/>
      <c r="B11183" s="278"/>
      <c r="C11183" s="278"/>
      <c r="D11183" s="278"/>
      <c r="E11183" s="278"/>
      <c r="F11183" s="278"/>
      <c r="G11183" s="278"/>
      <c r="H11183" s="278"/>
      <c r="I11183" s="278"/>
      <c r="J11183" s="278"/>
      <c r="K11183" s="278"/>
      <c r="L11183" s="278"/>
      <c r="M11183" s="278"/>
      <c r="N11183" s="279"/>
    </row>
    <row r="11184" spans="1:14" ht="12.75" customHeight="1" x14ac:dyDescent="0.2">
      <c r="A11184" s="75"/>
      <c r="B11184" s="75"/>
      <c r="C11184" s="75"/>
      <c r="D11184" s="75"/>
      <c r="E11184" s="75"/>
      <c r="F11184" s="75"/>
      <c r="G11184" s="75"/>
      <c r="H11184" s="75"/>
      <c r="I11184" s="75"/>
      <c r="J11184" s="75"/>
      <c r="K11184" s="75"/>
      <c r="L11184" s="75"/>
      <c r="M11184" s="75"/>
      <c r="N11184" s="75"/>
    </row>
    <row r="11185" spans="1:14" ht="12.75" customHeight="1" x14ac:dyDescent="0.3">
      <c r="A11185" s="79" t="s">
        <v>861</v>
      </c>
      <c r="B11185" s="80" t="str">
        <f>A11182</f>
        <v>SUMINISTRO E INSTALACIÓN DE CODO x 90° PVC Ø4"</v>
      </c>
      <c r="C11185" s="81" t="s">
        <v>916</v>
      </c>
      <c r="D11185" s="82" t="s">
        <v>999</v>
      </c>
      <c r="E11185" s="83" t="s">
        <v>445</v>
      </c>
      <c r="F11185" s="86">
        <f>H11185+J11185+L11185+N11185</f>
        <v>19698.60081</v>
      </c>
      <c r="G11185" s="83" t="s">
        <v>607</v>
      </c>
      <c r="H11185" s="86">
        <f>M11203</f>
        <v>87.778610000000015</v>
      </c>
      <c r="I11185" s="83" t="s">
        <v>918</v>
      </c>
      <c r="J11185" s="86">
        <f>M11194</f>
        <v>17005</v>
      </c>
      <c r="K11185" s="83" t="s">
        <v>609</v>
      </c>
      <c r="L11185" s="86">
        <f>M11212</f>
        <v>850.25</v>
      </c>
      <c r="M11185" s="83" t="s">
        <v>610</v>
      </c>
      <c r="N11185" s="86">
        <f>M11221</f>
        <v>1755.5722000000001</v>
      </c>
    </row>
    <row r="11186" spans="1:14" ht="12.75" customHeight="1" x14ac:dyDescent="0.25">
      <c r="A11186" s="87"/>
      <c r="B11186" s="87"/>
      <c r="C11186" s="87"/>
      <c r="D11186" s="87"/>
      <c r="E11186" s="87"/>
      <c r="F11186" s="87"/>
      <c r="G11186" s="87"/>
      <c r="J11186" s="87"/>
      <c r="K11186" s="215" t="s">
        <v>3217</v>
      </c>
      <c r="L11186" s="215">
        <f>+F11185*presup!$O$5</f>
        <v>25608.181053</v>
      </c>
      <c r="M11186" s="87"/>
      <c r="N11186" s="87"/>
    </row>
    <row r="11187" spans="1:14" ht="12.75" customHeight="1" x14ac:dyDescent="0.2">
      <c r="A11187" s="398" t="s">
        <v>919</v>
      </c>
      <c r="B11187" s="271"/>
      <c r="C11187" s="271"/>
      <c r="D11187" s="271"/>
      <c r="E11187" s="271"/>
      <c r="F11187" s="271"/>
      <c r="G11187" s="271"/>
      <c r="H11187" s="271"/>
      <c r="I11187" s="271"/>
      <c r="J11187" s="271"/>
      <c r="K11187" s="271"/>
      <c r="L11187" s="271"/>
      <c r="M11187" s="271"/>
      <c r="N11187" s="273"/>
    </row>
    <row r="11188" spans="1:14" ht="12.75" customHeight="1" x14ac:dyDescent="0.2">
      <c r="A11188" s="396" t="s">
        <v>76</v>
      </c>
      <c r="B11188" s="271"/>
      <c r="C11188" s="271"/>
      <c r="D11188" s="271"/>
      <c r="E11188" s="271"/>
      <c r="F11188" s="271"/>
      <c r="G11188" s="273"/>
      <c r="H11188" s="88" t="s">
        <v>77</v>
      </c>
      <c r="I11188" s="399" t="s">
        <v>920</v>
      </c>
      <c r="J11188" s="273"/>
      <c r="K11188" s="399" t="s">
        <v>453</v>
      </c>
      <c r="L11188" s="273"/>
      <c r="M11188" s="399" t="s">
        <v>921</v>
      </c>
      <c r="N11188" s="273"/>
    </row>
    <row r="11189" spans="1:14" ht="12.75" customHeight="1" x14ac:dyDescent="0.2">
      <c r="A11189" s="400" t="s">
        <v>983</v>
      </c>
      <c r="B11189" s="271"/>
      <c r="C11189" s="271"/>
      <c r="D11189" s="271"/>
      <c r="E11189" s="271"/>
      <c r="F11189" s="271"/>
      <c r="G11189" s="273"/>
      <c r="H11189" s="29" t="str">
        <f>IF(A11189="","",VLOOKUP(A11189,AA_Materiales,7,FALSE))</f>
        <v>Unidad</v>
      </c>
      <c r="I11189" s="394">
        <f>IF(A11189="","",VLOOKUP(A11189,AA_Materiales,8,FALSE))</f>
        <v>10600</v>
      </c>
      <c r="J11189" s="273"/>
      <c r="K11189" s="395">
        <v>1</v>
      </c>
      <c r="L11189" s="273"/>
      <c r="M11189" s="394">
        <f t="shared" ref="M11189:M11193" si="1492">IF(A11189="","",I11189*K11189)</f>
        <v>10600</v>
      </c>
      <c r="N11189" s="273"/>
    </row>
    <row r="11190" spans="1:14" ht="12.75" customHeight="1" x14ac:dyDescent="0.2">
      <c r="A11190" s="400" t="s">
        <v>984</v>
      </c>
      <c r="B11190" s="271"/>
      <c r="C11190" s="271"/>
      <c r="D11190" s="271"/>
      <c r="E11190" s="271"/>
      <c r="F11190" s="271"/>
      <c r="G11190" s="273"/>
      <c r="H11190" s="29" t="str">
        <f>IF(A11190="","",VLOOKUP(A11190,AA_Materiales,7,FALSE))</f>
        <v>Galón</v>
      </c>
      <c r="I11190" s="394">
        <f>IF(A11190="","",VLOOKUP(A11190,AA_Materiales,8,FALSE))</f>
        <v>80900</v>
      </c>
      <c r="J11190" s="273"/>
      <c r="K11190" s="395">
        <v>0.05</v>
      </c>
      <c r="L11190" s="273"/>
      <c r="M11190" s="394">
        <f t="shared" si="1492"/>
        <v>4045</v>
      </c>
      <c r="N11190" s="273"/>
    </row>
    <row r="11191" spans="1:14" ht="12.75" customHeight="1" x14ac:dyDescent="0.2">
      <c r="A11191" s="400" t="s">
        <v>985</v>
      </c>
      <c r="B11191" s="271"/>
      <c r="C11191" s="271"/>
      <c r="D11191" s="271"/>
      <c r="E11191" s="271"/>
      <c r="F11191" s="271"/>
      <c r="G11191" s="273"/>
      <c r="H11191" s="29" t="str">
        <f>IF(A11191="","",VLOOKUP(A11191,AA_Materiales,7,FALSE))</f>
        <v>Galón</v>
      </c>
      <c r="I11191" s="394">
        <f>IF(A11191="","",VLOOKUP(A11191,AA_Materiales,8,FALSE))</f>
        <v>47200</v>
      </c>
      <c r="J11191" s="273"/>
      <c r="K11191" s="395">
        <v>0.05</v>
      </c>
      <c r="L11191" s="273"/>
      <c r="M11191" s="394">
        <f t="shared" si="1492"/>
        <v>2360</v>
      </c>
      <c r="N11191" s="273"/>
    </row>
    <row r="11192" spans="1:14" ht="12.75" customHeight="1" x14ac:dyDescent="0.2">
      <c r="A11192" s="400"/>
      <c r="B11192" s="271"/>
      <c r="C11192" s="271"/>
      <c r="D11192" s="271"/>
      <c r="E11192" s="271"/>
      <c r="F11192" s="271"/>
      <c r="G11192" s="273"/>
      <c r="H11192" s="29" t="str">
        <f>IF(A11192="","",VLOOKUP(A11192,AA_Materiales,7,FALSE))</f>
        <v/>
      </c>
      <c r="I11192" s="394" t="str">
        <f>IF(A11192="","",VLOOKUP(A11192,AA_Materiales,8,FALSE))</f>
        <v/>
      </c>
      <c r="J11192" s="273"/>
      <c r="K11192" s="395"/>
      <c r="L11192" s="273"/>
      <c r="M11192" s="394" t="str">
        <f t="shared" si="1492"/>
        <v/>
      </c>
      <c r="N11192" s="273"/>
    </row>
    <row r="11193" spans="1:14" ht="12.75" customHeight="1" x14ac:dyDescent="0.2">
      <c r="A11193" s="400"/>
      <c r="B11193" s="271"/>
      <c r="C11193" s="271"/>
      <c r="D11193" s="271"/>
      <c r="E11193" s="271"/>
      <c r="F11193" s="271"/>
      <c r="G11193" s="273"/>
      <c r="H11193" s="29" t="str">
        <f>IF(A11193="","",VLOOKUP(A11193,AA_Materiales,7,FALSE))</f>
        <v/>
      </c>
      <c r="I11193" s="394" t="str">
        <f>IF(A11193="","",VLOOKUP(A11193,AA_Materiales,8,FALSE))</f>
        <v/>
      </c>
      <c r="J11193" s="273"/>
      <c r="K11193" s="395"/>
      <c r="L11193" s="273"/>
      <c r="M11193" s="394" t="str">
        <f t="shared" si="1492"/>
        <v/>
      </c>
      <c r="N11193" s="273"/>
    </row>
    <row r="11194" spans="1:14" ht="12.75" customHeight="1" x14ac:dyDescent="0.25">
      <c r="A11194" s="4"/>
      <c r="B11194" s="4"/>
      <c r="C11194" s="4"/>
      <c r="D11194" s="4"/>
      <c r="E11194" s="4"/>
      <c r="F11194" s="4"/>
      <c r="G11194" s="4"/>
      <c r="H11194" s="4"/>
      <c r="I11194" s="4"/>
      <c r="J11194" s="4"/>
      <c r="K11194" s="396" t="s">
        <v>444</v>
      </c>
      <c r="L11194" s="273"/>
      <c r="M11194" s="394">
        <f>SUM(M11189:N11193)</f>
        <v>17005</v>
      </c>
      <c r="N11194" s="273"/>
    </row>
    <row r="11195" spans="1:14" ht="12.75" customHeight="1" x14ac:dyDescent="0.25">
      <c r="A11195" s="4"/>
      <c r="B11195" s="4"/>
      <c r="C11195" s="4"/>
      <c r="D11195" s="4"/>
      <c r="E11195" s="4"/>
      <c r="F11195" s="4"/>
      <c r="G11195" s="4"/>
      <c r="H11195" s="4"/>
      <c r="I11195" s="4"/>
      <c r="J11195" s="4"/>
      <c r="K11195" s="4"/>
      <c r="L11195" s="4"/>
      <c r="M11195" s="4"/>
      <c r="N11195" s="4"/>
    </row>
    <row r="11196" spans="1:14" ht="12.75" customHeight="1" x14ac:dyDescent="0.2">
      <c r="A11196" s="398" t="s">
        <v>926</v>
      </c>
      <c r="B11196" s="271"/>
      <c r="C11196" s="271"/>
      <c r="D11196" s="271"/>
      <c r="E11196" s="271"/>
      <c r="F11196" s="271"/>
      <c r="G11196" s="271"/>
      <c r="H11196" s="271"/>
      <c r="I11196" s="271"/>
      <c r="J11196" s="271"/>
      <c r="K11196" s="271"/>
      <c r="L11196" s="271"/>
      <c r="M11196" s="271"/>
      <c r="N11196" s="273"/>
    </row>
    <row r="11197" spans="1:14" ht="12.75" customHeight="1" x14ac:dyDescent="0.2">
      <c r="A11197" s="396" t="s">
        <v>76</v>
      </c>
      <c r="B11197" s="271"/>
      <c r="C11197" s="271"/>
      <c r="D11197" s="271"/>
      <c r="E11197" s="271"/>
      <c r="F11197" s="271"/>
      <c r="G11197" s="273"/>
      <c r="H11197" s="88" t="s">
        <v>77</v>
      </c>
      <c r="I11197" s="399" t="s">
        <v>920</v>
      </c>
      <c r="J11197" s="273"/>
      <c r="K11197" s="399" t="s">
        <v>453</v>
      </c>
      <c r="L11197" s="273"/>
      <c r="M11197" s="399" t="s">
        <v>921</v>
      </c>
      <c r="N11197" s="273"/>
    </row>
    <row r="11198" spans="1:14" ht="12.75" customHeight="1" x14ac:dyDescent="0.2">
      <c r="A11198" s="400" t="s">
        <v>927</v>
      </c>
      <c r="B11198" s="271"/>
      <c r="C11198" s="271"/>
      <c r="D11198" s="271"/>
      <c r="E11198" s="271"/>
      <c r="F11198" s="271"/>
      <c r="G11198" s="273"/>
      <c r="H11198" s="29" t="str">
        <f>IF(A11198="","",VLOOKUP(A11198,AA_Equipos,7,FALSE))</f>
        <v>% M.O.</v>
      </c>
      <c r="I11198" s="394">
        <f>M11221</f>
        <v>1755.5722000000001</v>
      </c>
      <c r="J11198" s="273"/>
      <c r="K11198" s="404">
        <v>0.05</v>
      </c>
      <c r="L11198" s="273"/>
      <c r="M11198" s="394">
        <f t="shared" ref="M11198:M11202" si="1493">IF(A11198="","",I11198*K11198)</f>
        <v>87.778610000000015</v>
      </c>
      <c r="N11198" s="273"/>
    </row>
    <row r="11199" spans="1:14" ht="12.75" customHeight="1" x14ac:dyDescent="0.2">
      <c r="A11199" s="403"/>
      <c r="B11199" s="271"/>
      <c r="C11199" s="271"/>
      <c r="D11199" s="271"/>
      <c r="E11199" s="271"/>
      <c r="F11199" s="271"/>
      <c r="G11199" s="273"/>
      <c r="H11199" s="29" t="str">
        <f>IF(A11199="","",VLOOKUP(A11199,AA_Equipos,7,FALSE))</f>
        <v/>
      </c>
      <c r="I11199" s="394" t="str">
        <f>IF(A11199="","",VLOOKUP(A11199,AA_Equipos,8,FALSE))</f>
        <v/>
      </c>
      <c r="J11199" s="273"/>
      <c r="K11199" s="402"/>
      <c r="L11199" s="273"/>
      <c r="M11199" s="394" t="str">
        <f t="shared" si="1493"/>
        <v/>
      </c>
      <c r="N11199" s="273"/>
    </row>
    <row r="11200" spans="1:14" ht="12.75" customHeight="1" x14ac:dyDescent="0.2">
      <c r="A11200" s="400"/>
      <c r="B11200" s="271"/>
      <c r="C11200" s="271"/>
      <c r="D11200" s="271"/>
      <c r="E11200" s="271"/>
      <c r="F11200" s="271"/>
      <c r="G11200" s="273"/>
      <c r="H11200" s="29" t="str">
        <f>IF(A11200="","",VLOOKUP(A11200,AA_Equipos,7,FALSE))</f>
        <v/>
      </c>
      <c r="I11200" s="394" t="str">
        <f>IF(A11200="","",VLOOKUP(A11200,AA_Equipos,8,FALSE))</f>
        <v/>
      </c>
      <c r="J11200" s="273"/>
      <c r="K11200" s="395"/>
      <c r="L11200" s="273"/>
      <c r="M11200" s="394" t="str">
        <f t="shared" si="1493"/>
        <v/>
      </c>
      <c r="N11200" s="273"/>
    </row>
    <row r="11201" spans="1:14" ht="12.75" customHeight="1" x14ac:dyDescent="0.2">
      <c r="A11201" s="400"/>
      <c r="B11201" s="271"/>
      <c r="C11201" s="271"/>
      <c r="D11201" s="271"/>
      <c r="E11201" s="271"/>
      <c r="F11201" s="271"/>
      <c r="G11201" s="273"/>
      <c r="H11201" s="29" t="str">
        <f>IF(A11201="","",VLOOKUP(A11201,AA_Equipos,7,FALSE))</f>
        <v/>
      </c>
      <c r="I11201" s="394" t="str">
        <f>IF(A11201="","",VLOOKUP(A11201,AA_Equipos,8,FALSE))</f>
        <v/>
      </c>
      <c r="J11201" s="273"/>
      <c r="K11201" s="395"/>
      <c r="L11201" s="273"/>
      <c r="M11201" s="394" t="str">
        <f t="shared" si="1493"/>
        <v/>
      </c>
      <c r="N11201" s="273"/>
    </row>
    <row r="11202" spans="1:14" ht="12.75" customHeight="1" x14ac:dyDescent="0.2">
      <c r="A11202" s="400"/>
      <c r="B11202" s="271"/>
      <c r="C11202" s="271"/>
      <c r="D11202" s="271"/>
      <c r="E11202" s="271"/>
      <c r="F11202" s="271"/>
      <c r="G11202" s="273"/>
      <c r="H11202" s="29" t="str">
        <f>IF(A11202="","",VLOOKUP(A11202,AA_Equipos,7,FALSE))</f>
        <v/>
      </c>
      <c r="I11202" s="394" t="str">
        <f>IF(A11202="","",VLOOKUP(A11202,AA_Equipos,8,FALSE))</f>
        <v/>
      </c>
      <c r="J11202" s="273"/>
      <c r="K11202" s="395"/>
      <c r="L11202" s="273"/>
      <c r="M11202" s="394" t="str">
        <f t="shared" si="1493"/>
        <v/>
      </c>
      <c r="N11202" s="273"/>
    </row>
    <row r="11203" spans="1:14" ht="12.75" customHeight="1" x14ac:dyDescent="0.25">
      <c r="A11203" s="4"/>
      <c r="B11203" s="4"/>
      <c r="C11203" s="4"/>
      <c r="D11203" s="4"/>
      <c r="E11203" s="4"/>
      <c r="F11203" s="4"/>
      <c r="G11203" s="4"/>
      <c r="H11203" s="4"/>
      <c r="I11203" s="4"/>
      <c r="J11203" s="4"/>
      <c r="K11203" s="396" t="s">
        <v>444</v>
      </c>
      <c r="L11203" s="273"/>
      <c r="M11203" s="394">
        <f>SUM(M11198:N11202)</f>
        <v>87.778610000000015</v>
      </c>
      <c r="N11203" s="273"/>
    </row>
    <row r="11204" spans="1:14" ht="12.75" customHeight="1" x14ac:dyDescent="0.25">
      <c r="A11204" s="4"/>
      <c r="B11204" s="4"/>
      <c r="C11204" s="4"/>
      <c r="D11204" s="4"/>
      <c r="E11204" s="4"/>
      <c r="F11204" s="4"/>
      <c r="G11204" s="4"/>
      <c r="H11204" s="4"/>
      <c r="I11204" s="4"/>
      <c r="J11204" s="4"/>
      <c r="K11204" s="4"/>
      <c r="L11204" s="4"/>
      <c r="M11204" s="4"/>
      <c r="N11204" s="4"/>
    </row>
    <row r="11205" spans="1:14" ht="12.75" customHeight="1" x14ac:dyDescent="0.2">
      <c r="A11205" s="398" t="s">
        <v>929</v>
      </c>
      <c r="B11205" s="271"/>
      <c r="C11205" s="271"/>
      <c r="D11205" s="271"/>
      <c r="E11205" s="271"/>
      <c r="F11205" s="271"/>
      <c r="G11205" s="271"/>
      <c r="H11205" s="271"/>
      <c r="I11205" s="271"/>
      <c r="J11205" s="271"/>
      <c r="K11205" s="271"/>
      <c r="L11205" s="271"/>
      <c r="M11205" s="271"/>
      <c r="N11205" s="273"/>
    </row>
    <row r="11206" spans="1:14" ht="12.75" customHeight="1" x14ac:dyDescent="0.2">
      <c r="A11206" s="396" t="s">
        <v>76</v>
      </c>
      <c r="B11206" s="271"/>
      <c r="C11206" s="271"/>
      <c r="D11206" s="271"/>
      <c r="E11206" s="271"/>
      <c r="F11206" s="271"/>
      <c r="G11206" s="273"/>
      <c r="H11206" s="88" t="s">
        <v>77</v>
      </c>
      <c r="I11206" s="399" t="s">
        <v>920</v>
      </c>
      <c r="J11206" s="273"/>
      <c r="K11206" s="399" t="s">
        <v>453</v>
      </c>
      <c r="L11206" s="273"/>
      <c r="M11206" s="399" t="s">
        <v>921</v>
      </c>
      <c r="N11206" s="273"/>
    </row>
    <row r="11207" spans="1:14" ht="12.75" customHeight="1" x14ac:dyDescent="0.2">
      <c r="A11207" s="403" t="s">
        <v>966</v>
      </c>
      <c r="B11207" s="271"/>
      <c r="C11207" s="271"/>
      <c r="D11207" s="271"/>
      <c r="E11207" s="271"/>
      <c r="F11207" s="271"/>
      <c r="G11207" s="273"/>
      <c r="H11207" s="29" t="s">
        <v>950</v>
      </c>
      <c r="I11207" s="394">
        <f>+M11194</f>
        <v>17005</v>
      </c>
      <c r="J11207" s="273"/>
      <c r="K11207" s="404">
        <v>0.05</v>
      </c>
      <c r="L11207" s="273"/>
      <c r="M11207" s="394">
        <f t="shared" ref="M11207:M11211" si="1494">IF(A11207="","",I11207*K11207)</f>
        <v>850.25</v>
      </c>
      <c r="N11207" s="273"/>
    </row>
    <row r="11208" spans="1:14" ht="12.75" customHeight="1" x14ac:dyDescent="0.2">
      <c r="A11208" s="403"/>
      <c r="B11208" s="271"/>
      <c r="C11208" s="271"/>
      <c r="D11208" s="271"/>
      <c r="E11208" s="271"/>
      <c r="F11208" s="271"/>
      <c r="G11208" s="273"/>
      <c r="H11208" s="29"/>
      <c r="I11208" s="394"/>
      <c r="J11208" s="273"/>
      <c r="K11208" s="404"/>
      <c r="L11208" s="273"/>
      <c r="M11208" s="394" t="str">
        <f t="shared" si="1494"/>
        <v/>
      </c>
      <c r="N11208" s="273"/>
    </row>
    <row r="11209" spans="1:14" ht="12.75" customHeight="1" x14ac:dyDescent="0.2">
      <c r="A11209" s="400"/>
      <c r="B11209" s="271"/>
      <c r="C11209" s="271"/>
      <c r="D11209" s="271"/>
      <c r="E11209" s="271"/>
      <c r="F11209" s="271"/>
      <c r="G11209" s="273"/>
      <c r="H11209" s="29"/>
      <c r="I11209" s="394"/>
      <c r="J11209" s="273"/>
      <c r="K11209" s="395"/>
      <c r="L11209" s="273"/>
      <c r="M11209" s="394" t="str">
        <f t="shared" si="1494"/>
        <v/>
      </c>
      <c r="N11209" s="273"/>
    </row>
    <row r="11210" spans="1:14" ht="12.75" customHeight="1" x14ac:dyDescent="0.2">
      <c r="A11210" s="400"/>
      <c r="B11210" s="271"/>
      <c r="C11210" s="271"/>
      <c r="D11210" s="271"/>
      <c r="E11210" s="271"/>
      <c r="F11210" s="271"/>
      <c r="G11210" s="273"/>
      <c r="H11210" s="29"/>
      <c r="I11210" s="394"/>
      <c r="J11210" s="273"/>
      <c r="K11210" s="395"/>
      <c r="L11210" s="273"/>
      <c r="M11210" s="394" t="str">
        <f t="shared" si="1494"/>
        <v/>
      </c>
      <c r="N11210" s="273"/>
    </row>
    <row r="11211" spans="1:14" ht="12.75" customHeight="1" x14ac:dyDescent="0.2">
      <c r="A11211" s="400"/>
      <c r="B11211" s="271"/>
      <c r="C11211" s="271"/>
      <c r="D11211" s="271"/>
      <c r="E11211" s="271"/>
      <c r="F11211" s="271"/>
      <c r="G11211" s="273"/>
      <c r="H11211" s="29"/>
      <c r="I11211" s="394"/>
      <c r="J11211" s="273"/>
      <c r="K11211" s="395"/>
      <c r="L11211" s="273"/>
      <c r="M11211" s="394" t="str">
        <f t="shared" si="1494"/>
        <v/>
      </c>
      <c r="N11211" s="273"/>
    </row>
    <row r="11212" spans="1:14" ht="12.75" customHeight="1" x14ac:dyDescent="0.25">
      <c r="A11212" s="4"/>
      <c r="B11212" s="4"/>
      <c r="C11212" s="4"/>
      <c r="D11212" s="4"/>
      <c r="E11212" s="4"/>
      <c r="F11212" s="4"/>
      <c r="G11212" s="4"/>
      <c r="H11212" s="4"/>
      <c r="I11212" s="4"/>
      <c r="J11212" s="4"/>
      <c r="K11212" s="396" t="s">
        <v>444</v>
      </c>
      <c r="L11212" s="273"/>
      <c r="M11212" s="394">
        <f>SUM(M11207:N11211)</f>
        <v>850.25</v>
      </c>
      <c r="N11212" s="273"/>
    </row>
    <row r="11213" spans="1:14" ht="12.75" customHeight="1" x14ac:dyDescent="0.25">
      <c r="A11213" s="4"/>
      <c r="B11213" s="4"/>
      <c r="C11213" s="4"/>
      <c r="D11213" s="4"/>
      <c r="E11213" s="4"/>
      <c r="F11213" s="4"/>
      <c r="G11213" s="4"/>
      <c r="H11213" s="4"/>
      <c r="I11213" s="4"/>
      <c r="J11213" s="4"/>
      <c r="K11213" s="4"/>
      <c r="L11213" s="4"/>
      <c r="M11213" s="4"/>
      <c r="N11213" s="4"/>
    </row>
    <row r="11214" spans="1:14" ht="12.75" customHeight="1" x14ac:dyDescent="0.2">
      <c r="A11214" s="398" t="s">
        <v>931</v>
      </c>
      <c r="B11214" s="271"/>
      <c r="C11214" s="271"/>
      <c r="D11214" s="271"/>
      <c r="E11214" s="271"/>
      <c r="F11214" s="271"/>
      <c r="G11214" s="271"/>
      <c r="H11214" s="271"/>
      <c r="I11214" s="271"/>
      <c r="J11214" s="271"/>
      <c r="K11214" s="271"/>
      <c r="L11214" s="271"/>
      <c r="M11214" s="271"/>
      <c r="N11214" s="273"/>
    </row>
    <row r="11215" spans="1:14" ht="12.75" customHeight="1" x14ac:dyDescent="0.2">
      <c r="A11215" s="396" t="s">
        <v>76</v>
      </c>
      <c r="B11215" s="271"/>
      <c r="C11215" s="271"/>
      <c r="D11215" s="271"/>
      <c r="E11215" s="271"/>
      <c r="F11215" s="271"/>
      <c r="G11215" s="273"/>
      <c r="H11215" s="88" t="s">
        <v>77</v>
      </c>
      <c r="I11215" s="399" t="s">
        <v>920</v>
      </c>
      <c r="J11215" s="273"/>
      <c r="K11215" s="90" t="s">
        <v>514</v>
      </c>
      <c r="L11215" s="91" t="s">
        <v>932</v>
      </c>
      <c r="M11215" s="399" t="s">
        <v>921</v>
      </c>
      <c r="N11215" s="273"/>
    </row>
    <row r="11216" spans="1:14" ht="12.75" customHeight="1" x14ac:dyDescent="0.25">
      <c r="A11216" s="393" t="s">
        <v>986</v>
      </c>
      <c r="B11216" s="271"/>
      <c r="C11216" s="271"/>
      <c r="D11216" s="271"/>
      <c r="E11216" s="271"/>
      <c r="F11216" s="271"/>
      <c r="G11216" s="273"/>
      <c r="H11216" s="29" t="str">
        <f>IF(A11216="","",VLOOKUP(A11216,AA_Cuadrillas,4,FALSE))</f>
        <v>Cuadrilla</v>
      </c>
      <c r="I11216" s="394">
        <f>IF(A11216="","",VLOOKUP(A11216,AA_Cuadrillas,5,FALSE))</f>
        <v>186763</v>
      </c>
      <c r="J11216" s="273"/>
      <c r="K11216" s="9">
        <f>IF(A11216="","",F.P!$I$2)</f>
        <v>1.88</v>
      </c>
      <c r="L11216" s="93">
        <f>1/200</f>
        <v>5.0000000000000001E-3</v>
      </c>
      <c r="M11216" s="394">
        <f t="shared" ref="M11216:M11220" si="1495">IF(A11216="","",I11216*K11216*L11216)</f>
        <v>1755.5722000000001</v>
      </c>
      <c r="N11216" s="273"/>
    </row>
    <row r="11217" spans="1:15" ht="12.75" customHeight="1" x14ac:dyDescent="0.25">
      <c r="A11217" s="393"/>
      <c r="B11217" s="271"/>
      <c r="C11217" s="271"/>
      <c r="D11217" s="271"/>
      <c r="E11217" s="271"/>
      <c r="F11217" s="271"/>
      <c r="G11217" s="273"/>
      <c r="H11217" s="29" t="str">
        <f>IF(A11217="","",VLOOKUP(A11217,AA_Cuadrillas,4,FALSE))</f>
        <v/>
      </c>
      <c r="I11217" s="394" t="str">
        <f>IF(A11217="","",VLOOKUP(A11217,AA_Cuadrillas,5,FALSE))</f>
        <v/>
      </c>
      <c r="J11217" s="273"/>
      <c r="K11217" s="9" t="str">
        <f>IF(A11217="","",F.P!$I$2)</f>
        <v/>
      </c>
      <c r="L11217" s="9"/>
      <c r="M11217" s="394" t="str">
        <f t="shared" si="1495"/>
        <v/>
      </c>
      <c r="N11217" s="273"/>
    </row>
    <row r="11218" spans="1:15" ht="12.75" customHeight="1" x14ac:dyDescent="0.25">
      <c r="A11218" s="393"/>
      <c r="B11218" s="271"/>
      <c r="C11218" s="271"/>
      <c r="D11218" s="271"/>
      <c r="E11218" s="271"/>
      <c r="F11218" s="271"/>
      <c r="G11218" s="273"/>
      <c r="H11218" s="29" t="str">
        <f>IF(A11218="","",VLOOKUP(A11218,AA_Cuadrillas,4,FALSE))</f>
        <v/>
      </c>
      <c r="I11218" s="394" t="str">
        <f>IF(A11218="","",VLOOKUP(A11218,AA_Cuadrillas,5,FALSE))</f>
        <v/>
      </c>
      <c r="J11218" s="273"/>
      <c r="K11218" s="9" t="str">
        <f>IF(A11218="","",F.P!$I$2)</f>
        <v/>
      </c>
      <c r="L11218" s="37"/>
      <c r="M11218" s="394" t="str">
        <f t="shared" si="1495"/>
        <v/>
      </c>
      <c r="N11218" s="273"/>
    </row>
    <row r="11219" spans="1:15" ht="12.75" customHeight="1" x14ac:dyDescent="0.25">
      <c r="A11219" s="393"/>
      <c r="B11219" s="271"/>
      <c r="C11219" s="271"/>
      <c r="D11219" s="271"/>
      <c r="E11219" s="271"/>
      <c r="F11219" s="271"/>
      <c r="G11219" s="273"/>
      <c r="H11219" s="29" t="str">
        <f>IF(A11219="","",VLOOKUP(A11219,AA_Cuadrillas,4,FALSE))</f>
        <v/>
      </c>
      <c r="I11219" s="394" t="str">
        <f>IF(A11219="","",VLOOKUP(A11219,AA_Cuadrillas,5,FALSE))</f>
        <v/>
      </c>
      <c r="J11219" s="273"/>
      <c r="K11219" s="9" t="str">
        <f>IF(A11219="","",F.P!$I$2)</f>
        <v/>
      </c>
      <c r="L11219" s="37"/>
      <c r="M11219" s="394" t="str">
        <f t="shared" si="1495"/>
        <v/>
      </c>
      <c r="N11219" s="273"/>
    </row>
    <row r="11220" spans="1:15" ht="12.75" customHeight="1" x14ac:dyDescent="0.25">
      <c r="A11220" s="393"/>
      <c r="B11220" s="271"/>
      <c r="C11220" s="271"/>
      <c r="D11220" s="271"/>
      <c r="E11220" s="271"/>
      <c r="F11220" s="271"/>
      <c r="G11220" s="273"/>
      <c r="H11220" s="29" t="str">
        <f>IF(A11220="","",VLOOKUP(A11220,AA_Cuadrillas,4,FALSE))</f>
        <v/>
      </c>
      <c r="I11220" s="394" t="str">
        <f>IF(A11220="","",VLOOKUP(A11220,AA_Cuadrillas,5,FALSE))</f>
        <v/>
      </c>
      <c r="J11220" s="273"/>
      <c r="K11220" s="9" t="str">
        <f>IF(A11220="","",F.P!$I$2)</f>
        <v/>
      </c>
      <c r="L11220" s="37"/>
      <c r="M11220" s="394" t="str">
        <f t="shared" si="1495"/>
        <v/>
      </c>
      <c r="N11220" s="273"/>
    </row>
    <row r="11221" spans="1:15" ht="12.75" customHeight="1" x14ac:dyDescent="0.25">
      <c r="A11221" s="4"/>
      <c r="B11221" s="4"/>
      <c r="C11221" s="4"/>
      <c r="D11221" s="4"/>
      <c r="E11221" s="4"/>
      <c r="F11221" s="4"/>
      <c r="G11221" s="4"/>
      <c r="H11221" s="4"/>
      <c r="I11221" s="4"/>
      <c r="J11221" s="4"/>
      <c r="K11221" s="396" t="s">
        <v>444</v>
      </c>
      <c r="L11221" s="273"/>
      <c r="M11221" s="394">
        <f>SUM(M11216:N11220)</f>
        <v>1755.5722000000001</v>
      </c>
      <c r="N11221" s="273"/>
    </row>
    <row r="11222" spans="1:15" ht="12.75" customHeight="1" x14ac:dyDescent="0.2"/>
    <row r="11223" spans="1:15" ht="12.75" customHeight="1" x14ac:dyDescent="0.2">
      <c r="A11223" s="407" t="s">
        <v>1537</v>
      </c>
      <c r="B11223" s="275"/>
      <c r="C11223" s="275"/>
      <c r="D11223" s="275"/>
      <c r="E11223" s="275"/>
      <c r="F11223" s="275"/>
      <c r="G11223" s="275"/>
      <c r="H11223" s="275"/>
      <c r="I11223" s="275"/>
      <c r="J11223" s="275"/>
      <c r="K11223" s="275"/>
      <c r="L11223" s="275"/>
      <c r="M11223" s="275"/>
      <c r="N11223" s="276"/>
      <c r="O11223" s="166"/>
    </row>
    <row r="11224" spans="1:15" ht="12.75" customHeight="1" x14ac:dyDescent="0.2">
      <c r="A11224" s="277"/>
      <c r="B11224" s="278"/>
      <c r="C11224" s="278"/>
      <c r="D11224" s="278"/>
      <c r="E11224" s="278"/>
      <c r="F11224" s="278"/>
      <c r="G11224" s="278"/>
      <c r="H11224" s="278"/>
      <c r="I11224" s="278"/>
      <c r="J11224" s="278"/>
      <c r="K11224" s="278"/>
      <c r="L11224" s="278"/>
      <c r="M11224" s="278"/>
      <c r="N11224" s="279"/>
      <c r="O11224" s="166"/>
    </row>
    <row r="11225" spans="1:15" ht="12.75" customHeight="1" x14ac:dyDescent="0.2">
      <c r="A11225" s="75"/>
      <c r="B11225" s="75"/>
      <c r="C11225" s="75"/>
      <c r="D11225" s="75"/>
      <c r="E11225" s="75"/>
      <c r="F11225" s="75"/>
      <c r="G11225" s="75"/>
      <c r="H11225" s="75"/>
      <c r="I11225" s="75"/>
      <c r="J11225" s="75"/>
      <c r="K11225" s="75"/>
      <c r="L11225" s="75"/>
      <c r="M11225" s="75"/>
      <c r="N11225" s="75"/>
    </row>
    <row r="11226" spans="1:15" ht="12.75" customHeight="1" x14ac:dyDescent="0.3">
      <c r="A11226" s="79" t="s">
        <v>862</v>
      </c>
      <c r="B11226" s="80" t="str">
        <f>A11223</f>
        <v>SUMINISTRO E INSTALACIÓN DE TEE PVC Ø3"</v>
      </c>
      <c r="C11226" s="81" t="s">
        <v>916</v>
      </c>
      <c r="D11226" s="82" t="s">
        <v>999</v>
      </c>
      <c r="E11226" s="83" t="s">
        <v>445</v>
      </c>
      <c r="F11226" s="234">
        <f>(H11226+J11226+L11226+N11226)*1.3</f>
        <v>23293.386662649998</v>
      </c>
      <c r="G11226" s="83" t="s">
        <v>607</v>
      </c>
      <c r="H11226" s="86">
        <f>M11244</f>
        <v>87.778610000000015</v>
      </c>
      <c r="I11226" s="83" t="s">
        <v>918</v>
      </c>
      <c r="J11226" s="86">
        <f>M11235</f>
        <v>15305</v>
      </c>
      <c r="K11226" s="83" t="s">
        <v>609</v>
      </c>
      <c r="L11226" s="86">
        <f>M11253</f>
        <v>769.63893050000001</v>
      </c>
      <c r="M11226" s="83" t="s">
        <v>610</v>
      </c>
      <c r="N11226" s="86">
        <f>M11262</f>
        <v>1755.5722000000001</v>
      </c>
      <c r="O11226" t="s">
        <v>3242</v>
      </c>
    </row>
    <row r="11227" spans="1:15" ht="12.75" customHeight="1" x14ac:dyDescent="0.25">
      <c r="A11227" s="87"/>
      <c r="B11227" s="87"/>
      <c r="C11227" s="87"/>
      <c r="D11227" s="87"/>
      <c r="E11227" s="87"/>
      <c r="F11227" s="87"/>
      <c r="G11227" s="87"/>
      <c r="J11227" s="87"/>
      <c r="K11227" s="215" t="s">
        <v>3217</v>
      </c>
      <c r="L11227" s="215">
        <f>+F11226*presup!$O$5</f>
        <v>30281.402661444998</v>
      </c>
      <c r="M11227" s="87"/>
      <c r="N11227" s="87"/>
    </row>
    <row r="11228" spans="1:15" ht="12.75" customHeight="1" x14ac:dyDescent="0.2">
      <c r="A11228" s="398" t="s">
        <v>919</v>
      </c>
      <c r="B11228" s="271"/>
      <c r="C11228" s="271"/>
      <c r="D11228" s="271"/>
      <c r="E11228" s="271"/>
      <c r="F11228" s="271"/>
      <c r="G11228" s="271"/>
      <c r="H11228" s="271"/>
      <c r="I11228" s="271"/>
      <c r="J11228" s="271"/>
      <c r="K11228" s="271"/>
      <c r="L11228" s="271"/>
      <c r="M11228" s="271"/>
      <c r="N11228" s="273"/>
    </row>
    <row r="11229" spans="1:15" ht="12.75" customHeight="1" x14ac:dyDescent="0.2">
      <c r="A11229" s="396" t="s">
        <v>76</v>
      </c>
      <c r="B11229" s="271"/>
      <c r="C11229" s="271"/>
      <c r="D11229" s="271"/>
      <c r="E11229" s="271"/>
      <c r="F11229" s="271"/>
      <c r="G11229" s="273"/>
      <c r="H11229" s="88" t="s">
        <v>77</v>
      </c>
      <c r="I11229" s="399" t="s">
        <v>920</v>
      </c>
      <c r="J11229" s="273"/>
      <c r="K11229" s="399" t="s">
        <v>453</v>
      </c>
      <c r="L11229" s="273"/>
      <c r="M11229" s="399" t="s">
        <v>921</v>
      </c>
      <c r="N11229" s="273"/>
    </row>
    <row r="11230" spans="1:15" ht="12.75" customHeight="1" x14ac:dyDescent="0.2">
      <c r="A11230" s="400" t="s">
        <v>1538</v>
      </c>
      <c r="B11230" s="271"/>
      <c r="C11230" s="271"/>
      <c r="D11230" s="271"/>
      <c r="E11230" s="271"/>
      <c r="F11230" s="271"/>
      <c r="G11230" s="273"/>
      <c r="H11230" s="29" t="str">
        <f>IF(A11230="","",VLOOKUP(A11230,AA_Materiales,7,FALSE))</f>
        <v>Unidad</v>
      </c>
      <c r="I11230" s="394">
        <f>IF(A11230="","",VLOOKUP(A11230,AA_Materiales,8,FALSE))</f>
        <v>8900</v>
      </c>
      <c r="J11230" s="273"/>
      <c r="K11230" s="395">
        <v>1</v>
      </c>
      <c r="L11230" s="273"/>
      <c r="M11230" s="394">
        <f t="shared" ref="M11230:M11234" si="1496">IF(A11230="","",I11230*K11230)</f>
        <v>8900</v>
      </c>
      <c r="N11230" s="273"/>
    </row>
    <row r="11231" spans="1:15" ht="12.75" customHeight="1" x14ac:dyDescent="0.2">
      <c r="A11231" s="400" t="s">
        <v>984</v>
      </c>
      <c r="B11231" s="271"/>
      <c r="C11231" s="271"/>
      <c r="D11231" s="271"/>
      <c r="E11231" s="271"/>
      <c r="F11231" s="271"/>
      <c r="G11231" s="273"/>
      <c r="H11231" s="29" t="str">
        <f>IF(A11231="","",VLOOKUP(A11231,AA_Materiales,7,FALSE))</f>
        <v>Galón</v>
      </c>
      <c r="I11231" s="394">
        <f>IF(A11231="","",VLOOKUP(A11231,AA_Materiales,8,FALSE))</f>
        <v>80900</v>
      </c>
      <c r="J11231" s="273"/>
      <c r="K11231" s="395">
        <v>0.05</v>
      </c>
      <c r="L11231" s="273"/>
      <c r="M11231" s="394">
        <f t="shared" si="1496"/>
        <v>4045</v>
      </c>
      <c r="N11231" s="273"/>
    </row>
    <row r="11232" spans="1:15" ht="12.75" customHeight="1" x14ac:dyDescent="0.2">
      <c r="A11232" s="400" t="s">
        <v>985</v>
      </c>
      <c r="B11232" s="271"/>
      <c r="C11232" s="271"/>
      <c r="D11232" s="271"/>
      <c r="E11232" s="271"/>
      <c r="F11232" s="271"/>
      <c r="G11232" s="273"/>
      <c r="H11232" s="29" t="str">
        <f>IF(A11232="","",VLOOKUP(A11232,AA_Materiales,7,FALSE))</f>
        <v>Galón</v>
      </c>
      <c r="I11232" s="394">
        <f>IF(A11232="","",VLOOKUP(A11232,AA_Materiales,8,FALSE))</f>
        <v>47200</v>
      </c>
      <c r="J11232" s="273"/>
      <c r="K11232" s="395">
        <v>0.05</v>
      </c>
      <c r="L11232" s="273"/>
      <c r="M11232" s="394">
        <f t="shared" si="1496"/>
        <v>2360</v>
      </c>
      <c r="N11232" s="273"/>
    </row>
    <row r="11233" spans="1:14" ht="12.75" customHeight="1" x14ac:dyDescent="0.2">
      <c r="A11233" s="400"/>
      <c r="B11233" s="271"/>
      <c r="C11233" s="271"/>
      <c r="D11233" s="271"/>
      <c r="E11233" s="271"/>
      <c r="F11233" s="271"/>
      <c r="G11233" s="273"/>
      <c r="H11233" s="29" t="str">
        <f>IF(A11233="","",VLOOKUP(A11233,AA_Materiales,7,FALSE))</f>
        <v/>
      </c>
      <c r="I11233" s="394" t="str">
        <f>IF(A11233="","",VLOOKUP(A11233,AA_Materiales,8,FALSE))</f>
        <v/>
      </c>
      <c r="J11233" s="273"/>
      <c r="K11233" s="395"/>
      <c r="L11233" s="273"/>
      <c r="M11233" s="394" t="str">
        <f t="shared" si="1496"/>
        <v/>
      </c>
      <c r="N11233" s="273"/>
    </row>
    <row r="11234" spans="1:14" ht="12.75" customHeight="1" x14ac:dyDescent="0.2">
      <c r="A11234" s="400"/>
      <c r="B11234" s="271"/>
      <c r="C11234" s="271"/>
      <c r="D11234" s="271"/>
      <c r="E11234" s="271"/>
      <c r="F11234" s="271"/>
      <c r="G11234" s="273"/>
      <c r="H11234" s="29" t="str">
        <f>IF(A11234="","",VLOOKUP(A11234,AA_Materiales,7,FALSE))</f>
        <v/>
      </c>
      <c r="I11234" s="394" t="str">
        <f>IF(A11234="","",VLOOKUP(A11234,AA_Materiales,8,FALSE))</f>
        <v/>
      </c>
      <c r="J11234" s="273"/>
      <c r="K11234" s="395"/>
      <c r="L11234" s="273"/>
      <c r="M11234" s="394" t="str">
        <f t="shared" si="1496"/>
        <v/>
      </c>
      <c r="N11234" s="273"/>
    </row>
    <row r="11235" spans="1:14" ht="12.75" customHeight="1" x14ac:dyDescent="0.25">
      <c r="A11235" s="4"/>
      <c r="B11235" s="4"/>
      <c r="C11235" s="4"/>
      <c r="D11235" s="4"/>
      <c r="E11235" s="4"/>
      <c r="F11235" s="4"/>
      <c r="G11235" s="4"/>
      <c r="H11235" s="4"/>
      <c r="I11235" s="4"/>
      <c r="J11235" s="4"/>
      <c r="K11235" s="396" t="s">
        <v>444</v>
      </c>
      <c r="L11235" s="273"/>
      <c r="M11235" s="394">
        <f>SUM(M11230:N11234)</f>
        <v>15305</v>
      </c>
      <c r="N11235" s="273"/>
    </row>
    <row r="11236" spans="1:14" ht="12.75" customHeight="1" x14ac:dyDescent="0.25">
      <c r="A11236" s="4"/>
      <c r="B11236" s="4"/>
      <c r="C11236" s="4"/>
      <c r="D11236" s="4"/>
      <c r="E11236" s="4"/>
      <c r="F11236" s="4"/>
      <c r="G11236" s="4"/>
      <c r="H11236" s="4"/>
      <c r="I11236" s="4"/>
      <c r="J11236" s="4"/>
      <c r="K11236" s="4"/>
      <c r="L11236" s="4"/>
      <c r="M11236" s="4"/>
      <c r="N11236" s="4"/>
    </row>
    <row r="11237" spans="1:14" ht="12.75" customHeight="1" x14ac:dyDescent="0.2">
      <c r="A11237" s="398" t="s">
        <v>926</v>
      </c>
      <c r="B11237" s="271"/>
      <c r="C11237" s="271"/>
      <c r="D11237" s="271"/>
      <c r="E11237" s="271"/>
      <c r="F11237" s="271"/>
      <c r="G11237" s="271"/>
      <c r="H11237" s="271"/>
      <c r="I11237" s="271"/>
      <c r="J11237" s="271"/>
      <c r="K11237" s="271"/>
      <c r="L11237" s="271"/>
      <c r="M11237" s="271"/>
      <c r="N11237" s="273"/>
    </row>
    <row r="11238" spans="1:14" ht="12.75" customHeight="1" x14ac:dyDescent="0.2">
      <c r="A11238" s="396" t="s">
        <v>76</v>
      </c>
      <c r="B11238" s="271"/>
      <c r="C11238" s="271"/>
      <c r="D11238" s="271"/>
      <c r="E11238" s="271"/>
      <c r="F11238" s="271"/>
      <c r="G11238" s="273"/>
      <c r="H11238" s="88" t="s">
        <v>77</v>
      </c>
      <c r="I11238" s="399" t="s">
        <v>920</v>
      </c>
      <c r="J11238" s="273"/>
      <c r="K11238" s="399" t="s">
        <v>453</v>
      </c>
      <c r="L11238" s="273"/>
      <c r="M11238" s="399" t="s">
        <v>921</v>
      </c>
      <c r="N11238" s="273"/>
    </row>
    <row r="11239" spans="1:14" ht="12.75" customHeight="1" x14ac:dyDescent="0.2">
      <c r="A11239" s="400" t="s">
        <v>927</v>
      </c>
      <c r="B11239" s="271"/>
      <c r="C11239" s="271"/>
      <c r="D11239" s="271"/>
      <c r="E11239" s="271"/>
      <c r="F11239" s="271"/>
      <c r="G11239" s="273"/>
      <c r="H11239" s="29" t="str">
        <f>IF(A11239="","",VLOOKUP(A11239,AA_Equipos,7,FALSE))</f>
        <v>% M.O.</v>
      </c>
      <c r="I11239" s="394">
        <f>M11262</f>
        <v>1755.5722000000001</v>
      </c>
      <c r="J11239" s="273"/>
      <c r="K11239" s="404">
        <v>0.05</v>
      </c>
      <c r="L11239" s="273"/>
      <c r="M11239" s="394">
        <f t="shared" ref="M11239:M11243" si="1497">IF(A11239="","",I11239*K11239)</f>
        <v>87.778610000000015</v>
      </c>
      <c r="N11239" s="273"/>
    </row>
    <row r="11240" spans="1:14" ht="12.75" customHeight="1" x14ac:dyDescent="0.2">
      <c r="A11240" s="403"/>
      <c r="B11240" s="271"/>
      <c r="C11240" s="271"/>
      <c r="D11240" s="271"/>
      <c r="E11240" s="271"/>
      <c r="F11240" s="271"/>
      <c r="G11240" s="273"/>
      <c r="H11240" s="29" t="str">
        <f>IF(A11240="","",VLOOKUP(A11240,AA_Equipos,7,FALSE))</f>
        <v/>
      </c>
      <c r="I11240" s="394" t="str">
        <f>IF(A11240="","",VLOOKUP(A11240,AA_Equipos,8,FALSE))</f>
        <v/>
      </c>
      <c r="J11240" s="273"/>
      <c r="K11240" s="402"/>
      <c r="L11240" s="273"/>
      <c r="M11240" s="394" t="str">
        <f t="shared" si="1497"/>
        <v/>
      </c>
      <c r="N11240" s="273"/>
    </row>
    <row r="11241" spans="1:14" ht="12.75" customHeight="1" x14ac:dyDescent="0.2">
      <c r="A11241" s="400"/>
      <c r="B11241" s="271"/>
      <c r="C11241" s="271"/>
      <c r="D11241" s="271"/>
      <c r="E11241" s="271"/>
      <c r="F11241" s="271"/>
      <c r="G11241" s="273"/>
      <c r="H11241" s="29" t="str">
        <f>IF(A11241="","",VLOOKUP(A11241,AA_Equipos,7,FALSE))</f>
        <v/>
      </c>
      <c r="I11241" s="394" t="str">
        <f>IF(A11241="","",VLOOKUP(A11241,AA_Equipos,8,FALSE))</f>
        <v/>
      </c>
      <c r="J11241" s="273"/>
      <c r="K11241" s="395"/>
      <c r="L11241" s="273"/>
      <c r="M11241" s="394" t="str">
        <f t="shared" si="1497"/>
        <v/>
      </c>
      <c r="N11241" s="273"/>
    </row>
    <row r="11242" spans="1:14" ht="12.75" customHeight="1" x14ac:dyDescent="0.2">
      <c r="A11242" s="400"/>
      <c r="B11242" s="271"/>
      <c r="C11242" s="271"/>
      <c r="D11242" s="271"/>
      <c r="E11242" s="271"/>
      <c r="F11242" s="271"/>
      <c r="G11242" s="273"/>
      <c r="H11242" s="29" t="str">
        <f>IF(A11242="","",VLOOKUP(A11242,AA_Equipos,7,FALSE))</f>
        <v/>
      </c>
      <c r="I11242" s="394" t="str">
        <f>IF(A11242="","",VLOOKUP(A11242,AA_Equipos,8,FALSE))</f>
        <v/>
      </c>
      <c r="J11242" s="273"/>
      <c r="K11242" s="395"/>
      <c r="L11242" s="273"/>
      <c r="M11242" s="394" t="str">
        <f t="shared" si="1497"/>
        <v/>
      </c>
      <c r="N11242" s="273"/>
    </row>
    <row r="11243" spans="1:14" ht="12.75" customHeight="1" x14ac:dyDescent="0.2">
      <c r="A11243" s="400"/>
      <c r="B11243" s="271"/>
      <c r="C11243" s="271"/>
      <c r="D11243" s="271"/>
      <c r="E11243" s="271"/>
      <c r="F11243" s="271"/>
      <c r="G11243" s="273"/>
      <c r="H11243" s="29" t="str">
        <f>IF(A11243="","",VLOOKUP(A11243,AA_Equipos,7,FALSE))</f>
        <v/>
      </c>
      <c r="I11243" s="394" t="str">
        <f>IF(A11243="","",VLOOKUP(A11243,AA_Equipos,8,FALSE))</f>
        <v/>
      </c>
      <c r="J11243" s="273"/>
      <c r="K11243" s="395"/>
      <c r="L11243" s="273"/>
      <c r="M11243" s="394" t="str">
        <f t="shared" si="1497"/>
        <v/>
      </c>
      <c r="N11243" s="273"/>
    </row>
    <row r="11244" spans="1:14" ht="12.75" customHeight="1" x14ac:dyDescent="0.25">
      <c r="A11244" s="4"/>
      <c r="B11244" s="4"/>
      <c r="C11244" s="4"/>
      <c r="D11244" s="4"/>
      <c r="E11244" s="4"/>
      <c r="F11244" s="4"/>
      <c r="G11244" s="4"/>
      <c r="H11244" s="4"/>
      <c r="I11244" s="4"/>
      <c r="J11244" s="4"/>
      <c r="K11244" s="396" t="s">
        <v>444</v>
      </c>
      <c r="L11244" s="273"/>
      <c r="M11244" s="394">
        <f>SUM(M11239:N11243)</f>
        <v>87.778610000000015</v>
      </c>
      <c r="N11244" s="273"/>
    </row>
    <row r="11245" spans="1:14" ht="12.75" customHeight="1" x14ac:dyDescent="0.25">
      <c r="A11245" s="4"/>
      <c r="B11245" s="4"/>
      <c r="C11245" s="4"/>
      <c r="D11245" s="4"/>
      <c r="E11245" s="4"/>
      <c r="F11245" s="4"/>
      <c r="G11245" s="4"/>
      <c r="H11245" s="4"/>
      <c r="I11245" s="4"/>
      <c r="J11245" s="4"/>
      <c r="K11245" s="4"/>
      <c r="L11245" s="4"/>
      <c r="M11245" s="4"/>
      <c r="N11245" s="4"/>
    </row>
    <row r="11246" spans="1:14" ht="12.75" customHeight="1" x14ac:dyDescent="0.2">
      <c r="A11246" s="398" t="s">
        <v>929</v>
      </c>
      <c r="B11246" s="271"/>
      <c r="C11246" s="271"/>
      <c r="D11246" s="271"/>
      <c r="E11246" s="271"/>
      <c r="F11246" s="271"/>
      <c r="G11246" s="271"/>
      <c r="H11246" s="271"/>
      <c r="I11246" s="271"/>
      <c r="J11246" s="271"/>
      <c r="K11246" s="271"/>
      <c r="L11246" s="271"/>
      <c r="M11246" s="271"/>
      <c r="N11246" s="273"/>
    </row>
    <row r="11247" spans="1:14" ht="12.75" customHeight="1" x14ac:dyDescent="0.2">
      <c r="A11247" s="396" t="s">
        <v>76</v>
      </c>
      <c r="B11247" s="271"/>
      <c r="C11247" s="271"/>
      <c r="D11247" s="271"/>
      <c r="E11247" s="271"/>
      <c r="F11247" s="271"/>
      <c r="G11247" s="273"/>
      <c r="H11247" s="88" t="s">
        <v>77</v>
      </c>
      <c r="I11247" s="399" t="s">
        <v>920</v>
      </c>
      <c r="J11247" s="273"/>
      <c r="K11247" s="399" t="s">
        <v>453</v>
      </c>
      <c r="L11247" s="273"/>
      <c r="M11247" s="399" t="s">
        <v>921</v>
      </c>
      <c r="N11247" s="273"/>
    </row>
    <row r="11248" spans="1:14" ht="12.75" customHeight="1" x14ac:dyDescent="0.2">
      <c r="A11248" s="403" t="s">
        <v>966</v>
      </c>
      <c r="B11248" s="271"/>
      <c r="C11248" s="271"/>
      <c r="D11248" s="271"/>
      <c r="E11248" s="271"/>
      <c r="F11248" s="271"/>
      <c r="G11248" s="273"/>
      <c r="H11248" s="29" t="s">
        <v>950</v>
      </c>
      <c r="I11248" s="394">
        <f>+M11235</f>
        <v>15305</v>
      </c>
      <c r="J11248" s="273"/>
      <c r="K11248" s="404">
        <v>0.05</v>
      </c>
      <c r="L11248" s="273"/>
      <c r="M11248" s="394">
        <f t="shared" ref="M11248:M11252" si="1498">IF(A11248="","",I11248*K11248)</f>
        <v>765.25</v>
      </c>
      <c r="N11248" s="273"/>
    </row>
    <row r="11249" spans="1:14" ht="12.75" customHeight="1" x14ac:dyDescent="0.2">
      <c r="A11249" s="403" t="s">
        <v>3174</v>
      </c>
      <c r="B11249" s="271"/>
      <c r="C11249" s="271"/>
      <c r="D11249" s="271"/>
      <c r="E11249" s="271"/>
      <c r="F11249" s="271"/>
      <c r="G11249" s="273"/>
      <c r="H11249" s="29" t="s">
        <v>24</v>
      </c>
      <c r="I11249" s="394">
        <f>+M11244</f>
        <v>87.778610000000015</v>
      </c>
      <c r="J11249" s="273"/>
      <c r="K11249" s="404">
        <v>0.05</v>
      </c>
      <c r="L11249" s="273"/>
      <c r="M11249" s="394">
        <f t="shared" si="1498"/>
        <v>4.3889305000000007</v>
      </c>
      <c r="N11249" s="273"/>
    </row>
    <row r="11250" spans="1:14" ht="12.75" customHeight="1" x14ac:dyDescent="0.2">
      <c r="A11250" s="400"/>
      <c r="B11250" s="271"/>
      <c r="C11250" s="271"/>
      <c r="D11250" s="271"/>
      <c r="E11250" s="271"/>
      <c r="F11250" s="271"/>
      <c r="G11250" s="273"/>
      <c r="H11250" s="29"/>
      <c r="I11250" s="394"/>
      <c r="J11250" s="273"/>
      <c r="K11250" s="395"/>
      <c r="L11250" s="273"/>
      <c r="M11250" s="394" t="str">
        <f t="shared" si="1498"/>
        <v/>
      </c>
      <c r="N11250" s="273"/>
    </row>
    <row r="11251" spans="1:14" ht="12.75" customHeight="1" x14ac:dyDescent="0.2">
      <c r="A11251" s="400"/>
      <c r="B11251" s="271"/>
      <c r="C11251" s="271"/>
      <c r="D11251" s="271"/>
      <c r="E11251" s="271"/>
      <c r="F11251" s="271"/>
      <c r="G11251" s="273"/>
      <c r="H11251" s="29"/>
      <c r="I11251" s="394"/>
      <c r="J11251" s="273"/>
      <c r="K11251" s="395"/>
      <c r="L11251" s="273"/>
      <c r="M11251" s="394" t="str">
        <f t="shared" si="1498"/>
        <v/>
      </c>
      <c r="N11251" s="273"/>
    </row>
    <row r="11252" spans="1:14" ht="12.75" customHeight="1" x14ac:dyDescent="0.2">
      <c r="A11252" s="400"/>
      <c r="B11252" s="271"/>
      <c r="C11252" s="271"/>
      <c r="D11252" s="271"/>
      <c r="E11252" s="271"/>
      <c r="F11252" s="271"/>
      <c r="G11252" s="273"/>
      <c r="H11252" s="29"/>
      <c r="I11252" s="394"/>
      <c r="J11252" s="273"/>
      <c r="K11252" s="395"/>
      <c r="L11252" s="273"/>
      <c r="M11252" s="394" t="str">
        <f t="shared" si="1498"/>
        <v/>
      </c>
      <c r="N11252" s="273"/>
    </row>
    <row r="11253" spans="1:14" ht="12.75" customHeight="1" x14ac:dyDescent="0.25">
      <c r="A11253" s="4"/>
      <c r="B11253" s="4"/>
      <c r="C11253" s="4"/>
      <c r="D11253" s="4"/>
      <c r="E11253" s="4"/>
      <c r="F11253" s="4"/>
      <c r="G11253" s="4"/>
      <c r="H11253" s="4"/>
      <c r="I11253" s="4"/>
      <c r="J11253" s="4"/>
      <c r="K11253" s="396" t="s">
        <v>444</v>
      </c>
      <c r="L11253" s="273"/>
      <c r="M11253" s="394">
        <f>SUM(M11248:N11252)</f>
        <v>769.63893050000001</v>
      </c>
      <c r="N11253" s="273"/>
    </row>
    <row r="11254" spans="1:14" ht="12.75" customHeight="1" x14ac:dyDescent="0.25">
      <c r="A11254" s="4"/>
      <c r="B11254" s="4"/>
      <c r="C11254" s="4"/>
      <c r="D11254" s="4"/>
      <c r="E11254" s="4"/>
      <c r="F11254" s="4"/>
      <c r="G11254" s="4"/>
      <c r="H11254" s="4"/>
      <c r="I11254" s="4"/>
      <c r="J11254" s="4"/>
      <c r="K11254" s="4"/>
      <c r="L11254" s="4"/>
      <c r="M11254" s="4"/>
      <c r="N11254" s="4"/>
    </row>
    <row r="11255" spans="1:14" ht="12.75" customHeight="1" x14ac:dyDescent="0.2">
      <c r="A11255" s="398" t="s">
        <v>931</v>
      </c>
      <c r="B11255" s="271"/>
      <c r="C11255" s="271"/>
      <c r="D11255" s="271"/>
      <c r="E11255" s="271"/>
      <c r="F11255" s="271"/>
      <c r="G11255" s="271"/>
      <c r="H11255" s="271"/>
      <c r="I11255" s="271"/>
      <c r="J11255" s="271"/>
      <c r="K11255" s="271"/>
      <c r="L11255" s="271"/>
      <c r="M11255" s="271"/>
      <c r="N11255" s="273"/>
    </row>
    <row r="11256" spans="1:14" ht="12.75" customHeight="1" x14ac:dyDescent="0.2">
      <c r="A11256" s="396" t="s">
        <v>76</v>
      </c>
      <c r="B11256" s="271"/>
      <c r="C11256" s="271"/>
      <c r="D11256" s="271"/>
      <c r="E11256" s="271"/>
      <c r="F11256" s="271"/>
      <c r="G11256" s="273"/>
      <c r="H11256" s="88" t="s">
        <v>77</v>
      </c>
      <c r="I11256" s="399" t="s">
        <v>920</v>
      </c>
      <c r="J11256" s="273"/>
      <c r="K11256" s="90" t="s">
        <v>514</v>
      </c>
      <c r="L11256" s="91" t="s">
        <v>932</v>
      </c>
      <c r="M11256" s="399" t="s">
        <v>921</v>
      </c>
      <c r="N11256" s="273"/>
    </row>
    <row r="11257" spans="1:14" ht="12.75" customHeight="1" x14ac:dyDescent="0.25">
      <c r="A11257" s="393" t="s">
        <v>986</v>
      </c>
      <c r="B11257" s="271"/>
      <c r="C11257" s="271"/>
      <c r="D11257" s="271"/>
      <c r="E11257" s="271"/>
      <c r="F11257" s="271"/>
      <c r="G11257" s="273"/>
      <c r="H11257" s="29" t="str">
        <f>IF(A11257="","",VLOOKUP(A11257,AA_Cuadrillas,4,FALSE))</f>
        <v>Cuadrilla</v>
      </c>
      <c r="I11257" s="394">
        <f>IF(A11257="","",VLOOKUP(A11257,AA_Cuadrillas,5,FALSE))</f>
        <v>186763</v>
      </c>
      <c r="J11257" s="273"/>
      <c r="K11257" s="9">
        <f>IF(A11257="","",F.P!$I$2)</f>
        <v>1.88</v>
      </c>
      <c r="L11257" s="93">
        <f>1/200</f>
        <v>5.0000000000000001E-3</v>
      </c>
      <c r="M11257" s="394">
        <f t="shared" ref="M11257:M11261" si="1499">IF(A11257="","",I11257*K11257*L11257)</f>
        <v>1755.5722000000001</v>
      </c>
      <c r="N11257" s="273"/>
    </row>
    <row r="11258" spans="1:14" ht="12.75" customHeight="1" x14ac:dyDescent="0.25">
      <c r="A11258" s="393"/>
      <c r="B11258" s="271"/>
      <c r="C11258" s="271"/>
      <c r="D11258" s="271"/>
      <c r="E11258" s="271"/>
      <c r="F11258" s="271"/>
      <c r="G11258" s="273"/>
      <c r="H11258" s="29" t="str">
        <f>IF(A11258="","",VLOOKUP(A11258,AA_Cuadrillas,4,FALSE))</f>
        <v/>
      </c>
      <c r="I11258" s="394" t="str">
        <f>IF(A11258="","",VLOOKUP(A11258,AA_Cuadrillas,5,FALSE))</f>
        <v/>
      </c>
      <c r="J11258" s="273"/>
      <c r="K11258" s="9" t="str">
        <f>IF(A11258="","",F.P!$I$2)</f>
        <v/>
      </c>
      <c r="L11258" s="9"/>
      <c r="M11258" s="394" t="str">
        <f t="shared" si="1499"/>
        <v/>
      </c>
      <c r="N11258" s="273"/>
    </row>
    <row r="11259" spans="1:14" ht="12.75" customHeight="1" x14ac:dyDescent="0.25">
      <c r="A11259" s="393"/>
      <c r="B11259" s="271"/>
      <c r="C11259" s="271"/>
      <c r="D11259" s="271"/>
      <c r="E11259" s="271"/>
      <c r="F11259" s="271"/>
      <c r="G11259" s="273"/>
      <c r="H11259" s="29" t="str">
        <f>IF(A11259="","",VLOOKUP(A11259,AA_Cuadrillas,4,FALSE))</f>
        <v/>
      </c>
      <c r="I11259" s="394" t="str">
        <f>IF(A11259="","",VLOOKUP(A11259,AA_Cuadrillas,5,FALSE))</f>
        <v/>
      </c>
      <c r="J11259" s="273"/>
      <c r="K11259" s="9" t="str">
        <f>IF(A11259="","",F.P!$I$2)</f>
        <v/>
      </c>
      <c r="L11259" s="37"/>
      <c r="M11259" s="394" t="str">
        <f t="shared" si="1499"/>
        <v/>
      </c>
      <c r="N11259" s="273"/>
    </row>
    <row r="11260" spans="1:14" ht="12.75" customHeight="1" x14ac:dyDescent="0.25">
      <c r="A11260" s="393"/>
      <c r="B11260" s="271"/>
      <c r="C11260" s="271"/>
      <c r="D11260" s="271"/>
      <c r="E11260" s="271"/>
      <c r="F11260" s="271"/>
      <c r="G11260" s="273"/>
      <c r="H11260" s="29" t="str">
        <f>IF(A11260="","",VLOOKUP(A11260,AA_Cuadrillas,4,FALSE))</f>
        <v/>
      </c>
      <c r="I11260" s="394" t="str">
        <f>IF(A11260="","",VLOOKUP(A11260,AA_Cuadrillas,5,FALSE))</f>
        <v/>
      </c>
      <c r="J11260" s="273"/>
      <c r="K11260" s="9" t="str">
        <f>IF(A11260="","",F.P!$I$2)</f>
        <v/>
      </c>
      <c r="L11260" s="37"/>
      <c r="M11260" s="394" t="str">
        <f t="shared" si="1499"/>
        <v/>
      </c>
      <c r="N11260" s="273"/>
    </row>
    <row r="11261" spans="1:14" ht="12.75" customHeight="1" x14ac:dyDescent="0.25">
      <c r="A11261" s="393"/>
      <c r="B11261" s="271"/>
      <c r="C11261" s="271"/>
      <c r="D11261" s="271"/>
      <c r="E11261" s="271"/>
      <c r="F11261" s="271"/>
      <c r="G11261" s="273"/>
      <c r="H11261" s="29" t="str">
        <f>IF(A11261="","",VLOOKUP(A11261,AA_Cuadrillas,4,FALSE))</f>
        <v/>
      </c>
      <c r="I11261" s="394" t="str">
        <f>IF(A11261="","",VLOOKUP(A11261,AA_Cuadrillas,5,FALSE))</f>
        <v/>
      </c>
      <c r="J11261" s="273"/>
      <c r="K11261" s="9" t="str">
        <f>IF(A11261="","",F.P!$I$2)</f>
        <v/>
      </c>
      <c r="L11261" s="37"/>
      <c r="M11261" s="394" t="str">
        <f t="shared" si="1499"/>
        <v/>
      </c>
      <c r="N11261" s="273"/>
    </row>
    <row r="11262" spans="1:14" ht="12.75" customHeight="1" x14ac:dyDescent="0.25">
      <c r="A11262" s="4"/>
      <c r="B11262" s="4"/>
      <c r="C11262" s="4"/>
      <c r="D11262" s="4"/>
      <c r="E11262" s="4"/>
      <c r="F11262" s="4"/>
      <c r="G11262" s="4"/>
      <c r="H11262" s="4"/>
      <c r="I11262" s="4"/>
      <c r="J11262" s="4"/>
      <c r="K11262" s="396" t="s">
        <v>444</v>
      </c>
      <c r="L11262" s="273"/>
      <c r="M11262" s="394">
        <f>SUM(M11257:N11261)</f>
        <v>1755.5722000000001</v>
      </c>
      <c r="N11262" s="273"/>
    </row>
    <row r="11263" spans="1:14" ht="12.75" customHeight="1" x14ac:dyDescent="0.2"/>
    <row r="11264" spans="1:14" ht="12.75" customHeight="1" x14ac:dyDescent="0.2">
      <c r="A11264" s="407" t="s">
        <v>1539</v>
      </c>
      <c r="B11264" s="275"/>
      <c r="C11264" s="275"/>
      <c r="D11264" s="275"/>
      <c r="E11264" s="275"/>
      <c r="F11264" s="275"/>
      <c r="G11264" s="275"/>
      <c r="H11264" s="275"/>
      <c r="I11264" s="275"/>
      <c r="J11264" s="275"/>
      <c r="K11264" s="275"/>
      <c r="L11264" s="275"/>
      <c r="M11264" s="275"/>
      <c r="N11264" s="276"/>
    </row>
    <row r="11265" spans="1:14" ht="12.75" customHeight="1" x14ac:dyDescent="0.2">
      <c r="A11265" s="277"/>
      <c r="B11265" s="278"/>
      <c r="C11265" s="278"/>
      <c r="D11265" s="278"/>
      <c r="E11265" s="278"/>
      <c r="F11265" s="278"/>
      <c r="G11265" s="278"/>
      <c r="H11265" s="278"/>
      <c r="I11265" s="278"/>
      <c r="J11265" s="278"/>
      <c r="K11265" s="278"/>
      <c r="L11265" s="278"/>
      <c r="M11265" s="278"/>
      <c r="N11265" s="279"/>
    </row>
    <row r="11266" spans="1:14" ht="12.75" customHeight="1" x14ac:dyDescent="0.2">
      <c r="A11266" s="75"/>
      <c r="B11266" s="75"/>
      <c r="C11266" s="75"/>
      <c r="D11266" s="75"/>
      <c r="E11266" s="75"/>
      <c r="F11266" s="75"/>
      <c r="G11266" s="75"/>
      <c r="H11266" s="75"/>
      <c r="I11266" s="75"/>
      <c r="J11266" s="75"/>
      <c r="K11266" s="75"/>
      <c r="L11266" s="75"/>
      <c r="M11266" s="75"/>
      <c r="N11266" s="75"/>
    </row>
    <row r="11267" spans="1:14" ht="12.75" customHeight="1" x14ac:dyDescent="0.3">
      <c r="A11267" s="79" t="s">
        <v>863</v>
      </c>
      <c r="B11267" s="80" t="str">
        <f>A11264</f>
        <v>SUMINISTRO E INSTALACIÓN DE TEE PVC Ø4"</v>
      </c>
      <c r="C11267" s="81" t="s">
        <v>916</v>
      </c>
      <c r="D11267" s="82" t="s">
        <v>999</v>
      </c>
      <c r="E11267" s="83" t="s">
        <v>445</v>
      </c>
      <c r="F11267" s="86">
        <f>H11267+J11267+L11267+N11267</f>
        <v>28413.60081</v>
      </c>
      <c r="G11267" s="83" t="s">
        <v>607</v>
      </c>
      <c r="H11267" s="86">
        <f>M11285</f>
        <v>87.778610000000015</v>
      </c>
      <c r="I11267" s="83" t="s">
        <v>918</v>
      </c>
      <c r="J11267" s="86">
        <f>M11276</f>
        <v>25305</v>
      </c>
      <c r="K11267" s="83" t="s">
        <v>609</v>
      </c>
      <c r="L11267" s="86">
        <f>M11294</f>
        <v>1265.25</v>
      </c>
      <c r="M11267" s="83" t="s">
        <v>610</v>
      </c>
      <c r="N11267" s="86">
        <f>M11303</f>
        <v>1755.5722000000001</v>
      </c>
    </row>
    <row r="11268" spans="1:14" ht="12.75" customHeight="1" x14ac:dyDescent="0.25">
      <c r="A11268" s="87"/>
      <c r="B11268" s="87"/>
      <c r="C11268" s="87"/>
      <c r="D11268" s="87"/>
      <c r="E11268" s="87"/>
      <c r="F11268" s="87"/>
      <c r="G11268" s="87"/>
      <c r="J11268" s="87"/>
      <c r="K11268" s="215" t="s">
        <v>3217</v>
      </c>
      <c r="L11268" s="215">
        <f>+F11267*presup!$O$5</f>
        <v>36937.681053</v>
      </c>
      <c r="M11268" s="87"/>
      <c r="N11268" s="87"/>
    </row>
    <row r="11269" spans="1:14" ht="12.75" customHeight="1" x14ac:dyDescent="0.2">
      <c r="A11269" s="398" t="s">
        <v>919</v>
      </c>
      <c r="B11269" s="271"/>
      <c r="C11269" s="271"/>
      <c r="D11269" s="271"/>
      <c r="E11269" s="271"/>
      <c r="F11269" s="271"/>
      <c r="G11269" s="271"/>
      <c r="H11269" s="271"/>
      <c r="I11269" s="271"/>
      <c r="J11269" s="271"/>
      <c r="K11269" s="271"/>
      <c r="L11269" s="271"/>
      <c r="M11269" s="271"/>
      <c r="N11269" s="273"/>
    </row>
    <row r="11270" spans="1:14" ht="12.75" customHeight="1" x14ac:dyDescent="0.2">
      <c r="A11270" s="396" t="s">
        <v>76</v>
      </c>
      <c r="B11270" s="271"/>
      <c r="C11270" s="271"/>
      <c r="D11270" s="271"/>
      <c r="E11270" s="271"/>
      <c r="F11270" s="271"/>
      <c r="G11270" s="273"/>
      <c r="H11270" s="88" t="s">
        <v>77</v>
      </c>
      <c r="I11270" s="399" t="s">
        <v>920</v>
      </c>
      <c r="J11270" s="273"/>
      <c r="K11270" s="399" t="s">
        <v>453</v>
      </c>
      <c r="L11270" s="273"/>
      <c r="M11270" s="399" t="s">
        <v>921</v>
      </c>
      <c r="N11270" s="273"/>
    </row>
    <row r="11271" spans="1:14" ht="12.75" customHeight="1" x14ac:dyDescent="0.2">
      <c r="A11271" s="400" t="s">
        <v>1529</v>
      </c>
      <c r="B11271" s="271"/>
      <c r="C11271" s="271"/>
      <c r="D11271" s="271"/>
      <c r="E11271" s="271"/>
      <c r="F11271" s="271"/>
      <c r="G11271" s="273"/>
      <c r="H11271" s="29" t="str">
        <f>IF(A11271="","",VLOOKUP(A11271,AA_Materiales,7,FALSE))</f>
        <v>Unidad</v>
      </c>
      <c r="I11271" s="394">
        <f>IF(A11271="","",VLOOKUP(A11271,AA_Materiales,8,FALSE))</f>
        <v>18900</v>
      </c>
      <c r="J11271" s="273"/>
      <c r="K11271" s="395">
        <v>1</v>
      </c>
      <c r="L11271" s="273"/>
      <c r="M11271" s="394">
        <f t="shared" ref="M11271:M11275" si="1500">IF(A11271="","",I11271*K11271)</f>
        <v>18900</v>
      </c>
      <c r="N11271" s="273"/>
    </row>
    <row r="11272" spans="1:14" ht="12.75" customHeight="1" x14ac:dyDescent="0.2">
      <c r="A11272" s="400" t="s">
        <v>984</v>
      </c>
      <c r="B11272" s="271"/>
      <c r="C11272" s="271"/>
      <c r="D11272" s="271"/>
      <c r="E11272" s="271"/>
      <c r="F11272" s="271"/>
      <c r="G11272" s="273"/>
      <c r="H11272" s="29" t="str">
        <f>IF(A11272="","",VLOOKUP(A11272,AA_Materiales,7,FALSE))</f>
        <v>Galón</v>
      </c>
      <c r="I11272" s="394">
        <f>IF(A11272="","",VLOOKUP(A11272,AA_Materiales,8,FALSE))</f>
        <v>80900</v>
      </c>
      <c r="J11272" s="273"/>
      <c r="K11272" s="395">
        <v>0.05</v>
      </c>
      <c r="L11272" s="273"/>
      <c r="M11272" s="394">
        <f t="shared" si="1500"/>
        <v>4045</v>
      </c>
      <c r="N11272" s="273"/>
    </row>
    <row r="11273" spans="1:14" ht="12.75" customHeight="1" x14ac:dyDescent="0.2">
      <c r="A11273" s="400" t="s">
        <v>985</v>
      </c>
      <c r="B11273" s="271"/>
      <c r="C11273" s="271"/>
      <c r="D11273" s="271"/>
      <c r="E11273" s="271"/>
      <c r="F11273" s="271"/>
      <c r="G11273" s="273"/>
      <c r="H11273" s="29" t="str">
        <f>IF(A11273="","",VLOOKUP(A11273,AA_Materiales,7,FALSE))</f>
        <v>Galón</v>
      </c>
      <c r="I11273" s="394">
        <f>IF(A11273="","",VLOOKUP(A11273,AA_Materiales,8,FALSE))</f>
        <v>47200</v>
      </c>
      <c r="J11273" s="273"/>
      <c r="K11273" s="395">
        <v>0.05</v>
      </c>
      <c r="L11273" s="273"/>
      <c r="M11273" s="394">
        <f t="shared" si="1500"/>
        <v>2360</v>
      </c>
      <c r="N11273" s="273"/>
    </row>
    <row r="11274" spans="1:14" ht="12.75" customHeight="1" x14ac:dyDescent="0.2">
      <c r="A11274" s="400"/>
      <c r="B11274" s="271"/>
      <c r="C11274" s="271"/>
      <c r="D11274" s="271"/>
      <c r="E11274" s="271"/>
      <c r="F11274" s="271"/>
      <c r="G11274" s="273"/>
      <c r="H11274" s="29" t="str">
        <f>IF(A11274="","",VLOOKUP(A11274,AA_Materiales,7,FALSE))</f>
        <v/>
      </c>
      <c r="I11274" s="394" t="str">
        <f>IF(A11274="","",VLOOKUP(A11274,AA_Materiales,8,FALSE))</f>
        <v/>
      </c>
      <c r="J11274" s="273"/>
      <c r="K11274" s="395"/>
      <c r="L11274" s="273"/>
      <c r="M11274" s="394" t="str">
        <f t="shared" si="1500"/>
        <v/>
      </c>
      <c r="N11274" s="273"/>
    </row>
    <row r="11275" spans="1:14" ht="12.75" customHeight="1" x14ac:dyDescent="0.2">
      <c r="A11275" s="400"/>
      <c r="B11275" s="271"/>
      <c r="C11275" s="271"/>
      <c r="D11275" s="271"/>
      <c r="E11275" s="271"/>
      <c r="F11275" s="271"/>
      <c r="G11275" s="273"/>
      <c r="H11275" s="29" t="str">
        <f>IF(A11275="","",VLOOKUP(A11275,AA_Materiales,7,FALSE))</f>
        <v/>
      </c>
      <c r="I11275" s="394" t="str">
        <f>IF(A11275="","",VLOOKUP(A11275,AA_Materiales,8,FALSE))</f>
        <v/>
      </c>
      <c r="J11275" s="273"/>
      <c r="K11275" s="395"/>
      <c r="L11275" s="273"/>
      <c r="M11275" s="394" t="str">
        <f t="shared" si="1500"/>
        <v/>
      </c>
      <c r="N11275" s="273"/>
    </row>
    <row r="11276" spans="1:14" ht="12.75" customHeight="1" x14ac:dyDescent="0.25">
      <c r="A11276" s="4"/>
      <c r="B11276" s="4"/>
      <c r="C11276" s="4"/>
      <c r="D11276" s="4"/>
      <c r="E11276" s="4"/>
      <c r="F11276" s="4"/>
      <c r="G11276" s="4"/>
      <c r="H11276" s="4"/>
      <c r="I11276" s="4"/>
      <c r="J11276" s="4"/>
      <c r="K11276" s="396" t="s">
        <v>444</v>
      </c>
      <c r="L11276" s="273"/>
      <c r="M11276" s="394">
        <f>SUM(M11271:N11275)</f>
        <v>25305</v>
      </c>
      <c r="N11276" s="273"/>
    </row>
    <row r="11277" spans="1:14" ht="12.75" customHeight="1" x14ac:dyDescent="0.25">
      <c r="A11277" s="4"/>
      <c r="B11277" s="4"/>
      <c r="C11277" s="4"/>
      <c r="D11277" s="4"/>
      <c r="E11277" s="4"/>
      <c r="F11277" s="4"/>
      <c r="G11277" s="4"/>
      <c r="H11277" s="4"/>
      <c r="I11277" s="4"/>
      <c r="J11277" s="4"/>
      <c r="K11277" s="4"/>
      <c r="L11277" s="4"/>
      <c r="M11277" s="4"/>
      <c r="N11277" s="4"/>
    </row>
    <row r="11278" spans="1:14" ht="12.75" customHeight="1" x14ac:dyDescent="0.2">
      <c r="A11278" s="398" t="s">
        <v>926</v>
      </c>
      <c r="B11278" s="271"/>
      <c r="C11278" s="271"/>
      <c r="D11278" s="271"/>
      <c r="E11278" s="271"/>
      <c r="F11278" s="271"/>
      <c r="G11278" s="271"/>
      <c r="H11278" s="271"/>
      <c r="I11278" s="271"/>
      <c r="J11278" s="271"/>
      <c r="K11278" s="271"/>
      <c r="L11278" s="271"/>
      <c r="M11278" s="271"/>
      <c r="N11278" s="273"/>
    </row>
    <row r="11279" spans="1:14" ht="12.75" customHeight="1" x14ac:dyDescent="0.2">
      <c r="A11279" s="396" t="s">
        <v>76</v>
      </c>
      <c r="B11279" s="271"/>
      <c r="C11279" s="271"/>
      <c r="D11279" s="271"/>
      <c r="E11279" s="271"/>
      <c r="F11279" s="271"/>
      <c r="G11279" s="273"/>
      <c r="H11279" s="88" t="s">
        <v>77</v>
      </c>
      <c r="I11279" s="399" t="s">
        <v>920</v>
      </c>
      <c r="J11279" s="273"/>
      <c r="K11279" s="399" t="s">
        <v>453</v>
      </c>
      <c r="L11279" s="273"/>
      <c r="M11279" s="399" t="s">
        <v>921</v>
      </c>
      <c r="N11279" s="273"/>
    </row>
    <row r="11280" spans="1:14" ht="12.75" customHeight="1" x14ac:dyDescent="0.2">
      <c r="A11280" s="400" t="s">
        <v>927</v>
      </c>
      <c r="B11280" s="271"/>
      <c r="C11280" s="271"/>
      <c r="D11280" s="271"/>
      <c r="E11280" s="271"/>
      <c r="F11280" s="271"/>
      <c r="G11280" s="273"/>
      <c r="H11280" s="29" t="str">
        <f>IF(A11280="","",VLOOKUP(A11280,AA_Equipos,7,FALSE))</f>
        <v>% M.O.</v>
      </c>
      <c r="I11280" s="394">
        <f>M11303</f>
        <v>1755.5722000000001</v>
      </c>
      <c r="J11280" s="273"/>
      <c r="K11280" s="404">
        <v>0.05</v>
      </c>
      <c r="L11280" s="273"/>
      <c r="M11280" s="394">
        <f t="shared" ref="M11280:M11284" si="1501">IF(A11280="","",I11280*K11280)</f>
        <v>87.778610000000015</v>
      </c>
      <c r="N11280" s="273"/>
    </row>
    <row r="11281" spans="1:14" ht="12.75" customHeight="1" x14ac:dyDescent="0.2">
      <c r="A11281" s="403"/>
      <c r="B11281" s="271"/>
      <c r="C11281" s="271"/>
      <c r="D11281" s="271"/>
      <c r="E11281" s="271"/>
      <c r="F11281" s="271"/>
      <c r="G11281" s="273"/>
      <c r="H11281" s="29" t="str">
        <f>IF(A11281="","",VLOOKUP(A11281,AA_Equipos,7,FALSE))</f>
        <v/>
      </c>
      <c r="I11281" s="394" t="str">
        <f>IF(A11281="","",VLOOKUP(A11281,AA_Equipos,8,FALSE))</f>
        <v/>
      </c>
      <c r="J11281" s="273"/>
      <c r="K11281" s="402"/>
      <c r="L11281" s="273"/>
      <c r="M11281" s="394" t="str">
        <f t="shared" si="1501"/>
        <v/>
      </c>
      <c r="N11281" s="273"/>
    </row>
    <row r="11282" spans="1:14" ht="12.75" customHeight="1" x14ac:dyDescent="0.2">
      <c r="A11282" s="400"/>
      <c r="B11282" s="271"/>
      <c r="C11282" s="271"/>
      <c r="D11282" s="271"/>
      <c r="E11282" s="271"/>
      <c r="F11282" s="271"/>
      <c r="G11282" s="273"/>
      <c r="H11282" s="29" t="str">
        <f>IF(A11282="","",VLOOKUP(A11282,AA_Equipos,7,FALSE))</f>
        <v/>
      </c>
      <c r="I11282" s="394" t="str">
        <f>IF(A11282="","",VLOOKUP(A11282,AA_Equipos,8,FALSE))</f>
        <v/>
      </c>
      <c r="J11282" s="273"/>
      <c r="K11282" s="395"/>
      <c r="L11282" s="273"/>
      <c r="M11282" s="394" t="str">
        <f t="shared" si="1501"/>
        <v/>
      </c>
      <c r="N11282" s="273"/>
    </row>
    <row r="11283" spans="1:14" ht="12.75" customHeight="1" x14ac:dyDescent="0.2">
      <c r="A11283" s="400"/>
      <c r="B11283" s="271"/>
      <c r="C11283" s="271"/>
      <c r="D11283" s="271"/>
      <c r="E11283" s="271"/>
      <c r="F11283" s="271"/>
      <c r="G11283" s="273"/>
      <c r="H11283" s="29" t="str">
        <f>IF(A11283="","",VLOOKUP(A11283,AA_Equipos,7,FALSE))</f>
        <v/>
      </c>
      <c r="I11283" s="394" t="str">
        <f>IF(A11283="","",VLOOKUP(A11283,AA_Equipos,8,FALSE))</f>
        <v/>
      </c>
      <c r="J11283" s="273"/>
      <c r="K11283" s="395"/>
      <c r="L11283" s="273"/>
      <c r="M11283" s="394" t="str">
        <f t="shared" si="1501"/>
        <v/>
      </c>
      <c r="N11283" s="273"/>
    </row>
    <row r="11284" spans="1:14" ht="12.75" customHeight="1" x14ac:dyDescent="0.2">
      <c r="A11284" s="400"/>
      <c r="B11284" s="271"/>
      <c r="C11284" s="271"/>
      <c r="D11284" s="271"/>
      <c r="E11284" s="271"/>
      <c r="F11284" s="271"/>
      <c r="G11284" s="273"/>
      <c r="H11284" s="29" t="str">
        <f>IF(A11284="","",VLOOKUP(A11284,AA_Equipos,7,FALSE))</f>
        <v/>
      </c>
      <c r="I11284" s="394" t="str">
        <f>IF(A11284="","",VLOOKUP(A11284,AA_Equipos,8,FALSE))</f>
        <v/>
      </c>
      <c r="J11284" s="273"/>
      <c r="K11284" s="395"/>
      <c r="L11284" s="273"/>
      <c r="M11284" s="394" t="str">
        <f t="shared" si="1501"/>
        <v/>
      </c>
      <c r="N11284" s="273"/>
    </row>
    <row r="11285" spans="1:14" ht="12.75" customHeight="1" x14ac:dyDescent="0.25">
      <c r="A11285" s="4"/>
      <c r="B11285" s="4"/>
      <c r="C11285" s="4"/>
      <c r="D11285" s="4"/>
      <c r="E11285" s="4"/>
      <c r="F11285" s="4"/>
      <c r="G11285" s="4"/>
      <c r="H11285" s="4"/>
      <c r="I11285" s="4"/>
      <c r="J11285" s="4"/>
      <c r="K11285" s="396" t="s">
        <v>444</v>
      </c>
      <c r="L11285" s="273"/>
      <c r="M11285" s="394">
        <f>SUM(M11280:N11284)</f>
        <v>87.778610000000015</v>
      </c>
      <c r="N11285" s="273"/>
    </row>
    <row r="11286" spans="1:14" ht="12.75" customHeight="1" x14ac:dyDescent="0.25">
      <c r="A11286" s="4"/>
      <c r="B11286" s="4"/>
      <c r="C11286" s="4"/>
      <c r="D11286" s="4"/>
      <c r="E11286" s="4"/>
      <c r="F11286" s="4"/>
      <c r="G11286" s="4"/>
      <c r="H11286" s="4"/>
      <c r="I11286" s="4"/>
      <c r="J11286" s="4"/>
      <c r="K11286" s="4"/>
      <c r="L11286" s="4"/>
      <c r="M11286" s="4"/>
      <c r="N11286" s="4"/>
    </row>
    <row r="11287" spans="1:14" ht="12.75" customHeight="1" x14ac:dyDescent="0.2">
      <c r="A11287" s="398" t="s">
        <v>929</v>
      </c>
      <c r="B11287" s="271"/>
      <c r="C11287" s="271"/>
      <c r="D11287" s="271"/>
      <c r="E11287" s="271"/>
      <c r="F11287" s="271"/>
      <c r="G11287" s="271"/>
      <c r="H11287" s="271"/>
      <c r="I11287" s="271"/>
      <c r="J11287" s="271"/>
      <c r="K11287" s="271"/>
      <c r="L11287" s="271"/>
      <c r="M11287" s="271"/>
      <c r="N11287" s="273"/>
    </row>
    <row r="11288" spans="1:14" ht="12.75" customHeight="1" x14ac:dyDescent="0.2">
      <c r="A11288" s="396" t="s">
        <v>76</v>
      </c>
      <c r="B11288" s="271"/>
      <c r="C11288" s="271"/>
      <c r="D11288" s="271"/>
      <c r="E11288" s="271"/>
      <c r="F11288" s="271"/>
      <c r="G11288" s="273"/>
      <c r="H11288" s="88" t="s">
        <v>77</v>
      </c>
      <c r="I11288" s="399" t="s">
        <v>920</v>
      </c>
      <c r="J11288" s="273"/>
      <c r="K11288" s="399" t="s">
        <v>453</v>
      </c>
      <c r="L11288" s="273"/>
      <c r="M11288" s="399" t="s">
        <v>921</v>
      </c>
      <c r="N11288" s="273"/>
    </row>
    <row r="11289" spans="1:14" ht="12.75" customHeight="1" x14ac:dyDescent="0.2">
      <c r="A11289" s="403" t="s">
        <v>966</v>
      </c>
      <c r="B11289" s="271"/>
      <c r="C11289" s="271"/>
      <c r="D11289" s="271"/>
      <c r="E11289" s="271"/>
      <c r="F11289" s="271"/>
      <c r="G11289" s="273"/>
      <c r="H11289" s="29" t="s">
        <v>950</v>
      </c>
      <c r="I11289" s="394">
        <f>+M11276</f>
        <v>25305</v>
      </c>
      <c r="J11289" s="273"/>
      <c r="K11289" s="404">
        <v>0.05</v>
      </c>
      <c r="L11289" s="273"/>
      <c r="M11289" s="394">
        <f t="shared" ref="M11289:M11293" si="1502">IF(A11289="","",I11289*K11289)</f>
        <v>1265.25</v>
      </c>
      <c r="N11289" s="273"/>
    </row>
    <row r="11290" spans="1:14" ht="12.75" customHeight="1" x14ac:dyDescent="0.2">
      <c r="A11290" s="403"/>
      <c r="B11290" s="271"/>
      <c r="C11290" s="271"/>
      <c r="D11290" s="271"/>
      <c r="E11290" s="271"/>
      <c r="F11290" s="271"/>
      <c r="G11290" s="273"/>
      <c r="H11290" s="29"/>
      <c r="I11290" s="394"/>
      <c r="J11290" s="273"/>
      <c r="K11290" s="404"/>
      <c r="L11290" s="273"/>
      <c r="M11290" s="394" t="str">
        <f t="shared" si="1502"/>
        <v/>
      </c>
      <c r="N11290" s="273"/>
    </row>
    <row r="11291" spans="1:14" ht="12.75" customHeight="1" x14ac:dyDescent="0.2">
      <c r="A11291" s="400"/>
      <c r="B11291" s="271"/>
      <c r="C11291" s="271"/>
      <c r="D11291" s="271"/>
      <c r="E11291" s="271"/>
      <c r="F11291" s="271"/>
      <c r="G11291" s="273"/>
      <c r="H11291" s="29"/>
      <c r="I11291" s="394"/>
      <c r="J11291" s="273"/>
      <c r="K11291" s="395"/>
      <c r="L11291" s="273"/>
      <c r="M11291" s="394" t="str">
        <f t="shared" si="1502"/>
        <v/>
      </c>
      <c r="N11291" s="273"/>
    </row>
    <row r="11292" spans="1:14" ht="12.75" customHeight="1" x14ac:dyDescent="0.2">
      <c r="A11292" s="400"/>
      <c r="B11292" s="271"/>
      <c r="C11292" s="271"/>
      <c r="D11292" s="271"/>
      <c r="E11292" s="271"/>
      <c r="F11292" s="271"/>
      <c r="G11292" s="273"/>
      <c r="H11292" s="29"/>
      <c r="I11292" s="394"/>
      <c r="J11292" s="273"/>
      <c r="K11292" s="395"/>
      <c r="L11292" s="273"/>
      <c r="M11292" s="394" t="str">
        <f t="shared" si="1502"/>
        <v/>
      </c>
      <c r="N11292" s="273"/>
    </row>
    <row r="11293" spans="1:14" ht="12.75" customHeight="1" x14ac:dyDescent="0.2">
      <c r="A11293" s="400"/>
      <c r="B11293" s="271"/>
      <c r="C11293" s="271"/>
      <c r="D11293" s="271"/>
      <c r="E11293" s="271"/>
      <c r="F11293" s="271"/>
      <c r="G11293" s="273"/>
      <c r="H11293" s="29"/>
      <c r="I11293" s="394"/>
      <c r="J11293" s="273"/>
      <c r="K11293" s="395"/>
      <c r="L11293" s="273"/>
      <c r="M11293" s="394" t="str">
        <f t="shared" si="1502"/>
        <v/>
      </c>
      <c r="N11293" s="273"/>
    </row>
    <row r="11294" spans="1:14" ht="12.75" customHeight="1" x14ac:dyDescent="0.25">
      <c r="A11294" s="4"/>
      <c r="B11294" s="4"/>
      <c r="C11294" s="4"/>
      <c r="D11294" s="4"/>
      <c r="E11294" s="4"/>
      <c r="F11294" s="4"/>
      <c r="G11294" s="4"/>
      <c r="H11294" s="4"/>
      <c r="I11294" s="4"/>
      <c r="J11294" s="4"/>
      <c r="K11294" s="396" t="s">
        <v>444</v>
      </c>
      <c r="L11294" s="273"/>
      <c r="M11294" s="394">
        <f>SUM(M11289:N11293)</f>
        <v>1265.25</v>
      </c>
      <c r="N11294" s="273"/>
    </row>
    <row r="11295" spans="1:14" ht="12.75" customHeight="1" x14ac:dyDescent="0.25">
      <c r="A11295" s="4"/>
      <c r="B11295" s="4"/>
      <c r="C11295" s="4"/>
      <c r="D11295" s="4"/>
      <c r="E11295" s="4"/>
      <c r="F11295" s="4"/>
      <c r="G11295" s="4"/>
      <c r="H11295" s="4"/>
      <c r="I11295" s="4"/>
      <c r="J11295" s="4"/>
      <c r="K11295" s="4"/>
      <c r="L11295" s="4"/>
      <c r="M11295" s="4"/>
      <c r="N11295" s="4"/>
    </row>
    <row r="11296" spans="1:14" ht="12.75" customHeight="1" x14ac:dyDescent="0.2">
      <c r="A11296" s="398" t="s">
        <v>931</v>
      </c>
      <c r="B11296" s="271"/>
      <c r="C11296" s="271"/>
      <c r="D11296" s="271"/>
      <c r="E11296" s="271"/>
      <c r="F11296" s="271"/>
      <c r="G11296" s="271"/>
      <c r="H11296" s="271"/>
      <c r="I11296" s="271"/>
      <c r="J11296" s="271"/>
      <c r="K11296" s="271"/>
      <c r="L11296" s="271"/>
      <c r="M11296" s="271"/>
      <c r="N11296" s="273"/>
    </row>
    <row r="11297" spans="1:14" ht="12.75" customHeight="1" x14ac:dyDescent="0.2">
      <c r="A11297" s="396" t="s">
        <v>76</v>
      </c>
      <c r="B11297" s="271"/>
      <c r="C11297" s="271"/>
      <c r="D11297" s="271"/>
      <c r="E11297" s="271"/>
      <c r="F11297" s="271"/>
      <c r="G11297" s="273"/>
      <c r="H11297" s="88" t="s">
        <v>77</v>
      </c>
      <c r="I11297" s="399" t="s">
        <v>920</v>
      </c>
      <c r="J11297" s="273"/>
      <c r="K11297" s="90" t="s">
        <v>514</v>
      </c>
      <c r="L11297" s="91" t="s">
        <v>932</v>
      </c>
      <c r="M11297" s="399" t="s">
        <v>921</v>
      </c>
      <c r="N11297" s="273"/>
    </row>
    <row r="11298" spans="1:14" ht="12.75" customHeight="1" x14ac:dyDescent="0.25">
      <c r="A11298" s="393" t="s">
        <v>986</v>
      </c>
      <c r="B11298" s="271"/>
      <c r="C11298" s="271"/>
      <c r="D11298" s="271"/>
      <c r="E11298" s="271"/>
      <c r="F11298" s="271"/>
      <c r="G11298" s="273"/>
      <c r="H11298" s="29" t="str">
        <f>IF(A11298="","",VLOOKUP(A11298,AA_Cuadrillas,4,FALSE))</f>
        <v>Cuadrilla</v>
      </c>
      <c r="I11298" s="394">
        <f>IF(A11298="","",VLOOKUP(A11298,AA_Cuadrillas,5,FALSE))</f>
        <v>186763</v>
      </c>
      <c r="J11298" s="273"/>
      <c r="K11298" s="9">
        <f>IF(A11298="","",F.P!$I$2)</f>
        <v>1.88</v>
      </c>
      <c r="L11298" s="93">
        <f>1/200</f>
        <v>5.0000000000000001E-3</v>
      </c>
      <c r="M11298" s="394">
        <f t="shared" ref="M11298:M11302" si="1503">IF(A11298="","",I11298*K11298*L11298)</f>
        <v>1755.5722000000001</v>
      </c>
      <c r="N11298" s="273"/>
    </row>
    <row r="11299" spans="1:14" ht="12.75" customHeight="1" x14ac:dyDescent="0.25">
      <c r="A11299" s="393"/>
      <c r="B11299" s="271"/>
      <c r="C11299" s="271"/>
      <c r="D11299" s="271"/>
      <c r="E11299" s="271"/>
      <c r="F11299" s="271"/>
      <c r="G11299" s="273"/>
      <c r="H11299" s="29" t="str">
        <f>IF(A11299="","",VLOOKUP(A11299,AA_Cuadrillas,4,FALSE))</f>
        <v/>
      </c>
      <c r="I11299" s="394" t="str">
        <f>IF(A11299="","",VLOOKUP(A11299,AA_Cuadrillas,5,FALSE))</f>
        <v/>
      </c>
      <c r="J11299" s="273"/>
      <c r="K11299" s="9" t="str">
        <f>IF(A11299="","",F.P!$I$2)</f>
        <v/>
      </c>
      <c r="L11299" s="9"/>
      <c r="M11299" s="394" t="str">
        <f t="shared" si="1503"/>
        <v/>
      </c>
      <c r="N11299" s="273"/>
    </row>
    <row r="11300" spans="1:14" ht="12.75" customHeight="1" x14ac:dyDescent="0.25">
      <c r="A11300" s="393"/>
      <c r="B11300" s="271"/>
      <c r="C11300" s="271"/>
      <c r="D11300" s="271"/>
      <c r="E11300" s="271"/>
      <c r="F11300" s="271"/>
      <c r="G11300" s="273"/>
      <c r="H11300" s="29" t="str">
        <f>IF(A11300="","",VLOOKUP(A11300,AA_Cuadrillas,4,FALSE))</f>
        <v/>
      </c>
      <c r="I11300" s="394" t="str">
        <f>IF(A11300="","",VLOOKUP(A11300,AA_Cuadrillas,5,FALSE))</f>
        <v/>
      </c>
      <c r="J11300" s="273"/>
      <c r="K11300" s="9" t="str">
        <f>IF(A11300="","",F.P!$I$2)</f>
        <v/>
      </c>
      <c r="L11300" s="37"/>
      <c r="M11300" s="394" t="str">
        <f t="shared" si="1503"/>
        <v/>
      </c>
      <c r="N11300" s="273"/>
    </row>
    <row r="11301" spans="1:14" ht="12.75" customHeight="1" x14ac:dyDescent="0.25">
      <c r="A11301" s="393"/>
      <c r="B11301" s="271"/>
      <c r="C11301" s="271"/>
      <c r="D11301" s="271"/>
      <c r="E11301" s="271"/>
      <c r="F11301" s="271"/>
      <c r="G11301" s="273"/>
      <c r="H11301" s="29" t="str">
        <f>IF(A11301="","",VLOOKUP(A11301,AA_Cuadrillas,4,FALSE))</f>
        <v/>
      </c>
      <c r="I11301" s="394" t="str">
        <f>IF(A11301="","",VLOOKUP(A11301,AA_Cuadrillas,5,FALSE))</f>
        <v/>
      </c>
      <c r="J11301" s="273"/>
      <c r="K11301" s="9" t="str">
        <f>IF(A11301="","",F.P!$I$2)</f>
        <v/>
      </c>
      <c r="L11301" s="37"/>
      <c r="M11301" s="394" t="str">
        <f t="shared" si="1503"/>
        <v/>
      </c>
      <c r="N11301" s="273"/>
    </row>
    <row r="11302" spans="1:14" ht="12.75" customHeight="1" x14ac:dyDescent="0.25">
      <c r="A11302" s="393"/>
      <c r="B11302" s="271"/>
      <c r="C11302" s="271"/>
      <c r="D11302" s="271"/>
      <c r="E11302" s="271"/>
      <c r="F11302" s="271"/>
      <c r="G11302" s="273"/>
      <c r="H11302" s="29" t="str">
        <f>IF(A11302="","",VLOOKUP(A11302,AA_Cuadrillas,4,FALSE))</f>
        <v/>
      </c>
      <c r="I11302" s="394" t="str">
        <f>IF(A11302="","",VLOOKUP(A11302,AA_Cuadrillas,5,FALSE))</f>
        <v/>
      </c>
      <c r="J11302" s="273"/>
      <c r="K11302" s="9" t="str">
        <f>IF(A11302="","",F.P!$I$2)</f>
        <v/>
      </c>
      <c r="L11302" s="37"/>
      <c r="M11302" s="394" t="str">
        <f t="shared" si="1503"/>
        <v/>
      </c>
      <c r="N11302" s="273"/>
    </row>
    <row r="11303" spans="1:14" ht="12.75" customHeight="1" x14ac:dyDescent="0.25">
      <c r="A11303" s="4"/>
      <c r="B11303" s="4"/>
      <c r="C11303" s="4"/>
      <c r="D11303" s="4"/>
      <c r="E11303" s="4"/>
      <c r="F11303" s="4"/>
      <c r="G11303" s="4"/>
      <c r="H11303" s="4"/>
      <c r="I11303" s="4"/>
      <c r="J11303" s="4"/>
      <c r="K11303" s="396" t="s">
        <v>444</v>
      </c>
      <c r="L11303" s="273"/>
      <c r="M11303" s="394">
        <f>SUM(M11298:N11302)</f>
        <v>1755.5722000000001</v>
      </c>
      <c r="N11303" s="273"/>
    </row>
    <row r="11304" spans="1:14" ht="12.75" customHeight="1" x14ac:dyDescent="0.2"/>
    <row r="11305" spans="1:14" ht="12.75" customHeight="1" x14ac:dyDescent="0.2">
      <c r="A11305" s="407" t="s">
        <v>1540</v>
      </c>
      <c r="B11305" s="275"/>
      <c r="C11305" s="275"/>
      <c r="D11305" s="275"/>
      <c r="E11305" s="275"/>
      <c r="F11305" s="275"/>
      <c r="G11305" s="275"/>
      <c r="H11305" s="275"/>
      <c r="I11305" s="275"/>
      <c r="J11305" s="275"/>
      <c r="K11305" s="275"/>
      <c r="L11305" s="275"/>
      <c r="M11305" s="275"/>
      <c r="N11305" s="276"/>
    </row>
    <row r="11306" spans="1:14" ht="12.75" customHeight="1" x14ac:dyDescent="0.2">
      <c r="A11306" s="277"/>
      <c r="B11306" s="278"/>
      <c r="C11306" s="278"/>
      <c r="D11306" s="278"/>
      <c r="E11306" s="278"/>
      <c r="F11306" s="278"/>
      <c r="G11306" s="278"/>
      <c r="H11306" s="278"/>
      <c r="I11306" s="278"/>
      <c r="J11306" s="278"/>
      <c r="K11306" s="278"/>
      <c r="L11306" s="278"/>
      <c r="M11306" s="278"/>
      <c r="N11306" s="279"/>
    </row>
    <row r="11307" spans="1:14" ht="12.75" customHeight="1" x14ac:dyDescent="0.2">
      <c r="A11307" s="75"/>
      <c r="B11307" s="75"/>
      <c r="C11307" s="75"/>
      <c r="D11307" s="75"/>
      <c r="E11307" s="75"/>
      <c r="F11307" s="75"/>
      <c r="G11307" s="75"/>
      <c r="H11307" s="75"/>
      <c r="I11307" s="75"/>
      <c r="J11307" s="75"/>
      <c r="K11307" s="75"/>
      <c r="L11307" s="75"/>
      <c r="M11307" s="75"/>
      <c r="N11307" s="75"/>
    </row>
    <row r="11308" spans="1:14" ht="12.75" customHeight="1" x14ac:dyDescent="0.3">
      <c r="A11308" s="79" t="s">
        <v>864</v>
      </c>
      <c r="B11308" s="80" t="str">
        <f>A11305</f>
        <v>SUMINISTRO E INSTALACIÓN DE CODO x 45° PVC Ø3"</v>
      </c>
      <c r="C11308" s="81" t="s">
        <v>916</v>
      </c>
      <c r="D11308" s="82" t="s">
        <v>999</v>
      </c>
      <c r="E11308" s="83" t="s">
        <v>445</v>
      </c>
      <c r="F11308" s="86">
        <f>H11308+J11308+L11308+N11308</f>
        <v>17913.60081</v>
      </c>
      <c r="G11308" s="83" t="s">
        <v>607</v>
      </c>
      <c r="H11308" s="86">
        <f>M11326</f>
        <v>87.778610000000015</v>
      </c>
      <c r="I11308" s="83" t="s">
        <v>918</v>
      </c>
      <c r="J11308" s="86">
        <f>M11317</f>
        <v>15305</v>
      </c>
      <c r="K11308" s="83" t="s">
        <v>609</v>
      </c>
      <c r="L11308" s="86">
        <f>M11335</f>
        <v>765.25</v>
      </c>
      <c r="M11308" s="83" t="s">
        <v>610</v>
      </c>
      <c r="N11308" s="86">
        <f>M11344</f>
        <v>1755.5722000000001</v>
      </c>
    </row>
    <row r="11309" spans="1:14" ht="12.75" customHeight="1" x14ac:dyDescent="0.25">
      <c r="A11309" s="87"/>
      <c r="B11309" s="87"/>
      <c r="C11309" s="87"/>
      <c r="D11309" s="87"/>
      <c r="E11309" s="87"/>
      <c r="F11309" s="87"/>
      <c r="G11309" s="87"/>
      <c r="J11309" s="87"/>
      <c r="K11309" s="215" t="s">
        <v>3217</v>
      </c>
      <c r="L11309" s="215">
        <f>+F11308*presup!$O$5</f>
        <v>23287.681053</v>
      </c>
      <c r="M11309" s="87"/>
      <c r="N11309" s="87"/>
    </row>
    <row r="11310" spans="1:14" ht="12.75" customHeight="1" x14ac:dyDescent="0.2">
      <c r="A11310" s="398" t="s">
        <v>919</v>
      </c>
      <c r="B11310" s="271"/>
      <c r="C11310" s="271"/>
      <c r="D11310" s="271"/>
      <c r="E11310" s="271"/>
      <c r="F11310" s="271"/>
      <c r="G11310" s="271"/>
      <c r="H11310" s="271"/>
      <c r="I11310" s="271"/>
      <c r="J11310" s="271"/>
      <c r="K11310" s="271"/>
      <c r="L11310" s="271"/>
      <c r="M11310" s="271"/>
      <c r="N11310" s="273"/>
    </row>
    <row r="11311" spans="1:14" ht="12.75" customHeight="1" x14ac:dyDescent="0.2">
      <c r="A11311" s="396" t="s">
        <v>76</v>
      </c>
      <c r="B11311" s="271"/>
      <c r="C11311" s="271"/>
      <c r="D11311" s="271"/>
      <c r="E11311" s="271"/>
      <c r="F11311" s="271"/>
      <c r="G11311" s="273"/>
      <c r="H11311" s="88" t="s">
        <v>77</v>
      </c>
      <c r="I11311" s="399" t="s">
        <v>920</v>
      </c>
      <c r="J11311" s="273"/>
      <c r="K11311" s="399" t="s">
        <v>453</v>
      </c>
      <c r="L11311" s="273"/>
      <c r="M11311" s="399" t="s">
        <v>921</v>
      </c>
      <c r="N11311" s="273"/>
    </row>
    <row r="11312" spans="1:14" ht="12.75" customHeight="1" x14ac:dyDescent="0.2">
      <c r="A11312" s="400" t="s">
        <v>1541</v>
      </c>
      <c r="B11312" s="271"/>
      <c r="C11312" s="271"/>
      <c r="D11312" s="271"/>
      <c r="E11312" s="271"/>
      <c r="F11312" s="271"/>
      <c r="G11312" s="273"/>
      <c r="H11312" s="29" t="str">
        <f>IF(A11312="","",VLOOKUP(A11312,AA_Materiales,7,FALSE))</f>
        <v>Unidad</v>
      </c>
      <c r="I11312" s="394">
        <f>IF(A11312="","",VLOOKUP(A11312,AA_Materiales,8,FALSE))</f>
        <v>8900</v>
      </c>
      <c r="J11312" s="273"/>
      <c r="K11312" s="395">
        <v>1</v>
      </c>
      <c r="L11312" s="273"/>
      <c r="M11312" s="394">
        <f t="shared" ref="M11312:M11316" si="1504">IF(A11312="","",I11312*K11312)</f>
        <v>8900</v>
      </c>
      <c r="N11312" s="273"/>
    </row>
    <row r="11313" spans="1:14" ht="12.75" customHeight="1" x14ac:dyDescent="0.2">
      <c r="A11313" s="400" t="s">
        <v>984</v>
      </c>
      <c r="B11313" s="271"/>
      <c r="C11313" s="271"/>
      <c r="D11313" s="271"/>
      <c r="E11313" s="271"/>
      <c r="F11313" s="271"/>
      <c r="G11313" s="273"/>
      <c r="H11313" s="29" t="str">
        <f>IF(A11313="","",VLOOKUP(A11313,AA_Materiales,7,FALSE))</f>
        <v>Galón</v>
      </c>
      <c r="I11313" s="394">
        <f>IF(A11313="","",VLOOKUP(A11313,AA_Materiales,8,FALSE))</f>
        <v>80900</v>
      </c>
      <c r="J11313" s="273"/>
      <c r="K11313" s="395">
        <v>0.05</v>
      </c>
      <c r="L11313" s="273"/>
      <c r="M11313" s="394">
        <f t="shared" si="1504"/>
        <v>4045</v>
      </c>
      <c r="N11313" s="273"/>
    </row>
    <row r="11314" spans="1:14" ht="12.75" customHeight="1" x14ac:dyDescent="0.2">
      <c r="A11314" s="400" t="s">
        <v>985</v>
      </c>
      <c r="B11314" s="271"/>
      <c r="C11314" s="271"/>
      <c r="D11314" s="271"/>
      <c r="E11314" s="271"/>
      <c r="F11314" s="271"/>
      <c r="G11314" s="273"/>
      <c r="H11314" s="29" t="str">
        <f>IF(A11314="","",VLOOKUP(A11314,AA_Materiales,7,FALSE))</f>
        <v>Galón</v>
      </c>
      <c r="I11314" s="394">
        <f>IF(A11314="","",VLOOKUP(A11314,AA_Materiales,8,FALSE))</f>
        <v>47200</v>
      </c>
      <c r="J11314" s="273"/>
      <c r="K11314" s="395">
        <v>0.05</v>
      </c>
      <c r="L11314" s="273"/>
      <c r="M11314" s="394">
        <f t="shared" si="1504"/>
        <v>2360</v>
      </c>
      <c r="N11314" s="273"/>
    </row>
    <row r="11315" spans="1:14" ht="12.75" customHeight="1" x14ac:dyDescent="0.2">
      <c r="A11315" s="400"/>
      <c r="B11315" s="271"/>
      <c r="C11315" s="271"/>
      <c r="D11315" s="271"/>
      <c r="E11315" s="271"/>
      <c r="F11315" s="271"/>
      <c r="G11315" s="273"/>
      <c r="H11315" s="29" t="str">
        <f>IF(A11315="","",VLOOKUP(A11315,AA_Materiales,7,FALSE))</f>
        <v/>
      </c>
      <c r="I11315" s="394" t="str">
        <f>IF(A11315="","",VLOOKUP(A11315,AA_Materiales,8,FALSE))</f>
        <v/>
      </c>
      <c r="J11315" s="273"/>
      <c r="K11315" s="395"/>
      <c r="L11315" s="273"/>
      <c r="M11315" s="394" t="str">
        <f t="shared" si="1504"/>
        <v/>
      </c>
      <c r="N11315" s="273"/>
    </row>
    <row r="11316" spans="1:14" ht="12.75" customHeight="1" x14ac:dyDescent="0.2">
      <c r="A11316" s="400"/>
      <c r="B11316" s="271"/>
      <c r="C11316" s="271"/>
      <c r="D11316" s="271"/>
      <c r="E11316" s="271"/>
      <c r="F11316" s="271"/>
      <c r="G11316" s="273"/>
      <c r="H11316" s="29" t="str">
        <f>IF(A11316="","",VLOOKUP(A11316,AA_Materiales,7,FALSE))</f>
        <v/>
      </c>
      <c r="I11316" s="394" t="str">
        <f>IF(A11316="","",VLOOKUP(A11316,AA_Materiales,8,FALSE))</f>
        <v/>
      </c>
      <c r="J11316" s="273"/>
      <c r="K11316" s="395"/>
      <c r="L11316" s="273"/>
      <c r="M11316" s="394" t="str">
        <f t="shared" si="1504"/>
        <v/>
      </c>
      <c r="N11316" s="273"/>
    </row>
    <row r="11317" spans="1:14" ht="12.75" customHeight="1" x14ac:dyDescent="0.25">
      <c r="A11317" s="4"/>
      <c r="B11317" s="4"/>
      <c r="C11317" s="4"/>
      <c r="D11317" s="4"/>
      <c r="E11317" s="4"/>
      <c r="F11317" s="4"/>
      <c r="G11317" s="4"/>
      <c r="H11317" s="4"/>
      <c r="I11317" s="4"/>
      <c r="J11317" s="4"/>
      <c r="K11317" s="396" t="s">
        <v>444</v>
      </c>
      <c r="L11317" s="273"/>
      <c r="M11317" s="394">
        <f>SUM(M11312:N11316)</f>
        <v>15305</v>
      </c>
      <c r="N11317" s="273"/>
    </row>
    <row r="11318" spans="1:14" ht="12.75" customHeight="1" x14ac:dyDescent="0.25">
      <c r="A11318" s="4"/>
      <c r="B11318" s="4"/>
      <c r="C11318" s="4"/>
      <c r="D11318" s="4"/>
      <c r="E11318" s="4"/>
      <c r="F11318" s="4"/>
      <c r="G11318" s="4"/>
      <c r="H11318" s="4"/>
      <c r="I11318" s="4"/>
      <c r="J11318" s="4"/>
      <c r="K11318" s="4"/>
      <c r="L11318" s="4"/>
      <c r="M11318" s="4"/>
      <c r="N11318" s="4"/>
    </row>
    <row r="11319" spans="1:14" ht="12.75" customHeight="1" x14ac:dyDescent="0.2">
      <c r="A11319" s="398" t="s">
        <v>926</v>
      </c>
      <c r="B11319" s="271"/>
      <c r="C11319" s="271"/>
      <c r="D11319" s="271"/>
      <c r="E11319" s="271"/>
      <c r="F11319" s="271"/>
      <c r="G11319" s="271"/>
      <c r="H11319" s="271"/>
      <c r="I11319" s="271"/>
      <c r="J11319" s="271"/>
      <c r="K11319" s="271"/>
      <c r="L11319" s="271"/>
      <c r="M11319" s="271"/>
      <c r="N11319" s="273"/>
    </row>
    <row r="11320" spans="1:14" ht="12.75" customHeight="1" x14ac:dyDescent="0.2">
      <c r="A11320" s="396" t="s">
        <v>76</v>
      </c>
      <c r="B11320" s="271"/>
      <c r="C11320" s="271"/>
      <c r="D11320" s="271"/>
      <c r="E11320" s="271"/>
      <c r="F11320" s="271"/>
      <c r="G11320" s="273"/>
      <c r="H11320" s="88" t="s">
        <v>77</v>
      </c>
      <c r="I11320" s="399" t="s">
        <v>920</v>
      </c>
      <c r="J11320" s="273"/>
      <c r="K11320" s="399" t="s">
        <v>453</v>
      </c>
      <c r="L11320" s="273"/>
      <c r="M11320" s="399" t="s">
        <v>921</v>
      </c>
      <c r="N11320" s="273"/>
    </row>
    <row r="11321" spans="1:14" ht="12.75" customHeight="1" x14ac:dyDescent="0.2">
      <c r="A11321" s="400" t="s">
        <v>927</v>
      </c>
      <c r="B11321" s="271"/>
      <c r="C11321" s="271"/>
      <c r="D11321" s="271"/>
      <c r="E11321" s="271"/>
      <c r="F11321" s="271"/>
      <c r="G11321" s="273"/>
      <c r="H11321" s="29" t="str">
        <f>IF(A11321="","",VLOOKUP(A11321,AA_Equipos,7,FALSE))</f>
        <v>% M.O.</v>
      </c>
      <c r="I11321" s="394">
        <f>M11344</f>
        <v>1755.5722000000001</v>
      </c>
      <c r="J11321" s="273"/>
      <c r="K11321" s="404">
        <v>0.05</v>
      </c>
      <c r="L11321" s="273"/>
      <c r="M11321" s="394">
        <f t="shared" ref="M11321:M11325" si="1505">IF(A11321="","",I11321*K11321)</f>
        <v>87.778610000000015</v>
      </c>
      <c r="N11321" s="273"/>
    </row>
    <row r="11322" spans="1:14" ht="12.75" customHeight="1" x14ac:dyDescent="0.2">
      <c r="A11322" s="403"/>
      <c r="B11322" s="271"/>
      <c r="C11322" s="271"/>
      <c r="D11322" s="271"/>
      <c r="E11322" s="271"/>
      <c r="F11322" s="271"/>
      <c r="G11322" s="273"/>
      <c r="H11322" s="29" t="str">
        <f>IF(A11322="","",VLOOKUP(A11322,AA_Equipos,7,FALSE))</f>
        <v/>
      </c>
      <c r="I11322" s="394" t="str">
        <f>IF(A11322="","",VLOOKUP(A11322,AA_Equipos,8,FALSE))</f>
        <v/>
      </c>
      <c r="J11322" s="273"/>
      <c r="K11322" s="402"/>
      <c r="L11322" s="273"/>
      <c r="M11322" s="394" t="str">
        <f t="shared" si="1505"/>
        <v/>
      </c>
      <c r="N11322" s="273"/>
    </row>
    <row r="11323" spans="1:14" ht="12.75" customHeight="1" x14ac:dyDescent="0.2">
      <c r="A11323" s="400"/>
      <c r="B11323" s="271"/>
      <c r="C11323" s="271"/>
      <c r="D11323" s="271"/>
      <c r="E11323" s="271"/>
      <c r="F11323" s="271"/>
      <c r="G11323" s="273"/>
      <c r="H11323" s="29" t="str">
        <f>IF(A11323="","",VLOOKUP(A11323,AA_Equipos,7,FALSE))</f>
        <v/>
      </c>
      <c r="I11323" s="394" t="str">
        <f>IF(A11323="","",VLOOKUP(A11323,AA_Equipos,8,FALSE))</f>
        <v/>
      </c>
      <c r="J11323" s="273"/>
      <c r="K11323" s="395"/>
      <c r="L11323" s="273"/>
      <c r="M11323" s="394" t="str">
        <f t="shared" si="1505"/>
        <v/>
      </c>
      <c r="N11323" s="273"/>
    </row>
    <row r="11324" spans="1:14" ht="12.75" customHeight="1" x14ac:dyDescent="0.2">
      <c r="A11324" s="400"/>
      <c r="B11324" s="271"/>
      <c r="C11324" s="271"/>
      <c r="D11324" s="271"/>
      <c r="E11324" s="271"/>
      <c r="F11324" s="271"/>
      <c r="G11324" s="273"/>
      <c r="H11324" s="29" t="str">
        <f>IF(A11324="","",VLOOKUP(A11324,AA_Equipos,7,FALSE))</f>
        <v/>
      </c>
      <c r="I11324" s="394" t="str">
        <f>IF(A11324="","",VLOOKUP(A11324,AA_Equipos,8,FALSE))</f>
        <v/>
      </c>
      <c r="J11324" s="273"/>
      <c r="K11324" s="395"/>
      <c r="L11324" s="273"/>
      <c r="M11324" s="394" t="str">
        <f t="shared" si="1505"/>
        <v/>
      </c>
      <c r="N11324" s="273"/>
    </row>
    <row r="11325" spans="1:14" ht="12.75" customHeight="1" x14ac:dyDescent="0.2">
      <c r="A11325" s="400"/>
      <c r="B11325" s="271"/>
      <c r="C11325" s="271"/>
      <c r="D11325" s="271"/>
      <c r="E11325" s="271"/>
      <c r="F11325" s="271"/>
      <c r="G11325" s="273"/>
      <c r="H11325" s="29" t="str">
        <f>IF(A11325="","",VLOOKUP(A11325,AA_Equipos,7,FALSE))</f>
        <v/>
      </c>
      <c r="I11325" s="394" t="str">
        <f>IF(A11325="","",VLOOKUP(A11325,AA_Equipos,8,FALSE))</f>
        <v/>
      </c>
      <c r="J11325" s="273"/>
      <c r="K11325" s="395"/>
      <c r="L11325" s="273"/>
      <c r="M11325" s="394" t="str">
        <f t="shared" si="1505"/>
        <v/>
      </c>
      <c r="N11325" s="273"/>
    </row>
    <row r="11326" spans="1:14" ht="12.75" customHeight="1" x14ac:dyDescent="0.25">
      <c r="A11326" s="4"/>
      <c r="B11326" s="4"/>
      <c r="C11326" s="4"/>
      <c r="D11326" s="4"/>
      <c r="E11326" s="4"/>
      <c r="F11326" s="4"/>
      <c r="G11326" s="4"/>
      <c r="H11326" s="4"/>
      <c r="I11326" s="4"/>
      <c r="J11326" s="4"/>
      <c r="K11326" s="396" t="s">
        <v>444</v>
      </c>
      <c r="L11326" s="273"/>
      <c r="M11326" s="394">
        <f>SUM(M11321:N11325)</f>
        <v>87.778610000000015</v>
      </c>
      <c r="N11326" s="273"/>
    </row>
    <row r="11327" spans="1:14" ht="12.75" customHeight="1" x14ac:dyDescent="0.25">
      <c r="A11327" s="4"/>
      <c r="B11327" s="4"/>
      <c r="C11327" s="4"/>
      <c r="D11327" s="4"/>
      <c r="E11327" s="4"/>
      <c r="F11327" s="4"/>
      <c r="G11327" s="4"/>
      <c r="H11327" s="4"/>
      <c r="I11327" s="4"/>
      <c r="J11327" s="4"/>
      <c r="K11327" s="4"/>
      <c r="L11327" s="4"/>
      <c r="M11327" s="4"/>
      <c r="N11327" s="4"/>
    </row>
    <row r="11328" spans="1:14" ht="12.75" customHeight="1" x14ac:dyDescent="0.2">
      <c r="A11328" s="398" t="s">
        <v>929</v>
      </c>
      <c r="B11328" s="271"/>
      <c r="C11328" s="271"/>
      <c r="D11328" s="271"/>
      <c r="E11328" s="271"/>
      <c r="F11328" s="271"/>
      <c r="G11328" s="271"/>
      <c r="H11328" s="271"/>
      <c r="I11328" s="271"/>
      <c r="J11328" s="271"/>
      <c r="K11328" s="271"/>
      <c r="L11328" s="271"/>
      <c r="M11328" s="271"/>
      <c r="N11328" s="273"/>
    </row>
    <row r="11329" spans="1:14" ht="12.75" customHeight="1" x14ac:dyDescent="0.2">
      <c r="A11329" s="396" t="s">
        <v>76</v>
      </c>
      <c r="B11329" s="271"/>
      <c r="C11329" s="271"/>
      <c r="D11329" s="271"/>
      <c r="E11329" s="271"/>
      <c r="F11329" s="271"/>
      <c r="G11329" s="273"/>
      <c r="H11329" s="88" t="s">
        <v>77</v>
      </c>
      <c r="I11329" s="399" t="s">
        <v>920</v>
      </c>
      <c r="J11329" s="273"/>
      <c r="K11329" s="399" t="s">
        <v>453</v>
      </c>
      <c r="L11329" s="273"/>
      <c r="M11329" s="399" t="s">
        <v>921</v>
      </c>
      <c r="N11329" s="273"/>
    </row>
    <row r="11330" spans="1:14" ht="12.75" customHeight="1" x14ac:dyDescent="0.2">
      <c r="A11330" s="403" t="s">
        <v>966</v>
      </c>
      <c r="B11330" s="271"/>
      <c r="C11330" s="271"/>
      <c r="D11330" s="271"/>
      <c r="E11330" s="271"/>
      <c r="F11330" s="271"/>
      <c r="G11330" s="273"/>
      <c r="H11330" s="29" t="s">
        <v>950</v>
      </c>
      <c r="I11330" s="394">
        <f>+M11317</f>
        <v>15305</v>
      </c>
      <c r="J11330" s="273"/>
      <c r="K11330" s="404">
        <v>0.05</v>
      </c>
      <c r="L11330" s="273"/>
      <c r="M11330" s="394">
        <f t="shared" ref="M11330:M11334" si="1506">IF(A11330="","",I11330*K11330)</f>
        <v>765.25</v>
      </c>
      <c r="N11330" s="273"/>
    </row>
    <row r="11331" spans="1:14" ht="12.75" customHeight="1" x14ac:dyDescent="0.2">
      <c r="A11331" s="403"/>
      <c r="B11331" s="271"/>
      <c r="C11331" s="271"/>
      <c r="D11331" s="271"/>
      <c r="E11331" s="271"/>
      <c r="F11331" s="271"/>
      <c r="G11331" s="273"/>
      <c r="H11331" s="29"/>
      <c r="I11331" s="394"/>
      <c r="J11331" s="273"/>
      <c r="K11331" s="404"/>
      <c r="L11331" s="273"/>
      <c r="M11331" s="394" t="str">
        <f t="shared" si="1506"/>
        <v/>
      </c>
      <c r="N11331" s="273"/>
    </row>
    <row r="11332" spans="1:14" ht="12.75" customHeight="1" x14ac:dyDescent="0.2">
      <c r="A11332" s="400"/>
      <c r="B11332" s="271"/>
      <c r="C11332" s="271"/>
      <c r="D11332" s="271"/>
      <c r="E11332" s="271"/>
      <c r="F11332" s="271"/>
      <c r="G11332" s="273"/>
      <c r="H11332" s="29"/>
      <c r="I11332" s="394"/>
      <c r="J11332" s="273"/>
      <c r="K11332" s="395"/>
      <c r="L11332" s="273"/>
      <c r="M11332" s="394" t="str">
        <f t="shared" si="1506"/>
        <v/>
      </c>
      <c r="N11332" s="273"/>
    </row>
    <row r="11333" spans="1:14" ht="12.75" customHeight="1" x14ac:dyDescent="0.2">
      <c r="A11333" s="400"/>
      <c r="B11333" s="271"/>
      <c r="C11333" s="271"/>
      <c r="D11333" s="271"/>
      <c r="E11333" s="271"/>
      <c r="F11333" s="271"/>
      <c r="G11333" s="273"/>
      <c r="H11333" s="29"/>
      <c r="I11333" s="394"/>
      <c r="J11333" s="273"/>
      <c r="K11333" s="395"/>
      <c r="L11333" s="273"/>
      <c r="M11333" s="394" t="str">
        <f t="shared" si="1506"/>
        <v/>
      </c>
      <c r="N11333" s="273"/>
    </row>
    <row r="11334" spans="1:14" ht="12.75" customHeight="1" x14ac:dyDescent="0.2">
      <c r="A11334" s="400"/>
      <c r="B11334" s="271"/>
      <c r="C11334" s="271"/>
      <c r="D11334" s="271"/>
      <c r="E11334" s="271"/>
      <c r="F11334" s="271"/>
      <c r="G11334" s="273"/>
      <c r="H11334" s="29"/>
      <c r="I11334" s="394"/>
      <c r="J11334" s="273"/>
      <c r="K11334" s="395"/>
      <c r="L11334" s="273"/>
      <c r="M11334" s="394" t="str">
        <f t="shared" si="1506"/>
        <v/>
      </c>
      <c r="N11334" s="273"/>
    </row>
    <row r="11335" spans="1:14" ht="12.75" customHeight="1" x14ac:dyDescent="0.25">
      <c r="A11335" s="4"/>
      <c r="B11335" s="4"/>
      <c r="C11335" s="4"/>
      <c r="D11335" s="4"/>
      <c r="E11335" s="4"/>
      <c r="F11335" s="4"/>
      <c r="G11335" s="4"/>
      <c r="H11335" s="4"/>
      <c r="I11335" s="4"/>
      <c r="J11335" s="4"/>
      <c r="K11335" s="396" t="s">
        <v>444</v>
      </c>
      <c r="L11335" s="273"/>
      <c r="M11335" s="394">
        <f>SUM(M11330:N11334)</f>
        <v>765.25</v>
      </c>
      <c r="N11335" s="273"/>
    </row>
    <row r="11336" spans="1:14" ht="12.75" customHeight="1" x14ac:dyDescent="0.25">
      <c r="A11336" s="4"/>
      <c r="B11336" s="4"/>
      <c r="C11336" s="4"/>
      <c r="D11336" s="4"/>
      <c r="E11336" s="4"/>
      <c r="F11336" s="4"/>
      <c r="G11336" s="4"/>
      <c r="H11336" s="4"/>
      <c r="I11336" s="4"/>
      <c r="J11336" s="4"/>
      <c r="K11336" s="4"/>
      <c r="L11336" s="4"/>
      <c r="M11336" s="4"/>
      <c r="N11336" s="4"/>
    </row>
    <row r="11337" spans="1:14" ht="12.75" customHeight="1" x14ac:dyDescent="0.2">
      <c r="A11337" s="398" t="s">
        <v>931</v>
      </c>
      <c r="B11337" s="271"/>
      <c r="C11337" s="271"/>
      <c r="D11337" s="271"/>
      <c r="E11337" s="271"/>
      <c r="F11337" s="271"/>
      <c r="G11337" s="271"/>
      <c r="H11337" s="271"/>
      <c r="I11337" s="271"/>
      <c r="J11337" s="271"/>
      <c r="K11337" s="271"/>
      <c r="L11337" s="271"/>
      <c r="M11337" s="271"/>
      <c r="N11337" s="273"/>
    </row>
    <row r="11338" spans="1:14" ht="12.75" customHeight="1" x14ac:dyDescent="0.2">
      <c r="A11338" s="396" t="s">
        <v>76</v>
      </c>
      <c r="B11338" s="271"/>
      <c r="C11338" s="271"/>
      <c r="D11338" s="271"/>
      <c r="E11338" s="271"/>
      <c r="F11338" s="271"/>
      <c r="G11338" s="273"/>
      <c r="H11338" s="88" t="s">
        <v>77</v>
      </c>
      <c r="I11338" s="399" t="s">
        <v>920</v>
      </c>
      <c r="J11338" s="273"/>
      <c r="K11338" s="90" t="s">
        <v>514</v>
      </c>
      <c r="L11338" s="91" t="s">
        <v>932</v>
      </c>
      <c r="M11338" s="399" t="s">
        <v>921</v>
      </c>
      <c r="N11338" s="273"/>
    </row>
    <row r="11339" spans="1:14" ht="12.75" customHeight="1" x14ac:dyDescent="0.25">
      <c r="A11339" s="393" t="s">
        <v>986</v>
      </c>
      <c r="B11339" s="271"/>
      <c r="C11339" s="271"/>
      <c r="D11339" s="271"/>
      <c r="E11339" s="271"/>
      <c r="F11339" s="271"/>
      <c r="G11339" s="273"/>
      <c r="H11339" s="29" t="str">
        <f>IF(A11339="","",VLOOKUP(A11339,AA_Cuadrillas,4,FALSE))</f>
        <v>Cuadrilla</v>
      </c>
      <c r="I11339" s="394">
        <f>IF(A11339="","",VLOOKUP(A11339,AA_Cuadrillas,5,FALSE))</f>
        <v>186763</v>
      </c>
      <c r="J11339" s="273"/>
      <c r="K11339" s="9">
        <f>IF(A11339="","",F.P!$I$2)</f>
        <v>1.88</v>
      </c>
      <c r="L11339" s="93">
        <f>1/200</f>
        <v>5.0000000000000001E-3</v>
      </c>
      <c r="M11339" s="394">
        <f t="shared" ref="M11339:M11343" si="1507">IF(A11339="","",I11339*K11339*L11339)</f>
        <v>1755.5722000000001</v>
      </c>
      <c r="N11339" s="273"/>
    </row>
    <row r="11340" spans="1:14" ht="12.75" customHeight="1" x14ac:dyDescent="0.25">
      <c r="A11340" s="393"/>
      <c r="B11340" s="271"/>
      <c r="C11340" s="271"/>
      <c r="D11340" s="271"/>
      <c r="E11340" s="271"/>
      <c r="F11340" s="271"/>
      <c r="G11340" s="273"/>
      <c r="H11340" s="29" t="str">
        <f>IF(A11340="","",VLOOKUP(A11340,AA_Cuadrillas,4,FALSE))</f>
        <v/>
      </c>
      <c r="I11340" s="394" t="str">
        <f>IF(A11340="","",VLOOKUP(A11340,AA_Cuadrillas,5,FALSE))</f>
        <v/>
      </c>
      <c r="J11340" s="273"/>
      <c r="K11340" s="9" t="str">
        <f>IF(A11340="","",F.P!$I$2)</f>
        <v/>
      </c>
      <c r="L11340" s="9"/>
      <c r="M11340" s="394" t="str">
        <f t="shared" si="1507"/>
        <v/>
      </c>
      <c r="N11340" s="273"/>
    </row>
    <row r="11341" spans="1:14" ht="12.75" customHeight="1" x14ac:dyDescent="0.25">
      <c r="A11341" s="393"/>
      <c r="B11341" s="271"/>
      <c r="C11341" s="271"/>
      <c r="D11341" s="271"/>
      <c r="E11341" s="271"/>
      <c r="F11341" s="271"/>
      <c r="G11341" s="273"/>
      <c r="H11341" s="29" t="str">
        <f>IF(A11341="","",VLOOKUP(A11341,AA_Cuadrillas,4,FALSE))</f>
        <v/>
      </c>
      <c r="I11341" s="394" t="str">
        <f>IF(A11341="","",VLOOKUP(A11341,AA_Cuadrillas,5,FALSE))</f>
        <v/>
      </c>
      <c r="J11341" s="273"/>
      <c r="K11341" s="9" t="str">
        <f>IF(A11341="","",F.P!$I$2)</f>
        <v/>
      </c>
      <c r="L11341" s="37"/>
      <c r="M11341" s="394" t="str">
        <f t="shared" si="1507"/>
        <v/>
      </c>
      <c r="N11341" s="273"/>
    </row>
    <row r="11342" spans="1:14" ht="12.75" customHeight="1" x14ac:dyDescent="0.25">
      <c r="A11342" s="393"/>
      <c r="B11342" s="271"/>
      <c r="C11342" s="271"/>
      <c r="D11342" s="271"/>
      <c r="E11342" s="271"/>
      <c r="F11342" s="271"/>
      <c r="G11342" s="273"/>
      <c r="H11342" s="29" t="str">
        <f>IF(A11342="","",VLOOKUP(A11342,AA_Cuadrillas,4,FALSE))</f>
        <v/>
      </c>
      <c r="I11342" s="394" t="str">
        <f>IF(A11342="","",VLOOKUP(A11342,AA_Cuadrillas,5,FALSE))</f>
        <v/>
      </c>
      <c r="J11342" s="273"/>
      <c r="K11342" s="9" t="str">
        <f>IF(A11342="","",F.P!$I$2)</f>
        <v/>
      </c>
      <c r="L11342" s="37"/>
      <c r="M11342" s="394" t="str">
        <f t="shared" si="1507"/>
        <v/>
      </c>
      <c r="N11342" s="273"/>
    </row>
    <row r="11343" spans="1:14" ht="12.75" customHeight="1" x14ac:dyDescent="0.25">
      <c r="A11343" s="393"/>
      <c r="B11343" s="271"/>
      <c r="C11343" s="271"/>
      <c r="D11343" s="271"/>
      <c r="E11343" s="271"/>
      <c r="F11343" s="271"/>
      <c r="G11343" s="273"/>
      <c r="H11343" s="29" t="str">
        <f>IF(A11343="","",VLOOKUP(A11343,AA_Cuadrillas,4,FALSE))</f>
        <v/>
      </c>
      <c r="I11343" s="394" t="str">
        <f>IF(A11343="","",VLOOKUP(A11343,AA_Cuadrillas,5,FALSE))</f>
        <v/>
      </c>
      <c r="J11343" s="273"/>
      <c r="K11343" s="9" t="str">
        <f>IF(A11343="","",F.P!$I$2)</f>
        <v/>
      </c>
      <c r="L11343" s="37"/>
      <c r="M11343" s="394" t="str">
        <f t="shared" si="1507"/>
        <v/>
      </c>
      <c r="N11343" s="273"/>
    </row>
    <row r="11344" spans="1:14" ht="12.75" customHeight="1" x14ac:dyDescent="0.25">
      <c r="A11344" s="4"/>
      <c r="B11344" s="4"/>
      <c r="C11344" s="4"/>
      <c r="D11344" s="4"/>
      <c r="E11344" s="4"/>
      <c r="F11344" s="4"/>
      <c r="G11344" s="4"/>
      <c r="H11344" s="4"/>
      <c r="I11344" s="4"/>
      <c r="J11344" s="4"/>
      <c r="K11344" s="396" t="s">
        <v>444</v>
      </c>
      <c r="L11344" s="273"/>
      <c r="M11344" s="394">
        <f>SUM(M11339:N11343)</f>
        <v>1755.5722000000001</v>
      </c>
      <c r="N11344" s="273"/>
    </row>
    <row r="11345" spans="1:14" ht="12.75" customHeight="1" x14ac:dyDescent="0.2"/>
    <row r="11346" spans="1:14" ht="12.75" customHeight="1" x14ac:dyDescent="0.2">
      <c r="A11346" s="407" t="s">
        <v>1542</v>
      </c>
      <c r="B11346" s="275"/>
      <c r="C11346" s="275"/>
      <c r="D11346" s="275"/>
      <c r="E11346" s="275"/>
      <c r="F11346" s="275"/>
      <c r="G11346" s="275"/>
      <c r="H11346" s="275"/>
      <c r="I11346" s="275"/>
      <c r="J11346" s="275"/>
      <c r="K11346" s="275"/>
      <c r="L11346" s="275"/>
      <c r="M11346" s="275"/>
      <c r="N11346" s="276"/>
    </row>
    <row r="11347" spans="1:14" ht="12.75" customHeight="1" x14ac:dyDescent="0.2">
      <c r="A11347" s="277"/>
      <c r="B11347" s="278"/>
      <c r="C11347" s="278"/>
      <c r="D11347" s="278"/>
      <c r="E11347" s="278"/>
      <c r="F11347" s="278"/>
      <c r="G11347" s="278"/>
      <c r="H11347" s="278"/>
      <c r="I11347" s="278"/>
      <c r="J11347" s="278"/>
      <c r="K11347" s="278"/>
      <c r="L11347" s="278"/>
      <c r="M11347" s="278"/>
      <c r="N11347" s="279"/>
    </row>
    <row r="11348" spans="1:14" ht="12.75" customHeight="1" x14ac:dyDescent="0.2">
      <c r="A11348" s="75"/>
      <c r="B11348" s="75"/>
      <c r="C11348" s="75"/>
      <c r="D11348" s="75"/>
      <c r="E11348" s="75"/>
      <c r="F11348" s="75"/>
      <c r="G11348" s="75"/>
      <c r="H11348" s="75"/>
      <c r="I11348" s="75"/>
      <c r="J11348" s="75"/>
      <c r="K11348" s="75"/>
      <c r="L11348" s="75"/>
      <c r="M11348" s="75"/>
      <c r="N11348" s="75"/>
    </row>
    <row r="11349" spans="1:14" ht="12.75" customHeight="1" x14ac:dyDescent="0.3">
      <c r="A11349" s="79" t="s">
        <v>865</v>
      </c>
      <c r="B11349" s="80" t="str">
        <f>A11346</f>
        <v>SUMINISTRO E INSTALACIÓN DE CRUZ PVC Ø4"</v>
      </c>
      <c r="C11349" s="81" t="s">
        <v>916</v>
      </c>
      <c r="D11349" s="82" t="s">
        <v>999</v>
      </c>
      <c r="E11349" s="83" t="s">
        <v>445</v>
      </c>
      <c r="F11349" s="86">
        <f>H11349+J11349+L11349+N11349</f>
        <v>16968.60081</v>
      </c>
      <c r="G11349" s="83" t="s">
        <v>607</v>
      </c>
      <c r="H11349" s="86">
        <f>M11367</f>
        <v>87.778610000000015</v>
      </c>
      <c r="I11349" s="83" t="s">
        <v>918</v>
      </c>
      <c r="J11349" s="86">
        <f>M11358</f>
        <v>14405</v>
      </c>
      <c r="K11349" s="83" t="s">
        <v>609</v>
      </c>
      <c r="L11349" s="86">
        <f>M11376</f>
        <v>720.25</v>
      </c>
      <c r="M11349" s="83" t="s">
        <v>610</v>
      </c>
      <c r="N11349" s="86">
        <f>M11385</f>
        <v>1755.5722000000001</v>
      </c>
    </row>
    <row r="11350" spans="1:14" ht="12.75" customHeight="1" x14ac:dyDescent="0.25">
      <c r="A11350" s="87"/>
      <c r="B11350" s="87"/>
      <c r="C11350" s="87"/>
      <c r="D11350" s="87"/>
      <c r="E11350" s="87"/>
      <c r="F11350" s="87"/>
      <c r="G11350" s="87"/>
      <c r="J11350" s="87"/>
      <c r="K11350" s="215" t="s">
        <v>3217</v>
      </c>
      <c r="L11350" s="215">
        <f>+F11349*presup!$O$5</f>
        <v>22059.181053</v>
      </c>
      <c r="M11350" s="87"/>
      <c r="N11350" s="87"/>
    </row>
    <row r="11351" spans="1:14" ht="12.75" customHeight="1" x14ac:dyDescent="0.2">
      <c r="A11351" s="398" t="s">
        <v>919</v>
      </c>
      <c r="B11351" s="271"/>
      <c r="C11351" s="271"/>
      <c r="D11351" s="271"/>
      <c r="E11351" s="271"/>
      <c r="F11351" s="271"/>
      <c r="G11351" s="271"/>
      <c r="H11351" s="271"/>
      <c r="I11351" s="271"/>
      <c r="J11351" s="271"/>
      <c r="K11351" s="271"/>
      <c r="L11351" s="271"/>
      <c r="M11351" s="271"/>
      <c r="N11351" s="273"/>
    </row>
    <row r="11352" spans="1:14" ht="12.75" customHeight="1" x14ac:dyDescent="0.2">
      <c r="A11352" s="396" t="s">
        <v>76</v>
      </c>
      <c r="B11352" s="271"/>
      <c r="C11352" s="271"/>
      <c r="D11352" s="271"/>
      <c r="E11352" s="271"/>
      <c r="F11352" s="271"/>
      <c r="G11352" s="273"/>
      <c r="H11352" s="88" t="s">
        <v>77</v>
      </c>
      <c r="I11352" s="399" t="s">
        <v>920</v>
      </c>
      <c r="J11352" s="273"/>
      <c r="K11352" s="399" t="s">
        <v>453</v>
      </c>
      <c r="L11352" s="273"/>
      <c r="M11352" s="399" t="s">
        <v>921</v>
      </c>
      <c r="N11352" s="273"/>
    </row>
    <row r="11353" spans="1:14" ht="12.75" customHeight="1" x14ac:dyDescent="0.2">
      <c r="A11353" s="400" t="s">
        <v>1543</v>
      </c>
      <c r="B11353" s="271"/>
      <c r="C11353" s="271"/>
      <c r="D11353" s="271"/>
      <c r="E11353" s="271"/>
      <c r="F11353" s="271"/>
      <c r="G11353" s="273"/>
      <c r="H11353" s="29" t="str">
        <f>IF(A11353="","",VLOOKUP(A11353,AA_Materiales,7,FALSE))</f>
        <v>Unidad</v>
      </c>
      <c r="I11353" s="394">
        <f>IF(A11353="","",VLOOKUP(A11353,AA_Materiales,8,FALSE))</f>
        <v>8000</v>
      </c>
      <c r="J11353" s="273"/>
      <c r="K11353" s="395">
        <v>1</v>
      </c>
      <c r="L11353" s="273"/>
      <c r="M11353" s="394">
        <f t="shared" ref="M11353:M11357" si="1508">IF(A11353="","",I11353*K11353)</f>
        <v>8000</v>
      </c>
      <c r="N11353" s="273"/>
    </row>
    <row r="11354" spans="1:14" ht="12.75" customHeight="1" x14ac:dyDescent="0.2">
      <c r="A11354" s="400" t="s">
        <v>984</v>
      </c>
      <c r="B11354" s="271"/>
      <c r="C11354" s="271"/>
      <c r="D11354" s="271"/>
      <c r="E11354" s="271"/>
      <c r="F11354" s="271"/>
      <c r="G11354" s="273"/>
      <c r="H11354" s="29" t="str">
        <f>IF(A11354="","",VLOOKUP(A11354,AA_Materiales,7,FALSE))</f>
        <v>Galón</v>
      </c>
      <c r="I11354" s="394">
        <f>IF(A11354="","",VLOOKUP(A11354,AA_Materiales,8,FALSE))</f>
        <v>80900</v>
      </c>
      <c r="J11354" s="273"/>
      <c r="K11354" s="395">
        <v>0.05</v>
      </c>
      <c r="L11354" s="273"/>
      <c r="M11354" s="394">
        <f t="shared" si="1508"/>
        <v>4045</v>
      </c>
      <c r="N11354" s="273"/>
    </row>
    <row r="11355" spans="1:14" ht="12.75" customHeight="1" x14ac:dyDescent="0.2">
      <c r="A11355" s="400" t="s">
        <v>985</v>
      </c>
      <c r="B11355" s="271"/>
      <c r="C11355" s="271"/>
      <c r="D11355" s="271"/>
      <c r="E11355" s="271"/>
      <c r="F11355" s="271"/>
      <c r="G11355" s="273"/>
      <c r="H11355" s="29" t="str">
        <f>IF(A11355="","",VLOOKUP(A11355,AA_Materiales,7,FALSE))</f>
        <v>Galón</v>
      </c>
      <c r="I11355" s="394">
        <f>IF(A11355="","",VLOOKUP(A11355,AA_Materiales,8,FALSE))</f>
        <v>47200</v>
      </c>
      <c r="J11355" s="273"/>
      <c r="K11355" s="395">
        <v>0.05</v>
      </c>
      <c r="L11355" s="273"/>
      <c r="M11355" s="394">
        <f t="shared" si="1508"/>
        <v>2360</v>
      </c>
      <c r="N11355" s="273"/>
    </row>
    <row r="11356" spans="1:14" ht="12.75" customHeight="1" x14ac:dyDescent="0.2">
      <c r="A11356" s="400"/>
      <c r="B11356" s="271"/>
      <c r="C11356" s="271"/>
      <c r="D11356" s="271"/>
      <c r="E11356" s="271"/>
      <c r="F11356" s="271"/>
      <c r="G11356" s="273"/>
      <c r="H11356" s="29" t="str">
        <f>IF(A11356="","",VLOOKUP(A11356,AA_Materiales,7,FALSE))</f>
        <v/>
      </c>
      <c r="I11356" s="394" t="str">
        <f>IF(A11356="","",VLOOKUP(A11356,AA_Materiales,8,FALSE))</f>
        <v/>
      </c>
      <c r="J11356" s="273"/>
      <c r="K11356" s="395"/>
      <c r="L11356" s="273"/>
      <c r="M11356" s="394" t="str">
        <f t="shared" si="1508"/>
        <v/>
      </c>
      <c r="N11356" s="273"/>
    </row>
    <row r="11357" spans="1:14" ht="12.75" customHeight="1" x14ac:dyDescent="0.2">
      <c r="A11357" s="400"/>
      <c r="B11357" s="271"/>
      <c r="C11357" s="271"/>
      <c r="D11357" s="271"/>
      <c r="E11357" s="271"/>
      <c r="F11357" s="271"/>
      <c r="G11357" s="273"/>
      <c r="H11357" s="29" t="str">
        <f>IF(A11357="","",VLOOKUP(A11357,AA_Materiales,7,FALSE))</f>
        <v/>
      </c>
      <c r="I11357" s="394" t="str">
        <f>IF(A11357="","",VLOOKUP(A11357,AA_Materiales,8,FALSE))</f>
        <v/>
      </c>
      <c r="J11357" s="273"/>
      <c r="K11357" s="395"/>
      <c r="L11357" s="273"/>
      <c r="M11357" s="394" t="str">
        <f t="shared" si="1508"/>
        <v/>
      </c>
      <c r="N11357" s="273"/>
    </row>
    <row r="11358" spans="1:14" ht="12.75" customHeight="1" x14ac:dyDescent="0.25">
      <c r="A11358" s="4"/>
      <c r="B11358" s="4"/>
      <c r="C11358" s="4"/>
      <c r="D11358" s="4"/>
      <c r="E11358" s="4"/>
      <c r="F11358" s="4"/>
      <c r="G11358" s="4"/>
      <c r="H11358" s="4"/>
      <c r="I11358" s="4"/>
      <c r="J11358" s="4"/>
      <c r="K11358" s="396" t="s">
        <v>444</v>
      </c>
      <c r="L11358" s="273"/>
      <c r="M11358" s="394">
        <f>SUM(M11353:N11357)</f>
        <v>14405</v>
      </c>
      <c r="N11358" s="273"/>
    </row>
    <row r="11359" spans="1:14" ht="12.75" customHeight="1" x14ac:dyDescent="0.25">
      <c r="A11359" s="4"/>
      <c r="B11359" s="4"/>
      <c r="C11359" s="4"/>
      <c r="D11359" s="4"/>
      <c r="E11359" s="4"/>
      <c r="F11359" s="4"/>
      <c r="G11359" s="4"/>
      <c r="H11359" s="4"/>
      <c r="I11359" s="4"/>
      <c r="J11359" s="4"/>
      <c r="K11359" s="4"/>
      <c r="L11359" s="4"/>
      <c r="M11359" s="4"/>
      <c r="N11359" s="4"/>
    </row>
    <row r="11360" spans="1:14" ht="12.75" customHeight="1" x14ac:dyDescent="0.2">
      <c r="A11360" s="398" t="s">
        <v>926</v>
      </c>
      <c r="B11360" s="271"/>
      <c r="C11360" s="271"/>
      <c r="D11360" s="271"/>
      <c r="E11360" s="271"/>
      <c r="F11360" s="271"/>
      <c r="G11360" s="271"/>
      <c r="H11360" s="271"/>
      <c r="I11360" s="271"/>
      <c r="J11360" s="271"/>
      <c r="K11360" s="271"/>
      <c r="L11360" s="271"/>
      <c r="M11360" s="271"/>
      <c r="N11360" s="273"/>
    </row>
    <row r="11361" spans="1:14" ht="12.75" customHeight="1" x14ac:dyDescent="0.2">
      <c r="A11361" s="396" t="s">
        <v>76</v>
      </c>
      <c r="B11361" s="271"/>
      <c r="C11361" s="271"/>
      <c r="D11361" s="271"/>
      <c r="E11361" s="271"/>
      <c r="F11361" s="271"/>
      <c r="G11361" s="273"/>
      <c r="H11361" s="88" t="s">
        <v>77</v>
      </c>
      <c r="I11361" s="399" t="s">
        <v>920</v>
      </c>
      <c r="J11361" s="273"/>
      <c r="K11361" s="399" t="s">
        <v>453</v>
      </c>
      <c r="L11361" s="273"/>
      <c r="M11361" s="399" t="s">
        <v>921</v>
      </c>
      <c r="N11361" s="273"/>
    </row>
    <row r="11362" spans="1:14" ht="12.75" customHeight="1" x14ac:dyDescent="0.2">
      <c r="A11362" s="400" t="s">
        <v>927</v>
      </c>
      <c r="B11362" s="271"/>
      <c r="C11362" s="271"/>
      <c r="D11362" s="271"/>
      <c r="E11362" s="271"/>
      <c r="F11362" s="271"/>
      <c r="G11362" s="273"/>
      <c r="H11362" s="29" t="str">
        <f>IF(A11362="","",VLOOKUP(A11362,AA_Equipos,7,FALSE))</f>
        <v>% M.O.</v>
      </c>
      <c r="I11362" s="394">
        <f>M11385</f>
        <v>1755.5722000000001</v>
      </c>
      <c r="J11362" s="273"/>
      <c r="K11362" s="395">
        <v>0.05</v>
      </c>
      <c r="L11362" s="273"/>
      <c r="M11362" s="394">
        <f t="shared" ref="M11362:M11366" si="1509">IF(A11362="","",I11362*K11362)</f>
        <v>87.778610000000015</v>
      </c>
      <c r="N11362" s="273"/>
    </row>
    <row r="11363" spans="1:14" ht="12.75" customHeight="1" x14ac:dyDescent="0.2">
      <c r="A11363" s="403"/>
      <c r="B11363" s="271"/>
      <c r="C11363" s="271"/>
      <c r="D11363" s="271"/>
      <c r="E11363" s="271"/>
      <c r="F11363" s="271"/>
      <c r="G11363" s="273"/>
      <c r="H11363" s="29" t="str">
        <f>IF(A11363="","",VLOOKUP(A11363,AA_Equipos,7,FALSE))</f>
        <v/>
      </c>
      <c r="I11363" s="394" t="str">
        <f>IF(A11363="","",VLOOKUP(A11363,AA_Equipos,8,FALSE))</f>
        <v/>
      </c>
      <c r="J11363" s="273"/>
      <c r="K11363" s="402"/>
      <c r="L11363" s="273"/>
      <c r="M11363" s="394" t="str">
        <f t="shared" si="1509"/>
        <v/>
      </c>
      <c r="N11363" s="273"/>
    </row>
    <row r="11364" spans="1:14" ht="12.75" customHeight="1" x14ac:dyDescent="0.2">
      <c r="A11364" s="400"/>
      <c r="B11364" s="271"/>
      <c r="C11364" s="271"/>
      <c r="D11364" s="271"/>
      <c r="E11364" s="271"/>
      <c r="F11364" s="271"/>
      <c r="G11364" s="273"/>
      <c r="H11364" s="29" t="str">
        <f>IF(A11364="","",VLOOKUP(A11364,AA_Equipos,7,FALSE))</f>
        <v/>
      </c>
      <c r="I11364" s="394" t="str">
        <f>IF(A11364="","",VLOOKUP(A11364,AA_Equipos,8,FALSE))</f>
        <v/>
      </c>
      <c r="J11364" s="273"/>
      <c r="K11364" s="395"/>
      <c r="L11364" s="273"/>
      <c r="M11364" s="394" t="str">
        <f t="shared" si="1509"/>
        <v/>
      </c>
      <c r="N11364" s="273"/>
    </row>
    <row r="11365" spans="1:14" ht="12.75" customHeight="1" x14ac:dyDescent="0.2">
      <c r="A11365" s="400"/>
      <c r="B11365" s="271"/>
      <c r="C11365" s="271"/>
      <c r="D11365" s="271"/>
      <c r="E11365" s="271"/>
      <c r="F11365" s="271"/>
      <c r="G11365" s="273"/>
      <c r="H11365" s="29" t="str">
        <f>IF(A11365="","",VLOOKUP(A11365,AA_Equipos,7,FALSE))</f>
        <v/>
      </c>
      <c r="I11365" s="394" t="str">
        <f>IF(A11365="","",VLOOKUP(A11365,AA_Equipos,8,FALSE))</f>
        <v/>
      </c>
      <c r="J11365" s="273"/>
      <c r="K11365" s="395"/>
      <c r="L11365" s="273"/>
      <c r="M11365" s="394" t="str">
        <f t="shared" si="1509"/>
        <v/>
      </c>
      <c r="N11365" s="273"/>
    </row>
    <row r="11366" spans="1:14" ht="12.75" customHeight="1" x14ac:dyDescent="0.2">
      <c r="A11366" s="400"/>
      <c r="B11366" s="271"/>
      <c r="C11366" s="271"/>
      <c r="D11366" s="271"/>
      <c r="E11366" s="271"/>
      <c r="F11366" s="271"/>
      <c r="G11366" s="273"/>
      <c r="H11366" s="29" t="str">
        <f>IF(A11366="","",VLOOKUP(A11366,AA_Equipos,7,FALSE))</f>
        <v/>
      </c>
      <c r="I11366" s="394" t="str">
        <f>IF(A11366="","",VLOOKUP(A11366,AA_Equipos,8,FALSE))</f>
        <v/>
      </c>
      <c r="J11366" s="273"/>
      <c r="K11366" s="395"/>
      <c r="L11366" s="273"/>
      <c r="M11366" s="394" t="str">
        <f t="shared" si="1509"/>
        <v/>
      </c>
      <c r="N11366" s="273"/>
    </row>
    <row r="11367" spans="1:14" ht="12.75" customHeight="1" x14ac:dyDescent="0.25">
      <c r="A11367" s="4"/>
      <c r="B11367" s="4"/>
      <c r="C11367" s="4"/>
      <c r="D11367" s="4"/>
      <c r="E11367" s="4"/>
      <c r="F11367" s="4"/>
      <c r="G11367" s="4"/>
      <c r="H11367" s="4"/>
      <c r="I11367" s="4"/>
      <c r="J11367" s="4"/>
      <c r="K11367" s="396" t="s">
        <v>444</v>
      </c>
      <c r="L11367" s="273"/>
      <c r="M11367" s="394">
        <f>SUM(M11362:N11366)</f>
        <v>87.778610000000015</v>
      </c>
      <c r="N11367" s="273"/>
    </row>
    <row r="11368" spans="1:14" ht="12.75" customHeight="1" x14ac:dyDescent="0.25">
      <c r="A11368" s="4"/>
      <c r="B11368" s="4"/>
      <c r="C11368" s="4"/>
      <c r="D11368" s="4"/>
      <c r="E11368" s="4"/>
      <c r="F11368" s="4"/>
      <c r="G11368" s="4"/>
      <c r="H11368" s="4"/>
      <c r="I11368" s="4"/>
      <c r="J11368" s="4"/>
      <c r="K11368" s="4"/>
      <c r="L11368" s="4"/>
      <c r="M11368" s="4"/>
      <c r="N11368" s="4"/>
    </row>
    <row r="11369" spans="1:14" ht="12.75" customHeight="1" x14ac:dyDescent="0.2">
      <c r="A11369" s="398" t="s">
        <v>929</v>
      </c>
      <c r="B11369" s="271"/>
      <c r="C11369" s="271"/>
      <c r="D11369" s="271"/>
      <c r="E11369" s="271"/>
      <c r="F11369" s="271"/>
      <c r="G11369" s="271"/>
      <c r="H11369" s="271"/>
      <c r="I11369" s="271"/>
      <c r="J11369" s="271"/>
      <c r="K11369" s="271"/>
      <c r="L11369" s="271"/>
      <c r="M11369" s="271"/>
      <c r="N11369" s="273"/>
    </row>
    <row r="11370" spans="1:14" ht="12.75" customHeight="1" x14ac:dyDescent="0.2">
      <c r="A11370" s="396" t="s">
        <v>76</v>
      </c>
      <c r="B11370" s="271"/>
      <c r="C11370" s="271"/>
      <c r="D11370" s="271"/>
      <c r="E11370" s="271"/>
      <c r="F11370" s="271"/>
      <c r="G11370" s="273"/>
      <c r="H11370" s="88" t="s">
        <v>77</v>
      </c>
      <c r="I11370" s="399" t="s">
        <v>920</v>
      </c>
      <c r="J11370" s="273"/>
      <c r="K11370" s="399" t="s">
        <v>453</v>
      </c>
      <c r="L11370" s="273"/>
      <c r="M11370" s="399" t="s">
        <v>921</v>
      </c>
      <c r="N11370" s="273"/>
    </row>
    <row r="11371" spans="1:14" ht="12.75" customHeight="1" x14ac:dyDescent="0.2">
      <c r="A11371" s="403" t="s">
        <v>966</v>
      </c>
      <c r="B11371" s="271"/>
      <c r="C11371" s="271"/>
      <c r="D11371" s="271"/>
      <c r="E11371" s="271"/>
      <c r="F11371" s="271"/>
      <c r="G11371" s="273"/>
      <c r="H11371" s="29" t="s">
        <v>950</v>
      </c>
      <c r="I11371" s="394">
        <f>+M11358</f>
        <v>14405</v>
      </c>
      <c r="J11371" s="273"/>
      <c r="K11371" s="404">
        <v>0.05</v>
      </c>
      <c r="L11371" s="273"/>
      <c r="M11371" s="394">
        <f t="shared" ref="M11371:M11375" si="1510">IF(A11371="","",I11371*K11371)</f>
        <v>720.25</v>
      </c>
      <c r="N11371" s="273"/>
    </row>
    <row r="11372" spans="1:14" ht="12.75" customHeight="1" x14ac:dyDescent="0.2">
      <c r="A11372" s="403"/>
      <c r="B11372" s="271"/>
      <c r="C11372" s="271"/>
      <c r="D11372" s="271"/>
      <c r="E11372" s="271"/>
      <c r="F11372" s="271"/>
      <c r="G11372" s="273"/>
      <c r="H11372" s="29"/>
      <c r="I11372" s="394"/>
      <c r="J11372" s="273"/>
      <c r="K11372" s="404"/>
      <c r="L11372" s="273"/>
      <c r="M11372" s="394" t="str">
        <f t="shared" si="1510"/>
        <v/>
      </c>
      <c r="N11372" s="273"/>
    </row>
    <row r="11373" spans="1:14" ht="12.75" customHeight="1" x14ac:dyDescent="0.2">
      <c r="A11373" s="400"/>
      <c r="B11373" s="271"/>
      <c r="C11373" s="271"/>
      <c r="D11373" s="271"/>
      <c r="E11373" s="271"/>
      <c r="F11373" s="271"/>
      <c r="G11373" s="273"/>
      <c r="H11373" s="29"/>
      <c r="I11373" s="394"/>
      <c r="J11373" s="273"/>
      <c r="K11373" s="395"/>
      <c r="L11373" s="273"/>
      <c r="M11373" s="394" t="str">
        <f t="shared" si="1510"/>
        <v/>
      </c>
      <c r="N11373" s="273"/>
    </row>
    <row r="11374" spans="1:14" ht="12.75" customHeight="1" x14ac:dyDescent="0.2">
      <c r="A11374" s="400"/>
      <c r="B11374" s="271"/>
      <c r="C11374" s="271"/>
      <c r="D11374" s="271"/>
      <c r="E11374" s="271"/>
      <c r="F11374" s="271"/>
      <c r="G11374" s="273"/>
      <c r="H11374" s="29"/>
      <c r="I11374" s="394"/>
      <c r="J11374" s="273"/>
      <c r="K11374" s="395"/>
      <c r="L11374" s="273"/>
      <c r="M11374" s="394" t="str">
        <f t="shared" si="1510"/>
        <v/>
      </c>
      <c r="N11374" s="273"/>
    </row>
    <row r="11375" spans="1:14" ht="12.75" customHeight="1" x14ac:dyDescent="0.2">
      <c r="A11375" s="400"/>
      <c r="B11375" s="271"/>
      <c r="C11375" s="271"/>
      <c r="D11375" s="271"/>
      <c r="E11375" s="271"/>
      <c r="F11375" s="271"/>
      <c r="G11375" s="273"/>
      <c r="H11375" s="29"/>
      <c r="I11375" s="394"/>
      <c r="J11375" s="273"/>
      <c r="K11375" s="395"/>
      <c r="L11375" s="273"/>
      <c r="M11375" s="394" t="str">
        <f t="shared" si="1510"/>
        <v/>
      </c>
      <c r="N11375" s="273"/>
    </row>
    <row r="11376" spans="1:14" ht="12.75" customHeight="1" x14ac:dyDescent="0.25">
      <c r="A11376" s="4"/>
      <c r="B11376" s="4"/>
      <c r="C11376" s="4"/>
      <c r="D11376" s="4"/>
      <c r="E11376" s="4"/>
      <c r="F11376" s="4"/>
      <c r="G11376" s="4"/>
      <c r="H11376" s="4"/>
      <c r="I11376" s="4"/>
      <c r="J11376" s="4"/>
      <c r="K11376" s="396" t="s">
        <v>444</v>
      </c>
      <c r="L11376" s="273"/>
      <c r="M11376" s="394">
        <f>SUM(M11371:N11375)</f>
        <v>720.25</v>
      </c>
      <c r="N11376" s="273"/>
    </row>
    <row r="11377" spans="1:14" ht="12.75" customHeight="1" x14ac:dyDescent="0.25">
      <c r="A11377" s="4"/>
      <c r="B11377" s="4"/>
      <c r="C11377" s="4"/>
      <c r="D11377" s="4"/>
      <c r="E11377" s="4"/>
      <c r="F11377" s="4"/>
      <c r="G11377" s="4"/>
      <c r="H11377" s="4"/>
      <c r="I11377" s="4"/>
      <c r="J11377" s="4"/>
      <c r="K11377" s="4"/>
      <c r="L11377" s="4"/>
      <c r="M11377" s="4"/>
      <c r="N11377" s="4"/>
    </row>
    <row r="11378" spans="1:14" ht="12.75" customHeight="1" x14ac:dyDescent="0.2">
      <c r="A11378" s="398" t="s">
        <v>931</v>
      </c>
      <c r="B11378" s="271"/>
      <c r="C11378" s="271"/>
      <c r="D11378" s="271"/>
      <c r="E11378" s="271"/>
      <c r="F11378" s="271"/>
      <c r="G11378" s="271"/>
      <c r="H11378" s="271"/>
      <c r="I11378" s="271"/>
      <c r="J11378" s="271"/>
      <c r="K11378" s="271"/>
      <c r="L11378" s="271"/>
      <c r="M11378" s="271"/>
      <c r="N11378" s="273"/>
    </row>
    <row r="11379" spans="1:14" ht="12.75" customHeight="1" x14ac:dyDescent="0.2">
      <c r="A11379" s="396" t="s">
        <v>76</v>
      </c>
      <c r="B11379" s="271"/>
      <c r="C11379" s="271"/>
      <c r="D11379" s="271"/>
      <c r="E11379" s="271"/>
      <c r="F11379" s="271"/>
      <c r="G11379" s="273"/>
      <c r="H11379" s="88" t="s">
        <v>77</v>
      </c>
      <c r="I11379" s="399" t="s">
        <v>920</v>
      </c>
      <c r="J11379" s="273"/>
      <c r="K11379" s="90" t="s">
        <v>514</v>
      </c>
      <c r="L11379" s="91" t="s">
        <v>932</v>
      </c>
      <c r="M11379" s="399" t="s">
        <v>921</v>
      </c>
      <c r="N11379" s="273"/>
    </row>
    <row r="11380" spans="1:14" ht="12.75" customHeight="1" x14ac:dyDescent="0.25">
      <c r="A11380" s="393" t="s">
        <v>986</v>
      </c>
      <c r="B11380" s="271"/>
      <c r="C11380" s="271"/>
      <c r="D11380" s="271"/>
      <c r="E11380" s="271"/>
      <c r="F11380" s="271"/>
      <c r="G11380" s="273"/>
      <c r="H11380" s="29" t="str">
        <f>IF(A11380="","",VLOOKUP(A11380,AA_Cuadrillas,4,FALSE))</f>
        <v>Cuadrilla</v>
      </c>
      <c r="I11380" s="394">
        <f>IF(A11380="","",VLOOKUP(A11380,AA_Cuadrillas,5,FALSE))</f>
        <v>186763</v>
      </c>
      <c r="J11380" s="273"/>
      <c r="K11380" s="9">
        <f>IF(A11380="","",F.P!$I$2)</f>
        <v>1.88</v>
      </c>
      <c r="L11380" s="93">
        <f>1/200</f>
        <v>5.0000000000000001E-3</v>
      </c>
      <c r="M11380" s="394">
        <f t="shared" ref="M11380:M11384" si="1511">IF(A11380="","",I11380*K11380*L11380)</f>
        <v>1755.5722000000001</v>
      </c>
      <c r="N11380" s="273"/>
    </row>
    <row r="11381" spans="1:14" ht="12.75" customHeight="1" x14ac:dyDescent="0.25">
      <c r="A11381" s="393"/>
      <c r="B11381" s="271"/>
      <c r="C11381" s="271"/>
      <c r="D11381" s="271"/>
      <c r="E11381" s="271"/>
      <c r="F11381" s="271"/>
      <c r="G11381" s="273"/>
      <c r="H11381" s="29" t="str">
        <f>IF(A11381="","",VLOOKUP(A11381,AA_Cuadrillas,4,FALSE))</f>
        <v/>
      </c>
      <c r="I11381" s="394" t="str">
        <f>IF(A11381="","",VLOOKUP(A11381,AA_Cuadrillas,5,FALSE))</f>
        <v/>
      </c>
      <c r="J11381" s="273"/>
      <c r="K11381" s="9" t="str">
        <f>IF(A11381="","",F.P!$I$2)</f>
        <v/>
      </c>
      <c r="L11381" s="9"/>
      <c r="M11381" s="394" t="str">
        <f t="shared" si="1511"/>
        <v/>
      </c>
      <c r="N11381" s="273"/>
    </row>
    <row r="11382" spans="1:14" ht="12.75" customHeight="1" x14ac:dyDescent="0.25">
      <c r="A11382" s="393"/>
      <c r="B11382" s="271"/>
      <c r="C11382" s="271"/>
      <c r="D11382" s="271"/>
      <c r="E11382" s="271"/>
      <c r="F11382" s="271"/>
      <c r="G11382" s="273"/>
      <c r="H11382" s="29" t="str">
        <f>IF(A11382="","",VLOOKUP(A11382,AA_Cuadrillas,4,FALSE))</f>
        <v/>
      </c>
      <c r="I11382" s="394" t="str">
        <f>IF(A11382="","",VLOOKUP(A11382,AA_Cuadrillas,5,FALSE))</f>
        <v/>
      </c>
      <c r="J11382" s="273"/>
      <c r="K11382" s="9" t="str">
        <f>IF(A11382="","",F.P!$I$2)</f>
        <v/>
      </c>
      <c r="L11382" s="37"/>
      <c r="M11382" s="394" t="str">
        <f t="shared" si="1511"/>
        <v/>
      </c>
      <c r="N11382" s="273"/>
    </row>
    <row r="11383" spans="1:14" ht="12.75" customHeight="1" x14ac:dyDescent="0.25">
      <c r="A11383" s="393"/>
      <c r="B11383" s="271"/>
      <c r="C11383" s="271"/>
      <c r="D11383" s="271"/>
      <c r="E11383" s="271"/>
      <c r="F11383" s="271"/>
      <c r="G11383" s="273"/>
      <c r="H11383" s="29" t="str">
        <f>IF(A11383="","",VLOOKUP(A11383,AA_Cuadrillas,4,FALSE))</f>
        <v/>
      </c>
      <c r="I11383" s="394" t="str">
        <f>IF(A11383="","",VLOOKUP(A11383,AA_Cuadrillas,5,FALSE))</f>
        <v/>
      </c>
      <c r="J11383" s="273"/>
      <c r="K11383" s="9" t="str">
        <f>IF(A11383="","",F.P!$I$2)</f>
        <v/>
      </c>
      <c r="L11383" s="37"/>
      <c r="M11383" s="394" t="str">
        <f t="shared" si="1511"/>
        <v/>
      </c>
      <c r="N11383" s="273"/>
    </row>
    <row r="11384" spans="1:14" ht="12.75" customHeight="1" x14ac:dyDescent="0.25">
      <c r="A11384" s="393"/>
      <c r="B11384" s="271"/>
      <c r="C11384" s="271"/>
      <c r="D11384" s="271"/>
      <c r="E11384" s="271"/>
      <c r="F11384" s="271"/>
      <c r="G11384" s="273"/>
      <c r="H11384" s="29" t="str">
        <f>IF(A11384="","",VLOOKUP(A11384,AA_Cuadrillas,4,FALSE))</f>
        <v/>
      </c>
      <c r="I11384" s="394" t="str">
        <f>IF(A11384="","",VLOOKUP(A11384,AA_Cuadrillas,5,FALSE))</f>
        <v/>
      </c>
      <c r="J11384" s="273"/>
      <c r="K11384" s="9" t="str">
        <f>IF(A11384="","",F.P!$I$2)</f>
        <v/>
      </c>
      <c r="L11384" s="37"/>
      <c r="M11384" s="394" t="str">
        <f t="shared" si="1511"/>
        <v/>
      </c>
      <c r="N11384" s="273"/>
    </row>
    <row r="11385" spans="1:14" ht="12.75" customHeight="1" x14ac:dyDescent="0.25">
      <c r="A11385" s="4"/>
      <c r="B11385" s="4"/>
      <c r="C11385" s="4"/>
      <c r="D11385" s="4"/>
      <c r="E11385" s="4"/>
      <c r="F11385" s="4"/>
      <c r="G11385" s="4"/>
      <c r="H11385" s="4"/>
      <c r="I11385" s="4"/>
      <c r="J11385" s="4"/>
      <c r="K11385" s="396" t="s">
        <v>444</v>
      </c>
      <c r="L11385" s="273"/>
      <c r="M11385" s="394">
        <f>SUM(M11380:N11384)</f>
        <v>1755.5722000000001</v>
      </c>
      <c r="N11385" s="273"/>
    </row>
    <row r="11386" spans="1:14" ht="12.75" customHeight="1" x14ac:dyDescent="0.2"/>
    <row r="11387" spans="1:14" ht="12.75" customHeight="1" x14ac:dyDescent="0.2">
      <c r="A11387" s="407" t="s">
        <v>230</v>
      </c>
      <c r="B11387" s="275"/>
      <c r="C11387" s="275"/>
      <c r="D11387" s="275"/>
      <c r="E11387" s="275"/>
      <c r="F11387" s="275"/>
      <c r="G11387" s="275"/>
      <c r="H11387" s="275"/>
      <c r="I11387" s="275"/>
      <c r="J11387" s="275"/>
      <c r="K11387" s="275"/>
      <c r="L11387" s="275"/>
      <c r="M11387" s="275"/>
      <c r="N11387" s="276"/>
    </row>
    <row r="11388" spans="1:14" ht="12.75" customHeight="1" x14ac:dyDescent="0.2">
      <c r="A11388" s="277"/>
      <c r="B11388" s="278"/>
      <c r="C11388" s="278"/>
      <c r="D11388" s="278"/>
      <c r="E11388" s="278"/>
      <c r="F11388" s="278"/>
      <c r="G11388" s="278"/>
      <c r="H11388" s="278"/>
      <c r="I11388" s="278"/>
      <c r="J11388" s="278"/>
      <c r="K11388" s="278"/>
      <c r="L11388" s="278"/>
      <c r="M11388" s="278"/>
      <c r="N11388" s="279"/>
    </row>
    <row r="11389" spans="1:14" ht="12.75" customHeight="1" x14ac:dyDescent="0.2">
      <c r="A11389" s="75"/>
      <c r="B11389" s="75"/>
      <c r="C11389" s="75"/>
      <c r="D11389" s="75"/>
      <c r="E11389" s="75"/>
      <c r="F11389" s="75"/>
      <c r="G11389" s="75"/>
      <c r="H11389" s="75"/>
      <c r="I11389" s="75"/>
      <c r="J11389" s="75"/>
      <c r="K11389" s="75"/>
      <c r="L11389" s="75"/>
      <c r="M11389" s="75"/>
      <c r="N11389" s="75"/>
    </row>
    <row r="11390" spans="1:14" ht="12.75" customHeight="1" x14ac:dyDescent="0.3">
      <c r="A11390" s="79" t="s">
        <v>866</v>
      </c>
      <c r="B11390" s="80" t="str">
        <f>A11387</f>
        <v>SUMINISTRO E INSTALACIÓN DE VÁLVULA MARIPOSA Ø4" EN HIERRO DUCTIL (INCLUYE MATERIALES, HERRAMIENTAS Y MANO DE OBRA)</v>
      </c>
      <c r="C11390" s="81" t="s">
        <v>916</v>
      </c>
      <c r="D11390" s="82" t="s">
        <v>999</v>
      </c>
      <c r="E11390" s="83" t="s">
        <v>445</v>
      </c>
      <c r="F11390" s="86">
        <f>H11390+J11390+L11390+N11390</f>
        <v>347794.85639999999</v>
      </c>
      <c r="G11390" s="83" t="s">
        <v>607</v>
      </c>
      <c r="H11390" s="86">
        <f>M11409</f>
        <v>658.33840000000009</v>
      </c>
      <c r="I11390" s="83" t="s">
        <v>918</v>
      </c>
      <c r="J11390" s="86">
        <f>M11400</f>
        <v>333969.75</v>
      </c>
      <c r="K11390" s="83" t="s">
        <v>609</v>
      </c>
      <c r="L11390" s="86">
        <f>M11418</f>
        <v>0</v>
      </c>
      <c r="M11390" s="83" t="s">
        <v>610</v>
      </c>
      <c r="N11390" s="86">
        <f>M11427</f>
        <v>13166.768</v>
      </c>
    </row>
    <row r="11391" spans="1:14" ht="12.75" customHeight="1" x14ac:dyDescent="0.25">
      <c r="A11391" s="87"/>
      <c r="B11391" s="87"/>
      <c r="C11391" s="87"/>
      <c r="D11391" s="87"/>
      <c r="E11391" s="87"/>
      <c r="F11391" s="87"/>
      <c r="G11391" s="87"/>
      <c r="J11391" s="87"/>
      <c r="K11391" s="215" t="s">
        <v>3217</v>
      </c>
      <c r="L11391" s="215">
        <f>+F11390*presup!$O$5</f>
        <v>452133.31332000002</v>
      </c>
      <c r="M11391" s="87"/>
      <c r="N11391" s="87"/>
    </row>
    <row r="11392" spans="1:14" ht="12.75" customHeight="1" x14ac:dyDescent="0.2">
      <c r="A11392" s="398" t="s">
        <v>919</v>
      </c>
      <c r="B11392" s="271"/>
      <c r="C11392" s="271"/>
      <c r="D11392" s="271"/>
      <c r="E11392" s="271"/>
      <c r="F11392" s="271"/>
      <c r="G11392" s="271"/>
      <c r="H11392" s="271"/>
      <c r="I11392" s="271"/>
      <c r="J11392" s="271"/>
      <c r="K11392" s="271"/>
      <c r="L11392" s="271"/>
      <c r="M11392" s="271"/>
      <c r="N11392" s="273"/>
    </row>
    <row r="11393" spans="1:14" ht="12.75" customHeight="1" x14ac:dyDescent="0.2">
      <c r="A11393" s="396" t="s">
        <v>76</v>
      </c>
      <c r="B11393" s="271"/>
      <c r="C11393" s="271"/>
      <c r="D11393" s="271"/>
      <c r="E11393" s="271"/>
      <c r="F11393" s="271"/>
      <c r="G11393" s="273"/>
      <c r="H11393" s="88" t="s">
        <v>77</v>
      </c>
      <c r="I11393" s="399" t="s">
        <v>920</v>
      </c>
      <c r="J11393" s="273"/>
      <c r="K11393" s="399" t="s">
        <v>453</v>
      </c>
      <c r="L11393" s="273"/>
      <c r="M11393" s="399" t="s">
        <v>921</v>
      </c>
      <c r="N11393" s="273"/>
    </row>
    <row r="11394" spans="1:14" ht="12.75" customHeight="1" x14ac:dyDescent="0.2">
      <c r="A11394" s="403" t="s">
        <v>1544</v>
      </c>
      <c r="B11394" s="271"/>
      <c r="C11394" s="271"/>
      <c r="D11394" s="271"/>
      <c r="E11394" s="271"/>
      <c r="F11394" s="271"/>
      <c r="G11394" s="273"/>
      <c r="H11394" s="29" t="str">
        <f t="shared" ref="H11394:H11399" si="1512">IF(A11394="","",VLOOKUP(A11394,AA_Materiales,7,FALSE))</f>
        <v>Unidad</v>
      </c>
      <c r="I11394" s="394">
        <f t="shared" ref="I11394:I11399" si="1513">IF(A11394="","",VLOOKUP(A11394,AA_Materiales,8,FALSE))</f>
        <v>332843</v>
      </c>
      <c r="J11394" s="273"/>
      <c r="K11394" s="395">
        <v>1</v>
      </c>
      <c r="L11394" s="273"/>
      <c r="M11394" s="394">
        <f t="shared" ref="M11394:M11399" si="1514">IF(A11394="","",I11394*K11394)</f>
        <v>332843</v>
      </c>
      <c r="N11394" s="273"/>
    </row>
    <row r="11395" spans="1:14" ht="12.75" customHeight="1" x14ac:dyDescent="0.2">
      <c r="A11395" s="403" t="s">
        <v>1111</v>
      </c>
      <c r="B11395" s="271"/>
      <c r="C11395" s="271"/>
      <c r="D11395" s="271"/>
      <c r="E11395" s="271"/>
      <c r="F11395" s="271"/>
      <c r="G11395" s="273"/>
      <c r="H11395" s="29" t="str">
        <f t="shared" si="1512"/>
        <v>Unidad</v>
      </c>
      <c r="I11395" s="394">
        <f t="shared" si="1513"/>
        <v>22535</v>
      </c>
      <c r="J11395" s="273"/>
      <c r="K11395" s="395">
        <v>0.05</v>
      </c>
      <c r="L11395" s="273"/>
      <c r="M11395" s="394">
        <f t="shared" si="1514"/>
        <v>1126.75</v>
      </c>
      <c r="N11395" s="273"/>
    </row>
    <row r="11396" spans="1:14" ht="12.75" customHeight="1" x14ac:dyDescent="0.2">
      <c r="A11396" s="403"/>
      <c r="B11396" s="271"/>
      <c r="C11396" s="271"/>
      <c r="D11396" s="271"/>
      <c r="E11396" s="271"/>
      <c r="F11396" s="271"/>
      <c r="G11396" s="273"/>
      <c r="H11396" s="29" t="str">
        <f t="shared" si="1512"/>
        <v/>
      </c>
      <c r="I11396" s="394" t="str">
        <f t="shared" si="1513"/>
        <v/>
      </c>
      <c r="J11396" s="273"/>
      <c r="K11396" s="395"/>
      <c r="L11396" s="273"/>
      <c r="M11396" s="394" t="str">
        <f t="shared" si="1514"/>
        <v/>
      </c>
      <c r="N11396" s="273"/>
    </row>
    <row r="11397" spans="1:14" ht="12.75" customHeight="1" x14ac:dyDescent="0.2">
      <c r="A11397" s="403"/>
      <c r="B11397" s="271"/>
      <c r="C11397" s="271"/>
      <c r="D11397" s="271"/>
      <c r="E11397" s="271"/>
      <c r="F11397" s="271"/>
      <c r="G11397" s="273"/>
      <c r="H11397" s="29" t="str">
        <f t="shared" si="1512"/>
        <v/>
      </c>
      <c r="I11397" s="394" t="str">
        <f t="shared" si="1513"/>
        <v/>
      </c>
      <c r="J11397" s="273"/>
      <c r="K11397" s="395"/>
      <c r="L11397" s="273"/>
      <c r="M11397" s="394" t="str">
        <f t="shared" si="1514"/>
        <v/>
      </c>
      <c r="N11397" s="273"/>
    </row>
    <row r="11398" spans="1:14" ht="12.75" customHeight="1" x14ac:dyDescent="0.2">
      <c r="A11398" s="403"/>
      <c r="B11398" s="271"/>
      <c r="C11398" s="271"/>
      <c r="D11398" s="271"/>
      <c r="E11398" s="271"/>
      <c r="F11398" s="271"/>
      <c r="G11398" s="273"/>
      <c r="H11398" s="29" t="str">
        <f t="shared" si="1512"/>
        <v/>
      </c>
      <c r="I11398" s="394" t="str">
        <f t="shared" si="1513"/>
        <v/>
      </c>
      <c r="J11398" s="273"/>
      <c r="K11398" s="395"/>
      <c r="L11398" s="273"/>
      <c r="M11398" s="394" t="str">
        <f t="shared" si="1514"/>
        <v/>
      </c>
      <c r="N11398" s="273"/>
    </row>
    <row r="11399" spans="1:14" ht="12.75" customHeight="1" x14ac:dyDescent="0.2">
      <c r="A11399" s="403"/>
      <c r="B11399" s="271"/>
      <c r="C11399" s="271"/>
      <c r="D11399" s="271"/>
      <c r="E11399" s="271"/>
      <c r="F11399" s="271"/>
      <c r="G11399" s="273"/>
      <c r="H11399" s="29" t="str">
        <f t="shared" si="1512"/>
        <v/>
      </c>
      <c r="I11399" s="394" t="str">
        <f t="shared" si="1513"/>
        <v/>
      </c>
      <c r="J11399" s="273"/>
      <c r="K11399" s="395"/>
      <c r="L11399" s="273"/>
      <c r="M11399" s="394" t="str">
        <f t="shared" si="1514"/>
        <v/>
      </c>
      <c r="N11399" s="273"/>
    </row>
    <row r="11400" spans="1:14" ht="12.75" customHeight="1" x14ac:dyDescent="0.25">
      <c r="A11400" s="4"/>
      <c r="B11400" s="4"/>
      <c r="C11400" s="4"/>
      <c r="D11400" s="4"/>
      <c r="E11400" s="4"/>
      <c r="F11400" s="4"/>
      <c r="G11400" s="4"/>
      <c r="H11400" s="4"/>
      <c r="I11400" s="4"/>
      <c r="J11400" s="4"/>
      <c r="K11400" s="396" t="s">
        <v>444</v>
      </c>
      <c r="L11400" s="273"/>
      <c r="M11400" s="394">
        <f>SUM(M11394:N11399)</f>
        <v>333969.75</v>
      </c>
      <c r="N11400" s="273"/>
    </row>
    <row r="11401" spans="1:14" ht="12.75" customHeight="1" x14ac:dyDescent="0.25">
      <c r="A11401" s="4"/>
      <c r="B11401" s="4"/>
      <c r="C11401" s="4"/>
      <c r="D11401" s="4"/>
      <c r="E11401" s="4"/>
      <c r="F11401" s="4"/>
      <c r="G11401" s="4"/>
      <c r="H11401" s="4"/>
      <c r="I11401" s="4"/>
      <c r="J11401" s="4"/>
      <c r="K11401" s="4"/>
      <c r="L11401" s="4"/>
      <c r="M11401" s="4"/>
      <c r="N11401" s="4"/>
    </row>
    <row r="11402" spans="1:14" ht="12.75" customHeight="1" x14ac:dyDescent="0.2">
      <c r="A11402" s="398" t="s">
        <v>926</v>
      </c>
      <c r="B11402" s="271"/>
      <c r="C11402" s="271"/>
      <c r="D11402" s="271"/>
      <c r="E11402" s="271"/>
      <c r="F11402" s="271"/>
      <c r="G11402" s="271"/>
      <c r="H11402" s="271"/>
      <c r="I11402" s="271"/>
      <c r="J11402" s="271"/>
      <c r="K11402" s="271"/>
      <c r="L11402" s="271"/>
      <c r="M11402" s="271"/>
      <c r="N11402" s="273"/>
    </row>
    <row r="11403" spans="1:14" ht="12.75" customHeight="1" x14ac:dyDescent="0.2">
      <c r="A11403" s="396" t="s">
        <v>76</v>
      </c>
      <c r="B11403" s="271"/>
      <c r="C11403" s="271"/>
      <c r="D11403" s="271"/>
      <c r="E11403" s="271"/>
      <c r="F11403" s="271"/>
      <c r="G11403" s="273"/>
      <c r="H11403" s="88" t="s">
        <v>77</v>
      </c>
      <c r="I11403" s="399" t="s">
        <v>920</v>
      </c>
      <c r="J11403" s="273"/>
      <c r="K11403" s="399" t="s">
        <v>453</v>
      </c>
      <c r="L11403" s="273"/>
      <c r="M11403" s="399" t="s">
        <v>921</v>
      </c>
      <c r="N11403" s="273"/>
    </row>
    <row r="11404" spans="1:14" ht="12.75" customHeight="1" x14ac:dyDescent="0.2">
      <c r="A11404" s="400" t="s">
        <v>927</v>
      </c>
      <c r="B11404" s="271"/>
      <c r="C11404" s="271"/>
      <c r="D11404" s="271"/>
      <c r="E11404" s="271"/>
      <c r="F11404" s="271"/>
      <c r="G11404" s="273"/>
      <c r="H11404" s="29" t="str">
        <f>IF(A11404="","",VLOOKUP(A11404,AA_Equipos,7,FALSE))</f>
        <v>% M.O.</v>
      </c>
      <c r="I11404" s="394">
        <f>+M11427</f>
        <v>13166.768</v>
      </c>
      <c r="J11404" s="273"/>
      <c r="K11404" s="404">
        <v>0.05</v>
      </c>
      <c r="L11404" s="273"/>
      <c r="M11404" s="394">
        <f t="shared" ref="M11404:M11408" si="1515">IF(A11404="","",I11404*K11404)</f>
        <v>658.33840000000009</v>
      </c>
      <c r="N11404" s="273"/>
    </row>
    <row r="11405" spans="1:14" ht="12.75" customHeight="1" x14ac:dyDescent="0.2">
      <c r="A11405" s="403"/>
      <c r="B11405" s="271"/>
      <c r="C11405" s="271"/>
      <c r="D11405" s="271"/>
      <c r="E11405" s="271"/>
      <c r="F11405" s="271"/>
      <c r="G11405" s="273"/>
      <c r="H11405" s="29" t="str">
        <f>IF(A11405="","",VLOOKUP(A11405,AA_Equipos,7,FALSE))</f>
        <v/>
      </c>
      <c r="I11405" s="394" t="str">
        <f>IF(A11405="","",VLOOKUP(A11405,AA_Equipos,8,FALSE))</f>
        <v/>
      </c>
      <c r="J11405" s="273"/>
      <c r="K11405" s="402"/>
      <c r="L11405" s="273"/>
      <c r="M11405" s="394" t="str">
        <f t="shared" si="1515"/>
        <v/>
      </c>
      <c r="N11405" s="273"/>
    </row>
    <row r="11406" spans="1:14" ht="12.75" customHeight="1" x14ac:dyDescent="0.2">
      <c r="A11406" s="400"/>
      <c r="B11406" s="271"/>
      <c r="C11406" s="271"/>
      <c r="D11406" s="271"/>
      <c r="E11406" s="271"/>
      <c r="F11406" s="271"/>
      <c r="G11406" s="273"/>
      <c r="H11406" s="29" t="str">
        <f>IF(A11406="","",VLOOKUP(A11406,AA_Equipos,7,FALSE))</f>
        <v/>
      </c>
      <c r="I11406" s="394" t="str">
        <f>IF(A11406="","",VLOOKUP(A11406,AA_Equipos,8,FALSE))</f>
        <v/>
      </c>
      <c r="J11406" s="273"/>
      <c r="K11406" s="401"/>
      <c r="L11406" s="273"/>
      <c r="M11406" s="394" t="str">
        <f t="shared" si="1515"/>
        <v/>
      </c>
      <c r="N11406" s="273"/>
    </row>
    <row r="11407" spans="1:14" ht="12.75" customHeight="1" x14ac:dyDescent="0.2">
      <c r="A11407" s="400"/>
      <c r="B11407" s="271"/>
      <c r="C11407" s="271"/>
      <c r="D11407" s="271"/>
      <c r="E11407" s="271"/>
      <c r="F11407" s="271"/>
      <c r="G11407" s="273"/>
      <c r="H11407" s="29" t="str">
        <f>IF(A11407="","",VLOOKUP(A11407,AA_Equipos,7,FALSE))</f>
        <v/>
      </c>
      <c r="I11407" s="394" t="str">
        <f>IF(A11407="","",VLOOKUP(A11407,AA_Equipos,8,FALSE))</f>
        <v/>
      </c>
      <c r="J11407" s="273"/>
      <c r="K11407" s="395"/>
      <c r="L11407" s="273"/>
      <c r="M11407" s="394" t="str">
        <f t="shared" si="1515"/>
        <v/>
      </c>
      <c r="N11407" s="273"/>
    </row>
    <row r="11408" spans="1:14" ht="12.75" customHeight="1" x14ac:dyDescent="0.2">
      <c r="A11408" s="400"/>
      <c r="B11408" s="271"/>
      <c r="C11408" s="271"/>
      <c r="D11408" s="271"/>
      <c r="E11408" s="271"/>
      <c r="F11408" s="271"/>
      <c r="G11408" s="273"/>
      <c r="H11408" s="29" t="str">
        <f>IF(A11408="","",VLOOKUP(A11408,AA_Equipos,7,FALSE))</f>
        <v/>
      </c>
      <c r="I11408" s="394" t="str">
        <f>IF(A11408="","",VLOOKUP(A11408,AA_Equipos,8,FALSE))</f>
        <v/>
      </c>
      <c r="J11408" s="273"/>
      <c r="K11408" s="395"/>
      <c r="L11408" s="273"/>
      <c r="M11408" s="394" t="str">
        <f t="shared" si="1515"/>
        <v/>
      </c>
      <c r="N11408" s="273"/>
    </row>
    <row r="11409" spans="1:14" ht="12.75" customHeight="1" x14ac:dyDescent="0.25">
      <c r="A11409" s="4"/>
      <c r="B11409" s="4"/>
      <c r="C11409" s="4"/>
      <c r="D11409" s="4"/>
      <c r="E11409" s="4"/>
      <c r="F11409" s="4"/>
      <c r="G11409" s="4"/>
      <c r="H11409" s="4"/>
      <c r="I11409" s="4"/>
      <c r="J11409" s="4"/>
      <c r="K11409" s="396" t="s">
        <v>444</v>
      </c>
      <c r="L11409" s="273"/>
      <c r="M11409" s="394">
        <f>SUM(M11404:N11408)</f>
        <v>658.33840000000009</v>
      </c>
      <c r="N11409" s="273"/>
    </row>
    <row r="11410" spans="1:14" ht="12.75" customHeight="1" x14ac:dyDescent="0.25">
      <c r="A11410" s="4"/>
      <c r="B11410" s="4"/>
      <c r="C11410" s="4"/>
      <c r="D11410" s="4"/>
      <c r="E11410" s="4"/>
      <c r="F11410" s="4"/>
      <c r="G11410" s="4"/>
      <c r="H11410" s="4"/>
      <c r="I11410" s="4"/>
      <c r="J11410" s="4"/>
      <c r="K11410" s="4"/>
      <c r="L11410" s="4"/>
      <c r="M11410" s="4"/>
      <c r="N11410" s="4"/>
    </row>
    <row r="11411" spans="1:14" ht="12.75" customHeight="1" x14ac:dyDescent="0.2">
      <c r="A11411" s="398" t="s">
        <v>929</v>
      </c>
      <c r="B11411" s="271"/>
      <c r="C11411" s="271"/>
      <c r="D11411" s="271"/>
      <c r="E11411" s="271"/>
      <c r="F11411" s="271"/>
      <c r="G11411" s="271"/>
      <c r="H11411" s="271"/>
      <c r="I11411" s="271"/>
      <c r="J11411" s="271"/>
      <c r="K11411" s="271"/>
      <c r="L11411" s="271"/>
      <c r="M11411" s="271"/>
      <c r="N11411" s="273"/>
    </row>
    <row r="11412" spans="1:14" ht="12.75" customHeight="1" x14ac:dyDescent="0.2">
      <c r="A11412" s="396" t="s">
        <v>76</v>
      </c>
      <c r="B11412" s="271"/>
      <c r="C11412" s="271"/>
      <c r="D11412" s="271"/>
      <c r="E11412" s="271"/>
      <c r="F11412" s="271"/>
      <c r="G11412" s="273"/>
      <c r="H11412" s="88" t="s">
        <v>77</v>
      </c>
      <c r="I11412" s="399" t="s">
        <v>920</v>
      </c>
      <c r="J11412" s="273"/>
      <c r="K11412" s="399" t="s">
        <v>453</v>
      </c>
      <c r="L11412" s="273"/>
      <c r="M11412" s="399" t="s">
        <v>921</v>
      </c>
      <c r="N11412" s="273"/>
    </row>
    <row r="11413" spans="1:14" ht="12.75" customHeight="1" x14ac:dyDescent="0.2">
      <c r="A11413" s="400" t="s">
        <v>966</v>
      </c>
      <c r="B11413" s="271"/>
      <c r="C11413" s="271"/>
      <c r="D11413" s="271"/>
      <c r="E11413" s="271"/>
      <c r="F11413" s="271"/>
      <c r="G11413" s="273"/>
      <c r="H11413" s="29"/>
      <c r="I11413" s="394"/>
      <c r="J11413" s="273"/>
      <c r="K11413" s="417"/>
      <c r="L11413" s="273"/>
      <c r="M11413" s="394">
        <f t="shared" ref="M11413:M11417" si="1516">IF(A11413="","",I11413*K11413)</f>
        <v>0</v>
      </c>
      <c r="N11413" s="273"/>
    </row>
    <row r="11414" spans="1:14" ht="12.75" customHeight="1" x14ac:dyDescent="0.2">
      <c r="A11414" s="403"/>
      <c r="B11414" s="271"/>
      <c r="C11414" s="271"/>
      <c r="D11414" s="271"/>
      <c r="E11414" s="271"/>
      <c r="F11414" s="271"/>
      <c r="G11414" s="273"/>
      <c r="H11414" s="29"/>
      <c r="I11414" s="394"/>
      <c r="J11414" s="273"/>
      <c r="K11414" s="404"/>
      <c r="L11414" s="273"/>
      <c r="M11414" s="394" t="str">
        <f t="shared" si="1516"/>
        <v/>
      </c>
      <c r="N11414" s="273"/>
    </row>
    <row r="11415" spans="1:14" ht="12.75" customHeight="1" x14ac:dyDescent="0.2">
      <c r="A11415" s="400"/>
      <c r="B11415" s="271"/>
      <c r="C11415" s="271"/>
      <c r="D11415" s="271"/>
      <c r="E11415" s="271"/>
      <c r="F11415" s="271"/>
      <c r="G11415" s="273"/>
      <c r="H11415" s="29"/>
      <c r="I11415" s="394"/>
      <c r="J11415" s="273"/>
      <c r="K11415" s="395"/>
      <c r="L11415" s="273"/>
      <c r="M11415" s="394" t="str">
        <f t="shared" si="1516"/>
        <v/>
      </c>
      <c r="N11415" s="273"/>
    </row>
    <row r="11416" spans="1:14" ht="12.75" customHeight="1" x14ac:dyDescent="0.2">
      <c r="A11416" s="400"/>
      <c r="B11416" s="271"/>
      <c r="C11416" s="271"/>
      <c r="D11416" s="271"/>
      <c r="E11416" s="271"/>
      <c r="F11416" s="271"/>
      <c r="G11416" s="273"/>
      <c r="H11416" s="29"/>
      <c r="I11416" s="394"/>
      <c r="J11416" s="273"/>
      <c r="K11416" s="395"/>
      <c r="L11416" s="273"/>
      <c r="M11416" s="394" t="str">
        <f t="shared" si="1516"/>
        <v/>
      </c>
      <c r="N11416" s="273"/>
    </row>
    <row r="11417" spans="1:14" ht="12.75" customHeight="1" x14ac:dyDescent="0.2">
      <c r="A11417" s="400"/>
      <c r="B11417" s="271"/>
      <c r="C11417" s="271"/>
      <c r="D11417" s="271"/>
      <c r="E11417" s="271"/>
      <c r="F11417" s="271"/>
      <c r="G11417" s="273"/>
      <c r="H11417" s="29"/>
      <c r="I11417" s="394"/>
      <c r="J11417" s="273"/>
      <c r="K11417" s="395"/>
      <c r="L11417" s="273"/>
      <c r="M11417" s="394" t="str">
        <f t="shared" si="1516"/>
        <v/>
      </c>
      <c r="N11417" s="273"/>
    </row>
    <row r="11418" spans="1:14" ht="12.75" customHeight="1" x14ac:dyDescent="0.25">
      <c r="A11418" s="4"/>
      <c r="B11418" s="4"/>
      <c r="C11418" s="4"/>
      <c r="D11418" s="4"/>
      <c r="E11418" s="4"/>
      <c r="F11418" s="4"/>
      <c r="G11418" s="4"/>
      <c r="H11418" s="4"/>
      <c r="I11418" s="4"/>
      <c r="J11418" s="4"/>
      <c r="K11418" s="396" t="s">
        <v>444</v>
      </c>
      <c r="L11418" s="273"/>
      <c r="M11418" s="394">
        <f>SUM(M11413:N11417)</f>
        <v>0</v>
      </c>
      <c r="N11418" s="273"/>
    </row>
    <row r="11419" spans="1:14" ht="12.75" customHeight="1" x14ac:dyDescent="0.25">
      <c r="A11419" s="4"/>
      <c r="B11419" s="4"/>
      <c r="C11419" s="4"/>
      <c r="D11419" s="4"/>
      <c r="E11419" s="4"/>
      <c r="F11419" s="4"/>
      <c r="G11419" s="4"/>
      <c r="H11419" s="4"/>
      <c r="I11419" s="4"/>
      <c r="J11419" s="4"/>
      <c r="K11419" s="4"/>
      <c r="L11419" s="4"/>
      <c r="M11419" s="4"/>
      <c r="N11419" s="4"/>
    </row>
    <row r="11420" spans="1:14" ht="12.75" customHeight="1" x14ac:dyDescent="0.2">
      <c r="A11420" s="398" t="s">
        <v>931</v>
      </c>
      <c r="B11420" s="271"/>
      <c r="C11420" s="271"/>
      <c r="D11420" s="271"/>
      <c r="E11420" s="271"/>
      <c r="F11420" s="271"/>
      <c r="G11420" s="271"/>
      <c r="H11420" s="271"/>
      <c r="I11420" s="271"/>
      <c r="J11420" s="271"/>
      <c r="K11420" s="271"/>
      <c r="L11420" s="271"/>
      <c r="M11420" s="271"/>
      <c r="N11420" s="273"/>
    </row>
    <row r="11421" spans="1:14" ht="12.75" customHeight="1" x14ac:dyDescent="0.2">
      <c r="A11421" s="396" t="s">
        <v>76</v>
      </c>
      <c r="B11421" s="271"/>
      <c r="C11421" s="271"/>
      <c r="D11421" s="271"/>
      <c r="E11421" s="271"/>
      <c r="F11421" s="271"/>
      <c r="G11421" s="273"/>
      <c r="H11421" s="88" t="s">
        <v>77</v>
      </c>
      <c r="I11421" s="399" t="s">
        <v>920</v>
      </c>
      <c r="J11421" s="273"/>
      <c r="K11421" s="90" t="s">
        <v>514</v>
      </c>
      <c r="L11421" s="91" t="s">
        <v>932</v>
      </c>
      <c r="M11421" s="399" t="s">
        <v>921</v>
      </c>
      <c r="N11421" s="273"/>
    </row>
    <row r="11422" spans="1:14" ht="12.75" customHeight="1" x14ac:dyDescent="0.25">
      <c r="A11422" s="393" t="s">
        <v>979</v>
      </c>
      <c r="B11422" s="271"/>
      <c r="C11422" s="271"/>
      <c r="D11422" s="271"/>
      <c r="E11422" s="271"/>
      <c r="F11422" s="271"/>
      <c r="G11422" s="273"/>
      <c r="H11422" s="29" t="str">
        <f>IF(A11422="","",VLOOKUP(A11422,AA_Cuadrillas,4,FALSE))</f>
        <v>Cuadrilla</v>
      </c>
      <c r="I11422" s="394">
        <f>IF(A11422="","",VLOOKUP(A11422,AA_Cuadrillas,5,FALSE))</f>
        <v>140072</v>
      </c>
      <c r="J11422" s="273"/>
      <c r="K11422" s="9">
        <f>IF(A11422="","",F.P!$I$2)</f>
        <v>1.88</v>
      </c>
      <c r="L11422" s="97">
        <v>0.05</v>
      </c>
      <c r="M11422" s="394">
        <f t="shared" ref="M11422:M11426" si="1517">IF(A11422="","",I11422*K11422*L11422)</f>
        <v>13166.768</v>
      </c>
      <c r="N11422" s="273"/>
    </row>
    <row r="11423" spans="1:14" ht="12.75" customHeight="1" x14ac:dyDescent="0.25">
      <c r="A11423" s="393"/>
      <c r="B11423" s="271"/>
      <c r="C11423" s="271"/>
      <c r="D11423" s="271"/>
      <c r="E11423" s="271"/>
      <c r="F11423" s="271"/>
      <c r="G11423" s="273"/>
      <c r="H11423" s="29" t="str">
        <f>IF(A11423="","",VLOOKUP(A11423,AA_Cuadrillas,4,FALSE))</f>
        <v/>
      </c>
      <c r="I11423" s="394" t="str">
        <f>IF(A11423="","",VLOOKUP(A11423,AA_Cuadrillas,5,FALSE))</f>
        <v/>
      </c>
      <c r="J11423" s="273"/>
      <c r="K11423" s="9" t="str">
        <f>IF(A11423="","",F.P!$I$2)</f>
        <v/>
      </c>
      <c r="L11423" s="9"/>
      <c r="M11423" s="394" t="str">
        <f t="shared" si="1517"/>
        <v/>
      </c>
      <c r="N11423" s="273"/>
    </row>
    <row r="11424" spans="1:14" ht="12.75" customHeight="1" x14ac:dyDescent="0.25">
      <c r="A11424" s="393"/>
      <c r="B11424" s="271"/>
      <c r="C11424" s="271"/>
      <c r="D11424" s="271"/>
      <c r="E11424" s="271"/>
      <c r="F11424" s="271"/>
      <c r="G11424" s="273"/>
      <c r="H11424" s="29" t="str">
        <f>IF(A11424="","",VLOOKUP(A11424,AA_Cuadrillas,4,FALSE))</f>
        <v/>
      </c>
      <c r="I11424" s="394" t="str">
        <f>IF(A11424="","",VLOOKUP(A11424,AA_Cuadrillas,5,FALSE))</f>
        <v/>
      </c>
      <c r="J11424" s="273"/>
      <c r="K11424" s="9" t="str">
        <f>IF(A11424="","",F.P!$I$2)</f>
        <v/>
      </c>
      <c r="L11424" s="37"/>
      <c r="M11424" s="394" t="str">
        <f t="shared" si="1517"/>
        <v/>
      </c>
      <c r="N11424" s="273"/>
    </row>
    <row r="11425" spans="1:14" ht="12.75" customHeight="1" x14ac:dyDescent="0.25">
      <c r="A11425" s="393"/>
      <c r="B11425" s="271"/>
      <c r="C11425" s="271"/>
      <c r="D11425" s="271"/>
      <c r="E11425" s="271"/>
      <c r="F11425" s="271"/>
      <c r="G11425" s="273"/>
      <c r="H11425" s="29" t="str">
        <f>IF(A11425="","",VLOOKUP(A11425,AA_Cuadrillas,4,FALSE))</f>
        <v/>
      </c>
      <c r="I11425" s="394" t="str">
        <f>IF(A11425="","",VLOOKUP(A11425,AA_Cuadrillas,5,FALSE))</f>
        <v/>
      </c>
      <c r="J11425" s="273"/>
      <c r="K11425" s="9" t="str">
        <f>IF(A11425="","",F.P!$I$2)</f>
        <v/>
      </c>
      <c r="L11425" s="37"/>
      <c r="M11425" s="394" t="str">
        <f t="shared" si="1517"/>
        <v/>
      </c>
      <c r="N11425" s="273"/>
    </row>
    <row r="11426" spans="1:14" ht="12.75" customHeight="1" x14ac:dyDescent="0.25">
      <c r="A11426" s="393"/>
      <c r="B11426" s="271"/>
      <c r="C11426" s="271"/>
      <c r="D11426" s="271"/>
      <c r="E11426" s="271"/>
      <c r="F11426" s="271"/>
      <c r="G11426" s="273"/>
      <c r="H11426" s="29" t="str">
        <f>IF(A11426="","",VLOOKUP(A11426,AA_Cuadrillas,4,FALSE))</f>
        <v/>
      </c>
      <c r="I11426" s="394" t="str">
        <f>IF(A11426="","",VLOOKUP(A11426,AA_Cuadrillas,5,FALSE))</f>
        <v/>
      </c>
      <c r="J11426" s="273"/>
      <c r="K11426" s="9" t="str">
        <f>IF(A11426="","",F.P!$I$2)</f>
        <v/>
      </c>
      <c r="L11426" s="37"/>
      <c r="M11426" s="394" t="str">
        <f t="shared" si="1517"/>
        <v/>
      </c>
      <c r="N11426" s="273"/>
    </row>
    <row r="11427" spans="1:14" ht="12.75" customHeight="1" x14ac:dyDescent="0.25">
      <c r="A11427" s="4"/>
      <c r="B11427" s="4"/>
      <c r="C11427" s="4"/>
      <c r="D11427" s="4"/>
      <c r="E11427" s="4"/>
      <c r="F11427" s="4"/>
      <c r="G11427" s="4"/>
      <c r="H11427" s="4"/>
      <c r="I11427" s="4"/>
      <c r="J11427" s="4"/>
      <c r="K11427" s="396" t="s">
        <v>444</v>
      </c>
      <c r="L11427" s="273"/>
      <c r="M11427" s="394">
        <f>SUM(M11422:N11426)</f>
        <v>13166.768</v>
      </c>
      <c r="N11427" s="273"/>
    </row>
    <row r="11428" spans="1:14" ht="12.75" customHeight="1" x14ac:dyDescent="0.2"/>
    <row r="11429" spans="1:14" ht="12.75" customHeight="1" x14ac:dyDescent="0.2">
      <c r="A11429" s="407" t="s">
        <v>231</v>
      </c>
      <c r="B11429" s="275"/>
      <c r="C11429" s="275"/>
      <c r="D11429" s="275"/>
      <c r="E11429" s="275"/>
      <c r="F11429" s="275"/>
      <c r="G11429" s="275"/>
      <c r="H11429" s="275"/>
      <c r="I11429" s="275"/>
      <c r="J11429" s="275"/>
      <c r="K11429" s="275"/>
      <c r="L11429" s="275"/>
      <c r="M11429" s="275"/>
      <c r="N11429" s="276"/>
    </row>
    <row r="11430" spans="1:14" ht="12.75" customHeight="1" x14ac:dyDescent="0.2">
      <c r="A11430" s="277"/>
      <c r="B11430" s="278"/>
      <c r="C11430" s="278"/>
      <c r="D11430" s="278"/>
      <c r="E11430" s="278"/>
      <c r="F11430" s="278"/>
      <c r="G11430" s="278"/>
      <c r="H11430" s="278"/>
      <c r="I11430" s="278"/>
      <c r="J11430" s="278"/>
      <c r="K11430" s="278"/>
      <c r="L11430" s="278"/>
      <c r="M11430" s="278"/>
      <c r="N11430" s="279"/>
    </row>
    <row r="11431" spans="1:14" ht="12.75" customHeight="1" x14ac:dyDescent="0.2">
      <c r="A11431" s="75"/>
      <c r="B11431" s="75"/>
      <c r="C11431" s="75"/>
      <c r="D11431" s="75"/>
      <c r="E11431" s="75"/>
      <c r="F11431" s="75"/>
      <c r="G11431" s="75"/>
      <c r="H11431" s="75"/>
      <c r="I11431" s="75"/>
      <c r="J11431" s="75"/>
      <c r="K11431" s="75"/>
      <c r="L11431" s="75"/>
      <c r="M11431" s="75"/>
      <c r="N11431" s="75"/>
    </row>
    <row r="11432" spans="1:14" ht="12.75" customHeight="1" x14ac:dyDescent="0.3">
      <c r="A11432" s="79" t="s">
        <v>867</v>
      </c>
      <c r="B11432" s="80" t="str">
        <f>A11429</f>
        <v>SUMINISTRO E INSTALACIÓN DE VÁLVULA MARIPOSA Ø3" EN HIERRO DUCTIL (INCLUYE MATERIALES, HERRAMIENTAS Y MANO DE OBRA)</v>
      </c>
      <c r="C11432" s="81" t="s">
        <v>916</v>
      </c>
      <c r="D11432" s="82" t="s">
        <v>999</v>
      </c>
      <c r="E11432" s="83" t="s">
        <v>445</v>
      </c>
      <c r="F11432" s="86">
        <f>H11432+J11432+L11432+N11432</f>
        <v>206303.85640000002</v>
      </c>
      <c r="G11432" s="83" t="s">
        <v>607</v>
      </c>
      <c r="H11432" s="86">
        <f>M11451</f>
        <v>658.33840000000009</v>
      </c>
      <c r="I11432" s="83" t="s">
        <v>918</v>
      </c>
      <c r="J11432" s="86">
        <f>M11442</f>
        <v>192478.75</v>
      </c>
      <c r="K11432" s="83" t="s">
        <v>609</v>
      </c>
      <c r="L11432" s="86">
        <f>M11460</f>
        <v>0</v>
      </c>
      <c r="M11432" s="83" t="s">
        <v>610</v>
      </c>
      <c r="N11432" s="86">
        <f>M11469</f>
        <v>13166.768</v>
      </c>
    </row>
    <row r="11433" spans="1:14" ht="12.75" customHeight="1" x14ac:dyDescent="0.25">
      <c r="A11433" s="87"/>
      <c r="B11433" s="87"/>
      <c r="C11433" s="87"/>
      <c r="D11433" s="87"/>
      <c r="E11433" s="87"/>
      <c r="F11433" s="87"/>
      <c r="G11433" s="87"/>
      <c r="J11433" s="87"/>
      <c r="K11433" s="215" t="s">
        <v>3217</v>
      </c>
      <c r="L11433" s="215">
        <f>+F11432*presup!$O$5</f>
        <v>268195.01332000003</v>
      </c>
      <c r="M11433" s="87"/>
      <c r="N11433" s="87"/>
    </row>
    <row r="11434" spans="1:14" ht="12.75" customHeight="1" x14ac:dyDescent="0.2">
      <c r="A11434" s="398" t="s">
        <v>919</v>
      </c>
      <c r="B11434" s="271"/>
      <c r="C11434" s="271"/>
      <c r="D11434" s="271"/>
      <c r="E11434" s="271"/>
      <c r="F11434" s="271"/>
      <c r="G11434" s="271"/>
      <c r="H11434" s="271"/>
      <c r="I11434" s="271"/>
      <c r="J11434" s="271"/>
      <c r="K11434" s="271"/>
      <c r="L11434" s="271"/>
      <c r="M11434" s="271"/>
      <c r="N11434" s="273"/>
    </row>
    <row r="11435" spans="1:14" ht="12.75" customHeight="1" x14ac:dyDescent="0.2">
      <c r="A11435" s="396" t="s">
        <v>76</v>
      </c>
      <c r="B11435" s="271"/>
      <c r="C11435" s="271"/>
      <c r="D11435" s="271"/>
      <c r="E11435" s="271"/>
      <c r="F11435" s="271"/>
      <c r="G11435" s="273"/>
      <c r="H11435" s="88" t="s">
        <v>77</v>
      </c>
      <c r="I11435" s="399" t="s">
        <v>920</v>
      </c>
      <c r="J11435" s="273"/>
      <c r="K11435" s="399" t="s">
        <v>453</v>
      </c>
      <c r="L11435" s="273"/>
      <c r="M11435" s="399" t="s">
        <v>921</v>
      </c>
      <c r="N11435" s="273"/>
    </row>
    <row r="11436" spans="1:14" ht="12.75" customHeight="1" x14ac:dyDescent="0.2">
      <c r="A11436" s="403" t="s">
        <v>1525</v>
      </c>
      <c r="B11436" s="271"/>
      <c r="C11436" s="271"/>
      <c r="D11436" s="271"/>
      <c r="E11436" s="271"/>
      <c r="F11436" s="271"/>
      <c r="G11436" s="273"/>
      <c r="H11436" s="29" t="str">
        <f t="shared" ref="H11436:H11441" si="1518">IF(A11436="","",VLOOKUP(A11436,AA_Materiales,7,FALSE))</f>
        <v>Unidad</v>
      </c>
      <c r="I11436" s="394">
        <f t="shared" ref="I11436:I11441" si="1519">IF(A11436="","",VLOOKUP(A11436,AA_Materiales,8,FALSE))</f>
        <v>191352</v>
      </c>
      <c r="J11436" s="273"/>
      <c r="K11436" s="395">
        <v>1</v>
      </c>
      <c r="L11436" s="273"/>
      <c r="M11436" s="394">
        <f t="shared" ref="M11436:M11441" si="1520">IF(A11436="","",I11436*K11436)</f>
        <v>191352</v>
      </c>
      <c r="N11436" s="273"/>
    </row>
    <row r="11437" spans="1:14" ht="12.75" customHeight="1" x14ac:dyDescent="0.2">
      <c r="A11437" s="403" t="s">
        <v>1111</v>
      </c>
      <c r="B11437" s="271"/>
      <c r="C11437" s="271"/>
      <c r="D11437" s="271"/>
      <c r="E11437" s="271"/>
      <c r="F11437" s="271"/>
      <c r="G11437" s="273"/>
      <c r="H11437" s="29" t="str">
        <f t="shared" si="1518"/>
        <v>Unidad</v>
      </c>
      <c r="I11437" s="394">
        <f t="shared" si="1519"/>
        <v>22535</v>
      </c>
      <c r="J11437" s="273"/>
      <c r="K11437" s="395">
        <v>0.05</v>
      </c>
      <c r="L11437" s="273"/>
      <c r="M11437" s="394">
        <f t="shared" si="1520"/>
        <v>1126.75</v>
      </c>
      <c r="N11437" s="273"/>
    </row>
    <row r="11438" spans="1:14" ht="12.75" customHeight="1" x14ac:dyDescent="0.2">
      <c r="A11438" s="403"/>
      <c r="B11438" s="271"/>
      <c r="C11438" s="271"/>
      <c r="D11438" s="271"/>
      <c r="E11438" s="271"/>
      <c r="F11438" s="271"/>
      <c r="G11438" s="273"/>
      <c r="H11438" s="29" t="str">
        <f t="shared" si="1518"/>
        <v/>
      </c>
      <c r="I11438" s="394" t="str">
        <f t="shared" si="1519"/>
        <v/>
      </c>
      <c r="J11438" s="273"/>
      <c r="K11438" s="395"/>
      <c r="L11438" s="273"/>
      <c r="M11438" s="394" t="str">
        <f t="shared" si="1520"/>
        <v/>
      </c>
      <c r="N11438" s="273"/>
    </row>
    <row r="11439" spans="1:14" ht="12.75" customHeight="1" x14ac:dyDescent="0.2">
      <c r="A11439" s="403"/>
      <c r="B11439" s="271"/>
      <c r="C11439" s="271"/>
      <c r="D11439" s="271"/>
      <c r="E11439" s="271"/>
      <c r="F11439" s="271"/>
      <c r="G11439" s="273"/>
      <c r="H11439" s="29" t="str">
        <f t="shared" si="1518"/>
        <v/>
      </c>
      <c r="I11439" s="394" t="str">
        <f t="shared" si="1519"/>
        <v/>
      </c>
      <c r="J11439" s="273"/>
      <c r="K11439" s="395"/>
      <c r="L11439" s="273"/>
      <c r="M11439" s="394" t="str">
        <f t="shared" si="1520"/>
        <v/>
      </c>
      <c r="N11439" s="273"/>
    </row>
    <row r="11440" spans="1:14" ht="12.75" customHeight="1" x14ac:dyDescent="0.2">
      <c r="A11440" s="403"/>
      <c r="B11440" s="271"/>
      <c r="C11440" s="271"/>
      <c r="D11440" s="271"/>
      <c r="E11440" s="271"/>
      <c r="F11440" s="271"/>
      <c r="G11440" s="273"/>
      <c r="H11440" s="29" t="str">
        <f t="shared" si="1518"/>
        <v/>
      </c>
      <c r="I11440" s="394" t="str">
        <f t="shared" si="1519"/>
        <v/>
      </c>
      <c r="J11440" s="273"/>
      <c r="K11440" s="395"/>
      <c r="L11440" s="273"/>
      <c r="M11440" s="394" t="str">
        <f t="shared" si="1520"/>
        <v/>
      </c>
      <c r="N11440" s="273"/>
    </row>
    <row r="11441" spans="1:14" ht="12.75" customHeight="1" x14ac:dyDescent="0.2">
      <c r="A11441" s="403"/>
      <c r="B11441" s="271"/>
      <c r="C11441" s="271"/>
      <c r="D11441" s="271"/>
      <c r="E11441" s="271"/>
      <c r="F11441" s="271"/>
      <c r="G11441" s="273"/>
      <c r="H11441" s="29" t="str">
        <f t="shared" si="1518"/>
        <v/>
      </c>
      <c r="I11441" s="394" t="str">
        <f t="shared" si="1519"/>
        <v/>
      </c>
      <c r="J11441" s="273"/>
      <c r="K11441" s="395"/>
      <c r="L11441" s="273"/>
      <c r="M11441" s="394" t="str">
        <f t="shared" si="1520"/>
        <v/>
      </c>
      <c r="N11441" s="273"/>
    </row>
    <row r="11442" spans="1:14" ht="12.75" customHeight="1" x14ac:dyDescent="0.25">
      <c r="A11442" s="4"/>
      <c r="B11442" s="4"/>
      <c r="C11442" s="4"/>
      <c r="D11442" s="4"/>
      <c r="E11442" s="4"/>
      <c r="F11442" s="4"/>
      <c r="G11442" s="4"/>
      <c r="H11442" s="4"/>
      <c r="I11442" s="4"/>
      <c r="J11442" s="4"/>
      <c r="K11442" s="396" t="s">
        <v>444</v>
      </c>
      <c r="L11442" s="273"/>
      <c r="M11442" s="394">
        <f>SUM(M11436:N11441)</f>
        <v>192478.75</v>
      </c>
      <c r="N11442" s="273"/>
    </row>
    <row r="11443" spans="1:14" ht="12.75" customHeight="1" x14ac:dyDescent="0.25">
      <c r="A11443" s="4"/>
      <c r="B11443" s="4"/>
      <c r="C11443" s="4"/>
      <c r="D11443" s="4"/>
      <c r="E11443" s="4"/>
      <c r="F11443" s="4"/>
      <c r="G11443" s="4"/>
      <c r="H11443" s="4"/>
      <c r="I11443" s="4"/>
      <c r="J11443" s="4"/>
      <c r="K11443" s="4"/>
      <c r="L11443" s="4"/>
      <c r="M11443" s="4"/>
      <c r="N11443" s="4"/>
    </row>
    <row r="11444" spans="1:14" ht="12.75" customHeight="1" x14ac:dyDescent="0.2">
      <c r="A11444" s="398" t="s">
        <v>926</v>
      </c>
      <c r="B11444" s="271"/>
      <c r="C11444" s="271"/>
      <c r="D11444" s="271"/>
      <c r="E11444" s="271"/>
      <c r="F11444" s="271"/>
      <c r="G11444" s="271"/>
      <c r="H11444" s="271"/>
      <c r="I11444" s="271"/>
      <c r="J11444" s="271"/>
      <c r="K11444" s="271"/>
      <c r="L11444" s="271"/>
      <c r="M11444" s="271"/>
      <c r="N11444" s="273"/>
    </row>
    <row r="11445" spans="1:14" ht="12.75" customHeight="1" x14ac:dyDescent="0.2">
      <c r="A11445" s="396" t="s">
        <v>76</v>
      </c>
      <c r="B11445" s="271"/>
      <c r="C11445" s="271"/>
      <c r="D11445" s="271"/>
      <c r="E11445" s="271"/>
      <c r="F11445" s="271"/>
      <c r="G11445" s="273"/>
      <c r="H11445" s="88" t="s">
        <v>77</v>
      </c>
      <c r="I11445" s="399" t="s">
        <v>920</v>
      </c>
      <c r="J11445" s="273"/>
      <c r="K11445" s="399" t="s">
        <v>453</v>
      </c>
      <c r="L11445" s="273"/>
      <c r="M11445" s="399" t="s">
        <v>921</v>
      </c>
      <c r="N11445" s="273"/>
    </row>
    <row r="11446" spans="1:14" ht="12.75" customHeight="1" x14ac:dyDescent="0.2">
      <c r="A11446" s="400" t="s">
        <v>927</v>
      </c>
      <c r="B11446" s="271"/>
      <c r="C11446" s="271"/>
      <c r="D11446" s="271"/>
      <c r="E11446" s="271"/>
      <c r="F11446" s="271"/>
      <c r="G11446" s="273"/>
      <c r="H11446" s="29" t="str">
        <f>IF(A11446="","",VLOOKUP(A11446,AA_Equipos,7,FALSE))</f>
        <v>% M.O.</v>
      </c>
      <c r="I11446" s="394">
        <f>+M11469</f>
        <v>13166.768</v>
      </c>
      <c r="J11446" s="273"/>
      <c r="K11446" s="404">
        <v>0.05</v>
      </c>
      <c r="L11446" s="273"/>
      <c r="M11446" s="394">
        <f t="shared" ref="M11446:M11450" si="1521">IF(A11446="","",I11446*K11446)</f>
        <v>658.33840000000009</v>
      </c>
      <c r="N11446" s="273"/>
    </row>
    <row r="11447" spans="1:14" ht="12.75" customHeight="1" x14ac:dyDescent="0.2">
      <c r="A11447" s="403"/>
      <c r="B11447" s="271"/>
      <c r="C11447" s="271"/>
      <c r="D11447" s="271"/>
      <c r="E11447" s="271"/>
      <c r="F11447" s="271"/>
      <c r="G11447" s="273"/>
      <c r="H11447" s="29" t="str">
        <f>IF(A11447="","",VLOOKUP(A11447,AA_Equipos,7,FALSE))</f>
        <v/>
      </c>
      <c r="I11447" s="394" t="str">
        <f>IF(A11447="","",VLOOKUP(A11447,AA_Equipos,8,FALSE))</f>
        <v/>
      </c>
      <c r="J11447" s="273"/>
      <c r="K11447" s="402"/>
      <c r="L11447" s="273"/>
      <c r="M11447" s="394" t="str">
        <f t="shared" si="1521"/>
        <v/>
      </c>
      <c r="N11447" s="273"/>
    </row>
    <row r="11448" spans="1:14" ht="12.75" customHeight="1" x14ac:dyDescent="0.2">
      <c r="A11448" s="400"/>
      <c r="B11448" s="271"/>
      <c r="C11448" s="271"/>
      <c r="D11448" s="271"/>
      <c r="E11448" s="271"/>
      <c r="F11448" s="271"/>
      <c r="G11448" s="273"/>
      <c r="H11448" s="29" t="str">
        <f>IF(A11448="","",VLOOKUP(A11448,AA_Equipos,7,FALSE))</f>
        <v/>
      </c>
      <c r="I11448" s="394" t="str">
        <f>IF(A11448="","",VLOOKUP(A11448,AA_Equipos,8,FALSE))</f>
        <v/>
      </c>
      <c r="J11448" s="273"/>
      <c r="K11448" s="401"/>
      <c r="L11448" s="273"/>
      <c r="M11448" s="394" t="str">
        <f t="shared" si="1521"/>
        <v/>
      </c>
      <c r="N11448" s="273"/>
    </row>
    <row r="11449" spans="1:14" ht="12.75" customHeight="1" x14ac:dyDescent="0.2">
      <c r="A11449" s="400"/>
      <c r="B11449" s="271"/>
      <c r="C11449" s="271"/>
      <c r="D11449" s="271"/>
      <c r="E11449" s="271"/>
      <c r="F11449" s="271"/>
      <c r="G11449" s="273"/>
      <c r="H11449" s="29" t="str">
        <f>IF(A11449="","",VLOOKUP(A11449,AA_Equipos,7,FALSE))</f>
        <v/>
      </c>
      <c r="I11449" s="394" t="str">
        <f>IF(A11449="","",VLOOKUP(A11449,AA_Equipos,8,FALSE))</f>
        <v/>
      </c>
      <c r="J11449" s="273"/>
      <c r="K11449" s="395"/>
      <c r="L11449" s="273"/>
      <c r="M11449" s="394" t="str">
        <f t="shared" si="1521"/>
        <v/>
      </c>
      <c r="N11449" s="273"/>
    </row>
    <row r="11450" spans="1:14" ht="12.75" customHeight="1" x14ac:dyDescent="0.2">
      <c r="A11450" s="400"/>
      <c r="B11450" s="271"/>
      <c r="C11450" s="271"/>
      <c r="D11450" s="271"/>
      <c r="E11450" s="271"/>
      <c r="F11450" s="271"/>
      <c r="G11450" s="273"/>
      <c r="H11450" s="29" t="str">
        <f>IF(A11450="","",VLOOKUP(A11450,AA_Equipos,7,FALSE))</f>
        <v/>
      </c>
      <c r="I11450" s="394" t="str">
        <f>IF(A11450="","",VLOOKUP(A11450,AA_Equipos,8,FALSE))</f>
        <v/>
      </c>
      <c r="J11450" s="273"/>
      <c r="K11450" s="395"/>
      <c r="L11450" s="273"/>
      <c r="M11450" s="394" t="str">
        <f t="shared" si="1521"/>
        <v/>
      </c>
      <c r="N11450" s="273"/>
    </row>
    <row r="11451" spans="1:14" ht="12.75" customHeight="1" x14ac:dyDescent="0.25">
      <c r="A11451" s="4"/>
      <c r="B11451" s="4"/>
      <c r="C11451" s="4"/>
      <c r="D11451" s="4"/>
      <c r="E11451" s="4"/>
      <c r="F11451" s="4"/>
      <c r="G11451" s="4"/>
      <c r="H11451" s="4"/>
      <c r="I11451" s="4"/>
      <c r="J11451" s="4"/>
      <c r="K11451" s="396" t="s">
        <v>444</v>
      </c>
      <c r="L11451" s="273"/>
      <c r="M11451" s="394">
        <f>SUM(M11446:N11450)</f>
        <v>658.33840000000009</v>
      </c>
      <c r="N11451" s="273"/>
    </row>
    <row r="11452" spans="1:14" ht="12.75" customHeight="1" x14ac:dyDescent="0.25">
      <c r="A11452" s="4"/>
      <c r="B11452" s="4"/>
      <c r="C11452" s="4"/>
      <c r="D11452" s="4"/>
      <c r="E11452" s="4"/>
      <c r="F11452" s="4"/>
      <c r="G11452" s="4"/>
      <c r="H11452" s="4"/>
      <c r="I11452" s="4"/>
      <c r="J11452" s="4"/>
      <c r="K11452" s="4"/>
      <c r="L11452" s="4"/>
      <c r="M11452" s="4"/>
      <c r="N11452" s="4"/>
    </row>
    <row r="11453" spans="1:14" ht="12.75" customHeight="1" x14ac:dyDescent="0.2">
      <c r="A11453" s="398" t="s">
        <v>929</v>
      </c>
      <c r="B11453" s="271"/>
      <c r="C11453" s="271"/>
      <c r="D11453" s="271"/>
      <c r="E11453" s="271"/>
      <c r="F11453" s="271"/>
      <c r="G11453" s="271"/>
      <c r="H11453" s="271"/>
      <c r="I11453" s="271"/>
      <c r="J11453" s="271"/>
      <c r="K11453" s="271"/>
      <c r="L11453" s="271"/>
      <c r="M11453" s="271"/>
      <c r="N11453" s="273"/>
    </row>
    <row r="11454" spans="1:14" ht="12.75" customHeight="1" x14ac:dyDescent="0.2">
      <c r="A11454" s="396" t="s">
        <v>76</v>
      </c>
      <c r="B11454" s="271"/>
      <c r="C11454" s="271"/>
      <c r="D11454" s="271"/>
      <c r="E11454" s="271"/>
      <c r="F11454" s="271"/>
      <c r="G11454" s="273"/>
      <c r="H11454" s="88" t="s">
        <v>77</v>
      </c>
      <c r="I11454" s="399" t="s">
        <v>920</v>
      </c>
      <c r="J11454" s="273"/>
      <c r="K11454" s="399" t="s">
        <v>453</v>
      </c>
      <c r="L11454" s="273"/>
      <c r="M11454" s="399" t="s">
        <v>921</v>
      </c>
      <c r="N11454" s="273"/>
    </row>
    <row r="11455" spans="1:14" ht="12.75" customHeight="1" x14ac:dyDescent="0.2">
      <c r="A11455" s="400" t="s">
        <v>966</v>
      </c>
      <c r="B11455" s="271"/>
      <c r="C11455" s="271"/>
      <c r="D11455" s="271"/>
      <c r="E11455" s="271"/>
      <c r="F11455" s="271"/>
      <c r="G11455" s="273"/>
      <c r="H11455" s="29"/>
      <c r="I11455" s="394"/>
      <c r="J11455" s="273"/>
      <c r="K11455" s="417"/>
      <c r="L11455" s="273"/>
      <c r="M11455" s="394">
        <f t="shared" ref="M11455:M11459" si="1522">IF(A11455="","",I11455*K11455)</f>
        <v>0</v>
      </c>
      <c r="N11455" s="273"/>
    </row>
    <row r="11456" spans="1:14" ht="12.75" customHeight="1" x14ac:dyDescent="0.2">
      <c r="A11456" s="403"/>
      <c r="B11456" s="271"/>
      <c r="C11456" s="271"/>
      <c r="D11456" s="271"/>
      <c r="E11456" s="271"/>
      <c r="F11456" s="271"/>
      <c r="G11456" s="273"/>
      <c r="H11456" s="29"/>
      <c r="I11456" s="394"/>
      <c r="J11456" s="273"/>
      <c r="K11456" s="404"/>
      <c r="L11456" s="273"/>
      <c r="M11456" s="394" t="str">
        <f t="shared" si="1522"/>
        <v/>
      </c>
      <c r="N11456" s="273"/>
    </row>
    <row r="11457" spans="1:14" ht="12.75" customHeight="1" x14ac:dyDescent="0.2">
      <c r="A11457" s="400"/>
      <c r="B11457" s="271"/>
      <c r="C11457" s="271"/>
      <c r="D11457" s="271"/>
      <c r="E11457" s="271"/>
      <c r="F11457" s="271"/>
      <c r="G11457" s="273"/>
      <c r="H11457" s="29"/>
      <c r="I11457" s="394"/>
      <c r="J11457" s="273"/>
      <c r="K11457" s="395"/>
      <c r="L11457" s="273"/>
      <c r="M11457" s="394" t="str">
        <f t="shared" si="1522"/>
        <v/>
      </c>
      <c r="N11457" s="273"/>
    </row>
    <row r="11458" spans="1:14" ht="12.75" customHeight="1" x14ac:dyDescent="0.2">
      <c r="A11458" s="400"/>
      <c r="B11458" s="271"/>
      <c r="C11458" s="271"/>
      <c r="D11458" s="271"/>
      <c r="E11458" s="271"/>
      <c r="F11458" s="271"/>
      <c r="G11458" s="273"/>
      <c r="H11458" s="29"/>
      <c r="I11458" s="394"/>
      <c r="J11458" s="273"/>
      <c r="K11458" s="395"/>
      <c r="L11458" s="273"/>
      <c r="M11458" s="394" t="str">
        <f t="shared" si="1522"/>
        <v/>
      </c>
      <c r="N11458" s="273"/>
    </row>
    <row r="11459" spans="1:14" ht="12.75" customHeight="1" x14ac:dyDescent="0.2">
      <c r="A11459" s="400"/>
      <c r="B11459" s="271"/>
      <c r="C11459" s="271"/>
      <c r="D11459" s="271"/>
      <c r="E11459" s="271"/>
      <c r="F11459" s="271"/>
      <c r="G11459" s="273"/>
      <c r="H11459" s="29"/>
      <c r="I11459" s="394"/>
      <c r="J11459" s="273"/>
      <c r="K11459" s="395"/>
      <c r="L11459" s="273"/>
      <c r="M11459" s="394" t="str">
        <f t="shared" si="1522"/>
        <v/>
      </c>
      <c r="N11459" s="273"/>
    </row>
    <row r="11460" spans="1:14" ht="12.75" customHeight="1" x14ac:dyDescent="0.25">
      <c r="A11460" s="4"/>
      <c r="B11460" s="4"/>
      <c r="C11460" s="4"/>
      <c r="D11460" s="4"/>
      <c r="E11460" s="4"/>
      <c r="F11460" s="4"/>
      <c r="G11460" s="4"/>
      <c r="H11460" s="4"/>
      <c r="I11460" s="4"/>
      <c r="J11460" s="4"/>
      <c r="K11460" s="396" t="s">
        <v>444</v>
      </c>
      <c r="L11460" s="273"/>
      <c r="M11460" s="394">
        <f>SUM(M11455:N11459)</f>
        <v>0</v>
      </c>
      <c r="N11460" s="273"/>
    </row>
    <row r="11461" spans="1:14" ht="12.75" customHeight="1" x14ac:dyDescent="0.25">
      <c r="A11461" s="4"/>
      <c r="B11461" s="4"/>
      <c r="C11461" s="4"/>
      <c r="D11461" s="4"/>
      <c r="E11461" s="4"/>
      <c r="F11461" s="4"/>
      <c r="G11461" s="4"/>
      <c r="H11461" s="4"/>
      <c r="I11461" s="4"/>
      <c r="J11461" s="4"/>
      <c r="K11461" s="4"/>
      <c r="L11461" s="4"/>
      <c r="M11461" s="4"/>
      <c r="N11461" s="4"/>
    </row>
    <row r="11462" spans="1:14" ht="12.75" customHeight="1" x14ac:dyDescent="0.2">
      <c r="A11462" s="398" t="s">
        <v>931</v>
      </c>
      <c r="B11462" s="271"/>
      <c r="C11462" s="271"/>
      <c r="D11462" s="271"/>
      <c r="E11462" s="271"/>
      <c r="F11462" s="271"/>
      <c r="G11462" s="271"/>
      <c r="H11462" s="271"/>
      <c r="I11462" s="271"/>
      <c r="J11462" s="271"/>
      <c r="K11462" s="271"/>
      <c r="L11462" s="271"/>
      <c r="M11462" s="271"/>
      <c r="N11462" s="273"/>
    </row>
    <row r="11463" spans="1:14" ht="12.75" customHeight="1" x14ac:dyDescent="0.2">
      <c r="A11463" s="396" t="s">
        <v>76</v>
      </c>
      <c r="B11463" s="271"/>
      <c r="C11463" s="271"/>
      <c r="D11463" s="271"/>
      <c r="E11463" s="271"/>
      <c r="F11463" s="271"/>
      <c r="G11463" s="273"/>
      <c r="H11463" s="88" t="s">
        <v>77</v>
      </c>
      <c r="I11463" s="399" t="s">
        <v>920</v>
      </c>
      <c r="J11463" s="273"/>
      <c r="K11463" s="90" t="s">
        <v>514</v>
      </c>
      <c r="L11463" s="91" t="s">
        <v>932</v>
      </c>
      <c r="M11463" s="399" t="s">
        <v>921</v>
      </c>
      <c r="N11463" s="273"/>
    </row>
    <row r="11464" spans="1:14" ht="12.75" customHeight="1" x14ac:dyDescent="0.25">
      <c r="A11464" s="393" t="s">
        <v>979</v>
      </c>
      <c r="B11464" s="271"/>
      <c r="C11464" s="271"/>
      <c r="D11464" s="271"/>
      <c r="E11464" s="271"/>
      <c r="F11464" s="271"/>
      <c r="G11464" s="273"/>
      <c r="H11464" s="29" t="str">
        <f>IF(A11464="","",VLOOKUP(A11464,AA_Cuadrillas,4,FALSE))</f>
        <v>Cuadrilla</v>
      </c>
      <c r="I11464" s="394">
        <f>IF(A11464="","",VLOOKUP(A11464,AA_Cuadrillas,5,FALSE))</f>
        <v>140072</v>
      </c>
      <c r="J11464" s="273"/>
      <c r="K11464" s="9">
        <f>IF(A11464="","",F.P!$I$2)</f>
        <v>1.88</v>
      </c>
      <c r="L11464" s="97">
        <v>0.05</v>
      </c>
      <c r="M11464" s="394">
        <f t="shared" ref="M11464:M11468" si="1523">IF(A11464="","",I11464*K11464*L11464)</f>
        <v>13166.768</v>
      </c>
      <c r="N11464" s="273"/>
    </row>
    <row r="11465" spans="1:14" ht="12.75" customHeight="1" x14ac:dyDescent="0.25">
      <c r="A11465" s="393"/>
      <c r="B11465" s="271"/>
      <c r="C11465" s="271"/>
      <c r="D11465" s="271"/>
      <c r="E11465" s="271"/>
      <c r="F11465" s="271"/>
      <c r="G11465" s="273"/>
      <c r="H11465" s="29" t="str">
        <f>IF(A11465="","",VLOOKUP(A11465,AA_Cuadrillas,4,FALSE))</f>
        <v/>
      </c>
      <c r="I11465" s="394" t="str">
        <f>IF(A11465="","",VLOOKUP(A11465,AA_Cuadrillas,5,FALSE))</f>
        <v/>
      </c>
      <c r="J11465" s="273"/>
      <c r="K11465" s="9" t="str">
        <f>IF(A11465="","",F.P!$I$2)</f>
        <v/>
      </c>
      <c r="L11465" s="9"/>
      <c r="M11465" s="394" t="str">
        <f t="shared" si="1523"/>
        <v/>
      </c>
      <c r="N11465" s="273"/>
    </row>
    <row r="11466" spans="1:14" ht="12.75" customHeight="1" x14ac:dyDescent="0.25">
      <c r="A11466" s="393"/>
      <c r="B11466" s="271"/>
      <c r="C11466" s="271"/>
      <c r="D11466" s="271"/>
      <c r="E11466" s="271"/>
      <c r="F11466" s="271"/>
      <c r="G11466" s="273"/>
      <c r="H11466" s="29" t="str">
        <f>IF(A11466="","",VLOOKUP(A11466,AA_Cuadrillas,4,FALSE))</f>
        <v/>
      </c>
      <c r="I11466" s="394" t="str">
        <f>IF(A11466="","",VLOOKUP(A11466,AA_Cuadrillas,5,FALSE))</f>
        <v/>
      </c>
      <c r="J11466" s="273"/>
      <c r="K11466" s="9" t="str">
        <f>IF(A11466="","",F.P!$I$2)</f>
        <v/>
      </c>
      <c r="L11466" s="37"/>
      <c r="M11466" s="394" t="str">
        <f t="shared" si="1523"/>
        <v/>
      </c>
      <c r="N11466" s="273"/>
    </row>
    <row r="11467" spans="1:14" ht="12.75" customHeight="1" x14ac:dyDescent="0.25">
      <c r="A11467" s="393"/>
      <c r="B11467" s="271"/>
      <c r="C11467" s="271"/>
      <c r="D11467" s="271"/>
      <c r="E11467" s="271"/>
      <c r="F11467" s="271"/>
      <c r="G11467" s="273"/>
      <c r="H11467" s="29" t="str">
        <f>IF(A11467="","",VLOOKUP(A11467,AA_Cuadrillas,4,FALSE))</f>
        <v/>
      </c>
      <c r="I11467" s="394" t="str">
        <f>IF(A11467="","",VLOOKUP(A11467,AA_Cuadrillas,5,FALSE))</f>
        <v/>
      </c>
      <c r="J11467" s="273"/>
      <c r="K11467" s="9" t="str">
        <f>IF(A11467="","",F.P!$I$2)</f>
        <v/>
      </c>
      <c r="L11467" s="37"/>
      <c r="M11467" s="394" t="str">
        <f t="shared" si="1523"/>
        <v/>
      </c>
      <c r="N11467" s="273"/>
    </row>
    <row r="11468" spans="1:14" ht="12.75" customHeight="1" x14ac:dyDescent="0.25">
      <c r="A11468" s="393"/>
      <c r="B11468" s="271"/>
      <c r="C11468" s="271"/>
      <c r="D11468" s="271"/>
      <c r="E11468" s="271"/>
      <c r="F11468" s="271"/>
      <c r="G11468" s="273"/>
      <c r="H11468" s="29" t="str">
        <f>IF(A11468="","",VLOOKUP(A11468,AA_Cuadrillas,4,FALSE))</f>
        <v/>
      </c>
      <c r="I11468" s="394" t="str">
        <f>IF(A11468="","",VLOOKUP(A11468,AA_Cuadrillas,5,FALSE))</f>
        <v/>
      </c>
      <c r="J11468" s="273"/>
      <c r="K11468" s="9" t="str">
        <f>IF(A11468="","",F.P!$I$2)</f>
        <v/>
      </c>
      <c r="L11468" s="37"/>
      <c r="M11468" s="394" t="str">
        <f t="shared" si="1523"/>
        <v/>
      </c>
      <c r="N11468" s="273"/>
    </row>
    <row r="11469" spans="1:14" ht="12.75" customHeight="1" x14ac:dyDescent="0.25">
      <c r="A11469" s="4"/>
      <c r="B11469" s="4"/>
      <c r="C11469" s="4"/>
      <c r="D11469" s="4"/>
      <c r="E11469" s="4"/>
      <c r="F11469" s="4"/>
      <c r="G11469" s="4"/>
      <c r="H11469" s="4"/>
      <c r="I11469" s="4"/>
      <c r="J11469" s="4"/>
      <c r="K11469" s="396" t="s">
        <v>444</v>
      </c>
      <c r="L11469" s="273"/>
      <c r="M11469" s="394">
        <f>SUM(M11464:N11468)</f>
        <v>13166.768</v>
      </c>
      <c r="N11469" s="273"/>
    </row>
    <row r="11470" spans="1:14" ht="12.75" customHeight="1" x14ac:dyDescent="0.2"/>
    <row r="11471" spans="1:14" ht="12.75" customHeight="1" x14ac:dyDescent="0.2">
      <c r="A11471" s="397" t="s">
        <v>232</v>
      </c>
      <c r="B11471" s="275"/>
      <c r="C11471" s="275"/>
      <c r="D11471" s="275"/>
      <c r="E11471" s="275"/>
      <c r="F11471" s="275"/>
      <c r="G11471" s="275"/>
      <c r="H11471" s="275"/>
      <c r="I11471" s="275"/>
      <c r="J11471" s="275"/>
      <c r="K11471" s="275"/>
      <c r="L11471" s="275"/>
      <c r="M11471" s="275"/>
      <c r="N11471" s="276"/>
    </row>
    <row r="11472" spans="1:14" ht="12.75" customHeight="1" x14ac:dyDescent="0.2">
      <c r="A11472" s="277"/>
      <c r="B11472" s="278"/>
      <c r="C11472" s="278"/>
      <c r="D11472" s="278"/>
      <c r="E11472" s="278"/>
      <c r="F11472" s="278"/>
      <c r="G11472" s="278"/>
      <c r="H11472" s="278"/>
      <c r="I11472" s="278"/>
      <c r="J11472" s="278"/>
      <c r="K11472" s="278"/>
      <c r="L11472" s="278"/>
      <c r="M11472" s="278"/>
      <c r="N11472" s="279"/>
    </row>
    <row r="11473" spans="1:14" ht="12.75" customHeight="1" x14ac:dyDescent="0.2">
      <c r="A11473" s="75"/>
      <c r="B11473" s="75"/>
      <c r="C11473" s="75"/>
      <c r="D11473" s="75"/>
      <c r="E11473" s="75"/>
      <c r="F11473" s="75"/>
      <c r="G11473" s="75"/>
      <c r="H11473" s="75"/>
      <c r="I11473" s="75"/>
      <c r="J11473" s="75"/>
      <c r="K11473" s="75"/>
      <c r="L11473" s="75"/>
      <c r="M11473" s="75"/>
      <c r="N11473" s="75"/>
    </row>
    <row r="11474" spans="1:14" ht="12.75" customHeight="1" x14ac:dyDescent="0.3">
      <c r="A11474" s="79" t="s">
        <v>868</v>
      </c>
      <c r="B11474" s="80" t="str">
        <f>A11471</f>
        <v>SUMINISTRO E INSTALACIÓN DE VÁLVULA COMPUERTA CON VOLANTE Ø4 EN HIERRO DUCTIL CON CAJA DE CONCRETO DE 0,80x0,80x0,80 M (INCLUYE CAJA PARA VÁLVULA, TAPA, MATERIALES, HERRAMIENTA MENOR Y MANO DE OBRA)</v>
      </c>
      <c r="C11474" s="81" t="s">
        <v>916</v>
      </c>
      <c r="D11474" s="82" t="s">
        <v>999</v>
      </c>
      <c r="E11474" s="83" t="s">
        <v>445</v>
      </c>
      <c r="F11474" s="234">
        <f>(H11474+J11474+L11474+N11474)*1.3</f>
        <v>3864165.0202706051</v>
      </c>
      <c r="G11474" s="83" t="s">
        <v>607</v>
      </c>
      <c r="H11474" s="86">
        <f>M11503</f>
        <v>5851.9073333333336</v>
      </c>
      <c r="I11474" s="83" t="s">
        <v>918</v>
      </c>
      <c r="J11474" s="86">
        <f>M11494</f>
        <v>2849544.5769773885</v>
      </c>
      <c r="K11474" s="83" t="s">
        <v>609</v>
      </c>
      <c r="L11474" s="86">
        <f>M11512</f>
        <v>0</v>
      </c>
      <c r="M11474" s="83" t="s">
        <v>610</v>
      </c>
      <c r="N11474" s="86">
        <f>M11521</f>
        <v>117038.14666666667</v>
      </c>
    </row>
    <row r="11475" spans="1:14" ht="12.75" customHeight="1" x14ac:dyDescent="0.25">
      <c r="A11475" s="87"/>
      <c r="B11475" s="87"/>
      <c r="C11475" s="87"/>
      <c r="D11475" s="87"/>
      <c r="E11475" s="87"/>
      <c r="F11475" s="87"/>
      <c r="G11475" s="87"/>
      <c r="J11475" s="87"/>
      <c r="K11475" s="215" t="s">
        <v>3217</v>
      </c>
      <c r="L11475" s="215"/>
      <c r="M11475" s="87"/>
      <c r="N11475" s="87"/>
    </row>
    <row r="11476" spans="1:14" ht="12.75" customHeight="1" x14ac:dyDescent="0.2">
      <c r="A11476" s="398" t="s">
        <v>919</v>
      </c>
      <c r="B11476" s="271"/>
      <c r="C11476" s="271"/>
      <c r="D11476" s="271"/>
      <c r="E11476" s="271"/>
      <c r="F11476" s="271"/>
      <c r="G11476" s="271"/>
      <c r="H11476" s="271"/>
      <c r="I11476" s="271"/>
      <c r="J11476" s="271"/>
      <c r="K11476" s="271"/>
      <c r="L11476" s="271"/>
      <c r="M11476" s="271"/>
      <c r="N11476" s="273"/>
    </row>
    <row r="11477" spans="1:14" ht="12.75" customHeight="1" x14ac:dyDescent="0.2">
      <c r="A11477" s="396" t="s">
        <v>76</v>
      </c>
      <c r="B11477" s="271"/>
      <c r="C11477" s="271"/>
      <c r="D11477" s="271"/>
      <c r="E11477" s="271"/>
      <c r="F11477" s="271"/>
      <c r="G11477" s="273"/>
      <c r="H11477" s="88" t="s">
        <v>77</v>
      </c>
      <c r="I11477" s="399" t="s">
        <v>920</v>
      </c>
      <c r="J11477" s="273"/>
      <c r="K11477" s="399" t="s">
        <v>453</v>
      </c>
      <c r="L11477" s="273"/>
      <c r="M11477" s="399" t="s">
        <v>921</v>
      </c>
      <c r="N11477" s="273"/>
    </row>
    <row r="11478" spans="1:14" ht="12.75" customHeight="1" x14ac:dyDescent="0.2">
      <c r="A11478" s="403" t="s">
        <v>1307</v>
      </c>
      <c r="B11478" s="271"/>
      <c r="C11478" s="271"/>
      <c r="D11478" s="271"/>
      <c r="E11478" s="271"/>
      <c r="F11478" s="271"/>
      <c r="G11478" s="273"/>
      <c r="H11478" s="29" t="str">
        <f t="shared" ref="H11478:H11493" si="1524">IF(A11478="","",VLOOKUP(A11478,AA_Materiales,7,FALSE))</f>
        <v>m2</v>
      </c>
      <c r="I11478" s="409">
        <f>'BASICOS SIN AIU '!F267</f>
        <v>4150.0217132000016</v>
      </c>
      <c r="J11478" s="410"/>
      <c r="K11478" s="395">
        <f>1.1*1.1</f>
        <v>1.2100000000000002</v>
      </c>
      <c r="L11478" s="273"/>
      <c r="M11478" s="394">
        <f t="shared" ref="M11478:M11493" si="1525">IF(A11478="","",I11478*K11478)</f>
        <v>5021.5262729720025</v>
      </c>
      <c r="N11478" s="273"/>
    </row>
    <row r="11479" spans="1:14" ht="12.75" customHeight="1" x14ac:dyDescent="0.2">
      <c r="A11479" s="403" t="s">
        <v>1308</v>
      </c>
      <c r="B11479" s="271"/>
      <c r="C11479" s="271"/>
      <c r="D11479" s="271"/>
      <c r="E11479" s="271"/>
      <c r="F11479" s="271"/>
      <c r="G11479" s="273"/>
      <c r="H11479" s="29" t="str">
        <f t="shared" si="1524"/>
        <v>m3</v>
      </c>
      <c r="I11479" s="409">
        <f>'BASICOS SIN AIU '!F4</f>
        <v>52660.488615999995</v>
      </c>
      <c r="J11479" s="410"/>
      <c r="K11479" s="395">
        <f>1.1*1.1*0.4</f>
        <v>0.4840000000000001</v>
      </c>
      <c r="L11479" s="273"/>
      <c r="M11479" s="394">
        <f t="shared" si="1525"/>
        <v>25487.676490144004</v>
      </c>
      <c r="N11479" s="273"/>
    </row>
    <row r="11480" spans="1:14" ht="27" customHeight="1" x14ac:dyDescent="0.2">
      <c r="A11480" s="403" t="s">
        <v>1309</v>
      </c>
      <c r="B11480" s="271"/>
      <c r="C11480" s="271"/>
      <c r="D11480" s="271"/>
      <c r="E11480" s="271"/>
      <c r="F11480" s="271"/>
      <c r="G11480" s="273"/>
      <c r="H11480" s="29" t="str">
        <f t="shared" si="1524"/>
        <v>m3</v>
      </c>
      <c r="I11480" s="409">
        <f>'BASICOS SIN AIU '!F47</f>
        <v>176301.78268129006</v>
      </c>
      <c r="J11480" s="410"/>
      <c r="K11480" s="395">
        <f>1.1*1.1*0.2</f>
        <v>0.24200000000000005</v>
      </c>
      <c r="L11480" s="273"/>
      <c r="M11480" s="394">
        <f t="shared" si="1525"/>
        <v>42665.031408872201</v>
      </c>
      <c r="N11480" s="273"/>
    </row>
    <row r="11481" spans="1:14" ht="12.75" customHeight="1" x14ac:dyDescent="0.2">
      <c r="A11481" s="403" t="s">
        <v>1545</v>
      </c>
      <c r="B11481" s="271"/>
      <c r="C11481" s="271"/>
      <c r="D11481" s="271"/>
      <c r="E11481" s="271"/>
      <c r="F11481" s="271"/>
      <c r="G11481" s="273"/>
      <c r="H11481" s="29" t="str">
        <f t="shared" si="1524"/>
        <v>m3</v>
      </c>
      <c r="I11481" s="409">
        <f>'BASICOS SIN AIU '!F351</f>
        <v>20787.034979999997</v>
      </c>
      <c r="J11481" s="410"/>
      <c r="K11481" s="395">
        <f>K11479</f>
        <v>0.4840000000000001</v>
      </c>
      <c r="L11481" s="273"/>
      <c r="M11481" s="394">
        <f t="shared" si="1525"/>
        <v>10060.924930320001</v>
      </c>
      <c r="N11481" s="273"/>
    </row>
    <row r="11482" spans="1:14" ht="12.75" customHeight="1" x14ac:dyDescent="0.2">
      <c r="A11482" s="403" t="s">
        <v>1310</v>
      </c>
      <c r="B11482" s="271"/>
      <c r="C11482" s="271"/>
      <c r="D11482" s="271"/>
      <c r="E11482" s="271"/>
      <c r="F11482" s="271"/>
      <c r="G11482" s="273"/>
      <c r="H11482" s="29" t="str">
        <f t="shared" si="1524"/>
        <v>m3</v>
      </c>
      <c r="I11482" s="409">
        <f t="shared" ref="I11482:I11493" si="1526">IF(A11482="","",VLOOKUP(A11482,AA_Materiales,8,FALSE))</f>
        <v>619876.4246790678</v>
      </c>
      <c r="J11482" s="410"/>
      <c r="K11482" s="395">
        <f>1.1*1.1*0.05</f>
        <v>6.0500000000000012E-2</v>
      </c>
      <c r="L11482" s="273"/>
      <c r="M11482" s="394">
        <f t="shared" si="1525"/>
        <v>37502.523693083611</v>
      </c>
      <c r="N11482" s="273"/>
    </row>
    <row r="11483" spans="1:14" ht="12.75" customHeight="1" x14ac:dyDescent="0.2">
      <c r="A11483" s="403" t="s">
        <v>1311</v>
      </c>
      <c r="B11483" s="271"/>
      <c r="C11483" s="271"/>
      <c r="D11483" s="271"/>
      <c r="E11483" s="271"/>
      <c r="F11483" s="271"/>
      <c r="G11483" s="273"/>
      <c r="H11483" s="29" t="str">
        <f t="shared" si="1524"/>
        <v>Kg</v>
      </c>
      <c r="I11483" s="409">
        <f>'BASICOS SIN AIU '!F309</f>
        <v>8006.0498787222223</v>
      </c>
      <c r="J11483" s="410"/>
      <c r="K11483" s="395">
        <f>(((0.8/0.2)+1)*4.2*0.996)*2</f>
        <v>41.832000000000001</v>
      </c>
      <c r="L11483" s="273"/>
      <c r="M11483" s="394">
        <f t="shared" si="1525"/>
        <v>334909.07852670801</v>
      </c>
      <c r="N11483" s="273"/>
    </row>
    <row r="11484" spans="1:14" ht="12.75" customHeight="1" x14ac:dyDescent="0.2">
      <c r="A11484" s="403" t="s">
        <v>1462</v>
      </c>
      <c r="B11484" s="271"/>
      <c r="C11484" s="271"/>
      <c r="D11484" s="271"/>
      <c r="E11484" s="271"/>
      <c r="F11484" s="271"/>
      <c r="G11484" s="273"/>
      <c r="H11484" s="29" t="str">
        <f t="shared" si="1524"/>
        <v>m3</v>
      </c>
      <c r="I11484" s="409">
        <f t="shared" si="1526"/>
        <v>844782.11970906786</v>
      </c>
      <c r="J11484" s="410"/>
      <c r="K11484" s="395">
        <f>1.1*1.1*0.15</f>
        <v>0.18150000000000002</v>
      </c>
      <c r="L11484" s="273"/>
      <c r="M11484" s="394">
        <f t="shared" si="1525"/>
        <v>153327.95472719584</v>
      </c>
      <c r="N11484" s="273"/>
    </row>
    <row r="11485" spans="1:14" ht="12.75" customHeight="1" x14ac:dyDescent="0.2">
      <c r="A11485" s="403" t="s">
        <v>1463</v>
      </c>
      <c r="B11485" s="271"/>
      <c r="C11485" s="271"/>
      <c r="D11485" s="271"/>
      <c r="E11485" s="271"/>
      <c r="F11485" s="271"/>
      <c r="G11485" s="273"/>
      <c r="H11485" s="29" t="str">
        <f t="shared" si="1524"/>
        <v>m3</v>
      </c>
      <c r="I11485" s="409">
        <f>'BASICOS SIN AIU '!F394</f>
        <v>935642.83752499998</v>
      </c>
      <c r="J11485" s="410"/>
      <c r="K11485" s="395">
        <f>(0.8*4)*0.15*0.8</f>
        <v>0.38400000000000001</v>
      </c>
      <c r="L11485" s="273"/>
      <c r="M11485" s="394">
        <f t="shared" si="1525"/>
        <v>359286.84960959997</v>
      </c>
      <c r="N11485" s="273"/>
    </row>
    <row r="11486" spans="1:14" ht="12.75" customHeight="1" x14ac:dyDescent="0.2">
      <c r="A11486" s="403" t="s">
        <v>1546</v>
      </c>
      <c r="B11486" s="271"/>
      <c r="C11486" s="271"/>
      <c r="D11486" s="271"/>
      <c r="E11486" s="271"/>
      <c r="F11486" s="271"/>
      <c r="G11486" s="273"/>
      <c r="H11486" s="29" t="str">
        <f t="shared" si="1524"/>
        <v>m3</v>
      </c>
      <c r="I11486" s="409">
        <f>'BASICOS SIN AIU '!F659</f>
        <v>742349.32467906782</v>
      </c>
      <c r="J11486" s="410"/>
      <c r="K11486" s="395">
        <f>0.5*0.5*0.1</f>
        <v>2.5000000000000001E-2</v>
      </c>
      <c r="L11486" s="273"/>
      <c r="M11486" s="394">
        <f t="shared" si="1525"/>
        <v>18558.733116976695</v>
      </c>
      <c r="N11486" s="273"/>
    </row>
    <row r="11487" spans="1:14" ht="12.75" customHeight="1" x14ac:dyDescent="0.2">
      <c r="A11487" s="403" t="s">
        <v>1371</v>
      </c>
      <c r="B11487" s="271"/>
      <c r="C11487" s="271"/>
      <c r="D11487" s="271"/>
      <c r="E11487" s="271"/>
      <c r="F11487" s="271"/>
      <c r="G11487" s="273"/>
      <c r="H11487" s="29" t="str">
        <f t="shared" si="1524"/>
        <v>m3</v>
      </c>
      <c r="I11487" s="409">
        <f>'BASICOS SIN AIU '!F486</f>
        <v>909113.4069229567</v>
      </c>
      <c r="J11487" s="410"/>
      <c r="K11487" s="395">
        <f>1.1*1.1*0.15</f>
        <v>0.18150000000000002</v>
      </c>
      <c r="L11487" s="273"/>
      <c r="M11487" s="394">
        <f t="shared" si="1525"/>
        <v>165004.08335651667</v>
      </c>
      <c r="N11487" s="273"/>
    </row>
    <row r="11488" spans="1:14" ht="12.75" customHeight="1" x14ac:dyDescent="0.2">
      <c r="A11488" s="403" t="s">
        <v>1081</v>
      </c>
      <c r="B11488" s="271"/>
      <c r="C11488" s="271"/>
      <c r="D11488" s="271"/>
      <c r="E11488" s="271"/>
      <c r="F11488" s="271"/>
      <c r="G11488" s="273"/>
      <c r="H11488" s="29" t="str">
        <f t="shared" si="1524"/>
        <v>Unidad</v>
      </c>
      <c r="I11488" s="394">
        <f t="shared" si="1526"/>
        <v>1158000</v>
      </c>
      <c r="J11488" s="273"/>
      <c r="K11488" s="395">
        <v>1</v>
      </c>
      <c r="L11488" s="273"/>
      <c r="M11488" s="394">
        <f t="shared" si="1525"/>
        <v>1158000</v>
      </c>
      <c r="N11488" s="273"/>
    </row>
    <row r="11489" spans="1:14" ht="12.75" customHeight="1" x14ac:dyDescent="0.2">
      <c r="A11489" s="403" t="s">
        <v>1547</v>
      </c>
      <c r="B11489" s="271"/>
      <c r="C11489" s="271"/>
      <c r="D11489" s="271"/>
      <c r="E11489" s="271"/>
      <c r="F11489" s="271"/>
      <c r="G11489" s="273"/>
      <c r="H11489" s="29" t="str">
        <f t="shared" si="1524"/>
        <v>Unidad</v>
      </c>
      <c r="I11489" s="394">
        <f t="shared" si="1526"/>
        <v>539720.19484499993</v>
      </c>
      <c r="J11489" s="273"/>
      <c r="K11489" s="395">
        <v>1</v>
      </c>
      <c r="L11489" s="273"/>
      <c r="M11489" s="394">
        <f t="shared" si="1525"/>
        <v>539720.19484499993</v>
      </c>
      <c r="N11489" s="273"/>
    </row>
    <row r="11490" spans="1:14" ht="12.75" customHeight="1" x14ac:dyDescent="0.2">
      <c r="A11490" s="403"/>
      <c r="B11490" s="271"/>
      <c r="C11490" s="271"/>
      <c r="D11490" s="271"/>
      <c r="E11490" s="271"/>
      <c r="F11490" s="271"/>
      <c r="G11490" s="273"/>
      <c r="H11490" s="29" t="str">
        <f t="shared" si="1524"/>
        <v/>
      </c>
      <c r="I11490" s="394" t="str">
        <f t="shared" si="1526"/>
        <v/>
      </c>
      <c r="J11490" s="273"/>
      <c r="K11490" s="395"/>
      <c r="L11490" s="273"/>
      <c r="M11490" s="394" t="str">
        <f t="shared" si="1525"/>
        <v/>
      </c>
      <c r="N11490" s="273"/>
    </row>
    <row r="11491" spans="1:14" ht="12.75" customHeight="1" x14ac:dyDescent="0.2">
      <c r="A11491" s="403"/>
      <c r="B11491" s="271"/>
      <c r="C11491" s="271"/>
      <c r="D11491" s="271"/>
      <c r="E11491" s="271"/>
      <c r="F11491" s="271"/>
      <c r="G11491" s="273"/>
      <c r="H11491" s="29" t="str">
        <f t="shared" si="1524"/>
        <v/>
      </c>
      <c r="I11491" s="394" t="str">
        <f t="shared" si="1526"/>
        <v/>
      </c>
      <c r="J11491" s="273"/>
      <c r="K11491" s="395"/>
      <c r="L11491" s="273"/>
      <c r="M11491" s="394" t="str">
        <f t="shared" si="1525"/>
        <v/>
      </c>
      <c r="N11491" s="273"/>
    </row>
    <row r="11492" spans="1:14" ht="12.75" customHeight="1" x14ac:dyDescent="0.2">
      <c r="A11492" s="403"/>
      <c r="B11492" s="271"/>
      <c r="C11492" s="271"/>
      <c r="D11492" s="271"/>
      <c r="E11492" s="271"/>
      <c r="F11492" s="271"/>
      <c r="G11492" s="273"/>
      <c r="H11492" s="29" t="str">
        <f t="shared" si="1524"/>
        <v/>
      </c>
      <c r="I11492" s="394" t="str">
        <f t="shared" si="1526"/>
        <v/>
      </c>
      <c r="J11492" s="273"/>
      <c r="K11492" s="395"/>
      <c r="L11492" s="273"/>
      <c r="M11492" s="394" t="str">
        <f t="shared" si="1525"/>
        <v/>
      </c>
      <c r="N11492" s="273"/>
    </row>
    <row r="11493" spans="1:14" ht="12.75" customHeight="1" x14ac:dyDescent="0.2">
      <c r="A11493" s="403"/>
      <c r="B11493" s="271"/>
      <c r="C11493" s="271"/>
      <c r="D11493" s="271"/>
      <c r="E11493" s="271"/>
      <c r="F11493" s="271"/>
      <c r="G11493" s="273"/>
      <c r="H11493" s="29" t="str">
        <f t="shared" si="1524"/>
        <v/>
      </c>
      <c r="I11493" s="394" t="str">
        <f t="shared" si="1526"/>
        <v/>
      </c>
      <c r="J11493" s="273"/>
      <c r="K11493" s="395"/>
      <c r="L11493" s="273"/>
      <c r="M11493" s="394" t="str">
        <f t="shared" si="1525"/>
        <v/>
      </c>
      <c r="N11493" s="273"/>
    </row>
    <row r="11494" spans="1:14" ht="12.75" customHeight="1" x14ac:dyDescent="0.25">
      <c r="A11494" s="4"/>
      <c r="B11494" s="4"/>
      <c r="C11494" s="4"/>
      <c r="D11494" s="4"/>
      <c r="E11494" s="4"/>
      <c r="F11494" s="4"/>
      <c r="G11494" s="4"/>
      <c r="H11494" s="4"/>
      <c r="I11494" s="4"/>
      <c r="J11494" s="4"/>
      <c r="K11494" s="396" t="s">
        <v>444</v>
      </c>
      <c r="L11494" s="273"/>
      <c r="M11494" s="394">
        <f>SUM(M11478:N11493)</f>
        <v>2849544.5769773885</v>
      </c>
      <c r="N11494" s="273"/>
    </row>
    <row r="11495" spans="1:14" ht="12.75" customHeight="1" x14ac:dyDescent="0.25">
      <c r="A11495" s="4"/>
      <c r="B11495" s="4"/>
      <c r="C11495" s="4"/>
      <c r="D11495" s="4"/>
      <c r="E11495" s="4"/>
      <c r="F11495" s="4"/>
      <c r="G11495" s="4"/>
      <c r="H11495" s="4"/>
      <c r="I11495" s="4"/>
      <c r="J11495" s="4"/>
      <c r="K11495" s="4"/>
      <c r="L11495" s="4"/>
      <c r="M11495" s="4"/>
      <c r="N11495" s="4"/>
    </row>
    <row r="11496" spans="1:14" ht="12.75" customHeight="1" x14ac:dyDescent="0.2">
      <c r="A11496" s="398" t="s">
        <v>926</v>
      </c>
      <c r="B11496" s="271"/>
      <c r="C11496" s="271"/>
      <c r="D11496" s="271"/>
      <c r="E11496" s="271"/>
      <c r="F11496" s="271"/>
      <c r="G11496" s="271"/>
      <c r="H11496" s="271"/>
      <c r="I11496" s="271"/>
      <c r="J11496" s="271"/>
      <c r="K11496" s="271"/>
      <c r="L11496" s="271"/>
      <c r="M11496" s="271"/>
      <c r="N11496" s="273"/>
    </row>
    <row r="11497" spans="1:14" ht="12.75" customHeight="1" x14ac:dyDescent="0.2">
      <c r="A11497" s="396" t="s">
        <v>76</v>
      </c>
      <c r="B11497" s="271"/>
      <c r="C11497" s="271"/>
      <c r="D11497" s="271"/>
      <c r="E11497" s="271"/>
      <c r="F11497" s="271"/>
      <c r="G11497" s="273"/>
      <c r="H11497" s="88" t="s">
        <v>77</v>
      </c>
      <c r="I11497" s="399" t="s">
        <v>920</v>
      </c>
      <c r="J11497" s="273"/>
      <c r="K11497" s="399" t="s">
        <v>453</v>
      </c>
      <c r="L11497" s="273"/>
      <c r="M11497" s="399" t="s">
        <v>921</v>
      </c>
      <c r="N11497" s="273"/>
    </row>
    <row r="11498" spans="1:14" ht="12.75" customHeight="1" x14ac:dyDescent="0.2">
      <c r="A11498" s="400" t="s">
        <v>927</v>
      </c>
      <c r="B11498" s="271"/>
      <c r="C11498" s="271"/>
      <c r="D11498" s="271"/>
      <c r="E11498" s="271"/>
      <c r="F11498" s="271"/>
      <c r="G11498" s="273"/>
      <c r="H11498" s="29" t="str">
        <f>IF(A11498="","",VLOOKUP(A11498,AA_Equipos,7,FALSE))</f>
        <v>% M.O.</v>
      </c>
      <c r="I11498" s="394">
        <f>+M11521</f>
        <v>117038.14666666667</v>
      </c>
      <c r="J11498" s="273"/>
      <c r="K11498" s="404">
        <v>0.05</v>
      </c>
      <c r="L11498" s="273"/>
      <c r="M11498" s="394">
        <f t="shared" ref="M11498:M11502" si="1527">IF(A11498="","",I11498*K11498)</f>
        <v>5851.9073333333336</v>
      </c>
      <c r="N11498" s="273"/>
    </row>
    <row r="11499" spans="1:14" ht="12.75" customHeight="1" x14ac:dyDescent="0.2">
      <c r="A11499" s="403"/>
      <c r="B11499" s="271"/>
      <c r="C11499" s="271"/>
      <c r="D11499" s="271"/>
      <c r="E11499" s="271"/>
      <c r="F11499" s="271"/>
      <c r="G11499" s="273"/>
      <c r="H11499" s="29" t="str">
        <f>IF(A11499="","",VLOOKUP(A11499,AA_Equipos,7,FALSE))</f>
        <v/>
      </c>
      <c r="I11499" s="394" t="str">
        <f>IF(A11499="","",VLOOKUP(A11499,AA_Equipos,8,FALSE))</f>
        <v/>
      </c>
      <c r="J11499" s="273"/>
      <c r="K11499" s="402"/>
      <c r="L11499" s="273"/>
      <c r="M11499" s="394" t="str">
        <f t="shared" si="1527"/>
        <v/>
      </c>
      <c r="N11499" s="273"/>
    </row>
    <row r="11500" spans="1:14" ht="12.75" customHeight="1" x14ac:dyDescent="0.2">
      <c r="A11500" s="400"/>
      <c r="B11500" s="271"/>
      <c r="C11500" s="271"/>
      <c r="D11500" s="271"/>
      <c r="E11500" s="271"/>
      <c r="F11500" s="271"/>
      <c r="G11500" s="273"/>
      <c r="H11500" s="29" t="str">
        <f>IF(A11500="","",VLOOKUP(A11500,AA_Equipos,7,FALSE))</f>
        <v/>
      </c>
      <c r="I11500" s="394" t="str">
        <f>IF(A11500="","",VLOOKUP(A11500,AA_Equipos,8,FALSE))</f>
        <v/>
      </c>
      <c r="J11500" s="273"/>
      <c r="K11500" s="401"/>
      <c r="L11500" s="273"/>
      <c r="M11500" s="394" t="str">
        <f t="shared" si="1527"/>
        <v/>
      </c>
      <c r="N11500" s="273"/>
    </row>
    <row r="11501" spans="1:14" ht="12.75" customHeight="1" x14ac:dyDescent="0.2">
      <c r="A11501" s="400"/>
      <c r="B11501" s="271"/>
      <c r="C11501" s="271"/>
      <c r="D11501" s="271"/>
      <c r="E11501" s="271"/>
      <c r="F11501" s="271"/>
      <c r="G11501" s="273"/>
      <c r="H11501" s="29" t="str">
        <f>IF(A11501="","",VLOOKUP(A11501,AA_Equipos,7,FALSE))</f>
        <v/>
      </c>
      <c r="I11501" s="394" t="str">
        <f>IF(A11501="","",VLOOKUP(A11501,AA_Equipos,8,FALSE))</f>
        <v/>
      </c>
      <c r="J11501" s="273"/>
      <c r="K11501" s="395"/>
      <c r="L11501" s="273"/>
      <c r="M11501" s="394" t="str">
        <f t="shared" si="1527"/>
        <v/>
      </c>
      <c r="N11501" s="273"/>
    </row>
    <row r="11502" spans="1:14" ht="12.75" customHeight="1" x14ac:dyDescent="0.2">
      <c r="A11502" s="400"/>
      <c r="B11502" s="271"/>
      <c r="C11502" s="271"/>
      <c r="D11502" s="271"/>
      <c r="E11502" s="271"/>
      <c r="F11502" s="271"/>
      <c r="G11502" s="273"/>
      <c r="H11502" s="29" t="str">
        <f>IF(A11502="","",VLOOKUP(A11502,AA_Equipos,7,FALSE))</f>
        <v/>
      </c>
      <c r="I11502" s="394" t="str">
        <f>IF(A11502="","",VLOOKUP(A11502,AA_Equipos,8,FALSE))</f>
        <v/>
      </c>
      <c r="J11502" s="273"/>
      <c r="K11502" s="395"/>
      <c r="L11502" s="273"/>
      <c r="M11502" s="394" t="str">
        <f t="shared" si="1527"/>
        <v/>
      </c>
      <c r="N11502" s="273"/>
    </row>
    <row r="11503" spans="1:14" ht="12.75" customHeight="1" x14ac:dyDescent="0.25">
      <c r="A11503" s="4"/>
      <c r="B11503" s="4"/>
      <c r="C11503" s="4"/>
      <c r="D11503" s="4"/>
      <c r="E11503" s="4"/>
      <c r="F11503" s="4"/>
      <c r="G11503" s="4"/>
      <c r="H11503" s="4"/>
      <c r="I11503" s="4"/>
      <c r="J11503" s="4"/>
      <c r="K11503" s="396" t="s">
        <v>444</v>
      </c>
      <c r="L11503" s="273"/>
      <c r="M11503" s="394">
        <f>SUM(M11498:N11502)</f>
        <v>5851.9073333333336</v>
      </c>
      <c r="N11503" s="273"/>
    </row>
    <row r="11504" spans="1:14" ht="12.75" customHeight="1" x14ac:dyDescent="0.25">
      <c r="A11504" s="4"/>
      <c r="B11504" s="4"/>
      <c r="C11504" s="4"/>
      <c r="D11504" s="4"/>
      <c r="E11504" s="4"/>
      <c r="F11504" s="4"/>
      <c r="G11504" s="4"/>
      <c r="H11504" s="4"/>
      <c r="I11504" s="4"/>
      <c r="J11504" s="4"/>
      <c r="K11504" s="4"/>
      <c r="L11504" s="4"/>
      <c r="M11504" s="4"/>
      <c r="N11504" s="4"/>
    </row>
    <row r="11505" spans="1:14" ht="12.75" customHeight="1" x14ac:dyDescent="0.2">
      <c r="A11505" s="398" t="s">
        <v>929</v>
      </c>
      <c r="B11505" s="271"/>
      <c r="C11505" s="271"/>
      <c r="D11505" s="271"/>
      <c r="E11505" s="271"/>
      <c r="F11505" s="271"/>
      <c r="G11505" s="271"/>
      <c r="H11505" s="271"/>
      <c r="I11505" s="271"/>
      <c r="J11505" s="271"/>
      <c r="K11505" s="271"/>
      <c r="L11505" s="271"/>
      <c r="M11505" s="271"/>
      <c r="N11505" s="273"/>
    </row>
    <row r="11506" spans="1:14" ht="12.75" customHeight="1" x14ac:dyDescent="0.2">
      <c r="A11506" s="396" t="s">
        <v>76</v>
      </c>
      <c r="B11506" s="271"/>
      <c r="C11506" s="271"/>
      <c r="D11506" s="271"/>
      <c r="E11506" s="271"/>
      <c r="F11506" s="271"/>
      <c r="G11506" s="273"/>
      <c r="H11506" s="88" t="s">
        <v>77</v>
      </c>
      <c r="I11506" s="399" t="s">
        <v>920</v>
      </c>
      <c r="J11506" s="273"/>
      <c r="K11506" s="399" t="s">
        <v>453</v>
      </c>
      <c r="L11506" s="273"/>
      <c r="M11506" s="399" t="s">
        <v>921</v>
      </c>
      <c r="N11506" s="273"/>
    </row>
    <row r="11507" spans="1:14" ht="12.75" customHeight="1" x14ac:dyDescent="0.2">
      <c r="A11507" s="400"/>
      <c r="B11507" s="271"/>
      <c r="C11507" s="271"/>
      <c r="D11507" s="271"/>
      <c r="E11507" s="271"/>
      <c r="F11507" s="271"/>
      <c r="G11507" s="273"/>
      <c r="H11507" s="29"/>
      <c r="I11507" s="394"/>
      <c r="J11507" s="273"/>
      <c r="K11507" s="404"/>
      <c r="L11507" s="273"/>
      <c r="M11507" s="394" t="str">
        <f t="shared" ref="M11507:M11511" si="1528">IF(A11507="","",I11507*K11507)</f>
        <v/>
      </c>
      <c r="N11507" s="273"/>
    </row>
    <row r="11508" spans="1:14" ht="12.75" customHeight="1" x14ac:dyDescent="0.2">
      <c r="A11508" s="403"/>
      <c r="B11508" s="271"/>
      <c r="C11508" s="271"/>
      <c r="D11508" s="271"/>
      <c r="E11508" s="271"/>
      <c r="F11508" s="271"/>
      <c r="G11508" s="273"/>
      <c r="H11508" s="29"/>
      <c r="I11508" s="394"/>
      <c r="J11508" s="273"/>
      <c r="K11508" s="404"/>
      <c r="L11508" s="273"/>
      <c r="M11508" s="394" t="str">
        <f t="shared" si="1528"/>
        <v/>
      </c>
      <c r="N11508" s="273"/>
    </row>
    <row r="11509" spans="1:14" ht="12.75" customHeight="1" x14ac:dyDescent="0.2">
      <c r="A11509" s="400"/>
      <c r="B11509" s="271"/>
      <c r="C11509" s="271"/>
      <c r="D11509" s="271"/>
      <c r="E11509" s="271"/>
      <c r="F11509" s="271"/>
      <c r="G11509" s="273"/>
      <c r="H11509" s="29"/>
      <c r="I11509" s="394"/>
      <c r="J11509" s="273"/>
      <c r="K11509" s="395"/>
      <c r="L11509" s="273"/>
      <c r="M11509" s="394" t="str">
        <f t="shared" si="1528"/>
        <v/>
      </c>
      <c r="N11509" s="273"/>
    </row>
    <row r="11510" spans="1:14" ht="12.75" customHeight="1" x14ac:dyDescent="0.2">
      <c r="A11510" s="400"/>
      <c r="B11510" s="271"/>
      <c r="C11510" s="271"/>
      <c r="D11510" s="271"/>
      <c r="E11510" s="271"/>
      <c r="F11510" s="271"/>
      <c r="G11510" s="273"/>
      <c r="H11510" s="29"/>
      <c r="I11510" s="394"/>
      <c r="J11510" s="273"/>
      <c r="K11510" s="395"/>
      <c r="L11510" s="273"/>
      <c r="M11510" s="394" t="str">
        <f t="shared" si="1528"/>
        <v/>
      </c>
      <c r="N11510" s="273"/>
    </row>
    <row r="11511" spans="1:14" ht="12.75" customHeight="1" x14ac:dyDescent="0.2">
      <c r="A11511" s="400"/>
      <c r="B11511" s="271"/>
      <c r="C11511" s="271"/>
      <c r="D11511" s="271"/>
      <c r="E11511" s="271"/>
      <c r="F11511" s="271"/>
      <c r="G11511" s="273"/>
      <c r="H11511" s="29"/>
      <c r="I11511" s="394"/>
      <c r="J11511" s="273"/>
      <c r="K11511" s="395"/>
      <c r="L11511" s="273"/>
      <c r="M11511" s="394" t="str">
        <f t="shared" si="1528"/>
        <v/>
      </c>
      <c r="N11511" s="273"/>
    </row>
    <row r="11512" spans="1:14" ht="12.75" customHeight="1" x14ac:dyDescent="0.25">
      <c r="A11512" s="4"/>
      <c r="B11512" s="4"/>
      <c r="C11512" s="4"/>
      <c r="D11512" s="4"/>
      <c r="E11512" s="4"/>
      <c r="F11512" s="4"/>
      <c r="G11512" s="4"/>
      <c r="H11512" s="4"/>
      <c r="I11512" s="4"/>
      <c r="J11512" s="4"/>
      <c r="K11512" s="396" t="s">
        <v>444</v>
      </c>
      <c r="L11512" s="273"/>
      <c r="M11512" s="394">
        <f>SUM(M11507:N11511)</f>
        <v>0</v>
      </c>
      <c r="N11512" s="273"/>
    </row>
    <row r="11513" spans="1:14" ht="12.75" customHeight="1" x14ac:dyDescent="0.25">
      <c r="A11513" s="4"/>
      <c r="B11513" s="4"/>
      <c r="C11513" s="4"/>
      <c r="D11513" s="4"/>
      <c r="E11513" s="4"/>
      <c r="F11513" s="4"/>
      <c r="G11513" s="4"/>
      <c r="H11513" s="4"/>
      <c r="I11513" s="4"/>
      <c r="J11513" s="4"/>
      <c r="K11513" s="4"/>
      <c r="L11513" s="4"/>
      <c r="M11513" s="4"/>
      <c r="N11513" s="4"/>
    </row>
    <row r="11514" spans="1:14" ht="12.75" customHeight="1" x14ac:dyDescent="0.2">
      <c r="A11514" s="398" t="s">
        <v>931</v>
      </c>
      <c r="B11514" s="271"/>
      <c r="C11514" s="271"/>
      <c r="D11514" s="271"/>
      <c r="E11514" s="271"/>
      <c r="F11514" s="271"/>
      <c r="G11514" s="271"/>
      <c r="H11514" s="271"/>
      <c r="I11514" s="271"/>
      <c r="J11514" s="271"/>
      <c r="K11514" s="271"/>
      <c r="L11514" s="271"/>
      <c r="M11514" s="271"/>
      <c r="N11514" s="273"/>
    </row>
    <row r="11515" spans="1:14" ht="12.75" customHeight="1" x14ac:dyDescent="0.2">
      <c r="A11515" s="396" t="s">
        <v>76</v>
      </c>
      <c r="B11515" s="271"/>
      <c r="C11515" s="271"/>
      <c r="D11515" s="271"/>
      <c r="E11515" s="271"/>
      <c r="F11515" s="271"/>
      <c r="G11515" s="273"/>
      <c r="H11515" s="88" t="s">
        <v>77</v>
      </c>
      <c r="I11515" s="399" t="s">
        <v>920</v>
      </c>
      <c r="J11515" s="273"/>
      <c r="K11515" s="90" t="s">
        <v>514</v>
      </c>
      <c r="L11515" s="91" t="s">
        <v>932</v>
      </c>
      <c r="M11515" s="399" t="s">
        <v>921</v>
      </c>
      <c r="N11515" s="273"/>
    </row>
    <row r="11516" spans="1:14" ht="12.75" customHeight="1" x14ac:dyDescent="0.25">
      <c r="A11516" s="393" t="s">
        <v>986</v>
      </c>
      <c r="B11516" s="271"/>
      <c r="C11516" s="271"/>
      <c r="D11516" s="271"/>
      <c r="E11516" s="271"/>
      <c r="F11516" s="271"/>
      <c r="G11516" s="273"/>
      <c r="H11516" s="29" t="str">
        <f>IF(A11516="","",VLOOKUP(A11516,AA_Cuadrillas,4,FALSE))</f>
        <v>Cuadrilla</v>
      </c>
      <c r="I11516" s="394">
        <f>IF(A11516="","",VLOOKUP(A11516,AA_Cuadrillas,5,FALSE))</f>
        <v>186763</v>
      </c>
      <c r="J11516" s="273"/>
      <c r="K11516" s="9">
        <f>IF(A11516="","",F.P!$I$2)</f>
        <v>1.88</v>
      </c>
      <c r="L11516" s="97">
        <v>0.33333333333333331</v>
      </c>
      <c r="M11516" s="394">
        <f t="shared" ref="M11516:M11520" si="1529">IF(A11516="","",I11516*K11516*L11516)</f>
        <v>117038.14666666667</v>
      </c>
      <c r="N11516" s="273"/>
    </row>
    <row r="11517" spans="1:14" ht="12.75" customHeight="1" x14ac:dyDescent="0.25">
      <c r="A11517" s="393"/>
      <c r="B11517" s="271"/>
      <c r="C11517" s="271"/>
      <c r="D11517" s="271"/>
      <c r="E11517" s="271"/>
      <c r="F11517" s="271"/>
      <c r="G11517" s="273"/>
      <c r="H11517" s="29" t="str">
        <f>IF(A11517="","",VLOOKUP(A11517,AA_Cuadrillas,4,FALSE))</f>
        <v/>
      </c>
      <c r="I11517" s="394" t="str">
        <f>IF(A11517="","",VLOOKUP(A11517,AA_Cuadrillas,5,FALSE))</f>
        <v/>
      </c>
      <c r="J11517" s="273"/>
      <c r="K11517" s="9" t="str">
        <f>IF(A11517="","",F.P!$I$2)</f>
        <v/>
      </c>
      <c r="L11517" s="9"/>
      <c r="M11517" s="394" t="str">
        <f t="shared" si="1529"/>
        <v/>
      </c>
      <c r="N11517" s="273"/>
    </row>
    <row r="11518" spans="1:14" ht="12.75" customHeight="1" x14ac:dyDescent="0.25">
      <c r="A11518" s="393"/>
      <c r="B11518" s="271"/>
      <c r="C11518" s="271"/>
      <c r="D11518" s="271"/>
      <c r="E11518" s="271"/>
      <c r="F11518" s="271"/>
      <c r="G11518" s="273"/>
      <c r="H11518" s="29" t="str">
        <f>IF(A11518="","",VLOOKUP(A11518,AA_Cuadrillas,4,FALSE))</f>
        <v/>
      </c>
      <c r="I11518" s="394" t="str">
        <f>IF(A11518="","",VLOOKUP(A11518,AA_Cuadrillas,5,FALSE))</f>
        <v/>
      </c>
      <c r="J11518" s="273"/>
      <c r="K11518" s="9" t="str">
        <f>IF(A11518="","",F.P!$I$2)</f>
        <v/>
      </c>
      <c r="L11518" s="37"/>
      <c r="M11518" s="394" t="str">
        <f t="shared" si="1529"/>
        <v/>
      </c>
      <c r="N11518" s="273"/>
    </row>
    <row r="11519" spans="1:14" ht="12.75" customHeight="1" x14ac:dyDescent="0.25">
      <c r="A11519" s="393"/>
      <c r="B11519" s="271"/>
      <c r="C11519" s="271"/>
      <c r="D11519" s="271"/>
      <c r="E11519" s="271"/>
      <c r="F11519" s="271"/>
      <c r="G11519" s="273"/>
      <c r="H11519" s="29" t="str">
        <f>IF(A11519="","",VLOOKUP(A11519,AA_Cuadrillas,4,FALSE))</f>
        <v/>
      </c>
      <c r="I11519" s="394" t="str">
        <f>IF(A11519="","",VLOOKUP(A11519,AA_Cuadrillas,5,FALSE))</f>
        <v/>
      </c>
      <c r="J11519" s="273"/>
      <c r="K11519" s="9" t="str">
        <f>IF(A11519="","",F.P!$I$2)</f>
        <v/>
      </c>
      <c r="L11519" s="97"/>
      <c r="M11519" s="394" t="str">
        <f t="shared" si="1529"/>
        <v/>
      </c>
      <c r="N11519" s="273"/>
    </row>
    <row r="11520" spans="1:14" ht="12.75" customHeight="1" x14ac:dyDescent="0.25">
      <c r="A11520" s="393"/>
      <c r="B11520" s="271"/>
      <c r="C11520" s="271"/>
      <c r="D11520" s="271"/>
      <c r="E11520" s="271"/>
      <c r="F11520" s="271"/>
      <c r="G11520" s="273"/>
      <c r="H11520" s="29" t="str">
        <f>IF(A11520="","",VLOOKUP(A11520,AA_Cuadrillas,4,FALSE))</f>
        <v/>
      </c>
      <c r="I11520" s="394" t="str">
        <f>IF(A11520="","",VLOOKUP(A11520,AA_Cuadrillas,5,FALSE))</f>
        <v/>
      </c>
      <c r="J11520" s="273"/>
      <c r="K11520" s="9" t="str">
        <f>IF(A11520="","",F.P!$I$2)</f>
        <v/>
      </c>
      <c r="L11520" s="37"/>
      <c r="M11520" s="394" t="str">
        <f t="shared" si="1529"/>
        <v/>
      </c>
      <c r="N11520" s="273"/>
    </row>
    <row r="11521" spans="1:14" ht="12.75" customHeight="1" x14ac:dyDescent="0.25">
      <c r="A11521" s="4"/>
      <c r="B11521" s="4"/>
      <c r="C11521" s="4"/>
      <c r="D11521" s="4"/>
      <c r="E11521" s="4"/>
      <c r="F11521" s="4"/>
      <c r="G11521" s="4"/>
      <c r="H11521" s="4"/>
      <c r="I11521" s="4"/>
      <c r="J11521" s="4"/>
      <c r="K11521" s="396" t="s">
        <v>444</v>
      </c>
      <c r="L11521" s="273"/>
      <c r="M11521" s="394">
        <f>SUM(M11516:N11520)</f>
        <v>117038.14666666667</v>
      </c>
      <c r="N11521" s="273"/>
    </row>
    <row r="11522" spans="1:14" ht="12.75" customHeight="1" x14ac:dyDescent="0.2"/>
    <row r="11523" spans="1:14" ht="12.75" customHeight="1" x14ac:dyDescent="0.2">
      <c r="A11523" s="397" t="s">
        <v>233</v>
      </c>
      <c r="B11523" s="275"/>
      <c r="C11523" s="275"/>
      <c r="D11523" s="275"/>
      <c r="E11523" s="275"/>
      <c r="F11523" s="275"/>
      <c r="G11523" s="275"/>
      <c r="H11523" s="275"/>
      <c r="I11523" s="275"/>
      <c r="J11523" s="275"/>
      <c r="K11523" s="275"/>
      <c r="L11523" s="275"/>
      <c r="M11523" s="275"/>
      <c r="N11523" s="276"/>
    </row>
    <row r="11524" spans="1:14" ht="12.75" customHeight="1" x14ac:dyDescent="0.2">
      <c r="A11524" s="277"/>
      <c r="B11524" s="278"/>
      <c r="C11524" s="278"/>
      <c r="D11524" s="278"/>
      <c r="E11524" s="278"/>
      <c r="F11524" s="278"/>
      <c r="G11524" s="278"/>
      <c r="H11524" s="278"/>
      <c r="I11524" s="278"/>
      <c r="J11524" s="278"/>
      <c r="K11524" s="278"/>
      <c r="L11524" s="278"/>
      <c r="M11524" s="278"/>
      <c r="N11524" s="279"/>
    </row>
    <row r="11525" spans="1:14" ht="12.75" customHeight="1" x14ac:dyDescent="0.2">
      <c r="A11525" s="75"/>
      <c r="B11525" s="75"/>
      <c r="C11525" s="75"/>
      <c r="D11525" s="75"/>
      <c r="E11525" s="75"/>
      <c r="F11525" s="75"/>
      <c r="G11525" s="75"/>
      <c r="H11525" s="75"/>
      <c r="I11525" s="75"/>
      <c r="J11525" s="75"/>
      <c r="K11525" s="75"/>
      <c r="L11525" s="75"/>
      <c r="M11525" s="75"/>
      <c r="N11525" s="75"/>
    </row>
    <row r="11526" spans="1:14" ht="12.75" customHeight="1" x14ac:dyDescent="0.3">
      <c r="A11526" s="79" t="s">
        <v>869</v>
      </c>
      <c r="B11526" s="80" t="str">
        <f>A11523</f>
        <v>SUMINISTRO E INSTALACIÓN DE VÁLVULA COMPUERTA CON VOLANTE Ø3 EN HIERRO DUCTIL CON CAJA DE CONCRETO DE 0,80x0,80x0,80 M (INCLUYE CAJA PARA VÁLVULA, TAPA, MATERIALES, HERRAMIENTA MENOR Y MANO DE OBRA)</v>
      </c>
      <c r="C11526" s="81" t="s">
        <v>916</v>
      </c>
      <c r="D11526" s="82" t="s">
        <v>999</v>
      </c>
      <c r="E11526" s="83" t="s">
        <v>445</v>
      </c>
      <c r="F11526" s="86">
        <f>H11526+J11526+L11526+N11526</f>
        <v>3295648.6432020022</v>
      </c>
      <c r="G11526" s="83" t="s">
        <v>607</v>
      </c>
      <c r="H11526" s="86">
        <f>M11555</f>
        <v>5851.9073333333336</v>
      </c>
      <c r="I11526" s="83" t="s">
        <v>918</v>
      </c>
      <c r="J11526" s="86">
        <f>M11546</f>
        <v>3172758.5892020022</v>
      </c>
      <c r="K11526" s="83" t="s">
        <v>609</v>
      </c>
      <c r="L11526" s="86">
        <f>M11564</f>
        <v>0</v>
      </c>
      <c r="M11526" s="83" t="s">
        <v>610</v>
      </c>
      <c r="N11526" s="86">
        <f>M11573</f>
        <v>117038.14666666667</v>
      </c>
    </row>
    <row r="11527" spans="1:14" ht="12.75" customHeight="1" x14ac:dyDescent="0.25">
      <c r="A11527" s="87"/>
      <c r="B11527" s="87"/>
      <c r="C11527" s="87"/>
      <c r="D11527" s="87"/>
      <c r="E11527" s="87"/>
      <c r="F11527" s="87"/>
      <c r="G11527" s="87"/>
      <c r="J11527" s="87"/>
      <c r="K11527" s="215" t="s">
        <v>3217</v>
      </c>
      <c r="L11527" s="215">
        <f>+F11526*presup!$O$5</f>
        <v>4284343.2361626029</v>
      </c>
      <c r="M11527" s="87"/>
      <c r="N11527" s="87"/>
    </row>
    <row r="11528" spans="1:14" ht="12.75" customHeight="1" x14ac:dyDescent="0.2">
      <c r="A11528" s="398" t="s">
        <v>919</v>
      </c>
      <c r="B11528" s="271"/>
      <c r="C11528" s="271"/>
      <c r="D11528" s="271"/>
      <c r="E11528" s="271"/>
      <c r="F11528" s="271"/>
      <c r="G11528" s="271"/>
      <c r="H11528" s="271"/>
      <c r="I11528" s="271"/>
      <c r="J11528" s="271"/>
      <c r="K11528" s="271"/>
      <c r="L11528" s="271"/>
      <c r="M11528" s="271"/>
      <c r="N11528" s="273"/>
    </row>
    <row r="11529" spans="1:14" ht="12.75" customHeight="1" x14ac:dyDescent="0.2">
      <c r="A11529" s="396" t="s">
        <v>76</v>
      </c>
      <c r="B11529" s="271"/>
      <c r="C11529" s="271"/>
      <c r="D11529" s="271"/>
      <c r="E11529" s="271"/>
      <c r="F11529" s="271"/>
      <c r="G11529" s="273"/>
      <c r="H11529" s="88" t="s">
        <v>77</v>
      </c>
      <c r="I11529" s="399" t="s">
        <v>920</v>
      </c>
      <c r="J11529" s="273"/>
      <c r="K11529" s="399" t="s">
        <v>453</v>
      </c>
      <c r="L11529" s="273"/>
      <c r="M11529" s="399" t="s">
        <v>921</v>
      </c>
      <c r="N11529" s="273"/>
    </row>
    <row r="11530" spans="1:14" ht="12.75" customHeight="1" x14ac:dyDescent="0.2">
      <c r="A11530" s="403" t="s">
        <v>1307</v>
      </c>
      <c r="B11530" s="271"/>
      <c r="C11530" s="271"/>
      <c r="D11530" s="271"/>
      <c r="E11530" s="271"/>
      <c r="F11530" s="271"/>
      <c r="G11530" s="273"/>
      <c r="H11530" s="29" t="str">
        <f t="shared" ref="H11530:H11545" si="1530">IF(A11530="","",VLOOKUP(A11530,AA_Materiales,7,FALSE))</f>
        <v>m2</v>
      </c>
      <c r="I11530" s="394">
        <f t="shared" ref="I11530:I11545" si="1531">IF(A11530="","",VLOOKUP(A11530,AA_Materiales,8,FALSE))</f>
        <v>5395.0282271600026</v>
      </c>
      <c r="J11530" s="273"/>
      <c r="K11530" s="395">
        <f>1.1*1.1</f>
        <v>1.2100000000000002</v>
      </c>
      <c r="L11530" s="273"/>
      <c r="M11530" s="394">
        <f t="shared" ref="M11530:M11545" si="1532">IF(A11530="","",I11530*K11530)</f>
        <v>6527.9841548636041</v>
      </c>
      <c r="N11530" s="273"/>
    </row>
    <row r="11531" spans="1:14" ht="12.75" customHeight="1" x14ac:dyDescent="0.2">
      <c r="A11531" s="403" t="s">
        <v>1308</v>
      </c>
      <c r="B11531" s="271"/>
      <c r="C11531" s="271"/>
      <c r="D11531" s="271"/>
      <c r="E11531" s="271"/>
      <c r="F11531" s="271"/>
      <c r="G11531" s="273"/>
      <c r="H11531" s="29" t="str">
        <f t="shared" si="1530"/>
        <v>m3</v>
      </c>
      <c r="I11531" s="394">
        <f t="shared" si="1531"/>
        <v>68458.635200799996</v>
      </c>
      <c r="J11531" s="273"/>
      <c r="K11531" s="395">
        <f>1.1*1.1*0.4</f>
        <v>0.4840000000000001</v>
      </c>
      <c r="L11531" s="273"/>
      <c r="M11531" s="394">
        <f t="shared" si="1532"/>
        <v>33133.979437187205</v>
      </c>
      <c r="N11531" s="273"/>
    </row>
    <row r="11532" spans="1:14" ht="12.75" customHeight="1" x14ac:dyDescent="0.2">
      <c r="A11532" s="403" t="s">
        <v>1309</v>
      </c>
      <c r="B11532" s="271"/>
      <c r="C11532" s="271"/>
      <c r="D11532" s="271"/>
      <c r="E11532" s="271"/>
      <c r="F11532" s="271"/>
      <c r="G11532" s="273"/>
      <c r="H11532" s="29" t="str">
        <f t="shared" si="1530"/>
        <v>m3</v>
      </c>
      <c r="I11532" s="394">
        <f t="shared" si="1531"/>
        <v>229192.31748567708</v>
      </c>
      <c r="J11532" s="273"/>
      <c r="K11532" s="395">
        <f>1.1*1.1*0.2</f>
        <v>0.24200000000000005</v>
      </c>
      <c r="L11532" s="273"/>
      <c r="M11532" s="394">
        <f t="shared" si="1532"/>
        <v>55464.540831533865</v>
      </c>
      <c r="N11532" s="273"/>
    </row>
    <row r="11533" spans="1:14" ht="12.75" customHeight="1" x14ac:dyDescent="0.2">
      <c r="A11533" s="403" t="s">
        <v>1545</v>
      </c>
      <c r="B11533" s="271"/>
      <c r="C11533" s="271"/>
      <c r="D11533" s="271"/>
      <c r="E11533" s="271"/>
      <c r="F11533" s="271"/>
      <c r="G11533" s="273"/>
      <c r="H11533" s="29" t="str">
        <f t="shared" si="1530"/>
        <v>m3</v>
      </c>
      <c r="I11533" s="394">
        <f t="shared" si="1531"/>
        <v>27023.145473999997</v>
      </c>
      <c r="J11533" s="273"/>
      <c r="K11533" s="395">
        <f>K11531</f>
        <v>0.4840000000000001</v>
      </c>
      <c r="L11533" s="273"/>
      <c r="M11533" s="394">
        <f t="shared" si="1532"/>
        <v>13079.202409416001</v>
      </c>
      <c r="N11533" s="273"/>
    </row>
    <row r="11534" spans="1:14" ht="12.75" customHeight="1" x14ac:dyDescent="0.2">
      <c r="A11534" s="403" t="s">
        <v>1310</v>
      </c>
      <c r="B11534" s="271"/>
      <c r="C11534" s="271"/>
      <c r="D11534" s="271"/>
      <c r="E11534" s="271"/>
      <c r="F11534" s="271"/>
      <c r="G11534" s="273"/>
      <c r="H11534" s="29" t="str">
        <f t="shared" si="1530"/>
        <v>m3</v>
      </c>
      <c r="I11534" s="394">
        <f t="shared" si="1531"/>
        <v>619876.4246790678</v>
      </c>
      <c r="J11534" s="273"/>
      <c r="K11534" s="395">
        <f>1.1*1.1*0.05</f>
        <v>6.0500000000000012E-2</v>
      </c>
      <c r="L11534" s="273"/>
      <c r="M11534" s="394">
        <f t="shared" si="1532"/>
        <v>37502.523693083611</v>
      </c>
      <c r="N11534" s="273"/>
    </row>
    <row r="11535" spans="1:14" ht="12.75" customHeight="1" x14ac:dyDescent="0.2">
      <c r="A11535" s="403" t="s">
        <v>1311</v>
      </c>
      <c r="B11535" s="271"/>
      <c r="C11535" s="271"/>
      <c r="D11535" s="271"/>
      <c r="E11535" s="271"/>
      <c r="F11535" s="271"/>
      <c r="G11535" s="273"/>
      <c r="H11535" s="29" t="str">
        <f t="shared" si="1530"/>
        <v>Kg</v>
      </c>
      <c r="I11535" s="394">
        <f t="shared" si="1531"/>
        <v>10407.86484233889</v>
      </c>
      <c r="J11535" s="273"/>
      <c r="K11535" s="395">
        <f>(((0.8/0.2)+1)*4.2*0.996)*2</f>
        <v>41.832000000000001</v>
      </c>
      <c r="L11535" s="273"/>
      <c r="M11535" s="394">
        <f t="shared" si="1532"/>
        <v>435381.80208472046</v>
      </c>
      <c r="N11535" s="273"/>
    </row>
    <row r="11536" spans="1:14" ht="12.75" customHeight="1" x14ac:dyDescent="0.2">
      <c r="A11536" s="403" t="s">
        <v>1462</v>
      </c>
      <c r="B11536" s="271"/>
      <c r="C11536" s="271"/>
      <c r="D11536" s="271"/>
      <c r="E11536" s="271"/>
      <c r="F11536" s="271"/>
      <c r="G11536" s="273"/>
      <c r="H11536" s="29" t="str">
        <f t="shared" si="1530"/>
        <v>m3</v>
      </c>
      <c r="I11536" s="394">
        <f t="shared" si="1531"/>
        <v>844782.11970906786</v>
      </c>
      <c r="J11536" s="273"/>
      <c r="K11536" s="395">
        <f>1.1*1.1*0.15</f>
        <v>0.18150000000000002</v>
      </c>
      <c r="L11536" s="273"/>
      <c r="M11536" s="394">
        <f t="shared" si="1532"/>
        <v>153327.95472719584</v>
      </c>
      <c r="N11536" s="273"/>
    </row>
    <row r="11537" spans="1:14" ht="12.75" customHeight="1" x14ac:dyDescent="0.2">
      <c r="A11537" s="403" t="s">
        <v>1463</v>
      </c>
      <c r="B11537" s="271"/>
      <c r="C11537" s="271"/>
      <c r="D11537" s="271"/>
      <c r="E11537" s="271"/>
      <c r="F11537" s="271"/>
      <c r="G11537" s="273"/>
      <c r="H11537" s="29" t="str">
        <f t="shared" si="1530"/>
        <v>m3</v>
      </c>
      <c r="I11537" s="394">
        <f t="shared" si="1531"/>
        <v>1917601.7724229568</v>
      </c>
      <c r="J11537" s="273"/>
      <c r="K11537" s="395">
        <f>(0.8*4)*0.15*0.8</f>
        <v>0.38400000000000001</v>
      </c>
      <c r="L11537" s="273"/>
      <c r="M11537" s="394">
        <f t="shared" si="1532"/>
        <v>736359.08061041543</v>
      </c>
      <c r="N11537" s="273"/>
    </row>
    <row r="11538" spans="1:14" ht="12.75" customHeight="1" x14ac:dyDescent="0.2">
      <c r="A11538" s="403" t="s">
        <v>1546</v>
      </c>
      <c r="B11538" s="271"/>
      <c r="C11538" s="271"/>
      <c r="D11538" s="271"/>
      <c r="E11538" s="271"/>
      <c r="F11538" s="271"/>
      <c r="G11538" s="273"/>
      <c r="H11538" s="29" t="str">
        <f t="shared" si="1530"/>
        <v>m3</v>
      </c>
      <c r="I11538" s="394">
        <f t="shared" si="1531"/>
        <v>965054.12208278815</v>
      </c>
      <c r="J11538" s="273"/>
      <c r="K11538" s="395">
        <f>0.5*0.5*0.1</f>
        <v>2.5000000000000001E-2</v>
      </c>
      <c r="L11538" s="273"/>
      <c r="M11538" s="394">
        <f t="shared" si="1532"/>
        <v>24126.353052069706</v>
      </c>
      <c r="N11538" s="273"/>
    </row>
    <row r="11539" spans="1:14" ht="12.75" customHeight="1" x14ac:dyDescent="0.2">
      <c r="A11539" s="403" t="s">
        <v>1371</v>
      </c>
      <c r="B11539" s="271"/>
      <c r="C11539" s="271"/>
      <c r="D11539" s="271"/>
      <c r="E11539" s="271"/>
      <c r="F11539" s="271"/>
      <c r="G11539" s="273"/>
      <c r="H11539" s="29" t="str">
        <f t="shared" si="1530"/>
        <v>m3</v>
      </c>
      <c r="I11539" s="394">
        <f t="shared" si="1531"/>
        <v>1389173.4069229569</v>
      </c>
      <c r="J11539" s="273"/>
      <c r="K11539" s="395">
        <f>1.1*1.1*0.15</f>
        <v>0.18150000000000002</v>
      </c>
      <c r="L11539" s="273"/>
      <c r="M11539" s="394">
        <f t="shared" si="1532"/>
        <v>252134.97335651671</v>
      </c>
      <c r="N11539" s="273"/>
    </row>
    <row r="11540" spans="1:14" ht="12.75" customHeight="1" x14ac:dyDescent="0.2">
      <c r="A11540" s="403" t="s">
        <v>1135</v>
      </c>
      <c r="B11540" s="271"/>
      <c r="C11540" s="271"/>
      <c r="D11540" s="271"/>
      <c r="E11540" s="271"/>
      <c r="F11540" s="271"/>
      <c r="G11540" s="273"/>
      <c r="H11540" s="29" t="str">
        <f t="shared" si="1530"/>
        <v>Unidad</v>
      </c>
      <c r="I11540" s="394">
        <f t="shared" si="1531"/>
        <v>886000</v>
      </c>
      <c r="J11540" s="273"/>
      <c r="K11540" s="395">
        <v>1</v>
      </c>
      <c r="L11540" s="273"/>
      <c r="M11540" s="394">
        <f t="shared" si="1532"/>
        <v>886000</v>
      </c>
      <c r="N11540" s="273"/>
    </row>
    <row r="11541" spans="1:14" ht="12.75" customHeight="1" x14ac:dyDescent="0.2">
      <c r="A11541" s="403" t="s">
        <v>1547</v>
      </c>
      <c r="B11541" s="271"/>
      <c r="C11541" s="271"/>
      <c r="D11541" s="271"/>
      <c r="E11541" s="271"/>
      <c r="F11541" s="271"/>
      <c r="G11541" s="273"/>
      <c r="H11541" s="29" t="str">
        <f t="shared" si="1530"/>
        <v>Unidad</v>
      </c>
      <c r="I11541" s="394">
        <f t="shared" si="1531"/>
        <v>539720.19484499993</v>
      </c>
      <c r="J11541" s="273"/>
      <c r="K11541" s="395">
        <v>1</v>
      </c>
      <c r="L11541" s="273"/>
      <c r="M11541" s="394">
        <f t="shared" si="1532"/>
        <v>539720.19484499993</v>
      </c>
      <c r="N11541" s="273"/>
    </row>
    <row r="11542" spans="1:14" ht="12.75" customHeight="1" x14ac:dyDescent="0.2">
      <c r="A11542" s="403"/>
      <c r="B11542" s="271"/>
      <c r="C11542" s="271"/>
      <c r="D11542" s="271"/>
      <c r="E11542" s="271"/>
      <c r="F11542" s="271"/>
      <c r="G11542" s="273"/>
      <c r="H11542" s="29" t="str">
        <f t="shared" si="1530"/>
        <v/>
      </c>
      <c r="I11542" s="394" t="str">
        <f t="shared" si="1531"/>
        <v/>
      </c>
      <c r="J11542" s="273"/>
      <c r="K11542" s="395"/>
      <c r="L11542" s="273"/>
      <c r="M11542" s="394" t="str">
        <f t="shared" si="1532"/>
        <v/>
      </c>
      <c r="N11542" s="273"/>
    </row>
    <row r="11543" spans="1:14" ht="12.75" customHeight="1" x14ac:dyDescent="0.2">
      <c r="A11543" s="403"/>
      <c r="B11543" s="271"/>
      <c r="C11543" s="271"/>
      <c r="D11543" s="271"/>
      <c r="E11543" s="271"/>
      <c r="F11543" s="271"/>
      <c r="G11543" s="273"/>
      <c r="H11543" s="29" t="str">
        <f t="shared" si="1530"/>
        <v/>
      </c>
      <c r="I11543" s="394" t="str">
        <f t="shared" si="1531"/>
        <v/>
      </c>
      <c r="J11543" s="273"/>
      <c r="K11543" s="395"/>
      <c r="L11543" s="273"/>
      <c r="M11543" s="394" t="str">
        <f t="shared" si="1532"/>
        <v/>
      </c>
      <c r="N11543" s="273"/>
    </row>
    <row r="11544" spans="1:14" ht="12.75" customHeight="1" x14ac:dyDescent="0.2">
      <c r="A11544" s="403"/>
      <c r="B11544" s="271"/>
      <c r="C11544" s="271"/>
      <c r="D11544" s="271"/>
      <c r="E11544" s="271"/>
      <c r="F11544" s="271"/>
      <c r="G11544" s="273"/>
      <c r="H11544" s="29" t="str">
        <f t="shared" si="1530"/>
        <v/>
      </c>
      <c r="I11544" s="394" t="str">
        <f t="shared" si="1531"/>
        <v/>
      </c>
      <c r="J11544" s="273"/>
      <c r="K11544" s="395"/>
      <c r="L11544" s="273"/>
      <c r="M11544" s="394" t="str">
        <f t="shared" si="1532"/>
        <v/>
      </c>
      <c r="N11544" s="273"/>
    </row>
    <row r="11545" spans="1:14" ht="12.75" customHeight="1" x14ac:dyDescent="0.2">
      <c r="A11545" s="403"/>
      <c r="B11545" s="271"/>
      <c r="C11545" s="271"/>
      <c r="D11545" s="271"/>
      <c r="E11545" s="271"/>
      <c r="F11545" s="271"/>
      <c r="G11545" s="273"/>
      <c r="H11545" s="29" t="str">
        <f t="shared" si="1530"/>
        <v/>
      </c>
      <c r="I11545" s="394" t="str">
        <f t="shared" si="1531"/>
        <v/>
      </c>
      <c r="J11545" s="273"/>
      <c r="K11545" s="395"/>
      <c r="L11545" s="273"/>
      <c r="M11545" s="394" t="str">
        <f t="shared" si="1532"/>
        <v/>
      </c>
      <c r="N11545" s="273"/>
    </row>
    <row r="11546" spans="1:14" ht="12.75" customHeight="1" x14ac:dyDescent="0.25">
      <c r="A11546" s="4"/>
      <c r="B11546" s="4"/>
      <c r="C11546" s="4"/>
      <c r="D11546" s="4"/>
      <c r="E11546" s="4"/>
      <c r="F11546" s="4"/>
      <c r="G11546" s="4"/>
      <c r="H11546" s="4"/>
      <c r="I11546" s="4"/>
      <c r="J11546" s="4"/>
      <c r="K11546" s="396" t="s">
        <v>444</v>
      </c>
      <c r="L11546" s="273"/>
      <c r="M11546" s="394">
        <f>SUM(M11530:N11545)</f>
        <v>3172758.5892020022</v>
      </c>
      <c r="N11546" s="273"/>
    </row>
    <row r="11547" spans="1:14" ht="12.75" customHeight="1" x14ac:dyDescent="0.25">
      <c r="A11547" s="4"/>
      <c r="B11547" s="4"/>
      <c r="C11547" s="4"/>
      <c r="D11547" s="4"/>
      <c r="E11547" s="4"/>
      <c r="F11547" s="4"/>
      <c r="G11547" s="4"/>
      <c r="H11547" s="4"/>
      <c r="I11547" s="4"/>
      <c r="J11547" s="4"/>
      <c r="K11547" s="4"/>
      <c r="L11547" s="4"/>
      <c r="M11547" s="4"/>
      <c r="N11547" s="4"/>
    </row>
    <row r="11548" spans="1:14" ht="12.75" customHeight="1" x14ac:dyDescent="0.2">
      <c r="A11548" s="398" t="s">
        <v>926</v>
      </c>
      <c r="B11548" s="271"/>
      <c r="C11548" s="271"/>
      <c r="D11548" s="271"/>
      <c r="E11548" s="271"/>
      <c r="F11548" s="271"/>
      <c r="G11548" s="271"/>
      <c r="H11548" s="271"/>
      <c r="I11548" s="271"/>
      <c r="J11548" s="271"/>
      <c r="K11548" s="271"/>
      <c r="L11548" s="271"/>
      <c r="M11548" s="271"/>
      <c r="N11548" s="273"/>
    </row>
    <row r="11549" spans="1:14" ht="12.75" customHeight="1" x14ac:dyDescent="0.2">
      <c r="A11549" s="396" t="s">
        <v>76</v>
      </c>
      <c r="B11549" s="271"/>
      <c r="C11549" s="271"/>
      <c r="D11549" s="271"/>
      <c r="E11549" s="271"/>
      <c r="F11549" s="271"/>
      <c r="G11549" s="273"/>
      <c r="H11549" s="88" t="s">
        <v>77</v>
      </c>
      <c r="I11549" s="399" t="s">
        <v>920</v>
      </c>
      <c r="J11549" s="273"/>
      <c r="K11549" s="399" t="s">
        <v>453</v>
      </c>
      <c r="L11549" s="273"/>
      <c r="M11549" s="399" t="s">
        <v>921</v>
      </c>
      <c r="N11549" s="273"/>
    </row>
    <row r="11550" spans="1:14" ht="12.75" customHeight="1" x14ac:dyDescent="0.2">
      <c r="A11550" s="400" t="s">
        <v>927</v>
      </c>
      <c r="B11550" s="271"/>
      <c r="C11550" s="271"/>
      <c r="D11550" s="271"/>
      <c r="E11550" s="271"/>
      <c r="F11550" s="271"/>
      <c r="G11550" s="273"/>
      <c r="H11550" s="29" t="str">
        <f>IF(A11550="","",VLOOKUP(A11550,AA_Equipos,7,FALSE))</f>
        <v>% M.O.</v>
      </c>
      <c r="I11550" s="394">
        <f>+M11573</f>
        <v>117038.14666666667</v>
      </c>
      <c r="J11550" s="273"/>
      <c r="K11550" s="404">
        <v>0.05</v>
      </c>
      <c r="L11550" s="273"/>
      <c r="M11550" s="394">
        <f t="shared" ref="M11550:M11554" si="1533">IF(A11550="","",I11550*K11550)</f>
        <v>5851.9073333333336</v>
      </c>
      <c r="N11550" s="273"/>
    </row>
    <row r="11551" spans="1:14" ht="12.75" customHeight="1" x14ac:dyDescent="0.2">
      <c r="A11551" s="403"/>
      <c r="B11551" s="271"/>
      <c r="C11551" s="271"/>
      <c r="D11551" s="271"/>
      <c r="E11551" s="271"/>
      <c r="F11551" s="271"/>
      <c r="G11551" s="273"/>
      <c r="H11551" s="29" t="str">
        <f>IF(A11551="","",VLOOKUP(A11551,AA_Equipos,7,FALSE))</f>
        <v/>
      </c>
      <c r="I11551" s="394" t="str">
        <f>IF(A11551="","",VLOOKUP(A11551,AA_Equipos,8,FALSE))</f>
        <v/>
      </c>
      <c r="J11551" s="273"/>
      <c r="K11551" s="402"/>
      <c r="L11551" s="273"/>
      <c r="M11551" s="394" t="str">
        <f t="shared" si="1533"/>
        <v/>
      </c>
      <c r="N11551" s="273"/>
    </row>
    <row r="11552" spans="1:14" ht="12.75" customHeight="1" x14ac:dyDescent="0.2">
      <c r="A11552" s="400"/>
      <c r="B11552" s="271"/>
      <c r="C11552" s="271"/>
      <c r="D11552" s="271"/>
      <c r="E11552" s="271"/>
      <c r="F11552" s="271"/>
      <c r="G11552" s="273"/>
      <c r="H11552" s="29" t="str">
        <f>IF(A11552="","",VLOOKUP(A11552,AA_Equipos,7,FALSE))</f>
        <v/>
      </c>
      <c r="I11552" s="394" t="str">
        <f>IF(A11552="","",VLOOKUP(A11552,AA_Equipos,8,FALSE))</f>
        <v/>
      </c>
      <c r="J11552" s="273"/>
      <c r="K11552" s="401"/>
      <c r="L11552" s="273"/>
      <c r="M11552" s="394" t="str">
        <f t="shared" si="1533"/>
        <v/>
      </c>
      <c r="N11552" s="273"/>
    </row>
    <row r="11553" spans="1:14" ht="12.75" customHeight="1" x14ac:dyDescent="0.2">
      <c r="A11553" s="400"/>
      <c r="B11553" s="271"/>
      <c r="C11553" s="271"/>
      <c r="D11553" s="271"/>
      <c r="E11553" s="271"/>
      <c r="F11553" s="271"/>
      <c r="G11553" s="273"/>
      <c r="H11553" s="29" t="str">
        <f>IF(A11553="","",VLOOKUP(A11553,AA_Equipos,7,FALSE))</f>
        <v/>
      </c>
      <c r="I11553" s="394" t="str">
        <f>IF(A11553="","",VLOOKUP(A11553,AA_Equipos,8,FALSE))</f>
        <v/>
      </c>
      <c r="J11553" s="273"/>
      <c r="K11553" s="395"/>
      <c r="L11553" s="273"/>
      <c r="M11553" s="394" t="str">
        <f t="shared" si="1533"/>
        <v/>
      </c>
      <c r="N11553" s="273"/>
    </row>
    <row r="11554" spans="1:14" ht="12.75" customHeight="1" x14ac:dyDescent="0.2">
      <c r="A11554" s="400"/>
      <c r="B11554" s="271"/>
      <c r="C11554" s="271"/>
      <c r="D11554" s="271"/>
      <c r="E11554" s="271"/>
      <c r="F11554" s="271"/>
      <c r="G11554" s="273"/>
      <c r="H11554" s="29" t="str">
        <f>IF(A11554="","",VLOOKUP(A11554,AA_Equipos,7,FALSE))</f>
        <v/>
      </c>
      <c r="I11554" s="394" t="str">
        <f>IF(A11554="","",VLOOKUP(A11554,AA_Equipos,8,FALSE))</f>
        <v/>
      </c>
      <c r="J11554" s="273"/>
      <c r="K11554" s="395"/>
      <c r="L11554" s="273"/>
      <c r="M11554" s="394" t="str">
        <f t="shared" si="1533"/>
        <v/>
      </c>
      <c r="N11554" s="273"/>
    </row>
    <row r="11555" spans="1:14" ht="12.75" customHeight="1" x14ac:dyDescent="0.25">
      <c r="A11555" s="4"/>
      <c r="B11555" s="4"/>
      <c r="C11555" s="4"/>
      <c r="D11555" s="4"/>
      <c r="E11555" s="4"/>
      <c r="F11555" s="4"/>
      <c r="G11555" s="4"/>
      <c r="H11555" s="4"/>
      <c r="I11555" s="4"/>
      <c r="J11555" s="4"/>
      <c r="K11555" s="396" t="s">
        <v>444</v>
      </c>
      <c r="L11555" s="273"/>
      <c r="M11555" s="394">
        <f>SUM(M11550:N11554)</f>
        <v>5851.9073333333336</v>
      </c>
      <c r="N11555" s="273"/>
    </row>
    <row r="11556" spans="1:14" ht="12.75" customHeight="1" x14ac:dyDescent="0.25">
      <c r="A11556" s="4"/>
      <c r="B11556" s="4"/>
      <c r="C11556" s="4"/>
      <c r="D11556" s="4"/>
      <c r="E11556" s="4"/>
      <c r="F11556" s="4"/>
      <c r="G11556" s="4"/>
      <c r="H11556" s="4"/>
      <c r="I11556" s="4"/>
      <c r="J11556" s="4"/>
      <c r="K11556" s="4"/>
      <c r="L11556" s="4"/>
      <c r="M11556" s="4"/>
      <c r="N11556" s="4"/>
    </row>
    <row r="11557" spans="1:14" ht="12.75" customHeight="1" x14ac:dyDescent="0.2">
      <c r="A11557" s="398" t="s">
        <v>929</v>
      </c>
      <c r="B11557" s="271"/>
      <c r="C11557" s="271"/>
      <c r="D11557" s="271"/>
      <c r="E11557" s="271"/>
      <c r="F11557" s="271"/>
      <c r="G11557" s="271"/>
      <c r="H11557" s="271"/>
      <c r="I11557" s="271"/>
      <c r="J11557" s="271"/>
      <c r="K11557" s="271"/>
      <c r="L11557" s="271"/>
      <c r="M11557" s="271"/>
      <c r="N11557" s="273"/>
    </row>
    <row r="11558" spans="1:14" ht="12.75" customHeight="1" x14ac:dyDescent="0.2">
      <c r="A11558" s="396" t="s">
        <v>76</v>
      </c>
      <c r="B11558" s="271"/>
      <c r="C11558" s="271"/>
      <c r="D11558" s="271"/>
      <c r="E11558" s="271"/>
      <c r="F11558" s="271"/>
      <c r="G11558" s="273"/>
      <c r="H11558" s="88" t="s">
        <v>77</v>
      </c>
      <c r="I11558" s="399" t="s">
        <v>920</v>
      </c>
      <c r="J11558" s="273"/>
      <c r="K11558" s="399" t="s">
        <v>453</v>
      </c>
      <c r="L11558" s="273"/>
      <c r="M11558" s="399" t="s">
        <v>921</v>
      </c>
      <c r="N11558" s="273"/>
    </row>
    <row r="11559" spans="1:14" ht="12.75" customHeight="1" x14ac:dyDescent="0.2">
      <c r="A11559" s="400"/>
      <c r="B11559" s="271"/>
      <c r="C11559" s="271"/>
      <c r="D11559" s="271"/>
      <c r="E11559" s="271"/>
      <c r="F11559" s="271"/>
      <c r="G11559" s="273"/>
      <c r="H11559" s="29"/>
      <c r="I11559" s="394"/>
      <c r="J11559" s="273"/>
      <c r="K11559" s="404"/>
      <c r="L11559" s="273"/>
      <c r="M11559" s="394" t="str">
        <f t="shared" ref="M11559:M11563" si="1534">IF(A11559="","",I11559*K11559)</f>
        <v/>
      </c>
      <c r="N11559" s="273"/>
    </row>
    <row r="11560" spans="1:14" ht="12.75" customHeight="1" x14ac:dyDescent="0.2">
      <c r="A11560" s="403"/>
      <c r="B11560" s="271"/>
      <c r="C11560" s="271"/>
      <c r="D11560" s="271"/>
      <c r="E11560" s="271"/>
      <c r="F11560" s="271"/>
      <c r="G11560" s="273"/>
      <c r="H11560" s="29"/>
      <c r="I11560" s="394"/>
      <c r="J11560" s="273"/>
      <c r="K11560" s="404"/>
      <c r="L11560" s="273"/>
      <c r="M11560" s="394" t="str">
        <f t="shared" si="1534"/>
        <v/>
      </c>
      <c r="N11560" s="273"/>
    </row>
    <row r="11561" spans="1:14" ht="12.75" customHeight="1" x14ac:dyDescent="0.2">
      <c r="A11561" s="400"/>
      <c r="B11561" s="271"/>
      <c r="C11561" s="271"/>
      <c r="D11561" s="271"/>
      <c r="E11561" s="271"/>
      <c r="F11561" s="271"/>
      <c r="G11561" s="273"/>
      <c r="H11561" s="29"/>
      <c r="I11561" s="394"/>
      <c r="J11561" s="273"/>
      <c r="K11561" s="395"/>
      <c r="L11561" s="273"/>
      <c r="M11561" s="394" t="str">
        <f t="shared" si="1534"/>
        <v/>
      </c>
      <c r="N11561" s="273"/>
    </row>
    <row r="11562" spans="1:14" ht="12.75" customHeight="1" x14ac:dyDescent="0.2">
      <c r="A11562" s="400"/>
      <c r="B11562" s="271"/>
      <c r="C11562" s="271"/>
      <c r="D11562" s="271"/>
      <c r="E11562" s="271"/>
      <c r="F11562" s="271"/>
      <c r="G11562" s="273"/>
      <c r="H11562" s="29"/>
      <c r="I11562" s="394"/>
      <c r="J11562" s="273"/>
      <c r="K11562" s="395"/>
      <c r="L11562" s="273"/>
      <c r="M11562" s="394" t="str">
        <f t="shared" si="1534"/>
        <v/>
      </c>
      <c r="N11562" s="273"/>
    </row>
    <row r="11563" spans="1:14" ht="12.75" customHeight="1" x14ac:dyDescent="0.2">
      <c r="A11563" s="400"/>
      <c r="B11563" s="271"/>
      <c r="C11563" s="271"/>
      <c r="D11563" s="271"/>
      <c r="E11563" s="271"/>
      <c r="F11563" s="271"/>
      <c r="G11563" s="273"/>
      <c r="H11563" s="29"/>
      <c r="I11563" s="394"/>
      <c r="J11563" s="273"/>
      <c r="K11563" s="395"/>
      <c r="L11563" s="273"/>
      <c r="M11563" s="394" t="str">
        <f t="shared" si="1534"/>
        <v/>
      </c>
      <c r="N11563" s="273"/>
    </row>
    <row r="11564" spans="1:14" ht="12.75" customHeight="1" x14ac:dyDescent="0.25">
      <c r="A11564" s="4"/>
      <c r="B11564" s="4"/>
      <c r="C11564" s="4"/>
      <c r="D11564" s="4"/>
      <c r="E11564" s="4"/>
      <c r="F11564" s="4"/>
      <c r="G11564" s="4"/>
      <c r="H11564" s="4"/>
      <c r="I11564" s="4"/>
      <c r="J11564" s="4"/>
      <c r="K11564" s="396" t="s">
        <v>444</v>
      </c>
      <c r="L11564" s="273"/>
      <c r="M11564" s="394">
        <f>SUM(M11559:N11563)</f>
        <v>0</v>
      </c>
      <c r="N11564" s="273"/>
    </row>
    <row r="11565" spans="1:14" ht="12.75" customHeight="1" x14ac:dyDescent="0.25">
      <c r="A11565" s="4"/>
      <c r="B11565" s="4"/>
      <c r="C11565" s="4"/>
      <c r="D11565" s="4"/>
      <c r="E11565" s="4"/>
      <c r="F11565" s="4"/>
      <c r="G11565" s="4"/>
      <c r="H11565" s="4"/>
      <c r="I11565" s="4"/>
      <c r="J11565" s="4"/>
      <c r="K11565" s="4"/>
      <c r="L11565" s="4"/>
      <c r="M11565" s="4"/>
      <c r="N11565" s="4"/>
    </row>
    <row r="11566" spans="1:14" ht="12.75" customHeight="1" x14ac:dyDescent="0.2">
      <c r="A11566" s="398" t="s">
        <v>931</v>
      </c>
      <c r="B11566" s="271"/>
      <c r="C11566" s="271"/>
      <c r="D11566" s="271"/>
      <c r="E11566" s="271"/>
      <c r="F11566" s="271"/>
      <c r="G11566" s="271"/>
      <c r="H11566" s="271"/>
      <c r="I11566" s="271"/>
      <c r="J11566" s="271"/>
      <c r="K11566" s="271"/>
      <c r="L11566" s="271"/>
      <c r="M11566" s="271"/>
      <c r="N11566" s="273"/>
    </row>
    <row r="11567" spans="1:14" ht="12.75" customHeight="1" x14ac:dyDescent="0.2">
      <c r="A11567" s="396" t="s">
        <v>76</v>
      </c>
      <c r="B11567" s="271"/>
      <c r="C11567" s="271"/>
      <c r="D11567" s="271"/>
      <c r="E11567" s="271"/>
      <c r="F11567" s="271"/>
      <c r="G11567" s="273"/>
      <c r="H11567" s="88" t="s">
        <v>77</v>
      </c>
      <c r="I11567" s="399" t="s">
        <v>920</v>
      </c>
      <c r="J11567" s="273"/>
      <c r="K11567" s="90" t="s">
        <v>514</v>
      </c>
      <c r="L11567" s="91" t="s">
        <v>932</v>
      </c>
      <c r="M11567" s="399" t="s">
        <v>921</v>
      </c>
      <c r="N11567" s="273"/>
    </row>
    <row r="11568" spans="1:14" ht="12.75" customHeight="1" x14ac:dyDescent="0.25">
      <c r="A11568" s="393" t="s">
        <v>986</v>
      </c>
      <c r="B11568" s="271"/>
      <c r="C11568" s="271"/>
      <c r="D11568" s="271"/>
      <c r="E11568" s="271"/>
      <c r="F11568" s="271"/>
      <c r="G11568" s="273"/>
      <c r="H11568" s="29" t="str">
        <f>IF(A11568="","",VLOOKUP(A11568,AA_Cuadrillas,4,FALSE))</f>
        <v>Cuadrilla</v>
      </c>
      <c r="I11568" s="394">
        <f>IF(A11568="","",VLOOKUP(A11568,AA_Cuadrillas,5,FALSE))</f>
        <v>186763</v>
      </c>
      <c r="J11568" s="273"/>
      <c r="K11568" s="9">
        <f>IF(A11568="","",F.P!$I$2)</f>
        <v>1.88</v>
      </c>
      <c r="L11568" s="97">
        <v>0.33333333333333331</v>
      </c>
      <c r="M11568" s="394">
        <f t="shared" ref="M11568:M11572" si="1535">IF(A11568="","",I11568*K11568*L11568)</f>
        <v>117038.14666666667</v>
      </c>
      <c r="N11568" s="273"/>
    </row>
    <row r="11569" spans="1:15" ht="12.75" customHeight="1" x14ac:dyDescent="0.25">
      <c r="A11569" s="393"/>
      <c r="B11569" s="271"/>
      <c r="C11569" s="271"/>
      <c r="D11569" s="271"/>
      <c r="E11569" s="271"/>
      <c r="F11569" s="271"/>
      <c r="G11569" s="273"/>
      <c r="H11569" s="29" t="str">
        <f>IF(A11569="","",VLOOKUP(A11569,AA_Cuadrillas,4,FALSE))</f>
        <v/>
      </c>
      <c r="I11569" s="394" t="str">
        <f>IF(A11569="","",VLOOKUP(A11569,AA_Cuadrillas,5,FALSE))</f>
        <v/>
      </c>
      <c r="J11569" s="273"/>
      <c r="K11569" s="9" t="str">
        <f>IF(A11569="","",F.P!$I$2)</f>
        <v/>
      </c>
      <c r="L11569" s="9"/>
      <c r="M11569" s="394" t="str">
        <f t="shared" si="1535"/>
        <v/>
      </c>
      <c r="N11569" s="273"/>
    </row>
    <row r="11570" spans="1:15" ht="12.75" customHeight="1" x14ac:dyDescent="0.25">
      <c r="A11570" s="393"/>
      <c r="B11570" s="271"/>
      <c r="C11570" s="271"/>
      <c r="D11570" s="271"/>
      <c r="E11570" s="271"/>
      <c r="F11570" s="271"/>
      <c r="G11570" s="273"/>
      <c r="H11570" s="29" t="str">
        <f>IF(A11570="","",VLOOKUP(A11570,AA_Cuadrillas,4,FALSE))</f>
        <v/>
      </c>
      <c r="I11570" s="394" t="str">
        <f>IF(A11570="","",VLOOKUP(A11570,AA_Cuadrillas,5,FALSE))</f>
        <v/>
      </c>
      <c r="J11570" s="273"/>
      <c r="K11570" s="9" t="str">
        <f>IF(A11570="","",F.P!$I$2)</f>
        <v/>
      </c>
      <c r="L11570" s="37"/>
      <c r="M11570" s="394" t="str">
        <f t="shared" si="1535"/>
        <v/>
      </c>
      <c r="N11570" s="273"/>
    </row>
    <row r="11571" spans="1:15" ht="12.75" customHeight="1" x14ac:dyDescent="0.25">
      <c r="A11571" s="393"/>
      <c r="B11571" s="271"/>
      <c r="C11571" s="271"/>
      <c r="D11571" s="271"/>
      <c r="E11571" s="271"/>
      <c r="F11571" s="271"/>
      <c r="G11571" s="273"/>
      <c r="H11571" s="29" t="str">
        <f>IF(A11571="","",VLOOKUP(A11571,AA_Cuadrillas,4,FALSE))</f>
        <v/>
      </c>
      <c r="I11571" s="394" t="str">
        <f>IF(A11571="","",VLOOKUP(A11571,AA_Cuadrillas,5,FALSE))</f>
        <v/>
      </c>
      <c r="J11571" s="273"/>
      <c r="K11571" s="9" t="str">
        <f>IF(A11571="","",F.P!$I$2)</f>
        <v/>
      </c>
      <c r="L11571" s="97"/>
      <c r="M11571" s="394" t="str">
        <f t="shared" si="1535"/>
        <v/>
      </c>
      <c r="N11571" s="273"/>
    </row>
    <row r="11572" spans="1:15" ht="12.75" customHeight="1" x14ac:dyDescent="0.25">
      <c r="A11572" s="393"/>
      <c r="B11572" s="271"/>
      <c r="C11572" s="271"/>
      <c r="D11572" s="271"/>
      <c r="E11572" s="271"/>
      <c r="F11572" s="271"/>
      <c r="G11572" s="273"/>
      <c r="H11572" s="29" t="str">
        <f>IF(A11572="","",VLOOKUP(A11572,AA_Cuadrillas,4,FALSE))</f>
        <v/>
      </c>
      <c r="I11572" s="394" t="str">
        <f>IF(A11572="","",VLOOKUP(A11572,AA_Cuadrillas,5,FALSE))</f>
        <v/>
      </c>
      <c r="J11572" s="273"/>
      <c r="K11572" s="9" t="str">
        <f>IF(A11572="","",F.P!$I$2)</f>
        <v/>
      </c>
      <c r="L11572" s="37"/>
      <c r="M11572" s="394" t="str">
        <f t="shared" si="1535"/>
        <v/>
      </c>
      <c r="N11572" s="273"/>
    </row>
    <row r="11573" spans="1:15" ht="12.75" customHeight="1" x14ac:dyDescent="0.25">
      <c r="A11573" s="4"/>
      <c r="B11573" s="4"/>
      <c r="C11573" s="4"/>
      <c r="D11573" s="4"/>
      <c r="E11573" s="4"/>
      <c r="F11573" s="4"/>
      <c r="G11573" s="4"/>
      <c r="H11573" s="4"/>
      <c r="I11573" s="4"/>
      <c r="J11573" s="4"/>
      <c r="K11573" s="396" t="s">
        <v>444</v>
      </c>
      <c r="L11573" s="273"/>
      <c r="M11573" s="394">
        <f>SUM(M11568:N11572)</f>
        <v>117038.14666666667</v>
      </c>
      <c r="N11573" s="273"/>
    </row>
    <row r="11574" spans="1:15" ht="12.75" customHeight="1" x14ac:dyDescent="0.2"/>
    <row r="11575" spans="1:15" ht="12.75" customHeight="1" x14ac:dyDescent="0.2">
      <c r="A11575" s="407" t="s">
        <v>377</v>
      </c>
      <c r="B11575" s="275"/>
      <c r="C11575" s="275"/>
      <c r="D11575" s="275"/>
      <c r="E11575" s="275"/>
      <c r="F11575" s="275"/>
      <c r="G11575" s="275"/>
      <c r="H11575" s="275"/>
      <c r="I11575" s="275"/>
      <c r="J11575" s="275"/>
      <c r="K11575" s="275"/>
      <c r="L11575" s="275"/>
      <c r="M11575" s="275"/>
      <c r="N11575" s="276"/>
      <c r="O11575" s="166"/>
    </row>
    <row r="11576" spans="1:15" ht="12.75" customHeight="1" x14ac:dyDescent="0.2">
      <c r="A11576" s="277"/>
      <c r="B11576" s="278"/>
      <c r="C11576" s="278"/>
      <c r="D11576" s="278"/>
      <c r="E11576" s="278"/>
      <c r="F11576" s="278"/>
      <c r="G11576" s="278"/>
      <c r="H11576" s="278"/>
      <c r="I11576" s="278"/>
      <c r="J11576" s="278"/>
      <c r="K11576" s="278"/>
      <c r="L11576" s="278"/>
      <c r="M11576" s="278"/>
      <c r="N11576" s="279"/>
      <c r="O11576" s="166"/>
    </row>
    <row r="11577" spans="1:15" ht="12.75" customHeight="1" x14ac:dyDescent="0.2">
      <c r="A11577" s="75"/>
      <c r="B11577" s="75"/>
      <c r="C11577" s="75"/>
      <c r="D11577" s="75"/>
      <c r="E11577" s="75"/>
      <c r="F11577" s="75"/>
      <c r="G11577" s="75"/>
      <c r="H11577" s="75"/>
      <c r="I11577" s="75"/>
      <c r="J11577" s="75"/>
      <c r="K11577" s="75"/>
      <c r="L11577" s="75"/>
      <c r="M11577" s="75"/>
      <c r="N11577" s="75"/>
    </row>
    <row r="11578" spans="1:15" ht="12.75" customHeight="1" x14ac:dyDescent="0.3">
      <c r="A11578" s="79" t="s">
        <v>870</v>
      </c>
      <c r="B11578" s="80" t="str">
        <f>A11575</f>
        <v xml:space="preserve">SALIDA PARA INTERRUPTOR SENCILLO </v>
      </c>
      <c r="C11578" s="81" t="s">
        <v>916</v>
      </c>
      <c r="D11578" s="82" t="s">
        <v>999</v>
      </c>
      <c r="E11578" s="83" t="s">
        <v>445</v>
      </c>
      <c r="F11578" s="234">
        <f>(H11578+J11578+L11578+N11578)*1.3</f>
        <v>222418.15179999999</v>
      </c>
      <c r="G11578" s="83" t="s">
        <v>607</v>
      </c>
      <c r="H11578" s="86">
        <f>M11598</f>
        <v>98833.65333333335</v>
      </c>
      <c r="I11578" s="83" t="s">
        <v>918</v>
      </c>
      <c r="J11578" s="86">
        <f>M11607</f>
        <v>2491</v>
      </c>
      <c r="K11578" s="83" t="s">
        <v>609</v>
      </c>
      <c r="L11578" s="86">
        <f>M11616</f>
        <v>19946.232666666667</v>
      </c>
      <c r="M11578" s="83" t="s">
        <v>610</v>
      </c>
      <c r="N11578" s="86">
        <f>M11625</f>
        <v>49820</v>
      </c>
    </row>
    <row r="11579" spans="1:15" ht="12.75" customHeight="1" x14ac:dyDescent="0.25">
      <c r="A11579" s="87"/>
      <c r="B11579" s="87"/>
      <c r="C11579" s="87"/>
      <c r="D11579" s="87"/>
      <c r="E11579" s="242"/>
      <c r="F11579" s="260"/>
      <c r="G11579" s="87"/>
      <c r="J11579" s="87"/>
      <c r="K11579" s="215" t="s">
        <v>3217</v>
      </c>
      <c r="L11579" s="215"/>
      <c r="M11579" s="87"/>
      <c r="N11579" s="87"/>
    </row>
    <row r="11580" spans="1:15" ht="12.75" customHeight="1" x14ac:dyDescent="0.2">
      <c r="A11580" s="398" t="s">
        <v>919</v>
      </c>
      <c r="B11580" s="271"/>
      <c r="C11580" s="271"/>
      <c r="D11580" s="271"/>
      <c r="E11580" s="271"/>
      <c r="F11580" s="271"/>
      <c r="G11580" s="271"/>
      <c r="H11580" s="271"/>
      <c r="I11580" s="271"/>
      <c r="J11580" s="271"/>
      <c r="K11580" s="271"/>
      <c r="L11580" s="271"/>
      <c r="M11580" s="271"/>
      <c r="N11580" s="273"/>
    </row>
    <row r="11581" spans="1:15" ht="12.75" customHeight="1" x14ac:dyDescent="0.2">
      <c r="A11581" s="396" t="s">
        <v>76</v>
      </c>
      <c r="B11581" s="271"/>
      <c r="C11581" s="271"/>
      <c r="D11581" s="271"/>
      <c r="E11581" s="271"/>
      <c r="F11581" s="271"/>
      <c r="G11581" s="273"/>
      <c r="H11581" s="88" t="s">
        <v>77</v>
      </c>
      <c r="I11581" s="399" t="s">
        <v>920</v>
      </c>
      <c r="J11581" s="273"/>
      <c r="K11581" s="399" t="s">
        <v>453</v>
      </c>
      <c r="L11581" s="273"/>
      <c r="M11581" s="399" t="s">
        <v>921</v>
      </c>
      <c r="N11581" s="273"/>
    </row>
    <row r="11582" spans="1:15" ht="12.75" customHeight="1" x14ac:dyDescent="0.2">
      <c r="A11582" s="403" t="s">
        <v>1548</v>
      </c>
      <c r="B11582" s="271"/>
      <c r="C11582" s="271"/>
      <c r="D11582" s="271"/>
      <c r="E11582" s="271"/>
      <c r="F11582" s="271"/>
      <c r="G11582" s="273"/>
      <c r="H11582" s="29" t="str">
        <f t="shared" ref="H11582:H11597" si="1536">IF(A11582="","",VLOOKUP(A11582,AA_Materiales,7,FALSE))</f>
        <v>m</v>
      </c>
      <c r="I11582" s="394">
        <f t="shared" ref="I11582:I11597" si="1537">IF(A11582="","",VLOOKUP(A11582,AA_Materiales,8,FALSE))</f>
        <v>8461.9733333333334</v>
      </c>
      <c r="J11582" s="273"/>
      <c r="K11582" s="395">
        <v>3.5</v>
      </c>
      <c r="L11582" s="273"/>
      <c r="M11582" s="394">
        <f t="shared" ref="M11582:M11597" si="1538">IF(A11582="","",I11582*K11582)</f>
        <v>29616.906666666666</v>
      </c>
      <c r="N11582" s="273"/>
    </row>
    <row r="11583" spans="1:15" ht="12.75" customHeight="1" x14ac:dyDescent="0.2">
      <c r="A11583" s="403" t="s">
        <v>1549</v>
      </c>
      <c r="B11583" s="271"/>
      <c r="C11583" s="271"/>
      <c r="D11583" s="271"/>
      <c r="E11583" s="271"/>
      <c r="F11583" s="271"/>
      <c r="G11583" s="273"/>
      <c r="H11583" s="29" t="str">
        <f t="shared" si="1536"/>
        <v>Unidad</v>
      </c>
      <c r="I11583" s="394">
        <f t="shared" si="1537"/>
        <v>1865.9199999999998</v>
      </c>
      <c r="J11583" s="273"/>
      <c r="K11583" s="395">
        <v>2</v>
      </c>
      <c r="L11583" s="273"/>
      <c r="M11583" s="394">
        <f t="shared" si="1538"/>
        <v>3731.8399999999997</v>
      </c>
      <c r="N11583" s="273"/>
    </row>
    <row r="11584" spans="1:15" ht="12.75" customHeight="1" x14ac:dyDescent="0.2">
      <c r="A11584" s="403" t="s">
        <v>1550</v>
      </c>
      <c r="B11584" s="271"/>
      <c r="C11584" s="271"/>
      <c r="D11584" s="271"/>
      <c r="E11584" s="271"/>
      <c r="F11584" s="271"/>
      <c r="G11584" s="273"/>
      <c r="H11584" s="29" t="str">
        <f t="shared" si="1536"/>
        <v>Unidad</v>
      </c>
      <c r="I11584" s="394">
        <f t="shared" si="1537"/>
        <v>1697.3600000000001</v>
      </c>
      <c r="J11584" s="273"/>
      <c r="K11584" s="395">
        <v>1</v>
      </c>
      <c r="L11584" s="273"/>
      <c r="M11584" s="394">
        <f t="shared" si="1538"/>
        <v>1697.3600000000001</v>
      </c>
      <c r="N11584" s="273"/>
    </row>
    <row r="11585" spans="1:14" ht="12.75" customHeight="1" x14ac:dyDescent="0.2">
      <c r="A11585" s="403" t="s">
        <v>1551</v>
      </c>
      <c r="B11585" s="271"/>
      <c r="C11585" s="271"/>
      <c r="D11585" s="271"/>
      <c r="E11585" s="271"/>
      <c r="F11585" s="271"/>
      <c r="G11585" s="273"/>
      <c r="H11585" s="29" t="str">
        <f t="shared" si="1536"/>
        <v>Unidad</v>
      </c>
      <c r="I11585" s="394">
        <f t="shared" si="1537"/>
        <v>2963.52</v>
      </c>
      <c r="J11585" s="273"/>
      <c r="K11585" s="395">
        <v>1</v>
      </c>
      <c r="L11585" s="273"/>
      <c r="M11585" s="394">
        <f t="shared" si="1538"/>
        <v>2963.52</v>
      </c>
      <c r="N11585" s="273"/>
    </row>
    <row r="11586" spans="1:14" ht="12.75" customHeight="1" x14ac:dyDescent="0.2">
      <c r="A11586" s="403" t="s">
        <v>1552</v>
      </c>
      <c r="B11586" s="271"/>
      <c r="C11586" s="271"/>
      <c r="D11586" s="271"/>
      <c r="E11586" s="271"/>
      <c r="F11586" s="271"/>
      <c r="G11586" s="273"/>
      <c r="H11586" s="29" t="str">
        <f t="shared" si="1536"/>
        <v>Unidad</v>
      </c>
      <c r="I11586" s="394">
        <f t="shared" si="1537"/>
        <v>8639.6799999999985</v>
      </c>
      <c r="J11586" s="273"/>
      <c r="K11586" s="395">
        <v>1</v>
      </c>
      <c r="L11586" s="273"/>
      <c r="M11586" s="394">
        <f t="shared" si="1538"/>
        <v>8639.6799999999985</v>
      </c>
      <c r="N11586" s="273"/>
    </row>
    <row r="11587" spans="1:14" ht="12.75" customHeight="1" x14ac:dyDescent="0.2">
      <c r="A11587" s="403" t="s">
        <v>1553</v>
      </c>
      <c r="B11587" s="271"/>
      <c r="C11587" s="271"/>
      <c r="D11587" s="271"/>
      <c r="E11587" s="271"/>
      <c r="F11587" s="271"/>
      <c r="G11587" s="273"/>
      <c r="H11587" s="29" t="str">
        <f t="shared" si="1536"/>
        <v>m</v>
      </c>
      <c r="I11587" s="394">
        <f t="shared" si="1537"/>
        <v>4532.826666666665</v>
      </c>
      <c r="J11587" s="273"/>
      <c r="K11587" s="395">
        <v>1</v>
      </c>
      <c r="L11587" s="273"/>
      <c r="M11587" s="394">
        <f t="shared" si="1538"/>
        <v>4532.826666666665</v>
      </c>
      <c r="N11587" s="273"/>
    </row>
    <row r="11588" spans="1:14" ht="12.75" customHeight="1" x14ac:dyDescent="0.2">
      <c r="A11588" s="403" t="s">
        <v>1554</v>
      </c>
      <c r="B11588" s="271"/>
      <c r="C11588" s="271"/>
      <c r="D11588" s="271"/>
      <c r="E11588" s="271"/>
      <c r="F11588" s="271"/>
      <c r="G11588" s="273"/>
      <c r="H11588" s="29" t="str">
        <f t="shared" si="1536"/>
        <v>Unidad</v>
      </c>
      <c r="I11588" s="394">
        <f t="shared" si="1537"/>
        <v>780.08</v>
      </c>
      <c r="J11588" s="273"/>
      <c r="K11588" s="395">
        <v>2</v>
      </c>
      <c r="L11588" s="273"/>
      <c r="M11588" s="394">
        <f t="shared" si="1538"/>
        <v>1560.16</v>
      </c>
      <c r="N11588" s="273"/>
    </row>
    <row r="11589" spans="1:14" ht="12.75" customHeight="1" x14ac:dyDescent="0.2">
      <c r="A11589" s="403" t="s">
        <v>1555</v>
      </c>
      <c r="B11589" s="271"/>
      <c r="C11589" s="271"/>
      <c r="D11589" s="271"/>
      <c r="E11589" s="271"/>
      <c r="F11589" s="271"/>
      <c r="G11589" s="273"/>
      <c r="H11589" s="29" t="str">
        <f t="shared" si="1536"/>
        <v>Unidad</v>
      </c>
      <c r="I11589" s="394">
        <f t="shared" si="1537"/>
        <v>1058.3999999999999</v>
      </c>
      <c r="J11589" s="273"/>
      <c r="K11589" s="395">
        <v>2</v>
      </c>
      <c r="L11589" s="273"/>
      <c r="M11589" s="394">
        <f t="shared" si="1538"/>
        <v>2116.7999999999997</v>
      </c>
      <c r="N11589" s="273"/>
    </row>
    <row r="11590" spans="1:14" ht="12.75" customHeight="1" x14ac:dyDescent="0.2">
      <c r="A11590" s="403" t="s">
        <v>1556</v>
      </c>
      <c r="B11590" s="271"/>
      <c r="C11590" s="271"/>
      <c r="D11590" s="271"/>
      <c r="E11590" s="271"/>
      <c r="F11590" s="271"/>
      <c r="G11590" s="273"/>
      <c r="H11590" s="29" t="str">
        <f t="shared" si="1536"/>
        <v>m</v>
      </c>
      <c r="I11590" s="394">
        <f t="shared" si="1537"/>
        <v>3169.32</v>
      </c>
      <c r="J11590" s="273"/>
      <c r="K11590" s="395">
        <v>12</v>
      </c>
      <c r="L11590" s="273"/>
      <c r="M11590" s="394">
        <f t="shared" si="1538"/>
        <v>38031.840000000004</v>
      </c>
      <c r="N11590" s="273"/>
    </row>
    <row r="11591" spans="1:14" ht="12.75" customHeight="1" x14ac:dyDescent="0.2">
      <c r="A11591" s="403" t="s">
        <v>1557</v>
      </c>
      <c r="B11591" s="271"/>
      <c r="C11591" s="271"/>
      <c r="D11591" s="271"/>
      <c r="E11591" s="271"/>
      <c r="F11591" s="271"/>
      <c r="G11591" s="273"/>
      <c r="H11591" s="29" t="str">
        <f t="shared" si="1536"/>
        <v>Unidad</v>
      </c>
      <c r="I11591" s="394">
        <f t="shared" si="1537"/>
        <v>1470</v>
      </c>
      <c r="J11591" s="273"/>
      <c r="K11591" s="395">
        <v>3</v>
      </c>
      <c r="L11591" s="273"/>
      <c r="M11591" s="394">
        <f t="shared" si="1538"/>
        <v>4410</v>
      </c>
      <c r="N11591" s="273"/>
    </row>
    <row r="11592" spans="1:14" ht="12.75" customHeight="1" x14ac:dyDescent="0.2">
      <c r="A11592" s="403" t="s">
        <v>1558</v>
      </c>
      <c r="B11592" s="271"/>
      <c r="C11592" s="271"/>
      <c r="D11592" s="271"/>
      <c r="E11592" s="271"/>
      <c r="F11592" s="271"/>
      <c r="G11592" s="273"/>
      <c r="H11592" s="29" t="str">
        <f t="shared" si="1536"/>
        <v>Unidad</v>
      </c>
      <c r="I11592" s="394">
        <f t="shared" si="1537"/>
        <v>1532.7199999999998</v>
      </c>
      <c r="J11592" s="273"/>
      <c r="K11592" s="395">
        <v>1</v>
      </c>
      <c r="L11592" s="273"/>
      <c r="M11592" s="394">
        <f t="shared" si="1538"/>
        <v>1532.7199999999998</v>
      </c>
      <c r="N11592" s="273"/>
    </row>
    <row r="11593" spans="1:14" ht="12.75" customHeight="1" x14ac:dyDescent="0.2">
      <c r="A11593" s="403"/>
      <c r="B11593" s="271"/>
      <c r="C11593" s="271"/>
      <c r="D11593" s="271"/>
      <c r="E11593" s="271"/>
      <c r="F11593" s="271"/>
      <c r="G11593" s="273"/>
      <c r="H11593" s="29" t="str">
        <f t="shared" si="1536"/>
        <v/>
      </c>
      <c r="I11593" s="394" t="str">
        <f t="shared" si="1537"/>
        <v/>
      </c>
      <c r="J11593" s="273"/>
      <c r="K11593" s="395"/>
      <c r="L11593" s="273"/>
      <c r="M11593" s="394" t="str">
        <f t="shared" si="1538"/>
        <v/>
      </c>
      <c r="N11593" s="273"/>
    </row>
    <row r="11594" spans="1:14" ht="12.75" customHeight="1" x14ac:dyDescent="0.2">
      <c r="A11594" s="403"/>
      <c r="B11594" s="271"/>
      <c r="C11594" s="271"/>
      <c r="D11594" s="271"/>
      <c r="E11594" s="271"/>
      <c r="F11594" s="271"/>
      <c r="G11594" s="273"/>
      <c r="H11594" s="29" t="str">
        <f t="shared" si="1536"/>
        <v/>
      </c>
      <c r="I11594" s="394" t="str">
        <f t="shared" si="1537"/>
        <v/>
      </c>
      <c r="J11594" s="273"/>
      <c r="K11594" s="395"/>
      <c r="L11594" s="273"/>
      <c r="M11594" s="394" t="str">
        <f t="shared" si="1538"/>
        <v/>
      </c>
      <c r="N11594" s="273"/>
    </row>
    <row r="11595" spans="1:14" ht="12.75" customHeight="1" x14ac:dyDescent="0.2">
      <c r="A11595" s="403"/>
      <c r="B11595" s="271"/>
      <c r="C11595" s="271"/>
      <c r="D11595" s="271"/>
      <c r="E11595" s="271"/>
      <c r="F11595" s="271"/>
      <c r="G11595" s="273"/>
      <c r="H11595" s="29" t="str">
        <f t="shared" si="1536"/>
        <v/>
      </c>
      <c r="I11595" s="394" t="str">
        <f t="shared" si="1537"/>
        <v/>
      </c>
      <c r="J11595" s="273"/>
      <c r="K11595" s="395"/>
      <c r="L11595" s="273"/>
      <c r="M11595" s="394" t="str">
        <f t="shared" si="1538"/>
        <v/>
      </c>
      <c r="N11595" s="273"/>
    </row>
    <row r="11596" spans="1:14" ht="12.75" customHeight="1" x14ac:dyDescent="0.2">
      <c r="A11596" s="403"/>
      <c r="B11596" s="271"/>
      <c r="C11596" s="271"/>
      <c r="D11596" s="271"/>
      <c r="E11596" s="271"/>
      <c r="F11596" s="271"/>
      <c r="G11596" s="273"/>
      <c r="H11596" s="29" t="str">
        <f t="shared" si="1536"/>
        <v/>
      </c>
      <c r="I11596" s="394" t="str">
        <f t="shared" si="1537"/>
        <v/>
      </c>
      <c r="J11596" s="273"/>
      <c r="K11596" s="395"/>
      <c r="L11596" s="273"/>
      <c r="M11596" s="394" t="str">
        <f t="shared" si="1538"/>
        <v/>
      </c>
      <c r="N11596" s="273"/>
    </row>
    <row r="11597" spans="1:14" ht="12.75" customHeight="1" x14ac:dyDescent="0.2">
      <c r="A11597" s="403"/>
      <c r="B11597" s="271"/>
      <c r="C11597" s="271"/>
      <c r="D11597" s="271"/>
      <c r="E11597" s="271"/>
      <c r="F11597" s="271"/>
      <c r="G11597" s="273"/>
      <c r="H11597" s="29" t="str">
        <f t="shared" si="1536"/>
        <v/>
      </c>
      <c r="I11597" s="394" t="str">
        <f t="shared" si="1537"/>
        <v/>
      </c>
      <c r="J11597" s="273"/>
      <c r="K11597" s="395"/>
      <c r="L11597" s="273"/>
      <c r="M11597" s="394" t="str">
        <f t="shared" si="1538"/>
        <v/>
      </c>
      <c r="N11597" s="273"/>
    </row>
    <row r="11598" spans="1:14" ht="12.75" customHeight="1" x14ac:dyDescent="0.25">
      <c r="A11598" s="4"/>
      <c r="B11598" s="4"/>
      <c r="C11598" s="4"/>
      <c r="D11598" s="4"/>
      <c r="E11598" s="4"/>
      <c r="F11598" s="4"/>
      <c r="G11598" s="4"/>
      <c r="H11598" s="4"/>
      <c r="I11598" s="4"/>
      <c r="J11598" s="4"/>
      <c r="K11598" s="396" t="s">
        <v>444</v>
      </c>
      <c r="L11598" s="273"/>
      <c r="M11598" s="394">
        <f>SUM(M11582:N11597)</f>
        <v>98833.65333333335</v>
      </c>
      <c r="N11598" s="273"/>
    </row>
    <row r="11599" spans="1:14" ht="12.75" customHeight="1" x14ac:dyDescent="0.25">
      <c r="A11599" s="4"/>
      <c r="B11599" s="4"/>
      <c r="C11599" s="4"/>
      <c r="D11599" s="4"/>
      <c r="E11599" s="4"/>
      <c r="F11599" s="4"/>
      <c r="G11599" s="4"/>
      <c r="H11599" s="4"/>
      <c r="I11599" s="4"/>
      <c r="J11599" s="4"/>
      <c r="K11599" s="4"/>
      <c r="L11599" s="4"/>
      <c r="M11599" s="4"/>
      <c r="N11599" s="4"/>
    </row>
    <row r="11600" spans="1:14" ht="12.75" customHeight="1" x14ac:dyDescent="0.2">
      <c r="A11600" s="398" t="s">
        <v>926</v>
      </c>
      <c r="B11600" s="271"/>
      <c r="C11600" s="271"/>
      <c r="D11600" s="271"/>
      <c r="E11600" s="271"/>
      <c r="F11600" s="271"/>
      <c r="G11600" s="271"/>
      <c r="H11600" s="271"/>
      <c r="I11600" s="271"/>
      <c r="J11600" s="271"/>
      <c r="K11600" s="271"/>
      <c r="L11600" s="271"/>
      <c r="M11600" s="271"/>
      <c r="N11600" s="273"/>
    </row>
    <row r="11601" spans="1:14" ht="12.75" customHeight="1" x14ac:dyDescent="0.2">
      <c r="A11601" s="396" t="s">
        <v>76</v>
      </c>
      <c r="B11601" s="271"/>
      <c r="C11601" s="271"/>
      <c r="D11601" s="271"/>
      <c r="E11601" s="271"/>
      <c r="F11601" s="271"/>
      <c r="G11601" s="273"/>
      <c r="H11601" s="88" t="s">
        <v>77</v>
      </c>
      <c r="I11601" s="399" t="s">
        <v>920</v>
      </c>
      <c r="J11601" s="273"/>
      <c r="K11601" s="399" t="s">
        <v>453</v>
      </c>
      <c r="L11601" s="273"/>
      <c r="M11601" s="399" t="s">
        <v>921</v>
      </c>
      <c r="N11601" s="273"/>
    </row>
    <row r="11602" spans="1:14" ht="12.75" customHeight="1" x14ac:dyDescent="0.2">
      <c r="A11602" s="400" t="s">
        <v>927</v>
      </c>
      <c r="B11602" s="271"/>
      <c r="C11602" s="271"/>
      <c r="D11602" s="271"/>
      <c r="E11602" s="271"/>
      <c r="F11602" s="271"/>
      <c r="G11602" s="273"/>
      <c r="H11602" s="29" t="str">
        <f>IF(A11602="","",VLOOKUP(A11602,AA_Equipos,7,FALSE))</f>
        <v>% M.O.</v>
      </c>
      <c r="I11602" s="394">
        <f>+M11625</f>
        <v>49820</v>
      </c>
      <c r="J11602" s="273"/>
      <c r="K11602" s="404">
        <v>0.05</v>
      </c>
      <c r="L11602" s="273"/>
      <c r="M11602" s="394">
        <f t="shared" ref="M11602:M11606" si="1539">IF(A11602="","",I11602*K11602)</f>
        <v>2491</v>
      </c>
      <c r="N11602" s="273"/>
    </row>
    <row r="11603" spans="1:14" ht="12.75" customHeight="1" x14ac:dyDescent="0.2">
      <c r="A11603" s="403"/>
      <c r="B11603" s="271"/>
      <c r="C11603" s="271"/>
      <c r="D11603" s="271"/>
      <c r="E11603" s="271"/>
      <c r="F11603" s="271"/>
      <c r="G11603" s="273"/>
      <c r="H11603" s="29" t="str">
        <f>IF(A11603="","",VLOOKUP(A11603,AA_Equipos,7,FALSE))</f>
        <v/>
      </c>
      <c r="I11603" s="394" t="str">
        <f>IF(A11603="","",VLOOKUP(A11603,AA_Equipos,8,FALSE))</f>
        <v/>
      </c>
      <c r="J11603" s="273"/>
      <c r="K11603" s="402"/>
      <c r="L11603" s="273"/>
      <c r="M11603" s="394" t="str">
        <f t="shared" si="1539"/>
        <v/>
      </c>
      <c r="N11603" s="273"/>
    </row>
    <row r="11604" spans="1:14" ht="12.75" customHeight="1" x14ac:dyDescent="0.2">
      <c r="A11604" s="400"/>
      <c r="B11604" s="271"/>
      <c r="C11604" s="271"/>
      <c r="D11604" s="271"/>
      <c r="E11604" s="271"/>
      <c r="F11604" s="271"/>
      <c r="G11604" s="273"/>
      <c r="H11604" s="29" t="str">
        <f>IF(A11604="","",VLOOKUP(A11604,AA_Equipos,7,FALSE))</f>
        <v/>
      </c>
      <c r="I11604" s="394" t="str">
        <f>IF(A11604="","",VLOOKUP(A11604,AA_Equipos,8,FALSE))</f>
        <v/>
      </c>
      <c r="J11604" s="273"/>
      <c r="K11604" s="401"/>
      <c r="L11604" s="273"/>
      <c r="M11604" s="394" t="str">
        <f t="shared" si="1539"/>
        <v/>
      </c>
      <c r="N11604" s="273"/>
    </row>
    <row r="11605" spans="1:14" ht="12.75" customHeight="1" x14ac:dyDescent="0.2">
      <c r="A11605" s="400"/>
      <c r="B11605" s="271"/>
      <c r="C11605" s="271"/>
      <c r="D11605" s="271"/>
      <c r="E11605" s="271"/>
      <c r="F11605" s="271"/>
      <c r="G11605" s="273"/>
      <c r="H11605" s="29" t="str">
        <f>IF(A11605="","",VLOOKUP(A11605,AA_Equipos,7,FALSE))</f>
        <v/>
      </c>
      <c r="I11605" s="394" t="str">
        <f>IF(A11605="","",VLOOKUP(A11605,AA_Equipos,8,FALSE))</f>
        <v/>
      </c>
      <c r="J11605" s="273"/>
      <c r="K11605" s="395"/>
      <c r="L11605" s="273"/>
      <c r="M11605" s="394" t="str">
        <f t="shared" si="1539"/>
        <v/>
      </c>
      <c r="N11605" s="273"/>
    </row>
    <row r="11606" spans="1:14" ht="12.75" customHeight="1" x14ac:dyDescent="0.2">
      <c r="A11606" s="400"/>
      <c r="B11606" s="271"/>
      <c r="C11606" s="271"/>
      <c r="D11606" s="271"/>
      <c r="E11606" s="271"/>
      <c r="F11606" s="271"/>
      <c r="G11606" s="273"/>
      <c r="H11606" s="29" t="str">
        <f>IF(A11606="","",VLOOKUP(A11606,AA_Equipos,7,FALSE))</f>
        <v/>
      </c>
      <c r="I11606" s="394" t="str">
        <f>IF(A11606="","",VLOOKUP(A11606,AA_Equipos,8,FALSE))</f>
        <v/>
      </c>
      <c r="J11606" s="273"/>
      <c r="K11606" s="395"/>
      <c r="L11606" s="273"/>
      <c r="M11606" s="394" t="str">
        <f t="shared" si="1539"/>
        <v/>
      </c>
      <c r="N11606" s="273"/>
    </row>
    <row r="11607" spans="1:14" ht="12.75" customHeight="1" x14ac:dyDescent="0.25">
      <c r="A11607" s="4"/>
      <c r="B11607" s="4"/>
      <c r="C11607" s="4"/>
      <c r="D11607" s="4"/>
      <c r="E11607" s="4"/>
      <c r="F11607" s="4"/>
      <c r="G11607" s="4"/>
      <c r="H11607" s="4"/>
      <c r="I11607" s="4"/>
      <c r="J11607" s="4"/>
      <c r="K11607" s="396" t="s">
        <v>444</v>
      </c>
      <c r="L11607" s="273"/>
      <c r="M11607" s="394">
        <f>SUM(M11602:N11606)</f>
        <v>2491</v>
      </c>
      <c r="N11607" s="273"/>
    </row>
    <row r="11608" spans="1:14" ht="12.75" customHeight="1" x14ac:dyDescent="0.25">
      <c r="A11608" s="4"/>
      <c r="B11608" s="4"/>
      <c r="C11608" s="4"/>
      <c r="D11608" s="4"/>
      <c r="E11608" s="4"/>
      <c r="F11608" s="4"/>
      <c r="G11608" s="4"/>
      <c r="H11608" s="4"/>
      <c r="I11608" s="4"/>
      <c r="J11608" s="4"/>
      <c r="K11608" s="4"/>
      <c r="L11608" s="4"/>
      <c r="M11608" s="4"/>
      <c r="N11608" s="4"/>
    </row>
    <row r="11609" spans="1:14" ht="12.75" customHeight="1" x14ac:dyDescent="0.2">
      <c r="A11609" s="398" t="s">
        <v>929</v>
      </c>
      <c r="B11609" s="271"/>
      <c r="C11609" s="271"/>
      <c r="D11609" s="271"/>
      <c r="E11609" s="271"/>
      <c r="F11609" s="271"/>
      <c r="G11609" s="271"/>
      <c r="H11609" s="271"/>
      <c r="I11609" s="271"/>
      <c r="J11609" s="271"/>
      <c r="K11609" s="271"/>
      <c r="L11609" s="271"/>
      <c r="M11609" s="271"/>
      <c r="N11609" s="273"/>
    </row>
    <row r="11610" spans="1:14" ht="12.75" customHeight="1" x14ac:dyDescent="0.2">
      <c r="A11610" s="396" t="s">
        <v>76</v>
      </c>
      <c r="B11610" s="271"/>
      <c r="C11610" s="271"/>
      <c r="D11610" s="271"/>
      <c r="E11610" s="271"/>
      <c r="F11610" s="271"/>
      <c r="G11610" s="273"/>
      <c r="H11610" s="88" t="s">
        <v>77</v>
      </c>
      <c r="I11610" s="399" t="s">
        <v>920</v>
      </c>
      <c r="J11610" s="273"/>
      <c r="K11610" s="399" t="s">
        <v>453</v>
      </c>
      <c r="L11610" s="273"/>
      <c r="M11610" s="399" t="s">
        <v>921</v>
      </c>
      <c r="N11610" s="273"/>
    </row>
    <row r="11611" spans="1:14" ht="12.75" customHeight="1" x14ac:dyDescent="0.2">
      <c r="A11611" s="400" t="s">
        <v>1559</v>
      </c>
      <c r="B11611" s="271"/>
      <c r="C11611" s="271"/>
      <c r="D11611" s="271"/>
      <c r="E11611" s="271"/>
      <c r="F11611" s="271"/>
      <c r="G11611" s="273"/>
      <c r="H11611" s="29" t="str">
        <f>IF(A11611="","",VLOOKUP(A11611,AA_Equipos,7,FALSE))</f>
        <v>Día</v>
      </c>
      <c r="I11611" s="394">
        <f>IF(A11611="","",VLOOKUP(A11611,AA_Equipos,8,FALSE))</f>
        <v>74400</v>
      </c>
      <c r="J11611" s="273"/>
      <c r="K11611" s="408">
        <v>0.2</v>
      </c>
      <c r="L11611" s="273"/>
      <c r="M11611" s="394">
        <f t="shared" ref="M11611:M11615" si="1540">IF(A11611="","",I11611*K11611)</f>
        <v>14880</v>
      </c>
      <c r="N11611" s="273"/>
    </row>
    <row r="11612" spans="1:14" ht="12.75" customHeight="1" x14ac:dyDescent="0.2">
      <c r="A11612" s="403" t="s">
        <v>930</v>
      </c>
      <c r="B11612" s="271"/>
      <c r="C11612" s="271"/>
      <c r="D11612" s="271"/>
      <c r="E11612" s="271"/>
      <c r="F11612" s="271"/>
      <c r="G11612" s="273"/>
      <c r="H11612" s="29" t="s">
        <v>24</v>
      </c>
      <c r="I11612" s="394">
        <f>+M11598+M11607</f>
        <v>101324.65333333335</v>
      </c>
      <c r="J11612" s="273"/>
      <c r="K11612" s="404">
        <v>0.05</v>
      </c>
      <c r="L11612" s="273"/>
      <c r="M11612" s="394">
        <f t="shared" si="1540"/>
        <v>5066.2326666666677</v>
      </c>
      <c r="N11612" s="273"/>
    </row>
    <row r="11613" spans="1:14" ht="12.75" customHeight="1" x14ac:dyDescent="0.2">
      <c r="A11613" s="400"/>
      <c r="B11613" s="271"/>
      <c r="C11613" s="271"/>
      <c r="D11613" s="271"/>
      <c r="E11613" s="271"/>
      <c r="F11613" s="271"/>
      <c r="G11613" s="273"/>
      <c r="H11613" s="29"/>
      <c r="I11613" s="394"/>
      <c r="J11613" s="273"/>
      <c r="K11613" s="395"/>
      <c r="L11613" s="273"/>
      <c r="M11613" s="394" t="str">
        <f t="shared" si="1540"/>
        <v/>
      </c>
      <c r="N11613" s="273"/>
    </row>
    <row r="11614" spans="1:14" ht="12.75" customHeight="1" x14ac:dyDescent="0.2">
      <c r="A11614" s="400"/>
      <c r="B11614" s="271"/>
      <c r="C11614" s="271"/>
      <c r="D11614" s="271"/>
      <c r="E11614" s="271"/>
      <c r="F11614" s="271"/>
      <c r="G11614" s="273"/>
      <c r="H11614" s="29"/>
      <c r="I11614" s="394"/>
      <c r="J11614" s="273"/>
      <c r="K11614" s="395"/>
      <c r="L11614" s="273"/>
      <c r="M11614" s="394" t="str">
        <f t="shared" si="1540"/>
        <v/>
      </c>
      <c r="N11614" s="273"/>
    </row>
    <row r="11615" spans="1:14" ht="12.75" customHeight="1" x14ac:dyDescent="0.2">
      <c r="A11615" s="400"/>
      <c r="B11615" s="271"/>
      <c r="C11615" s="271"/>
      <c r="D11615" s="271"/>
      <c r="E11615" s="271"/>
      <c r="F11615" s="271"/>
      <c r="G11615" s="273"/>
      <c r="H11615" s="29"/>
      <c r="I11615" s="394"/>
      <c r="J11615" s="273"/>
      <c r="K11615" s="395"/>
      <c r="L11615" s="273"/>
      <c r="M11615" s="394" t="str">
        <f t="shared" si="1540"/>
        <v/>
      </c>
      <c r="N11615" s="273"/>
    </row>
    <row r="11616" spans="1:14" ht="12.75" customHeight="1" x14ac:dyDescent="0.25">
      <c r="A11616" s="4"/>
      <c r="B11616" s="4"/>
      <c r="C11616" s="4"/>
      <c r="D11616" s="4"/>
      <c r="E11616" s="4"/>
      <c r="F11616" s="4"/>
      <c r="G11616" s="4"/>
      <c r="H11616" s="4"/>
      <c r="I11616" s="4"/>
      <c r="J11616" s="4"/>
      <c r="K11616" s="396" t="s">
        <v>444</v>
      </c>
      <c r="L11616" s="273"/>
      <c r="M11616" s="394">
        <f>SUM(M11611:N11615)</f>
        <v>19946.232666666667</v>
      </c>
      <c r="N11616" s="273"/>
    </row>
    <row r="11617" spans="1:15" ht="12.75" customHeight="1" x14ac:dyDescent="0.25">
      <c r="A11617" s="4"/>
      <c r="B11617" s="4"/>
      <c r="C11617" s="4"/>
      <c r="D11617" s="4"/>
      <c r="E11617" s="4"/>
      <c r="F11617" s="4"/>
      <c r="G11617" s="4"/>
      <c r="H11617" s="4"/>
      <c r="I11617" s="4"/>
      <c r="J11617" s="4"/>
      <c r="K11617" s="4"/>
      <c r="L11617" s="4"/>
      <c r="M11617" s="4"/>
      <c r="N11617" s="4"/>
    </row>
    <row r="11618" spans="1:15" ht="12.75" customHeight="1" x14ac:dyDescent="0.2">
      <c r="A11618" s="398" t="s">
        <v>931</v>
      </c>
      <c r="B11618" s="271"/>
      <c r="C11618" s="271"/>
      <c r="D11618" s="271"/>
      <c r="E11618" s="271"/>
      <c r="F11618" s="271"/>
      <c r="G11618" s="271"/>
      <c r="H11618" s="271"/>
      <c r="I11618" s="271"/>
      <c r="J11618" s="271"/>
      <c r="K11618" s="271"/>
      <c r="L11618" s="271"/>
      <c r="M11618" s="271"/>
      <c r="N11618" s="273"/>
    </row>
    <row r="11619" spans="1:15" ht="12.75" customHeight="1" x14ac:dyDescent="0.2">
      <c r="A11619" s="396" t="s">
        <v>76</v>
      </c>
      <c r="B11619" s="271"/>
      <c r="C11619" s="271"/>
      <c r="D11619" s="271"/>
      <c r="E11619" s="271"/>
      <c r="F11619" s="271"/>
      <c r="G11619" s="273"/>
      <c r="H11619" s="88" t="s">
        <v>77</v>
      </c>
      <c r="I11619" s="399" t="s">
        <v>920</v>
      </c>
      <c r="J11619" s="273"/>
      <c r="K11619" s="90" t="s">
        <v>514</v>
      </c>
      <c r="L11619" s="91" t="s">
        <v>932</v>
      </c>
      <c r="M11619" s="399" t="s">
        <v>921</v>
      </c>
      <c r="N11619" s="273"/>
    </row>
    <row r="11620" spans="1:15" ht="12.75" customHeight="1" x14ac:dyDescent="0.25">
      <c r="A11620" s="393" t="s">
        <v>1301</v>
      </c>
      <c r="B11620" s="271"/>
      <c r="C11620" s="271"/>
      <c r="D11620" s="271"/>
      <c r="E11620" s="271"/>
      <c r="F11620" s="271"/>
      <c r="G11620" s="273"/>
      <c r="H11620" s="29" t="str">
        <f>IF(A11620="","",VLOOKUP(A11620,AA_Cuadrillas,4,FALSE))</f>
        <v>Cuadrilla</v>
      </c>
      <c r="I11620" s="394">
        <f>IF(A11620="","",VLOOKUP(A11620,AA_Cuadrillas,5,FALSE))</f>
        <v>132500</v>
      </c>
      <c r="J11620" s="273"/>
      <c r="K11620" s="9">
        <f>IF(A11620="","",F.P!$I$2)</f>
        <v>1.88</v>
      </c>
      <c r="L11620" s="97">
        <v>0.2</v>
      </c>
      <c r="M11620" s="394">
        <f t="shared" ref="M11620:M11624" si="1541">IF(A11620="","",I11620*K11620*L11620)</f>
        <v>49820</v>
      </c>
      <c r="N11620" s="273"/>
    </row>
    <row r="11621" spans="1:15" ht="12.75" customHeight="1" x14ac:dyDescent="0.25">
      <c r="A11621" s="393"/>
      <c r="B11621" s="271"/>
      <c r="C11621" s="271"/>
      <c r="D11621" s="271"/>
      <c r="E11621" s="271"/>
      <c r="F11621" s="271"/>
      <c r="G11621" s="273"/>
      <c r="H11621" s="29" t="str">
        <f>IF(A11621="","",VLOOKUP(A11621,AA_Cuadrillas,4,FALSE))</f>
        <v/>
      </c>
      <c r="I11621" s="394" t="str">
        <f>IF(A11621="","",VLOOKUP(A11621,AA_Cuadrillas,5,FALSE))</f>
        <v/>
      </c>
      <c r="J11621" s="273"/>
      <c r="K11621" s="9" t="str">
        <f>IF(A11621="","",F.P!$I$2)</f>
        <v/>
      </c>
      <c r="L11621" s="9"/>
      <c r="M11621" s="394" t="str">
        <f t="shared" si="1541"/>
        <v/>
      </c>
      <c r="N11621" s="273"/>
    </row>
    <row r="11622" spans="1:15" ht="12.75" customHeight="1" x14ac:dyDescent="0.25">
      <c r="A11622" s="393"/>
      <c r="B11622" s="271"/>
      <c r="C11622" s="271"/>
      <c r="D11622" s="271"/>
      <c r="E11622" s="271"/>
      <c r="F11622" s="271"/>
      <c r="G11622" s="273"/>
      <c r="H11622" s="29" t="str">
        <f>IF(A11622="","",VLOOKUP(A11622,AA_Cuadrillas,4,FALSE))</f>
        <v/>
      </c>
      <c r="I11622" s="394" t="str">
        <f>IF(A11622="","",VLOOKUP(A11622,AA_Cuadrillas,5,FALSE))</f>
        <v/>
      </c>
      <c r="J11622" s="273"/>
      <c r="K11622" s="9" t="str">
        <f>IF(A11622="","",F.P!$I$2)</f>
        <v/>
      </c>
      <c r="L11622" s="37"/>
      <c r="M11622" s="394" t="str">
        <f t="shared" si="1541"/>
        <v/>
      </c>
      <c r="N11622" s="273"/>
    </row>
    <row r="11623" spans="1:15" ht="12.75" customHeight="1" x14ac:dyDescent="0.25">
      <c r="A11623" s="393"/>
      <c r="B11623" s="271"/>
      <c r="C11623" s="271"/>
      <c r="D11623" s="271"/>
      <c r="E11623" s="271"/>
      <c r="F11623" s="271"/>
      <c r="G11623" s="273"/>
      <c r="H11623" s="29" t="str">
        <f>IF(A11623="","",VLOOKUP(A11623,AA_Cuadrillas,4,FALSE))</f>
        <v/>
      </c>
      <c r="I11623" s="394" t="str">
        <f>IF(A11623="","",VLOOKUP(A11623,AA_Cuadrillas,5,FALSE))</f>
        <v/>
      </c>
      <c r="J11623" s="273"/>
      <c r="K11623" s="9" t="str">
        <f>IF(A11623="","",F.P!$I$2)</f>
        <v/>
      </c>
      <c r="L11623" s="97"/>
      <c r="M11623" s="394" t="str">
        <f t="shared" si="1541"/>
        <v/>
      </c>
      <c r="N11623" s="273"/>
    </row>
    <row r="11624" spans="1:15" ht="12.75" customHeight="1" x14ac:dyDescent="0.25">
      <c r="A11624" s="393"/>
      <c r="B11624" s="271"/>
      <c r="C11624" s="271"/>
      <c r="D11624" s="271"/>
      <c r="E11624" s="271"/>
      <c r="F11624" s="271"/>
      <c r="G11624" s="273"/>
      <c r="H11624" s="29" t="str">
        <f>IF(A11624="","",VLOOKUP(A11624,AA_Cuadrillas,4,FALSE))</f>
        <v/>
      </c>
      <c r="I11624" s="394" t="str">
        <f>IF(A11624="","",VLOOKUP(A11624,AA_Cuadrillas,5,FALSE))</f>
        <v/>
      </c>
      <c r="J11624" s="273"/>
      <c r="K11624" s="9" t="str">
        <f>IF(A11624="","",F.P!$I$2)</f>
        <v/>
      </c>
      <c r="L11624" s="37"/>
      <c r="M11624" s="394" t="str">
        <f t="shared" si="1541"/>
        <v/>
      </c>
      <c r="N11624" s="273"/>
    </row>
    <row r="11625" spans="1:15" ht="12.75" customHeight="1" x14ac:dyDescent="0.25">
      <c r="A11625" s="4"/>
      <c r="B11625" s="4"/>
      <c r="C11625" s="4"/>
      <c r="D11625" s="4"/>
      <c r="E11625" s="4"/>
      <c r="F11625" s="4"/>
      <c r="G11625" s="4"/>
      <c r="H11625" s="4"/>
      <c r="I11625" s="4"/>
      <c r="J11625" s="4"/>
      <c r="K11625" s="396" t="s">
        <v>444</v>
      </c>
      <c r="L11625" s="273"/>
      <c r="M11625" s="394">
        <f>SUM(M11620:N11624)</f>
        <v>49820</v>
      </c>
      <c r="N11625" s="273"/>
    </row>
    <row r="11626" spans="1:15" ht="12.75" customHeight="1" x14ac:dyDescent="0.2"/>
    <row r="11627" spans="1:15" ht="12.75" customHeight="1" x14ac:dyDescent="0.2">
      <c r="A11627" s="407" t="s">
        <v>379</v>
      </c>
      <c r="B11627" s="275"/>
      <c r="C11627" s="275"/>
      <c r="D11627" s="275"/>
      <c r="E11627" s="275"/>
      <c r="F11627" s="275"/>
      <c r="G11627" s="275"/>
      <c r="H11627" s="275"/>
      <c r="I11627" s="275"/>
      <c r="J11627" s="275"/>
      <c r="K11627" s="275"/>
      <c r="L11627" s="275"/>
      <c r="M11627" s="275"/>
      <c r="N11627" s="276"/>
      <c r="O11627" s="166"/>
    </row>
    <row r="11628" spans="1:15" ht="12.75" customHeight="1" x14ac:dyDescent="0.2">
      <c r="A11628" s="277"/>
      <c r="B11628" s="278"/>
      <c r="C11628" s="278"/>
      <c r="D11628" s="278"/>
      <c r="E11628" s="278"/>
      <c r="F11628" s="278"/>
      <c r="G11628" s="278"/>
      <c r="H11628" s="278"/>
      <c r="I11628" s="278"/>
      <c r="J11628" s="278"/>
      <c r="K11628" s="278"/>
      <c r="L11628" s="278"/>
      <c r="M11628" s="278"/>
      <c r="N11628" s="279"/>
      <c r="O11628" s="166"/>
    </row>
    <row r="11629" spans="1:15" ht="12.75" customHeight="1" x14ac:dyDescent="0.2">
      <c r="A11629" s="75"/>
      <c r="B11629" s="75"/>
      <c r="C11629" s="75"/>
      <c r="D11629" s="75"/>
      <c r="E11629" s="75"/>
      <c r="F11629" s="75"/>
      <c r="G11629" s="75"/>
      <c r="H11629" s="75"/>
      <c r="I11629" s="75"/>
      <c r="J11629" s="75"/>
      <c r="K11629" s="75"/>
      <c r="L11629" s="75"/>
      <c r="M11629" s="75"/>
      <c r="N11629" s="75"/>
    </row>
    <row r="11630" spans="1:15" ht="12.75" customHeight="1" x14ac:dyDescent="0.3">
      <c r="A11630" s="79" t="s">
        <v>871</v>
      </c>
      <c r="B11630" s="80" t="str">
        <f>A11627</f>
        <v>ACTUALIZACIÓN DE PLANOS SEGÚN OBRA EJECUTADA</v>
      </c>
      <c r="C11630" s="81" t="s">
        <v>916</v>
      </c>
      <c r="D11630" s="82" t="s">
        <v>999</v>
      </c>
      <c r="E11630" s="83" t="s">
        <v>445</v>
      </c>
      <c r="F11630" s="234">
        <f>(H11630+J11630+L11630+N11630)*1.3</f>
        <v>650000</v>
      </c>
      <c r="G11630" s="83" t="s">
        <v>607</v>
      </c>
      <c r="H11630" s="86">
        <f>M11650</f>
        <v>500000</v>
      </c>
      <c r="I11630" s="83" t="s">
        <v>918</v>
      </c>
      <c r="J11630" s="86">
        <f>M11658</f>
        <v>0</v>
      </c>
      <c r="K11630" s="83" t="s">
        <v>609</v>
      </c>
      <c r="L11630" s="86">
        <f>M11666</f>
        <v>0</v>
      </c>
      <c r="M11630" s="83" t="s">
        <v>610</v>
      </c>
      <c r="N11630" s="86">
        <f>M11674</f>
        <v>0</v>
      </c>
    </row>
    <row r="11631" spans="1:15" ht="12.75" customHeight="1" x14ac:dyDescent="0.25">
      <c r="A11631" s="87"/>
      <c r="B11631" s="87"/>
      <c r="C11631" s="87"/>
      <c r="D11631" s="87"/>
      <c r="E11631" s="87"/>
      <c r="F11631" s="87"/>
      <c r="G11631" s="87"/>
      <c r="H11631" s="12"/>
      <c r="I11631" s="12"/>
      <c r="J11631" s="87"/>
      <c r="K11631" s="215" t="s">
        <v>3217</v>
      </c>
      <c r="L11631" s="215">
        <f>+F11630*presup!$O$5</f>
        <v>845000</v>
      </c>
      <c r="M11631" s="87"/>
      <c r="N11631" s="87"/>
    </row>
    <row r="11632" spans="1:15" ht="12.75" customHeight="1" x14ac:dyDescent="0.2">
      <c r="A11632" s="398" t="s">
        <v>919</v>
      </c>
      <c r="B11632" s="271"/>
      <c r="C11632" s="271"/>
      <c r="D11632" s="271"/>
      <c r="E11632" s="271"/>
      <c r="F11632" s="271"/>
      <c r="G11632" s="271"/>
      <c r="H11632" s="271"/>
      <c r="I11632" s="271"/>
      <c r="J11632" s="271"/>
      <c r="K11632" s="271"/>
      <c r="L11632" s="271"/>
      <c r="M11632" s="271"/>
      <c r="N11632" s="273"/>
    </row>
    <row r="11633" spans="1:14" ht="12.75" customHeight="1" x14ac:dyDescent="0.2">
      <c r="A11633" s="396" t="s">
        <v>76</v>
      </c>
      <c r="B11633" s="271"/>
      <c r="C11633" s="271"/>
      <c r="D11633" s="271"/>
      <c r="E11633" s="271"/>
      <c r="F11633" s="271"/>
      <c r="G11633" s="273"/>
      <c r="H11633" s="88" t="s">
        <v>77</v>
      </c>
      <c r="I11633" s="399" t="s">
        <v>920</v>
      </c>
      <c r="J11633" s="273"/>
      <c r="K11633" s="399" t="s">
        <v>453</v>
      </c>
      <c r="L11633" s="273"/>
      <c r="M11633" s="399" t="s">
        <v>921</v>
      </c>
      <c r="N11633" s="273"/>
    </row>
    <row r="11634" spans="1:14" ht="12.75" customHeight="1" x14ac:dyDescent="0.2">
      <c r="A11634" s="403" t="s">
        <v>1560</v>
      </c>
      <c r="B11634" s="271"/>
      <c r="C11634" s="271"/>
      <c r="D11634" s="271"/>
      <c r="E11634" s="271"/>
      <c r="F11634" s="271"/>
      <c r="G11634" s="273"/>
      <c r="H11634" s="29" t="str">
        <f t="shared" ref="H11634:H11649" si="1542">IF(A11634="","",VLOOKUP(A11634,AA_Materiales,7,FALSE))</f>
        <v>Unidad</v>
      </c>
      <c r="I11634" s="394">
        <f t="shared" ref="I11634:I11649" si="1543">IF(A11634="","",VLOOKUP(A11634,AA_Materiales,8,FALSE))</f>
        <v>500000</v>
      </c>
      <c r="J11634" s="273"/>
      <c r="K11634" s="395">
        <v>1</v>
      </c>
      <c r="L11634" s="273"/>
      <c r="M11634" s="394">
        <f t="shared" ref="M11634:M11649" si="1544">IF(A11634="","",I11634*K11634)</f>
        <v>500000</v>
      </c>
      <c r="N11634" s="273"/>
    </row>
    <row r="11635" spans="1:14" ht="12.75" customHeight="1" x14ac:dyDescent="0.2">
      <c r="A11635" s="403"/>
      <c r="B11635" s="271"/>
      <c r="C11635" s="271"/>
      <c r="D11635" s="271"/>
      <c r="E11635" s="271"/>
      <c r="F11635" s="271"/>
      <c r="G11635" s="273"/>
      <c r="H11635" s="29" t="str">
        <f t="shared" si="1542"/>
        <v/>
      </c>
      <c r="I11635" s="394" t="str">
        <f t="shared" si="1543"/>
        <v/>
      </c>
      <c r="J11635" s="273"/>
      <c r="K11635" s="395"/>
      <c r="L11635" s="273"/>
      <c r="M11635" s="394" t="str">
        <f t="shared" si="1544"/>
        <v/>
      </c>
      <c r="N11635" s="273"/>
    </row>
    <row r="11636" spans="1:14" ht="12.75" customHeight="1" x14ac:dyDescent="0.2">
      <c r="A11636" s="403"/>
      <c r="B11636" s="271"/>
      <c r="C11636" s="271"/>
      <c r="D11636" s="271"/>
      <c r="E11636" s="271"/>
      <c r="F11636" s="271"/>
      <c r="G11636" s="273"/>
      <c r="H11636" s="29" t="str">
        <f t="shared" si="1542"/>
        <v/>
      </c>
      <c r="I11636" s="394" t="str">
        <f t="shared" si="1543"/>
        <v/>
      </c>
      <c r="J11636" s="273"/>
      <c r="K11636" s="395"/>
      <c r="L11636" s="273"/>
      <c r="M11636" s="394" t="str">
        <f t="shared" si="1544"/>
        <v/>
      </c>
      <c r="N11636" s="273"/>
    </row>
    <row r="11637" spans="1:14" ht="12.75" customHeight="1" x14ac:dyDescent="0.2">
      <c r="A11637" s="403"/>
      <c r="B11637" s="271"/>
      <c r="C11637" s="271"/>
      <c r="D11637" s="271"/>
      <c r="E11637" s="271"/>
      <c r="F11637" s="271"/>
      <c r="G11637" s="273"/>
      <c r="H11637" s="29" t="str">
        <f t="shared" si="1542"/>
        <v/>
      </c>
      <c r="I11637" s="394" t="str">
        <f t="shared" si="1543"/>
        <v/>
      </c>
      <c r="J11637" s="273"/>
      <c r="K11637" s="395"/>
      <c r="L11637" s="273"/>
      <c r="M11637" s="394" t="str">
        <f t="shared" si="1544"/>
        <v/>
      </c>
      <c r="N11637" s="273"/>
    </row>
    <row r="11638" spans="1:14" ht="12.75" customHeight="1" x14ac:dyDescent="0.2">
      <c r="A11638" s="403"/>
      <c r="B11638" s="271"/>
      <c r="C11638" s="271"/>
      <c r="D11638" s="271"/>
      <c r="E11638" s="271"/>
      <c r="F11638" s="271"/>
      <c r="G11638" s="273"/>
      <c r="H11638" s="29" t="str">
        <f t="shared" si="1542"/>
        <v/>
      </c>
      <c r="I11638" s="394" t="str">
        <f t="shared" si="1543"/>
        <v/>
      </c>
      <c r="J11638" s="273"/>
      <c r="K11638" s="395"/>
      <c r="L11638" s="273"/>
      <c r="M11638" s="394" t="str">
        <f t="shared" si="1544"/>
        <v/>
      </c>
      <c r="N11638" s="273"/>
    </row>
    <row r="11639" spans="1:14" ht="12.75" customHeight="1" x14ac:dyDescent="0.2">
      <c r="A11639" s="403"/>
      <c r="B11639" s="271"/>
      <c r="C11639" s="271"/>
      <c r="D11639" s="271"/>
      <c r="E11639" s="271"/>
      <c r="F11639" s="271"/>
      <c r="G11639" s="273"/>
      <c r="H11639" s="29" t="str">
        <f t="shared" si="1542"/>
        <v/>
      </c>
      <c r="I11639" s="394" t="str">
        <f t="shared" si="1543"/>
        <v/>
      </c>
      <c r="J11639" s="273"/>
      <c r="K11639" s="395"/>
      <c r="L11639" s="273"/>
      <c r="M11639" s="394" t="str">
        <f t="shared" si="1544"/>
        <v/>
      </c>
      <c r="N11639" s="273"/>
    </row>
    <row r="11640" spans="1:14" ht="12.75" customHeight="1" x14ac:dyDescent="0.2">
      <c r="A11640" s="403"/>
      <c r="B11640" s="271"/>
      <c r="C11640" s="271"/>
      <c r="D11640" s="271"/>
      <c r="E11640" s="271"/>
      <c r="F11640" s="271"/>
      <c r="G11640" s="273"/>
      <c r="H11640" s="29" t="str">
        <f t="shared" si="1542"/>
        <v/>
      </c>
      <c r="I11640" s="394" t="str">
        <f t="shared" si="1543"/>
        <v/>
      </c>
      <c r="J11640" s="273"/>
      <c r="K11640" s="395"/>
      <c r="L11640" s="273"/>
      <c r="M11640" s="394" t="str">
        <f t="shared" si="1544"/>
        <v/>
      </c>
      <c r="N11640" s="273"/>
    </row>
    <row r="11641" spans="1:14" ht="12.75" customHeight="1" x14ac:dyDescent="0.2">
      <c r="A11641" s="403"/>
      <c r="B11641" s="271"/>
      <c r="C11641" s="271"/>
      <c r="D11641" s="271"/>
      <c r="E11641" s="271"/>
      <c r="F11641" s="271"/>
      <c r="G11641" s="273"/>
      <c r="H11641" s="29" t="str">
        <f t="shared" si="1542"/>
        <v/>
      </c>
      <c r="I11641" s="394" t="str">
        <f t="shared" si="1543"/>
        <v/>
      </c>
      <c r="J11641" s="273"/>
      <c r="K11641" s="395"/>
      <c r="L11641" s="273"/>
      <c r="M11641" s="394" t="str">
        <f t="shared" si="1544"/>
        <v/>
      </c>
      <c r="N11641" s="273"/>
    </row>
    <row r="11642" spans="1:14" ht="12.75" customHeight="1" x14ac:dyDescent="0.2">
      <c r="A11642" s="403"/>
      <c r="B11642" s="271"/>
      <c r="C11642" s="271"/>
      <c r="D11642" s="271"/>
      <c r="E11642" s="271"/>
      <c r="F11642" s="271"/>
      <c r="G11642" s="273"/>
      <c r="H11642" s="29" t="str">
        <f t="shared" si="1542"/>
        <v/>
      </c>
      <c r="I11642" s="394" t="str">
        <f t="shared" si="1543"/>
        <v/>
      </c>
      <c r="J11642" s="273"/>
      <c r="K11642" s="395"/>
      <c r="L11642" s="273"/>
      <c r="M11642" s="394" t="str">
        <f t="shared" si="1544"/>
        <v/>
      </c>
      <c r="N11642" s="273"/>
    </row>
    <row r="11643" spans="1:14" ht="12.75" customHeight="1" x14ac:dyDescent="0.2">
      <c r="A11643" s="403"/>
      <c r="B11643" s="271"/>
      <c r="C11643" s="271"/>
      <c r="D11643" s="271"/>
      <c r="E11643" s="271"/>
      <c r="F11643" s="271"/>
      <c r="G11643" s="273"/>
      <c r="H11643" s="29" t="str">
        <f t="shared" si="1542"/>
        <v/>
      </c>
      <c r="I11643" s="394" t="str">
        <f t="shared" si="1543"/>
        <v/>
      </c>
      <c r="J11643" s="273"/>
      <c r="K11643" s="395"/>
      <c r="L11643" s="273"/>
      <c r="M11643" s="394" t="str">
        <f t="shared" si="1544"/>
        <v/>
      </c>
      <c r="N11643" s="273"/>
    </row>
    <row r="11644" spans="1:14" ht="12.75" customHeight="1" x14ac:dyDescent="0.2">
      <c r="A11644" s="403"/>
      <c r="B11644" s="271"/>
      <c r="C11644" s="271"/>
      <c r="D11644" s="271"/>
      <c r="E11644" s="271"/>
      <c r="F11644" s="271"/>
      <c r="G11644" s="273"/>
      <c r="H11644" s="29" t="str">
        <f t="shared" si="1542"/>
        <v/>
      </c>
      <c r="I11644" s="394" t="str">
        <f t="shared" si="1543"/>
        <v/>
      </c>
      <c r="J11644" s="273"/>
      <c r="K11644" s="395"/>
      <c r="L11644" s="273"/>
      <c r="M11644" s="394" t="str">
        <f t="shared" si="1544"/>
        <v/>
      </c>
      <c r="N11644" s="273"/>
    </row>
    <row r="11645" spans="1:14" ht="12.75" customHeight="1" x14ac:dyDescent="0.2">
      <c r="A11645" s="403"/>
      <c r="B11645" s="271"/>
      <c r="C11645" s="271"/>
      <c r="D11645" s="271"/>
      <c r="E11645" s="271"/>
      <c r="F11645" s="271"/>
      <c r="G11645" s="273"/>
      <c r="H11645" s="29" t="str">
        <f t="shared" si="1542"/>
        <v/>
      </c>
      <c r="I11645" s="394" t="str">
        <f t="shared" si="1543"/>
        <v/>
      </c>
      <c r="J11645" s="273"/>
      <c r="K11645" s="395"/>
      <c r="L11645" s="273"/>
      <c r="M11645" s="394" t="str">
        <f t="shared" si="1544"/>
        <v/>
      </c>
      <c r="N11645" s="273"/>
    </row>
    <row r="11646" spans="1:14" ht="12.75" customHeight="1" x14ac:dyDescent="0.2">
      <c r="A11646" s="403"/>
      <c r="B11646" s="271"/>
      <c r="C11646" s="271"/>
      <c r="D11646" s="271"/>
      <c r="E11646" s="271"/>
      <c r="F11646" s="271"/>
      <c r="G11646" s="273"/>
      <c r="H11646" s="29" t="str">
        <f t="shared" si="1542"/>
        <v/>
      </c>
      <c r="I11646" s="394" t="str">
        <f t="shared" si="1543"/>
        <v/>
      </c>
      <c r="J11646" s="273"/>
      <c r="K11646" s="395"/>
      <c r="L11646" s="273"/>
      <c r="M11646" s="394" t="str">
        <f t="shared" si="1544"/>
        <v/>
      </c>
      <c r="N11646" s="273"/>
    </row>
    <row r="11647" spans="1:14" ht="12.75" customHeight="1" x14ac:dyDescent="0.2">
      <c r="A11647" s="403"/>
      <c r="B11647" s="271"/>
      <c r="C11647" s="271"/>
      <c r="D11647" s="271"/>
      <c r="E11647" s="271"/>
      <c r="F11647" s="271"/>
      <c r="G11647" s="273"/>
      <c r="H11647" s="29" t="str">
        <f t="shared" si="1542"/>
        <v/>
      </c>
      <c r="I11647" s="394" t="str">
        <f t="shared" si="1543"/>
        <v/>
      </c>
      <c r="J11647" s="273"/>
      <c r="K11647" s="395"/>
      <c r="L11647" s="273"/>
      <c r="M11647" s="394" t="str">
        <f t="shared" si="1544"/>
        <v/>
      </c>
      <c r="N11647" s="273"/>
    </row>
    <row r="11648" spans="1:14" ht="12.75" customHeight="1" x14ac:dyDescent="0.2">
      <c r="A11648" s="403"/>
      <c r="B11648" s="271"/>
      <c r="C11648" s="271"/>
      <c r="D11648" s="271"/>
      <c r="E11648" s="271"/>
      <c r="F11648" s="271"/>
      <c r="G11648" s="273"/>
      <c r="H11648" s="29" t="str">
        <f t="shared" si="1542"/>
        <v/>
      </c>
      <c r="I11648" s="394" t="str">
        <f t="shared" si="1543"/>
        <v/>
      </c>
      <c r="J11648" s="273"/>
      <c r="K11648" s="395"/>
      <c r="L11648" s="273"/>
      <c r="M11648" s="394" t="str">
        <f t="shared" si="1544"/>
        <v/>
      </c>
      <c r="N11648" s="273"/>
    </row>
    <row r="11649" spans="1:14" ht="12.75" customHeight="1" x14ac:dyDescent="0.2">
      <c r="A11649" s="403"/>
      <c r="B11649" s="271"/>
      <c r="C11649" s="271"/>
      <c r="D11649" s="271"/>
      <c r="E11649" s="271"/>
      <c r="F11649" s="271"/>
      <c r="G11649" s="273"/>
      <c r="H11649" s="29" t="str">
        <f t="shared" si="1542"/>
        <v/>
      </c>
      <c r="I11649" s="394" t="str">
        <f t="shared" si="1543"/>
        <v/>
      </c>
      <c r="J11649" s="273"/>
      <c r="K11649" s="395"/>
      <c r="L11649" s="273"/>
      <c r="M11649" s="394" t="str">
        <f t="shared" si="1544"/>
        <v/>
      </c>
      <c r="N11649" s="273"/>
    </row>
    <row r="11650" spans="1:14" ht="12.75" customHeight="1" x14ac:dyDescent="0.25">
      <c r="A11650" s="4"/>
      <c r="B11650" s="4"/>
      <c r="C11650" s="4"/>
      <c r="D11650" s="4"/>
      <c r="E11650" s="4"/>
      <c r="F11650" s="4"/>
      <c r="G11650" s="4"/>
      <c r="H11650" s="4"/>
      <c r="I11650" s="4"/>
      <c r="J11650" s="4"/>
      <c r="K11650" s="396" t="s">
        <v>444</v>
      </c>
      <c r="L11650" s="273"/>
      <c r="M11650" s="394">
        <f>SUM(M11634:N11649)</f>
        <v>500000</v>
      </c>
      <c r="N11650" s="273"/>
    </row>
    <row r="11651" spans="1:14" ht="12.75" customHeight="1" x14ac:dyDescent="0.25">
      <c r="A11651" s="4"/>
      <c r="B11651" s="4"/>
      <c r="C11651" s="4"/>
      <c r="D11651" s="4"/>
      <c r="E11651" s="4"/>
      <c r="F11651" s="4"/>
      <c r="G11651" s="4"/>
      <c r="H11651" s="4"/>
      <c r="I11651" s="4"/>
      <c r="J11651" s="4"/>
      <c r="K11651" s="4"/>
      <c r="L11651" s="4"/>
      <c r="M11651" s="4"/>
      <c r="N11651" s="4"/>
    </row>
    <row r="11652" spans="1:14" ht="12.75" customHeight="1" x14ac:dyDescent="0.2">
      <c r="A11652" s="398" t="s">
        <v>926</v>
      </c>
      <c r="B11652" s="271"/>
      <c r="C11652" s="271"/>
      <c r="D11652" s="271"/>
      <c r="E11652" s="271"/>
      <c r="F11652" s="271"/>
      <c r="G11652" s="271"/>
      <c r="H11652" s="271"/>
      <c r="I11652" s="271"/>
      <c r="J11652" s="271"/>
      <c r="K11652" s="271"/>
      <c r="L11652" s="271"/>
      <c r="M11652" s="271"/>
      <c r="N11652" s="273"/>
    </row>
    <row r="11653" spans="1:14" ht="12.75" customHeight="1" x14ac:dyDescent="0.2">
      <c r="A11653" s="396" t="s">
        <v>76</v>
      </c>
      <c r="B11653" s="271"/>
      <c r="C11653" s="271"/>
      <c r="D11653" s="271"/>
      <c r="E11653" s="271"/>
      <c r="F11653" s="271"/>
      <c r="G11653" s="273"/>
      <c r="H11653" s="88" t="s">
        <v>77</v>
      </c>
      <c r="I11653" s="399" t="s">
        <v>920</v>
      </c>
      <c r="J11653" s="273"/>
      <c r="K11653" s="399" t="s">
        <v>453</v>
      </c>
      <c r="L11653" s="273"/>
      <c r="M11653" s="399" t="s">
        <v>921</v>
      </c>
      <c r="N11653" s="273"/>
    </row>
    <row r="11654" spans="1:14" ht="12.75" customHeight="1" x14ac:dyDescent="0.2">
      <c r="A11654" s="403"/>
      <c r="B11654" s="271"/>
      <c r="C11654" s="271"/>
      <c r="D11654" s="271"/>
      <c r="E11654" s="271"/>
      <c r="F11654" s="271"/>
      <c r="G11654" s="273"/>
      <c r="H11654" s="29" t="str">
        <f>IF(A11654="","",VLOOKUP(A11654,AA_Equipos,7,FALSE))</f>
        <v/>
      </c>
      <c r="I11654" s="394" t="str">
        <f>IF(A11654="","",VLOOKUP(A11654,AA_Equipos,8,FALSE))</f>
        <v/>
      </c>
      <c r="J11654" s="273"/>
      <c r="K11654" s="402"/>
      <c r="L11654" s="273"/>
      <c r="M11654" s="394" t="str">
        <f t="shared" ref="M11654:M11657" si="1545">IF(A11654="","",I11654*K11654)</f>
        <v/>
      </c>
      <c r="N11654" s="273"/>
    </row>
    <row r="11655" spans="1:14" ht="12.75" customHeight="1" x14ac:dyDescent="0.2">
      <c r="A11655" s="400"/>
      <c r="B11655" s="271"/>
      <c r="C11655" s="271"/>
      <c r="D11655" s="271"/>
      <c r="E11655" s="271"/>
      <c r="F11655" s="271"/>
      <c r="G11655" s="273"/>
      <c r="H11655" s="29" t="str">
        <f>IF(A11655="","",VLOOKUP(A11655,AA_Equipos,7,FALSE))</f>
        <v/>
      </c>
      <c r="I11655" s="394" t="str">
        <f>IF(A11655="","",VLOOKUP(A11655,AA_Equipos,8,FALSE))</f>
        <v/>
      </c>
      <c r="J11655" s="273"/>
      <c r="K11655" s="401"/>
      <c r="L11655" s="273"/>
      <c r="M11655" s="394" t="str">
        <f t="shared" si="1545"/>
        <v/>
      </c>
      <c r="N11655" s="273"/>
    </row>
    <row r="11656" spans="1:14" ht="12.75" customHeight="1" x14ac:dyDescent="0.2">
      <c r="A11656" s="400"/>
      <c r="B11656" s="271"/>
      <c r="C11656" s="271"/>
      <c r="D11656" s="271"/>
      <c r="E11656" s="271"/>
      <c r="F11656" s="271"/>
      <c r="G11656" s="273"/>
      <c r="H11656" s="29" t="str">
        <f>IF(A11656="","",VLOOKUP(A11656,AA_Equipos,7,FALSE))</f>
        <v/>
      </c>
      <c r="I11656" s="394" t="str">
        <f>IF(A11656="","",VLOOKUP(A11656,AA_Equipos,8,FALSE))</f>
        <v/>
      </c>
      <c r="J11656" s="273"/>
      <c r="K11656" s="395"/>
      <c r="L11656" s="273"/>
      <c r="M11656" s="394" t="str">
        <f t="shared" si="1545"/>
        <v/>
      </c>
      <c r="N11656" s="273"/>
    </row>
    <row r="11657" spans="1:14" ht="12.75" customHeight="1" x14ac:dyDescent="0.2">
      <c r="A11657" s="400"/>
      <c r="B11657" s="271"/>
      <c r="C11657" s="271"/>
      <c r="D11657" s="271"/>
      <c r="E11657" s="271"/>
      <c r="F11657" s="271"/>
      <c r="G11657" s="273"/>
      <c r="H11657" s="29" t="str">
        <f>IF(A11657="","",VLOOKUP(A11657,AA_Equipos,7,FALSE))</f>
        <v/>
      </c>
      <c r="I11657" s="394" t="str">
        <f>IF(A11657="","",VLOOKUP(A11657,AA_Equipos,8,FALSE))</f>
        <v/>
      </c>
      <c r="J11657" s="273"/>
      <c r="K11657" s="395"/>
      <c r="L11657" s="273"/>
      <c r="M11657" s="394" t="str">
        <f t="shared" si="1545"/>
        <v/>
      </c>
      <c r="N11657" s="273"/>
    </row>
    <row r="11658" spans="1:14" ht="12.75" customHeight="1" x14ac:dyDescent="0.25">
      <c r="A11658" s="4"/>
      <c r="B11658" s="4"/>
      <c r="C11658" s="4"/>
      <c r="D11658" s="4"/>
      <c r="E11658" s="4"/>
      <c r="F11658" s="4"/>
      <c r="G11658" s="4"/>
      <c r="H11658" s="4"/>
      <c r="I11658" s="4"/>
      <c r="J11658" s="4"/>
      <c r="K11658" s="396" t="s">
        <v>444</v>
      </c>
      <c r="L11658" s="273"/>
      <c r="M11658" s="394">
        <f>SUM(M11654:N11657)</f>
        <v>0</v>
      </c>
      <c r="N11658" s="273"/>
    </row>
    <row r="11659" spans="1:14" ht="12.75" customHeight="1" x14ac:dyDescent="0.25">
      <c r="A11659" s="4"/>
      <c r="B11659" s="4"/>
      <c r="C11659" s="4"/>
      <c r="D11659" s="4"/>
      <c r="E11659" s="4"/>
      <c r="F11659" s="4"/>
      <c r="G11659" s="4"/>
      <c r="H11659" s="4"/>
      <c r="I11659" s="4"/>
      <c r="J11659" s="4"/>
      <c r="K11659" s="4"/>
      <c r="L11659" s="4"/>
      <c r="M11659" s="4"/>
      <c r="N11659" s="4"/>
    </row>
    <row r="11660" spans="1:14" ht="12.75" customHeight="1" x14ac:dyDescent="0.2">
      <c r="A11660" s="398" t="s">
        <v>929</v>
      </c>
      <c r="B11660" s="271"/>
      <c r="C11660" s="271"/>
      <c r="D11660" s="271"/>
      <c r="E11660" s="271"/>
      <c r="F11660" s="271"/>
      <c r="G11660" s="271"/>
      <c r="H11660" s="271"/>
      <c r="I11660" s="271"/>
      <c r="J11660" s="271"/>
      <c r="K11660" s="271"/>
      <c r="L11660" s="271"/>
      <c r="M11660" s="271"/>
      <c r="N11660" s="273"/>
    </row>
    <row r="11661" spans="1:14" ht="12.75" customHeight="1" x14ac:dyDescent="0.2">
      <c r="A11661" s="396" t="s">
        <v>76</v>
      </c>
      <c r="B11661" s="271"/>
      <c r="C11661" s="271"/>
      <c r="D11661" s="271"/>
      <c r="E11661" s="271"/>
      <c r="F11661" s="271"/>
      <c r="G11661" s="273"/>
      <c r="H11661" s="88" t="s">
        <v>77</v>
      </c>
      <c r="I11661" s="399" t="s">
        <v>920</v>
      </c>
      <c r="J11661" s="273"/>
      <c r="K11661" s="399" t="s">
        <v>453</v>
      </c>
      <c r="L11661" s="273"/>
      <c r="M11661" s="399" t="s">
        <v>921</v>
      </c>
      <c r="N11661" s="273"/>
    </row>
    <row r="11662" spans="1:14" ht="12.75" customHeight="1" x14ac:dyDescent="0.2">
      <c r="A11662" s="403"/>
      <c r="B11662" s="271"/>
      <c r="C11662" s="271"/>
      <c r="D11662" s="271"/>
      <c r="E11662" s="271"/>
      <c r="F11662" s="271"/>
      <c r="G11662" s="273"/>
      <c r="H11662" s="29"/>
      <c r="I11662" s="394"/>
      <c r="J11662" s="273"/>
      <c r="K11662" s="404"/>
      <c r="L11662" s="273"/>
      <c r="M11662" s="394" t="str">
        <f t="shared" ref="M11662:M11665" si="1546">IF(A11662="","",I11662*K11662)</f>
        <v/>
      </c>
      <c r="N11662" s="273"/>
    </row>
    <row r="11663" spans="1:14" ht="12.75" customHeight="1" x14ac:dyDescent="0.2">
      <c r="A11663" s="400"/>
      <c r="B11663" s="271"/>
      <c r="C11663" s="271"/>
      <c r="D11663" s="271"/>
      <c r="E11663" s="271"/>
      <c r="F11663" s="271"/>
      <c r="G11663" s="273"/>
      <c r="H11663" s="29"/>
      <c r="I11663" s="394"/>
      <c r="J11663" s="273"/>
      <c r="K11663" s="395"/>
      <c r="L11663" s="273"/>
      <c r="M11663" s="394" t="str">
        <f t="shared" si="1546"/>
        <v/>
      </c>
      <c r="N11663" s="273"/>
    </row>
    <row r="11664" spans="1:14" ht="12.75" customHeight="1" x14ac:dyDescent="0.2">
      <c r="A11664" s="400"/>
      <c r="B11664" s="271"/>
      <c r="C11664" s="271"/>
      <c r="D11664" s="271"/>
      <c r="E11664" s="271"/>
      <c r="F11664" s="271"/>
      <c r="G11664" s="273"/>
      <c r="H11664" s="29"/>
      <c r="I11664" s="394"/>
      <c r="J11664" s="273"/>
      <c r="K11664" s="395"/>
      <c r="L11664" s="273"/>
      <c r="M11664" s="394" t="str">
        <f t="shared" si="1546"/>
        <v/>
      </c>
      <c r="N11664" s="273"/>
    </row>
    <row r="11665" spans="1:14" ht="12.75" customHeight="1" x14ac:dyDescent="0.2">
      <c r="A11665" s="400"/>
      <c r="B11665" s="271"/>
      <c r="C11665" s="271"/>
      <c r="D11665" s="271"/>
      <c r="E11665" s="271"/>
      <c r="F11665" s="271"/>
      <c r="G11665" s="273"/>
      <c r="H11665" s="29"/>
      <c r="I11665" s="394"/>
      <c r="J11665" s="273"/>
      <c r="K11665" s="395"/>
      <c r="L11665" s="273"/>
      <c r="M11665" s="394" t="str">
        <f t="shared" si="1546"/>
        <v/>
      </c>
      <c r="N11665" s="273"/>
    </row>
    <row r="11666" spans="1:14" ht="12.75" customHeight="1" x14ac:dyDescent="0.25">
      <c r="A11666" s="4"/>
      <c r="B11666" s="4"/>
      <c r="C11666" s="4"/>
      <c r="D11666" s="4"/>
      <c r="E11666" s="4"/>
      <c r="F11666" s="4"/>
      <c r="G11666" s="4"/>
      <c r="H11666" s="4"/>
      <c r="I11666" s="4"/>
      <c r="J11666" s="4"/>
      <c r="K11666" s="396" t="s">
        <v>444</v>
      </c>
      <c r="L11666" s="273"/>
      <c r="M11666" s="394">
        <f>SUM(M11662:N11665)</f>
        <v>0</v>
      </c>
      <c r="N11666" s="273"/>
    </row>
    <row r="11667" spans="1:14" ht="12.75" customHeight="1" x14ac:dyDescent="0.25">
      <c r="A11667" s="4"/>
      <c r="B11667" s="4"/>
      <c r="C11667" s="4"/>
      <c r="D11667" s="4"/>
      <c r="E11667" s="4"/>
      <c r="F11667" s="4"/>
      <c r="G11667" s="4"/>
      <c r="H11667" s="4"/>
      <c r="I11667" s="4"/>
      <c r="J11667" s="4"/>
      <c r="K11667" s="4"/>
      <c r="L11667" s="4"/>
      <c r="M11667" s="4"/>
      <c r="N11667" s="4"/>
    </row>
    <row r="11668" spans="1:14" ht="12.75" customHeight="1" x14ac:dyDescent="0.2">
      <c r="A11668" s="398" t="s">
        <v>931</v>
      </c>
      <c r="B11668" s="271"/>
      <c r="C11668" s="271"/>
      <c r="D11668" s="271"/>
      <c r="E11668" s="271"/>
      <c r="F11668" s="271"/>
      <c r="G11668" s="271"/>
      <c r="H11668" s="271"/>
      <c r="I11668" s="271"/>
      <c r="J11668" s="271"/>
      <c r="K11668" s="271"/>
      <c r="L11668" s="271"/>
      <c r="M11668" s="271"/>
      <c r="N11668" s="273"/>
    </row>
    <row r="11669" spans="1:14" ht="12.75" customHeight="1" x14ac:dyDescent="0.2">
      <c r="A11669" s="396" t="s">
        <v>76</v>
      </c>
      <c r="B11669" s="271"/>
      <c r="C11669" s="271"/>
      <c r="D11669" s="271"/>
      <c r="E11669" s="271"/>
      <c r="F11669" s="271"/>
      <c r="G11669" s="273"/>
      <c r="H11669" s="88" t="s">
        <v>77</v>
      </c>
      <c r="I11669" s="399" t="s">
        <v>920</v>
      </c>
      <c r="J11669" s="273"/>
      <c r="K11669" s="90" t="s">
        <v>514</v>
      </c>
      <c r="L11669" s="91" t="s">
        <v>932</v>
      </c>
      <c r="M11669" s="399" t="s">
        <v>921</v>
      </c>
      <c r="N11669" s="273"/>
    </row>
    <row r="11670" spans="1:14" ht="12.75" customHeight="1" x14ac:dyDescent="0.25">
      <c r="A11670" s="393"/>
      <c r="B11670" s="271"/>
      <c r="C11670" s="271"/>
      <c r="D11670" s="271"/>
      <c r="E11670" s="271"/>
      <c r="F11670" s="271"/>
      <c r="G11670" s="273"/>
      <c r="H11670" s="29" t="str">
        <f>IF(A11670="","",VLOOKUP(A11670,AA_Cuadrillas,4,FALSE))</f>
        <v/>
      </c>
      <c r="I11670" s="394" t="str">
        <f>IF(A11670="","",VLOOKUP(A11670,AA_Cuadrillas,5,FALSE))</f>
        <v/>
      </c>
      <c r="J11670" s="273"/>
      <c r="K11670" s="9" t="str">
        <f>IF(A11670="","",F.P!$I$2)</f>
        <v/>
      </c>
      <c r="L11670" s="9"/>
      <c r="M11670" s="394" t="str">
        <f t="shared" ref="M11670:M11673" si="1547">IF(A11670="","",I11670*K11670*L11670)</f>
        <v/>
      </c>
      <c r="N11670" s="273"/>
    </row>
    <row r="11671" spans="1:14" ht="12.75" customHeight="1" x14ac:dyDescent="0.25">
      <c r="A11671" s="393"/>
      <c r="B11671" s="271"/>
      <c r="C11671" s="271"/>
      <c r="D11671" s="271"/>
      <c r="E11671" s="271"/>
      <c r="F11671" s="271"/>
      <c r="G11671" s="273"/>
      <c r="H11671" s="29" t="str">
        <f>IF(A11671="","",VLOOKUP(A11671,AA_Cuadrillas,4,FALSE))</f>
        <v/>
      </c>
      <c r="I11671" s="394" t="str">
        <f>IF(A11671="","",VLOOKUP(A11671,AA_Cuadrillas,5,FALSE))</f>
        <v/>
      </c>
      <c r="J11671" s="273"/>
      <c r="K11671" s="9" t="str">
        <f>IF(A11671="","",F.P!$I$2)</f>
        <v/>
      </c>
      <c r="L11671" s="37"/>
      <c r="M11671" s="394" t="str">
        <f t="shared" si="1547"/>
        <v/>
      </c>
      <c r="N11671" s="273"/>
    </row>
    <row r="11672" spans="1:14" ht="12.75" customHeight="1" x14ac:dyDescent="0.25">
      <c r="A11672" s="393"/>
      <c r="B11672" s="271"/>
      <c r="C11672" s="271"/>
      <c r="D11672" s="271"/>
      <c r="E11672" s="271"/>
      <c r="F11672" s="271"/>
      <c r="G11672" s="273"/>
      <c r="H11672" s="29" t="str">
        <f>IF(A11672="","",VLOOKUP(A11672,AA_Cuadrillas,4,FALSE))</f>
        <v/>
      </c>
      <c r="I11672" s="394" t="str">
        <f>IF(A11672="","",VLOOKUP(A11672,AA_Cuadrillas,5,FALSE))</f>
        <v/>
      </c>
      <c r="J11672" s="273"/>
      <c r="K11672" s="9" t="str">
        <f>IF(A11672="","",F.P!$I$2)</f>
        <v/>
      </c>
      <c r="L11672" s="97"/>
      <c r="M11672" s="394" t="str">
        <f t="shared" si="1547"/>
        <v/>
      </c>
      <c r="N11672" s="273"/>
    </row>
    <row r="11673" spans="1:14" ht="12.75" customHeight="1" x14ac:dyDescent="0.25">
      <c r="A11673" s="393"/>
      <c r="B11673" s="271"/>
      <c r="C11673" s="271"/>
      <c r="D11673" s="271"/>
      <c r="E11673" s="271"/>
      <c r="F11673" s="271"/>
      <c r="G11673" s="273"/>
      <c r="H11673" s="29" t="str">
        <f>IF(A11673="","",VLOOKUP(A11673,AA_Cuadrillas,4,FALSE))</f>
        <v/>
      </c>
      <c r="I11673" s="394" t="str">
        <f>IF(A11673="","",VLOOKUP(A11673,AA_Cuadrillas,5,FALSE))</f>
        <v/>
      </c>
      <c r="J11673" s="273"/>
      <c r="K11673" s="9" t="str">
        <f>IF(A11673="","",F.P!$I$2)</f>
        <v/>
      </c>
      <c r="L11673" s="37"/>
      <c r="M11673" s="394" t="str">
        <f t="shared" si="1547"/>
        <v/>
      </c>
      <c r="N11673" s="273"/>
    </row>
    <row r="11674" spans="1:14" ht="12.75" customHeight="1" x14ac:dyDescent="0.25">
      <c r="A11674" s="4"/>
      <c r="B11674" s="4"/>
      <c r="C11674" s="4"/>
      <c r="D11674" s="4"/>
      <c r="E11674" s="4"/>
      <c r="F11674" s="4"/>
      <c r="G11674" s="4"/>
      <c r="H11674" s="4"/>
      <c r="I11674" s="4"/>
      <c r="J11674" s="4"/>
      <c r="K11674" s="396" t="s">
        <v>444</v>
      </c>
      <c r="L11674" s="273"/>
      <c r="M11674" s="394">
        <f>SUM(M11670:N11673)</f>
        <v>0</v>
      </c>
      <c r="N11674" s="273"/>
    </row>
    <row r="11675" spans="1:14" ht="12.75" customHeight="1" x14ac:dyDescent="0.2"/>
    <row r="11676" spans="1:14" ht="12.75" customHeight="1" x14ac:dyDescent="0.2">
      <c r="A11676" s="407" t="s">
        <v>380</v>
      </c>
      <c r="B11676" s="275"/>
      <c r="C11676" s="275"/>
      <c r="D11676" s="275"/>
      <c r="E11676" s="275"/>
      <c r="F11676" s="275"/>
      <c r="G11676" s="275"/>
      <c r="H11676" s="275"/>
      <c r="I11676" s="275"/>
      <c r="J11676" s="275"/>
      <c r="K11676" s="275"/>
      <c r="L11676" s="275"/>
      <c r="M11676" s="275"/>
      <c r="N11676" s="276"/>
    </row>
    <row r="11677" spans="1:14" ht="12.75" customHeight="1" x14ac:dyDescent="0.2">
      <c r="A11677" s="277"/>
      <c r="B11677" s="278"/>
      <c r="C11677" s="278"/>
      <c r="D11677" s="278"/>
      <c r="E11677" s="278"/>
      <c r="F11677" s="278"/>
      <c r="G11677" s="278"/>
      <c r="H11677" s="278"/>
      <c r="I11677" s="278"/>
      <c r="J11677" s="278"/>
      <c r="K11677" s="278"/>
      <c r="L11677" s="278"/>
      <c r="M11677" s="278"/>
      <c r="N11677" s="279"/>
    </row>
    <row r="11678" spans="1:14" ht="12.75" customHeight="1" x14ac:dyDescent="0.2">
      <c r="A11678" s="75"/>
      <c r="B11678" s="75"/>
      <c r="C11678" s="75"/>
      <c r="D11678" s="75"/>
      <c r="E11678" s="75"/>
      <c r="F11678" s="75"/>
      <c r="G11678" s="75"/>
      <c r="H11678" s="75"/>
      <c r="I11678" s="75"/>
      <c r="J11678" s="75"/>
      <c r="K11678" s="75"/>
      <c r="L11678" s="75"/>
      <c r="M11678" s="75"/>
      <c r="N11678" s="75"/>
    </row>
    <row r="11679" spans="1:14" ht="12.75" customHeight="1" x14ac:dyDescent="0.3">
      <c r="A11679" s="79" t="s">
        <v>872</v>
      </c>
      <c r="B11679" s="80" t="str">
        <f>A11676</f>
        <v>CABLEADO DE CONEXIÓN DE LA PUESTA A TIERRA CU 2 AWG EN TUBERÍA PVC 1"</v>
      </c>
      <c r="C11679" s="81" t="s">
        <v>916</v>
      </c>
      <c r="D11679" s="82" t="s">
        <v>999</v>
      </c>
      <c r="E11679" s="83" t="s">
        <v>445</v>
      </c>
      <c r="F11679" s="86">
        <f>H11679+J11679+L11679+N11679</f>
        <v>83344.100000000006</v>
      </c>
      <c r="G11679" s="83" t="s">
        <v>607</v>
      </c>
      <c r="H11679" s="86">
        <f>M11699</f>
        <v>49748.6</v>
      </c>
      <c r="I11679" s="83" t="s">
        <v>918</v>
      </c>
      <c r="J11679" s="86">
        <f>M11708</f>
        <v>1245.5</v>
      </c>
      <c r="K11679" s="83" t="s">
        <v>609</v>
      </c>
      <c r="L11679" s="86">
        <f>M11717</f>
        <v>7440</v>
      </c>
      <c r="M11679" s="83" t="s">
        <v>610</v>
      </c>
      <c r="N11679" s="86">
        <f>M11726</f>
        <v>24910</v>
      </c>
    </row>
    <row r="11680" spans="1:14" ht="12.75" customHeight="1" x14ac:dyDescent="0.25">
      <c r="A11680" s="87"/>
      <c r="B11680" s="87"/>
      <c r="C11680" s="87"/>
      <c r="D11680" s="87"/>
      <c r="E11680" s="87"/>
      <c r="F11680" s="87"/>
      <c r="G11680" s="87"/>
      <c r="H11680" s="12"/>
      <c r="I11680" s="12"/>
      <c r="J11680" s="87"/>
      <c r="K11680" s="215" t="s">
        <v>3217</v>
      </c>
      <c r="L11680" s="215">
        <f>+F11679*presup!$O$5</f>
        <v>108347.33000000002</v>
      </c>
      <c r="M11680" s="87"/>
      <c r="N11680" s="87"/>
    </row>
    <row r="11681" spans="1:14" ht="12.75" customHeight="1" x14ac:dyDescent="0.2">
      <c r="A11681" s="398" t="s">
        <v>919</v>
      </c>
      <c r="B11681" s="271"/>
      <c r="C11681" s="271"/>
      <c r="D11681" s="271"/>
      <c r="E11681" s="271"/>
      <c r="F11681" s="271"/>
      <c r="G11681" s="271"/>
      <c r="H11681" s="271"/>
      <c r="I11681" s="271"/>
      <c r="J11681" s="271"/>
      <c r="K11681" s="271"/>
      <c r="L11681" s="271"/>
      <c r="M11681" s="271"/>
      <c r="N11681" s="273"/>
    </row>
    <row r="11682" spans="1:14" ht="12.75" customHeight="1" x14ac:dyDescent="0.2">
      <c r="A11682" s="396" t="s">
        <v>76</v>
      </c>
      <c r="B11682" s="271"/>
      <c r="C11682" s="271"/>
      <c r="D11682" s="271"/>
      <c r="E11682" s="271"/>
      <c r="F11682" s="271"/>
      <c r="G11682" s="273"/>
      <c r="H11682" s="88" t="s">
        <v>77</v>
      </c>
      <c r="I11682" s="399" t="s">
        <v>920</v>
      </c>
      <c r="J11682" s="273"/>
      <c r="K11682" s="399" t="s">
        <v>453</v>
      </c>
      <c r="L11682" s="273"/>
      <c r="M11682" s="399" t="s">
        <v>921</v>
      </c>
      <c r="N11682" s="273"/>
    </row>
    <row r="11683" spans="1:14" ht="12.75" customHeight="1" x14ac:dyDescent="0.25">
      <c r="A11683" s="309" t="s">
        <v>1561</v>
      </c>
      <c r="B11683" s="271"/>
      <c r="C11683" s="271"/>
      <c r="D11683" s="271"/>
      <c r="E11683" s="271"/>
      <c r="F11683" s="271"/>
      <c r="G11683" s="273"/>
      <c r="H11683" s="29" t="str">
        <f t="shared" ref="H11683:H11698" si="1548">IF(A11683="","",VLOOKUP(A11683,AA_Materiales,7,FALSE))</f>
        <v>Unidad</v>
      </c>
      <c r="I11683" s="394">
        <f t="shared" ref="I11683:I11698" si="1549">IF(A11683="","",VLOOKUP(A11683,AA_Materiales,8,FALSE))</f>
        <v>6550</v>
      </c>
      <c r="J11683" s="273"/>
      <c r="K11683" s="395">
        <v>1</v>
      </c>
      <c r="L11683" s="273"/>
      <c r="M11683" s="394">
        <f t="shared" ref="M11683:M11698" si="1550">IF(A11683="","",I11683*K11683)</f>
        <v>6550</v>
      </c>
      <c r="N11683" s="273"/>
    </row>
    <row r="11684" spans="1:14" ht="12.75" customHeight="1" x14ac:dyDescent="0.25">
      <c r="A11684" s="309" t="s">
        <v>1562</v>
      </c>
      <c r="B11684" s="271"/>
      <c r="C11684" s="271"/>
      <c r="D11684" s="271"/>
      <c r="E11684" s="271"/>
      <c r="F11684" s="271"/>
      <c r="G11684" s="273"/>
      <c r="H11684" s="29" t="str">
        <f t="shared" si="1548"/>
        <v>Unidad</v>
      </c>
      <c r="I11684" s="394">
        <f t="shared" si="1549"/>
        <v>3938</v>
      </c>
      <c r="J11684" s="273"/>
      <c r="K11684" s="395">
        <v>0.3</v>
      </c>
      <c r="L11684" s="273"/>
      <c r="M11684" s="394">
        <f t="shared" si="1550"/>
        <v>1181.3999999999999</v>
      </c>
      <c r="N11684" s="273"/>
    </row>
    <row r="11685" spans="1:14" ht="12.75" customHeight="1" x14ac:dyDescent="0.25">
      <c r="A11685" s="309" t="s">
        <v>1563</v>
      </c>
      <c r="B11685" s="271"/>
      <c r="C11685" s="271"/>
      <c r="D11685" s="271"/>
      <c r="E11685" s="271"/>
      <c r="F11685" s="271"/>
      <c r="G11685" s="273"/>
      <c r="H11685" s="29" t="str">
        <f t="shared" si="1548"/>
        <v>m3</v>
      </c>
      <c r="I11685" s="394">
        <f t="shared" si="1549"/>
        <v>35584</v>
      </c>
      <c r="J11685" s="273"/>
      <c r="K11685" s="395">
        <v>0.3</v>
      </c>
      <c r="L11685" s="273"/>
      <c r="M11685" s="394">
        <f t="shared" si="1550"/>
        <v>10675.199999999999</v>
      </c>
      <c r="N11685" s="273"/>
    </row>
    <row r="11686" spans="1:14" ht="12.75" customHeight="1" x14ac:dyDescent="0.25">
      <c r="A11686" s="309" t="s">
        <v>1564</v>
      </c>
      <c r="B11686" s="271"/>
      <c r="C11686" s="271"/>
      <c r="D11686" s="271"/>
      <c r="E11686" s="271"/>
      <c r="F11686" s="271"/>
      <c r="G11686" s="273"/>
      <c r="H11686" s="29" t="str">
        <f t="shared" si="1548"/>
        <v>m</v>
      </c>
      <c r="I11686" s="394">
        <f t="shared" si="1549"/>
        <v>31342</v>
      </c>
      <c r="J11686" s="273"/>
      <c r="K11686" s="395">
        <v>1</v>
      </c>
      <c r="L11686" s="273"/>
      <c r="M11686" s="394">
        <f t="shared" si="1550"/>
        <v>31342</v>
      </c>
      <c r="N11686" s="273"/>
    </row>
    <row r="11687" spans="1:14" ht="12.75" customHeight="1" x14ac:dyDescent="0.2">
      <c r="A11687" s="403"/>
      <c r="B11687" s="271"/>
      <c r="C11687" s="271"/>
      <c r="D11687" s="271"/>
      <c r="E11687" s="271"/>
      <c r="F11687" s="271"/>
      <c r="G11687" s="273"/>
      <c r="H11687" s="29" t="str">
        <f t="shared" si="1548"/>
        <v/>
      </c>
      <c r="I11687" s="394" t="str">
        <f t="shared" si="1549"/>
        <v/>
      </c>
      <c r="J11687" s="273"/>
      <c r="K11687" s="395"/>
      <c r="L11687" s="273"/>
      <c r="M11687" s="394" t="str">
        <f t="shared" si="1550"/>
        <v/>
      </c>
      <c r="N11687" s="273"/>
    </row>
    <row r="11688" spans="1:14" ht="12.75" customHeight="1" x14ac:dyDescent="0.2">
      <c r="A11688" s="403"/>
      <c r="B11688" s="271"/>
      <c r="C11688" s="271"/>
      <c r="D11688" s="271"/>
      <c r="E11688" s="271"/>
      <c r="F11688" s="271"/>
      <c r="G11688" s="273"/>
      <c r="H11688" s="29" t="str">
        <f t="shared" si="1548"/>
        <v/>
      </c>
      <c r="I11688" s="394" t="str">
        <f t="shared" si="1549"/>
        <v/>
      </c>
      <c r="J11688" s="273"/>
      <c r="K11688" s="395"/>
      <c r="L11688" s="273"/>
      <c r="M11688" s="394" t="str">
        <f t="shared" si="1550"/>
        <v/>
      </c>
      <c r="N11688" s="273"/>
    </row>
    <row r="11689" spans="1:14" ht="12.75" customHeight="1" x14ac:dyDescent="0.2">
      <c r="A11689" s="403"/>
      <c r="B11689" s="271"/>
      <c r="C11689" s="271"/>
      <c r="D11689" s="271"/>
      <c r="E11689" s="271"/>
      <c r="F11689" s="271"/>
      <c r="G11689" s="273"/>
      <c r="H11689" s="29" t="str">
        <f t="shared" si="1548"/>
        <v/>
      </c>
      <c r="I11689" s="394" t="str">
        <f t="shared" si="1549"/>
        <v/>
      </c>
      <c r="J11689" s="273"/>
      <c r="K11689" s="395"/>
      <c r="L11689" s="273"/>
      <c r="M11689" s="394" t="str">
        <f t="shared" si="1550"/>
        <v/>
      </c>
      <c r="N11689" s="273"/>
    </row>
    <row r="11690" spans="1:14" ht="12.75" customHeight="1" x14ac:dyDescent="0.2">
      <c r="A11690" s="403"/>
      <c r="B11690" s="271"/>
      <c r="C11690" s="271"/>
      <c r="D11690" s="271"/>
      <c r="E11690" s="271"/>
      <c r="F11690" s="271"/>
      <c r="G11690" s="273"/>
      <c r="H11690" s="29" t="str">
        <f t="shared" si="1548"/>
        <v/>
      </c>
      <c r="I11690" s="394" t="str">
        <f t="shared" si="1549"/>
        <v/>
      </c>
      <c r="J11690" s="273"/>
      <c r="K11690" s="395"/>
      <c r="L11690" s="273"/>
      <c r="M11690" s="394" t="str">
        <f t="shared" si="1550"/>
        <v/>
      </c>
      <c r="N11690" s="273"/>
    </row>
    <row r="11691" spans="1:14" ht="12.75" customHeight="1" x14ac:dyDescent="0.2">
      <c r="A11691" s="403"/>
      <c r="B11691" s="271"/>
      <c r="C11691" s="271"/>
      <c r="D11691" s="271"/>
      <c r="E11691" s="271"/>
      <c r="F11691" s="271"/>
      <c r="G11691" s="273"/>
      <c r="H11691" s="29" t="str">
        <f t="shared" si="1548"/>
        <v/>
      </c>
      <c r="I11691" s="394" t="str">
        <f t="shared" si="1549"/>
        <v/>
      </c>
      <c r="J11691" s="273"/>
      <c r="K11691" s="395"/>
      <c r="L11691" s="273"/>
      <c r="M11691" s="394" t="str">
        <f t="shared" si="1550"/>
        <v/>
      </c>
      <c r="N11691" s="273"/>
    </row>
    <row r="11692" spans="1:14" ht="12.75" customHeight="1" x14ac:dyDescent="0.2">
      <c r="A11692" s="403"/>
      <c r="B11692" s="271"/>
      <c r="C11692" s="271"/>
      <c r="D11692" s="271"/>
      <c r="E11692" s="271"/>
      <c r="F11692" s="271"/>
      <c r="G11692" s="273"/>
      <c r="H11692" s="29" t="str">
        <f t="shared" si="1548"/>
        <v/>
      </c>
      <c r="I11692" s="394" t="str">
        <f t="shared" si="1549"/>
        <v/>
      </c>
      <c r="J11692" s="273"/>
      <c r="K11692" s="395"/>
      <c r="L11692" s="273"/>
      <c r="M11692" s="394" t="str">
        <f t="shared" si="1550"/>
        <v/>
      </c>
      <c r="N11692" s="273"/>
    </row>
    <row r="11693" spans="1:14" ht="12.75" customHeight="1" x14ac:dyDescent="0.2">
      <c r="A11693" s="403"/>
      <c r="B11693" s="271"/>
      <c r="C11693" s="271"/>
      <c r="D11693" s="271"/>
      <c r="E11693" s="271"/>
      <c r="F11693" s="271"/>
      <c r="G11693" s="273"/>
      <c r="H11693" s="29" t="str">
        <f t="shared" si="1548"/>
        <v/>
      </c>
      <c r="I11693" s="394" t="str">
        <f t="shared" si="1549"/>
        <v/>
      </c>
      <c r="J11693" s="273"/>
      <c r="K11693" s="395"/>
      <c r="L11693" s="273"/>
      <c r="M11693" s="394" t="str">
        <f t="shared" si="1550"/>
        <v/>
      </c>
      <c r="N11693" s="273"/>
    </row>
    <row r="11694" spans="1:14" ht="12.75" customHeight="1" x14ac:dyDescent="0.2">
      <c r="A11694" s="403"/>
      <c r="B11694" s="271"/>
      <c r="C11694" s="271"/>
      <c r="D11694" s="271"/>
      <c r="E11694" s="271"/>
      <c r="F11694" s="271"/>
      <c r="G11694" s="273"/>
      <c r="H11694" s="29" t="str">
        <f t="shared" si="1548"/>
        <v/>
      </c>
      <c r="I11694" s="394" t="str">
        <f t="shared" si="1549"/>
        <v/>
      </c>
      <c r="J11694" s="273"/>
      <c r="K11694" s="395"/>
      <c r="L11694" s="273"/>
      <c r="M11694" s="394" t="str">
        <f t="shared" si="1550"/>
        <v/>
      </c>
      <c r="N11694" s="273"/>
    </row>
    <row r="11695" spans="1:14" ht="12.75" customHeight="1" x14ac:dyDescent="0.2">
      <c r="A11695" s="403"/>
      <c r="B11695" s="271"/>
      <c r="C11695" s="271"/>
      <c r="D11695" s="271"/>
      <c r="E11695" s="271"/>
      <c r="F11695" s="271"/>
      <c r="G11695" s="273"/>
      <c r="H11695" s="29" t="str">
        <f t="shared" si="1548"/>
        <v/>
      </c>
      <c r="I11695" s="394" t="str">
        <f t="shared" si="1549"/>
        <v/>
      </c>
      <c r="J11695" s="273"/>
      <c r="K11695" s="395"/>
      <c r="L11695" s="273"/>
      <c r="M11695" s="394" t="str">
        <f t="shared" si="1550"/>
        <v/>
      </c>
      <c r="N11695" s="273"/>
    </row>
    <row r="11696" spans="1:14" ht="12.75" customHeight="1" x14ac:dyDescent="0.2">
      <c r="A11696" s="403"/>
      <c r="B11696" s="271"/>
      <c r="C11696" s="271"/>
      <c r="D11696" s="271"/>
      <c r="E11696" s="271"/>
      <c r="F11696" s="271"/>
      <c r="G11696" s="273"/>
      <c r="H11696" s="29" t="str">
        <f t="shared" si="1548"/>
        <v/>
      </c>
      <c r="I11696" s="394" t="str">
        <f t="shared" si="1549"/>
        <v/>
      </c>
      <c r="J11696" s="273"/>
      <c r="K11696" s="395"/>
      <c r="L11696" s="273"/>
      <c r="M11696" s="394" t="str">
        <f t="shared" si="1550"/>
        <v/>
      </c>
      <c r="N11696" s="273"/>
    </row>
    <row r="11697" spans="1:14" ht="12.75" customHeight="1" x14ac:dyDescent="0.2">
      <c r="A11697" s="403"/>
      <c r="B11697" s="271"/>
      <c r="C11697" s="271"/>
      <c r="D11697" s="271"/>
      <c r="E11697" s="271"/>
      <c r="F11697" s="271"/>
      <c r="G11697" s="273"/>
      <c r="H11697" s="29" t="str">
        <f t="shared" si="1548"/>
        <v/>
      </c>
      <c r="I11697" s="394" t="str">
        <f t="shared" si="1549"/>
        <v/>
      </c>
      <c r="J11697" s="273"/>
      <c r="K11697" s="395"/>
      <c r="L11697" s="273"/>
      <c r="M11697" s="394" t="str">
        <f t="shared" si="1550"/>
        <v/>
      </c>
      <c r="N11697" s="273"/>
    </row>
    <row r="11698" spans="1:14" ht="12.75" customHeight="1" x14ac:dyDescent="0.2">
      <c r="A11698" s="403"/>
      <c r="B11698" s="271"/>
      <c r="C11698" s="271"/>
      <c r="D11698" s="271"/>
      <c r="E11698" s="271"/>
      <c r="F11698" s="271"/>
      <c r="G11698" s="273"/>
      <c r="H11698" s="29" t="str">
        <f t="shared" si="1548"/>
        <v/>
      </c>
      <c r="I11698" s="394" t="str">
        <f t="shared" si="1549"/>
        <v/>
      </c>
      <c r="J11698" s="273"/>
      <c r="K11698" s="395"/>
      <c r="L11698" s="273"/>
      <c r="M11698" s="394" t="str">
        <f t="shared" si="1550"/>
        <v/>
      </c>
      <c r="N11698" s="273"/>
    </row>
    <row r="11699" spans="1:14" ht="12.75" customHeight="1" x14ac:dyDescent="0.25">
      <c r="A11699" s="4"/>
      <c r="B11699" s="4"/>
      <c r="C11699" s="4"/>
      <c r="D11699" s="4"/>
      <c r="E11699" s="4"/>
      <c r="F11699" s="4"/>
      <c r="G11699" s="4"/>
      <c r="H11699" s="4"/>
      <c r="I11699" s="4"/>
      <c r="J11699" s="4"/>
      <c r="K11699" s="396" t="s">
        <v>444</v>
      </c>
      <c r="L11699" s="273"/>
      <c r="M11699" s="394">
        <f>SUM(M11683:N11698)</f>
        <v>49748.6</v>
      </c>
      <c r="N11699" s="273"/>
    </row>
    <row r="11700" spans="1:14" ht="12.75" customHeight="1" x14ac:dyDescent="0.25">
      <c r="A11700" s="4"/>
      <c r="B11700" s="4"/>
      <c r="C11700" s="4"/>
      <c r="D11700" s="4"/>
      <c r="E11700" s="4"/>
      <c r="F11700" s="4"/>
      <c r="G11700" s="4"/>
      <c r="H11700" s="4"/>
      <c r="I11700" s="4"/>
      <c r="J11700" s="4"/>
      <c r="K11700" s="4"/>
      <c r="L11700" s="4"/>
      <c r="M11700" s="4"/>
      <c r="N11700" s="4"/>
    </row>
    <row r="11701" spans="1:14" ht="12.75" customHeight="1" x14ac:dyDescent="0.2">
      <c r="A11701" s="398" t="s">
        <v>926</v>
      </c>
      <c r="B11701" s="271"/>
      <c r="C11701" s="271"/>
      <c r="D11701" s="271"/>
      <c r="E11701" s="271"/>
      <c r="F11701" s="271"/>
      <c r="G11701" s="271"/>
      <c r="H11701" s="271"/>
      <c r="I11701" s="271"/>
      <c r="J11701" s="271"/>
      <c r="K11701" s="271"/>
      <c r="L11701" s="271"/>
      <c r="M11701" s="271"/>
      <c r="N11701" s="273"/>
    </row>
    <row r="11702" spans="1:14" ht="12.75" customHeight="1" x14ac:dyDescent="0.2">
      <c r="A11702" s="396" t="s">
        <v>76</v>
      </c>
      <c r="B11702" s="271"/>
      <c r="C11702" s="271"/>
      <c r="D11702" s="271"/>
      <c r="E11702" s="271"/>
      <c r="F11702" s="271"/>
      <c r="G11702" s="273"/>
      <c r="H11702" s="88" t="s">
        <v>77</v>
      </c>
      <c r="I11702" s="399" t="s">
        <v>920</v>
      </c>
      <c r="J11702" s="273"/>
      <c r="K11702" s="399" t="s">
        <v>453</v>
      </c>
      <c r="L11702" s="273"/>
      <c r="M11702" s="399" t="s">
        <v>921</v>
      </c>
      <c r="N11702" s="273"/>
    </row>
    <row r="11703" spans="1:14" ht="12.75" customHeight="1" x14ac:dyDescent="0.2">
      <c r="A11703" s="400" t="s">
        <v>927</v>
      </c>
      <c r="B11703" s="271"/>
      <c r="C11703" s="271"/>
      <c r="D11703" s="271"/>
      <c r="E11703" s="271"/>
      <c r="F11703" s="271"/>
      <c r="G11703" s="273"/>
      <c r="H11703" s="29" t="str">
        <f>IF(A11703="","",VLOOKUP(A11703,AA_Equipos,7,FALSE))</f>
        <v>% M.O.</v>
      </c>
      <c r="I11703" s="394">
        <f>+M11726</f>
        <v>24910</v>
      </c>
      <c r="J11703" s="273"/>
      <c r="K11703" s="404">
        <v>0.05</v>
      </c>
      <c r="L11703" s="273"/>
      <c r="M11703" s="394">
        <f t="shared" ref="M11703:M11707" si="1551">IF(A11703="","",I11703*K11703)</f>
        <v>1245.5</v>
      </c>
      <c r="N11703" s="273"/>
    </row>
    <row r="11704" spans="1:14" ht="12.75" customHeight="1" x14ac:dyDescent="0.2">
      <c r="A11704" s="403"/>
      <c r="B11704" s="271"/>
      <c r="C11704" s="271"/>
      <c r="D11704" s="271"/>
      <c r="E11704" s="271"/>
      <c r="F11704" s="271"/>
      <c r="G11704" s="273"/>
      <c r="H11704" s="29" t="str">
        <f>IF(A11704="","",VLOOKUP(A11704,AA_Equipos,7,FALSE))</f>
        <v/>
      </c>
      <c r="I11704" s="394" t="str">
        <f>IF(A11704="","",VLOOKUP(A11704,AA_Equipos,8,FALSE))</f>
        <v/>
      </c>
      <c r="J11704" s="273"/>
      <c r="K11704" s="402"/>
      <c r="L11704" s="273"/>
      <c r="M11704" s="394" t="str">
        <f t="shared" si="1551"/>
        <v/>
      </c>
      <c r="N11704" s="273"/>
    </row>
    <row r="11705" spans="1:14" ht="12.75" customHeight="1" x14ac:dyDescent="0.2">
      <c r="A11705" s="400"/>
      <c r="B11705" s="271"/>
      <c r="C11705" s="271"/>
      <c r="D11705" s="271"/>
      <c r="E11705" s="271"/>
      <c r="F11705" s="271"/>
      <c r="G11705" s="273"/>
      <c r="H11705" s="29" t="str">
        <f>IF(A11705="","",VLOOKUP(A11705,AA_Equipos,7,FALSE))</f>
        <v/>
      </c>
      <c r="I11705" s="394" t="str">
        <f>IF(A11705="","",VLOOKUP(A11705,AA_Equipos,8,FALSE))</f>
        <v/>
      </c>
      <c r="J11705" s="273"/>
      <c r="K11705" s="401"/>
      <c r="L11705" s="273"/>
      <c r="M11705" s="394" t="str">
        <f t="shared" si="1551"/>
        <v/>
      </c>
      <c r="N11705" s="273"/>
    </row>
    <row r="11706" spans="1:14" ht="12.75" customHeight="1" x14ac:dyDescent="0.2">
      <c r="A11706" s="400"/>
      <c r="B11706" s="271"/>
      <c r="C11706" s="271"/>
      <c r="D11706" s="271"/>
      <c r="E11706" s="271"/>
      <c r="F11706" s="271"/>
      <c r="G11706" s="273"/>
      <c r="H11706" s="29" t="str">
        <f>IF(A11706="","",VLOOKUP(A11706,AA_Equipos,7,FALSE))</f>
        <v/>
      </c>
      <c r="I11706" s="394" t="str">
        <f>IF(A11706="","",VLOOKUP(A11706,AA_Equipos,8,FALSE))</f>
        <v/>
      </c>
      <c r="J11706" s="273"/>
      <c r="K11706" s="395"/>
      <c r="L11706" s="273"/>
      <c r="M11706" s="394" t="str">
        <f t="shared" si="1551"/>
        <v/>
      </c>
      <c r="N11706" s="273"/>
    </row>
    <row r="11707" spans="1:14" ht="12.75" customHeight="1" x14ac:dyDescent="0.2">
      <c r="A11707" s="400"/>
      <c r="B11707" s="271"/>
      <c r="C11707" s="271"/>
      <c r="D11707" s="271"/>
      <c r="E11707" s="271"/>
      <c r="F11707" s="271"/>
      <c r="G11707" s="273"/>
      <c r="H11707" s="29" t="str">
        <f>IF(A11707="","",VLOOKUP(A11707,AA_Equipos,7,FALSE))</f>
        <v/>
      </c>
      <c r="I11707" s="394" t="str">
        <f>IF(A11707="","",VLOOKUP(A11707,AA_Equipos,8,FALSE))</f>
        <v/>
      </c>
      <c r="J11707" s="273"/>
      <c r="K11707" s="395"/>
      <c r="L11707" s="273"/>
      <c r="M11707" s="394" t="str">
        <f t="shared" si="1551"/>
        <v/>
      </c>
      <c r="N11707" s="273"/>
    </row>
    <row r="11708" spans="1:14" ht="12.75" customHeight="1" x14ac:dyDescent="0.25">
      <c r="A11708" s="4"/>
      <c r="B11708" s="4"/>
      <c r="C11708" s="4"/>
      <c r="D11708" s="4"/>
      <c r="E11708" s="4"/>
      <c r="F11708" s="4"/>
      <c r="G11708" s="4"/>
      <c r="H11708" s="4"/>
      <c r="I11708" s="4"/>
      <c r="J11708" s="4"/>
      <c r="K11708" s="396" t="s">
        <v>444</v>
      </c>
      <c r="L11708" s="273"/>
      <c r="M11708" s="394">
        <f>SUM(M11703:N11707)</f>
        <v>1245.5</v>
      </c>
      <c r="N11708" s="273"/>
    </row>
    <row r="11709" spans="1:14" ht="12.75" customHeight="1" x14ac:dyDescent="0.25">
      <c r="A11709" s="4"/>
      <c r="B11709" s="4"/>
      <c r="C11709" s="4"/>
      <c r="D11709" s="4"/>
      <c r="E11709" s="4"/>
      <c r="F11709" s="4"/>
      <c r="G11709" s="4"/>
      <c r="H11709" s="4"/>
      <c r="I11709" s="4"/>
      <c r="J11709" s="4"/>
      <c r="K11709" s="4"/>
      <c r="L11709" s="4"/>
      <c r="M11709" s="4"/>
      <c r="N11709" s="4"/>
    </row>
    <row r="11710" spans="1:14" ht="12.75" customHeight="1" x14ac:dyDescent="0.2">
      <c r="A11710" s="398" t="s">
        <v>929</v>
      </c>
      <c r="B11710" s="271"/>
      <c r="C11710" s="271"/>
      <c r="D11710" s="271"/>
      <c r="E11710" s="271"/>
      <c r="F11710" s="271"/>
      <c r="G11710" s="271"/>
      <c r="H11710" s="271"/>
      <c r="I11710" s="271"/>
      <c r="J11710" s="271"/>
      <c r="K11710" s="271"/>
      <c r="L11710" s="271"/>
      <c r="M11710" s="271"/>
      <c r="N11710" s="273"/>
    </row>
    <row r="11711" spans="1:14" ht="12.75" customHeight="1" x14ac:dyDescent="0.2">
      <c r="A11711" s="396" t="s">
        <v>76</v>
      </c>
      <c r="B11711" s="271"/>
      <c r="C11711" s="271"/>
      <c r="D11711" s="271"/>
      <c r="E11711" s="271"/>
      <c r="F11711" s="271"/>
      <c r="G11711" s="273"/>
      <c r="H11711" s="88" t="s">
        <v>77</v>
      </c>
      <c r="I11711" s="399" t="s">
        <v>920</v>
      </c>
      <c r="J11711" s="273"/>
      <c r="K11711" s="399" t="s">
        <v>453</v>
      </c>
      <c r="L11711" s="273"/>
      <c r="M11711" s="399" t="s">
        <v>921</v>
      </c>
      <c r="N11711" s="273"/>
    </row>
    <row r="11712" spans="1:14" ht="12.75" customHeight="1" x14ac:dyDescent="0.2">
      <c r="A11712" s="400" t="s">
        <v>1559</v>
      </c>
      <c r="B11712" s="271"/>
      <c r="C11712" s="271"/>
      <c r="D11712" s="271"/>
      <c r="E11712" s="271"/>
      <c r="F11712" s="271"/>
      <c r="G11712" s="273"/>
      <c r="H11712" s="29" t="str">
        <f>IF(A11712="","",VLOOKUP(A11712,AA_Equipos,7,FALSE))</f>
        <v>Día</v>
      </c>
      <c r="I11712" s="394">
        <f>IF(A11712="","",VLOOKUP(A11712,AA_Equipos,8,FALSE))</f>
        <v>74400</v>
      </c>
      <c r="J11712" s="273"/>
      <c r="K11712" s="408">
        <v>0.1</v>
      </c>
      <c r="L11712" s="273"/>
      <c r="M11712" s="394">
        <f t="shared" ref="M11712:M11716" si="1552">IF(A11712="","",I11712*K11712)</f>
        <v>7440</v>
      </c>
      <c r="N11712" s="273"/>
    </row>
    <row r="11713" spans="1:14" ht="12.75" customHeight="1" x14ac:dyDescent="0.2">
      <c r="A11713" s="403"/>
      <c r="B11713" s="271"/>
      <c r="C11713" s="271"/>
      <c r="D11713" s="271"/>
      <c r="E11713" s="271"/>
      <c r="F11713" s="271"/>
      <c r="G11713" s="273"/>
      <c r="H11713" s="29"/>
      <c r="I11713" s="394"/>
      <c r="J11713" s="273"/>
      <c r="K11713" s="404"/>
      <c r="L11713" s="273"/>
      <c r="M11713" s="394" t="str">
        <f t="shared" si="1552"/>
        <v/>
      </c>
      <c r="N11713" s="273"/>
    </row>
    <row r="11714" spans="1:14" ht="12.75" customHeight="1" x14ac:dyDescent="0.2">
      <c r="A11714" s="400"/>
      <c r="B11714" s="271"/>
      <c r="C11714" s="271"/>
      <c r="D11714" s="271"/>
      <c r="E11714" s="271"/>
      <c r="F11714" s="271"/>
      <c r="G11714" s="273"/>
      <c r="H11714" s="29"/>
      <c r="I11714" s="394"/>
      <c r="J11714" s="273"/>
      <c r="K11714" s="395"/>
      <c r="L11714" s="273"/>
      <c r="M11714" s="394" t="str">
        <f t="shared" si="1552"/>
        <v/>
      </c>
      <c r="N11714" s="273"/>
    </row>
    <row r="11715" spans="1:14" ht="12.75" customHeight="1" x14ac:dyDescent="0.2">
      <c r="A11715" s="400"/>
      <c r="B11715" s="271"/>
      <c r="C11715" s="271"/>
      <c r="D11715" s="271"/>
      <c r="E11715" s="271"/>
      <c r="F11715" s="271"/>
      <c r="G11715" s="273"/>
      <c r="H11715" s="29"/>
      <c r="I11715" s="394"/>
      <c r="J11715" s="273"/>
      <c r="K11715" s="395"/>
      <c r="L11715" s="273"/>
      <c r="M11715" s="394" t="str">
        <f t="shared" si="1552"/>
        <v/>
      </c>
      <c r="N11715" s="273"/>
    </row>
    <row r="11716" spans="1:14" ht="12.75" customHeight="1" x14ac:dyDescent="0.2">
      <c r="A11716" s="400"/>
      <c r="B11716" s="271"/>
      <c r="C11716" s="271"/>
      <c r="D11716" s="271"/>
      <c r="E11716" s="271"/>
      <c r="F11716" s="271"/>
      <c r="G11716" s="273"/>
      <c r="H11716" s="29"/>
      <c r="I11716" s="394"/>
      <c r="J11716" s="273"/>
      <c r="K11716" s="395"/>
      <c r="L11716" s="273"/>
      <c r="M11716" s="394" t="str">
        <f t="shared" si="1552"/>
        <v/>
      </c>
      <c r="N11716" s="273"/>
    </row>
    <row r="11717" spans="1:14" ht="12.75" customHeight="1" x14ac:dyDescent="0.25">
      <c r="A11717" s="4"/>
      <c r="B11717" s="4"/>
      <c r="C11717" s="4"/>
      <c r="D11717" s="4"/>
      <c r="E11717" s="4"/>
      <c r="F11717" s="4"/>
      <c r="G11717" s="4"/>
      <c r="H11717" s="4"/>
      <c r="I11717" s="4"/>
      <c r="J11717" s="4"/>
      <c r="K11717" s="396" t="s">
        <v>444</v>
      </c>
      <c r="L11717" s="273"/>
      <c r="M11717" s="394">
        <f>SUM(M11712:N11716)</f>
        <v>7440</v>
      </c>
      <c r="N11717" s="273"/>
    </row>
    <row r="11718" spans="1:14" ht="12.75" customHeight="1" x14ac:dyDescent="0.25">
      <c r="A11718" s="4"/>
      <c r="B11718" s="4"/>
      <c r="C11718" s="4"/>
      <c r="D11718" s="4"/>
      <c r="E11718" s="4"/>
      <c r="F11718" s="4"/>
      <c r="G11718" s="4"/>
      <c r="H11718" s="4"/>
      <c r="I11718" s="4"/>
      <c r="J11718" s="4"/>
      <c r="K11718" s="4"/>
      <c r="L11718" s="4"/>
      <c r="M11718" s="4"/>
      <c r="N11718" s="4"/>
    </row>
    <row r="11719" spans="1:14" ht="12.75" customHeight="1" x14ac:dyDescent="0.2">
      <c r="A11719" s="398" t="s">
        <v>931</v>
      </c>
      <c r="B11719" s="271"/>
      <c r="C11719" s="271"/>
      <c r="D11719" s="271"/>
      <c r="E11719" s="271"/>
      <c r="F11719" s="271"/>
      <c r="G11719" s="271"/>
      <c r="H11719" s="271"/>
      <c r="I11719" s="271"/>
      <c r="J11719" s="271"/>
      <c r="K11719" s="271"/>
      <c r="L11719" s="271"/>
      <c r="M11719" s="271"/>
      <c r="N11719" s="273"/>
    </row>
    <row r="11720" spans="1:14" ht="12.75" customHeight="1" x14ac:dyDescent="0.2">
      <c r="A11720" s="396" t="s">
        <v>76</v>
      </c>
      <c r="B11720" s="271"/>
      <c r="C11720" s="271"/>
      <c r="D11720" s="271"/>
      <c r="E11720" s="271"/>
      <c r="F11720" s="271"/>
      <c r="G11720" s="273"/>
      <c r="H11720" s="88" t="s">
        <v>77</v>
      </c>
      <c r="I11720" s="399" t="s">
        <v>920</v>
      </c>
      <c r="J11720" s="273"/>
      <c r="K11720" s="90" t="s">
        <v>514</v>
      </c>
      <c r="L11720" s="91" t="s">
        <v>932</v>
      </c>
      <c r="M11720" s="399" t="s">
        <v>921</v>
      </c>
      <c r="N11720" s="273"/>
    </row>
    <row r="11721" spans="1:14" ht="12.75" customHeight="1" x14ac:dyDescent="0.25">
      <c r="A11721" s="393" t="s">
        <v>1301</v>
      </c>
      <c r="B11721" s="271"/>
      <c r="C11721" s="271"/>
      <c r="D11721" s="271"/>
      <c r="E11721" s="271"/>
      <c r="F11721" s="271"/>
      <c r="G11721" s="273"/>
      <c r="H11721" s="29" t="str">
        <f>IF(A11721="","",VLOOKUP(A11721,AA_Cuadrillas,4,FALSE))</f>
        <v>Cuadrilla</v>
      </c>
      <c r="I11721" s="394">
        <f>IF(A11721="","",VLOOKUP(A11721,AA_Cuadrillas,5,FALSE))</f>
        <v>132500</v>
      </c>
      <c r="J11721" s="273"/>
      <c r="K11721" s="9">
        <f>IF(A11721="","",F.P!$I$2)</f>
        <v>1.88</v>
      </c>
      <c r="L11721" s="97">
        <v>0.1</v>
      </c>
      <c r="M11721" s="394">
        <f t="shared" ref="M11721:M11725" si="1553">IF(A11721="","",I11721*K11721*L11721)</f>
        <v>24910</v>
      </c>
      <c r="N11721" s="273"/>
    </row>
    <row r="11722" spans="1:14" ht="12.75" customHeight="1" x14ac:dyDescent="0.25">
      <c r="A11722" s="393"/>
      <c r="B11722" s="271"/>
      <c r="C11722" s="271"/>
      <c r="D11722" s="271"/>
      <c r="E11722" s="271"/>
      <c r="F11722" s="271"/>
      <c r="G11722" s="273"/>
      <c r="H11722" s="29" t="str">
        <f>IF(A11722="","",VLOOKUP(A11722,AA_Cuadrillas,4,FALSE))</f>
        <v/>
      </c>
      <c r="I11722" s="394" t="str">
        <f>IF(A11722="","",VLOOKUP(A11722,AA_Cuadrillas,5,FALSE))</f>
        <v/>
      </c>
      <c r="J11722" s="273"/>
      <c r="K11722" s="9" t="str">
        <f>IF(A11722="","",F.P!$I$2)</f>
        <v/>
      </c>
      <c r="L11722" s="9"/>
      <c r="M11722" s="394" t="str">
        <f t="shared" si="1553"/>
        <v/>
      </c>
      <c r="N11722" s="273"/>
    </row>
    <row r="11723" spans="1:14" ht="12.75" customHeight="1" x14ac:dyDescent="0.25">
      <c r="A11723" s="393"/>
      <c r="B11723" s="271"/>
      <c r="C11723" s="271"/>
      <c r="D11723" s="271"/>
      <c r="E11723" s="271"/>
      <c r="F11723" s="271"/>
      <c r="G11723" s="273"/>
      <c r="H11723" s="29" t="str">
        <f>IF(A11723="","",VLOOKUP(A11723,AA_Cuadrillas,4,FALSE))</f>
        <v/>
      </c>
      <c r="I11723" s="394" t="str">
        <f>IF(A11723="","",VLOOKUP(A11723,AA_Cuadrillas,5,FALSE))</f>
        <v/>
      </c>
      <c r="J11723" s="273"/>
      <c r="K11723" s="9" t="str">
        <f>IF(A11723="","",F.P!$I$2)</f>
        <v/>
      </c>
      <c r="L11723" s="37"/>
      <c r="M11723" s="394" t="str">
        <f t="shared" si="1553"/>
        <v/>
      </c>
      <c r="N11723" s="273"/>
    </row>
    <row r="11724" spans="1:14" ht="12.75" customHeight="1" x14ac:dyDescent="0.25">
      <c r="A11724" s="393"/>
      <c r="B11724" s="271"/>
      <c r="C11724" s="271"/>
      <c r="D11724" s="271"/>
      <c r="E11724" s="271"/>
      <c r="F11724" s="271"/>
      <c r="G11724" s="273"/>
      <c r="H11724" s="29" t="str">
        <f>IF(A11724="","",VLOOKUP(A11724,AA_Cuadrillas,4,FALSE))</f>
        <v/>
      </c>
      <c r="I11724" s="394" t="str">
        <f>IF(A11724="","",VLOOKUP(A11724,AA_Cuadrillas,5,FALSE))</f>
        <v/>
      </c>
      <c r="J11724" s="273"/>
      <c r="K11724" s="9" t="str">
        <f>IF(A11724="","",F.P!$I$2)</f>
        <v/>
      </c>
      <c r="L11724" s="97"/>
      <c r="M11724" s="394" t="str">
        <f t="shared" si="1553"/>
        <v/>
      </c>
      <c r="N11724" s="273"/>
    </row>
    <row r="11725" spans="1:14" ht="12.75" customHeight="1" x14ac:dyDescent="0.25">
      <c r="A11725" s="393"/>
      <c r="B11725" s="271"/>
      <c r="C11725" s="271"/>
      <c r="D11725" s="271"/>
      <c r="E11725" s="271"/>
      <c r="F11725" s="271"/>
      <c r="G11725" s="273"/>
      <c r="H11725" s="29" t="str">
        <f>IF(A11725="","",VLOOKUP(A11725,AA_Cuadrillas,4,FALSE))</f>
        <v/>
      </c>
      <c r="I11725" s="394" t="str">
        <f>IF(A11725="","",VLOOKUP(A11725,AA_Cuadrillas,5,FALSE))</f>
        <v/>
      </c>
      <c r="J11725" s="273"/>
      <c r="K11725" s="9" t="str">
        <f>IF(A11725="","",F.P!$I$2)</f>
        <v/>
      </c>
      <c r="L11725" s="37"/>
      <c r="M11725" s="394" t="str">
        <f t="shared" si="1553"/>
        <v/>
      </c>
      <c r="N11725" s="273"/>
    </row>
    <row r="11726" spans="1:14" ht="12.75" customHeight="1" x14ac:dyDescent="0.25">
      <c r="A11726" s="4"/>
      <c r="B11726" s="4"/>
      <c r="C11726" s="4"/>
      <c r="D11726" s="4"/>
      <c r="E11726" s="4"/>
      <c r="F11726" s="4"/>
      <c r="G11726" s="4"/>
      <c r="H11726" s="4"/>
      <c r="I11726" s="4"/>
      <c r="J11726" s="4"/>
      <c r="K11726" s="396" t="s">
        <v>444</v>
      </c>
      <c r="L11726" s="273"/>
      <c r="M11726" s="394">
        <f>SUM(M11721:N11725)</f>
        <v>24910</v>
      </c>
      <c r="N11726" s="273"/>
    </row>
    <row r="11727" spans="1:14" ht="12.75" customHeight="1" x14ac:dyDescent="0.2"/>
    <row r="11728" spans="1:14" ht="12.75" customHeight="1" x14ac:dyDescent="0.2">
      <c r="A11728" s="407" t="s">
        <v>381</v>
      </c>
      <c r="B11728" s="275"/>
      <c r="C11728" s="275"/>
      <c r="D11728" s="275"/>
      <c r="E11728" s="275"/>
      <c r="F11728" s="275"/>
      <c r="G11728" s="275"/>
      <c r="H11728" s="275"/>
      <c r="I11728" s="275"/>
      <c r="J11728" s="275"/>
      <c r="K11728" s="275"/>
      <c r="L11728" s="275"/>
      <c r="M11728" s="275"/>
      <c r="N11728" s="276"/>
    </row>
    <row r="11729" spans="1:14" ht="12.75" customHeight="1" x14ac:dyDescent="0.2">
      <c r="A11729" s="277"/>
      <c r="B11729" s="278"/>
      <c r="C11729" s="278"/>
      <c r="D11729" s="278"/>
      <c r="E11729" s="278"/>
      <c r="F11729" s="278"/>
      <c r="G11729" s="278"/>
      <c r="H11729" s="278"/>
      <c r="I11729" s="278"/>
      <c r="J11729" s="278"/>
      <c r="K11729" s="278"/>
      <c r="L11729" s="278"/>
      <c r="M11729" s="278"/>
      <c r="N11729" s="279"/>
    </row>
    <row r="11730" spans="1:14" ht="12.75" customHeight="1" x14ac:dyDescent="0.2">
      <c r="A11730" s="75"/>
      <c r="B11730" s="75"/>
      <c r="C11730" s="75"/>
      <c r="D11730" s="75"/>
      <c r="E11730" s="75"/>
      <c r="F11730" s="75"/>
      <c r="G11730" s="75"/>
      <c r="H11730" s="75"/>
      <c r="I11730" s="75"/>
      <c r="J11730" s="75"/>
      <c r="K11730" s="75"/>
      <c r="L11730" s="75"/>
      <c r="M11730" s="75"/>
      <c r="N11730" s="75"/>
    </row>
    <row r="11731" spans="1:14" ht="12.75" customHeight="1" x14ac:dyDescent="0.3">
      <c r="A11731" s="79" t="s">
        <v>873</v>
      </c>
      <c r="B11731" s="80" t="str">
        <f>A11728</f>
        <v>SALIDA PARA LUMINARIA LED HERMÉTICA SYLVANIA 50W O LUMINARIA TIPO PANEL LED 60x60</v>
      </c>
      <c r="C11731" s="81" t="s">
        <v>916</v>
      </c>
      <c r="D11731" s="82" t="s">
        <v>999</v>
      </c>
      <c r="E11731" s="83" t="s">
        <v>445</v>
      </c>
      <c r="F11731" s="86">
        <f>H11731+J11731+L11731+N11731</f>
        <v>172597.41066666669</v>
      </c>
      <c r="G11731" s="83" t="s">
        <v>607</v>
      </c>
      <c r="H11731" s="86">
        <f>M11751</f>
        <v>105406.41066666668</v>
      </c>
      <c r="I11731" s="83" t="s">
        <v>918</v>
      </c>
      <c r="J11731" s="86">
        <f>M11760</f>
        <v>2491</v>
      </c>
      <c r="K11731" s="83" t="s">
        <v>609</v>
      </c>
      <c r="L11731" s="86">
        <f>M11769</f>
        <v>14880</v>
      </c>
      <c r="M11731" s="83" t="s">
        <v>610</v>
      </c>
      <c r="N11731" s="86">
        <f>M11778</f>
        <v>49820</v>
      </c>
    </row>
    <row r="11732" spans="1:14" ht="12.75" customHeight="1" x14ac:dyDescent="0.25">
      <c r="A11732" s="87"/>
      <c r="B11732" s="87"/>
      <c r="C11732" s="87"/>
      <c r="D11732" s="87"/>
      <c r="E11732" s="87"/>
      <c r="F11732" s="87"/>
      <c r="G11732" s="87"/>
      <c r="H11732" s="12"/>
      <c r="I11732" s="12"/>
      <c r="J11732" s="87"/>
      <c r="K11732" s="215" t="s">
        <v>3217</v>
      </c>
      <c r="L11732" s="215">
        <f>+F11731*presup!$O$5</f>
        <v>224376.6338666667</v>
      </c>
      <c r="M11732" s="87"/>
      <c r="N11732" s="87"/>
    </row>
    <row r="11733" spans="1:14" ht="12.75" customHeight="1" x14ac:dyDescent="0.2">
      <c r="A11733" s="398" t="s">
        <v>919</v>
      </c>
      <c r="B11733" s="271"/>
      <c r="C11733" s="271"/>
      <c r="D11733" s="271"/>
      <c r="E11733" s="271"/>
      <c r="F11733" s="271"/>
      <c r="G11733" s="271"/>
      <c r="H11733" s="271"/>
      <c r="I11733" s="271"/>
      <c r="J11733" s="271"/>
      <c r="K11733" s="271"/>
      <c r="L11733" s="271"/>
      <c r="M11733" s="271"/>
      <c r="N11733" s="273"/>
    </row>
    <row r="11734" spans="1:14" ht="12.75" customHeight="1" x14ac:dyDescent="0.2">
      <c r="A11734" s="396" t="s">
        <v>76</v>
      </c>
      <c r="B11734" s="271"/>
      <c r="C11734" s="271"/>
      <c r="D11734" s="271"/>
      <c r="E11734" s="271"/>
      <c r="F11734" s="271"/>
      <c r="G11734" s="273"/>
      <c r="H11734" s="88" t="s">
        <v>77</v>
      </c>
      <c r="I11734" s="399" t="s">
        <v>920</v>
      </c>
      <c r="J11734" s="273"/>
      <c r="K11734" s="399" t="s">
        <v>453</v>
      </c>
      <c r="L11734" s="273"/>
      <c r="M11734" s="399" t="s">
        <v>921</v>
      </c>
      <c r="N11734" s="273"/>
    </row>
    <row r="11735" spans="1:14" ht="12.75" customHeight="1" x14ac:dyDescent="0.2">
      <c r="A11735" s="403" t="str">
        <f>'precios '!C406</f>
        <v>Tubería conduit EMT ø 3/4"</v>
      </c>
      <c r="B11735" s="271"/>
      <c r="C11735" s="271"/>
      <c r="D11735" s="271"/>
      <c r="E11735" s="271"/>
      <c r="F11735" s="271"/>
      <c r="G11735" s="273"/>
      <c r="H11735" s="29" t="str">
        <f t="shared" ref="H11735:H11750" si="1554">IF(A11735="","",VLOOKUP(A11735,AA_Materiales,7,FALSE))</f>
        <v>m</v>
      </c>
      <c r="I11735" s="394">
        <f t="shared" ref="I11735:I11750" si="1555">IF(A11735="","",VLOOKUP(A11735,AA_Materiales,8,FALSE))</f>
        <v>8461.9733333333334</v>
      </c>
      <c r="J11735" s="273"/>
      <c r="K11735" s="395">
        <v>5</v>
      </c>
      <c r="L11735" s="273"/>
      <c r="M11735" s="394">
        <f t="shared" ref="M11735:M11750" si="1556">IF(A11735="","",I11735*K11735)</f>
        <v>42309.866666666669</v>
      </c>
      <c r="N11735" s="273"/>
    </row>
    <row r="11736" spans="1:14" ht="12.75" customHeight="1" x14ac:dyDescent="0.2">
      <c r="A11736" s="403" t="str">
        <f>'precios '!C407</f>
        <v>Adaptador Terminal EMT 3/4"</v>
      </c>
      <c r="B11736" s="271"/>
      <c r="C11736" s="271"/>
      <c r="D11736" s="271"/>
      <c r="E11736" s="271"/>
      <c r="F11736" s="271"/>
      <c r="G11736" s="273"/>
      <c r="H11736" s="29" t="str">
        <f t="shared" si="1554"/>
        <v>Unidad</v>
      </c>
      <c r="I11736" s="394">
        <f t="shared" si="1555"/>
        <v>1865.9199999999998</v>
      </c>
      <c r="J11736" s="273"/>
      <c r="K11736" s="395">
        <v>2</v>
      </c>
      <c r="L11736" s="273"/>
      <c r="M11736" s="394">
        <f t="shared" si="1556"/>
        <v>3731.8399999999997</v>
      </c>
      <c r="N11736" s="273"/>
    </row>
    <row r="11737" spans="1:14" ht="12.75" customHeight="1" x14ac:dyDescent="0.2">
      <c r="A11737" s="403" t="str">
        <f>'precios '!C408</f>
        <v>Union EMT de 3/4"</v>
      </c>
      <c r="B11737" s="271"/>
      <c r="C11737" s="271"/>
      <c r="D11737" s="271"/>
      <c r="E11737" s="271"/>
      <c r="F11737" s="271"/>
      <c r="G11737" s="273"/>
      <c r="H11737" s="29" t="str">
        <f t="shared" si="1554"/>
        <v>Unidad</v>
      </c>
      <c r="I11737" s="394">
        <f t="shared" si="1555"/>
        <v>1697.3600000000001</v>
      </c>
      <c r="J11737" s="273"/>
      <c r="K11737" s="395">
        <v>1</v>
      </c>
      <c r="L11737" s="273"/>
      <c r="M11737" s="394">
        <f t="shared" si="1556"/>
        <v>1697.3600000000001</v>
      </c>
      <c r="N11737" s="273"/>
    </row>
    <row r="11738" spans="1:14" ht="12.75" customHeight="1" x14ac:dyDescent="0.2">
      <c r="A11738" s="403" t="str">
        <f>'precios '!C409</f>
        <v>Caja de paso tipo hexagonal</v>
      </c>
      <c r="B11738" s="271"/>
      <c r="C11738" s="271"/>
      <c r="D11738" s="271"/>
      <c r="E11738" s="271"/>
      <c r="F11738" s="271"/>
      <c r="G11738" s="273"/>
      <c r="H11738" s="29" t="str">
        <f t="shared" si="1554"/>
        <v>Unidad</v>
      </c>
      <c r="I11738" s="394">
        <f t="shared" si="1555"/>
        <v>2751.84</v>
      </c>
      <c r="J11738" s="273"/>
      <c r="K11738" s="395">
        <v>1</v>
      </c>
      <c r="L11738" s="273"/>
      <c r="M11738" s="394">
        <f t="shared" si="1556"/>
        <v>2751.84</v>
      </c>
      <c r="N11738" s="273"/>
    </row>
    <row r="11739" spans="1:14" ht="12.75" customHeight="1" x14ac:dyDescent="0.2">
      <c r="A11739" s="403" t="str">
        <f>'precios '!C410</f>
        <v>Varilla roscada 3/8"</v>
      </c>
      <c r="B11739" s="271"/>
      <c r="C11739" s="271"/>
      <c r="D11739" s="271"/>
      <c r="E11739" s="271"/>
      <c r="F11739" s="271"/>
      <c r="G11739" s="273"/>
      <c r="H11739" s="29" t="str">
        <f t="shared" si="1554"/>
        <v>m</v>
      </c>
      <c r="I11739" s="394">
        <f t="shared" si="1555"/>
        <v>4532.826666666665</v>
      </c>
      <c r="J11739" s="273"/>
      <c r="K11739" s="395">
        <v>1</v>
      </c>
      <c r="L11739" s="273"/>
      <c r="M11739" s="394">
        <f t="shared" si="1556"/>
        <v>4532.826666666665</v>
      </c>
      <c r="N11739" s="273"/>
    </row>
    <row r="11740" spans="1:14" ht="12.75" customHeight="1" x14ac:dyDescent="0.2">
      <c r="A11740" s="403" t="str">
        <f>'precios '!C411</f>
        <v>Chazo Expansion Hembra Rosca Interna 5/16</v>
      </c>
      <c r="B11740" s="271"/>
      <c r="C11740" s="271"/>
      <c r="D11740" s="271"/>
      <c r="E11740" s="271"/>
      <c r="F11740" s="271"/>
      <c r="G11740" s="273"/>
      <c r="H11740" s="29" t="str">
        <f t="shared" si="1554"/>
        <v>Unidad</v>
      </c>
      <c r="I11740" s="394">
        <f t="shared" si="1555"/>
        <v>780.08</v>
      </c>
      <c r="J11740" s="273"/>
      <c r="K11740" s="395">
        <v>2</v>
      </c>
      <c r="L11740" s="273"/>
      <c r="M11740" s="394">
        <f t="shared" si="1556"/>
        <v>1560.16</v>
      </c>
      <c r="N11740" s="273"/>
    </row>
    <row r="11741" spans="1:14" ht="12.75" customHeight="1" x14ac:dyDescent="0.2">
      <c r="A11741" s="403" t="str">
        <f>'precios '!C412</f>
        <v>Grapa para tubería</v>
      </c>
      <c r="B11741" s="271"/>
      <c r="C11741" s="271"/>
      <c r="D11741" s="271"/>
      <c r="E11741" s="271"/>
      <c r="F11741" s="271"/>
      <c r="G11741" s="273"/>
      <c r="H11741" s="29" t="str">
        <f t="shared" si="1554"/>
        <v>Unidad</v>
      </c>
      <c r="I11741" s="394">
        <f t="shared" si="1555"/>
        <v>1058.3999999999999</v>
      </c>
      <c r="J11741" s="273"/>
      <c r="K11741" s="395">
        <v>2</v>
      </c>
      <c r="L11741" s="273"/>
      <c r="M11741" s="394">
        <f t="shared" si="1556"/>
        <v>2116.7999999999997</v>
      </c>
      <c r="N11741" s="273"/>
    </row>
    <row r="11742" spans="1:14" ht="12.75" customHeight="1" x14ac:dyDescent="0.2">
      <c r="A11742" s="403" t="str">
        <f>'precios '!C413</f>
        <v>Cable Cu No 12 AWG</v>
      </c>
      <c r="B11742" s="271"/>
      <c r="C11742" s="271"/>
      <c r="D11742" s="271"/>
      <c r="E11742" s="271"/>
      <c r="F11742" s="271"/>
      <c r="G11742" s="273"/>
      <c r="H11742" s="29" t="str">
        <f t="shared" si="1554"/>
        <v>m</v>
      </c>
      <c r="I11742" s="394">
        <f t="shared" si="1555"/>
        <v>6737.64</v>
      </c>
      <c r="J11742" s="273"/>
      <c r="K11742" s="395">
        <v>3.5</v>
      </c>
      <c r="L11742" s="273"/>
      <c r="M11742" s="394">
        <f t="shared" si="1556"/>
        <v>23581.74</v>
      </c>
      <c r="N11742" s="273"/>
    </row>
    <row r="11743" spans="1:14" ht="12.75" customHeight="1" x14ac:dyDescent="0.2">
      <c r="A11743" s="403" t="str">
        <f>'precios '!C414</f>
        <v>Conector tipo resorte para cableNo 12</v>
      </c>
      <c r="B11743" s="271"/>
      <c r="C11743" s="271"/>
      <c r="D11743" s="271"/>
      <c r="E11743" s="271"/>
      <c r="F11743" s="271"/>
      <c r="G11743" s="273"/>
      <c r="H11743" s="29" t="str">
        <f t="shared" si="1554"/>
        <v>Unidad</v>
      </c>
      <c r="I11743" s="394">
        <f t="shared" si="1555"/>
        <v>1470</v>
      </c>
      <c r="J11743" s="273"/>
      <c r="K11743" s="395">
        <v>5</v>
      </c>
      <c r="L11743" s="273"/>
      <c r="M11743" s="394">
        <f t="shared" si="1556"/>
        <v>7350</v>
      </c>
      <c r="N11743" s="273"/>
    </row>
    <row r="11744" spans="1:14" ht="12.75" customHeight="1" x14ac:dyDescent="0.2">
      <c r="A11744" s="403" t="str">
        <f>'precios '!C415</f>
        <v>Fungibles para instalación de tuberías</v>
      </c>
      <c r="B11744" s="271"/>
      <c r="C11744" s="271"/>
      <c r="D11744" s="271"/>
      <c r="E11744" s="271"/>
      <c r="F11744" s="271"/>
      <c r="G11744" s="273"/>
      <c r="H11744" s="29" t="str">
        <f t="shared" si="1554"/>
        <v>Unidad</v>
      </c>
      <c r="I11744" s="394">
        <f t="shared" si="1555"/>
        <v>1532.7199999999998</v>
      </c>
      <c r="J11744" s="273"/>
      <c r="K11744" s="395">
        <v>1</v>
      </c>
      <c r="L11744" s="273"/>
      <c r="M11744" s="394">
        <f t="shared" si="1556"/>
        <v>1532.7199999999998</v>
      </c>
      <c r="N11744" s="273"/>
    </row>
    <row r="11745" spans="1:14" ht="12.75" customHeight="1" x14ac:dyDescent="0.2">
      <c r="A11745" s="403" t="str">
        <f>'precios '!C416</f>
        <v>Riel chanel 4X2</v>
      </c>
      <c r="B11745" s="271"/>
      <c r="C11745" s="271"/>
      <c r="D11745" s="271"/>
      <c r="E11745" s="271"/>
      <c r="F11745" s="271"/>
      <c r="G11745" s="273"/>
      <c r="H11745" s="29" t="str">
        <f t="shared" si="1554"/>
        <v>m</v>
      </c>
      <c r="I11745" s="394">
        <f t="shared" si="1555"/>
        <v>16322.973333333332</v>
      </c>
      <c r="J11745" s="273"/>
      <c r="K11745" s="395">
        <v>0.1</v>
      </c>
      <c r="L11745" s="273"/>
      <c r="M11745" s="394">
        <f t="shared" si="1556"/>
        <v>1632.2973333333332</v>
      </c>
      <c r="N11745" s="273"/>
    </row>
    <row r="11746" spans="1:14" ht="12.75" customHeight="1" x14ac:dyDescent="0.2">
      <c r="A11746" s="403" t="str">
        <f>'precios '!C417</f>
        <v>Cable encauchetado LSHF No 3x16 AWG</v>
      </c>
      <c r="B11746" s="271"/>
      <c r="C11746" s="271"/>
      <c r="D11746" s="271"/>
      <c r="E11746" s="271"/>
      <c r="F11746" s="271"/>
      <c r="G11746" s="273"/>
      <c r="H11746" s="29" t="str">
        <f t="shared" si="1554"/>
        <v>m</v>
      </c>
      <c r="I11746" s="394">
        <f t="shared" si="1555"/>
        <v>4277</v>
      </c>
      <c r="J11746" s="273"/>
      <c r="K11746" s="395">
        <v>2</v>
      </c>
      <c r="L11746" s="273"/>
      <c r="M11746" s="394">
        <f t="shared" si="1556"/>
        <v>8554</v>
      </c>
      <c r="N11746" s="273"/>
    </row>
    <row r="11747" spans="1:14" ht="12.75" customHeight="1" x14ac:dyDescent="0.2">
      <c r="A11747" s="403" t="str">
        <f>'precios '!C418</f>
        <v>Prensa estopa 1/2"</v>
      </c>
      <c r="B11747" s="271"/>
      <c r="C11747" s="271"/>
      <c r="D11747" s="271"/>
      <c r="E11747" s="271"/>
      <c r="F11747" s="271"/>
      <c r="G11747" s="273"/>
      <c r="H11747" s="29" t="str">
        <f t="shared" si="1554"/>
        <v>Unidad</v>
      </c>
      <c r="I11747" s="394">
        <f t="shared" si="1555"/>
        <v>3094</v>
      </c>
      <c r="J11747" s="273"/>
      <c r="K11747" s="395">
        <v>1</v>
      </c>
      <c r="L11747" s="273"/>
      <c r="M11747" s="394">
        <f t="shared" si="1556"/>
        <v>3094</v>
      </c>
      <c r="N11747" s="273"/>
    </row>
    <row r="11748" spans="1:14" ht="12.75" customHeight="1" x14ac:dyDescent="0.2">
      <c r="A11748" s="403" t="str">
        <f>'precios '!C419</f>
        <v>Suplemento metálico para caja 2400</v>
      </c>
      <c r="B11748" s="271"/>
      <c r="C11748" s="271"/>
      <c r="D11748" s="271"/>
      <c r="E11748" s="271"/>
      <c r="F11748" s="271"/>
      <c r="G11748" s="273"/>
      <c r="H11748" s="29" t="str">
        <f t="shared" si="1554"/>
        <v>Unidad</v>
      </c>
      <c r="I11748" s="394">
        <f t="shared" si="1555"/>
        <v>960.95999999999992</v>
      </c>
      <c r="J11748" s="273"/>
      <c r="K11748" s="395">
        <v>1</v>
      </c>
      <c r="L11748" s="273"/>
      <c r="M11748" s="394">
        <f t="shared" si="1556"/>
        <v>960.95999999999992</v>
      </c>
      <c r="N11748" s="273"/>
    </row>
    <row r="11749" spans="1:14" ht="12.75" customHeight="1" x14ac:dyDescent="0.2">
      <c r="A11749" s="403"/>
      <c r="B11749" s="271"/>
      <c r="C11749" s="271"/>
      <c r="D11749" s="271"/>
      <c r="E11749" s="271"/>
      <c r="F11749" s="271"/>
      <c r="G11749" s="273"/>
      <c r="H11749" s="29" t="str">
        <f t="shared" si="1554"/>
        <v/>
      </c>
      <c r="I11749" s="394" t="str">
        <f t="shared" si="1555"/>
        <v/>
      </c>
      <c r="J11749" s="273"/>
      <c r="K11749" s="395"/>
      <c r="L11749" s="273"/>
      <c r="M11749" s="394" t="str">
        <f t="shared" si="1556"/>
        <v/>
      </c>
      <c r="N11749" s="273"/>
    </row>
    <row r="11750" spans="1:14" ht="12.75" customHeight="1" x14ac:dyDescent="0.2">
      <c r="A11750" s="403"/>
      <c r="B11750" s="271"/>
      <c r="C11750" s="271"/>
      <c r="D11750" s="271"/>
      <c r="E11750" s="271"/>
      <c r="F11750" s="271"/>
      <c r="G11750" s="273"/>
      <c r="H11750" s="29" t="str">
        <f t="shared" si="1554"/>
        <v/>
      </c>
      <c r="I11750" s="394" t="str">
        <f t="shared" si="1555"/>
        <v/>
      </c>
      <c r="J11750" s="273"/>
      <c r="K11750" s="395"/>
      <c r="L11750" s="273"/>
      <c r="M11750" s="394" t="str">
        <f t="shared" si="1556"/>
        <v/>
      </c>
      <c r="N11750" s="273"/>
    </row>
    <row r="11751" spans="1:14" ht="12.75" customHeight="1" x14ac:dyDescent="0.25">
      <c r="A11751" s="4"/>
      <c r="B11751" s="4"/>
      <c r="C11751" s="4"/>
      <c r="D11751" s="4"/>
      <c r="E11751" s="4"/>
      <c r="F11751" s="4"/>
      <c r="G11751" s="4"/>
      <c r="H11751" s="4"/>
      <c r="I11751" s="4"/>
      <c r="J11751" s="4"/>
      <c r="K11751" s="396" t="s">
        <v>444</v>
      </c>
      <c r="L11751" s="273"/>
      <c r="M11751" s="394">
        <f>SUM(M11735:N11750)</f>
        <v>105406.41066666668</v>
      </c>
      <c r="N11751" s="273"/>
    </row>
    <row r="11752" spans="1:14" ht="12.75" customHeight="1" x14ac:dyDescent="0.25">
      <c r="A11752" s="4"/>
      <c r="B11752" s="4"/>
      <c r="C11752" s="4"/>
      <c r="D11752" s="4"/>
      <c r="E11752" s="4"/>
      <c r="F11752" s="4"/>
      <c r="G11752" s="4"/>
      <c r="H11752" s="4"/>
      <c r="I11752" s="4"/>
      <c r="J11752" s="4"/>
      <c r="K11752" s="4"/>
      <c r="L11752" s="4"/>
      <c r="M11752" s="4"/>
      <c r="N11752" s="4"/>
    </row>
    <row r="11753" spans="1:14" ht="12.75" customHeight="1" x14ac:dyDescent="0.2">
      <c r="A11753" s="398" t="s">
        <v>926</v>
      </c>
      <c r="B11753" s="271"/>
      <c r="C11753" s="271"/>
      <c r="D11753" s="271"/>
      <c r="E11753" s="271"/>
      <c r="F11753" s="271"/>
      <c r="G11753" s="271"/>
      <c r="H11753" s="271"/>
      <c r="I11753" s="271"/>
      <c r="J11753" s="271"/>
      <c r="K11753" s="271"/>
      <c r="L11753" s="271"/>
      <c r="M11753" s="271"/>
      <c r="N11753" s="273"/>
    </row>
    <row r="11754" spans="1:14" ht="12.75" customHeight="1" x14ac:dyDescent="0.2">
      <c r="A11754" s="396" t="s">
        <v>76</v>
      </c>
      <c r="B11754" s="271"/>
      <c r="C11754" s="271"/>
      <c r="D11754" s="271"/>
      <c r="E11754" s="271"/>
      <c r="F11754" s="271"/>
      <c r="G11754" s="273"/>
      <c r="H11754" s="88" t="s">
        <v>77</v>
      </c>
      <c r="I11754" s="399" t="s">
        <v>920</v>
      </c>
      <c r="J11754" s="273"/>
      <c r="K11754" s="399" t="s">
        <v>453</v>
      </c>
      <c r="L11754" s="273"/>
      <c r="M11754" s="399" t="s">
        <v>921</v>
      </c>
      <c r="N11754" s="273"/>
    </row>
    <row r="11755" spans="1:14" ht="12.75" customHeight="1" x14ac:dyDescent="0.2">
      <c r="A11755" s="400" t="s">
        <v>927</v>
      </c>
      <c r="B11755" s="271"/>
      <c r="C11755" s="271"/>
      <c r="D11755" s="271"/>
      <c r="E11755" s="271"/>
      <c r="F11755" s="271"/>
      <c r="G11755" s="273"/>
      <c r="H11755" s="29" t="str">
        <f>IF(A11755="","",VLOOKUP(A11755,AA_Equipos,7,FALSE))</f>
        <v>% M.O.</v>
      </c>
      <c r="I11755" s="394">
        <f>+M11778</f>
        <v>49820</v>
      </c>
      <c r="J11755" s="273"/>
      <c r="K11755" s="404">
        <v>0.05</v>
      </c>
      <c r="L11755" s="273"/>
      <c r="M11755" s="394">
        <f t="shared" ref="M11755:M11759" si="1557">IF(A11755="","",I11755*K11755)</f>
        <v>2491</v>
      </c>
      <c r="N11755" s="273"/>
    </row>
    <row r="11756" spans="1:14" ht="12.75" customHeight="1" x14ac:dyDescent="0.2">
      <c r="A11756" s="403"/>
      <c r="B11756" s="271"/>
      <c r="C11756" s="271"/>
      <c r="D11756" s="271"/>
      <c r="E11756" s="271"/>
      <c r="F11756" s="271"/>
      <c r="G11756" s="273"/>
      <c r="H11756" s="29" t="str">
        <f>IF(A11756="","",VLOOKUP(A11756,AA_Equipos,7,FALSE))</f>
        <v/>
      </c>
      <c r="I11756" s="394" t="str">
        <f>IF(A11756="","",VLOOKUP(A11756,AA_Equipos,8,FALSE))</f>
        <v/>
      </c>
      <c r="J11756" s="273"/>
      <c r="K11756" s="402"/>
      <c r="L11756" s="273"/>
      <c r="M11756" s="394" t="str">
        <f t="shared" si="1557"/>
        <v/>
      </c>
      <c r="N11756" s="273"/>
    </row>
    <row r="11757" spans="1:14" ht="12.75" customHeight="1" x14ac:dyDescent="0.2">
      <c r="A11757" s="400"/>
      <c r="B11757" s="271"/>
      <c r="C11757" s="271"/>
      <c r="D11757" s="271"/>
      <c r="E11757" s="271"/>
      <c r="F11757" s="271"/>
      <c r="G11757" s="273"/>
      <c r="H11757" s="29" t="str">
        <f>IF(A11757="","",VLOOKUP(A11757,AA_Equipos,7,FALSE))</f>
        <v/>
      </c>
      <c r="I11757" s="394" t="str">
        <f>IF(A11757="","",VLOOKUP(A11757,AA_Equipos,8,FALSE))</f>
        <v/>
      </c>
      <c r="J11757" s="273"/>
      <c r="K11757" s="401"/>
      <c r="L11757" s="273"/>
      <c r="M11757" s="394" t="str">
        <f t="shared" si="1557"/>
        <v/>
      </c>
      <c r="N11757" s="273"/>
    </row>
    <row r="11758" spans="1:14" ht="12.75" customHeight="1" x14ac:dyDescent="0.2">
      <c r="A11758" s="400"/>
      <c r="B11758" s="271"/>
      <c r="C11758" s="271"/>
      <c r="D11758" s="271"/>
      <c r="E11758" s="271"/>
      <c r="F11758" s="271"/>
      <c r="G11758" s="273"/>
      <c r="H11758" s="29" t="str">
        <f>IF(A11758="","",VLOOKUP(A11758,AA_Equipos,7,FALSE))</f>
        <v/>
      </c>
      <c r="I11758" s="394" t="str">
        <f>IF(A11758="","",VLOOKUP(A11758,AA_Equipos,8,FALSE))</f>
        <v/>
      </c>
      <c r="J11758" s="273"/>
      <c r="K11758" s="395"/>
      <c r="L11758" s="273"/>
      <c r="M11758" s="394" t="str">
        <f t="shared" si="1557"/>
        <v/>
      </c>
      <c r="N11758" s="273"/>
    </row>
    <row r="11759" spans="1:14" ht="12.75" customHeight="1" x14ac:dyDescent="0.2">
      <c r="A11759" s="400"/>
      <c r="B11759" s="271"/>
      <c r="C11759" s="271"/>
      <c r="D11759" s="271"/>
      <c r="E11759" s="271"/>
      <c r="F11759" s="271"/>
      <c r="G11759" s="273"/>
      <c r="H11759" s="29" t="str">
        <f>IF(A11759="","",VLOOKUP(A11759,AA_Equipos,7,FALSE))</f>
        <v/>
      </c>
      <c r="I11759" s="394" t="str">
        <f>IF(A11759="","",VLOOKUP(A11759,AA_Equipos,8,FALSE))</f>
        <v/>
      </c>
      <c r="J11759" s="273"/>
      <c r="K11759" s="395"/>
      <c r="L11759" s="273"/>
      <c r="M11759" s="394" t="str">
        <f t="shared" si="1557"/>
        <v/>
      </c>
      <c r="N11759" s="273"/>
    </row>
    <row r="11760" spans="1:14" ht="12.75" customHeight="1" x14ac:dyDescent="0.25">
      <c r="A11760" s="4"/>
      <c r="B11760" s="4"/>
      <c r="C11760" s="4"/>
      <c r="D11760" s="4"/>
      <c r="E11760" s="4"/>
      <c r="F11760" s="4"/>
      <c r="G11760" s="4"/>
      <c r="H11760" s="4"/>
      <c r="I11760" s="4"/>
      <c r="J11760" s="4"/>
      <c r="K11760" s="396" t="s">
        <v>444</v>
      </c>
      <c r="L11760" s="273"/>
      <c r="M11760" s="394">
        <f>SUM(M11755:N11759)</f>
        <v>2491</v>
      </c>
      <c r="N11760" s="273"/>
    </row>
    <row r="11761" spans="1:14" ht="12.75" customHeight="1" x14ac:dyDescent="0.25">
      <c r="A11761" s="4"/>
      <c r="B11761" s="4"/>
      <c r="C11761" s="4"/>
      <c r="D11761" s="4"/>
      <c r="E11761" s="4"/>
      <c r="F11761" s="4"/>
      <c r="G11761" s="4"/>
      <c r="H11761" s="4"/>
      <c r="I11761" s="4"/>
      <c r="J11761" s="4"/>
      <c r="K11761" s="4"/>
      <c r="L11761" s="4"/>
      <c r="M11761" s="4"/>
      <c r="N11761" s="4"/>
    </row>
    <row r="11762" spans="1:14" ht="12.75" customHeight="1" x14ac:dyDescent="0.2">
      <c r="A11762" s="398" t="s">
        <v>929</v>
      </c>
      <c r="B11762" s="271"/>
      <c r="C11762" s="271"/>
      <c r="D11762" s="271"/>
      <c r="E11762" s="271"/>
      <c r="F11762" s="271"/>
      <c r="G11762" s="271"/>
      <c r="H11762" s="271"/>
      <c r="I11762" s="271"/>
      <c r="J11762" s="271"/>
      <c r="K11762" s="271"/>
      <c r="L11762" s="271"/>
      <c r="M11762" s="271"/>
      <c r="N11762" s="273"/>
    </row>
    <row r="11763" spans="1:14" ht="12.75" customHeight="1" x14ac:dyDescent="0.2">
      <c r="A11763" s="396" t="s">
        <v>76</v>
      </c>
      <c r="B11763" s="271"/>
      <c r="C11763" s="271"/>
      <c r="D11763" s="271"/>
      <c r="E11763" s="271"/>
      <c r="F11763" s="271"/>
      <c r="G11763" s="273"/>
      <c r="H11763" s="88" t="s">
        <v>77</v>
      </c>
      <c r="I11763" s="399" t="s">
        <v>920</v>
      </c>
      <c r="J11763" s="273"/>
      <c r="K11763" s="399" t="s">
        <v>453</v>
      </c>
      <c r="L11763" s="273"/>
      <c r="M11763" s="399" t="s">
        <v>921</v>
      </c>
      <c r="N11763" s="273"/>
    </row>
    <row r="11764" spans="1:14" ht="12.75" customHeight="1" x14ac:dyDescent="0.2">
      <c r="A11764" s="400" t="s">
        <v>1559</v>
      </c>
      <c r="B11764" s="271"/>
      <c r="C11764" s="271"/>
      <c r="D11764" s="271"/>
      <c r="E11764" s="271"/>
      <c r="F11764" s="271"/>
      <c r="G11764" s="273"/>
      <c r="H11764" s="29" t="str">
        <f>IF(A11764="","",VLOOKUP(A11764,AA_Equipos,7,FALSE))</f>
        <v>Día</v>
      </c>
      <c r="I11764" s="394">
        <f>IF(A11764="","",VLOOKUP(A11764,AA_Equipos,8,FALSE))</f>
        <v>74400</v>
      </c>
      <c r="J11764" s="273"/>
      <c r="K11764" s="408">
        <v>0.2</v>
      </c>
      <c r="L11764" s="273"/>
      <c r="M11764" s="394">
        <f t="shared" ref="M11764:M11768" si="1558">IF(A11764="","",I11764*K11764)</f>
        <v>14880</v>
      </c>
      <c r="N11764" s="273"/>
    </row>
    <row r="11765" spans="1:14" ht="12.75" customHeight="1" x14ac:dyDescent="0.2">
      <c r="A11765" s="403"/>
      <c r="B11765" s="271"/>
      <c r="C11765" s="271"/>
      <c r="D11765" s="271"/>
      <c r="E11765" s="271"/>
      <c r="F11765" s="271"/>
      <c r="G11765" s="273"/>
      <c r="H11765" s="29"/>
      <c r="I11765" s="394"/>
      <c r="J11765" s="273"/>
      <c r="K11765" s="404"/>
      <c r="L11765" s="273"/>
      <c r="M11765" s="394" t="str">
        <f t="shared" si="1558"/>
        <v/>
      </c>
      <c r="N11765" s="273"/>
    </row>
    <row r="11766" spans="1:14" ht="12.75" customHeight="1" x14ac:dyDescent="0.2">
      <c r="A11766" s="400"/>
      <c r="B11766" s="271"/>
      <c r="C11766" s="271"/>
      <c r="D11766" s="271"/>
      <c r="E11766" s="271"/>
      <c r="F11766" s="271"/>
      <c r="G11766" s="273"/>
      <c r="H11766" s="29"/>
      <c r="I11766" s="394"/>
      <c r="J11766" s="273"/>
      <c r="K11766" s="395"/>
      <c r="L11766" s="273"/>
      <c r="M11766" s="394" t="str">
        <f t="shared" si="1558"/>
        <v/>
      </c>
      <c r="N11766" s="273"/>
    </row>
    <row r="11767" spans="1:14" ht="12.75" customHeight="1" x14ac:dyDescent="0.2">
      <c r="A11767" s="400"/>
      <c r="B11767" s="271"/>
      <c r="C11767" s="271"/>
      <c r="D11767" s="271"/>
      <c r="E11767" s="271"/>
      <c r="F11767" s="271"/>
      <c r="G11767" s="273"/>
      <c r="H11767" s="29"/>
      <c r="I11767" s="394"/>
      <c r="J11767" s="273"/>
      <c r="K11767" s="395"/>
      <c r="L11767" s="273"/>
      <c r="M11767" s="394" t="str">
        <f t="shared" si="1558"/>
        <v/>
      </c>
      <c r="N11767" s="273"/>
    </row>
    <row r="11768" spans="1:14" ht="12.75" customHeight="1" x14ac:dyDescent="0.2">
      <c r="A11768" s="400"/>
      <c r="B11768" s="271"/>
      <c r="C11768" s="271"/>
      <c r="D11768" s="271"/>
      <c r="E11768" s="271"/>
      <c r="F11768" s="271"/>
      <c r="G11768" s="273"/>
      <c r="H11768" s="29"/>
      <c r="I11768" s="394"/>
      <c r="J11768" s="273"/>
      <c r="K11768" s="395"/>
      <c r="L11768" s="273"/>
      <c r="M11768" s="394" t="str">
        <f t="shared" si="1558"/>
        <v/>
      </c>
      <c r="N11768" s="273"/>
    </row>
    <row r="11769" spans="1:14" ht="12.75" customHeight="1" x14ac:dyDescent="0.25">
      <c r="A11769" s="4"/>
      <c r="B11769" s="4"/>
      <c r="C11769" s="4"/>
      <c r="D11769" s="4"/>
      <c r="E11769" s="4"/>
      <c r="F11769" s="4"/>
      <c r="G11769" s="4"/>
      <c r="H11769" s="4"/>
      <c r="I11769" s="4"/>
      <c r="J11769" s="4"/>
      <c r="K11769" s="396" t="s">
        <v>444</v>
      </c>
      <c r="L11769" s="273"/>
      <c r="M11769" s="394">
        <f>SUM(M11764:N11768)</f>
        <v>14880</v>
      </c>
      <c r="N11769" s="273"/>
    </row>
    <row r="11770" spans="1:14" ht="12.75" customHeight="1" x14ac:dyDescent="0.25">
      <c r="A11770" s="4"/>
      <c r="B11770" s="4"/>
      <c r="C11770" s="4"/>
      <c r="D11770" s="4"/>
      <c r="E11770" s="4"/>
      <c r="F11770" s="4"/>
      <c r="G11770" s="4"/>
      <c r="H11770" s="4"/>
      <c r="I11770" s="4"/>
      <c r="J11770" s="4"/>
      <c r="K11770" s="4"/>
      <c r="L11770" s="4"/>
      <c r="M11770" s="4"/>
      <c r="N11770" s="4"/>
    </row>
    <row r="11771" spans="1:14" ht="12.75" customHeight="1" x14ac:dyDescent="0.2">
      <c r="A11771" s="398" t="s">
        <v>931</v>
      </c>
      <c r="B11771" s="271"/>
      <c r="C11771" s="271"/>
      <c r="D11771" s="271"/>
      <c r="E11771" s="271"/>
      <c r="F11771" s="271"/>
      <c r="G11771" s="271"/>
      <c r="H11771" s="271"/>
      <c r="I11771" s="271"/>
      <c r="J11771" s="271"/>
      <c r="K11771" s="271"/>
      <c r="L11771" s="271"/>
      <c r="M11771" s="271"/>
      <c r="N11771" s="273"/>
    </row>
    <row r="11772" spans="1:14" ht="12.75" customHeight="1" x14ac:dyDescent="0.2">
      <c r="A11772" s="396" t="s">
        <v>76</v>
      </c>
      <c r="B11772" s="271"/>
      <c r="C11772" s="271"/>
      <c r="D11772" s="271"/>
      <c r="E11772" s="271"/>
      <c r="F11772" s="271"/>
      <c r="G11772" s="273"/>
      <c r="H11772" s="88" t="s">
        <v>77</v>
      </c>
      <c r="I11772" s="399" t="s">
        <v>920</v>
      </c>
      <c r="J11772" s="273"/>
      <c r="K11772" s="90" t="s">
        <v>514</v>
      </c>
      <c r="L11772" s="91" t="s">
        <v>932</v>
      </c>
      <c r="M11772" s="399" t="s">
        <v>921</v>
      </c>
      <c r="N11772" s="273"/>
    </row>
    <row r="11773" spans="1:14" ht="12.75" customHeight="1" x14ac:dyDescent="0.25">
      <c r="A11773" s="393" t="s">
        <v>1301</v>
      </c>
      <c r="B11773" s="271"/>
      <c r="C11773" s="271"/>
      <c r="D11773" s="271"/>
      <c r="E11773" s="271"/>
      <c r="F11773" s="271"/>
      <c r="G11773" s="273"/>
      <c r="H11773" s="29" t="str">
        <f>IF(A11773="","",VLOOKUP(A11773,AA_Cuadrillas,4,FALSE))</f>
        <v>Cuadrilla</v>
      </c>
      <c r="I11773" s="394">
        <f>IF(A11773="","",VLOOKUP(A11773,AA_Cuadrillas,5,FALSE))</f>
        <v>132500</v>
      </c>
      <c r="J11773" s="273"/>
      <c r="K11773" s="9">
        <f>IF(A11773="","",F.P!$I$2)</f>
        <v>1.88</v>
      </c>
      <c r="L11773" s="97">
        <v>0.2</v>
      </c>
      <c r="M11773" s="394">
        <f t="shared" ref="M11773:M11777" si="1559">IF(A11773="","",I11773*K11773*L11773)</f>
        <v>49820</v>
      </c>
      <c r="N11773" s="273"/>
    </row>
    <row r="11774" spans="1:14" ht="12.75" customHeight="1" x14ac:dyDescent="0.25">
      <c r="A11774" s="393"/>
      <c r="B11774" s="271"/>
      <c r="C11774" s="271"/>
      <c r="D11774" s="271"/>
      <c r="E11774" s="271"/>
      <c r="F11774" s="271"/>
      <c r="G11774" s="273"/>
      <c r="H11774" s="29" t="str">
        <f>IF(A11774="","",VLOOKUP(A11774,AA_Cuadrillas,4,FALSE))</f>
        <v/>
      </c>
      <c r="I11774" s="394" t="str">
        <f>IF(A11774="","",VLOOKUP(A11774,AA_Cuadrillas,5,FALSE))</f>
        <v/>
      </c>
      <c r="J11774" s="273"/>
      <c r="K11774" s="9" t="str">
        <f>IF(A11774="","",F.P!$I$2)</f>
        <v/>
      </c>
      <c r="L11774" s="9"/>
      <c r="M11774" s="394" t="str">
        <f t="shared" si="1559"/>
        <v/>
      </c>
      <c r="N11774" s="273"/>
    </row>
    <row r="11775" spans="1:14" ht="12.75" customHeight="1" x14ac:dyDescent="0.25">
      <c r="A11775" s="393"/>
      <c r="B11775" s="271"/>
      <c r="C11775" s="271"/>
      <c r="D11775" s="271"/>
      <c r="E11775" s="271"/>
      <c r="F11775" s="271"/>
      <c r="G11775" s="273"/>
      <c r="H11775" s="29" t="str">
        <f>IF(A11775="","",VLOOKUP(A11775,AA_Cuadrillas,4,FALSE))</f>
        <v/>
      </c>
      <c r="I11775" s="394" t="str">
        <f>IF(A11775="","",VLOOKUP(A11775,AA_Cuadrillas,5,FALSE))</f>
        <v/>
      </c>
      <c r="J11775" s="273"/>
      <c r="K11775" s="9" t="str">
        <f>IF(A11775="","",F.P!$I$2)</f>
        <v/>
      </c>
      <c r="L11775" s="37"/>
      <c r="M11775" s="394" t="str">
        <f t="shared" si="1559"/>
        <v/>
      </c>
      <c r="N11775" s="273"/>
    </row>
    <row r="11776" spans="1:14" ht="12.75" customHeight="1" x14ac:dyDescent="0.25">
      <c r="A11776" s="393"/>
      <c r="B11776" s="271"/>
      <c r="C11776" s="271"/>
      <c r="D11776" s="271"/>
      <c r="E11776" s="271"/>
      <c r="F11776" s="271"/>
      <c r="G11776" s="273"/>
      <c r="H11776" s="29" t="str">
        <f>IF(A11776="","",VLOOKUP(A11776,AA_Cuadrillas,4,FALSE))</f>
        <v/>
      </c>
      <c r="I11776" s="394" t="str">
        <f>IF(A11776="","",VLOOKUP(A11776,AA_Cuadrillas,5,FALSE))</f>
        <v/>
      </c>
      <c r="J11776" s="273"/>
      <c r="K11776" s="9" t="str">
        <f>IF(A11776="","",F.P!$I$2)</f>
        <v/>
      </c>
      <c r="L11776" s="97"/>
      <c r="M11776" s="394" t="str">
        <f t="shared" si="1559"/>
        <v/>
      </c>
      <c r="N11776" s="273"/>
    </row>
    <row r="11777" spans="1:15" ht="12.75" customHeight="1" x14ac:dyDescent="0.25">
      <c r="A11777" s="393"/>
      <c r="B11777" s="271"/>
      <c r="C11777" s="271"/>
      <c r="D11777" s="271"/>
      <c r="E11777" s="271"/>
      <c r="F11777" s="271"/>
      <c r="G11777" s="273"/>
      <c r="H11777" s="29" t="str">
        <f>IF(A11777="","",VLOOKUP(A11777,AA_Cuadrillas,4,FALSE))</f>
        <v/>
      </c>
      <c r="I11777" s="394" t="str">
        <f>IF(A11777="","",VLOOKUP(A11777,AA_Cuadrillas,5,FALSE))</f>
        <v/>
      </c>
      <c r="J11777" s="273"/>
      <c r="K11777" s="9" t="str">
        <f>IF(A11777="","",F.P!$I$2)</f>
        <v/>
      </c>
      <c r="L11777" s="37"/>
      <c r="M11777" s="394" t="str">
        <f t="shared" si="1559"/>
        <v/>
      </c>
      <c r="N11777" s="273"/>
    </row>
    <row r="11778" spans="1:15" ht="12.75" customHeight="1" x14ac:dyDescent="0.25">
      <c r="A11778" s="4"/>
      <c r="B11778" s="4"/>
      <c r="C11778" s="4"/>
      <c r="D11778" s="4"/>
      <c r="E11778" s="4"/>
      <c r="F11778" s="4"/>
      <c r="G11778" s="4"/>
      <c r="H11778" s="4"/>
      <c r="I11778" s="4"/>
      <c r="J11778" s="4"/>
      <c r="K11778" s="396" t="s">
        <v>444</v>
      </c>
      <c r="L11778" s="273"/>
      <c r="M11778" s="394">
        <f>SUM(M11773:N11777)</f>
        <v>49820</v>
      </c>
      <c r="N11778" s="273"/>
    </row>
    <row r="11779" spans="1:15" ht="12.75" customHeight="1" x14ac:dyDescent="0.2"/>
    <row r="11780" spans="1:15" ht="12.75" customHeight="1" x14ac:dyDescent="0.2">
      <c r="A11780" s="407" t="s">
        <v>383</v>
      </c>
      <c r="B11780" s="275"/>
      <c r="C11780" s="275"/>
      <c r="D11780" s="275"/>
      <c r="E11780" s="275"/>
      <c r="F11780" s="275"/>
      <c r="G11780" s="275"/>
      <c r="H11780" s="275"/>
      <c r="I11780" s="275"/>
      <c r="J11780" s="275"/>
      <c r="K11780" s="275"/>
      <c r="L11780" s="275"/>
      <c r="M11780" s="275"/>
      <c r="N11780" s="276"/>
      <c r="O11780" s="166"/>
    </row>
    <row r="11781" spans="1:15" ht="12.75" customHeight="1" x14ac:dyDescent="0.2">
      <c r="A11781" s="277"/>
      <c r="B11781" s="278"/>
      <c r="C11781" s="278"/>
      <c r="D11781" s="278"/>
      <c r="E11781" s="278"/>
      <c r="F11781" s="278"/>
      <c r="G11781" s="278"/>
      <c r="H11781" s="278"/>
      <c r="I11781" s="278"/>
      <c r="J11781" s="278"/>
      <c r="K11781" s="278"/>
      <c r="L11781" s="278"/>
      <c r="M11781" s="278"/>
      <c r="N11781" s="279"/>
      <c r="O11781" s="166"/>
    </row>
    <row r="11782" spans="1:15" ht="12.75" customHeight="1" x14ac:dyDescent="0.2">
      <c r="A11782" s="75"/>
      <c r="B11782" s="75"/>
      <c r="C11782" s="75"/>
      <c r="D11782" s="75"/>
      <c r="E11782" s="75"/>
      <c r="F11782" s="75"/>
      <c r="G11782" s="75"/>
      <c r="H11782" s="75"/>
      <c r="I11782" s="75"/>
      <c r="J11782" s="75"/>
      <c r="K11782" s="75"/>
      <c r="L11782" s="75"/>
      <c r="M11782" s="75"/>
      <c r="N11782" s="75"/>
    </row>
    <row r="11783" spans="1:15" ht="12.75" customHeight="1" x14ac:dyDescent="0.3">
      <c r="A11783" s="79" t="s">
        <v>874</v>
      </c>
      <c r="B11783" s="80" t="str">
        <f>A11780</f>
        <v>CERTIFICACIÓN RETIE</v>
      </c>
      <c r="C11783" s="81" t="s">
        <v>916</v>
      </c>
      <c r="D11783" s="82" t="s">
        <v>999</v>
      </c>
      <c r="E11783" s="83" t="s">
        <v>445</v>
      </c>
      <c r="F11783" s="234">
        <f>(H11783+J11783+L11783+N11783)*1.3</f>
        <v>5850000</v>
      </c>
      <c r="G11783" s="83" t="s">
        <v>607</v>
      </c>
      <c r="H11783" s="86">
        <f>M11803</f>
        <v>4500000</v>
      </c>
      <c r="I11783" s="83" t="s">
        <v>918</v>
      </c>
      <c r="J11783" s="86">
        <f>M11811</f>
        <v>0</v>
      </c>
      <c r="K11783" s="83" t="s">
        <v>609</v>
      </c>
      <c r="L11783" s="86">
        <f>M11819</f>
        <v>0</v>
      </c>
      <c r="M11783" s="83" t="s">
        <v>610</v>
      </c>
      <c r="N11783" s="86">
        <f>M11827</f>
        <v>0</v>
      </c>
    </row>
    <row r="11784" spans="1:15" ht="12.75" customHeight="1" x14ac:dyDescent="0.25">
      <c r="A11784" s="87"/>
      <c r="B11784" s="87"/>
      <c r="C11784" s="87"/>
      <c r="D11784" s="87"/>
      <c r="E11784" s="87"/>
      <c r="F11784" s="87"/>
      <c r="G11784" s="87"/>
      <c r="H11784" s="12"/>
      <c r="I11784" s="12"/>
      <c r="J11784" s="87"/>
      <c r="K11784" s="215" t="s">
        <v>3217</v>
      </c>
      <c r="L11784" s="215">
        <f>+F11783*presup!$O$5</f>
        <v>7605000</v>
      </c>
      <c r="M11784" s="87"/>
      <c r="N11784" s="87"/>
    </row>
    <row r="11785" spans="1:15" ht="12.75" customHeight="1" x14ac:dyDescent="0.2">
      <c r="A11785" s="398" t="s">
        <v>919</v>
      </c>
      <c r="B11785" s="271"/>
      <c r="C11785" s="271"/>
      <c r="D11785" s="271"/>
      <c r="E11785" s="271"/>
      <c r="F11785" s="271"/>
      <c r="G11785" s="271"/>
      <c r="H11785" s="271"/>
      <c r="I11785" s="271"/>
      <c r="J11785" s="271"/>
      <c r="K11785" s="271"/>
      <c r="L11785" s="271"/>
      <c r="M11785" s="271"/>
      <c r="N11785" s="273"/>
    </row>
    <row r="11786" spans="1:15" ht="12.75" customHeight="1" x14ac:dyDescent="0.2">
      <c r="A11786" s="396" t="s">
        <v>76</v>
      </c>
      <c r="B11786" s="271"/>
      <c r="C11786" s="271"/>
      <c r="D11786" s="271"/>
      <c r="E11786" s="271"/>
      <c r="F11786" s="271"/>
      <c r="G11786" s="273"/>
      <c r="H11786" s="88" t="s">
        <v>77</v>
      </c>
      <c r="I11786" s="399" t="s">
        <v>920</v>
      </c>
      <c r="J11786" s="273"/>
      <c r="K11786" s="399" t="s">
        <v>453</v>
      </c>
      <c r="L11786" s="273"/>
      <c r="M11786" s="399" t="s">
        <v>921</v>
      </c>
      <c r="N11786" s="273"/>
    </row>
    <row r="11787" spans="1:15" ht="12.75" customHeight="1" x14ac:dyDescent="0.2">
      <c r="A11787" s="403" t="s">
        <v>1565</v>
      </c>
      <c r="B11787" s="271"/>
      <c r="C11787" s="271"/>
      <c r="D11787" s="271"/>
      <c r="E11787" s="271"/>
      <c r="F11787" s="271"/>
      <c r="G11787" s="273"/>
      <c r="H11787" s="29" t="str">
        <f t="shared" ref="H11787:H11802" si="1560">IF(A11787="","",VLOOKUP(A11787,AA_Materiales,7,FALSE))</f>
        <v>Unidad</v>
      </c>
      <c r="I11787" s="394">
        <f t="shared" ref="I11787:I11802" si="1561">IF(A11787="","",VLOOKUP(A11787,AA_Materiales,8,FALSE))</f>
        <v>4500000</v>
      </c>
      <c r="J11787" s="273"/>
      <c r="K11787" s="395">
        <v>1</v>
      </c>
      <c r="L11787" s="273"/>
      <c r="M11787" s="394">
        <f t="shared" ref="M11787:M11802" si="1562">IF(A11787="","",I11787*K11787)</f>
        <v>4500000</v>
      </c>
      <c r="N11787" s="273"/>
    </row>
    <row r="11788" spans="1:15" ht="12.75" customHeight="1" x14ac:dyDescent="0.2">
      <c r="A11788" s="403"/>
      <c r="B11788" s="271"/>
      <c r="C11788" s="271"/>
      <c r="D11788" s="271"/>
      <c r="E11788" s="271"/>
      <c r="F11788" s="271"/>
      <c r="G11788" s="273"/>
      <c r="H11788" s="29" t="str">
        <f t="shared" si="1560"/>
        <v/>
      </c>
      <c r="I11788" s="394" t="str">
        <f t="shared" si="1561"/>
        <v/>
      </c>
      <c r="J11788" s="273"/>
      <c r="K11788" s="395"/>
      <c r="L11788" s="273"/>
      <c r="M11788" s="394" t="str">
        <f t="shared" si="1562"/>
        <v/>
      </c>
      <c r="N11788" s="273"/>
    </row>
    <row r="11789" spans="1:15" ht="12.75" customHeight="1" x14ac:dyDescent="0.2">
      <c r="A11789" s="403"/>
      <c r="B11789" s="271"/>
      <c r="C11789" s="271"/>
      <c r="D11789" s="271"/>
      <c r="E11789" s="271"/>
      <c r="F11789" s="271"/>
      <c r="G11789" s="273"/>
      <c r="H11789" s="29" t="str">
        <f t="shared" si="1560"/>
        <v/>
      </c>
      <c r="I11789" s="394" t="str">
        <f t="shared" si="1561"/>
        <v/>
      </c>
      <c r="J11789" s="273"/>
      <c r="K11789" s="395"/>
      <c r="L11789" s="273"/>
      <c r="M11789" s="394" t="str">
        <f t="shared" si="1562"/>
        <v/>
      </c>
      <c r="N11789" s="273"/>
    </row>
    <row r="11790" spans="1:15" ht="12.75" customHeight="1" x14ac:dyDescent="0.2">
      <c r="A11790" s="403"/>
      <c r="B11790" s="271"/>
      <c r="C11790" s="271"/>
      <c r="D11790" s="271"/>
      <c r="E11790" s="271"/>
      <c r="F11790" s="271"/>
      <c r="G11790" s="273"/>
      <c r="H11790" s="29" t="str">
        <f t="shared" si="1560"/>
        <v/>
      </c>
      <c r="I11790" s="394" t="str">
        <f t="shared" si="1561"/>
        <v/>
      </c>
      <c r="J11790" s="273"/>
      <c r="K11790" s="395"/>
      <c r="L11790" s="273"/>
      <c r="M11790" s="394" t="str">
        <f t="shared" si="1562"/>
        <v/>
      </c>
      <c r="N11790" s="273"/>
    </row>
    <row r="11791" spans="1:15" ht="12.75" customHeight="1" x14ac:dyDescent="0.2">
      <c r="A11791" s="403"/>
      <c r="B11791" s="271"/>
      <c r="C11791" s="271"/>
      <c r="D11791" s="271"/>
      <c r="E11791" s="271"/>
      <c r="F11791" s="271"/>
      <c r="G11791" s="273"/>
      <c r="H11791" s="29" t="str">
        <f t="shared" si="1560"/>
        <v/>
      </c>
      <c r="I11791" s="394" t="str">
        <f t="shared" si="1561"/>
        <v/>
      </c>
      <c r="J11791" s="273"/>
      <c r="K11791" s="395"/>
      <c r="L11791" s="273"/>
      <c r="M11791" s="394" t="str">
        <f t="shared" si="1562"/>
        <v/>
      </c>
      <c r="N11791" s="273"/>
    </row>
    <row r="11792" spans="1:15" ht="12.75" customHeight="1" x14ac:dyDescent="0.2">
      <c r="A11792" s="403"/>
      <c r="B11792" s="271"/>
      <c r="C11792" s="271"/>
      <c r="D11792" s="271"/>
      <c r="E11792" s="271"/>
      <c r="F11792" s="271"/>
      <c r="G11792" s="273"/>
      <c r="H11792" s="29" t="str">
        <f t="shared" si="1560"/>
        <v/>
      </c>
      <c r="I11792" s="394" t="str">
        <f t="shared" si="1561"/>
        <v/>
      </c>
      <c r="J11792" s="273"/>
      <c r="K11792" s="395"/>
      <c r="L11792" s="273"/>
      <c r="M11792" s="394" t="str">
        <f t="shared" si="1562"/>
        <v/>
      </c>
      <c r="N11792" s="273"/>
    </row>
    <row r="11793" spans="1:14" ht="12.75" customHeight="1" x14ac:dyDescent="0.2">
      <c r="A11793" s="403"/>
      <c r="B11793" s="271"/>
      <c r="C11793" s="271"/>
      <c r="D11793" s="271"/>
      <c r="E11793" s="271"/>
      <c r="F11793" s="271"/>
      <c r="G11793" s="273"/>
      <c r="H11793" s="29" t="str">
        <f t="shared" si="1560"/>
        <v/>
      </c>
      <c r="I11793" s="394" t="str">
        <f t="shared" si="1561"/>
        <v/>
      </c>
      <c r="J11793" s="273"/>
      <c r="K11793" s="395"/>
      <c r="L11793" s="273"/>
      <c r="M11793" s="394" t="str">
        <f t="shared" si="1562"/>
        <v/>
      </c>
      <c r="N11793" s="273"/>
    </row>
    <row r="11794" spans="1:14" ht="12.75" customHeight="1" x14ac:dyDescent="0.2">
      <c r="A11794" s="403"/>
      <c r="B11794" s="271"/>
      <c r="C11794" s="271"/>
      <c r="D11794" s="271"/>
      <c r="E11794" s="271"/>
      <c r="F11794" s="271"/>
      <c r="G11794" s="273"/>
      <c r="H11794" s="29" t="str">
        <f t="shared" si="1560"/>
        <v/>
      </c>
      <c r="I11794" s="394" t="str">
        <f t="shared" si="1561"/>
        <v/>
      </c>
      <c r="J11794" s="273"/>
      <c r="K11794" s="395"/>
      <c r="L11794" s="273"/>
      <c r="M11794" s="394" t="str">
        <f t="shared" si="1562"/>
        <v/>
      </c>
      <c r="N11794" s="273"/>
    </row>
    <row r="11795" spans="1:14" ht="12.75" customHeight="1" x14ac:dyDescent="0.2">
      <c r="A11795" s="403"/>
      <c r="B11795" s="271"/>
      <c r="C11795" s="271"/>
      <c r="D11795" s="271"/>
      <c r="E11795" s="271"/>
      <c r="F11795" s="271"/>
      <c r="G11795" s="273"/>
      <c r="H11795" s="29" t="str">
        <f t="shared" si="1560"/>
        <v/>
      </c>
      <c r="I11795" s="394" t="str">
        <f t="shared" si="1561"/>
        <v/>
      </c>
      <c r="J11795" s="273"/>
      <c r="K11795" s="395"/>
      <c r="L11795" s="273"/>
      <c r="M11795" s="394" t="str">
        <f t="shared" si="1562"/>
        <v/>
      </c>
      <c r="N11795" s="273"/>
    </row>
    <row r="11796" spans="1:14" ht="12.75" customHeight="1" x14ac:dyDescent="0.2">
      <c r="A11796" s="403"/>
      <c r="B11796" s="271"/>
      <c r="C11796" s="271"/>
      <c r="D11796" s="271"/>
      <c r="E11796" s="271"/>
      <c r="F11796" s="271"/>
      <c r="G11796" s="273"/>
      <c r="H11796" s="29" t="str">
        <f t="shared" si="1560"/>
        <v/>
      </c>
      <c r="I11796" s="394" t="str">
        <f t="shared" si="1561"/>
        <v/>
      </c>
      <c r="J11796" s="273"/>
      <c r="K11796" s="395"/>
      <c r="L11796" s="273"/>
      <c r="M11796" s="394" t="str">
        <f t="shared" si="1562"/>
        <v/>
      </c>
      <c r="N11796" s="273"/>
    </row>
    <row r="11797" spans="1:14" ht="12.75" customHeight="1" x14ac:dyDescent="0.2">
      <c r="A11797" s="403"/>
      <c r="B11797" s="271"/>
      <c r="C11797" s="271"/>
      <c r="D11797" s="271"/>
      <c r="E11797" s="271"/>
      <c r="F11797" s="271"/>
      <c r="G11797" s="273"/>
      <c r="H11797" s="29" t="str">
        <f t="shared" si="1560"/>
        <v/>
      </c>
      <c r="I11797" s="394" t="str">
        <f t="shared" si="1561"/>
        <v/>
      </c>
      <c r="J11797" s="273"/>
      <c r="K11797" s="395"/>
      <c r="L11797" s="273"/>
      <c r="M11797" s="394" t="str">
        <f t="shared" si="1562"/>
        <v/>
      </c>
      <c r="N11797" s="273"/>
    </row>
    <row r="11798" spans="1:14" ht="12.75" customHeight="1" x14ac:dyDescent="0.2">
      <c r="A11798" s="403"/>
      <c r="B11798" s="271"/>
      <c r="C11798" s="271"/>
      <c r="D11798" s="271"/>
      <c r="E11798" s="271"/>
      <c r="F11798" s="271"/>
      <c r="G11798" s="273"/>
      <c r="H11798" s="29" t="str">
        <f t="shared" si="1560"/>
        <v/>
      </c>
      <c r="I11798" s="394" t="str">
        <f t="shared" si="1561"/>
        <v/>
      </c>
      <c r="J11798" s="273"/>
      <c r="K11798" s="395"/>
      <c r="L11798" s="273"/>
      <c r="M11798" s="394" t="str">
        <f t="shared" si="1562"/>
        <v/>
      </c>
      <c r="N11798" s="273"/>
    </row>
    <row r="11799" spans="1:14" ht="12.75" customHeight="1" x14ac:dyDescent="0.2">
      <c r="A11799" s="403"/>
      <c r="B11799" s="271"/>
      <c r="C11799" s="271"/>
      <c r="D11799" s="271"/>
      <c r="E11799" s="271"/>
      <c r="F11799" s="271"/>
      <c r="G11799" s="273"/>
      <c r="H11799" s="29" t="str">
        <f t="shared" si="1560"/>
        <v/>
      </c>
      <c r="I11799" s="394" t="str">
        <f t="shared" si="1561"/>
        <v/>
      </c>
      <c r="J11799" s="273"/>
      <c r="K11799" s="395"/>
      <c r="L11799" s="273"/>
      <c r="M11799" s="394" t="str">
        <f t="shared" si="1562"/>
        <v/>
      </c>
      <c r="N11799" s="273"/>
    </row>
    <row r="11800" spans="1:14" ht="12.75" customHeight="1" x14ac:dyDescent="0.2">
      <c r="A11800" s="403"/>
      <c r="B11800" s="271"/>
      <c r="C11800" s="271"/>
      <c r="D11800" s="271"/>
      <c r="E11800" s="271"/>
      <c r="F11800" s="271"/>
      <c r="G11800" s="273"/>
      <c r="H11800" s="29" t="str">
        <f t="shared" si="1560"/>
        <v/>
      </c>
      <c r="I11800" s="394" t="str">
        <f t="shared" si="1561"/>
        <v/>
      </c>
      <c r="J11800" s="273"/>
      <c r="K11800" s="395"/>
      <c r="L11800" s="273"/>
      <c r="M11800" s="394" t="str">
        <f t="shared" si="1562"/>
        <v/>
      </c>
      <c r="N11800" s="273"/>
    </row>
    <row r="11801" spans="1:14" ht="12.75" customHeight="1" x14ac:dyDescent="0.2">
      <c r="A11801" s="403"/>
      <c r="B11801" s="271"/>
      <c r="C11801" s="271"/>
      <c r="D11801" s="271"/>
      <c r="E11801" s="271"/>
      <c r="F11801" s="271"/>
      <c r="G11801" s="273"/>
      <c r="H11801" s="29" t="str">
        <f t="shared" si="1560"/>
        <v/>
      </c>
      <c r="I11801" s="394" t="str">
        <f t="shared" si="1561"/>
        <v/>
      </c>
      <c r="J11801" s="273"/>
      <c r="K11801" s="395"/>
      <c r="L11801" s="273"/>
      <c r="M11801" s="394" t="str">
        <f t="shared" si="1562"/>
        <v/>
      </c>
      <c r="N11801" s="273"/>
    </row>
    <row r="11802" spans="1:14" ht="12.75" customHeight="1" x14ac:dyDescent="0.2">
      <c r="A11802" s="403"/>
      <c r="B11802" s="271"/>
      <c r="C11802" s="271"/>
      <c r="D11802" s="271"/>
      <c r="E11802" s="271"/>
      <c r="F11802" s="271"/>
      <c r="G11802" s="273"/>
      <c r="H11802" s="29" t="str">
        <f t="shared" si="1560"/>
        <v/>
      </c>
      <c r="I11802" s="394" t="str">
        <f t="shared" si="1561"/>
        <v/>
      </c>
      <c r="J11802" s="273"/>
      <c r="K11802" s="395"/>
      <c r="L11802" s="273"/>
      <c r="M11802" s="394" t="str">
        <f t="shared" si="1562"/>
        <v/>
      </c>
      <c r="N11802" s="273"/>
    </row>
    <row r="11803" spans="1:14" ht="12.75" customHeight="1" x14ac:dyDescent="0.25">
      <c r="A11803" s="4"/>
      <c r="B11803" s="4"/>
      <c r="C11803" s="4"/>
      <c r="D11803" s="4"/>
      <c r="E11803" s="4"/>
      <c r="F11803" s="4"/>
      <c r="G11803" s="4"/>
      <c r="H11803" s="4"/>
      <c r="I11803" s="4"/>
      <c r="J11803" s="4"/>
      <c r="K11803" s="396" t="s">
        <v>444</v>
      </c>
      <c r="L11803" s="273"/>
      <c r="M11803" s="394">
        <f>SUM(M11787:N11802)</f>
        <v>4500000</v>
      </c>
      <c r="N11803" s="273"/>
    </row>
    <row r="11804" spans="1:14" ht="12.75" customHeight="1" x14ac:dyDescent="0.25">
      <c r="A11804" s="4"/>
      <c r="B11804" s="4"/>
      <c r="C11804" s="4"/>
      <c r="D11804" s="4"/>
      <c r="E11804" s="4"/>
      <c r="F11804" s="4"/>
      <c r="G11804" s="4"/>
      <c r="H11804" s="4"/>
      <c r="I11804" s="4"/>
      <c r="J11804" s="4"/>
      <c r="K11804" s="4"/>
      <c r="L11804" s="4"/>
      <c r="M11804" s="4"/>
      <c r="N11804" s="4"/>
    </row>
    <row r="11805" spans="1:14" ht="12.75" customHeight="1" x14ac:dyDescent="0.2">
      <c r="A11805" s="398" t="s">
        <v>926</v>
      </c>
      <c r="B11805" s="271"/>
      <c r="C11805" s="271"/>
      <c r="D11805" s="271"/>
      <c r="E11805" s="271"/>
      <c r="F11805" s="271"/>
      <c r="G11805" s="271"/>
      <c r="H11805" s="271"/>
      <c r="I11805" s="271"/>
      <c r="J11805" s="271"/>
      <c r="K11805" s="271"/>
      <c r="L11805" s="271"/>
      <c r="M11805" s="271"/>
      <c r="N11805" s="273"/>
    </row>
    <row r="11806" spans="1:14" ht="12.75" customHeight="1" x14ac:dyDescent="0.2">
      <c r="A11806" s="396" t="s">
        <v>76</v>
      </c>
      <c r="B11806" s="271"/>
      <c r="C11806" s="271"/>
      <c r="D11806" s="271"/>
      <c r="E11806" s="271"/>
      <c r="F11806" s="271"/>
      <c r="G11806" s="273"/>
      <c r="H11806" s="88" t="s">
        <v>77</v>
      </c>
      <c r="I11806" s="399" t="s">
        <v>920</v>
      </c>
      <c r="J11806" s="273"/>
      <c r="K11806" s="399" t="s">
        <v>453</v>
      </c>
      <c r="L11806" s="273"/>
      <c r="M11806" s="399" t="s">
        <v>921</v>
      </c>
      <c r="N11806" s="273"/>
    </row>
    <row r="11807" spans="1:14" ht="12.75" customHeight="1" x14ac:dyDescent="0.2">
      <c r="A11807" s="403"/>
      <c r="B11807" s="271"/>
      <c r="C11807" s="271"/>
      <c r="D11807" s="271"/>
      <c r="E11807" s="271"/>
      <c r="F11807" s="271"/>
      <c r="G11807" s="273"/>
      <c r="H11807" s="29" t="str">
        <f>IF(A11807="","",VLOOKUP(A11807,AA_Equipos,7,FALSE))</f>
        <v/>
      </c>
      <c r="I11807" s="394" t="str">
        <f>IF(A11807="","",VLOOKUP(A11807,AA_Equipos,8,FALSE))</f>
        <v/>
      </c>
      <c r="J11807" s="273"/>
      <c r="K11807" s="402"/>
      <c r="L11807" s="273"/>
      <c r="M11807" s="394" t="str">
        <f t="shared" ref="M11807:M11810" si="1563">IF(A11807="","",I11807*K11807)</f>
        <v/>
      </c>
      <c r="N11807" s="273"/>
    </row>
    <row r="11808" spans="1:14" ht="12.75" customHeight="1" x14ac:dyDescent="0.2">
      <c r="A11808" s="400"/>
      <c r="B11808" s="271"/>
      <c r="C11808" s="271"/>
      <c r="D11808" s="271"/>
      <c r="E11808" s="271"/>
      <c r="F11808" s="271"/>
      <c r="G11808" s="273"/>
      <c r="H11808" s="29" t="str">
        <f>IF(A11808="","",VLOOKUP(A11808,AA_Equipos,7,FALSE))</f>
        <v/>
      </c>
      <c r="I11808" s="394" t="str">
        <f>IF(A11808="","",VLOOKUP(A11808,AA_Equipos,8,FALSE))</f>
        <v/>
      </c>
      <c r="J11808" s="273"/>
      <c r="K11808" s="401"/>
      <c r="L11808" s="273"/>
      <c r="M11808" s="394" t="str">
        <f t="shared" si="1563"/>
        <v/>
      </c>
      <c r="N11808" s="273"/>
    </row>
    <row r="11809" spans="1:14" ht="12.75" customHeight="1" x14ac:dyDescent="0.2">
      <c r="A11809" s="400"/>
      <c r="B11809" s="271"/>
      <c r="C11809" s="271"/>
      <c r="D11809" s="271"/>
      <c r="E11809" s="271"/>
      <c r="F11809" s="271"/>
      <c r="G11809" s="273"/>
      <c r="H11809" s="29" t="str">
        <f>IF(A11809="","",VLOOKUP(A11809,AA_Equipos,7,FALSE))</f>
        <v/>
      </c>
      <c r="I11809" s="394" t="str">
        <f>IF(A11809="","",VLOOKUP(A11809,AA_Equipos,8,FALSE))</f>
        <v/>
      </c>
      <c r="J11809" s="273"/>
      <c r="K11809" s="395"/>
      <c r="L11809" s="273"/>
      <c r="M11809" s="394" t="str">
        <f t="shared" si="1563"/>
        <v/>
      </c>
      <c r="N11809" s="273"/>
    </row>
    <row r="11810" spans="1:14" ht="12.75" customHeight="1" x14ac:dyDescent="0.2">
      <c r="A11810" s="400"/>
      <c r="B11810" s="271"/>
      <c r="C11810" s="271"/>
      <c r="D11810" s="271"/>
      <c r="E11810" s="271"/>
      <c r="F11810" s="271"/>
      <c r="G11810" s="273"/>
      <c r="H11810" s="29" t="str">
        <f>IF(A11810="","",VLOOKUP(A11810,AA_Equipos,7,FALSE))</f>
        <v/>
      </c>
      <c r="I11810" s="394" t="str">
        <f>IF(A11810="","",VLOOKUP(A11810,AA_Equipos,8,FALSE))</f>
        <v/>
      </c>
      <c r="J11810" s="273"/>
      <c r="K11810" s="395"/>
      <c r="L11810" s="273"/>
      <c r="M11810" s="394" t="str">
        <f t="shared" si="1563"/>
        <v/>
      </c>
      <c r="N11810" s="273"/>
    </row>
    <row r="11811" spans="1:14" ht="12.75" customHeight="1" x14ac:dyDescent="0.25">
      <c r="A11811" s="4"/>
      <c r="B11811" s="4"/>
      <c r="C11811" s="4"/>
      <c r="D11811" s="4"/>
      <c r="E11811" s="4"/>
      <c r="F11811" s="4"/>
      <c r="G11811" s="4"/>
      <c r="H11811" s="4"/>
      <c r="I11811" s="4"/>
      <c r="J11811" s="4"/>
      <c r="K11811" s="396" t="s">
        <v>444</v>
      </c>
      <c r="L11811" s="273"/>
      <c r="M11811" s="394">
        <f>SUM(M11807:N11810)</f>
        <v>0</v>
      </c>
      <c r="N11811" s="273"/>
    </row>
    <row r="11812" spans="1:14" ht="12.75" customHeight="1" x14ac:dyDescent="0.25">
      <c r="A11812" s="4"/>
      <c r="B11812" s="4"/>
      <c r="C11812" s="4"/>
      <c r="D11812" s="4"/>
      <c r="E11812" s="4"/>
      <c r="F11812" s="4"/>
      <c r="G11812" s="4"/>
      <c r="H11812" s="4"/>
      <c r="I11812" s="4"/>
      <c r="J11812" s="4"/>
      <c r="K11812" s="4"/>
      <c r="L11812" s="4"/>
      <c r="M11812" s="4"/>
      <c r="N11812" s="4"/>
    </row>
    <row r="11813" spans="1:14" ht="12.75" customHeight="1" x14ac:dyDescent="0.2">
      <c r="A11813" s="398" t="s">
        <v>929</v>
      </c>
      <c r="B11813" s="271"/>
      <c r="C11813" s="271"/>
      <c r="D11813" s="271"/>
      <c r="E11813" s="271"/>
      <c r="F11813" s="271"/>
      <c r="G11813" s="271"/>
      <c r="H11813" s="271"/>
      <c r="I11813" s="271"/>
      <c r="J11813" s="271"/>
      <c r="K11813" s="271"/>
      <c r="L11813" s="271"/>
      <c r="M11813" s="271"/>
      <c r="N11813" s="273"/>
    </row>
    <row r="11814" spans="1:14" ht="12.75" customHeight="1" x14ac:dyDescent="0.2">
      <c r="A11814" s="396" t="s">
        <v>76</v>
      </c>
      <c r="B11814" s="271"/>
      <c r="C11814" s="271"/>
      <c r="D11814" s="271"/>
      <c r="E11814" s="271"/>
      <c r="F11814" s="271"/>
      <c r="G11814" s="273"/>
      <c r="H11814" s="88" t="s">
        <v>77</v>
      </c>
      <c r="I11814" s="399" t="s">
        <v>920</v>
      </c>
      <c r="J11814" s="273"/>
      <c r="K11814" s="399" t="s">
        <v>453</v>
      </c>
      <c r="L11814" s="273"/>
      <c r="M11814" s="399" t="s">
        <v>921</v>
      </c>
      <c r="N11814" s="273"/>
    </row>
    <row r="11815" spans="1:14" ht="12.75" customHeight="1" x14ac:dyDescent="0.2">
      <c r="A11815" s="403"/>
      <c r="B11815" s="271"/>
      <c r="C11815" s="271"/>
      <c r="D11815" s="271"/>
      <c r="E11815" s="271"/>
      <c r="F11815" s="271"/>
      <c r="G11815" s="273"/>
      <c r="H11815" s="29"/>
      <c r="I11815" s="394"/>
      <c r="J11815" s="273"/>
      <c r="K11815" s="404"/>
      <c r="L11815" s="273"/>
      <c r="M11815" s="394" t="str">
        <f t="shared" ref="M11815:M11818" si="1564">IF(A11815="","",I11815*K11815)</f>
        <v/>
      </c>
      <c r="N11815" s="273"/>
    </row>
    <row r="11816" spans="1:14" ht="12.75" customHeight="1" x14ac:dyDescent="0.2">
      <c r="A11816" s="400"/>
      <c r="B11816" s="271"/>
      <c r="C11816" s="271"/>
      <c r="D11816" s="271"/>
      <c r="E11816" s="271"/>
      <c r="F11816" s="271"/>
      <c r="G11816" s="273"/>
      <c r="H11816" s="29"/>
      <c r="I11816" s="394"/>
      <c r="J11816" s="273"/>
      <c r="K11816" s="395"/>
      <c r="L11816" s="273"/>
      <c r="M11816" s="394" t="str">
        <f t="shared" si="1564"/>
        <v/>
      </c>
      <c r="N11816" s="273"/>
    </row>
    <row r="11817" spans="1:14" ht="12.75" customHeight="1" x14ac:dyDescent="0.2">
      <c r="A11817" s="400"/>
      <c r="B11817" s="271"/>
      <c r="C11817" s="271"/>
      <c r="D11817" s="271"/>
      <c r="E11817" s="271"/>
      <c r="F11817" s="271"/>
      <c r="G11817" s="273"/>
      <c r="H11817" s="29"/>
      <c r="I11817" s="394"/>
      <c r="J11817" s="273"/>
      <c r="K11817" s="395"/>
      <c r="L11817" s="273"/>
      <c r="M11817" s="394" t="str">
        <f t="shared" si="1564"/>
        <v/>
      </c>
      <c r="N11817" s="273"/>
    </row>
    <row r="11818" spans="1:14" ht="12.75" customHeight="1" x14ac:dyDescent="0.2">
      <c r="A11818" s="400"/>
      <c r="B11818" s="271"/>
      <c r="C11818" s="271"/>
      <c r="D11818" s="271"/>
      <c r="E11818" s="271"/>
      <c r="F11818" s="271"/>
      <c r="G11818" s="273"/>
      <c r="H11818" s="29"/>
      <c r="I11818" s="394"/>
      <c r="J11818" s="273"/>
      <c r="K11818" s="395"/>
      <c r="L11818" s="273"/>
      <c r="M11818" s="394" t="str">
        <f t="shared" si="1564"/>
        <v/>
      </c>
      <c r="N11818" s="273"/>
    </row>
    <row r="11819" spans="1:14" ht="12.75" customHeight="1" x14ac:dyDescent="0.25">
      <c r="A11819" s="4"/>
      <c r="B11819" s="4"/>
      <c r="C11819" s="4"/>
      <c r="D11819" s="4"/>
      <c r="E11819" s="4"/>
      <c r="F11819" s="4"/>
      <c r="G11819" s="4"/>
      <c r="H11819" s="4"/>
      <c r="I11819" s="4"/>
      <c r="J11819" s="4"/>
      <c r="K11819" s="396" t="s">
        <v>444</v>
      </c>
      <c r="L11819" s="273"/>
      <c r="M11819" s="394">
        <f>SUM(M11815:N11818)</f>
        <v>0</v>
      </c>
      <c r="N11819" s="273"/>
    </row>
    <row r="11820" spans="1:14" ht="12.75" customHeight="1" x14ac:dyDescent="0.25">
      <c r="A11820" s="4"/>
      <c r="B11820" s="4"/>
      <c r="C11820" s="4"/>
      <c r="D11820" s="4"/>
      <c r="E11820" s="4"/>
      <c r="F11820" s="4"/>
      <c r="G11820" s="4"/>
      <c r="H11820" s="4"/>
      <c r="I11820" s="4"/>
      <c r="J11820" s="4"/>
      <c r="K11820" s="4"/>
      <c r="L11820" s="4"/>
      <c r="M11820" s="4"/>
      <c r="N11820" s="4"/>
    </row>
    <row r="11821" spans="1:14" ht="12.75" customHeight="1" x14ac:dyDescent="0.2">
      <c r="A11821" s="398" t="s">
        <v>931</v>
      </c>
      <c r="B11821" s="271"/>
      <c r="C11821" s="271"/>
      <c r="D11821" s="271"/>
      <c r="E11821" s="271"/>
      <c r="F11821" s="271"/>
      <c r="G11821" s="271"/>
      <c r="H11821" s="271"/>
      <c r="I11821" s="271"/>
      <c r="J11821" s="271"/>
      <c r="K11821" s="271"/>
      <c r="L11821" s="271"/>
      <c r="M11821" s="271"/>
      <c r="N11821" s="273"/>
    </row>
    <row r="11822" spans="1:14" ht="12.75" customHeight="1" x14ac:dyDescent="0.2">
      <c r="A11822" s="396" t="s">
        <v>76</v>
      </c>
      <c r="B11822" s="271"/>
      <c r="C11822" s="271"/>
      <c r="D11822" s="271"/>
      <c r="E11822" s="271"/>
      <c r="F11822" s="271"/>
      <c r="G11822" s="273"/>
      <c r="H11822" s="88" t="s">
        <v>77</v>
      </c>
      <c r="I11822" s="399" t="s">
        <v>920</v>
      </c>
      <c r="J11822" s="273"/>
      <c r="K11822" s="90" t="s">
        <v>514</v>
      </c>
      <c r="L11822" s="91" t="s">
        <v>932</v>
      </c>
      <c r="M11822" s="399" t="s">
        <v>921</v>
      </c>
      <c r="N11822" s="273"/>
    </row>
    <row r="11823" spans="1:14" ht="12.75" customHeight="1" x14ac:dyDescent="0.25">
      <c r="A11823" s="393"/>
      <c r="B11823" s="271"/>
      <c r="C11823" s="271"/>
      <c r="D11823" s="271"/>
      <c r="E11823" s="271"/>
      <c r="F11823" s="271"/>
      <c r="G11823" s="273"/>
      <c r="H11823" s="29" t="str">
        <f>IF(A11823="","",VLOOKUP(A11823,AA_Cuadrillas,4,FALSE))</f>
        <v/>
      </c>
      <c r="I11823" s="394" t="str">
        <f>IF(A11823="","",VLOOKUP(A11823,AA_Cuadrillas,5,FALSE))</f>
        <v/>
      </c>
      <c r="J11823" s="273"/>
      <c r="K11823" s="9" t="str">
        <f>IF(A11823="","",F.P!$I$2)</f>
        <v/>
      </c>
      <c r="L11823" s="9"/>
      <c r="M11823" s="394" t="str">
        <f t="shared" ref="M11823:M11826" si="1565">IF(A11823="","",I11823*K11823*L11823)</f>
        <v/>
      </c>
      <c r="N11823" s="273"/>
    </row>
    <row r="11824" spans="1:14" ht="12.75" customHeight="1" x14ac:dyDescent="0.25">
      <c r="A11824" s="393"/>
      <c r="B11824" s="271"/>
      <c r="C11824" s="271"/>
      <c r="D11824" s="271"/>
      <c r="E11824" s="271"/>
      <c r="F11824" s="271"/>
      <c r="G11824" s="273"/>
      <c r="H11824" s="29" t="str">
        <f>IF(A11824="","",VLOOKUP(A11824,AA_Cuadrillas,4,FALSE))</f>
        <v/>
      </c>
      <c r="I11824" s="394" t="str">
        <f>IF(A11824="","",VLOOKUP(A11824,AA_Cuadrillas,5,FALSE))</f>
        <v/>
      </c>
      <c r="J11824" s="273"/>
      <c r="K11824" s="9" t="str">
        <f>IF(A11824="","",F.P!$I$2)</f>
        <v/>
      </c>
      <c r="L11824" s="37"/>
      <c r="M11824" s="394" t="str">
        <f t="shared" si="1565"/>
        <v/>
      </c>
      <c r="N11824" s="273"/>
    </row>
    <row r="11825" spans="1:15" ht="12.75" customHeight="1" x14ac:dyDescent="0.25">
      <c r="A11825" s="393"/>
      <c r="B11825" s="271"/>
      <c r="C11825" s="271"/>
      <c r="D11825" s="271"/>
      <c r="E11825" s="271"/>
      <c r="F11825" s="271"/>
      <c r="G11825" s="273"/>
      <c r="H11825" s="29" t="str">
        <f>IF(A11825="","",VLOOKUP(A11825,AA_Cuadrillas,4,FALSE))</f>
        <v/>
      </c>
      <c r="I11825" s="394" t="str">
        <f>IF(A11825="","",VLOOKUP(A11825,AA_Cuadrillas,5,FALSE))</f>
        <v/>
      </c>
      <c r="J11825" s="273"/>
      <c r="K11825" s="9" t="str">
        <f>IF(A11825="","",F.P!$I$2)</f>
        <v/>
      </c>
      <c r="L11825" s="97"/>
      <c r="M11825" s="394" t="str">
        <f t="shared" si="1565"/>
        <v/>
      </c>
      <c r="N11825" s="273"/>
    </row>
    <row r="11826" spans="1:15" ht="12.75" customHeight="1" x14ac:dyDescent="0.25">
      <c r="A11826" s="393"/>
      <c r="B11826" s="271"/>
      <c r="C11826" s="271"/>
      <c r="D11826" s="271"/>
      <c r="E11826" s="271"/>
      <c r="F11826" s="271"/>
      <c r="G11826" s="273"/>
      <c r="H11826" s="29" t="str">
        <f>IF(A11826="","",VLOOKUP(A11826,AA_Cuadrillas,4,FALSE))</f>
        <v/>
      </c>
      <c r="I11826" s="394" t="str">
        <f>IF(A11826="","",VLOOKUP(A11826,AA_Cuadrillas,5,FALSE))</f>
        <v/>
      </c>
      <c r="J11826" s="273"/>
      <c r="K11826" s="9" t="str">
        <f>IF(A11826="","",F.P!$I$2)</f>
        <v/>
      </c>
      <c r="L11826" s="37"/>
      <c r="M11826" s="394" t="str">
        <f t="shared" si="1565"/>
        <v/>
      </c>
      <c r="N11826" s="273"/>
    </row>
    <row r="11827" spans="1:15" ht="12.75" customHeight="1" x14ac:dyDescent="0.25">
      <c r="A11827" s="4"/>
      <c r="B11827" s="4"/>
      <c r="C11827" s="4"/>
      <c r="D11827" s="4"/>
      <c r="E11827" s="4"/>
      <c r="F11827" s="4"/>
      <c r="G11827" s="4"/>
      <c r="H11827" s="4"/>
      <c r="I11827" s="4"/>
      <c r="J11827" s="4"/>
      <c r="K11827" s="396" t="s">
        <v>444</v>
      </c>
      <c r="L11827" s="273"/>
      <c r="M11827" s="394">
        <f>SUM(M11823:N11826)</f>
        <v>0</v>
      </c>
      <c r="N11827" s="273"/>
    </row>
    <row r="11828" spans="1:15" ht="12.75" customHeight="1" x14ac:dyDescent="0.2"/>
    <row r="11829" spans="1:15" ht="12.75" customHeight="1" x14ac:dyDescent="0.2">
      <c r="A11829" s="397" t="s">
        <v>385</v>
      </c>
      <c r="B11829" s="275"/>
      <c r="C11829" s="275"/>
      <c r="D11829" s="275"/>
      <c r="E11829" s="275"/>
      <c r="F11829" s="275"/>
      <c r="G11829" s="275"/>
      <c r="H11829" s="275"/>
      <c r="I11829" s="275"/>
      <c r="J11829" s="275"/>
      <c r="K11829" s="275"/>
      <c r="L11829" s="275"/>
      <c r="M11829" s="275"/>
      <c r="N11829" s="276"/>
      <c r="O11829" s="166"/>
    </row>
    <row r="11830" spans="1:15" ht="12.75" customHeight="1" x14ac:dyDescent="0.2">
      <c r="A11830" s="277"/>
      <c r="B11830" s="278"/>
      <c r="C11830" s="278"/>
      <c r="D11830" s="278"/>
      <c r="E11830" s="278"/>
      <c r="F11830" s="278"/>
      <c r="G11830" s="278"/>
      <c r="H11830" s="278"/>
      <c r="I11830" s="278"/>
      <c r="J11830" s="278"/>
      <c r="K11830" s="278"/>
      <c r="L11830" s="278"/>
      <c r="M11830" s="278"/>
      <c r="N11830" s="279"/>
      <c r="O11830" s="166"/>
    </row>
    <row r="11831" spans="1:15" ht="12.75" customHeight="1" x14ac:dyDescent="0.2">
      <c r="A11831" s="75"/>
      <c r="B11831" s="75"/>
      <c r="C11831" s="75"/>
      <c r="D11831" s="75"/>
      <c r="E11831" s="75"/>
      <c r="F11831" s="75"/>
      <c r="G11831" s="75"/>
      <c r="H11831" s="75"/>
      <c r="I11831" s="75"/>
      <c r="J11831" s="75"/>
      <c r="K11831" s="75"/>
      <c r="L11831" s="75"/>
      <c r="M11831" s="75"/>
      <c r="N11831" s="75"/>
    </row>
    <row r="11832" spans="1:15" ht="12.75" customHeight="1" x14ac:dyDescent="0.3">
      <c r="A11832" s="79" t="s">
        <v>875</v>
      </c>
      <c r="B11832" s="80" t="str">
        <f>A11829</f>
        <v>SALIDA PARA MOTOR TRIFÁSICO EN CABLE 3x8F + 1x10T THHN/THWN, EN TUBERÍA EMT 1" - 4M Y CORAZA LIQUID THIGHT 1" - 2M (INCLUYE CAJA DE PASO 10x10CM, FIJACIONES HERRAJES, MARCACIÓN, BORNAS Y DEMÁS ACCESORIOS)</v>
      </c>
      <c r="C11832" s="81" t="s">
        <v>916</v>
      </c>
      <c r="D11832" s="82" t="s">
        <v>999</v>
      </c>
      <c r="E11832" s="83" t="s">
        <v>445</v>
      </c>
      <c r="F11832" s="234">
        <f>(H11832+J11832+L11832+N11832)*1.3</f>
        <v>744453.1627000001</v>
      </c>
      <c r="G11832" s="83" t="s">
        <v>607</v>
      </c>
      <c r="H11832" s="86">
        <f>M11852</f>
        <v>385111.81333333335</v>
      </c>
      <c r="I11832" s="83" t="s">
        <v>918</v>
      </c>
      <c r="J11832" s="86">
        <f>M11861</f>
        <v>6227.5</v>
      </c>
      <c r="K11832" s="83" t="s">
        <v>609</v>
      </c>
      <c r="L11832" s="86">
        <f>M11870</f>
        <v>56766.965666666671</v>
      </c>
      <c r="M11832" s="83" t="s">
        <v>610</v>
      </c>
      <c r="N11832" s="86">
        <f>M11879</f>
        <v>124550</v>
      </c>
    </row>
    <row r="11833" spans="1:15" ht="12.75" customHeight="1" x14ac:dyDescent="0.25">
      <c r="A11833" s="87"/>
      <c r="B11833" s="87"/>
      <c r="C11833" s="87"/>
      <c r="D11833" s="87"/>
      <c r="E11833" s="87"/>
      <c r="F11833" s="87"/>
      <c r="G11833" s="87"/>
      <c r="H11833" s="12"/>
      <c r="I11833" s="12"/>
      <c r="J11833" s="87"/>
      <c r="K11833" s="215" t="s">
        <v>3217</v>
      </c>
      <c r="L11833" s="215">
        <f>+F11832*presup!$O$5</f>
        <v>967789.11151000019</v>
      </c>
      <c r="M11833" s="87"/>
      <c r="N11833" s="87"/>
    </row>
    <row r="11834" spans="1:15" ht="12.75" customHeight="1" x14ac:dyDescent="0.2">
      <c r="A11834" s="398" t="s">
        <v>919</v>
      </c>
      <c r="B11834" s="271"/>
      <c r="C11834" s="271"/>
      <c r="D11834" s="271"/>
      <c r="E11834" s="271"/>
      <c r="F11834" s="271"/>
      <c r="G11834" s="271"/>
      <c r="H11834" s="271"/>
      <c r="I11834" s="271"/>
      <c r="J11834" s="271"/>
      <c r="K11834" s="271"/>
      <c r="L11834" s="271"/>
      <c r="M11834" s="271"/>
      <c r="N11834" s="273"/>
    </row>
    <row r="11835" spans="1:15" ht="12.75" customHeight="1" x14ac:dyDescent="0.2">
      <c r="A11835" s="396" t="s">
        <v>76</v>
      </c>
      <c r="B11835" s="271"/>
      <c r="C11835" s="271"/>
      <c r="D11835" s="271"/>
      <c r="E11835" s="271"/>
      <c r="F11835" s="271"/>
      <c r="G11835" s="273"/>
      <c r="H11835" s="88" t="s">
        <v>77</v>
      </c>
      <c r="I11835" s="399" t="s">
        <v>920</v>
      </c>
      <c r="J11835" s="273"/>
      <c r="K11835" s="399" t="s">
        <v>453</v>
      </c>
      <c r="L11835" s="273"/>
      <c r="M11835" s="399" t="s">
        <v>921</v>
      </c>
      <c r="N11835" s="273"/>
    </row>
    <row r="11836" spans="1:15" ht="12.75" customHeight="1" x14ac:dyDescent="0.25">
      <c r="A11836" s="426" t="s">
        <v>1674</v>
      </c>
      <c r="B11836" s="271"/>
      <c r="C11836" s="271"/>
      <c r="D11836" s="271"/>
      <c r="E11836" s="271"/>
      <c r="F11836" s="271"/>
      <c r="G11836" s="273"/>
      <c r="H11836" s="29" t="str">
        <f t="shared" ref="H11836:H11851" si="1566">IF(A11836="","",VLOOKUP(A11836,AA_Materiales,7,FALSE))</f>
        <v>Unidad</v>
      </c>
      <c r="I11836" s="394">
        <f t="shared" ref="I11836:I11851" si="1567">IF(A11836="","",VLOOKUP(A11836,AA_Materiales,8,FALSE))</f>
        <v>9660</v>
      </c>
      <c r="J11836" s="273"/>
      <c r="K11836" s="393">
        <v>1</v>
      </c>
      <c r="L11836" s="273"/>
      <c r="M11836" s="394">
        <f t="shared" ref="M11836:M11851" si="1568">IF(A11836="","",I11836*K11836)</f>
        <v>9660</v>
      </c>
      <c r="N11836" s="273"/>
    </row>
    <row r="11837" spans="1:15" ht="12.75" customHeight="1" x14ac:dyDescent="0.25">
      <c r="A11837" s="426" t="s">
        <v>1554</v>
      </c>
      <c r="B11837" s="271"/>
      <c r="C11837" s="271"/>
      <c r="D11837" s="271"/>
      <c r="E11837" s="271"/>
      <c r="F11837" s="271"/>
      <c r="G11837" s="273"/>
      <c r="H11837" s="29" t="str">
        <f t="shared" si="1566"/>
        <v>Unidad</v>
      </c>
      <c r="I11837" s="394">
        <f t="shared" si="1567"/>
        <v>780.08</v>
      </c>
      <c r="J11837" s="273"/>
      <c r="K11837" s="393">
        <v>6</v>
      </c>
      <c r="L11837" s="273"/>
      <c r="M11837" s="394">
        <f t="shared" si="1568"/>
        <v>4680.4800000000005</v>
      </c>
      <c r="N11837" s="273"/>
    </row>
    <row r="11838" spans="1:15" ht="12.75" customHeight="1" x14ac:dyDescent="0.25">
      <c r="A11838" s="426" t="s">
        <v>2297</v>
      </c>
      <c r="B11838" s="271"/>
      <c r="C11838" s="271"/>
      <c r="D11838" s="271"/>
      <c r="E11838" s="271"/>
      <c r="F11838" s="271"/>
      <c r="G11838" s="273"/>
      <c r="H11838" s="29" t="str">
        <f t="shared" si="1566"/>
        <v>m</v>
      </c>
      <c r="I11838" s="394">
        <f t="shared" si="1567"/>
        <v>6412</v>
      </c>
      <c r="J11838" s="273"/>
      <c r="K11838" s="393">
        <f>8*3</f>
        <v>24</v>
      </c>
      <c r="L11838" s="273"/>
      <c r="M11838" s="394">
        <f t="shared" si="1568"/>
        <v>153888</v>
      </c>
      <c r="N11838" s="273"/>
    </row>
    <row r="11839" spans="1:15" ht="12.75" customHeight="1" x14ac:dyDescent="0.25">
      <c r="A11839" s="426" t="s">
        <v>2299</v>
      </c>
      <c r="B11839" s="271"/>
      <c r="C11839" s="271"/>
      <c r="D11839" s="271"/>
      <c r="E11839" s="271"/>
      <c r="F11839" s="271"/>
      <c r="G11839" s="273"/>
      <c r="H11839" s="29" t="str">
        <f t="shared" si="1566"/>
        <v>m</v>
      </c>
      <c r="I11839" s="394">
        <f t="shared" si="1567"/>
        <v>4620</v>
      </c>
      <c r="J11839" s="273"/>
      <c r="K11839" s="393">
        <v>8</v>
      </c>
      <c r="L11839" s="273"/>
      <c r="M11839" s="394">
        <f t="shared" si="1568"/>
        <v>36960</v>
      </c>
      <c r="N11839" s="273"/>
    </row>
    <row r="11840" spans="1:15" ht="12.75" customHeight="1" x14ac:dyDescent="0.25">
      <c r="A11840" s="426" t="s">
        <v>1710</v>
      </c>
      <c r="B11840" s="271"/>
      <c r="C11840" s="271"/>
      <c r="D11840" s="271"/>
      <c r="E11840" s="271"/>
      <c r="F11840" s="271"/>
      <c r="G11840" s="273"/>
      <c r="H11840" s="29" t="str">
        <f t="shared" si="1566"/>
        <v>Unidad</v>
      </c>
      <c r="I11840" s="394">
        <f t="shared" si="1567"/>
        <v>2240</v>
      </c>
      <c r="J11840" s="273"/>
      <c r="K11840" s="393">
        <v>6</v>
      </c>
      <c r="L11840" s="273"/>
      <c r="M11840" s="394">
        <f t="shared" si="1568"/>
        <v>13440</v>
      </c>
      <c r="N11840" s="273"/>
    </row>
    <row r="11841" spans="1:14" ht="12.75" customHeight="1" x14ac:dyDescent="0.25">
      <c r="A11841" s="426" t="s">
        <v>1710</v>
      </c>
      <c r="B11841" s="271"/>
      <c r="C11841" s="271"/>
      <c r="D11841" s="271"/>
      <c r="E11841" s="271"/>
      <c r="F11841" s="271"/>
      <c r="G11841" s="273"/>
      <c r="H11841" s="29" t="str">
        <f t="shared" si="1566"/>
        <v>Unidad</v>
      </c>
      <c r="I11841" s="394">
        <f t="shared" si="1567"/>
        <v>2240</v>
      </c>
      <c r="J11841" s="273"/>
      <c r="K11841" s="393">
        <v>2</v>
      </c>
      <c r="L11841" s="273"/>
      <c r="M11841" s="394">
        <f t="shared" si="1568"/>
        <v>4480</v>
      </c>
      <c r="N11841" s="273"/>
    </row>
    <row r="11842" spans="1:14" ht="12.75" customHeight="1" x14ac:dyDescent="0.25">
      <c r="A11842" s="426" t="s">
        <v>2303</v>
      </c>
      <c r="B11842" s="271"/>
      <c r="C11842" s="271"/>
      <c r="D11842" s="271"/>
      <c r="E11842" s="271"/>
      <c r="F11842" s="271"/>
      <c r="G11842" s="273"/>
      <c r="H11842" s="29" t="str">
        <f t="shared" si="1566"/>
        <v>m</v>
      </c>
      <c r="I11842" s="394">
        <f t="shared" si="1567"/>
        <v>23893.333333333332</v>
      </c>
      <c r="J11842" s="273"/>
      <c r="K11842" s="393">
        <v>4</v>
      </c>
      <c r="L11842" s="273"/>
      <c r="M11842" s="394">
        <f t="shared" si="1568"/>
        <v>95573.333333333328</v>
      </c>
      <c r="N11842" s="273"/>
    </row>
    <row r="11843" spans="1:14" ht="12.75" customHeight="1" x14ac:dyDescent="0.25">
      <c r="A11843" s="426" t="s">
        <v>2305</v>
      </c>
      <c r="B11843" s="271"/>
      <c r="C11843" s="271"/>
      <c r="D11843" s="271"/>
      <c r="E11843" s="271"/>
      <c r="F11843" s="271"/>
      <c r="G11843" s="273"/>
      <c r="H11843" s="29" t="str">
        <f t="shared" si="1566"/>
        <v>m</v>
      </c>
      <c r="I11843" s="394">
        <f t="shared" si="1567"/>
        <v>16940</v>
      </c>
      <c r="J11843" s="273"/>
      <c r="K11843" s="393">
        <v>2</v>
      </c>
      <c r="L11843" s="273"/>
      <c r="M11843" s="394">
        <f t="shared" si="1568"/>
        <v>33880</v>
      </c>
      <c r="N11843" s="273"/>
    </row>
    <row r="11844" spans="1:14" ht="12.75" customHeight="1" x14ac:dyDescent="0.25">
      <c r="A11844" s="426" t="s">
        <v>2307</v>
      </c>
      <c r="B11844" s="271"/>
      <c r="C11844" s="271"/>
      <c r="D11844" s="271"/>
      <c r="E11844" s="271"/>
      <c r="F11844" s="271"/>
      <c r="G11844" s="273"/>
      <c r="H11844" s="29" t="str">
        <f t="shared" si="1566"/>
        <v>Unidad</v>
      </c>
      <c r="I11844" s="394">
        <f t="shared" si="1567"/>
        <v>9240</v>
      </c>
      <c r="J11844" s="273"/>
      <c r="K11844" s="393">
        <v>2</v>
      </c>
      <c r="L11844" s="273"/>
      <c r="M11844" s="394">
        <f t="shared" si="1568"/>
        <v>18480</v>
      </c>
      <c r="N11844" s="273"/>
    </row>
    <row r="11845" spans="1:14" ht="12.75" customHeight="1" x14ac:dyDescent="0.25">
      <c r="A11845" s="426" t="s">
        <v>2309</v>
      </c>
      <c r="B11845" s="271"/>
      <c r="C11845" s="271"/>
      <c r="D11845" s="271"/>
      <c r="E11845" s="271"/>
      <c r="F11845" s="271"/>
      <c r="G11845" s="273"/>
      <c r="H11845" s="29" t="str">
        <f t="shared" si="1566"/>
        <v>Unidad</v>
      </c>
      <c r="I11845" s="394">
        <f t="shared" si="1567"/>
        <v>14070</v>
      </c>
      <c r="J11845" s="273"/>
      <c r="K11845" s="393">
        <v>1</v>
      </c>
      <c r="L11845" s="273"/>
      <c r="M11845" s="394">
        <f t="shared" si="1568"/>
        <v>14070</v>
      </c>
      <c r="N11845" s="273"/>
    </row>
    <row r="11846" spans="1:14" ht="12.75" customHeight="1" x14ac:dyDescent="0.2">
      <c r="A11846" s="403"/>
      <c r="B11846" s="271"/>
      <c r="C11846" s="271"/>
      <c r="D11846" s="271"/>
      <c r="E11846" s="271"/>
      <c r="F11846" s="271"/>
      <c r="G11846" s="273"/>
      <c r="H11846" s="29" t="str">
        <f t="shared" si="1566"/>
        <v/>
      </c>
      <c r="I11846" s="394" t="str">
        <f t="shared" si="1567"/>
        <v/>
      </c>
      <c r="J11846" s="273"/>
      <c r="K11846" s="395"/>
      <c r="L11846" s="273"/>
      <c r="M11846" s="394" t="str">
        <f t="shared" si="1568"/>
        <v/>
      </c>
      <c r="N11846" s="273"/>
    </row>
    <row r="11847" spans="1:14" ht="12.75" customHeight="1" x14ac:dyDescent="0.2">
      <c r="A11847" s="403"/>
      <c r="B11847" s="271"/>
      <c r="C11847" s="271"/>
      <c r="D11847" s="271"/>
      <c r="E11847" s="271"/>
      <c r="F11847" s="271"/>
      <c r="G11847" s="273"/>
      <c r="H11847" s="29" t="str">
        <f t="shared" si="1566"/>
        <v/>
      </c>
      <c r="I11847" s="394" t="str">
        <f t="shared" si="1567"/>
        <v/>
      </c>
      <c r="J11847" s="273"/>
      <c r="K11847" s="395"/>
      <c r="L11847" s="273"/>
      <c r="M11847" s="394" t="str">
        <f t="shared" si="1568"/>
        <v/>
      </c>
      <c r="N11847" s="273"/>
    </row>
    <row r="11848" spans="1:14" ht="12.75" customHeight="1" x14ac:dyDescent="0.2">
      <c r="A11848" s="403"/>
      <c r="B11848" s="271"/>
      <c r="C11848" s="271"/>
      <c r="D11848" s="271"/>
      <c r="E11848" s="271"/>
      <c r="F11848" s="271"/>
      <c r="G11848" s="273"/>
      <c r="H11848" s="29" t="str">
        <f t="shared" si="1566"/>
        <v/>
      </c>
      <c r="I11848" s="394" t="str">
        <f t="shared" si="1567"/>
        <v/>
      </c>
      <c r="J11848" s="273"/>
      <c r="K11848" s="395"/>
      <c r="L11848" s="273"/>
      <c r="M11848" s="394" t="str">
        <f t="shared" si="1568"/>
        <v/>
      </c>
      <c r="N11848" s="273"/>
    </row>
    <row r="11849" spans="1:14" ht="12.75" customHeight="1" x14ac:dyDescent="0.2">
      <c r="A11849" s="403"/>
      <c r="B11849" s="271"/>
      <c r="C11849" s="271"/>
      <c r="D11849" s="271"/>
      <c r="E11849" s="271"/>
      <c r="F11849" s="271"/>
      <c r="G11849" s="273"/>
      <c r="H11849" s="29" t="str">
        <f t="shared" si="1566"/>
        <v/>
      </c>
      <c r="I11849" s="394" t="str">
        <f t="shared" si="1567"/>
        <v/>
      </c>
      <c r="J11849" s="273"/>
      <c r="K11849" s="395"/>
      <c r="L11849" s="273"/>
      <c r="M11849" s="394" t="str">
        <f t="shared" si="1568"/>
        <v/>
      </c>
      <c r="N11849" s="273"/>
    </row>
    <row r="11850" spans="1:14" ht="12.75" customHeight="1" x14ac:dyDescent="0.2">
      <c r="A11850" s="403"/>
      <c r="B11850" s="271"/>
      <c r="C11850" s="271"/>
      <c r="D11850" s="271"/>
      <c r="E11850" s="271"/>
      <c r="F11850" s="271"/>
      <c r="G11850" s="273"/>
      <c r="H11850" s="29" t="str">
        <f t="shared" si="1566"/>
        <v/>
      </c>
      <c r="I11850" s="394" t="str">
        <f t="shared" si="1567"/>
        <v/>
      </c>
      <c r="J11850" s="273"/>
      <c r="K11850" s="395"/>
      <c r="L11850" s="273"/>
      <c r="M11850" s="394" t="str">
        <f t="shared" si="1568"/>
        <v/>
      </c>
      <c r="N11850" s="273"/>
    </row>
    <row r="11851" spans="1:14" ht="12.75" customHeight="1" x14ac:dyDescent="0.2">
      <c r="A11851" s="403"/>
      <c r="B11851" s="271"/>
      <c r="C11851" s="271"/>
      <c r="D11851" s="271"/>
      <c r="E11851" s="271"/>
      <c r="F11851" s="271"/>
      <c r="G11851" s="273"/>
      <c r="H11851" s="29" t="str">
        <f t="shared" si="1566"/>
        <v/>
      </c>
      <c r="I11851" s="394" t="str">
        <f t="shared" si="1567"/>
        <v/>
      </c>
      <c r="J11851" s="273"/>
      <c r="K11851" s="395"/>
      <c r="L11851" s="273"/>
      <c r="M11851" s="394" t="str">
        <f t="shared" si="1568"/>
        <v/>
      </c>
      <c r="N11851" s="273"/>
    </row>
    <row r="11852" spans="1:14" ht="12.75" customHeight="1" x14ac:dyDescent="0.25">
      <c r="A11852" s="4"/>
      <c r="B11852" s="4"/>
      <c r="C11852" s="4"/>
      <c r="D11852" s="4"/>
      <c r="E11852" s="4"/>
      <c r="F11852" s="4"/>
      <c r="G11852" s="4"/>
      <c r="H11852" s="4"/>
      <c r="I11852" s="4"/>
      <c r="J11852" s="4"/>
      <c r="K11852" s="396" t="s">
        <v>444</v>
      </c>
      <c r="L11852" s="273"/>
      <c r="M11852" s="394">
        <f>SUM(M11836:N11851)</f>
        <v>385111.81333333335</v>
      </c>
      <c r="N11852" s="273"/>
    </row>
    <row r="11853" spans="1:14" ht="12.75" customHeight="1" x14ac:dyDescent="0.25">
      <c r="A11853" s="4"/>
      <c r="B11853" s="4"/>
      <c r="C11853" s="4"/>
      <c r="D11853" s="4"/>
      <c r="E11853" s="4"/>
      <c r="F11853" s="4"/>
      <c r="G11853" s="4"/>
      <c r="H11853" s="4"/>
      <c r="I11853" s="4"/>
      <c r="J11853" s="4"/>
      <c r="K11853" s="4"/>
      <c r="L11853" s="4"/>
      <c r="M11853" s="4"/>
      <c r="N11853" s="4"/>
    </row>
    <row r="11854" spans="1:14" ht="12.75" customHeight="1" x14ac:dyDescent="0.2">
      <c r="A11854" s="398" t="s">
        <v>926</v>
      </c>
      <c r="B11854" s="271"/>
      <c r="C11854" s="271"/>
      <c r="D11854" s="271"/>
      <c r="E11854" s="271"/>
      <c r="F11854" s="271"/>
      <c r="G11854" s="271"/>
      <c r="H11854" s="271"/>
      <c r="I11854" s="271"/>
      <c r="J11854" s="271"/>
      <c r="K11854" s="271"/>
      <c r="L11854" s="271"/>
      <c r="M11854" s="271"/>
      <c r="N11854" s="273"/>
    </row>
    <row r="11855" spans="1:14" ht="12.75" customHeight="1" x14ac:dyDescent="0.2">
      <c r="A11855" s="396" t="s">
        <v>76</v>
      </c>
      <c r="B11855" s="271"/>
      <c r="C11855" s="271"/>
      <c r="D11855" s="271"/>
      <c r="E11855" s="271"/>
      <c r="F11855" s="271"/>
      <c r="G11855" s="273"/>
      <c r="H11855" s="88" t="s">
        <v>77</v>
      </c>
      <c r="I11855" s="399" t="s">
        <v>920</v>
      </c>
      <c r="J11855" s="273"/>
      <c r="K11855" s="399" t="s">
        <v>453</v>
      </c>
      <c r="L11855" s="273"/>
      <c r="M11855" s="399" t="s">
        <v>921</v>
      </c>
      <c r="N11855" s="273"/>
    </row>
    <row r="11856" spans="1:14" ht="12.75" customHeight="1" x14ac:dyDescent="0.2">
      <c r="A11856" s="400" t="s">
        <v>927</v>
      </c>
      <c r="B11856" s="271"/>
      <c r="C11856" s="271"/>
      <c r="D11856" s="271"/>
      <c r="E11856" s="271"/>
      <c r="F11856" s="271"/>
      <c r="G11856" s="273"/>
      <c r="H11856" s="29" t="str">
        <f>IF(A11856="","",VLOOKUP(A11856,AA_Equipos,7,FALSE))</f>
        <v>% M.O.</v>
      </c>
      <c r="I11856" s="394">
        <f>+M11879</f>
        <v>124550</v>
      </c>
      <c r="J11856" s="273"/>
      <c r="K11856" s="404">
        <v>0.05</v>
      </c>
      <c r="L11856" s="273"/>
      <c r="M11856" s="394">
        <f t="shared" ref="M11856:M11860" si="1569">IF(A11856="","",I11856*K11856)</f>
        <v>6227.5</v>
      </c>
      <c r="N11856" s="273"/>
    </row>
    <row r="11857" spans="1:14" ht="12.75" customHeight="1" x14ac:dyDescent="0.2">
      <c r="A11857" s="403"/>
      <c r="B11857" s="271"/>
      <c r="C11857" s="271"/>
      <c r="D11857" s="271"/>
      <c r="E11857" s="271"/>
      <c r="F11857" s="271"/>
      <c r="G11857" s="273"/>
      <c r="H11857" s="29" t="str">
        <f>IF(A11857="","",VLOOKUP(A11857,AA_Equipos,7,FALSE))</f>
        <v/>
      </c>
      <c r="I11857" s="394" t="str">
        <f>IF(A11857="","",VLOOKUP(A11857,AA_Equipos,8,FALSE))</f>
        <v/>
      </c>
      <c r="J11857" s="273"/>
      <c r="K11857" s="402"/>
      <c r="L11857" s="273"/>
      <c r="M11857" s="394" t="str">
        <f t="shared" si="1569"/>
        <v/>
      </c>
      <c r="N11857" s="273"/>
    </row>
    <row r="11858" spans="1:14" ht="12.75" customHeight="1" x14ac:dyDescent="0.2">
      <c r="A11858" s="400"/>
      <c r="B11858" s="271"/>
      <c r="C11858" s="271"/>
      <c r="D11858" s="271"/>
      <c r="E11858" s="271"/>
      <c r="F11858" s="271"/>
      <c r="G11858" s="273"/>
      <c r="H11858" s="29" t="str">
        <f>IF(A11858="","",VLOOKUP(A11858,AA_Equipos,7,FALSE))</f>
        <v/>
      </c>
      <c r="I11858" s="394" t="str">
        <f>IF(A11858="","",VLOOKUP(A11858,AA_Equipos,8,FALSE))</f>
        <v/>
      </c>
      <c r="J11858" s="273"/>
      <c r="K11858" s="401"/>
      <c r="L11858" s="273"/>
      <c r="M11858" s="394" t="str">
        <f t="shared" si="1569"/>
        <v/>
      </c>
      <c r="N11858" s="273"/>
    </row>
    <row r="11859" spans="1:14" ht="12.75" customHeight="1" x14ac:dyDescent="0.2">
      <c r="A11859" s="400"/>
      <c r="B11859" s="271"/>
      <c r="C11859" s="271"/>
      <c r="D11859" s="271"/>
      <c r="E11859" s="271"/>
      <c r="F11859" s="271"/>
      <c r="G11859" s="273"/>
      <c r="H11859" s="29" t="str">
        <f>IF(A11859="","",VLOOKUP(A11859,AA_Equipos,7,FALSE))</f>
        <v/>
      </c>
      <c r="I11859" s="394" t="str">
        <f>IF(A11859="","",VLOOKUP(A11859,AA_Equipos,8,FALSE))</f>
        <v/>
      </c>
      <c r="J11859" s="273"/>
      <c r="K11859" s="395"/>
      <c r="L11859" s="273"/>
      <c r="M11859" s="394" t="str">
        <f t="shared" si="1569"/>
        <v/>
      </c>
      <c r="N11859" s="273"/>
    </row>
    <row r="11860" spans="1:14" ht="12.75" customHeight="1" x14ac:dyDescent="0.2">
      <c r="A11860" s="400"/>
      <c r="B11860" s="271"/>
      <c r="C11860" s="271"/>
      <c r="D11860" s="271"/>
      <c r="E11860" s="271"/>
      <c r="F11860" s="271"/>
      <c r="G11860" s="273"/>
      <c r="H11860" s="29" t="str">
        <f>IF(A11860="","",VLOOKUP(A11860,AA_Equipos,7,FALSE))</f>
        <v/>
      </c>
      <c r="I11860" s="394" t="str">
        <f>IF(A11860="","",VLOOKUP(A11860,AA_Equipos,8,FALSE))</f>
        <v/>
      </c>
      <c r="J11860" s="273"/>
      <c r="K11860" s="395"/>
      <c r="L11860" s="273"/>
      <c r="M11860" s="394" t="str">
        <f t="shared" si="1569"/>
        <v/>
      </c>
      <c r="N11860" s="273"/>
    </row>
    <row r="11861" spans="1:14" ht="12.75" customHeight="1" x14ac:dyDescent="0.25">
      <c r="A11861" s="4"/>
      <c r="B11861" s="4"/>
      <c r="C11861" s="4"/>
      <c r="D11861" s="4"/>
      <c r="E11861" s="4"/>
      <c r="F11861" s="4"/>
      <c r="G11861" s="4"/>
      <c r="H11861" s="4"/>
      <c r="I11861" s="4"/>
      <c r="J11861" s="4"/>
      <c r="K11861" s="396" t="s">
        <v>444</v>
      </c>
      <c r="L11861" s="273"/>
      <c r="M11861" s="394">
        <f>SUM(M11856:N11860)</f>
        <v>6227.5</v>
      </c>
      <c r="N11861" s="273"/>
    </row>
    <row r="11862" spans="1:14" ht="12.75" customHeight="1" x14ac:dyDescent="0.25">
      <c r="A11862" s="4"/>
      <c r="B11862" s="4"/>
      <c r="C11862" s="4"/>
      <c r="D11862" s="4"/>
      <c r="E11862" s="4"/>
      <c r="F11862" s="4"/>
      <c r="G11862" s="4"/>
      <c r="H11862" s="4"/>
      <c r="I11862" s="4"/>
      <c r="J11862" s="4"/>
      <c r="K11862" s="4"/>
      <c r="L11862" s="4"/>
      <c r="M11862" s="4"/>
      <c r="N11862" s="4"/>
    </row>
    <row r="11863" spans="1:14" ht="12.75" customHeight="1" x14ac:dyDescent="0.2">
      <c r="A11863" s="398" t="s">
        <v>929</v>
      </c>
      <c r="B11863" s="271"/>
      <c r="C11863" s="271"/>
      <c r="D11863" s="271"/>
      <c r="E11863" s="271"/>
      <c r="F11863" s="271"/>
      <c r="G11863" s="271"/>
      <c r="H11863" s="271"/>
      <c r="I11863" s="271"/>
      <c r="J11863" s="271"/>
      <c r="K11863" s="271"/>
      <c r="L11863" s="271"/>
      <c r="M11863" s="271"/>
      <c r="N11863" s="273"/>
    </row>
    <row r="11864" spans="1:14" ht="12.75" customHeight="1" x14ac:dyDescent="0.2">
      <c r="A11864" s="396" t="s">
        <v>76</v>
      </c>
      <c r="B11864" s="271"/>
      <c r="C11864" s="271"/>
      <c r="D11864" s="271"/>
      <c r="E11864" s="271"/>
      <c r="F11864" s="271"/>
      <c r="G11864" s="273"/>
      <c r="H11864" s="88" t="s">
        <v>77</v>
      </c>
      <c r="I11864" s="399" t="s">
        <v>920</v>
      </c>
      <c r="J11864" s="273"/>
      <c r="K11864" s="399" t="s">
        <v>453</v>
      </c>
      <c r="L11864" s="273"/>
      <c r="M11864" s="399" t="s">
        <v>921</v>
      </c>
      <c r="N11864" s="273"/>
    </row>
    <row r="11865" spans="1:14" ht="12.75" customHeight="1" x14ac:dyDescent="0.2">
      <c r="A11865" s="400" t="s">
        <v>1559</v>
      </c>
      <c r="B11865" s="271"/>
      <c r="C11865" s="271"/>
      <c r="D11865" s="271"/>
      <c r="E11865" s="271"/>
      <c r="F11865" s="271"/>
      <c r="G11865" s="273"/>
      <c r="H11865" s="29" t="str">
        <f>IF(A11865="","",VLOOKUP(A11865,AA_Equipos,7,FALSE))</f>
        <v>Día</v>
      </c>
      <c r="I11865" s="394">
        <f>IF(A11865="","",VLOOKUP(A11865,AA_Equipos,8,FALSE))</f>
        <v>74400</v>
      </c>
      <c r="J11865" s="273"/>
      <c r="K11865" s="408">
        <v>0.5</v>
      </c>
      <c r="L11865" s="273"/>
      <c r="M11865" s="394">
        <f t="shared" ref="M11865:M11869" si="1570">IF(A11865="","",I11865*K11865)</f>
        <v>37200</v>
      </c>
      <c r="N11865" s="273"/>
    </row>
    <row r="11866" spans="1:14" ht="12.75" customHeight="1" x14ac:dyDescent="0.2">
      <c r="A11866" s="403" t="s">
        <v>930</v>
      </c>
      <c r="B11866" s="271"/>
      <c r="C11866" s="271"/>
      <c r="D11866" s="271"/>
      <c r="E11866" s="271"/>
      <c r="F11866" s="271"/>
      <c r="G11866" s="273"/>
      <c r="H11866" s="29" t="s">
        <v>24</v>
      </c>
      <c r="I11866" s="394">
        <f>+M11852+M11861</f>
        <v>391339.31333333335</v>
      </c>
      <c r="J11866" s="273"/>
      <c r="K11866" s="404">
        <v>0.05</v>
      </c>
      <c r="L11866" s="273"/>
      <c r="M11866" s="394">
        <f t="shared" si="1570"/>
        <v>19566.965666666667</v>
      </c>
      <c r="N11866" s="273"/>
    </row>
    <row r="11867" spans="1:14" ht="12.75" customHeight="1" x14ac:dyDescent="0.2">
      <c r="A11867" s="400"/>
      <c r="B11867" s="271"/>
      <c r="C11867" s="271"/>
      <c r="D11867" s="271"/>
      <c r="E11867" s="271"/>
      <c r="F11867" s="271"/>
      <c r="G11867" s="273"/>
      <c r="H11867" s="29"/>
      <c r="I11867" s="394"/>
      <c r="J11867" s="273"/>
      <c r="K11867" s="395"/>
      <c r="L11867" s="273"/>
      <c r="M11867" s="394" t="str">
        <f t="shared" si="1570"/>
        <v/>
      </c>
      <c r="N11867" s="273"/>
    </row>
    <row r="11868" spans="1:14" ht="12.75" customHeight="1" x14ac:dyDescent="0.2">
      <c r="A11868" s="400"/>
      <c r="B11868" s="271"/>
      <c r="C11868" s="271"/>
      <c r="D11868" s="271"/>
      <c r="E11868" s="271"/>
      <c r="F11868" s="271"/>
      <c r="G11868" s="273"/>
      <c r="H11868" s="29"/>
      <c r="I11868" s="394"/>
      <c r="J11868" s="273"/>
      <c r="K11868" s="395"/>
      <c r="L11868" s="273"/>
      <c r="M11868" s="394" t="str">
        <f t="shared" si="1570"/>
        <v/>
      </c>
      <c r="N11868" s="273"/>
    </row>
    <row r="11869" spans="1:14" ht="12.75" customHeight="1" x14ac:dyDescent="0.2">
      <c r="A11869" s="400"/>
      <c r="B11869" s="271"/>
      <c r="C11869" s="271"/>
      <c r="D11869" s="271"/>
      <c r="E11869" s="271"/>
      <c r="F11869" s="271"/>
      <c r="G11869" s="273"/>
      <c r="H11869" s="29"/>
      <c r="I11869" s="394"/>
      <c r="J11869" s="273"/>
      <c r="K11869" s="395"/>
      <c r="L11869" s="273"/>
      <c r="M11869" s="394" t="str">
        <f t="shared" si="1570"/>
        <v/>
      </c>
      <c r="N11869" s="273"/>
    </row>
    <row r="11870" spans="1:14" ht="12.75" customHeight="1" x14ac:dyDescent="0.25">
      <c r="A11870" s="4"/>
      <c r="B11870" s="4"/>
      <c r="C11870" s="4"/>
      <c r="D11870" s="4"/>
      <c r="E11870" s="4"/>
      <c r="F11870" s="4"/>
      <c r="G11870" s="4"/>
      <c r="H11870" s="4"/>
      <c r="I11870" s="4"/>
      <c r="J11870" s="4"/>
      <c r="K11870" s="396" t="s">
        <v>444</v>
      </c>
      <c r="L11870" s="273"/>
      <c r="M11870" s="394">
        <f>SUM(M11865:N11869)</f>
        <v>56766.965666666671</v>
      </c>
      <c r="N11870" s="273"/>
    </row>
    <row r="11871" spans="1:14" ht="12.75" customHeight="1" x14ac:dyDescent="0.25">
      <c r="A11871" s="4"/>
      <c r="B11871" s="4"/>
      <c r="C11871" s="4"/>
      <c r="D11871" s="4"/>
      <c r="E11871" s="4"/>
      <c r="F11871" s="4"/>
      <c r="G11871" s="4"/>
      <c r="H11871" s="4"/>
      <c r="I11871" s="4"/>
      <c r="J11871" s="4"/>
      <c r="K11871" s="4"/>
      <c r="L11871" s="4"/>
      <c r="M11871" s="4"/>
      <c r="N11871" s="4"/>
    </row>
    <row r="11872" spans="1:14" ht="12.75" customHeight="1" x14ac:dyDescent="0.2">
      <c r="A11872" s="398" t="s">
        <v>931</v>
      </c>
      <c r="B11872" s="271"/>
      <c r="C11872" s="271"/>
      <c r="D11872" s="271"/>
      <c r="E11872" s="271"/>
      <c r="F11872" s="271"/>
      <c r="G11872" s="271"/>
      <c r="H11872" s="271"/>
      <c r="I11872" s="271"/>
      <c r="J11872" s="271"/>
      <c r="K11872" s="271"/>
      <c r="L11872" s="271"/>
      <c r="M11872" s="271"/>
      <c r="N11872" s="273"/>
    </row>
    <row r="11873" spans="1:15" ht="12.75" customHeight="1" x14ac:dyDescent="0.2">
      <c r="A11873" s="396" t="s">
        <v>76</v>
      </c>
      <c r="B11873" s="271"/>
      <c r="C11873" s="271"/>
      <c r="D11873" s="271"/>
      <c r="E11873" s="271"/>
      <c r="F11873" s="271"/>
      <c r="G11873" s="273"/>
      <c r="H11873" s="88" t="s">
        <v>77</v>
      </c>
      <c r="I11873" s="399" t="s">
        <v>920</v>
      </c>
      <c r="J11873" s="273"/>
      <c r="K11873" s="90" t="s">
        <v>514</v>
      </c>
      <c r="L11873" s="91" t="s">
        <v>932</v>
      </c>
      <c r="M11873" s="399" t="s">
        <v>921</v>
      </c>
      <c r="N11873" s="273"/>
    </row>
    <row r="11874" spans="1:15" ht="12.75" customHeight="1" x14ac:dyDescent="0.25">
      <c r="A11874" s="393" t="s">
        <v>1301</v>
      </c>
      <c r="B11874" s="271"/>
      <c r="C11874" s="271"/>
      <c r="D11874" s="271"/>
      <c r="E11874" s="271"/>
      <c r="F11874" s="271"/>
      <c r="G11874" s="273"/>
      <c r="H11874" s="29" t="str">
        <f>IF(A11874="","",VLOOKUP(A11874,AA_Cuadrillas,4,FALSE))</f>
        <v>Cuadrilla</v>
      </c>
      <c r="I11874" s="394">
        <f>IF(A11874="","",VLOOKUP(A11874,AA_Cuadrillas,5,FALSE))</f>
        <v>132500</v>
      </c>
      <c r="J11874" s="273"/>
      <c r="K11874" s="9">
        <f>IF(A11874="","",F.P!$I$2)</f>
        <v>1.88</v>
      </c>
      <c r="L11874" s="97">
        <v>0.5</v>
      </c>
      <c r="M11874" s="394">
        <f t="shared" ref="M11874:M11878" si="1571">IF(A11874="","",I11874*K11874*L11874)</f>
        <v>124550</v>
      </c>
      <c r="N11874" s="273"/>
    </row>
    <row r="11875" spans="1:15" ht="12.75" customHeight="1" x14ac:dyDescent="0.25">
      <c r="A11875" s="393"/>
      <c r="B11875" s="271"/>
      <c r="C11875" s="271"/>
      <c r="D11875" s="271"/>
      <c r="E11875" s="271"/>
      <c r="F11875" s="271"/>
      <c r="G11875" s="273"/>
      <c r="H11875" s="29" t="str">
        <f>IF(A11875="","",VLOOKUP(A11875,AA_Cuadrillas,4,FALSE))</f>
        <v/>
      </c>
      <c r="I11875" s="394" t="str">
        <f>IF(A11875="","",VLOOKUP(A11875,AA_Cuadrillas,5,FALSE))</f>
        <v/>
      </c>
      <c r="J11875" s="273"/>
      <c r="K11875" s="9" t="str">
        <f>IF(A11875="","",F.P!$I$2)</f>
        <v/>
      </c>
      <c r="L11875" s="9"/>
      <c r="M11875" s="394" t="str">
        <f t="shared" si="1571"/>
        <v/>
      </c>
      <c r="N11875" s="273"/>
    </row>
    <row r="11876" spans="1:15" ht="12.75" customHeight="1" x14ac:dyDescent="0.25">
      <c r="A11876" s="393"/>
      <c r="B11876" s="271"/>
      <c r="C11876" s="271"/>
      <c r="D11876" s="271"/>
      <c r="E11876" s="271"/>
      <c r="F11876" s="271"/>
      <c r="G11876" s="273"/>
      <c r="H11876" s="29" t="str">
        <f>IF(A11876="","",VLOOKUP(A11876,AA_Cuadrillas,4,FALSE))</f>
        <v/>
      </c>
      <c r="I11876" s="394" t="str">
        <f>IF(A11876="","",VLOOKUP(A11876,AA_Cuadrillas,5,FALSE))</f>
        <v/>
      </c>
      <c r="J11876" s="273"/>
      <c r="K11876" s="9" t="str">
        <f>IF(A11876="","",F.P!$I$2)</f>
        <v/>
      </c>
      <c r="L11876" s="37"/>
      <c r="M11876" s="394" t="str">
        <f t="shared" si="1571"/>
        <v/>
      </c>
      <c r="N11876" s="273"/>
    </row>
    <row r="11877" spans="1:15" ht="12.75" customHeight="1" x14ac:dyDescent="0.25">
      <c r="A11877" s="393"/>
      <c r="B11877" s="271"/>
      <c r="C11877" s="271"/>
      <c r="D11877" s="271"/>
      <c r="E11877" s="271"/>
      <c r="F11877" s="271"/>
      <c r="G11877" s="273"/>
      <c r="H11877" s="29" t="str">
        <f>IF(A11877="","",VLOOKUP(A11877,AA_Cuadrillas,4,FALSE))</f>
        <v/>
      </c>
      <c r="I11877" s="394" t="str">
        <f>IF(A11877="","",VLOOKUP(A11877,AA_Cuadrillas,5,FALSE))</f>
        <v/>
      </c>
      <c r="J11877" s="273"/>
      <c r="K11877" s="9" t="str">
        <f>IF(A11877="","",F.P!$I$2)</f>
        <v/>
      </c>
      <c r="L11877" s="97"/>
      <c r="M11877" s="394" t="str">
        <f t="shared" si="1571"/>
        <v/>
      </c>
      <c r="N11877" s="273"/>
    </row>
    <row r="11878" spans="1:15" ht="12.75" customHeight="1" x14ac:dyDescent="0.25">
      <c r="A11878" s="393"/>
      <c r="B11878" s="271"/>
      <c r="C11878" s="271"/>
      <c r="D11878" s="271"/>
      <c r="E11878" s="271"/>
      <c r="F11878" s="271"/>
      <c r="G11878" s="273"/>
      <c r="H11878" s="29" t="str">
        <f>IF(A11878="","",VLOOKUP(A11878,AA_Cuadrillas,4,FALSE))</f>
        <v/>
      </c>
      <c r="I11878" s="394" t="str">
        <f>IF(A11878="","",VLOOKUP(A11878,AA_Cuadrillas,5,FALSE))</f>
        <v/>
      </c>
      <c r="J11878" s="273"/>
      <c r="K11878" s="9" t="str">
        <f>IF(A11878="","",F.P!$I$2)</f>
        <v/>
      </c>
      <c r="L11878" s="37"/>
      <c r="M11878" s="394" t="str">
        <f t="shared" si="1571"/>
        <v/>
      </c>
      <c r="N11878" s="273"/>
    </row>
    <row r="11879" spans="1:15" ht="12.75" customHeight="1" x14ac:dyDescent="0.25">
      <c r="A11879" s="4"/>
      <c r="B11879" s="4"/>
      <c r="C11879" s="4"/>
      <c r="D11879" s="4"/>
      <c r="E11879" s="4"/>
      <c r="F11879" s="4"/>
      <c r="G11879" s="4"/>
      <c r="H11879" s="4"/>
      <c r="I11879" s="4"/>
      <c r="J11879" s="4"/>
      <c r="K11879" s="396" t="s">
        <v>444</v>
      </c>
      <c r="L11879" s="273"/>
      <c r="M11879" s="394">
        <f>SUM(M11874:N11878)</f>
        <v>124550</v>
      </c>
      <c r="N11879" s="273"/>
    </row>
    <row r="11880" spans="1:15" ht="12.75" customHeight="1" x14ac:dyDescent="0.2"/>
    <row r="11881" spans="1:15" ht="12.75" customHeight="1" x14ac:dyDescent="0.2">
      <c r="A11881" s="397" t="s">
        <v>387</v>
      </c>
      <c r="B11881" s="275"/>
      <c r="C11881" s="275"/>
      <c r="D11881" s="275"/>
      <c r="E11881" s="275"/>
      <c r="F11881" s="275"/>
      <c r="G11881" s="275"/>
      <c r="H11881" s="275"/>
      <c r="I11881" s="275"/>
      <c r="J11881" s="275"/>
      <c r="K11881" s="275"/>
      <c r="L11881" s="275"/>
      <c r="M11881" s="275"/>
      <c r="N11881" s="276"/>
      <c r="O11881" s="166"/>
    </row>
    <row r="11882" spans="1:15" ht="12.75" customHeight="1" x14ac:dyDescent="0.2">
      <c r="A11882" s="277"/>
      <c r="B11882" s="278"/>
      <c r="C11882" s="278"/>
      <c r="D11882" s="278"/>
      <c r="E11882" s="278"/>
      <c r="F11882" s="278"/>
      <c r="G11882" s="278"/>
      <c r="H11882" s="278"/>
      <c r="I11882" s="278"/>
      <c r="J11882" s="278"/>
      <c r="K11882" s="278"/>
      <c r="L11882" s="278"/>
      <c r="M11882" s="278"/>
      <c r="N11882" s="279"/>
      <c r="O11882" s="166"/>
    </row>
    <row r="11883" spans="1:15" ht="12.75" customHeight="1" x14ac:dyDescent="0.2">
      <c r="A11883" s="75"/>
      <c r="B11883" s="75"/>
      <c r="C11883" s="75"/>
      <c r="D11883" s="75"/>
      <c r="E11883" s="75"/>
      <c r="F11883" s="75"/>
      <c r="G11883" s="75"/>
      <c r="H11883" s="75"/>
      <c r="I11883" s="75"/>
      <c r="J11883" s="75"/>
      <c r="K11883" s="75"/>
      <c r="L11883" s="75"/>
      <c r="M11883" s="75"/>
      <c r="N11883" s="75"/>
    </row>
    <row r="11884" spans="1:15" ht="12.75" customHeight="1" x14ac:dyDescent="0.3">
      <c r="A11884" s="79" t="s">
        <v>876</v>
      </c>
      <c r="B11884" s="80" t="str">
        <f>A11881</f>
        <v>SALIDA PARA TOMACORRIENTE LEVITON CON POLO A TIERRA EMPOTRADO EN PARED</v>
      </c>
      <c r="C11884" s="81" t="s">
        <v>916</v>
      </c>
      <c r="D11884" s="82" t="s">
        <v>999</v>
      </c>
      <c r="E11884" s="83" t="s">
        <v>445</v>
      </c>
      <c r="F11884" s="234">
        <f>(H11884+J11884+L11884+N11884)*1.3</f>
        <v>231175.62779999999</v>
      </c>
      <c r="G11884" s="83" t="s">
        <v>607</v>
      </c>
      <c r="H11884" s="86">
        <f>M11904</f>
        <v>105249.38666666666</v>
      </c>
      <c r="I11884" s="83" t="s">
        <v>918</v>
      </c>
      <c r="J11884" s="86">
        <f>M11913</f>
        <v>2491</v>
      </c>
      <c r="K11884" s="83" t="s">
        <v>609</v>
      </c>
      <c r="L11884" s="86">
        <f>M11922</f>
        <v>20267.019333333334</v>
      </c>
      <c r="M11884" s="83" t="s">
        <v>610</v>
      </c>
      <c r="N11884" s="86">
        <f>M11931</f>
        <v>49820</v>
      </c>
    </row>
    <row r="11885" spans="1:15" ht="12.75" customHeight="1" x14ac:dyDescent="0.25">
      <c r="A11885" s="87"/>
      <c r="B11885" s="87"/>
      <c r="C11885" s="87"/>
      <c r="D11885" s="87"/>
      <c r="E11885" s="87"/>
      <c r="F11885" s="87"/>
      <c r="G11885" s="87"/>
      <c r="H11885" s="12"/>
      <c r="I11885" s="12"/>
      <c r="J11885" s="87"/>
      <c r="K11885" s="215" t="s">
        <v>3217</v>
      </c>
      <c r="L11885" s="215">
        <f>+F11884*presup!$O$5</f>
        <v>300528.31614000001</v>
      </c>
      <c r="M11885" s="87"/>
      <c r="N11885" s="87"/>
    </row>
    <row r="11886" spans="1:15" ht="12.75" customHeight="1" x14ac:dyDescent="0.2">
      <c r="A11886" s="398" t="s">
        <v>919</v>
      </c>
      <c r="B11886" s="271"/>
      <c r="C11886" s="271"/>
      <c r="D11886" s="271"/>
      <c r="E11886" s="271"/>
      <c r="F11886" s="271"/>
      <c r="G11886" s="271"/>
      <c r="H11886" s="271"/>
      <c r="I11886" s="271"/>
      <c r="J11886" s="271"/>
      <c r="K11886" s="271"/>
      <c r="L11886" s="271"/>
      <c r="M11886" s="271"/>
      <c r="N11886" s="273"/>
    </row>
    <row r="11887" spans="1:15" ht="12.75" customHeight="1" x14ac:dyDescent="0.2">
      <c r="A11887" s="396" t="s">
        <v>76</v>
      </c>
      <c r="B11887" s="271"/>
      <c r="C11887" s="271"/>
      <c r="D11887" s="271"/>
      <c r="E11887" s="271"/>
      <c r="F11887" s="271"/>
      <c r="G11887" s="273"/>
      <c r="H11887" s="88" t="s">
        <v>77</v>
      </c>
      <c r="I11887" s="399" t="s">
        <v>920</v>
      </c>
      <c r="J11887" s="273"/>
      <c r="K11887" s="399" t="s">
        <v>453</v>
      </c>
      <c r="L11887" s="273"/>
      <c r="M11887" s="399" t="s">
        <v>921</v>
      </c>
      <c r="N11887" s="273"/>
    </row>
    <row r="11888" spans="1:15" ht="12.75" customHeight="1" x14ac:dyDescent="0.25">
      <c r="A11888" s="309" t="s">
        <v>1548</v>
      </c>
      <c r="B11888" s="271"/>
      <c r="C11888" s="271"/>
      <c r="D11888" s="271"/>
      <c r="E11888" s="271"/>
      <c r="F11888" s="271"/>
      <c r="G11888" s="273"/>
      <c r="H11888" s="29" t="str">
        <f t="shared" ref="H11888:H11903" si="1572">IF(A11888="","",VLOOKUP(A11888,AA_Materiales,7,FALSE))</f>
        <v>m</v>
      </c>
      <c r="I11888" s="394">
        <f t="shared" ref="I11888:I11903" si="1573">IF(A11888="","",VLOOKUP(A11888,AA_Materiales,8,FALSE))</f>
        <v>8461.9733333333334</v>
      </c>
      <c r="J11888" s="273"/>
      <c r="K11888" s="393">
        <v>5</v>
      </c>
      <c r="L11888" s="273"/>
      <c r="M11888" s="394">
        <f t="shared" ref="M11888:M11903" si="1574">IF(A11888="","",I11888*K11888)</f>
        <v>42309.866666666669</v>
      </c>
      <c r="N11888" s="273"/>
    </row>
    <row r="11889" spans="1:14" ht="12.75" customHeight="1" x14ac:dyDescent="0.25">
      <c r="A11889" s="309" t="s">
        <v>1549</v>
      </c>
      <c r="B11889" s="271"/>
      <c r="C11889" s="271"/>
      <c r="D11889" s="271"/>
      <c r="E11889" s="271"/>
      <c r="F11889" s="271"/>
      <c r="G11889" s="273"/>
      <c r="H11889" s="29" t="str">
        <f t="shared" si="1572"/>
        <v>Unidad</v>
      </c>
      <c r="I11889" s="394">
        <f t="shared" si="1573"/>
        <v>1865.9199999999998</v>
      </c>
      <c r="J11889" s="273"/>
      <c r="K11889" s="393">
        <v>2</v>
      </c>
      <c r="L11889" s="273"/>
      <c r="M11889" s="394">
        <f t="shared" si="1574"/>
        <v>3731.8399999999997</v>
      </c>
      <c r="N11889" s="273"/>
    </row>
    <row r="11890" spans="1:14" ht="12.75" customHeight="1" x14ac:dyDescent="0.25">
      <c r="A11890" s="309" t="s">
        <v>1550</v>
      </c>
      <c r="B11890" s="271"/>
      <c r="C11890" s="271"/>
      <c r="D11890" s="271"/>
      <c r="E11890" s="271"/>
      <c r="F11890" s="271"/>
      <c r="G11890" s="273"/>
      <c r="H11890" s="29" t="str">
        <f t="shared" si="1572"/>
        <v>Unidad</v>
      </c>
      <c r="I11890" s="394">
        <f t="shared" si="1573"/>
        <v>1697.3600000000001</v>
      </c>
      <c r="J11890" s="273"/>
      <c r="K11890" s="393">
        <v>1</v>
      </c>
      <c r="L11890" s="273"/>
      <c r="M11890" s="394">
        <f t="shared" si="1574"/>
        <v>1697.3600000000001</v>
      </c>
      <c r="N11890" s="273"/>
    </row>
    <row r="11891" spans="1:14" ht="12.75" customHeight="1" x14ac:dyDescent="0.25">
      <c r="A11891" s="309" t="s">
        <v>1566</v>
      </c>
      <c r="B11891" s="271"/>
      <c r="C11891" s="271"/>
      <c r="D11891" s="271"/>
      <c r="E11891" s="271"/>
      <c r="F11891" s="271"/>
      <c r="G11891" s="273"/>
      <c r="H11891" s="29" t="str">
        <f t="shared" si="1572"/>
        <v>Un</v>
      </c>
      <c r="I11891" s="394">
        <f t="shared" si="1573"/>
        <v>3092.8799999999997</v>
      </c>
      <c r="J11891" s="273"/>
      <c r="K11891" s="393">
        <v>1</v>
      </c>
      <c r="L11891" s="273"/>
      <c r="M11891" s="394">
        <f t="shared" si="1574"/>
        <v>3092.8799999999997</v>
      </c>
      <c r="N11891" s="273"/>
    </row>
    <row r="11892" spans="1:14" ht="12.75" customHeight="1" x14ac:dyDescent="0.25">
      <c r="A11892" s="309" t="s">
        <v>1555</v>
      </c>
      <c r="B11892" s="271"/>
      <c r="C11892" s="271"/>
      <c r="D11892" s="271"/>
      <c r="E11892" s="271"/>
      <c r="F11892" s="271"/>
      <c r="G11892" s="273"/>
      <c r="H11892" s="29" t="str">
        <f t="shared" si="1572"/>
        <v>Unidad</v>
      </c>
      <c r="I11892" s="394">
        <f t="shared" si="1573"/>
        <v>1058.3999999999999</v>
      </c>
      <c r="J11892" s="273"/>
      <c r="K11892" s="393">
        <v>2</v>
      </c>
      <c r="L11892" s="273"/>
      <c r="M11892" s="394">
        <f t="shared" si="1574"/>
        <v>2116.7999999999997</v>
      </c>
      <c r="N11892" s="273"/>
    </row>
    <row r="11893" spans="1:14" ht="12.75" customHeight="1" x14ac:dyDescent="0.25">
      <c r="A11893" s="309" t="s">
        <v>1567</v>
      </c>
      <c r="B11893" s="271"/>
      <c r="C11893" s="271"/>
      <c r="D11893" s="271"/>
      <c r="E11893" s="271"/>
      <c r="F11893" s="271"/>
      <c r="G11893" s="273"/>
      <c r="H11893" s="29" t="str">
        <f t="shared" si="1572"/>
        <v>m</v>
      </c>
      <c r="I11893" s="394">
        <f t="shared" si="1573"/>
        <v>7726.3199999999988</v>
      </c>
      <c r="J11893" s="273"/>
      <c r="K11893" s="393">
        <v>6</v>
      </c>
      <c r="L11893" s="273"/>
      <c r="M11893" s="394">
        <f t="shared" si="1574"/>
        <v>46357.919999999991</v>
      </c>
      <c r="N11893" s="273"/>
    </row>
    <row r="11894" spans="1:14" ht="12.75" customHeight="1" x14ac:dyDescent="0.25">
      <c r="A11894" s="309" t="s">
        <v>1557</v>
      </c>
      <c r="B11894" s="271"/>
      <c r="C11894" s="271"/>
      <c r="D11894" s="271"/>
      <c r="E11894" s="271"/>
      <c r="F11894" s="271"/>
      <c r="G11894" s="273"/>
      <c r="H11894" s="29" t="str">
        <f t="shared" si="1572"/>
        <v>Unidad</v>
      </c>
      <c r="I11894" s="394">
        <f t="shared" si="1573"/>
        <v>1470</v>
      </c>
      <c r="J11894" s="273"/>
      <c r="K11894" s="393">
        <v>3</v>
      </c>
      <c r="L11894" s="273"/>
      <c r="M11894" s="394">
        <f t="shared" si="1574"/>
        <v>4410</v>
      </c>
      <c r="N11894" s="273"/>
    </row>
    <row r="11895" spans="1:14" ht="12.75" customHeight="1" x14ac:dyDescent="0.25">
      <c r="A11895" s="309" t="s">
        <v>1568</v>
      </c>
      <c r="B11895" s="271"/>
      <c r="C11895" s="271"/>
      <c r="D11895" s="271"/>
      <c r="E11895" s="271"/>
      <c r="F11895" s="271"/>
      <c r="G11895" s="273"/>
      <c r="H11895" s="29" t="str">
        <f t="shared" si="1572"/>
        <v>Un</v>
      </c>
      <c r="I11895" s="394">
        <f t="shared" si="1573"/>
        <v>1532.7199999999998</v>
      </c>
      <c r="J11895" s="273"/>
      <c r="K11895" s="393">
        <v>1</v>
      </c>
      <c r="L11895" s="273"/>
      <c r="M11895" s="394">
        <f t="shared" si="1574"/>
        <v>1532.7199999999998</v>
      </c>
      <c r="N11895" s="273"/>
    </row>
    <row r="11896" spans="1:14" ht="12.75" customHeight="1" x14ac:dyDescent="0.25">
      <c r="A11896" s="426"/>
      <c r="B11896" s="271"/>
      <c r="C11896" s="271"/>
      <c r="D11896" s="271"/>
      <c r="E11896" s="271"/>
      <c r="F11896" s="271"/>
      <c r="G11896" s="273"/>
      <c r="H11896" s="29" t="str">
        <f t="shared" si="1572"/>
        <v/>
      </c>
      <c r="I11896" s="394" t="str">
        <f t="shared" si="1573"/>
        <v/>
      </c>
      <c r="J11896" s="273"/>
      <c r="K11896" s="393"/>
      <c r="L11896" s="273"/>
      <c r="M11896" s="394" t="str">
        <f t="shared" si="1574"/>
        <v/>
      </c>
      <c r="N11896" s="273"/>
    </row>
    <row r="11897" spans="1:14" ht="12.75" customHeight="1" x14ac:dyDescent="0.25">
      <c r="A11897" s="426"/>
      <c r="B11897" s="271"/>
      <c r="C11897" s="271"/>
      <c r="D11897" s="271"/>
      <c r="E11897" s="271"/>
      <c r="F11897" s="271"/>
      <c r="G11897" s="273"/>
      <c r="H11897" s="29" t="str">
        <f t="shared" si="1572"/>
        <v/>
      </c>
      <c r="I11897" s="394" t="str">
        <f t="shared" si="1573"/>
        <v/>
      </c>
      <c r="J11897" s="273"/>
      <c r="K11897" s="393"/>
      <c r="L11897" s="273"/>
      <c r="M11897" s="394" t="str">
        <f t="shared" si="1574"/>
        <v/>
      </c>
      <c r="N11897" s="273"/>
    </row>
    <row r="11898" spans="1:14" ht="12.75" customHeight="1" x14ac:dyDescent="0.25">
      <c r="A11898" s="426"/>
      <c r="B11898" s="271"/>
      <c r="C11898" s="271"/>
      <c r="D11898" s="271"/>
      <c r="E11898" s="271"/>
      <c r="F11898" s="271"/>
      <c r="G11898" s="273"/>
      <c r="H11898" s="29" t="str">
        <f t="shared" si="1572"/>
        <v/>
      </c>
      <c r="I11898" s="394" t="str">
        <f t="shared" si="1573"/>
        <v/>
      </c>
      <c r="J11898" s="273"/>
      <c r="K11898" s="393"/>
      <c r="L11898" s="273"/>
      <c r="M11898" s="394" t="str">
        <f t="shared" si="1574"/>
        <v/>
      </c>
      <c r="N11898" s="273"/>
    </row>
    <row r="11899" spans="1:14" ht="12.75" customHeight="1" x14ac:dyDescent="0.25">
      <c r="A11899" s="426"/>
      <c r="B11899" s="271"/>
      <c r="C11899" s="271"/>
      <c r="D11899" s="271"/>
      <c r="E11899" s="271"/>
      <c r="F11899" s="271"/>
      <c r="G11899" s="273"/>
      <c r="H11899" s="29" t="str">
        <f t="shared" si="1572"/>
        <v/>
      </c>
      <c r="I11899" s="394" t="str">
        <f t="shared" si="1573"/>
        <v/>
      </c>
      <c r="J11899" s="273"/>
      <c r="K11899" s="393"/>
      <c r="L11899" s="273"/>
      <c r="M11899" s="394" t="str">
        <f t="shared" si="1574"/>
        <v/>
      </c>
      <c r="N11899" s="273"/>
    </row>
    <row r="11900" spans="1:14" ht="12.75" customHeight="1" x14ac:dyDescent="0.25">
      <c r="A11900" s="426"/>
      <c r="B11900" s="271"/>
      <c r="C11900" s="271"/>
      <c r="D11900" s="271"/>
      <c r="E11900" s="271"/>
      <c r="F11900" s="271"/>
      <c r="G11900" s="273"/>
      <c r="H11900" s="29" t="str">
        <f t="shared" si="1572"/>
        <v/>
      </c>
      <c r="I11900" s="394" t="str">
        <f t="shared" si="1573"/>
        <v/>
      </c>
      <c r="J11900" s="273"/>
      <c r="K11900" s="393"/>
      <c r="L11900" s="273"/>
      <c r="M11900" s="394" t="str">
        <f t="shared" si="1574"/>
        <v/>
      </c>
      <c r="N11900" s="273"/>
    </row>
    <row r="11901" spans="1:14" ht="12.75" customHeight="1" x14ac:dyDescent="0.25">
      <c r="A11901" s="426"/>
      <c r="B11901" s="271"/>
      <c r="C11901" s="271"/>
      <c r="D11901" s="271"/>
      <c r="E11901" s="271"/>
      <c r="F11901" s="271"/>
      <c r="G11901" s="273"/>
      <c r="H11901" s="29" t="str">
        <f t="shared" si="1572"/>
        <v/>
      </c>
      <c r="I11901" s="394" t="str">
        <f t="shared" si="1573"/>
        <v/>
      </c>
      <c r="J11901" s="273"/>
      <c r="K11901" s="393"/>
      <c r="L11901" s="273"/>
      <c r="M11901" s="394" t="str">
        <f t="shared" si="1574"/>
        <v/>
      </c>
      <c r="N11901" s="273"/>
    </row>
    <row r="11902" spans="1:14" ht="12.75" customHeight="1" x14ac:dyDescent="0.25">
      <c r="A11902" s="426"/>
      <c r="B11902" s="271"/>
      <c r="C11902" s="271"/>
      <c r="D11902" s="271"/>
      <c r="E11902" s="271"/>
      <c r="F11902" s="271"/>
      <c r="G11902" s="273"/>
      <c r="H11902" s="29" t="str">
        <f t="shared" si="1572"/>
        <v/>
      </c>
      <c r="I11902" s="394" t="str">
        <f t="shared" si="1573"/>
        <v/>
      </c>
      <c r="J11902" s="273"/>
      <c r="K11902" s="393"/>
      <c r="L11902" s="273"/>
      <c r="M11902" s="394" t="str">
        <f t="shared" si="1574"/>
        <v/>
      </c>
      <c r="N11902" s="273"/>
    </row>
    <row r="11903" spans="1:14" ht="12.75" customHeight="1" x14ac:dyDescent="0.25">
      <c r="A11903" s="426"/>
      <c r="B11903" s="271"/>
      <c r="C11903" s="271"/>
      <c r="D11903" s="271"/>
      <c r="E11903" s="271"/>
      <c r="F11903" s="271"/>
      <c r="G11903" s="273"/>
      <c r="H11903" s="29" t="str">
        <f t="shared" si="1572"/>
        <v/>
      </c>
      <c r="I11903" s="394" t="str">
        <f t="shared" si="1573"/>
        <v/>
      </c>
      <c r="J11903" s="273"/>
      <c r="K11903" s="393"/>
      <c r="L11903" s="273"/>
      <c r="M11903" s="394" t="str">
        <f t="shared" si="1574"/>
        <v/>
      </c>
      <c r="N11903" s="273"/>
    </row>
    <row r="11904" spans="1:14" ht="12.75" customHeight="1" x14ac:dyDescent="0.25">
      <c r="A11904" s="4"/>
      <c r="B11904" s="4"/>
      <c r="C11904" s="4"/>
      <c r="D11904" s="4"/>
      <c r="E11904" s="4"/>
      <c r="F11904" s="4"/>
      <c r="G11904" s="4"/>
      <c r="H11904" s="4"/>
      <c r="I11904" s="4"/>
      <c r="J11904" s="4"/>
      <c r="K11904" s="396" t="s">
        <v>444</v>
      </c>
      <c r="L11904" s="273"/>
      <c r="M11904" s="394">
        <f>SUM(M11888:N11903)</f>
        <v>105249.38666666666</v>
      </c>
      <c r="N11904" s="273"/>
    </row>
    <row r="11905" spans="1:14" ht="12.75" customHeight="1" x14ac:dyDescent="0.25">
      <c r="A11905" s="4"/>
      <c r="B11905" s="4"/>
      <c r="C11905" s="4"/>
      <c r="D11905" s="4"/>
      <c r="E11905" s="4"/>
      <c r="F11905" s="4"/>
      <c r="G11905" s="4"/>
      <c r="H11905" s="4"/>
      <c r="I11905" s="4"/>
      <c r="J11905" s="4"/>
      <c r="K11905" s="4"/>
      <c r="L11905" s="4"/>
      <c r="M11905" s="4"/>
      <c r="N11905" s="4"/>
    </row>
    <row r="11906" spans="1:14" ht="12.75" customHeight="1" x14ac:dyDescent="0.2">
      <c r="A11906" s="398" t="s">
        <v>926</v>
      </c>
      <c r="B11906" s="271"/>
      <c r="C11906" s="271"/>
      <c r="D11906" s="271"/>
      <c r="E11906" s="271"/>
      <c r="F11906" s="271"/>
      <c r="G11906" s="271"/>
      <c r="H11906" s="271"/>
      <c r="I11906" s="271"/>
      <c r="J11906" s="271"/>
      <c r="K11906" s="271"/>
      <c r="L11906" s="271"/>
      <c r="M11906" s="271"/>
      <c r="N11906" s="273"/>
    </row>
    <row r="11907" spans="1:14" ht="12.75" customHeight="1" x14ac:dyDescent="0.2">
      <c r="A11907" s="396" t="s">
        <v>76</v>
      </c>
      <c r="B11907" s="271"/>
      <c r="C11907" s="271"/>
      <c r="D11907" s="271"/>
      <c r="E11907" s="271"/>
      <c r="F11907" s="271"/>
      <c r="G11907" s="273"/>
      <c r="H11907" s="88" t="s">
        <v>77</v>
      </c>
      <c r="I11907" s="399" t="s">
        <v>920</v>
      </c>
      <c r="J11907" s="273"/>
      <c r="K11907" s="399" t="s">
        <v>453</v>
      </c>
      <c r="L11907" s="273"/>
      <c r="M11907" s="399" t="s">
        <v>921</v>
      </c>
      <c r="N11907" s="273"/>
    </row>
    <row r="11908" spans="1:14" ht="12.75" customHeight="1" x14ac:dyDescent="0.2">
      <c r="A11908" s="400" t="s">
        <v>927</v>
      </c>
      <c r="B11908" s="271"/>
      <c r="C11908" s="271"/>
      <c r="D11908" s="271"/>
      <c r="E11908" s="271"/>
      <c r="F11908" s="271"/>
      <c r="G11908" s="273"/>
      <c r="H11908" s="29" t="str">
        <f>IF(A11908="","",VLOOKUP(A11908,AA_Equipos,7,FALSE))</f>
        <v>% M.O.</v>
      </c>
      <c r="I11908" s="394">
        <f>+M11931</f>
        <v>49820</v>
      </c>
      <c r="J11908" s="273"/>
      <c r="K11908" s="404">
        <v>0.05</v>
      </c>
      <c r="L11908" s="273"/>
      <c r="M11908" s="394">
        <f t="shared" ref="M11908:M11912" si="1575">IF(A11908="","",I11908*K11908)</f>
        <v>2491</v>
      </c>
      <c r="N11908" s="273"/>
    </row>
    <row r="11909" spans="1:14" ht="12.75" customHeight="1" x14ac:dyDescent="0.2">
      <c r="A11909" s="403"/>
      <c r="B11909" s="271"/>
      <c r="C11909" s="271"/>
      <c r="D11909" s="271"/>
      <c r="E11909" s="271"/>
      <c r="F11909" s="271"/>
      <c r="G11909" s="273"/>
      <c r="H11909" s="29" t="str">
        <f>IF(A11909="","",VLOOKUP(A11909,AA_Equipos,7,FALSE))</f>
        <v/>
      </c>
      <c r="I11909" s="394" t="str">
        <f>IF(A11909="","",VLOOKUP(A11909,AA_Equipos,8,FALSE))</f>
        <v/>
      </c>
      <c r="J11909" s="273"/>
      <c r="K11909" s="402"/>
      <c r="L11909" s="273"/>
      <c r="M11909" s="394" t="str">
        <f t="shared" si="1575"/>
        <v/>
      </c>
      <c r="N11909" s="273"/>
    </row>
    <row r="11910" spans="1:14" ht="12.75" customHeight="1" x14ac:dyDescent="0.2">
      <c r="A11910" s="400"/>
      <c r="B11910" s="271"/>
      <c r="C11910" s="271"/>
      <c r="D11910" s="271"/>
      <c r="E11910" s="271"/>
      <c r="F11910" s="271"/>
      <c r="G11910" s="273"/>
      <c r="H11910" s="29" t="str">
        <f>IF(A11910="","",VLOOKUP(A11910,AA_Equipos,7,FALSE))</f>
        <v/>
      </c>
      <c r="I11910" s="394" t="str">
        <f>IF(A11910="","",VLOOKUP(A11910,AA_Equipos,8,FALSE))</f>
        <v/>
      </c>
      <c r="J11910" s="273"/>
      <c r="K11910" s="401"/>
      <c r="L11910" s="273"/>
      <c r="M11910" s="394" t="str">
        <f t="shared" si="1575"/>
        <v/>
      </c>
      <c r="N11910" s="273"/>
    </row>
    <row r="11911" spans="1:14" ht="12.75" customHeight="1" x14ac:dyDescent="0.2">
      <c r="A11911" s="400"/>
      <c r="B11911" s="271"/>
      <c r="C11911" s="271"/>
      <c r="D11911" s="271"/>
      <c r="E11911" s="271"/>
      <c r="F11911" s="271"/>
      <c r="G11911" s="273"/>
      <c r="H11911" s="29" t="str">
        <f>IF(A11911="","",VLOOKUP(A11911,AA_Equipos,7,FALSE))</f>
        <v/>
      </c>
      <c r="I11911" s="394" t="str">
        <f>IF(A11911="","",VLOOKUP(A11911,AA_Equipos,8,FALSE))</f>
        <v/>
      </c>
      <c r="J11911" s="273"/>
      <c r="K11911" s="395"/>
      <c r="L11911" s="273"/>
      <c r="M11911" s="394" t="str">
        <f t="shared" si="1575"/>
        <v/>
      </c>
      <c r="N11911" s="273"/>
    </row>
    <row r="11912" spans="1:14" ht="12.75" customHeight="1" x14ac:dyDescent="0.2">
      <c r="A11912" s="400"/>
      <c r="B11912" s="271"/>
      <c r="C11912" s="271"/>
      <c r="D11912" s="271"/>
      <c r="E11912" s="271"/>
      <c r="F11912" s="271"/>
      <c r="G11912" s="273"/>
      <c r="H11912" s="29" t="str">
        <f>IF(A11912="","",VLOOKUP(A11912,AA_Equipos,7,FALSE))</f>
        <v/>
      </c>
      <c r="I11912" s="394" t="str">
        <f>IF(A11912="","",VLOOKUP(A11912,AA_Equipos,8,FALSE))</f>
        <v/>
      </c>
      <c r="J11912" s="273"/>
      <c r="K11912" s="395"/>
      <c r="L11912" s="273"/>
      <c r="M11912" s="394" t="str">
        <f t="shared" si="1575"/>
        <v/>
      </c>
      <c r="N11912" s="273"/>
    </row>
    <row r="11913" spans="1:14" ht="12.75" customHeight="1" x14ac:dyDescent="0.25">
      <c r="A11913" s="4"/>
      <c r="B11913" s="4"/>
      <c r="C11913" s="4"/>
      <c r="D11913" s="4"/>
      <c r="E11913" s="4"/>
      <c r="F11913" s="4"/>
      <c r="G11913" s="4"/>
      <c r="H11913" s="4"/>
      <c r="I11913" s="4"/>
      <c r="J11913" s="4"/>
      <c r="K11913" s="396" t="s">
        <v>444</v>
      </c>
      <c r="L11913" s="273"/>
      <c r="M11913" s="394">
        <f>SUM(M11908:N11912)</f>
        <v>2491</v>
      </c>
      <c r="N11913" s="273"/>
    </row>
    <row r="11914" spans="1:14" ht="12.75" customHeight="1" x14ac:dyDescent="0.25">
      <c r="A11914" s="4"/>
      <c r="B11914" s="4"/>
      <c r="C11914" s="4"/>
      <c r="D11914" s="4"/>
      <c r="E11914" s="4"/>
      <c r="F11914" s="4"/>
      <c r="G11914" s="4"/>
      <c r="H11914" s="4"/>
      <c r="I11914" s="4"/>
      <c r="J11914" s="4"/>
      <c r="K11914" s="4"/>
      <c r="L11914" s="4"/>
      <c r="M11914" s="4"/>
      <c r="N11914" s="4"/>
    </row>
    <row r="11915" spans="1:14" ht="12.75" customHeight="1" x14ac:dyDescent="0.2">
      <c r="A11915" s="398" t="s">
        <v>929</v>
      </c>
      <c r="B11915" s="271"/>
      <c r="C11915" s="271"/>
      <c r="D11915" s="271"/>
      <c r="E11915" s="271"/>
      <c r="F11915" s="271"/>
      <c r="G11915" s="271"/>
      <c r="H11915" s="271"/>
      <c r="I11915" s="271"/>
      <c r="J11915" s="271"/>
      <c r="K11915" s="271"/>
      <c r="L11915" s="271"/>
      <c r="M11915" s="271"/>
      <c r="N11915" s="273"/>
    </row>
    <row r="11916" spans="1:14" ht="12.75" customHeight="1" x14ac:dyDescent="0.2">
      <c r="A11916" s="396" t="s">
        <v>76</v>
      </c>
      <c r="B11916" s="271"/>
      <c r="C11916" s="271"/>
      <c r="D11916" s="271"/>
      <c r="E11916" s="271"/>
      <c r="F11916" s="271"/>
      <c r="G11916" s="273"/>
      <c r="H11916" s="88" t="s">
        <v>77</v>
      </c>
      <c r="I11916" s="399" t="s">
        <v>920</v>
      </c>
      <c r="J11916" s="273"/>
      <c r="K11916" s="399" t="s">
        <v>453</v>
      </c>
      <c r="L11916" s="273"/>
      <c r="M11916" s="399" t="s">
        <v>921</v>
      </c>
      <c r="N11916" s="273"/>
    </row>
    <row r="11917" spans="1:14" ht="12.75" customHeight="1" x14ac:dyDescent="0.2">
      <c r="A11917" s="400" t="s">
        <v>1559</v>
      </c>
      <c r="B11917" s="271"/>
      <c r="C11917" s="271"/>
      <c r="D11917" s="271"/>
      <c r="E11917" s="271"/>
      <c r="F11917" s="271"/>
      <c r="G11917" s="273"/>
      <c r="H11917" s="29" t="str">
        <f>IF(A11917="","",VLOOKUP(A11917,AA_Equipos,7,FALSE))</f>
        <v>Día</v>
      </c>
      <c r="I11917" s="394">
        <f>IF(A11917="","",VLOOKUP(A11917,AA_Equipos,8,FALSE))</f>
        <v>74400</v>
      </c>
      <c r="J11917" s="273"/>
      <c r="K11917" s="408">
        <v>0.2</v>
      </c>
      <c r="L11917" s="273"/>
      <c r="M11917" s="394">
        <f t="shared" ref="M11917:M11921" si="1576">IF(A11917="","",I11917*K11917)</f>
        <v>14880</v>
      </c>
      <c r="N11917" s="273"/>
    </row>
    <row r="11918" spans="1:14" ht="12.75" customHeight="1" x14ac:dyDescent="0.2">
      <c r="A11918" s="403" t="s">
        <v>930</v>
      </c>
      <c r="B11918" s="271"/>
      <c r="C11918" s="271"/>
      <c r="D11918" s="271"/>
      <c r="E11918" s="271"/>
      <c r="F11918" s="271"/>
      <c r="G11918" s="273"/>
      <c r="H11918" s="29" t="s">
        <v>24</v>
      </c>
      <c r="I11918" s="394">
        <f>+M11904+M11913</f>
        <v>107740.38666666666</v>
      </c>
      <c r="J11918" s="273"/>
      <c r="K11918" s="404">
        <v>0.05</v>
      </c>
      <c r="L11918" s="273"/>
      <c r="M11918" s="394">
        <f t="shared" si="1576"/>
        <v>5387.0193333333336</v>
      </c>
      <c r="N11918" s="273"/>
    </row>
    <row r="11919" spans="1:14" ht="12.75" customHeight="1" x14ac:dyDescent="0.2">
      <c r="A11919" s="400"/>
      <c r="B11919" s="271"/>
      <c r="C11919" s="271"/>
      <c r="D11919" s="271"/>
      <c r="E11919" s="271"/>
      <c r="F11919" s="271"/>
      <c r="G11919" s="273"/>
      <c r="H11919" s="29"/>
      <c r="I11919" s="394"/>
      <c r="J11919" s="273"/>
      <c r="K11919" s="395"/>
      <c r="L11919" s="273"/>
      <c r="M11919" s="394" t="str">
        <f t="shared" si="1576"/>
        <v/>
      </c>
      <c r="N11919" s="273"/>
    </row>
    <row r="11920" spans="1:14" ht="12.75" customHeight="1" x14ac:dyDescent="0.2">
      <c r="A11920" s="400"/>
      <c r="B11920" s="271"/>
      <c r="C11920" s="271"/>
      <c r="D11920" s="271"/>
      <c r="E11920" s="271"/>
      <c r="F11920" s="271"/>
      <c r="G11920" s="273"/>
      <c r="H11920" s="29"/>
      <c r="I11920" s="394"/>
      <c r="J11920" s="273"/>
      <c r="K11920" s="395"/>
      <c r="L11920" s="273"/>
      <c r="M11920" s="394" t="str">
        <f t="shared" si="1576"/>
        <v/>
      </c>
      <c r="N11920" s="273"/>
    </row>
    <row r="11921" spans="1:15" ht="12.75" customHeight="1" x14ac:dyDescent="0.2">
      <c r="A11921" s="400"/>
      <c r="B11921" s="271"/>
      <c r="C11921" s="271"/>
      <c r="D11921" s="271"/>
      <c r="E11921" s="271"/>
      <c r="F11921" s="271"/>
      <c r="G11921" s="273"/>
      <c r="H11921" s="29"/>
      <c r="I11921" s="394"/>
      <c r="J11921" s="273"/>
      <c r="K11921" s="395"/>
      <c r="L11921" s="273"/>
      <c r="M11921" s="394" t="str">
        <f t="shared" si="1576"/>
        <v/>
      </c>
      <c r="N11921" s="273"/>
    </row>
    <row r="11922" spans="1:15" ht="12.75" customHeight="1" x14ac:dyDescent="0.25">
      <c r="A11922" s="4"/>
      <c r="B11922" s="4"/>
      <c r="C11922" s="4"/>
      <c r="D11922" s="4"/>
      <c r="E11922" s="4"/>
      <c r="F11922" s="4"/>
      <c r="G11922" s="4"/>
      <c r="H11922" s="4"/>
      <c r="I11922" s="4"/>
      <c r="J11922" s="4"/>
      <c r="K11922" s="396" t="s">
        <v>444</v>
      </c>
      <c r="L11922" s="273"/>
      <c r="M11922" s="394">
        <f>SUM(M11917:N11921)</f>
        <v>20267.019333333334</v>
      </c>
      <c r="N11922" s="273"/>
    </row>
    <row r="11923" spans="1:15" ht="12.75" customHeight="1" x14ac:dyDescent="0.25">
      <c r="A11923" s="4"/>
      <c r="B11923" s="4"/>
      <c r="C11923" s="4"/>
      <c r="D11923" s="4"/>
      <c r="E11923" s="4"/>
      <c r="F11923" s="4"/>
      <c r="G11923" s="4"/>
      <c r="H11923" s="4"/>
      <c r="I11923" s="4"/>
      <c r="J11923" s="4"/>
      <c r="K11923" s="4"/>
      <c r="L11923" s="4"/>
      <c r="M11923" s="4"/>
      <c r="N11923" s="4"/>
    </row>
    <row r="11924" spans="1:15" ht="12.75" customHeight="1" x14ac:dyDescent="0.2">
      <c r="A11924" s="398" t="s">
        <v>931</v>
      </c>
      <c r="B11924" s="271"/>
      <c r="C11924" s="271"/>
      <c r="D11924" s="271"/>
      <c r="E11924" s="271"/>
      <c r="F11924" s="271"/>
      <c r="G11924" s="271"/>
      <c r="H11924" s="271"/>
      <c r="I11924" s="271"/>
      <c r="J11924" s="271"/>
      <c r="K11924" s="271"/>
      <c r="L11924" s="271"/>
      <c r="M11924" s="271"/>
      <c r="N11924" s="273"/>
    </row>
    <row r="11925" spans="1:15" ht="12.75" customHeight="1" x14ac:dyDescent="0.2">
      <c r="A11925" s="396" t="s">
        <v>76</v>
      </c>
      <c r="B11925" s="271"/>
      <c r="C11925" s="271"/>
      <c r="D11925" s="271"/>
      <c r="E11925" s="271"/>
      <c r="F11925" s="271"/>
      <c r="G11925" s="273"/>
      <c r="H11925" s="88" t="s">
        <v>77</v>
      </c>
      <c r="I11925" s="399" t="s">
        <v>920</v>
      </c>
      <c r="J11925" s="273"/>
      <c r="K11925" s="90" t="s">
        <v>514</v>
      </c>
      <c r="L11925" s="91" t="s">
        <v>932</v>
      </c>
      <c r="M11925" s="399" t="s">
        <v>921</v>
      </c>
      <c r="N11925" s="273"/>
    </row>
    <row r="11926" spans="1:15" ht="12.75" customHeight="1" x14ac:dyDescent="0.25">
      <c r="A11926" s="393" t="s">
        <v>1301</v>
      </c>
      <c r="B11926" s="271"/>
      <c r="C11926" s="271"/>
      <c r="D11926" s="271"/>
      <c r="E11926" s="271"/>
      <c r="F11926" s="271"/>
      <c r="G11926" s="273"/>
      <c r="H11926" s="29" t="str">
        <f>IF(A11926="","",VLOOKUP(A11926,AA_Cuadrillas,4,FALSE))</f>
        <v>Cuadrilla</v>
      </c>
      <c r="I11926" s="394">
        <f>IF(A11926="","",VLOOKUP(A11926,AA_Cuadrillas,5,FALSE))</f>
        <v>132500</v>
      </c>
      <c r="J11926" s="273"/>
      <c r="K11926" s="9">
        <f>IF(A11926="","",F.P!$I$2)</f>
        <v>1.88</v>
      </c>
      <c r="L11926" s="97">
        <v>0.2</v>
      </c>
      <c r="M11926" s="394">
        <f t="shared" ref="M11926:M11930" si="1577">IF(A11926="","",I11926*K11926*L11926)</f>
        <v>49820</v>
      </c>
      <c r="N11926" s="273"/>
    </row>
    <row r="11927" spans="1:15" ht="12.75" customHeight="1" x14ac:dyDescent="0.25">
      <c r="A11927" s="393"/>
      <c r="B11927" s="271"/>
      <c r="C11927" s="271"/>
      <c r="D11927" s="271"/>
      <c r="E11927" s="271"/>
      <c r="F11927" s="271"/>
      <c r="G11927" s="273"/>
      <c r="H11927" s="29" t="str">
        <f>IF(A11927="","",VLOOKUP(A11927,AA_Cuadrillas,4,FALSE))</f>
        <v/>
      </c>
      <c r="I11927" s="394" t="str">
        <f>IF(A11927="","",VLOOKUP(A11927,AA_Cuadrillas,5,FALSE))</f>
        <v/>
      </c>
      <c r="J11927" s="273"/>
      <c r="K11927" s="9" t="str">
        <f>IF(A11927="","",F.P!$I$2)</f>
        <v/>
      </c>
      <c r="L11927" s="9"/>
      <c r="M11927" s="394" t="str">
        <f t="shared" si="1577"/>
        <v/>
      </c>
      <c r="N11927" s="273"/>
    </row>
    <row r="11928" spans="1:15" ht="12.75" customHeight="1" x14ac:dyDescent="0.25">
      <c r="A11928" s="393"/>
      <c r="B11928" s="271"/>
      <c r="C11928" s="271"/>
      <c r="D11928" s="271"/>
      <c r="E11928" s="271"/>
      <c r="F11928" s="271"/>
      <c r="G11928" s="273"/>
      <c r="H11928" s="29" t="str">
        <f>IF(A11928="","",VLOOKUP(A11928,AA_Cuadrillas,4,FALSE))</f>
        <v/>
      </c>
      <c r="I11928" s="394" t="str">
        <f>IF(A11928="","",VLOOKUP(A11928,AA_Cuadrillas,5,FALSE))</f>
        <v/>
      </c>
      <c r="J11928" s="273"/>
      <c r="K11928" s="9" t="str">
        <f>IF(A11928="","",F.P!$I$2)</f>
        <v/>
      </c>
      <c r="L11928" s="37"/>
      <c r="M11928" s="394" t="str">
        <f t="shared" si="1577"/>
        <v/>
      </c>
      <c r="N11928" s="273"/>
    </row>
    <row r="11929" spans="1:15" ht="12.75" customHeight="1" x14ac:dyDescent="0.25">
      <c r="A11929" s="393"/>
      <c r="B11929" s="271"/>
      <c r="C11929" s="271"/>
      <c r="D11929" s="271"/>
      <c r="E11929" s="271"/>
      <c r="F11929" s="271"/>
      <c r="G11929" s="273"/>
      <c r="H11929" s="29" t="str">
        <f>IF(A11929="","",VLOOKUP(A11929,AA_Cuadrillas,4,FALSE))</f>
        <v/>
      </c>
      <c r="I11929" s="394" t="str">
        <f>IF(A11929="","",VLOOKUP(A11929,AA_Cuadrillas,5,FALSE))</f>
        <v/>
      </c>
      <c r="J11929" s="273"/>
      <c r="K11929" s="9" t="str">
        <f>IF(A11929="","",F.P!$I$2)</f>
        <v/>
      </c>
      <c r="L11929" s="97"/>
      <c r="M11929" s="394" t="str">
        <f t="shared" si="1577"/>
        <v/>
      </c>
      <c r="N11929" s="273"/>
    </row>
    <row r="11930" spans="1:15" ht="12.75" customHeight="1" x14ac:dyDescent="0.25">
      <c r="A11930" s="393"/>
      <c r="B11930" s="271"/>
      <c r="C11930" s="271"/>
      <c r="D11930" s="271"/>
      <c r="E11930" s="271"/>
      <c r="F11930" s="271"/>
      <c r="G11930" s="273"/>
      <c r="H11930" s="29" t="str">
        <f>IF(A11930="","",VLOOKUP(A11930,AA_Cuadrillas,4,FALSE))</f>
        <v/>
      </c>
      <c r="I11930" s="394" t="str">
        <f>IF(A11930="","",VLOOKUP(A11930,AA_Cuadrillas,5,FALSE))</f>
        <v/>
      </c>
      <c r="J11930" s="273"/>
      <c r="K11930" s="9" t="str">
        <f>IF(A11930="","",F.P!$I$2)</f>
        <v/>
      </c>
      <c r="L11930" s="37"/>
      <c r="M11930" s="394" t="str">
        <f t="shared" si="1577"/>
        <v/>
      </c>
      <c r="N11930" s="273"/>
    </row>
    <row r="11931" spans="1:15" ht="12.75" customHeight="1" x14ac:dyDescent="0.25">
      <c r="A11931" s="4"/>
      <c r="B11931" s="4"/>
      <c r="C11931" s="4"/>
      <c r="D11931" s="4"/>
      <c r="E11931" s="4"/>
      <c r="F11931" s="4"/>
      <c r="G11931" s="4"/>
      <c r="H11931" s="4"/>
      <c r="I11931" s="4"/>
      <c r="J11931" s="4"/>
      <c r="K11931" s="396" t="s">
        <v>444</v>
      </c>
      <c r="L11931" s="273"/>
      <c r="M11931" s="394">
        <f>SUM(M11926:N11930)</f>
        <v>49820</v>
      </c>
      <c r="N11931" s="273"/>
    </row>
    <row r="11932" spans="1:15" ht="12.75" customHeight="1" x14ac:dyDescent="0.2"/>
    <row r="11933" spans="1:15" ht="12.75" customHeight="1" x14ac:dyDescent="0.2">
      <c r="A11933" s="397" t="s">
        <v>389</v>
      </c>
      <c r="B11933" s="275"/>
      <c r="C11933" s="275"/>
      <c r="D11933" s="275"/>
      <c r="E11933" s="275"/>
      <c r="F11933" s="275"/>
      <c r="G11933" s="275"/>
      <c r="H11933" s="275"/>
      <c r="I11933" s="275"/>
      <c r="J11933" s="275"/>
      <c r="K11933" s="275"/>
      <c r="L11933" s="275"/>
      <c r="M11933" s="275"/>
      <c r="N11933" s="276"/>
      <c r="O11933" s="166"/>
    </row>
    <row r="11934" spans="1:15" ht="12.75" customHeight="1" x14ac:dyDescent="0.2">
      <c r="A11934" s="277"/>
      <c r="B11934" s="278"/>
      <c r="C11934" s="278"/>
      <c r="D11934" s="278"/>
      <c r="E11934" s="278"/>
      <c r="F11934" s="278"/>
      <c r="G11934" s="278"/>
      <c r="H11934" s="278"/>
      <c r="I11934" s="278"/>
      <c r="J11934" s="278"/>
      <c r="K11934" s="278"/>
      <c r="L11934" s="278"/>
      <c r="M11934" s="278"/>
      <c r="N11934" s="279"/>
      <c r="O11934" s="166"/>
    </row>
    <row r="11935" spans="1:15" ht="12.75" customHeight="1" x14ac:dyDescent="0.2">
      <c r="A11935" s="75"/>
      <c r="B11935" s="75"/>
      <c r="C11935" s="75"/>
      <c r="D11935" s="75"/>
      <c r="E11935" s="75"/>
      <c r="F11935" s="75"/>
      <c r="G11935" s="75"/>
      <c r="H11935" s="75"/>
      <c r="I11935" s="75"/>
      <c r="J11935" s="75"/>
      <c r="K11935" s="75"/>
      <c r="L11935" s="75"/>
      <c r="M11935" s="75"/>
      <c r="N11935" s="75"/>
    </row>
    <row r="11936" spans="1:15" ht="12.75" customHeight="1" x14ac:dyDescent="0.3">
      <c r="A11936" s="79" t="s">
        <v>877</v>
      </c>
      <c r="B11936" s="80" t="str">
        <f>A11933</f>
        <v>SOLDADURA EXOTÉRMICA</v>
      </c>
      <c r="C11936" s="81" t="s">
        <v>916</v>
      </c>
      <c r="D11936" s="82" t="s">
        <v>999</v>
      </c>
      <c r="E11936" s="83" t="s">
        <v>445</v>
      </c>
      <c r="F11936" s="234">
        <f>(H11936+J11936+L11936+N11936)*1.3</f>
        <v>153284.53529999999</v>
      </c>
      <c r="G11936" s="83" t="s">
        <v>607</v>
      </c>
      <c r="H11936" s="86">
        <f>M11956</f>
        <v>30302.719999999998</v>
      </c>
      <c r="I11936" s="83" t="s">
        <v>918</v>
      </c>
      <c r="J11936" s="86">
        <f>M11965</f>
        <v>3736.5</v>
      </c>
      <c r="K11936" s="83" t="s">
        <v>609</v>
      </c>
      <c r="L11936" s="86">
        <f>M11974</f>
        <v>9141.9609999999993</v>
      </c>
      <c r="M11936" s="83" t="s">
        <v>610</v>
      </c>
      <c r="N11936" s="86">
        <f>M11983</f>
        <v>74730</v>
      </c>
    </row>
    <row r="11937" spans="1:14" ht="12.75" customHeight="1" x14ac:dyDescent="0.25">
      <c r="A11937" s="87"/>
      <c r="B11937" s="87"/>
      <c r="C11937" s="87"/>
      <c r="D11937" s="87"/>
      <c r="E11937" s="87"/>
      <c r="F11937" s="87"/>
      <c r="G11937" s="87"/>
      <c r="H11937" s="12"/>
      <c r="I11937" s="12"/>
      <c r="J11937" s="87"/>
      <c r="K11937" s="215" t="s">
        <v>3217</v>
      </c>
      <c r="L11937" s="215">
        <f>+F11936*presup!$O$5</f>
        <v>199269.89588999999</v>
      </c>
      <c r="M11937" s="87"/>
      <c r="N11937" s="87"/>
    </row>
    <row r="11938" spans="1:14" ht="12.75" customHeight="1" x14ac:dyDescent="0.2">
      <c r="A11938" s="398" t="s">
        <v>919</v>
      </c>
      <c r="B11938" s="271"/>
      <c r="C11938" s="271"/>
      <c r="D11938" s="271"/>
      <c r="E11938" s="271"/>
      <c r="F11938" s="271"/>
      <c r="G11938" s="271"/>
      <c r="H11938" s="271"/>
      <c r="I11938" s="271"/>
      <c r="J11938" s="271"/>
      <c r="K11938" s="271"/>
      <c r="L11938" s="271"/>
      <c r="M11938" s="271"/>
      <c r="N11938" s="273"/>
    </row>
    <row r="11939" spans="1:14" ht="12.75" customHeight="1" x14ac:dyDescent="0.2">
      <c r="A11939" s="396" t="s">
        <v>76</v>
      </c>
      <c r="B11939" s="271"/>
      <c r="C11939" s="271"/>
      <c r="D11939" s="271"/>
      <c r="E11939" s="271"/>
      <c r="F11939" s="271"/>
      <c r="G11939" s="273"/>
      <c r="H11939" s="88" t="s">
        <v>77</v>
      </c>
      <c r="I11939" s="399" t="s">
        <v>920</v>
      </c>
      <c r="J11939" s="273"/>
      <c r="K11939" s="399" t="s">
        <v>453</v>
      </c>
      <c r="L11939" s="273"/>
      <c r="M11939" s="399" t="s">
        <v>921</v>
      </c>
      <c r="N11939" s="273"/>
    </row>
    <row r="11940" spans="1:14" ht="12.75" customHeight="1" x14ac:dyDescent="0.25">
      <c r="A11940" s="309" t="s">
        <v>1569</v>
      </c>
      <c r="B11940" s="271"/>
      <c r="C11940" s="271"/>
      <c r="D11940" s="271"/>
      <c r="E11940" s="271"/>
      <c r="F11940" s="271"/>
      <c r="G11940" s="273"/>
      <c r="H11940" s="29" t="str">
        <f t="shared" ref="H11940:H11955" si="1578">IF(A11940="","",VLOOKUP(A11940,AA_Materiales,7,FALSE))</f>
        <v>Un</v>
      </c>
      <c r="I11940" s="394">
        <f t="shared" ref="I11940:I11955" si="1579">IF(A11940="","",VLOOKUP(A11940,AA_Materiales,8,FALSE))</f>
        <v>28769.999999999996</v>
      </c>
      <c r="J11940" s="273"/>
      <c r="K11940" s="393">
        <v>1</v>
      </c>
      <c r="L11940" s="273"/>
      <c r="M11940" s="394">
        <f t="shared" ref="M11940:M11955" si="1580">IF(A11940="","",I11940*K11940)</f>
        <v>28769.999999999996</v>
      </c>
      <c r="N11940" s="273"/>
    </row>
    <row r="11941" spans="1:14" ht="12.75" customHeight="1" x14ac:dyDescent="0.25">
      <c r="A11941" s="309" t="s">
        <v>1570</v>
      </c>
      <c r="B11941" s="271"/>
      <c r="C11941" s="271"/>
      <c r="D11941" s="271"/>
      <c r="E11941" s="271"/>
      <c r="F11941" s="271"/>
      <c r="G11941" s="273"/>
      <c r="H11941" s="29" t="str">
        <f t="shared" si="1578"/>
        <v>Un</v>
      </c>
      <c r="I11941" s="394">
        <f t="shared" si="1579"/>
        <v>1532.7199999999998</v>
      </c>
      <c r="J11941" s="273"/>
      <c r="K11941" s="393">
        <v>1</v>
      </c>
      <c r="L11941" s="273"/>
      <c r="M11941" s="394">
        <f t="shared" si="1580"/>
        <v>1532.7199999999998</v>
      </c>
      <c r="N11941" s="273"/>
    </row>
    <row r="11942" spans="1:14" ht="12.75" customHeight="1" x14ac:dyDescent="0.25">
      <c r="A11942" s="309"/>
      <c r="B11942" s="271"/>
      <c r="C11942" s="271"/>
      <c r="D11942" s="271"/>
      <c r="E11942" s="271"/>
      <c r="F11942" s="271"/>
      <c r="G11942" s="273"/>
      <c r="H11942" s="29" t="str">
        <f t="shared" si="1578"/>
        <v/>
      </c>
      <c r="I11942" s="394" t="str">
        <f t="shared" si="1579"/>
        <v/>
      </c>
      <c r="J11942" s="273"/>
      <c r="K11942" s="393"/>
      <c r="L11942" s="273"/>
      <c r="M11942" s="394" t="str">
        <f t="shared" si="1580"/>
        <v/>
      </c>
      <c r="N11942" s="273"/>
    </row>
    <row r="11943" spans="1:14" ht="12.75" customHeight="1" x14ac:dyDescent="0.25">
      <c r="A11943" s="309"/>
      <c r="B11943" s="271"/>
      <c r="C11943" s="271"/>
      <c r="D11943" s="271"/>
      <c r="E11943" s="271"/>
      <c r="F11943" s="271"/>
      <c r="G11943" s="273"/>
      <c r="H11943" s="29" t="str">
        <f t="shared" si="1578"/>
        <v/>
      </c>
      <c r="I11943" s="394" t="str">
        <f t="shared" si="1579"/>
        <v/>
      </c>
      <c r="J11943" s="273"/>
      <c r="K11943" s="393"/>
      <c r="L11943" s="273"/>
      <c r="M11943" s="394" t="str">
        <f t="shared" si="1580"/>
        <v/>
      </c>
      <c r="N11943" s="273"/>
    </row>
    <row r="11944" spans="1:14" ht="12.75" customHeight="1" x14ac:dyDescent="0.25">
      <c r="A11944" s="309"/>
      <c r="B11944" s="271"/>
      <c r="C11944" s="271"/>
      <c r="D11944" s="271"/>
      <c r="E11944" s="271"/>
      <c r="F11944" s="271"/>
      <c r="G11944" s="273"/>
      <c r="H11944" s="29" t="str">
        <f t="shared" si="1578"/>
        <v/>
      </c>
      <c r="I11944" s="394" t="str">
        <f t="shared" si="1579"/>
        <v/>
      </c>
      <c r="J11944" s="273"/>
      <c r="K11944" s="393"/>
      <c r="L11944" s="273"/>
      <c r="M11944" s="394" t="str">
        <f t="shared" si="1580"/>
        <v/>
      </c>
      <c r="N11944" s="273"/>
    </row>
    <row r="11945" spans="1:14" ht="12.75" customHeight="1" x14ac:dyDescent="0.25">
      <c r="A11945" s="309"/>
      <c r="B11945" s="271"/>
      <c r="C11945" s="271"/>
      <c r="D11945" s="271"/>
      <c r="E11945" s="271"/>
      <c r="F11945" s="271"/>
      <c r="G11945" s="273"/>
      <c r="H11945" s="29" t="str">
        <f t="shared" si="1578"/>
        <v/>
      </c>
      <c r="I11945" s="394" t="str">
        <f t="shared" si="1579"/>
        <v/>
      </c>
      <c r="J11945" s="273"/>
      <c r="K11945" s="393"/>
      <c r="L11945" s="273"/>
      <c r="M11945" s="394" t="str">
        <f t="shared" si="1580"/>
        <v/>
      </c>
      <c r="N11945" s="273"/>
    </row>
    <row r="11946" spans="1:14" ht="12.75" customHeight="1" x14ac:dyDescent="0.25">
      <c r="A11946" s="309"/>
      <c r="B11946" s="271"/>
      <c r="C11946" s="271"/>
      <c r="D11946" s="271"/>
      <c r="E11946" s="271"/>
      <c r="F11946" s="271"/>
      <c r="G11946" s="273"/>
      <c r="H11946" s="29" t="str">
        <f t="shared" si="1578"/>
        <v/>
      </c>
      <c r="I11946" s="394" t="str">
        <f t="shared" si="1579"/>
        <v/>
      </c>
      <c r="J11946" s="273"/>
      <c r="K11946" s="393"/>
      <c r="L11946" s="273"/>
      <c r="M11946" s="394" t="str">
        <f t="shared" si="1580"/>
        <v/>
      </c>
      <c r="N11946" s="273"/>
    </row>
    <row r="11947" spans="1:14" ht="12.75" customHeight="1" x14ac:dyDescent="0.25">
      <c r="A11947" s="309"/>
      <c r="B11947" s="271"/>
      <c r="C11947" s="271"/>
      <c r="D11947" s="271"/>
      <c r="E11947" s="271"/>
      <c r="F11947" s="271"/>
      <c r="G11947" s="273"/>
      <c r="H11947" s="29" t="str">
        <f t="shared" si="1578"/>
        <v/>
      </c>
      <c r="I11947" s="394" t="str">
        <f t="shared" si="1579"/>
        <v/>
      </c>
      <c r="J11947" s="273"/>
      <c r="K11947" s="393"/>
      <c r="L11947" s="273"/>
      <c r="M11947" s="394" t="str">
        <f t="shared" si="1580"/>
        <v/>
      </c>
      <c r="N11947" s="273"/>
    </row>
    <row r="11948" spans="1:14" ht="12.75" customHeight="1" x14ac:dyDescent="0.25">
      <c r="A11948" s="426"/>
      <c r="B11948" s="271"/>
      <c r="C11948" s="271"/>
      <c r="D11948" s="271"/>
      <c r="E11948" s="271"/>
      <c r="F11948" s="271"/>
      <c r="G11948" s="273"/>
      <c r="H11948" s="29" t="str">
        <f t="shared" si="1578"/>
        <v/>
      </c>
      <c r="I11948" s="394" t="str">
        <f t="shared" si="1579"/>
        <v/>
      </c>
      <c r="J11948" s="273"/>
      <c r="K11948" s="393"/>
      <c r="L11948" s="273"/>
      <c r="M11948" s="394" t="str">
        <f t="shared" si="1580"/>
        <v/>
      </c>
      <c r="N11948" s="273"/>
    </row>
    <row r="11949" spans="1:14" ht="12.75" customHeight="1" x14ac:dyDescent="0.25">
      <c r="A11949" s="426"/>
      <c r="B11949" s="271"/>
      <c r="C11949" s="271"/>
      <c r="D11949" s="271"/>
      <c r="E11949" s="271"/>
      <c r="F11949" s="271"/>
      <c r="G11949" s="273"/>
      <c r="H11949" s="29" t="str">
        <f t="shared" si="1578"/>
        <v/>
      </c>
      <c r="I11949" s="394" t="str">
        <f t="shared" si="1579"/>
        <v/>
      </c>
      <c r="J11949" s="273"/>
      <c r="K11949" s="393"/>
      <c r="L11949" s="273"/>
      <c r="M11949" s="394" t="str">
        <f t="shared" si="1580"/>
        <v/>
      </c>
      <c r="N11949" s="273"/>
    </row>
    <row r="11950" spans="1:14" ht="12.75" customHeight="1" x14ac:dyDescent="0.25">
      <c r="A11950" s="426"/>
      <c r="B11950" s="271"/>
      <c r="C11950" s="271"/>
      <c r="D11950" s="271"/>
      <c r="E11950" s="271"/>
      <c r="F11950" s="271"/>
      <c r="G11950" s="273"/>
      <c r="H11950" s="29" t="str">
        <f t="shared" si="1578"/>
        <v/>
      </c>
      <c r="I11950" s="394" t="str">
        <f t="shared" si="1579"/>
        <v/>
      </c>
      <c r="J11950" s="273"/>
      <c r="K11950" s="393"/>
      <c r="L11950" s="273"/>
      <c r="M11950" s="394" t="str">
        <f t="shared" si="1580"/>
        <v/>
      </c>
      <c r="N11950" s="273"/>
    </row>
    <row r="11951" spans="1:14" ht="12.75" customHeight="1" x14ac:dyDescent="0.25">
      <c r="A11951" s="426"/>
      <c r="B11951" s="271"/>
      <c r="C11951" s="271"/>
      <c r="D11951" s="271"/>
      <c r="E11951" s="271"/>
      <c r="F11951" s="271"/>
      <c r="G11951" s="273"/>
      <c r="H11951" s="29" t="str">
        <f t="shared" si="1578"/>
        <v/>
      </c>
      <c r="I11951" s="394" t="str">
        <f t="shared" si="1579"/>
        <v/>
      </c>
      <c r="J11951" s="273"/>
      <c r="K11951" s="393"/>
      <c r="L11951" s="273"/>
      <c r="M11951" s="394" t="str">
        <f t="shared" si="1580"/>
        <v/>
      </c>
      <c r="N11951" s="273"/>
    </row>
    <row r="11952" spans="1:14" ht="12.75" customHeight="1" x14ac:dyDescent="0.25">
      <c r="A11952" s="426"/>
      <c r="B11952" s="271"/>
      <c r="C11952" s="271"/>
      <c r="D11952" s="271"/>
      <c r="E11952" s="271"/>
      <c r="F11952" s="271"/>
      <c r="G11952" s="273"/>
      <c r="H11952" s="29" t="str">
        <f t="shared" si="1578"/>
        <v/>
      </c>
      <c r="I11952" s="394" t="str">
        <f t="shared" si="1579"/>
        <v/>
      </c>
      <c r="J11952" s="273"/>
      <c r="K11952" s="393"/>
      <c r="L11952" s="273"/>
      <c r="M11952" s="394" t="str">
        <f t="shared" si="1580"/>
        <v/>
      </c>
      <c r="N11952" s="273"/>
    </row>
    <row r="11953" spans="1:14" ht="12.75" customHeight="1" x14ac:dyDescent="0.25">
      <c r="A11953" s="426"/>
      <c r="B11953" s="271"/>
      <c r="C11953" s="271"/>
      <c r="D11953" s="271"/>
      <c r="E11953" s="271"/>
      <c r="F11953" s="271"/>
      <c r="G11953" s="273"/>
      <c r="H11953" s="29" t="str">
        <f t="shared" si="1578"/>
        <v/>
      </c>
      <c r="I11953" s="394" t="str">
        <f t="shared" si="1579"/>
        <v/>
      </c>
      <c r="J11953" s="273"/>
      <c r="K11953" s="393"/>
      <c r="L11953" s="273"/>
      <c r="M11953" s="394" t="str">
        <f t="shared" si="1580"/>
        <v/>
      </c>
      <c r="N11953" s="273"/>
    </row>
    <row r="11954" spans="1:14" ht="12.75" customHeight="1" x14ac:dyDescent="0.25">
      <c r="A11954" s="426"/>
      <c r="B11954" s="271"/>
      <c r="C11954" s="271"/>
      <c r="D11954" s="271"/>
      <c r="E11954" s="271"/>
      <c r="F11954" s="271"/>
      <c r="G11954" s="273"/>
      <c r="H11954" s="29" t="str">
        <f t="shared" si="1578"/>
        <v/>
      </c>
      <c r="I11954" s="394" t="str">
        <f t="shared" si="1579"/>
        <v/>
      </c>
      <c r="J11954" s="273"/>
      <c r="K11954" s="393"/>
      <c r="L11954" s="273"/>
      <c r="M11954" s="394" t="str">
        <f t="shared" si="1580"/>
        <v/>
      </c>
      <c r="N11954" s="273"/>
    </row>
    <row r="11955" spans="1:14" ht="12.75" customHeight="1" x14ac:dyDescent="0.25">
      <c r="A11955" s="426"/>
      <c r="B11955" s="271"/>
      <c r="C11955" s="271"/>
      <c r="D11955" s="271"/>
      <c r="E11955" s="271"/>
      <c r="F11955" s="271"/>
      <c r="G11955" s="273"/>
      <c r="H11955" s="29" t="str">
        <f t="shared" si="1578"/>
        <v/>
      </c>
      <c r="I11955" s="394" t="str">
        <f t="shared" si="1579"/>
        <v/>
      </c>
      <c r="J11955" s="273"/>
      <c r="K11955" s="393"/>
      <c r="L11955" s="273"/>
      <c r="M11955" s="394" t="str">
        <f t="shared" si="1580"/>
        <v/>
      </c>
      <c r="N11955" s="273"/>
    </row>
    <row r="11956" spans="1:14" ht="12.75" customHeight="1" x14ac:dyDescent="0.25">
      <c r="A11956" s="4"/>
      <c r="B11956" s="4"/>
      <c r="C11956" s="4"/>
      <c r="D11956" s="4"/>
      <c r="E11956" s="4"/>
      <c r="F11956" s="4"/>
      <c r="G11956" s="4"/>
      <c r="H11956" s="4"/>
      <c r="I11956" s="4"/>
      <c r="J11956" s="4"/>
      <c r="K11956" s="396" t="s">
        <v>444</v>
      </c>
      <c r="L11956" s="273"/>
      <c r="M11956" s="394">
        <f>SUM(M11940:N11955)</f>
        <v>30302.719999999998</v>
      </c>
      <c r="N11956" s="273"/>
    </row>
    <row r="11957" spans="1:14" ht="12.75" customHeight="1" x14ac:dyDescent="0.25">
      <c r="A11957" s="4"/>
      <c r="B11957" s="4"/>
      <c r="C11957" s="4"/>
      <c r="D11957" s="4"/>
      <c r="E11957" s="4"/>
      <c r="F11957" s="4"/>
      <c r="G11957" s="4"/>
      <c r="H11957" s="4"/>
      <c r="I11957" s="4"/>
      <c r="J11957" s="4"/>
      <c r="K11957" s="4"/>
      <c r="L11957" s="4"/>
      <c r="M11957" s="4"/>
      <c r="N11957" s="4"/>
    </row>
    <row r="11958" spans="1:14" ht="12.75" customHeight="1" x14ac:dyDescent="0.2">
      <c r="A11958" s="398" t="s">
        <v>926</v>
      </c>
      <c r="B11958" s="271"/>
      <c r="C11958" s="271"/>
      <c r="D11958" s="271"/>
      <c r="E11958" s="271"/>
      <c r="F11958" s="271"/>
      <c r="G11958" s="271"/>
      <c r="H11958" s="271"/>
      <c r="I11958" s="271"/>
      <c r="J11958" s="271"/>
      <c r="K11958" s="271"/>
      <c r="L11958" s="271"/>
      <c r="M11958" s="271"/>
      <c r="N11958" s="273"/>
    </row>
    <row r="11959" spans="1:14" ht="12.75" customHeight="1" x14ac:dyDescent="0.2">
      <c r="A11959" s="396" t="s">
        <v>76</v>
      </c>
      <c r="B11959" s="271"/>
      <c r="C11959" s="271"/>
      <c r="D11959" s="271"/>
      <c r="E11959" s="271"/>
      <c r="F11959" s="271"/>
      <c r="G11959" s="273"/>
      <c r="H11959" s="88" t="s">
        <v>77</v>
      </c>
      <c r="I11959" s="399" t="s">
        <v>920</v>
      </c>
      <c r="J11959" s="273"/>
      <c r="K11959" s="399" t="s">
        <v>453</v>
      </c>
      <c r="L11959" s="273"/>
      <c r="M11959" s="399" t="s">
        <v>921</v>
      </c>
      <c r="N11959" s="273"/>
    </row>
    <row r="11960" spans="1:14" ht="12.75" customHeight="1" x14ac:dyDescent="0.2">
      <c r="A11960" s="400" t="s">
        <v>927</v>
      </c>
      <c r="B11960" s="271"/>
      <c r="C11960" s="271"/>
      <c r="D11960" s="271"/>
      <c r="E11960" s="271"/>
      <c r="F11960" s="271"/>
      <c r="G11960" s="273"/>
      <c r="H11960" s="29" t="str">
        <f>IF(A11960="","",VLOOKUP(A11960,AA_Equipos,7,FALSE))</f>
        <v>% M.O.</v>
      </c>
      <c r="I11960" s="394">
        <f>+M11983</f>
        <v>74730</v>
      </c>
      <c r="J11960" s="273"/>
      <c r="K11960" s="404">
        <v>0.05</v>
      </c>
      <c r="L11960" s="273"/>
      <c r="M11960" s="394">
        <f t="shared" ref="M11960:M11964" si="1581">IF(A11960="","",I11960*K11960)</f>
        <v>3736.5</v>
      </c>
      <c r="N11960" s="273"/>
    </row>
    <row r="11961" spans="1:14" ht="12.75" customHeight="1" x14ac:dyDescent="0.2">
      <c r="A11961" s="403"/>
      <c r="B11961" s="271"/>
      <c r="C11961" s="271"/>
      <c r="D11961" s="271"/>
      <c r="E11961" s="271"/>
      <c r="F11961" s="271"/>
      <c r="G11961" s="273"/>
      <c r="H11961" s="29" t="str">
        <f>IF(A11961="","",VLOOKUP(A11961,AA_Equipos,7,FALSE))</f>
        <v/>
      </c>
      <c r="I11961" s="394" t="str">
        <f>IF(A11961="","",VLOOKUP(A11961,AA_Equipos,8,FALSE))</f>
        <v/>
      </c>
      <c r="J11961" s="273"/>
      <c r="K11961" s="402"/>
      <c r="L11961" s="273"/>
      <c r="M11961" s="394" t="str">
        <f t="shared" si="1581"/>
        <v/>
      </c>
      <c r="N11961" s="273"/>
    </row>
    <row r="11962" spans="1:14" ht="12.75" customHeight="1" x14ac:dyDescent="0.2">
      <c r="A11962" s="400"/>
      <c r="B11962" s="271"/>
      <c r="C11962" s="271"/>
      <c r="D11962" s="271"/>
      <c r="E11962" s="271"/>
      <c r="F11962" s="271"/>
      <c r="G11962" s="273"/>
      <c r="H11962" s="29" t="str">
        <f>IF(A11962="","",VLOOKUP(A11962,AA_Equipos,7,FALSE))</f>
        <v/>
      </c>
      <c r="I11962" s="394" t="str">
        <f>IF(A11962="","",VLOOKUP(A11962,AA_Equipos,8,FALSE))</f>
        <v/>
      </c>
      <c r="J11962" s="273"/>
      <c r="K11962" s="401"/>
      <c r="L11962" s="273"/>
      <c r="M11962" s="394" t="str">
        <f t="shared" si="1581"/>
        <v/>
      </c>
      <c r="N11962" s="273"/>
    </row>
    <row r="11963" spans="1:14" ht="12.75" customHeight="1" x14ac:dyDescent="0.2">
      <c r="A11963" s="400"/>
      <c r="B11963" s="271"/>
      <c r="C11963" s="271"/>
      <c r="D11963" s="271"/>
      <c r="E11963" s="271"/>
      <c r="F11963" s="271"/>
      <c r="G11963" s="273"/>
      <c r="H11963" s="29" t="str">
        <f>IF(A11963="","",VLOOKUP(A11963,AA_Equipos,7,FALSE))</f>
        <v/>
      </c>
      <c r="I11963" s="394" t="str">
        <f>IF(A11963="","",VLOOKUP(A11963,AA_Equipos,8,FALSE))</f>
        <v/>
      </c>
      <c r="J11963" s="273"/>
      <c r="K11963" s="395"/>
      <c r="L11963" s="273"/>
      <c r="M11963" s="394" t="str">
        <f t="shared" si="1581"/>
        <v/>
      </c>
      <c r="N11963" s="273"/>
    </row>
    <row r="11964" spans="1:14" ht="12.75" customHeight="1" x14ac:dyDescent="0.2">
      <c r="A11964" s="400"/>
      <c r="B11964" s="271"/>
      <c r="C11964" s="271"/>
      <c r="D11964" s="271"/>
      <c r="E11964" s="271"/>
      <c r="F11964" s="271"/>
      <c r="G11964" s="273"/>
      <c r="H11964" s="29" t="str">
        <f>IF(A11964="","",VLOOKUP(A11964,AA_Equipos,7,FALSE))</f>
        <v/>
      </c>
      <c r="I11964" s="394" t="str">
        <f>IF(A11964="","",VLOOKUP(A11964,AA_Equipos,8,FALSE))</f>
        <v/>
      </c>
      <c r="J11964" s="273"/>
      <c r="K11964" s="395"/>
      <c r="L11964" s="273"/>
      <c r="M11964" s="394" t="str">
        <f t="shared" si="1581"/>
        <v/>
      </c>
      <c r="N11964" s="273"/>
    </row>
    <row r="11965" spans="1:14" ht="12.75" customHeight="1" x14ac:dyDescent="0.25">
      <c r="A11965" s="4"/>
      <c r="B11965" s="4"/>
      <c r="C11965" s="4"/>
      <c r="D11965" s="4"/>
      <c r="E11965" s="4"/>
      <c r="F11965" s="4"/>
      <c r="G11965" s="4"/>
      <c r="H11965" s="4"/>
      <c r="I11965" s="4"/>
      <c r="J11965" s="4"/>
      <c r="K11965" s="396" t="s">
        <v>444</v>
      </c>
      <c r="L11965" s="273"/>
      <c r="M11965" s="394">
        <f>SUM(M11960:N11964)</f>
        <v>3736.5</v>
      </c>
      <c r="N11965" s="273"/>
    </row>
    <row r="11966" spans="1:14" ht="12.75" customHeight="1" x14ac:dyDescent="0.25">
      <c r="A11966" s="4"/>
      <c r="B11966" s="4"/>
      <c r="C11966" s="4"/>
      <c r="D11966" s="4"/>
      <c r="E11966" s="4"/>
      <c r="F11966" s="4"/>
      <c r="G11966" s="4"/>
      <c r="H11966" s="4"/>
      <c r="I11966" s="4"/>
      <c r="J11966" s="4"/>
      <c r="K11966" s="4"/>
      <c r="L11966" s="4"/>
      <c r="M11966" s="4"/>
      <c r="N11966" s="4"/>
    </row>
    <row r="11967" spans="1:14" ht="12.75" customHeight="1" x14ac:dyDescent="0.2">
      <c r="A11967" s="398" t="s">
        <v>929</v>
      </c>
      <c r="B11967" s="271"/>
      <c r="C11967" s="271"/>
      <c r="D11967" s="271"/>
      <c r="E11967" s="271"/>
      <c r="F11967" s="271"/>
      <c r="G11967" s="271"/>
      <c r="H11967" s="271"/>
      <c r="I11967" s="271"/>
      <c r="J11967" s="271"/>
      <c r="K11967" s="271"/>
      <c r="L11967" s="271"/>
      <c r="M11967" s="271"/>
      <c r="N11967" s="273"/>
    </row>
    <row r="11968" spans="1:14" ht="12.75" customHeight="1" x14ac:dyDescent="0.2">
      <c r="A11968" s="396" t="s">
        <v>76</v>
      </c>
      <c r="B11968" s="271"/>
      <c r="C11968" s="271"/>
      <c r="D11968" s="271"/>
      <c r="E11968" s="271"/>
      <c r="F11968" s="271"/>
      <c r="G11968" s="273"/>
      <c r="H11968" s="88" t="s">
        <v>77</v>
      </c>
      <c r="I11968" s="399" t="s">
        <v>920</v>
      </c>
      <c r="J11968" s="273"/>
      <c r="K11968" s="399" t="s">
        <v>453</v>
      </c>
      <c r="L11968" s="273"/>
      <c r="M11968" s="399" t="s">
        <v>921</v>
      </c>
      <c r="N11968" s="273"/>
    </row>
    <row r="11969" spans="1:14" ht="12.75" customHeight="1" x14ac:dyDescent="0.2">
      <c r="A11969" s="400" t="s">
        <v>1559</v>
      </c>
      <c r="B11969" s="271"/>
      <c r="C11969" s="271"/>
      <c r="D11969" s="271"/>
      <c r="E11969" s="271"/>
      <c r="F11969" s="271"/>
      <c r="G11969" s="273"/>
      <c r="H11969" s="29" t="str">
        <f>IF(A11969="","",VLOOKUP(A11969,AA_Equipos,7,FALSE))</f>
        <v>Día</v>
      </c>
      <c r="I11969" s="394">
        <f>IF(A11969="","",VLOOKUP(A11969,AA_Equipos,8,FALSE))</f>
        <v>74400</v>
      </c>
      <c r="J11969" s="273"/>
      <c r="K11969" s="408">
        <v>0.1</v>
      </c>
      <c r="L11969" s="273"/>
      <c r="M11969" s="394">
        <f t="shared" ref="M11969:M11973" si="1582">IF(A11969="","",I11969*K11969)</f>
        <v>7440</v>
      </c>
      <c r="N11969" s="273"/>
    </row>
    <row r="11970" spans="1:14" ht="12.75" customHeight="1" x14ac:dyDescent="0.2">
      <c r="A11970" s="403" t="s">
        <v>930</v>
      </c>
      <c r="B11970" s="271"/>
      <c r="C11970" s="271"/>
      <c r="D11970" s="271"/>
      <c r="E11970" s="271"/>
      <c r="F11970" s="271"/>
      <c r="G11970" s="273"/>
      <c r="H11970" s="29" t="s">
        <v>24</v>
      </c>
      <c r="I11970" s="394">
        <f>+M11956+M11965</f>
        <v>34039.22</v>
      </c>
      <c r="J11970" s="273"/>
      <c r="K11970" s="404">
        <v>0.05</v>
      </c>
      <c r="L11970" s="273"/>
      <c r="M11970" s="394">
        <f t="shared" si="1582"/>
        <v>1701.9610000000002</v>
      </c>
      <c r="N11970" s="273"/>
    </row>
    <row r="11971" spans="1:14" ht="12.75" customHeight="1" x14ac:dyDescent="0.2">
      <c r="A11971" s="400"/>
      <c r="B11971" s="271"/>
      <c r="C11971" s="271"/>
      <c r="D11971" s="271"/>
      <c r="E11971" s="271"/>
      <c r="F11971" s="271"/>
      <c r="G11971" s="273"/>
      <c r="H11971" s="29"/>
      <c r="I11971" s="394"/>
      <c r="J11971" s="273"/>
      <c r="K11971" s="395"/>
      <c r="L11971" s="273"/>
      <c r="M11971" s="394" t="str">
        <f t="shared" si="1582"/>
        <v/>
      </c>
      <c r="N11971" s="273"/>
    </row>
    <row r="11972" spans="1:14" ht="12.75" customHeight="1" x14ac:dyDescent="0.2">
      <c r="A11972" s="400"/>
      <c r="B11972" s="271"/>
      <c r="C11972" s="271"/>
      <c r="D11972" s="271"/>
      <c r="E11972" s="271"/>
      <c r="F11972" s="271"/>
      <c r="G11972" s="273"/>
      <c r="H11972" s="29"/>
      <c r="I11972" s="394"/>
      <c r="J11972" s="273"/>
      <c r="K11972" s="395"/>
      <c r="L11972" s="273"/>
      <c r="M11972" s="394" t="str">
        <f t="shared" si="1582"/>
        <v/>
      </c>
      <c r="N11972" s="273"/>
    </row>
    <row r="11973" spans="1:14" ht="12.75" customHeight="1" x14ac:dyDescent="0.2">
      <c r="A11973" s="400"/>
      <c r="B11973" s="271"/>
      <c r="C11973" s="271"/>
      <c r="D11973" s="271"/>
      <c r="E11973" s="271"/>
      <c r="F11973" s="271"/>
      <c r="G11973" s="273"/>
      <c r="H11973" s="29"/>
      <c r="I11973" s="394"/>
      <c r="J11973" s="273"/>
      <c r="K11973" s="395"/>
      <c r="L11973" s="273"/>
      <c r="M11973" s="394" t="str">
        <f t="shared" si="1582"/>
        <v/>
      </c>
      <c r="N11973" s="273"/>
    </row>
    <row r="11974" spans="1:14" ht="12.75" customHeight="1" x14ac:dyDescent="0.25">
      <c r="A11974" s="4"/>
      <c r="B11974" s="4"/>
      <c r="C11974" s="4"/>
      <c r="D11974" s="4"/>
      <c r="E11974" s="4"/>
      <c r="F11974" s="4"/>
      <c r="G11974" s="4"/>
      <c r="H11974" s="4"/>
      <c r="I11974" s="4"/>
      <c r="J11974" s="4"/>
      <c r="K11974" s="396" t="s">
        <v>444</v>
      </c>
      <c r="L11974" s="273"/>
      <c r="M11974" s="394">
        <f>SUM(M11969:N11973)</f>
        <v>9141.9609999999993</v>
      </c>
      <c r="N11974" s="273"/>
    </row>
    <row r="11975" spans="1:14" ht="12.75" customHeight="1" x14ac:dyDescent="0.25">
      <c r="A11975" s="4"/>
      <c r="B11975" s="4"/>
      <c r="C11975" s="4"/>
      <c r="D11975" s="4"/>
      <c r="E11975" s="4"/>
      <c r="F11975" s="4"/>
      <c r="G11975" s="4"/>
      <c r="H11975" s="4"/>
      <c r="I11975" s="4"/>
      <c r="J11975" s="4"/>
      <c r="K11975" s="4"/>
      <c r="L11975" s="4"/>
      <c r="M11975" s="4"/>
      <c r="N11975" s="4"/>
    </row>
    <row r="11976" spans="1:14" ht="12.75" customHeight="1" x14ac:dyDescent="0.2">
      <c r="A11976" s="398" t="s">
        <v>931</v>
      </c>
      <c r="B11976" s="271"/>
      <c r="C11976" s="271"/>
      <c r="D11976" s="271"/>
      <c r="E11976" s="271"/>
      <c r="F11976" s="271"/>
      <c r="G11976" s="271"/>
      <c r="H11976" s="271"/>
      <c r="I11976" s="271"/>
      <c r="J11976" s="271"/>
      <c r="K11976" s="271"/>
      <c r="L11976" s="271"/>
      <c r="M11976" s="271"/>
      <c r="N11976" s="273"/>
    </row>
    <row r="11977" spans="1:14" ht="12.75" customHeight="1" x14ac:dyDescent="0.2">
      <c r="A11977" s="396" t="s">
        <v>76</v>
      </c>
      <c r="B11977" s="271"/>
      <c r="C11977" s="271"/>
      <c r="D11977" s="271"/>
      <c r="E11977" s="271"/>
      <c r="F11977" s="271"/>
      <c r="G11977" s="273"/>
      <c r="H11977" s="88" t="s">
        <v>77</v>
      </c>
      <c r="I11977" s="399" t="s">
        <v>920</v>
      </c>
      <c r="J11977" s="273"/>
      <c r="K11977" s="90" t="s">
        <v>514</v>
      </c>
      <c r="L11977" s="91" t="s">
        <v>932</v>
      </c>
      <c r="M11977" s="399" t="s">
        <v>921</v>
      </c>
      <c r="N11977" s="273"/>
    </row>
    <row r="11978" spans="1:14" ht="12.75" customHeight="1" x14ac:dyDescent="0.25">
      <c r="A11978" s="393" t="s">
        <v>1301</v>
      </c>
      <c r="B11978" s="271"/>
      <c r="C11978" s="271"/>
      <c r="D11978" s="271"/>
      <c r="E11978" s="271"/>
      <c r="F11978" s="271"/>
      <c r="G11978" s="273"/>
      <c r="H11978" s="29" t="str">
        <f>IF(A11978="","",VLOOKUP(A11978,AA_Cuadrillas,4,FALSE))</f>
        <v>Cuadrilla</v>
      </c>
      <c r="I11978" s="394">
        <f>IF(A11978="","",VLOOKUP(A11978,AA_Cuadrillas,5,FALSE))</f>
        <v>132500</v>
      </c>
      <c r="J11978" s="273"/>
      <c r="K11978" s="9">
        <f>IF(A11978="","",F.P!$I$2)</f>
        <v>1.88</v>
      </c>
      <c r="L11978" s="97">
        <v>0.3</v>
      </c>
      <c r="M11978" s="394">
        <f t="shared" ref="M11978:M11982" si="1583">IF(A11978="","",I11978*K11978*L11978)</f>
        <v>74730</v>
      </c>
      <c r="N11978" s="273"/>
    </row>
    <row r="11979" spans="1:14" ht="12.75" customHeight="1" x14ac:dyDescent="0.25">
      <c r="A11979" s="393"/>
      <c r="B11979" s="271"/>
      <c r="C11979" s="271"/>
      <c r="D11979" s="271"/>
      <c r="E11979" s="271"/>
      <c r="F11979" s="271"/>
      <c r="G11979" s="273"/>
      <c r="H11979" s="29" t="str">
        <f>IF(A11979="","",VLOOKUP(A11979,AA_Cuadrillas,4,FALSE))</f>
        <v/>
      </c>
      <c r="I11979" s="394" t="str">
        <f>IF(A11979="","",VLOOKUP(A11979,AA_Cuadrillas,5,FALSE))</f>
        <v/>
      </c>
      <c r="J11979" s="273"/>
      <c r="K11979" s="9" t="str">
        <f>IF(A11979="","",F.P!$I$2)</f>
        <v/>
      </c>
      <c r="L11979" s="9"/>
      <c r="M11979" s="394" t="str">
        <f t="shared" si="1583"/>
        <v/>
      </c>
      <c r="N11979" s="273"/>
    </row>
    <row r="11980" spans="1:14" ht="12.75" customHeight="1" x14ac:dyDescent="0.25">
      <c r="A11980" s="393"/>
      <c r="B11980" s="271"/>
      <c r="C11980" s="271"/>
      <c r="D11980" s="271"/>
      <c r="E11980" s="271"/>
      <c r="F11980" s="271"/>
      <c r="G11980" s="273"/>
      <c r="H11980" s="29" t="str">
        <f>IF(A11980="","",VLOOKUP(A11980,AA_Cuadrillas,4,FALSE))</f>
        <v/>
      </c>
      <c r="I11980" s="394" t="str">
        <f>IF(A11980="","",VLOOKUP(A11980,AA_Cuadrillas,5,FALSE))</f>
        <v/>
      </c>
      <c r="J11980" s="273"/>
      <c r="K11980" s="9" t="str">
        <f>IF(A11980="","",F.P!$I$2)</f>
        <v/>
      </c>
      <c r="L11980" s="37"/>
      <c r="M11980" s="394" t="str">
        <f t="shared" si="1583"/>
        <v/>
      </c>
      <c r="N11980" s="273"/>
    </row>
    <row r="11981" spans="1:14" ht="12.75" customHeight="1" x14ac:dyDescent="0.25">
      <c r="A11981" s="393"/>
      <c r="B11981" s="271"/>
      <c r="C11981" s="271"/>
      <c r="D11981" s="271"/>
      <c r="E11981" s="271"/>
      <c r="F11981" s="271"/>
      <c r="G11981" s="273"/>
      <c r="H11981" s="29" t="str">
        <f>IF(A11981="","",VLOOKUP(A11981,AA_Cuadrillas,4,FALSE))</f>
        <v/>
      </c>
      <c r="I11981" s="394" t="str">
        <f>IF(A11981="","",VLOOKUP(A11981,AA_Cuadrillas,5,FALSE))</f>
        <v/>
      </c>
      <c r="J11981" s="273"/>
      <c r="K11981" s="9" t="str">
        <f>IF(A11981="","",F.P!$I$2)</f>
        <v/>
      </c>
      <c r="L11981" s="97"/>
      <c r="M11981" s="394" t="str">
        <f t="shared" si="1583"/>
        <v/>
      </c>
      <c r="N11981" s="273"/>
    </row>
    <row r="11982" spans="1:14" ht="12.75" customHeight="1" x14ac:dyDescent="0.25">
      <c r="A11982" s="393"/>
      <c r="B11982" s="271"/>
      <c r="C11982" s="271"/>
      <c r="D11982" s="271"/>
      <c r="E11982" s="271"/>
      <c r="F11982" s="271"/>
      <c r="G11982" s="273"/>
      <c r="H11982" s="29" t="str">
        <f>IF(A11982="","",VLOOKUP(A11982,AA_Cuadrillas,4,FALSE))</f>
        <v/>
      </c>
      <c r="I11982" s="394" t="str">
        <f>IF(A11982="","",VLOOKUP(A11982,AA_Cuadrillas,5,FALSE))</f>
        <v/>
      </c>
      <c r="J11982" s="273"/>
      <c r="K11982" s="9" t="str">
        <f>IF(A11982="","",F.P!$I$2)</f>
        <v/>
      </c>
      <c r="L11982" s="37"/>
      <c r="M11982" s="394" t="str">
        <f t="shared" si="1583"/>
        <v/>
      </c>
      <c r="N11982" s="273"/>
    </row>
    <row r="11983" spans="1:14" ht="12.75" customHeight="1" x14ac:dyDescent="0.25">
      <c r="A11983" s="4"/>
      <c r="B11983" s="4"/>
      <c r="C11983" s="4"/>
      <c r="D11983" s="4"/>
      <c r="E11983" s="4"/>
      <c r="F11983" s="4"/>
      <c r="G11983" s="4"/>
      <c r="H11983" s="4"/>
      <c r="I11983" s="4"/>
      <c r="J11983" s="4"/>
      <c r="K11983" s="396" t="s">
        <v>444</v>
      </c>
      <c r="L11983" s="273"/>
      <c r="M11983" s="394">
        <f>SUM(M11978:N11982)</f>
        <v>74730</v>
      </c>
      <c r="N11983" s="273"/>
    </row>
    <row r="11984" spans="1:14" ht="12.75" customHeight="1" x14ac:dyDescent="0.2"/>
    <row r="11985" spans="1:15" ht="12.75" customHeight="1" x14ac:dyDescent="0.2">
      <c r="A11985" s="397" t="s">
        <v>391</v>
      </c>
      <c r="B11985" s="275"/>
      <c r="C11985" s="275"/>
      <c r="D11985" s="275"/>
      <c r="E11985" s="275"/>
      <c r="F11985" s="275"/>
      <c r="G11985" s="275"/>
      <c r="H11985" s="275"/>
      <c r="I11985" s="275"/>
      <c r="J11985" s="275"/>
      <c r="K11985" s="275"/>
      <c r="L11985" s="275"/>
      <c r="M11985" s="275"/>
      <c r="N11985" s="276"/>
      <c r="O11985" s="166"/>
    </row>
    <row r="11986" spans="1:15" ht="12.75" customHeight="1" x14ac:dyDescent="0.2">
      <c r="A11986" s="277"/>
      <c r="B11986" s="278"/>
      <c r="C11986" s="278"/>
      <c r="D11986" s="278"/>
      <c r="E11986" s="278"/>
      <c r="F11986" s="278"/>
      <c r="G11986" s="278"/>
      <c r="H11986" s="278"/>
      <c r="I11986" s="278"/>
      <c r="J11986" s="278"/>
      <c r="K11986" s="278"/>
      <c r="L11986" s="278"/>
      <c r="M11986" s="278"/>
      <c r="N11986" s="279"/>
      <c r="O11986" s="166"/>
    </row>
    <row r="11987" spans="1:15" ht="12.75" customHeight="1" x14ac:dyDescent="0.2">
      <c r="A11987" s="75"/>
      <c r="B11987" s="75"/>
      <c r="C11987" s="75"/>
      <c r="D11987" s="75"/>
      <c r="E11987" s="75"/>
      <c r="F11987" s="75"/>
      <c r="G11987" s="75"/>
      <c r="H11987" s="75"/>
      <c r="I11987" s="75"/>
      <c r="J11987" s="75"/>
      <c r="K11987" s="75"/>
      <c r="L11987" s="75"/>
      <c r="M11987" s="75"/>
      <c r="N11987" s="75"/>
    </row>
    <row r="11988" spans="1:15" ht="12.75" customHeight="1" x14ac:dyDescent="0.3">
      <c r="A11988" s="79" t="s">
        <v>878</v>
      </c>
      <c r="B11988" s="80" t="str">
        <f>A11985</f>
        <v>SUMINISTRO E INSTALACIÓN CABLE CU DESNUDO No. 2/0 AWG 80CM DE PROFUNDIDAD</v>
      </c>
      <c r="C11988" s="81" t="s">
        <v>916</v>
      </c>
      <c r="D11988" s="82" t="s">
        <v>917</v>
      </c>
      <c r="E11988" s="83" t="s">
        <v>445</v>
      </c>
      <c r="F11988" s="234">
        <f>(H11988+J11988+L11988+N11988)*1.3</f>
        <v>145466.37988235295</v>
      </c>
      <c r="G11988" s="83" t="s">
        <v>607</v>
      </c>
      <c r="H11988" s="86">
        <f>M12008</f>
        <v>70861.715294117646</v>
      </c>
      <c r="I11988" s="83" t="s">
        <v>918</v>
      </c>
      <c r="J11988" s="86">
        <f>M12017</f>
        <v>1245.5</v>
      </c>
      <c r="K11988" s="83" t="s">
        <v>609</v>
      </c>
      <c r="L11988" s="86">
        <f>M12026</f>
        <v>14880</v>
      </c>
      <c r="M11988" s="83" t="s">
        <v>610</v>
      </c>
      <c r="N11988" s="86">
        <f>M12035</f>
        <v>24910</v>
      </c>
    </row>
    <row r="11989" spans="1:15" ht="12.75" customHeight="1" x14ac:dyDescent="0.25">
      <c r="A11989" s="87"/>
      <c r="B11989" s="87"/>
      <c r="C11989" s="87"/>
      <c r="D11989" s="87"/>
      <c r="E11989" s="87"/>
      <c r="F11989" s="87"/>
      <c r="G11989" s="87"/>
      <c r="H11989" s="12"/>
      <c r="I11989" s="12"/>
      <c r="J11989" s="87"/>
      <c r="K11989" s="215" t="s">
        <v>3217</v>
      </c>
      <c r="L11989" s="215">
        <f>+F11988*presup!$O$5</f>
        <v>189106.29384705884</v>
      </c>
      <c r="M11989" s="87"/>
      <c r="N11989" s="87"/>
    </row>
    <row r="11990" spans="1:15" ht="12.75" customHeight="1" x14ac:dyDescent="0.2">
      <c r="A11990" s="398" t="s">
        <v>919</v>
      </c>
      <c r="B11990" s="271"/>
      <c r="C11990" s="271"/>
      <c r="D11990" s="271"/>
      <c r="E11990" s="271"/>
      <c r="F11990" s="271"/>
      <c r="G11990" s="271"/>
      <c r="H11990" s="271"/>
      <c r="I11990" s="271"/>
      <c r="J11990" s="271"/>
      <c r="K11990" s="271"/>
      <c r="L11990" s="271"/>
      <c r="M11990" s="271"/>
      <c r="N11990" s="273"/>
    </row>
    <row r="11991" spans="1:15" ht="12.75" customHeight="1" x14ac:dyDescent="0.2">
      <c r="A11991" s="396" t="s">
        <v>76</v>
      </c>
      <c r="B11991" s="271"/>
      <c r="C11991" s="271"/>
      <c r="D11991" s="271"/>
      <c r="E11991" s="271"/>
      <c r="F11991" s="271"/>
      <c r="G11991" s="273"/>
      <c r="H11991" s="88" t="s">
        <v>77</v>
      </c>
      <c r="I11991" s="399" t="s">
        <v>920</v>
      </c>
      <c r="J11991" s="273"/>
      <c r="K11991" s="399" t="s">
        <v>453</v>
      </c>
      <c r="L11991" s="273"/>
      <c r="M11991" s="399" t="s">
        <v>921</v>
      </c>
      <c r="N11991" s="273"/>
    </row>
    <row r="11992" spans="1:15" ht="12.75" customHeight="1" x14ac:dyDescent="0.25">
      <c r="A11992" s="309" t="s">
        <v>1571</v>
      </c>
      <c r="B11992" s="271"/>
      <c r="C11992" s="271"/>
      <c r="D11992" s="271"/>
      <c r="E11992" s="271"/>
      <c r="F11992" s="271"/>
      <c r="G11992" s="273"/>
      <c r="H11992" s="29" t="str">
        <f t="shared" ref="H11992:H12007" si="1584">IF(A11992="","",VLOOKUP(A11992,AA_Materiales,7,FALSE))</f>
        <v>m</v>
      </c>
      <c r="I11992" s="394">
        <f t="shared" ref="I11992:I12007" si="1585">IF(A11992="","",VLOOKUP(A11992,AA_Materiales,8,FALSE))</f>
        <v>62212.23529411765</v>
      </c>
      <c r="J11992" s="273"/>
      <c r="K11992" s="393">
        <v>1</v>
      </c>
      <c r="L11992" s="273"/>
      <c r="M11992" s="394">
        <f t="shared" ref="M11992:M12007" si="1586">IF(A11992="","",I11992*K11992)</f>
        <v>62212.23529411765</v>
      </c>
      <c r="N11992" s="273"/>
    </row>
    <row r="11993" spans="1:15" ht="12.75" customHeight="1" x14ac:dyDescent="0.25">
      <c r="A11993" s="309" t="s">
        <v>1570</v>
      </c>
      <c r="B11993" s="271"/>
      <c r="C11993" s="271"/>
      <c r="D11993" s="271"/>
      <c r="E11993" s="271"/>
      <c r="F11993" s="271"/>
      <c r="G11993" s="273"/>
      <c r="H11993" s="29" t="str">
        <f t="shared" si="1584"/>
        <v>Un</v>
      </c>
      <c r="I11993" s="394">
        <f t="shared" si="1585"/>
        <v>1532.7199999999998</v>
      </c>
      <c r="J11993" s="273"/>
      <c r="K11993" s="393">
        <v>1</v>
      </c>
      <c r="L11993" s="273"/>
      <c r="M11993" s="394">
        <f t="shared" si="1586"/>
        <v>1532.7199999999998</v>
      </c>
      <c r="N11993" s="273"/>
    </row>
    <row r="11994" spans="1:15" ht="12.75" customHeight="1" x14ac:dyDescent="0.25">
      <c r="A11994" s="309" t="s">
        <v>1572</v>
      </c>
      <c r="B11994" s="271"/>
      <c r="C11994" s="271"/>
      <c r="D11994" s="271"/>
      <c r="E11994" s="271"/>
      <c r="F11994" s="271"/>
      <c r="G11994" s="273"/>
      <c r="H11994" s="29" t="str">
        <f t="shared" si="1584"/>
        <v>m3</v>
      </c>
      <c r="I11994" s="394">
        <f t="shared" si="1585"/>
        <v>35583.799999999996</v>
      </c>
      <c r="J11994" s="273"/>
      <c r="K11994" s="393">
        <v>0.2</v>
      </c>
      <c r="L11994" s="273"/>
      <c r="M11994" s="394">
        <f t="shared" si="1586"/>
        <v>7116.7599999999993</v>
      </c>
      <c r="N11994" s="273"/>
    </row>
    <row r="11995" spans="1:15" ht="12.75" customHeight="1" x14ac:dyDescent="0.25">
      <c r="A11995" s="309"/>
      <c r="B11995" s="271"/>
      <c r="C11995" s="271"/>
      <c r="D11995" s="271"/>
      <c r="E11995" s="271"/>
      <c r="F11995" s="271"/>
      <c r="G11995" s="273"/>
      <c r="H11995" s="29" t="str">
        <f t="shared" si="1584"/>
        <v/>
      </c>
      <c r="I11995" s="394" t="str">
        <f t="shared" si="1585"/>
        <v/>
      </c>
      <c r="J11995" s="273"/>
      <c r="K11995" s="393"/>
      <c r="L11995" s="273"/>
      <c r="M11995" s="394" t="str">
        <f t="shared" si="1586"/>
        <v/>
      </c>
      <c r="N11995" s="273"/>
    </row>
    <row r="11996" spans="1:15" ht="12.75" customHeight="1" x14ac:dyDescent="0.25">
      <c r="A11996" s="309"/>
      <c r="B11996" s="271"/>
      <c r="C11996" s="271"/>
      <c r="D11996" s="271"/>
      <c r="E11996" s="271"/>
      <c r="F11996" s="271"/>
      <c r="G11996" s="273"/>
      <c r="H11996" s="29" t="str">
        <f t="shared" si="1584"/>
        <v/>
      </c>
      <c r="I11996" s="394" t="str">
        <f t="shared" si="1585"/>
        <v/>
      </c>
      <c r="J11996" s="273"/>
      <c r="K11996" s="393"/>
      <c r="L11996" s="273"/>
      <c r="M11996" s="394" t="str">
        <f t="shared" si="1586"/>
        <v/>
      </c>
      <c r="N11996" s="273"/>
    </row>
    <row r="11997" spans="1:15" ht="12.75" customHeight="1" x14ac:dyDescent="0.25">
      <c r="A11997" s="309"/>
      <c r="B11997" s="271"/>
      <c r="C11997" s="271"/>
      <c r="D11997" s="271"/>
      <c r="E11997" s="271"/>
      <c r="F11997" s="271"/>
      <c r="G11997" s="273"/>
      <c r="H11997" s="29" t="str">
        <f t="shared" si="1584"/>
        <v/>
      </c>
      <c r="I11997" s="394" t="str">
        <f t="shared" si="1585"/>
        <v/>
      </c>
      <c r="J11997" s="273"/>
      <c r="K11997" s="393"/>
      <c r="L11997" s="273"/>
      <c r="M11997" s="394" t="str">
        <f t="shared" si="1586"/>
        <v/>
      </c>
      <c r="N11997" s="273"/>
    </row>
    <row r="11998" spans="1:15" ht="12.75" customHeight="1" x14ac:dyDescent="0.25">
      <c r="A11998" s="309"/>
      <c r="B11998" s="271"/>
      <c r="C11998" s="271"/>
      <c r="D11998" s="271"/>
      <c r="E11998" s="271"/>
      <c r="F11998" s="271"/>
      <c r="G11998" s="273"/>
      <c r="H11998" s="29" t="str">
        <f t="shared" si="1584"/>
        <v/>
      </c>
      <c r="I11998" s="394" t="str">
        <f t="shared" si="1585"/>
        <v/>
      </c>
      <c r="J11998" s="273"/>
      <c r="K11998" s="393"/>
      <c r="L11998" s="273"/>
      <c r="M11998" s="394" t="str">
        <f t="shared" si="1586"/>
        <v/>
      </c>
      <c r="N11998" s="273"/>
    </row>
    <row r="11999" spans="1:15" ht="12.75" customHeight="1" x14ac:dyDescent="0.25">
      <c r="A11999" s="309"/>
      <c r="B11999" s="271"/>
      <c r="C11999" s="271"/>
      <c r="D11999" s="271"/>
      <c r="E11999" s="271"/>
      <c r="F11999" s="271"/>
      <c r="G11999" s="273"/>
      <c r="H11999" s="29" t="str">
        <f t="shared" si="1584"/>
        <v/>
      </c>
      <c r="I11999" s="394" t="str">
        <f t="shared" si="1585"/>
        <v/>
      </c>
      <c r="J11999" s="273"/>
      <c r="K11999" s="393"/>
      <c r="L11999" s="273"/>
      <c r="M11999" s="394" t="str">
        <f t="shared" si="1586"/>
        <v/>
      </c>
      <c r="N11999" s="273"/>
    </row>
    <row r="12000" spans="1:15" ht="12.75" customHeight="1" x14ac:dyDescent="0.25">
      <c r="A12000" s="426"/>
      <c r="B12000" s="271"/>
      <c r="C12000" s="271"/>
      <c r="D12000" s="271"/>
      <c r="E12000" s="271"/>
      <c r="F12000" s="271"/>
      <c r="G12000" s="273"/>
      <c r="H12000" s="29" t="str">
        <f t="shared" si="1584"/>
        <v/>
      </c>
      <c r="I12000" s="394" t="str">
        <f t="shared" si="1585"/>
        <v/>
      </c>
      <c r="J12000" s="273"/>
      <c r="K12000" s="393"/>
      <c r="L12000" s="273"/>
      <c r="M12000" s="394" t="str">
        <f t="shared" si="1586"/>
        <v/>
      </c>
      <c r="N12000" s="273"/>
    </row>
    <row r="12001" spans="1:14" ht="12.75" customHeight="1" x14ac:dyDescent="0.25">
      <c r="A12001" s="426"/>
      <c r="B12001" s="271"/>
      <c r="C12001" s="271"/>
      <c r="D12001" s="271"/>
      <c r="E12001" s="271"/>
      <c r="F12001" s="271"/>
      <c r="G12001" s="273"/>
      <c r="H12001" s="29" t="str">
        <f t="shared" si="1584"/>
        <v/>
      </c>
      <c r="I12001" s="394" t="str">
        <f t="shared" si="1585"/>
        <v/>
      </c>
      <c r="J12001" s="273"/>
      <c r="K12001" s="393"/>
      <c r="L12001" s="273"/>
      <c r="M12001" s="394" t="str">
        <f t="shared" si="1586"/>
        <v/>
      </c>
      <c r="N12001" s="273"/>
    </row>
    <row r="12002" spans="1:14" ht="12.75" customHeight="1" x14ac:dyDescent="0.25">
      <c r="A12002" s="426"/>
      <c r="B12002" s="271"/>
      <c r="C12002" s="271"/>
      <c r="D12002" s="271"/>
      <c r="E12002" s="271"/>
      <c r="F12002" s="271"/>
      <c r="G12002" s="273"/>
      <c r="H12002" s="29" t="str">
        <f t="shared" si="1584"/>
        <v/>
      </c>
      <c r="I12002" s="394" t="str">
        <f t="shared" si="1585"/>
        <v/>
      </c>
      <c r="J12002" s="273"/>
      <c r="K12002" s="393"/>
      <c r="L12002" s="273"/>
      <c r="M12002" s="394" t="str">
        <f t="shared" si="1586"/>
        <v/>
      </c>
      <c r="N12002" s="273"/>
    </row>
    <row r="12003" spans="1:14" ht="12.75" customHeight="1" x14ac:dyDescent="0.25">
      <c r="A12003" s="426"/>
      <c r="B12003" s="271"/>
      <c r="C12003" s="271"/>
      <c r="D12003" s="271"/>
      <c r="E12003" s="271"/>
      <c r="F12003" s="271"/>
      <c r="G12003" s="273"/>
      <c r="H12003" s="29" t="str">
        <f t="shared" si="1584"/>
        <v/>
      </c>
      <c r="I12003" s="394" t="str">
        <f t="shared" si="1585"/>
        <v/>
      </c>
      <c r="J12003" s="273"/>
      <c r="K12003" s="393"/>
      <c r="L12003" s="273"/>
      <c r="M12003" s="394" t="str">
        <f t="shared" si="1586"/>
        <v/>
      </c>
      <c r="N12003" s="273"/>
    </row>
    <row r="12004" spans="1:14" ht="12.75" customHeight="1" x14ac:dyDescent="0.25">
      <c r="A12004" s="426"/>
      <c r="B12004" s="271"/>
      <c r="C12004" s="271"/>
      <c r="D12004" s="271"/>
      <c r="E12004" s="271"/>
      <c r="F12004" s="271"/>
      <c r="G12004" s="273"/>
      <c r="H12004" s="29" t="str">
        <f t="shared" si="1584"/>
        <v/>
      </c>
      <c r="I12004" s="394" t="str">
        <f t="shared" si="1585"/>
        <v/>
      </c>
      <c r="J12004" s="273"/>
      <c r="K12004" s="393"/>
      <c r="L12004" s="273"/>
      <c r="M12004" s="394" t="str">
        <f t="shared" si="1586"/>
        <v/>
      </c>
      <c r="N12004" s="273"/>
    </row>
    <row r="12005" spans="1:14" ht="12.75" customHeight="1" x14ac:dyDescent="0.25">
      <c r="A12005" s="426"/>
      <c r="B12005" s="271"/>
      <c r="C12005" s="271"/>
      <c r="D12005" s="271"/>
      <c r="E12005" s="271"/>
      <c r="F12005" s="271"/>
      <c r="G12005" s="273"/>
      <c r="H12005" s="29" t="str">
        <f t="shared" si="1584"/>
        <v/>
      </c>
      <c r="I12005" s="394" t="str">
        <f t="shared" si="1585"/>
        <v/>
      </c>
      <c r="J12005" s="273"/>
      <c r="K12005" s="393"/>
      <c r="L12005" s="273"/>
      <c r="M12005" s="394" t="str">
        <f t="shared" si="1586"/>
        <v/>
      </c>
      <c r="N12005" s="273"/>
    </row>
    <row r="12006" spans="1:14" ht="12.75" customHeight="1" x14ac:dyDescent="0.25">
      <c r="A12006" s="426"/>
      <c r="B12006" s="271"/>
      <c r="C12006" s="271"/>
      <c r="D12006" s="271"/>
      <c r="E12006" s="271"/>
      <c r="F12006" s="271"/>
      <c r="G12006" s="273"/>
      <c r="H12006" s="29" t="str">
        <f t="shared" si="1584"/>
        <v/>
      </c>
      <c r="I12006" s="394" t="str">
        <f t="shared" si="1585"/>
        <v/>
      </c>
      <c r="J12006" s="273"/>
      <c r="K12006" s="393"/>
      <c r="L12006" s="273"/>
      <c r="M12006" s="394" t="str">
        <f t="shared" si="1586"/>
        <v/>
      </c>
      <c r="N12006" s="273"/>
    </row>
    <row r="12007" spans="1:14" ht="12.75" customHeight="1" x14ac:dyDescent="0.25">
      <c r="A12007" s="426"/>
      <c r="B12007" s="271"/>
      <c r="C12007" s="271"/>
      <c r="D12007" s="271"/>
      <c r="E12007" s="271"/>
      <c r="F12007" s="271"/>
      <c r="G12007" s="273"/>
      <c r="H12007" s="29" t="str">
        <f t="shared" si="1584"/>
        <v/>
      </c>
      <c r="I12007" s="394" t="str">
        <f t="shared" si="1585"/>
        <v/>
      </c>
      <c r="J12007" s="273"/>
      <c r="K12007" s="393"/>
      <c r="L12007" s="273"/>
      <c r="M12007" s="394" t="str">
        <f t="shared" si="1586"/>
        <v/>
      </c>
      <c r="N12007" s="273"/>
    </row>
    <row r="12008" spans="1:14" ht="12.75" customHeight="1" x14ac:dyDescent="0.25">
      <c r="A12008" s="4"/>
      <c r="B12008" s="4"/>
      <c r="C12008" s="4"/>
      <c r="D12008" s="4"/>
      <c r="E12008" s="4"/>
      <c r="F12008" s="4"/>
      <c r="G12008" s="4"/>
      <c r="H12008" s="4"/>
      <c r="I12008" s="4"/>
      <c r="J12008" s="4"/>
      <c r="K12008" s="396" t="s">
        <v>444</v>
      </c>
      <c r="L12008" s="273"/>
      <c r="M12008" s="394">
        <f>SUM(M11992:N12007)</f>
        <v>70861.715294117646</v>
      </c>
      <c r="N12008" s="273"/>
    </row>
    <row r="12009" spans="1:14" ht="12.75" customHeight="1" x14ac:dyDescent="0.25">
      <c r="A12009" s="4"/>
      <c r="B12009" s="4"/>
      <c r="C12009" s="4"/>
      <c r="D12009" s="4"/>
      <c r="E12009" s="4"/>
      <c r="F12009" s="4"/>
      <c r="G12009" s="4"/>
      <c r="H12009" s="4"/>
      <c r="I12009" s="4"/>
      <c r="J12009" s="4"/>
      <c r="K12009" s="4"/>
      <c r="L12009" s="4"/>
      <c r="M12009" s="4"/>
      <c r="N12009" s="4"/>
    </row>
    <row r="12010" spans="1:14" ht="12.75" customHeight="1" x14ac:dyDescent="0.2">
      <c r="A12010" s="398" t="s">
        <v>926</v>
      </c>
      <c r="B12010" s="271"/>
      <c r="C12010" s="271"/>
      <c r="D12010" s="271"/>
      <c r="E12010" s="271"/>
      <c r="F12010" s="271"/>
      <c r="G12010" s="271"/>
      <c r="H12010" s="271"/>
      <c r="I12010" s="271"/>
      <c r="J12010" s="271"/>
      <c r="K12010" s="271"/>
      <c r="L12010" s="271"/>
      <c r="M12010" s="271"/>
      <c r="N12010" s="273"/>
    </row>
    <row r="12011" spans="1:14" ht="12.75" customHeight="1" x14ac:dyDescent="0.2">
      <c r="A12011" s="396" t="s">
        <v>76</v>
      </c>
      <c r="B12011" s="271"/>
      <c r="C12011" s="271"/>
      <c r="D12011" s="271"/>
      <c r="E12011" s="271"/>
      <c r="F12011" s="271"/>
      <c r="G12011" s="273"/>
      <c r="H12011" s="88" t="s">
        <v>77</v>
      </c>
      <c r="I12011" s="399" t="s">
        <v>920</v>
      </c>
      <c r="J12011" s="273"/>
      <c r="K12011" s="399" t="s">
        <v>453</v>
      </c>
      <c r="L12011" s="273"/>
      <c r="M12011" s="399" t="s">
        <v>921</v>
      </c>
      <c r="N12011" s="273"/>
    </row>
    <row r="12012" spans="1:14" ht="12.75" customHeight="1" x14ac:dyDescent="0.2">
      <c r="A12012" s="400" t="s">
        <v>927</v>
      </c>
      <c r="B12012" s="271"/>
      <c r="C12012" s="271"/>
      <c r="D12012" s="271"/>
      <c r="E12012" s="271"/>
      <c r="F12012" s="271"/>
      <c r="G12012" s="273"/>
      <c r="H12012" s="29" t="str">
        <f>IF(A12012="","",VLOOKUP(A12012,AA_Equipos,7,FALSE))</f>
        <v>% M.O.</v>
      </c>
      <c r="I12012" s="394">
        <f>+M12035</f>
        <v>24910</v>
      </c>
      <c r="J12012" s="273"/>
      <c r="K12012" s="404">
        <v>0.05</v>
      </c>
      <c r="L12012" s="273"/>
      <c r="M12012" s="394">
        <f t="shared" ref="M12012:M12016" si="1587">IF(A12012="","",I12012*K12012)</f>
        <v>1245.5</v>
      </c>
      <c r="N12012" s="273"/>
    </row>
    <row r="12013" spans="1:14" ht="12.75" customHeight="1" x14ac:dyDescent="0.2">
      <c r="A12013" s="403"/>
      <c r="B12013" s="271"/>
      <c r="C12013" s="271"/>
      <c r="D12013" s="271"/>
      <c r="E12013" s="271"/>
      <c r="F12013" s="271"/>
      <c r="G12013" s="273"/>
      <c r="H12013" s="29" t="str">
        <f>IF(A12013="","",VLOOKUP(A12013,AA_Equipos,7,FALSE))</f>
        <v/>
      </c>
      <c r="I12013" s="394" t="str">
        <f>IF(A12013="","",VLOOKUP(A12013,AA_Equipos,8,FALSE))</f>
        <v/>
      </c>
      <c r="J12013" s="273"/>
      <c r="K12013" s="402"/>
      <c r="L12013" s="273"/>
      <c r="M12013" s="394" t="str">
        <f t="shared" si="1587"/>
        <v/>
      </c>
      <c r="N12013" s="273"/>
    </row>
    <row r="12014" spans="1:14" ht="12.75" customHeight="1" x14ac:dyDescent="0.2">
      <c r="A12014" s="400"/>
      <c r="B12014" s="271"/>
      <c r="C12014" s="271"/>
      <c r="D12014" s="271"/>
      <c r="E12014" s="271"/>
      <c r="F12014" s="271"/>
      <c r="G12014" s="273"/>
      <c r="H12014" s="29" t="str">
        <f>IF(A12014="","",VLOOKUP(A12014,AA_Equipos,7,FALSE))</f>
        <v/>
      </c>
      <c r="I12014" s="394" t="str">
        <f>IF(A12014="","",VLOOKUP(A12014,AA_Equipos,8,FALSE))</f>
        <v/>
      </c>
      <c r="J12014" s="273"/>
      <c r="K12014" s="401"/>
      <c r="L12014" s="273"/>
      <c r="M12014" s="394" t="str">
        <f t="shared" si="1587"/>
        <v/>
      </c>
      <c r="N12014" s="273"/>
    </row>
    <row r="12015" spans="1:14" ht="12.75" customHeight="1" x14ac:dyDescent="0.2">
      <c r="A12015" s="400"/>
      <c r="B12015" s="271"/>
      <c r="C12015" s="271"/>
      <c r="D12015" s="271"/>
      <c r="E12015" s="271"/>
      <c r="F12015" s="271"/>
      <c r="G12015" s="273"/>
      <c r="H12015" s="29" t="str">
        <f>IF(A12015="","",VLOOKUP(A12015,AA_Equipos,7,FALSE))</f>
        <v/>
      </c>
      <c r="I12015" s="394" t="str">
        <f>IF(A12015="","",VLOOKUP(A12015,AA_Equipos,8,FALSE))</f>
        <v/>
      </c>
      <c r="J12015" s="273"/>
      <c r="K12015" s="395"/>
      <c r="L12015" s="273"/>
      <c r="M12015" s="394" t="str">
        <f t="shared" si="1587"/>
        <v/>
      </c>
      <c r="N12015" s="273"/>
    </row>
    <row r="12016" spans="1:14" ht="12.75" customHeight="1" x14ac:dyDescent="0.2">
      <c r="A12016" s="400"/>
      <c r="B12016" s="271"/>
      <c r="C12016" s="271"/>
      <c r="D12016" s="271"/>
      <c r="E12016" s="271"/>
      <c r="F12016" s="271"/>
      <c r="G12016" s="273"/>
      <c r="H12016" s="29" t="str">
        <f>IF(A12016="","",VLOOKUP(A12016,AA_Equipos,7,FALSE))</f>
        <v/>
      </c>
      <c r="I12016" s="394" t="str">
        <f>IF(A12016="","",VLOOKUP(A12016,AA_Equipos,8,FALSE))</f>
        <v/>
      </c>
      <c r="J12016" s="273"/>
      <c r="K12016" s="395"/>
      <c r="L12016" s="273"/>
      <c r="M12016" s="394" t="str">
        <f t="shared" si="1587"/>
        <v/>
      </c>
      <c r="N12016" s="273"/>
    </row>
    <row r="12017" spans="1:14" ht="12.75" customHeight="1" x14ac:dyDescent="0.25">
      <c r="A12017" s="4"/>
      <c r="B12017" s="4"/>
      <c r="C12017" s="4"/>
      <c r="D12017" s="4"/>
      <c r="E12017" s="4"/>
      <c r="F12017" s="4"/>
      <c r="G12017" s="4"/>
      <c r="H12017" s="4"/>
      <c r="I12017" s="4"/>
      <c r="J12017" s="4"/>
      <c r="K12017" s="396" t="s">
        <v>444</v>
      </c>
      <c r="L12017" s="273"/>
      <c r="M12017" s="394">
        <f>SUM(M12012:N12016)</f>
        <v>1245.5</v>
      </c>
      <c r="N12017" s="273"/>
    </row>
    <row r="12018" spans="1:14" ht="12.75" customHeight="1" x14ac:dyDescent="0.25">
      <c r="A12018" s="4"/>
      <c r="B12018" s="4"/>
      <c r="C12018" s="4"/>
      <c r="D12018" s="4"/>
      <c r="E12018" s="4"/>
      <c r="F12018" s="4"/>
      <c r="G12018" s="4"/>
      <c r="H12018" s="4"/>
      <c r="I12018" s="4"/>
      <c r="J12018" s="4"/>
      <c r="K12018" s="4"/>
      <c r="L12018" s="4"/>
      <c r="M12018" s="4"/>
      <c r="N12018" s="4"/>
    </row>
    <row r="12019" spans="1:14" ht="12.75" customHeight="1" x14ac:dyDescent="0.2">
      <c r="A12019" s="398" t="s">
        <v>929</v>
      </c>
      <c r="B12019" s="271"/>
      <c r="C12019" s="271"/>
      <c r="D12019" s="271"/>
      <c r="E12019" s="271"/>
      <c r="F12019" s="271"/>
      <c r="G12019" s="271"/>
      <c r="H12019" s="271"/>
      <c r="I12019" s="271"/>
      <c r="J12019" s="271"/>
      <c r="K12019" s="271"/>
      <c r="L12019" s="271"/>
      <c r="M12019" s="271"/>
      <c r="N12019" s="273"/>
    </row>
    <row r="12020" spans="1:14" ht="12.75" customHeight="1" x14ac:dyDescent="0.2">
      <c r="A12020" s="396" t="s">
        <v>76</v>
      </c>
      <c r="B12020" s="271"/>
      <c r="C12020" s="271"/>
      <c r="D12020" s="271"/>
      <c r="E12020" s="271"/>
      <c r="F12020" s="271"/>
      <c r="G12020" s="273"/>
      <c r="H12020" s="88" t="s">
        <v>77</v>
      </c>
      <c r="I12020" s="399" t="s">
        <v>920</v>
      </c>
      <c r="J12020" s="273"/>
      <c r="K12020" s="399" t="s">
        <v>453</v>
      </c>
      <c r="L12020" s="273"/>
      <c r="M12020" s="399" t="s">
        <v>921</v>
      </c>
      <c r="N12020" s="273"/>
    </row>
    <row r="12021" spans="1:14" ht="12.75" customHeight="1" x14ac:dyDescent="0.2">
      <c r="A12021" s="400" t="s">
        <v>1559</v>
      </c>
      <c r="B12021" s="271"/>
      <c r="C12021" s="271"/>
      <c r="D12021" s="271"/>
      <c r="E12021" s="271"/>
      <c r="F12021" s="271"/>
      <c r="G12021" s="273"/>
      <c r="H12021" s="29" t="str">
        <f>IF(A12021="","",VLOOKUP(A12021,AA_Equipos,7,FALSE))</f>
        <v>Día</v>
      </c>
      <c r="I12021" s="394">
        <f>IF(A12021="","",VLOOKUP(A12021,AA_Equipos,8,FALSE))</f>
        <v>74400</v>
      </c>
      <c r="J12021" s="273"/>
      <c r="K12021" s="408">
        <v>0.2</v>
      </c>
      <c r="L12021" s="273"/>
      <c r="M12021" s="394">
        <f t="shared" ref="M12021:M12025" si="1588">IF(A12021="","",I12021*K12021)</f>
        <v>14880</v>
      </c>
      <c r="N12021" s="273"/>
    </row>
    <row r="12022" spans="1:14" ht="12.75" customHeight="1" x14ac:dyDescent="0.2">
      <c r="A12022" s="403"/>
      <c r="B12022" s="271"/>
      <c r="C12022" s="271"/>
      <c r="D12022" s="271"/>
      <c r="E12022" s="271"/>
      <c r="F12022" s="271"/>
      <c r="G12022" s="273"/>
      <c r="H12022" s="29"/>
      <c r="I12022" s="394"/>
      <c r="J12022" s="273"/>
      <c r="K12022" s="404"/>
      <c r="L12022" s="273"/>
      <c r="M12022" s="394" t="str">
        <f t="shared" si="1588"/>
        <v/>
      </c>
      <c r="N12022" s="273"/>
    </row>
    <row r="12023" spans="1:14" ht="12.75" customHeight="1" x14ac:dyDescent="0.2">
      <c r="A12023" s="400"/>
      <c r="B12023" s="271"/>
      <c r="C12023" s="271"/>
      <c r="D12023" s="271"/>
      <c r="E12023" s="271"/>
      <c r="F12023" s="271"/>
      <c r="G12023" s="273"/>
      <c r="H12023" s="29"/>
      <c r="I12023" s="394"/>
      <c r="J12023" s="273"/>
      <c r="K12023" s="395"/>
      <c r="L12023" s="273"/>
      <c r="M12023" s="394" t="str">
        <f t="shared" si="1588"/>
        <v/>
      </c>
      <c r="N12023" s="273"/>
    </row>
    <row r="12024" spans="1:14" ht="12.75" customHeight="1" x14ac:dyDescent="0.2">
      <c r="A12024" s="400"/>
      <c r="B12024" s="271"/>
      <c r="C12024" s="271"/>
      <c r="D12024" s="271"/>
      <c r="E12024" s="271"/>
      <c r="F12024" s="271"/>
      <c r="G12024" s="273"/>
      <c r="H12024" s="29"/>
      <c r="I12024" s="394"/>
      <c r="J12024" s="273"/>
      <c r="K12024" s="395"/>
      <c r="L12024" s="273"/>
      <c r="M12024" s="394" t="str">
        <f t="shared" si="1588"/>
        <v/>
      </c>
      <c r="N12024" s="273"/>
    </row>
    <row r="12025" spans="1:14" ht="12.75" customHeight="1" x14ac:dyDescent="0.2">
      <c r="A12025" s="400"/>
      <c r="B12025" s="271"/>
      <c r="C12025" s="271"/>
      <c r="D12025" s="271"/>
      <c r="E12025" s="271"/>
      <c r="F12025" s="271"/>
      <c r="G12025" s="273"/>
      <c r="H12025" s="29"/>
      <c r="I12025" s="394"/>
      <c r="J12025" s="273"/>
      <c r="K12025" s="395"/>
      <c r="L12025" s="273"/>
      <c r="M12025" s="394" t="str">
        <f t="shared" si="1588"/>
        <v/>
      </c>
      <c r="N12025" s="273"/>
    </row>
    <row r="12026" spans="1:14" ht="12.75" customHeight="1" x14ac:dyDescent="0.25">
      <c r="A12026" s="4"/>
      <c r="B12026" s="4"/>
      <c r="C12026" s="4"/>
      <c r="D12026" s="4"/>
      <c r="E12026" s="4"/>
      <c r="F12026" s="4"/>
      <c r="G12026" s="4"/>
      <c r="H12026" s="4"/>
      <c r="I12026" s="4"/>
      <c r="J12026" s="4"/>
      <c r="K12026" s="396" t="s">
        <v>444</v>
      </c>
      <c r="L12026" s="273"/>
      <c r="M12026" s="394">
        <f>SUM(M12021:N12025)</f>
        <v>14880</v>
      </c>
      <c r="N12026" s="273"/>
    </row>
    <row r="12027" spans="1:14" ht="12.75" customHeight="1" x14ac:dyDescent="0.25">
      <c r="A12027" s="4"/>
      <c r="B12027" s="4"/>
      <c r="C12027" s="4"/>
      <c r="D12027" s="4"/>
      <c r="E12027" s="4"/>
      <c r="F12027" s="4"/>
      <c r="G12027" s="4"/>
      <c r="H12027" s="4"/>
      <c r="I12027" s="4"/>
      <c r="J12027" s="4"/>
      <c r="K12027" s="4"/>
      <c r="L12027" s="4"/>
      <c r="M12027" s="4"/>
      <c r="N12027" s="4"/>
    </row>
    <row r="12028" spans="1:14" ht="12.75" customHeight="1" x14ac:dyDescent="0.2">
      <c r="A12028" s="398" t="s">
        <v>931</v>
      </c>
      <c r="B12028" s="271"/>
      <c r="C12028" s="271"/>
      <c r="D12028" s="271"/>
      <c r="E12028" s="271"/>
      <c r="F12028" s="271"/>
      <c r="G12028" s="271"/>
      <c r="H12028" s="271"/>
      <c r="I12028" s="271"/>
      <c r="J12028" s="271"/>
      <c r="K12028" s="271"/>
      <c r="L12028" s="271"/>
      <c r="M12028" s="271"/>
      <c r="N12028" s="273"/>
    </row>
    <row r="12029" spans="1:14" ht="12.75" customHeight="1" x14ac:dyDescent="0.2">
      <c r="A12029" s="396" t="s">
        <v>76</v>
      </c>
      <c r="B12029" s="271"/>
      <c r="C12029" s="271"/>
      <c r="D12029" s="271"/>
      <c r="E12029" s="271"/>
      <c r="F12029" s="271"/>
      <c r="G12029" s="273"/>
      <c r="H12029" s="88" t="s">
        <v>77</v>
      </c>
      <c r="I12029" s="399" t="s">
        <v>920</v>
      </c>
      <c r="J12029" s="273"/>
      <c r="K12029" s="90" t="s">
        <v>514</v>
      </c>
      <c r="L12029" s="91" t="s">
        <v>932</v>
      </c>
      <c r="M12029" s="399" t="s">
        <v>921</v>
      </c>
      <c r="N12029" s="273"/>
    </row>
    <row r="12030" spans="1:14" ht="12.75" customHeight="1" x14ac:dyDescent="0.25">
      <c r="A12030" s="393" t="s">
        <v>1301</v>
      </c>
      <c r="B12030" s="271"/>
      <c r="C12030" s="271"/>
      <c r="D12030" s="271"/>
      <c r="E12030" s="271"/>
      <c r="F12030" s="271"/>
      <c r="G12030" s="273"/>
      <c r="H12030" s="29" t="str">
        <f>IF(A12030="","",VLOOKUP(A12030,AA_Cuadrillas,4,FALSE))</f>
        <v>Cuadrilla</v>
      </c>
      <c r="I12030" s="394">
        <f>IF(A12030="","",VLOOKUP(A12030,AA_Cuadrillas,5,FALSE))</f>
        <v>132500</v>
      </c>
      <c r="J12030" s="273"/>
      <c r="K12030" s="9">
        <f>IF(A12030="","",F.P!$I$2)</f>
        <v>1.88</v>
      </c>
      <c r="L12030" s="97">
        <v>0.1</v>
      </c>
      <c r="M12030" s="394">
        <f t="shared" ref="M12030:M12034" si="1589">IF(A12030="","",I12030*K12030*L12030)</f>
        <v>24910</v>
      </c>
      <c r="N12030" s="273"/>
    </row>
    <row r="12031" spans="1:14" ht="12.75" customHeight="1" x14ac:dyDescent="0.25">
      <c r="A12031" s="393"/>
      <c r="B12031" s="271"/>
      <c r="C12031" s="271"/>
      <c r="D12031" s="271"/>
      <c r="E12031" s="271"/>
      <c r="F12031" s="271"/>
      <c r="G12031" s="273"/>
      <c r="H12031" s="29" t="str">
        <f>IF(A12031="","",VLOOKUP(A12031,AA_Cuadrillas,4,FALSE))</f>
        <v/>
      </c>
      <c r="I12031" s="394" t="str">
        <f>IF(A12031="","",VLOOKUP(A12031,AA_Cuadrillas,5,FALSE))</f>
        <v/>
      </c>
      <c r="J12031" s="273"/>
      <c r="K12031" s="9" t="str">
        <f>IF(A12031="","",F.P!$I$2)</f>
        <v/>
      </c>
      <c r="L12031" s="9"/>
      <c r="M12031" s="394" t="str">
        <f t="shared" si="1589"/>
        <v/>
      </c>
      <c r="N12031" s="273"/>
    </row>
    <row r="12032" spans="1:14" ht="12.75" customHeight="1" x14ac:dyDescent="0.25">
      <c r="A12032" s="393"/>
      <c r="B12032" s="271"/>
      <c r="C12032" s="271"/>
      <c r="D12032" s="271"/>
      <c r="E12032" s="271"/>
      <c r="F12032" s="271"/>
      <c r="G12032" s="273"/>
      <c r="H12032" s="29" t="str">
        <f>IF(A12032="","",VLOOKUP(A12032,AA_Cuadrillas,4,FALSE))</f>
        <v/>
      </c>
      <c r="I12032" s="394" t="str">
        <f>IF(A12032="","",VLOOKUP(A12032,AA_Cuadrillas,5,FALSE))</f>
        <v/>
      </c>
      <c r="J12032" s="273"/>
      <c r="K12032" s="9" t="str">
        <f>IF(A12032="","",F.P!$I$2)</f>
        <v/>
      </c>
      <c r="L12032" s="37"/>
      <c r="M12032" s="394" t="str">
        <f t="shared" si="1589"/>
        <v/>
      </c>
      <c r="N12032" s="273"/>
    </row>
    <row r="12033" spans="1:14" ht="12.75" customHeight="1" x14ac:dyDescent="0.25">
      <c r="A12033" s="393"/>
      <c r="B12033" s="271"/>
      <c r="C12033" s="271"/>
      <c r="D12033" s="271"/>
      <c r="E12033" s="271"/>
      <c r="F12033" s="271"/>
      <c r="G12033" s="273"/>
      <c r="H12033" s="29" t="str">
        <f>IF(A12033="","",VLOOKUP(A12033,AA_Cuadrillas,4,FALSE))</f>
        <v/>
      </c>
      <c r="I12033" s="394" t="str">
        <f>IF(A12033="","",VLOOKUP(A12033,AA_Cuadrillas,5,FALSE))</f>
        <v/>
      </c>
      <c r="J12033" s="273"/>
      <c r="K12033" s="9" t="str">
        <f>IF(A12033="","",F.P!$I$2)</f>
        <v/>
      </c>
      <c r="L12033" s="97"/>
      <c r="M12033" s="394" t="str">
        <f t="shared" si="1589"/>
        <v/>
      </c>
      <c r="N12033" s="273"/>
    </row>
    <row r="12034" spans="1:14" ht="12.75" customHeight="1" x14ac:dyDescent="0.25">
      <c r="A12034" s="393"/>
      <c r="B12034" s="271"/>
      <c r="C12034" s="271"/>
      <c r="D12034" s="271"/>
      <c r="E12034" s="271"/>
      <c r="F12034" s="271"/>
      <c r="G12034" s="273"/>
      <c r="H12034" s="29" t="str">
        <f>IF(A12034="","",VLOOKUP(A12034,AA_Cuadrillas,4,FALSE))</f>
        <v/>
      </c>
      <c r="I12034" s="394" t="str">
        <f>IF(A12034="","",VLOOKUP(A12034,AA_Cuadrillas,5,FALSE))</f>
        <v/>
      </c>
      <c r="J12034" s="273"/>
      <c r="K12034" s="9" t="str">
        <f>IF(A12034="","",F.P!$I$2)</f>
        <v/>
      </c>
      <c r="L12034" s="37"/>
      <c r="M12034" s="394" t="str">
        <f t="shared" si="1589"/>
        <v/>
      </c>
      <c r="N12034" s="273"/>
    </row>
    <row r="12035" spans="1:14" ht="12.75" customHeight="1" x14ac:dyDescent="0.25">
      <c r="A12035" s="4"/>
      <c r="B12035" s="4"/>
      <c r="C12035" s="4"/>
      <c r="D12035" s="4"/>
      <c r="E12035" s="4"/>
      <c r="F12035" s="4"/>
      <c r="G12035" s="4"/>
      <c r="H12035" s="4"/>
      <c r="I12035" s="4"/>
      <c r="J12035" s="4"/>
      <c r="K12035" s="396" t="s">
        <v>444</v>
      </c>
      <c r="L12035" s="273"/>
      <c r="M12035" s="394">
        <f>SUM(M12030:N12034)</f>
        <v>24910</v>
      </c>
      <c r="N12035" s="273"/>
    </row>
    <row r="12036" spans="1:14" ht="12.75" customHeight="1" x14ac:dyDescent="0.2"/>
    <row r="12037" spans="1:14" ht="13.5" customHeight="1" x14ac:dyDescent="0.2">
      <c r="A12037" s="397" t="s">
        <v>392</v>
      </c>
      <c r="B12037" s="275"/>
      <c r="C12037" s="275"/>
      <c r="D12037" s="275"/>
      <c r="E12037" s="275"/>
      <c r="F12037" s="275"/>
      <c r="G12037" s="275"/>
      <c r="H12037" s="275"/>
      <c r="I12037" s="275"/>
      <c r="J12037" s="275"/>
      <c r="K12037" s="275"/>
      <c r="L12037" s="275"/>
      <c r="M12037" s="275"/>
      <c r="N12037" s="276"/>
    </row>
    <row r="12038" spans="1:14" ht="13.5" customHeight="1" x14ac:dyDescent="0.2">
      <c r="A12038" s="277"/>
      <c r="B12038" s="278"/>
      <c r="C12038" s="278"/>
      <c r="D12038" s="278"/>
      <c r="E12038" s="278"/>
      <c r="F12038" s="278"/>
      <c r="G12038" s="278"/>
      <c r="H12038" s="278"/>
      <c r="I12038" s="278"/>
      <c r="J12038" s="278"/>
      <c r="K12038" s="278"/>
      <c r="L12038" s="278"/>
      <c r="M12038" s="278"/>
      <c r="N12038" s="279"/>
    </row>
    <row r="12039" spans="1:14" ht="12.75" customHeight="1" x14ac:dyDescent="0.2">
      <c r="A12039" s="75"/>
      <c r="B12039" s="75"/>
      <c r="C12039" s="75"/>
      <c r="D12039" s="75"/>
      <c r="E12039" s="75"/>
      <c r="F12039" s="75"/>
      <c r="G12039" s="75"/>
      <c r="H12039" s="75"/>
      <c r="I12039" s="75"/>
      <c r="J12039" s="75"/>
      <c r="K12039" s="75"/>
      <c r="L12039" s="75"/>
      <c r="M12039" s="75"/>
      <c r="N12039" s="75"/>
    </row>
    <row r="12040" spans="1:14" ht="12.75" customHeight="1" x14ac:dyDescent="0.3">
      <c r="A12040" s="79" t="s">
        <v>879</v>
      </c>
      <c r="B12040" s="80" t="str">
        <f>A12037</f>
        <v>SUMINISTRO E INSTALACIÓN DE GRUPO DE MEDIDA EN BAJA TENSIÓN CON CAJA PARA CONTADOR TRIFÁSICO TETRAFILAR ADOSADA A MURO (INCLUYE CT'S 300:5 A 5V, CONTADOR CALIBRADO NORMAS ELECTRO HUILA, PUESTA A TIERRA Y FLEJES DE FIJACIÓN)</v>
      </c>
      <c r="C12040" s="81" t="s">
        <v>916</v>
      </c>
      <c r="D12040" s="82" t="s">
        <v>999</v>
      </c>
      <c r="E12040" s="83" t="s">
        <v>445</v>
      </c>
      <c r="F12040" s="86">
        <f>H12040+J12040+L12040+N12040</f>
        <v>5321093.5490196077</v>
      </c>
      <c r="G12040" s="83" t="s">
        <v>607</v>
      </c>
      <c r="H12040" s="86">
        <f>M12060</f>
        <v>4723583.5490196077</v>
      </c>
      <c r="I12040" s="83" t="s">
        <v>918</v>
      </c>
      <c r="J12040" s="86">
        <f>M12069</f>
        <v>24910</v>
      </c>
      <c r="K12040" s="83" t="s">
        <v>609</v>
      </c>
      <c r="L12040" s="86">
        <f>M12078</f>
        <v>74400</v>
      </c>
      <c r="M12040" s="83" t="s">
        <v>610</v>
      </c>
      <c r="N12040" s="86">
        <f>M12087</f>
        <v>498200</v>
      </c>
    </row>
    <row r="12041" spans="1:14" ht="12.75" customHeight="1" x14ac:dyDescent="0.25">
      <c r="A12041" s="87"/>
      <c r="B12041" s="87"/>
      <c r="C12041" s="87"/>
      <c r="D12041" s="87"/>
      <c r="E12041" s="87"/>
      <c r="F12041" s="87"/>
      <c r="G12041" s="87"/>
      <c r="H12041" s="12"/>
      <c r="I12041" s="12"/>
      <c r="J12041" s="87"/>
      <c r="K12041" s="215" t="s">
        <v>3217</v>
      </c>
      <c r="L12041" s="215">
        <f>+F12040*presup!$O$5</f>
        <v>6917421.6137254899</v>
      </c>
      <c r="M12041" s="87"/>
      <c r="N12041" s="87"/>
    </row>
    <row r="12042" spans="1:14" ht="12.75" customHeight="1" x14ac:dyDescent="0.2">
      <c r="A12042" s="398" t="s">
        <v>919</v>
      </c>
      <c r="B12042" s="271"/>
      <c r="C12042" s="271"/>
      <c r="D12042" s="271"/>
      <c r="E12042" s="271"/>
      <c r="F12042" s="271"/>
      <c r="G12042" s="271"/>
      <c r="H12042" s="271"/>
      <c r="I12042" s="271"/>
      <c r="J12042" s="271"/>
      <c r="K12042" s="271"/>
      <c r="L12042" s="271"/>
      <c r="M12042" s="271"/>
      <c r="N12042" s="273"/>
    </row>
    <row r="12043" spans="1:14" ht="12.75" customHeight="1" x14ac:dyDescent="0.2">
      <c r="A12043" s="396" t="s">
        <v>76</v>
      </c>
      <c r="B12043" s="271"/>
      <c r="C12043" s="271"/>
      <c r="D12043" s="271"/>
      <c r="E12043" s="271"/>
      <c r="F12043" s="271"/>
      <c r="G12043" s="273"/>
      <c r="H12043" s="88" t="s">
        <v>77</v>
      </c>
      <c r="I12043" s="399" t="s">
        <v>920</v>
      </c>
      <c r="J12043" s="273"/>
      <c r="K12043" s="399" t="s">
        <v>453</v>
      </c>
      <c r="L12043" s="273"/>
      <c r="M12043" s="399" t="s">
        <v>921</v>
      </c>
      <c r="N12043" s="273"/>
    </row>
    <row r="12044" spans="1:14" ht="12.75" customHeight="1" x14ac:dyDescent="0.25">
      <c r="A12044" s="309" t="s">
        <v>1573</v>
      </c>
      <c r="B12044" s="271"/>
      <c r="C12044" s="271"/>
      <c r="D12044" s="271"/>
      <c r="E12044" s="271"/>
      <c r="F12044" s="271"/>
      <c r="G12044" s="273"/>
      <c r="H12044" s="29" t="str">
        <f t="shared" ref="H12044:H12059" si="1590">IF(A12044="","",VLOOKUP(A12044,AA_Materiales,7,FALSE))</f>
        <v>Un</v>
      </c>
      <c r="I12044" s="394">
        <f t="shared" ref="I12044:I12059" si="1591">IF(A12044="","",VLOOKUP(A12044,AA_Materiales,8,FALSE))</f>
        <v>2291030</v>
      </c>
      <c r="J12044" s="273"/>
      <c r="K12044" s="393">
        <v>1</v>
      </c>
      <c r="L12044" s="273"/>
      <c r="M12044" s="394">
        <f t="shared" ref="M12044:M12059" si="1592">IF(A12044="","",I12044*K12044)</f>
        <v>2291030</v>
      </c>
      <c r="N12044" s="273"/>
    </row>
    <row r="12045" spans="1:14" ht="12.75" customHeight="1" x14ac:dyDescent="0.25">
      <c r="A12045" s="309" t="s">
        <v>1574</v>
      </c>
      <c r="B12045" s="271"/>
      <c r="C12045" s="271"/>
      <c r="D12045" s="271"/>
      <c r="E12045" s="271"/>
      <c r="F12045" s="271"/>
      <c r="G12045" s="273"/>
      <c r="H12045" s="29" t="str">
        <f t="shared" si="1590"/>
        <v>Un</v>
      </c>
      <c r="I12045" s="394">
        <f t="shared" si="1591"/>
        <v>47523</v>
      </c>
      <c r="J12045" s="273"/>
      <c r="K12045" s="393">
        <v>1</v>
      </c>
      <c r="L12045" s="273"/>
      <c r="M12045" s="394">
        <f t="shared" si="1592"/>
        <v>47523</v>
      </c>
      <c r="N12045" s="273"/>
    </row>
    <row r="12046" spans="1:14" ht="12.75" customHeight="1" x14ac:dyDescent="0.25">
      <c r="A12046" s="309" t="s">
        <v>1575</v>
      </c>
      <c r="B12046" s="271"/>
      <c r="C12046" s="271"/>
      <c r="D12046" s="271"/>
      <c r="E12046" s="271"/>
      <c r="F12046" s="271"/>
      <c r="G12046" s="273"/>
      <c r="H12046" s="29" t="str">
        <f t="shared" si="1590"/>
        <v>Un</v>
      </c>
      <c r="I12046" s="394">
        <f t="shared" si="1591"/>
        <v>1050000</v>
      </c>
      <c r="J12046" s="273"/>
      <c r="K12046" s="393">
        <v>1</v>
      </c>
      <c r="L12046" s="273"/>
      <c r="M12046" s="394">
        <f t="shared" si="1592"/>
        <v>1050000</v>
      </c>
      <c r="N12046" s="273"/>
    </row>
    <row r="12047" spans="1:14" ht="12.75" customHeight="1" x14ac:dyDescent="0.25">
      <c r="A12047" s="309" t="s">
        <v>1576</v>
      </c>
      <c r="B12047" s="271"/>
      <c r="C12047" s="271"/>
      <c r="D12047" s="271"/>
      <c r="E12047" s="271"/>
      <c r="F12047" s="271"/>
      <c r="G12047" s="273"/>
      <c r="H12047" s="29" t="str">
        <f t="shared" si="1590"/>
        <v>Un</v>
      </c>
      <c r="I12047" s="394">
        <f t="shared" si="1591"/>
        <v>381176.4705882353</v>
      </c>
      <c r="J12047" s="273"/>
      <c r="K12047" s="393">
        <v>1</v>
      </c>
      <c r="L12047" s="273"/>
      <c r="M12047" s="394">
        <f t="shared" si="1592"/>
        <v>381176.4705882353</v>
      </c>
      <c r="N12047" s="273"/>
    </row>
    <row r="12048" spans="1:14" ht="12.75" customHeight="1" x14ac:dyDescent="0.25">
      <c r="A12048" s="309" t="s">
        <v>1577</v>
      </c>
      <c r="B12048" s="271"/>
      <c r="C12048" s="271"/>
      <c r="D12048" s="271"/>
      <c r="E12048" s="271"/>
      <c r="F12048" s="271"/>
      <c r="G12048" s="273"/>
      <c r="H12048" s="29" t="str">
        <f t="shared" si="1590"/>
        <v>Un</v>
      </c>
      <c r="I12048" s="394">
        <f t="shared" si="1591"/>
        <v>91000</v>
      </c>
      <c r="J12048" s="273"/>
      <c r="K12048" s="393">
        <v>1</v>
      </c>
      <c r="L12048" s="273"/>
      <c r="M12048" s="394">
        <f t="shared" si="1592"/>
        <v>91000</v>
      </c>
      <c r="N12048" s="273"/>
    </row>
    <row r="12049" spans="1:14" ht="12.75" customHeight="1" x14ac:dyDescent="0.25">
      <c r="A12049" s="309" t="s">
        <v>1578</v>
      </c>
      <c r="B12049" s="271"/>
      <c r="C12049" s="271"/>
      <c r="D12049" s="271"/>
      <c r="E12049" s="271"/>
      <c r="F12049" s="271"/>
      <c r="G12049" s="273"/>
      <c r="H12049" s="29" t="str">
        <f t="shared" si="1590"/>
        <v>m</v>
      </c>
      <c r="I12049" s="394">
        <f t="shared" si="1591"/>
        <v>6129.8039215686285</v>
      </c>
      <c r="J12049" s="273"/>
      <c r="K12049" s="393">
        <v>2</v>
      </c>
      <c r="L12049" s="273"/>
      <c r="M12049" s="394">
        <f t="shared" si="1592"/>
        <v>12259.607843137257</v>
      </c>
      <c r="N12049" s="273"/>
    </row>
    <row r="12050" spans="1:14" ht="12.75" customHeight="1" x14ac:dyDescent="0.25">
      <c r="A12050" s="309" t="s">
        <v>1579</v>
      </c>
      <c r="B12050" s="271"/>
      <c r="C12050" s="271"/>
      <c r="D12050" s="271"/>
      <c r="E12050" s="271"/>
      <c r="F12050" s="271"/>
      <c r="G12050" s="273"/>
      <c r="H12050" s="29" t="str">
        <f t="shared" si="1590"/>
        <v>Un</v>
      </c>
      <c r="I12050" s="394">
        <f t="shared" si="1591"/>
        <v>635.29411764705878</v>
      </c>
      <c r="J12050" s="273"/>
      <c r="K12050" s="393">
        <v>2</v>
      </c>
      <c r="L12050" s="273"/>
      <c r="M12050" s="394">
        <f t="shared" si="1592"/>
        <v>1270.5882352941176</v>
      </c>
      <c r="N12050" s="273"/>
    </row>
    <row r="12051" spans="1:14" ht="12.75" customHeight="1" x14ac:dyDescent="0.25">
      <c r="A12051" s="309" t="s">
        <v>1580</v>
      </c>
      <c r="B12051" s="271"/>
      <c r="C12051" s="271"/>
      <c r="D12051" s="271"/>
      <c r="E12051" s="271"/>
      <c r="F12051" s="271"/>
      <c r="G12051" s="273"/>
      <c r="H12051" s="29" t="str">
        <f t="shared" si="1590"/>
        <v>m</v>
      </c>
      <c r="I12051" s="394">
        <f t="shared" si="1591"/>
        <v>31341.8</v>
      </c>
      <c r="J12051" s="273"/>
      <c r="K12051" s="393">
        <v>10</v>
      </c>
      <c r="L12051" s="273"/>
      <c r="M12051" s="394">
        <f t="shared" si="1592"/>
        <v>313418</v>
      </c>
      <c r="N12051" s="273"/>
    </row>
    <row r="12052" spans="1:14" ht="12.75" customHeight="1" x14ac:dyDescent="0.25">
      <c r="A12052" s="309" t="s">
        <v>1581</v>
      </c>
      <c r="B12052" s="271"/>
      <c r="C12052" s="271"/>
      <c r="D12052" s="271"/>
      <c r="E12052" s="271"/>
      <c r="F12052" s="271"/>
      <c r="G12052" s="273"/>
      <c r="H12052" s="29" t="str">
        <f t="shared" si="1590"/>
        <v>m</v>
      </c>
      <c r="I12052" s="394">
        <f t="shared" si="1591"/>
        <v>4480</v>
      </c>
      <c r="J12052" s="273"/>
      <c r="K12052" s="393">
        <v>15</v>
      </c>
      <c r="L12052" s="273"/>
      <c r="M12052" s="394">
        <f t="shared" si="1592"/>
        <v>67200</v>
      </c>
      <c r="N12052" s="273"/>
    </row>
    <row r="12053" spans="1:14" ht="12.75" customHeight="1" x14ac:dyDescent="0.25">
      <c r="A12053" s="309" t="s">
        <v>1582</v>
      </c>
      <c r="B12053" s="271"/>
      <c r="C12053" s="271"/>
      <c r="D12053" s="271"/>
      <c r="E12053" s="271"/>
      <c r="F12053" s="271"/>
      <c r="G12053" s="273"/>
      <c r="H12053" s="29" t="str">
        <f t="shared" si="1590"/>
        <v>Un</v>
      </c>
      <c r="I12053" s="394">
        <f t="shared" si="1591"/>
        <v>129882.35294117648</v>
      </c>
      <c r="J12053" s="273"/>
      <c r="K12053" s="393">
        <v>1</v>
      </c>
      <c r="L12053" s="273"/>
      <c r="M12053" s="394">
        <f t="shared" si="1592"/>
        <v>129882.35294117648</v>
      </c>
      <c r="N12053" s="273"/>
    </row>
    <row r="12054" spans="1:14" ht="12.75" customHeight="1" x14ac:dyDescent="0.25">
      <c r="A12054" s="309" t="s">
        <v>1583</v>
      </c>
      <c r="B12054" s="271"/>
      <c r="C12054" s="271"/>
      <c r="D12054" s="271"/>
      <c r="E12054" s="271"/>
      <c r="F12054" s="271"/>
      <c r="G12054" s="273"/>
      <c r="H12054" s="29" t="str">
        <f t="shared" si="1590"/>
        <v>Un</v>
      </c>
      <c r="I12054" s="394">
        <f t="shared" si="1591"/>
        <v>112941.17647058824</v>
      </c>
      <c r="J12054" s="273"/>
      <c r="K12054" s="393">
        <v>3</v>
      </c>
      <c r="L12054" s="273"/>
      <c r="M12054" s="394">
        <f t="shared" si="1592"/>
        <v>338823.5294117647</v>
      </c>
      <c r="N12054" s="273"/>
    </row>
    <row r="12055" spans="1:14" ht="12.75" customHeight="1" x14ac:dyDescent="0.25">
      <c r="A12055" s="426"/>
      <c r="B12055" s="271"/>
      <c r="C12055" s="271"/>
      <c r="D12055" s="271"/>
      <c r="E12055" s="271"/>
      <c r="F12055" s="271"/>
      <c r="G12055" s="273"/>
      <c r="H12055" s="29" t="str">
        <f t="shared" si="1590"/>
        <v/>
      </c>
      <c r="I12055" s="394" t="str">
        <f t="shared" si="1591"/>
        <v/>
      </c>
      <c r="J12055" s="273"/>
      <c r="K12055" s="393"/>
      <c r="L12055" s="273"/>
      <c r="M12055" s="394" t="str">
        <f t="shared" si="1592"/>
        <v/>
      </c>
      <c r="N12055" s="273"/>
    </row>
    <row r="12056" spans="1:14" ht="12.75" customHeight="1" x14ac:dyDescent="0.25">
      <c r="A12056" s="426"/>
      <c r="B12056" s="271"/>
      <c r="C12056" s="271"/>
      <c r="D12056" s="271"/>
      <c r="E12056" s="271"/>
      <c r="F12056" s="271"/>
      <c r="G12056" s="273"/>
      <c r="H12056" s="29" t="str">
        <f t="shared" si="1590"/>
        <v/>
      </c>
      <c r="I12056" s="394" t="str">
        <f t="shared" si="1591"/>
        <v/>
      </c>
      <c r="J12056" s="273"/>
      <c r="K12056" s="393"/>
      <c r="L12056" s="273"/>
      <c r="M12056" s="394" t="str">
        <f t="shared" si="1592"/>
        <v/>
      </c>
      <c r="N12056" s="273"/>
    </row>
    <row r="12057" spans="1:14" ht="12.75" customHeight="1" x14ac:dyDescent="0.25">
      <c r="A12057" s="426"/>
      <c r="B12057" s="271"/>
      <c r="C12057" s="271"/>
      <c r="D12057" s="271"/>
      <c r="E12057" s="271"/>
      <c r="F12057" s="271"/>
      <c r="G12057" s="273"/>
      <c r="H12057" s="29" t="str">
        <f t="shared" si="1590"/>
        <v/>
      </c>
      <c r="I12057" s="394" t="str">
        <f t="shared" si="1591"/>
        <v/>
      </c>
      <c r="J12057" s="273"/>
      <c r="K12057" s="393"/>
      <c r="L12057" s="273"/>
      <c r="M12057" s="394" t="str">
        <f t="shared" si="1592"/>
        <v/>
      </c>
      <c r="N12057" s="273"/>
    </row>
    <row r="12058" spans="1:14" ht="12.75" customHeight="1" x14ac:dyDescent="0.25">
      <c r="A12058" s="426"/>
      <c r="B12058" s="271"/>
      <c r="C12058" s="271"/>
      <c r="D12058" s="271"/>
      <c r="E12058" s="271"/>
      <c r="F12058" s="271"/>
      <c r="G12058" s="273"/>
      <c r="H12058" s="29" t="str">
        <f t="shared" si="1590"/>
        <v/>
      </c>
      <c r="I12058" s="394" t="str">
        <f t="shared" si="1591"/>
        <v/>
      </c>
      <c r="J12058" s="273"/>
      <c r="K12058" s="393"/>
      <c r="L12058" s="273"/>
      <c r="M12058" s="394" t="str">
        <f t="shared" si="1592"/>
        <v/>
      </c>
      <c r="N12058" s="273"/>
    </row>
    <row r="12059" spans="1:14" ht="12.75" customHeight="1" x14ac:dyDescent="0.25">
      <c r="A12059" s="426"/>
      <c r="B12059" s="271"/>
      <c r="C12059" s="271"/>
      <c r="D12059" s="271"/>
      <c r="E12059" s="271"/>
      <c r="F12059" s="271"/>
      <c r="G12059" s="273"/>
      <c r="H12059" s="29" t="str">
        <f t="shared" si="1590"/>
        <v/>
      </c>
      <c r="I12059" s="394" t="str">
        <f t="shared" si="1591"/>
        <v/>
      </c>
      <c r="J12059" s="273"/>
      <c r="K12059" s="393"/>
      <c r="L12059" s="273"/>
      <c r="M12059" s="394" t="str">
        <f t="shared" si="1592"/>
        <v/>
      </c>
      <c r="N12059" s="273"/>
    </row>
    <row r="12060" spans="1:14" ht="12.75" customHeight="1" x14ac:dyDescent="0.25">
      <c r="A12060" s="4"/>
      <c r="B12060" s="4"/>
      <c r="C12060" s="4"/>
      <c r="D12060" s="4"/>
      <c r="E12060" s="4"/>
      <c r="F12060" s="4"/>
      <c r="G12060" s="4"/>
      <c r="H12060" s="4"/>
      <c r="I12060" s="4"/>
      <c r="J12060" s="4"/>
      <c r="K12060" s="396" t="s">
        <v>444</v>
      </c>
      <c r="L12060" s="273"/>
      <c r="M12060" s="394">
        <f>SUM(M12044:N12059)</f>
        <v>4723583.5490196077</v>
      </c>
      <c r="N12060" s="273"/>
    </row>
    <row r="12061" spans="1:14" ht="12.75" customHeight="1" x14ac:dyDescent="0.25">
      <c r="A12061" s="4"/>
      <c r="B12061" s="4"/>
      <c r="C12061" s="4"/>
      <c r="D12061" s="4"/>
      <c r="E12061" s="4"/>
      <c r="F12061" s="4"/>
      <c r="G12061" s="4"/>
      <c r="H12061" s="4"/>
      <c r="I12061" s="4"/>
      <c r="J12061" s="4"/>
      <c r="K12061" s="4"/>
      <c r="L12061" s="4"/>
      <c r="M12061" s="4"/>
      <c r="N12061" s="4"/>
    </row>
    <row r="12062" spans="1:14" ht="12.75" customHeight="1" x14ac:dyDescent="0.2">
      <c r="A12062" s="398" t="s">
        <v>926</v>
      </c>
      <c r="B12062" s="271"/>
      <c r="C12062" s="271"/>
      <c r="D12062" s="271"/>
      <c r="E12062" s="271"/>
      <c r="F12062" s="271"/>
      <c r="G12062" s="271"/>
      <c r="H12062" s="271"/>
      <c r="I12062" s="271"/>
      <c r="J12062" s="271"/>
      <c r="K12062" s="271"/>
      <c r="L12062" s="271"/>
      <c r="M12062" s="271"/>
      <c r="N12062" s="273"/>
    </row>
    <row r="12063" spans="1:14" ht="12.75" customHeight="1" x14ac:dyDescent="0.2">
      <c r="A12063" s="396" t="s">
        <v>76</v>
      </c>
      <c r="B12063" s="271"/>
      <c r="C12063" s="271"/>
      <c r="D12063" s="271"/>
      <c r="E12063" s="271"/>
      <c r="F12063" s="271"/>
      <c r="G12063" s="273"/>
      <c r="H12063" s="88" t="s">
        <v>77</v>
      </c>
      <c r="I12063" s="399" t="s">
        <v>920</v>
      </c>
      <c r="J12063" s="273"/>
      <c r="K12063" s="399" t="s">
        <v>453</v>
      </c>
      <c r="L12063" s="273"/>
      <c r="M12063" s="399" t="s">
        <v>921</v>
      </c>
      <c r="N12063" s="273"/>
    </row>
    <row r="12064" spans="1:14" ht="12.75" customHeight="1" x14ac:dyDescent="0.2">
      <c r="A12064" s="400" t="s">
        <v>927</v>
      </c>
      <c r="B12064" s="271"/>
      <c r="C12064" s="271"/>
      <c r="D12064" s="271"/>
      <c r="E12064" s="271"/>
      <c r="F12064" s="271"/>
      <c r="G12064" s="273"/>
      <c r="H12064" s="29" t="str">
        <f>IF(A12064="","",VLOOKUP(A12064,AA_Equipos,7,FALSE))</f>
        <v>% M.O.</v>
      </c>
      <c r="I12064" s="394">
        <f>+M12087</f>
        <v>498200</v>
      </c>
      <c r="J12064" s="273"/>
      <c r="K12064" s="404">
        <v>0.05</v>
      </c>
      <c r="L12064" s="273"/>
      <c r="M12064" s="394">
        <f t="shared" ref="M12064:M12068" si="1593">IF(A12064="","",I12064*K12064)</f>
        <v>24910</v>
      </c>
      <c r="N12064" s="273"/>
    </row>
    <row r="12065" spans="1:14" ht="12.75" customHeight="1" x14ac:dyDescent="0.2">
      <c r="A12065" s="403"/>
      <c r="B12065" s="271"/>
      <c r="C12065" s="271"/>
      <c r="D12065" s="271"/>
      <c r="E12065" s="271"/>
      <c r="F12065" s="271"/>
      <c r="G12065" s="273"/>
      <c r="H12065" s="29" t="str">
        <f>IF(A12065="","",VLOOKUP(A12065,AA_Equipos,7,FALSE))</f>
        <v/>
      </c>
      <c r="I12065" s="394" t="str">
        <f>IF(A12065="","",VLOOKUP(A12065,AA_Equipos,8,FALSE))</f>
        <v/>
      </c>
      <c r="J12065" s="273"/>
      <c r="K12065" s="402"/>
      <c r="L12065" s="273"/>
      <c r="M12065" s="394" t="str">
        <f t="shared" si="1593"/>
        <v/>
      </c>
      <c r="N12065" s="273"/>
    </row>
    <row r="12066" spans="1:14" ht="12.75" customHeight="1" x14ac:dyDescent="0.2">
      <c r="A12066" s="400"/>
      <c r="B12066" s="271"/>
      <c r="C12066" s="271"/>
      <c r="D12066" s="271"/>
      <c r="E12066" s="271"/>
      <c r="F12066" s="271"/>
      <c r="G12066" s="273"/>
      <c r="H12066" s="29" t="str">
        <f>IF(A12066="","",VLOOKUP(A12066,AA_Equipos,7,FALSE))</f>
        <v/>
      </c>
      <c r="I12066" s="394" t="str">
        <f>IF(A12066="","",VLOOKUP(A12066,AA_Equipos,8,FALSE))</f>
        <v/>
      </c>
      <c r="J12066" s="273"/>
      <c r="K12066" s="401"/>
      <c r="L12066" s="273"/>
      <c r="M12066" s="394" t="str">
        <f t="shared" si="1593"/>
        <v/>
      </c>
      <c r="N12066" s="273"/>
    </row>
    <row r="12067" spans="1:14" ht="12.75" customHeight="1" x14ac:dyDescent="0.2">
      <c r="A12067" s="400"/>
      <c r="B12067" s="271"/>
      <c r="C12067" s="271"/>
      <c r="D12067" s="271"/>
      <c r="E12067" s="271"/>
      <c r="F12067" s="271"/>
      <c r="G12067" s="273"/>
      <c r="H12067" s="29" t="str">
        <f>IF(A12067="","",VLOOKUP(A12067,AA_Equipos,7,FALSE))</f>
        <v/>
      </c>
      <c r="I12067" s="394" t="str">
        <f>IF(A12067="","",VLOOKUP(A12067,AA_Equipos,8,FALSE))</f>
        <v/>
      </c>
      <c r="J12067" s="273"/>
      <c r="K12067" s="395"/>
      <c r="L12067" s="273"/>
      <c r="M12067" s="394" t="str">
        <f t="shared" si="1593"/>
        <v/>
      </c>
      <c r="N12067" s="273"/>
    </row>
    <row r="12068" spans="1:14" ht="12.75" customHeight="1" x14ac:dyDescent="0.2">
      <c r="A12068" s="400"/>
      <c r="B12068" s="271"/>
      <c r="C12068" s="271"/>
      <c r="D12068" s="271"/>
      <c r="E12068" s="271"/>
      <c r="F12068" s="271"/>
      <c r="G12068" s="273"/>
      <c r="H12068" s="29" t="str">
        <f>IF(A12068="","",VLOOKUP(A12068,AA_Equipos,7,FALSE))</f>
        <v/>
      </c>
      <c r="I12068" s="394" t="str">
        <f>IF(A12068="","",VLOOKUP(A12068,AA_Equipos,8,FALSE))</f>
        <v/>
      </c>
      <c r="J12068" s="273"/>
      <c r="K12068" s="395"/>
      <c r="L12068" s="273"/>
      <c r="M12068" s="394" t="str">
        <f t="shared" si="1593"/>
        <v/>
      </c>
      <c r="N12068" s="273"/>
    </row>
    <row r="12069" spans="1:14" ht="12.75" customHeight="1" x14ac:dyDescent="0.25">
      <c r="A12069" s="4"/>
      <c r="B12069" s="4"/>
      <c r="C12069" s="4"/>
      <c r="D12069" s="4"/>
      <c r="E12069" s="4"/>
      <c r="F12069" s="4"/>
      <c r="G12069" s="4"/>
      <c r="H12069" s="4"/>
      <c r="I12069" s="4"/>
      <c r="J12069" s="4"/>
      <c r="K12069" s="396" t="s">
        <v>444</v>
      </c>
      <c r="L12069" s="273"/>
      <c r="M12069" s="394">
        <f>SUM(M12064:N12068)</f>
        <v>24910</v>
      </c>
      <c r="N12069" s="273"/>
    </row>
    <row r="12070" spans="1:14" ht="12.75" customHeight="1" x14ac:dyDescent="0.25">
      <c r="A12070" s="4"/>
      <c r="B12070" s="4"/>
      <c r="C12070" s="4"/>
      <c r="D12070" s="4"/>
      <c r="E12070" s="4"/>
      <c r="F12070" s="4"/>
      <c r="G12070" s="4"/>
      <c r="H12070" s="4"/>
      <c r="I12070" s="4"/>
      <c r="J12070" s="4"/>
      <c r="K12070" s="4"/>
      <c r="L12070" s="4"/>
      <c r="M12070" s="4"/>
      <c r="N12070" s="4"/>
    </row>
    <row r="12071" spans="1:14" ht="12.75" customHeight="1" x14ac:dyDescent="0.2">
      <c r="A12071" s="398" t="s">
        <v>929</v>
      </c>
      <c r="B12071" s="271"/>
      <c r="C12071" s="271"/>
      <c r="D12071" s="271"/>
      <c r="E12071" s="271"/>
      <c r="F12071" s="271"/>
      <c r="G12071" s="271"/>
      <c r="H12071" s="271"/>
      <c r="I12071" s="271"/>
      <c r="J12071" s="271"/>
      <c r="K12071" s="271"/>
      <c r="L12071" s="271"/>
      <c r="M12071" s="271"/>
      <c r="N12071" s="273"/>
    </row>
    <row r="12072" spans="1:14" ht="12.75" customHeight="1" x14ac:dyDescent="0.2">
      <c r="A12072" s="396" t="s">
        <v>76</v>
      </c>
      <c r="B12072" s="271"/>
      <c r="C12072" s="271"/>
      <c r="D12072" s="271"/>
      <c r="E12072" s="271"/>
      <c r="F12072" s="271"/>
      <c r="G12072" s="273"/>
      <c r="H12072" s="88" t="s">
        <v>77</v>
      </c>
      <c r="I12072" s="399" t="s">
        <v>920</v>
      </c>
      <c r="J12072" s="273"/>
      <c r="K12072" s="399" t="s">
        <v>453</v>
      </c>
      <c r="L12072" s="273"/>
      <c r="M12072" s="399" t="s">
        <v>921</v>
      </c>
      <c r="N12072" s="273"/>
    </row>
    <row r="12073" spans="1:14" ht="12.75" customHeight="1" x14ac:dyDescent="0.2">
      <c r="A12073" s="400" t="s">
        <v>1559</v>
      </c>
      <c r="B12073" s="271"/>
      <c r="C12073" s="271"/>
      <c r="D12073" s="271"/>
      <c r="E12073" s="271"/>
      <c r="F12073" s="271"/>
      <c r="G12073" s="273"/>
      <c r="H12073" s="29" t="str">
        <f>IF(A12073="","",VLOOKUP(A12073,AA_Equipos,7,FALSE))</f>
        <v>Día</v>
      </c>
      <c r="I12073" s="394">
        <f>IF(A12073="","",VLOOKUP(A12073,AA_Equipos,8,FALSE))</f>
        <v>74400</v>
      </c>
      <c r="J12073" s="273"/>
      <c r="K12073" s="408">
        <v>1</v>
      </c>
      <c r="L12073" s="273"/>
      <c r="M12073" s="394">
        <f t="shared" ref="M12073:M12077" si="1594">IF(A12073="","",I12073*K12073)</f>
        <v>74400</v>
      </c>
      <c r="N12073" s="273"/>
    </row>
    <row r="12074" spans="1:14" ht="12.75" customHeight="1" x14ac:dyDescent="0.2">
      <c r="A12074" s="403"/>
      <c r="B12074" s="271"/>
      <c r="C12074" s="271"/>
      <c r="D12074" s="271"/>
      <c r="E12074" s="271"/>
      <c r="F12074" s="271"/>
      <c r="G12074" s="273"/>
      <c r="H12074" s="29"/>
      <c r="I12074" s="394"/>
      <c r="J12074" s="273"/>
      <c r="K12074" s="404"/>
      <c r="L12074" s="273"/>
      <c r="M12074" s="394" t="str">
        <f t="shared" si="1594"/>
        <v/>
      </c>
      <c r="N12074" s="273"/>
    </row>
    <row r="12075" spans="1:14" ht="12.75" customHeight="1" x14ac:dyDescent="0.2">
      <c r="A12075" s="400"/>
      <c r="B12075" s="271"/>
      <c r="C12075" s="271"/>
      <c r="D12075" s="271"/>
      <c r="E12075" s="271"/>
      <c r="F12075" s="271"/>
      <c r="G12075" s="273"/>
      <c r="H12075" s="29"/>
      <c r="I12075" s="394"/>
      <c r="J12075" s="273"/>
      <c r="K12075" s="395"/>
      <c r="L12075" s="273"/>
      <c r="M12075" s="394" t="str">
        <f t="shared" si="1594"/>
        <v/>
      </c>
      <c r="N12075" s="273"/>
    </row>
    <row r="12076" spans="1:14" ht="12.75" customHeight="1" x14ac:dyDescent="0.2">
      <c r="A12076" s="400"/>
      <c r="B12076" s="271"/>
      <c r="C12076" s="271"/>
      <c r="D12076" s="271"/>
      <c r="E12076" s="271"/>
      <c r="F12076" s="271"/>
      <c r="G12076" s="273"/>
      <c r="H12076" s="29"/>
      <c r="I12076" s="394"/>
      <c r="J12076" s="273"/>
      <c r="K12076" s="395"/>
      <c r="L12076" s="273"/>
      <c r="M12076" s="394" t="str">
        <f t="shared" si="1594"/>
        <v/>
      </c>
      <c r="N12076" s="273"/>
    </row>
    <row r="12077" spans="1:14" ht="12.75" customHeight="1" x14ac:dyDescent="0.2">
      <c r="A12077" s="400"/>
      <c r="B12077" s="271"/>
      <c r="C12077" s="271"/>
      <c r="D12077" s="271"/>
      <c r="E12077" s="271"/>
      <c r="F12077" s="271"/>
      <c r="G12077" s="273"/>
      <c r="H12077" s="29"/>
      <c r="I12077" s="394"/>
      <c r="J12077" s="273"/>
      <c r="K12077" s="395"/>
      <c r="L12077" s="273"/>
      <c r="M12077" s="394" t="str">
        <f t="shared" si="1594"/>
        <v/>
      </c>
      <c r="N12077" s="273"/>
    </row>
    <row r="12078" spans="1:14" ht="12.75" customHeight="1" x14ac:dyDescent="0.25">
      <c r="A12078" s="4"/>
      <c r="B12078" s="4"/>
      <c r="C12078" s="4"/>
      <c r="D12078" s="4"/>
      <c r="E12078" s="4"/>
      <c r="F12078" s="4"/>
      <c r="G12078" s="4"/>
      <c r="H12078" s="4"/>
      <c r="I12078" s="4"/>
      <c r="J12078" s="4"/>
      <c r="K12078" s="396" t="s">
        <v>444</v>
      </c>
      <c r="L12078" s="273"/>
      <c r="M12078" s="394">
        <f>SUM(M12073:N12077)</f>
        <v>74400</v>
      </c>
      <c r="N12078" s="273"/>
    </row>
    <row r="12079" spans="1:14" ht="12.75" customHeight="1" x14ac:dyDescent="0.25">
      <c r="A12079" s="4"/>
      <c r="B12079" s="4"/>
      <c r="C12079" s="4"/>
      <c r="D12079" s="4"/>
      <c r="E12079" s="4"/>
      <c r="F12079" s="4"/>
      <c r="G12079" s="4"/>
      <c r="H12079" s="4"/>
      <c r="I12079" s="4"/>
      <c r="J12079" s="4"/>
      <c r="K12079" s="4"/>
      <c r="L12079" s="4"/>
      <c r="M12079" s="4"/>
      <c r="N12079" s="4"/>
    </row>
    <row r="12080" spans="1:14" ht="12.75" customHeight="1" x14ac:dyDescent="0.2">
      <c r="A12080" s="398" t="s">
        <v>931</v>
      </c>
      <c r="B12080" s="271"/>
      <c r="C12080" s="271"/>
      <c r="D12080" s="271"/>
      <c r="E12080" s="271"/>
      <c r="F12080" s="271"/>
      <c r="G12080" s="271"/>
      <c r="H12080" s="271"/>
      <c r="I12080" s="271"/>
      <c r="J12080" s="271"/>
      <c r="K12080" s="271"/>
      <c r="L12080" s="271"/>
      <c r="M12080" s="271"/>
      <c r="N12080" s="273"/>
    </row>
    <row r="12081" spans="1:15" ht="12.75" customHeight="1" x14ac:dyDescent="0.2">
      <c r="A12081" s="396" t="s">
        <v>76</v>
      </c>
      <c r="B12081" s="271"/>
      <c r="C12081" s="271"/>
      <c r="D12081" s="271"/>
      <c r="E12081" s="271"/>
      <c r="F12081" s="271"/>
      <c r="G12081" s="273"/>
      <c r="H12081" s="88" t="s">
        <v>77</v>
      </c>
      <c r="I12081" s="399" t="s">
        <v>920</v>
      </c>
      <c r="J12081" s="273"/>
      <c r="K12081" s="90" t="s">
        <v>514</v>
      </c>
      <c r="L12081" s="91" t="s">
        <v>932</v>
      </c>
      <c r="M12081" s="399" t="s">
        <v>921</v>
      </c>
      <c r="N12081" s="273"/>
    </row>
    <row r="12082" spans="1:15" ht="12.75" customHeight="1" x14ac:dyDescent="0.25">
      <c r="A12082" s="393" t="s">
        <v>1301</v>
      </c>
      <c r="B12082" s="271"/>
      <c r="C12082" s="271"/>
      <c r="D12082" s="271"/>
      <c r="E12082" s="271"/>
      <c r="F12082" s="271"/>
      <c r="G12082" s="273"/>
      <c r="H12082" s="29" t="str">
        <f>IF(A12082="","",VLOOKUP(A12082,AA_Cuadrillas,4,FALSE))</f>
        <v>Cuadrilla</v>
      </c>
      <c r="I12082" s="394">
        <f>IF(A12082="","",VLOOKUP(A12082,AA_Cuadrillas,5,FALSE))</f>
        <v>132500</v>
      </c>
      <c r="J12082" s="273"/>
      <c r="K12082" s="9">
        <f>IF(A12082="","",F.P!$I$2)</f>
        <v>1.88</v>
      </c>
      <c r="L12082" s="97">
        <v>2</v>
      </c>
      <c r="M12082" s="394">
        <f t="shared" ref="M12082:M12086" si="1595">IF(A12082="","",I12082*K12082*L12082)</f>
        <v>498200</v>
      </c>
      <c r="N12082" s="273"/>
    </row>
    <row r="12083" spans="1:15" ht="12.75" customHeight="1" x14ac:dyDescent="0.25">
      <c r="A12083" s="393"/>
      <c r="B12083" s="271"/>
      <c r="C12083" s="271"/>
      <c r="D12083" s="271"/>
      <c r="E12083" s="271"/>
      <c r="F12083" s="271"/>
      <c r="G12083" s="273"/>
      <c r="H12083" s="29" t="str">
        <f>IF(A12083="","",VLOOKUP(A12083,AA_Cuadrillas,4,FALSE))</f>
        <v/>
      </c>
      <c r="I12083" s="394" t="str">
        <f>IF(A12083="","",VLOOKUP(A12083,AA_Cuadrillas,5,FALSE))</f>
        <v/>
      </c>
      <c r="J12083" s="273"/>
      <c r="K12083" s="9" t="str">
        <f>IF(A12083="","",F.P!$I$2)</f>
        <v/>
      </c>
      <c r="L12083" s="9"/>
      <c r="M12083" s="394" t="str">
        <f t="shared" si="1595"/>
        <v/>
      </c>
      <c r="N12083" s="273"/>
    </row>
    <row r="12084" spans="1:15" ht="12.75" customHeight="1" x14ac:dyDescent="0.25">
      <c r="A12084" s="393"/>
      <c r="B12084" s="271"/>
      <c r="C12084" s="271"/>
      <c r="D12084" s="271"/>
      <c r="E12084" s="271"/>
      <c r="F12084" s="271"/>
      <c r="G12084" s="273"/>
      <c r="H12084" s="29" t="str">
        <f>IF(A12084="","",VLOOKUP(A12084,AA_Cuadrillas,4,FALSE))</f>
        <v/>
      </c>
      <c r="I12084" s="394" t="str">
        <f>IF(A12084="","",VLOOKUP(A12084,AA_Cuadrillas,5,FALSE))</f>
        <v/>
      </c>
      <c r="J12084" s="273"/>
      <c r="K12084" s="9" t="str">
        <f>IF(A12084="","",F.P!$I$2)</f>
        <v/>
      </c>
      <c r="L12084" s="37"/>
      <c r="M12084" s="394" t="str">
        <f t="shared" si="1595"/>
        <v/>
      </c>
      <c r="N12084" s="273"/>
    </row>
    <row r="12085" spans="1:15" ht="12.75" customHeight="1" x14ac:dyDescent="0.25">
      <c r="A12085" s="393"/>
      <c r="B12085" s="271"/>
      <c r="C12085" s="271"/>
      <c r="D12085" s="271"/>
      <c r="E12085" s="271"/>
      <c r="F12085" s="271"/>
      <c r="G12085" s="273"/>
      <c r="H12085" s="29" t="str">
        <f>IF(A12085="","",VLOOKUP(A12085,AA_Cuadrillas,4,FALSE))</f>
        <v/>
      </c>
      <c r="I12085" s="394" t="str">
        <f>IF(A12085="","",VLOOKUP(A12085,AA_Cuadrillas,5,FALSE))</f>
        <v/>
      </c>
      <c r="J12085" s="273"/>
      <c r="K12085" s="9" t="str">
        <f>IF(A12085="","",F.P!$I$2)</f>
        <v/>
      </c>
      <c r="L12085" s="97"/>
      <c r="M12085" s="394" t="str">
        <f t="shared" si="1595"/>
        <v/>
      </c>
      <c r="N12085" s="273"/>
    </row>
    <row r="12086" spans="1:15" ht="12.75" customHeight="1" x14ac:dyDescent="0.25">
      <c r="A12086" s="393"/>
      <c r="B12086" s="271"/>
      <c r="C12086" s="271"/>
      <c r="D12086" s="271"/>
      <c r="E12086" s="271"/>
      <c r="F12086" s="271"/>
      <c r="G12086" s="273"/>
      <c r="H12086" s="29" t="str">
        <f>IF(A12086="","",VLOOKUP(A12086,AA_Cuadrillas,4,FALSE))</f>
        <v/>
      </c>
      <c r="I12086" s="394" t="str">
        <f>IF(A12086="","",VLOOKUP(A12086,AA_Cuadrillas,5,FALSE))</f>
        <v/>
      </c>
      <c r="J12086" s="273"/>
      <c r="K12086" s="9" t="str">
        <f>IF(A12086="","",F.P!$I$2)</f>
        <v/>
      </c>
      <c r="L12086" s="37"/>
      <c r="M12086" s="394" t="str">
        <f t="shared" si="1595"/>
        <v/>
      </c>
      <c r="N12086" s="273"/>
    </row>
    <row r="12087" spans="1:15" ht="12.75" customHeight="1" x14ac:dyDescent="0.25">
      <c r="A12087" s="4"/>
      <c r="B12087" s="4"/>
      <c r="C12087" s="4"/>
      <c r="D12087" s="4"/>
      <c r="E12087" s="4"/>
      <c r="F12087" s="4"/>
      <c r="G12087" s="4"/>
      <c r="H12087" s="4"/>
      <c r="I12087" s="4"/>
      <c r="J12087" s="4"/>
      <c r="K12087" s="396" t="s">
        <v>444</v>
      </c>
      <c r="L12087" s="273"/>
      <c r="M12087" s="394">
        <f>SUM(M12082:N12086)</f>
        <v>498200</v>
      </c>
      <c r="N12087" s="273"/>
    </row>
    <row r="12088" spans="1:15" ht="12.75" customHeight="1" x14ac:dyDescent="0.2"/>
    <row r="12089" spans="1:15" ht="12.75" customHeight="1" x14ac:dyDescent="0.2">
      <c r="A12089" s="397" t="s">
        <v>394</v>
      </c>
      <c r="B12089" s="275"/>
      <c r="C12089" s="275"/>
      <c r="D12089" s="275"/>
      <c r="E12089" s="275"/>
      <c r="F12089" s="275"/>
      <c r="G12089" s="275"/>
      <c r="H12089" s="275"/>
      <c r="I12089" s="275"/>
      <c r="J12089" s="275"/>
      <c r="K12089" s="275"/>
      <c r="L12089" s="275"/>
      <c r="M12089" s="275"/>
      <c r="N12089" s="276"/>
      <c r="O12089" s="166"/>
    </row>
    <row r="12090" spans="1:15" ht="12.75" customHeight="1" x14ac:dyDescent="0.2">
      <c r="A12090" s="277"/>
      <c r="B12090" s="278"/>
      <c r="C12090" s="278"/>
      <c r="D12090" s="278"/>
      <c r="E12090" s="278"/>
      <c r="F12090" s="278"/>
      <c r="G12090" s="278"/>
      <c r="H12090" s="278"/>
      <c r="I12090" s="278"/>
      <c r="J12090" s="278"/>
      <c r="K12090" s="278"/>
      <c r="L12090" s="278"/>
      <c r="M12090" s="278"/>
      <c r="N12090" s="279"/>
      <c r="O12090" s="166"/>
    </row>
    <row r="12091" spans="1:15" ht="12.75" customHeight="1" x14ac:dyDescent="0.2">
      <c r="A12091" s="75"/>
      <c r="B12091" s="75"/>
      <c r="C12091" s="75"/>
      <c r="D12091" s="75"/>
      <c r="E12091" s="75"/>
      <c r="F12091" s="75"/>
      <c r="G12091" s="75"/>
      <c r="H12091" s="75"/>
      <c r="I12091" s="75"/>
      <c r="J12091" s="75"/>
      <c r="K12091" s="75"/>
      <c r="L12091" s="75"/>
      <c r="M12091" s="75"/>
      <c r="N12091" s="75"/>
    </row>
    <row r="12092" spans="1:15" ht="12.75" customHeight="1" x14ac:dyDescent="0.3">
      <c r="A12092" s="79" t="s">
        <v>880</v>
      </c>
      <c r="B12092" s="80" t="str">
        <f>A12089</f>
        <v>SUMINISTRO E INSTALACIÓN DE LUMINARIA LED HERMÉTICA SYLVANIA 50W (INCLUYE EL SUMINISTRO DE ACCESORIOS DE FIJACIÓN Y MONTAJE)</v>
      </c>
      <c r="C12092" s="81" t="s">
        <v>916</v>
      </c>
      <c r="D12092" s="82" t="s">
        <v>999</v>
      </c>
      <c r="E12092" s="83" t="s">
        <v>445</v>
      </c>
      <c r="F12092" s="234">
        <f>(H12092+J12092+L12092+N12092)*1.3</f>
        <v>281449.14980000001</v>
      </c>
      <c r="G12092" s="83" t="s">
        <v>607</v>
      </c>
      <c r="H12092" s="86">
        <f>M12112</f>
        <v>149165.51999999999</v>
      </c>
      <c r="I12092" s="83" t="s">
        <v>918</v>
      </c>
      <c r="J12092" s="86">
        <f>M12121</f>
        <v>2491</v>
      </c>
      <c r="K12092" s="83" t="s">
        <v>609</v>
      </c>
      <c r="L12092" s="86">
        <f>M12130</f>
        <v>15022.826000000001</v>
      </c>
      <c r="M12092" s="83" t="s">
        <v>610</v>
      </c>
      <c r="N12092" s="86">
        <f>M12139</f>
        <v>49820</v>
      </c>
    </row>
    <row r="12093" spans="1:15" ht="12.75" customHeight="1" x14ac:dyDescent="0.25">
      <c r="A12093" s="87"/>
      <c r="B12093" s="87"/>
      <c r="C12093" s="87"/>
      <c r="D12093" s="87"/>
      <c r="E12093" s="87"/>
      <c r="F12093" s="87"/>
      <c r="G12093" s="87"/>
      <c r="H12093" s="12"/>
      <c r="I12093" s="12"/>
      <c r="J12093" s="87"/>
      <c r="K12093" s="215" t="s">
        <v>3217</v>
      </c>
      <c r="L12093" s="215">
        <f>+F12092*presup!$O$5</f>
        <v>365883.89474000002</v>
      </c>
      <c r="M12093" s="87"/>
      <c r="N12093" s="87"/>
    </row>
    <row r="12094" spans="1:15" ht="12.75" customHeight="1" x14ac:dyDescent="0.2">
      <c r="A12094" s="398" t="s">
        <v>919</v>
      </c>
      <c r="B12094" s="271"/>
      <c r="C12094" s="271"/>
      <c r="D12094" s="271"/>
      <c r="E12094" s="271"/>
      <c r="F12094" s="271"/>
      <c r="G12094" s="271"/>
      <c r="H12094" s="271"/>
      <c r="I12094" s="271"/>
      <c r="J12094" s="271"/>
      <c r="K12094" s="271"/>
      <c r="L12094" s="271"/>
      <c r="M12094" s="271"/>
      <c r="N12094" s="273"/>
    </row>
    <row r="12095" spans="1:15" ht="12.75" customHeight="1" x14ac:dyDescent="0.2">
      <c r="A12095" s="396" t="s">
        <v>76</v>
      </c>
      <c r="B12095" s="271"/>
      <c r="C12095" s="271"/>
      <c r="D12095" s="271"/>
      <c r="E12095" s="271"/>
      <c r="F12095" s="271"/>
      <c r="G12095" s="273"/>
      <c r="H12095" s="88" t="s">
        <v>77</v>
      </c>
      <c r="I12095" s="399" t="s">
        <v>920</v>
      </c>
      <c r="J12095" s="273"/>
      <c r="K12095" s="399" t="s">
        <v>453</v>
      </c>
      <c r="L12095" s="273"/>
      <c r="M12095" s="399" t="s">
        <v>921</v>
      </c>
      <c r="N12095" s="273"/>
    </row>
    <row r="12096" spans="1:15" ht="12.75" customHeight="1" x14ac:dyDescent="0.25">
      <c r="A12096" s="309" t="s">
        <v>1584</v>
      </c>
      <c r="B12096" s="271"/>
      <c r="C12096" s="271"/>
      <c r="D12096" s="271"/>
      <c r="E12096" s="271"/>
      <c r="F12096" s="271"/>
      <c r="G12096" s="273"/>
      <c r="H12096" s="29" t="str">
        <f t="shared" ref="H12096:H12111" si="1596">IF(A12096="","",VLOOKUP(A12096,AA_Materiales,7,FALSE))</f>
        <v>Unidad</v>
      </c>
      <c r="I12096" s="394">
        <f t="shared" ref="I12096:I12111" si="1597">IF(A12096="","",VLOOKUP(A12096,AA_Materiales,8,FALSE))</f>
        <v>149165.51999999999</v>
      </c>
      <c r="J12096" s="273"/>
      <c r="K12096" s="393">
        <v>1</v>
      </c>
      <c r="L12096" s="273"/>
      <c r="M12096" s="394">
        <f t="shared" ref="M12096:M12111" si="1598">IF(A12096="","",I12096*K12096)</f>
        <v>149165.51999999999</v>
      </c>
      <c r="N12096" s="273"/>
    </row>
    <row r="12097" spans="1:14" ht="12.75" customHeight="1" x14ac:dyDescent="0.25">
      <c r="A12097" s="309"/>
      <c r="B12097" s="271"/>
      <c r="C12097" s="271"/>
      <c r="D12097" s="271"/>
      <c r="E12097" s="271"/>
      <c r="F12097" s="271"/>
      <c r="G12097" s="273"/>
      <c r="H12097" s="29" t="str">
        <f t="shared" si="1596"/>
        <v/>
      </c>
      <c r="I12097" s="394" t="str">
        <f t="shared" si="1597"/>
        <v/>
      </c>
      <c r="J12097" s="273"/>
      <c r="K12097" s="393"/>
      <c r="L12097" s="273"/>
      <c r="M12097" s="394" t="str">
        <f t="shared" si="1598"/>
        <v/>
      </c>
      <c r="N12097" s="273"/>
    </row>
    <row r="12098" spans="1:14" ht="12.75" customHeight="1" x14ac:dyDescent="0.25">
      <c r="A12098" s="309"/>
      <c r="B12098" s="271"/>
      <c r="C12098" s="271"/>
      <c r="D12098" s="271"/>
      <c r="E12098" s="271"/>
      <c r="F12098" s="271"/>
      <c r="G12098" s="273"/>
      <c r="H12098" s="29" t="str">
        <f t="shared" si="1596"/>
        <v/>
      </c>
      <c r="I12098" s="394" t="str">
        <f t="shared" si="1597"/>
        <v/>
      </c>
      <c r="J12098" s="273"/>
      <c r="K12098" s="393"/>
      <c r="L12098" s="273"/>
      <c r="M12098" s="394" t="str">
        <f t="shared" si="1598"/>
        <v/>
      </c>
      <c r="N12098" s="273"/>
    </row>
    <row r="12099" spans="1:14" ht="12.75" customHeight="1" x14ac:dyDescent="0.25">
      <c r="A12099" s="309"/>
      <c r="B12099" s="271"/>
      <c r="C12099" s="271"/>
      <c r="D12099" s="271"/>
      <c r="E12099" s="271"/>
      <c r="F12099" s="271"/>
      <c r="G12099" s="273"/>
      <c r="H12099" s="29" t="str">
        <f t="shared" si="1596"/>
        <v/>
      </c>
      <c r="I12099" s="394" t="str">
        <f t="shared" si="1597"/>
        <v/>
      </c>
      <c r="J12099" s="273"/>
      <c r="K12099" s="393"/>
      <c r="L12099" s="273"/>
      <c r="M12099" s="394" t="str">
        <f t="shared" si="1598"/>
        <v/>
      </c>
      <c r="N12099" s="273"/>
    </row>
    <row r="12100" spans="1:14" ht="12.75" customHeight="1" x14ac:dyDescent="0.25">
      <c r="A12100" s="309"/>
      <c r="B12100" s="271"/>
      <c r="C12100" s="271"/>
      <c r="D12100" s="271"/>
      <c r="E12100" s="271"/>
      <c r="F12100" s="271"/>
      <c r="G12100" s="273"/>
      <c r="H12100" s="29" t="str">
        <f t="shared" si="1596"/>
        <v/>
      </c>
      <c r="I12100" s="394" t="str">
        <f t="shared" si="1597"/>
        <v/>
      </c>
      <c r="J12100" s="273"/>
      <c r="K12100" s="393"/>
      <c r="L12100" s="273"/>
      <c r="M12100" s="394" t="str">
        <f t="shared" si="1598"/>
        <v/>
      </c>
      <c r="N12100" s="273"/>
    </row>
    <row r="12101" spans="1:14" ht="12.75" customHeight="1" x14ac:dyDescent="0.25">
      <c r="A12101" s="309"/>
      <c r="B12101" s="271"/>
      <c r="C12101" s="271"/>
      <c r="D12101" s="271"/>
      <c r="E12101" s="271"/>
      <c r="F12101" s="271"/>
      <c r="G12101" s="273"/>
      <c r="H12101" s="29" t="str">
        <f t="shared" si="1596"/>
        <v/>
      </c>
      <c r="I12101" s="394" t="str">
        <f t="shared" si="1597"/>
        <v/>
      </c>
      <c r="J12101" s="273"/>
      <c r="K12101" s="393"/>
      <c r="L12101" s="273"/>
      <c r="M12101" s="394" t="str">
        <f t="shared" si="1598"/>
        <v/>
      </c>
      <c r="N12101" s="273"/>
    </row>
    <row r="12102" spans="1:14" ht="12.75" customHeight="1" x14ac:dyDescent="0.25">
      <c r="A12102" s="309"/>
      <c r="B12102" s="271"/>
      <c r="C12102" s="271"/>
      <c r="D12102" s="271"/>
      <c r="E12102" s="271"/>
      <c r="F12102" s="271"/>
      <c r="G12102" s="273"/>
      <c r="H12102" s="29" t="str">
        <f t="shared" si="1596"/>
        <v/>
      </c>
      <c r="I12102" s="394" t="str">
        <f t="shared" si="1597"/>
        <v/>
      </c>
      <c r="J12102" s="273"/>
      <c r="K12102" s="393"/>
      <c r="L12102" s="273"/>
      <c r="M12102" s="394" t="str">
        <f t="shared" si="1598"/>
        <v/>
      </c>
      <c r="N12102" s="273"/>
    </row>
    <row r="12103" spans="1:14" ht="12.75" customHeight="1" x14ac:dyDescent="0.25">
      <c r="A12103" s="309"/>
      <c r="B12103" s="271"/>
      <c r="C12103" s="271"/>
      <c r="D12103" s="271"/>
      <c r="E12103" s="271"/>
      <c r="F12103" s="271"/>
      <c r="G12103" s="273"/>
      <c r="H12103" s="29" t="str">
        <f t="shared" si="1596"/>
        <v/>
      </c>
      <c r="I12103" s="394" t="str">
        <f t="shared" si="1597"/>
        <v/>
      </c>
      <c r="J12103" s="273"/>
      <c r="K12103" s="393"/>
      <c r="L12103" s="273"/>
      <c r="M12103" s="394" t="str">
        <f t="shared" si="1598"/>
        <v/>
      </c>
      <c r="N12103" s="273"/>
    </row>
    <row r="12104" spans="1:14" ht="12.75" customHeight="1" x14ac:dyDescent="0.25">
      <c r="A12104" s="309"/>
      <c r="B12104" s="271"/>
      <c r="C12104" s="271"/>
      <c r="D12104" s="271"/>
      <c r="E12104" s="271"/>
      <c r="F12104" s="271"/>
      <c r="G12104" s="273"/>
      <c r="H12104" s="29" t="str">
        <f t="shared" si="1596"/>
        <v/>
      </c>
      <c r="I12104" s="394" t="str">
        <f t="shared" si="1597"/>
        <v/>
      </c>
      <c r="J12104" s="273"/>
      <c r="K12104" s="393"/>
      <c r="L12104" s="273"/>
      <c r="M12104" s="394" t="str">
        <f t="shared" si="1598"/>
        <v/>
      </c>
      <c r="N12104" s="273"/>
    </row>
    <row r="12105" spans="1:14" ht="12.75" customHeight="1" x14ac:dyDescent="0.25">
      <c r="A12105" s="309"/>
      <c r="B12105" s="271"/>
      <c r="C12105" s="271"/>
      <c r="D12105" s="271"/>
      <c r="E12105" s="271"/>
      <c r="F12105" s="271"/>
      <c r="G12105" s="273"/>
      <c r="H12105" s="29" t="str">
        <f t="shared" si="1596"/>
        <v/>
      </c>
      <c r="I12105" s="394" t="str">
        <f t="shared" si="1597"/>
        <v/>
      </c>
      <c r="J12105" s="273"/>
      <c r="K12105" s="393"/>
      <c r="L12105" s="273"/>
      <c r="M12105" s="394" t="str">
        <f t="shared" si="1598"/>
        <v/>
      </c>
      <c r="N12105" s="273"/>
    </row>
    <row r="12106" spans="1:14" ht="12.75" customHeight="1" x14ac:dyDescent="0.25">
      <c r="A12106" s="309"/>
      <c r="B12106" s="271"/>
      <c r="C12106" s="271"/>
      <c r="D12106" s="271"/>
      <c r="E12106" s="271"/>
      <c r="F12106" s="271"/>
      <c r="G12106" s="273"/>
      <c r="H12106" s="29" t="str">
        <f t="shared" si="1596"/>
        <v/>
      </c>
      <c r="I12106" s="394" t="str">
        <f t="shared" si="1597"/>
        <v/>
      </c>
      <c r="J12106" s="273"/>
      <c r="K12106" s="393"/>
      <c r="L12106" s="273"/>
      <c r="M12106" s="394" t="str">
        <f t="shared" si="1598"/>
        <v/>
      </c>
      <c r="N12106" s="273"/>
    </row>
    <row r="12107" spans="1:14" ht="12.75" customHeight="1" x14ac:dyDescent="0.25">
      <c r="A12107" s="426"/>
      <c r="B12107" s="271"/>
      <c r="C12107" s="271"/>
      <c r="D12107" s="271"/>
      <c r="E12107" s="271"/>
      <c r="F12107" s="271"/>
      <c r="G12107" s="273"/>
      <c r="H12107" s="29" t="str">
        <f t="shared" si="1596"/>
        <v/>
      </c>
      <c r="I12107" s="394" t="str">
        <f t="shared" si="1597"/>
        <v/>
      </c>
      <c r="J12107" s="273"/>
      <c r="K12107" s="393"/>
      <c r="L12107" s="273"/>
      <c r="M12107" s="394" t="str">
        <f t="shared" si="1598"/>
        <v/>
      </c>
      <c r="N12107" s="273"/>
    </row>
    <row r="12108" spans="1:14" ht="12.75" customHeight="1" x14ac:dyDescent="0.25">
      <c r="A12108" s="426"/>
      <c r="B12108" s="271"/>
      <c r="C12108" s="271"/>
      <c r="D12108" s="271"/>
      <c r="E12108" s="271"/>
      <c r="F12108" s="271"/>
      <c r="G12108" s="273"/>
      <c r="H12108" s="29" t="str">
        <f t="shared" si="1596"/>
        <v/>
      </c>
      <c r="I12108" s="394" t="str">
        <f t="shared" si="1597"/>
        <v/>
      </c>
      <c r="J12108" s="273"/>
      <c r="K12108" s="393"/>
      <c r="L12108" s="273"/>
      <c r="M12108" s="394" t="str">
        <f t="shared" si="1598"/>
        <v/>
      </c>
      <c r="N12108" s="273"/>
    </row>
    <row r="12109" spans="1:14" ht="12.75" customHeight="1" x14ac:dyDescent="0.25">
      <c r="A12109" s="426"/>
      <c r="B12109" s="271"/>
      <c r="C12109" s="271"/>
      <c r="D12109" s="271"/>
      <c r="E12109" s="271"/>
      <c r="F12109" s="271"/>
      <c r="G12109" s="273"/>
      <c r="H12109" s="29" t="str">
        <f t="shared" si="1596"/>
        <v/>
      </c>
      <c r="I12109" s="394" t="str">
        <f t="shared" si="1597"/>
        <v/>
      </c>
      <c r="J12109" s="273"/>
      <c r="K12109" s="393"/>
      <c r="L12109" s="273"/>
      <c r="M12109" s="394" t="str">
        <f t="shared" si="1598"/>
        <v/>
      </c>
      <c r="N12109" s="273"/>
    </row>
    <row r="12110" spans="1:14" ht="12.75" customHeight="1" x14ac:dyDescent="0.25">
      <c r="A12110" s="426"/>
      <c r="B12110" s="271"/>
      <c r="C12110" s="271"/>
      <c r="D12110" s="271"/>
      <c r="E12110" s="271"/>
      <c r="F12110" s="271"/>
      <c r="G12110" s="273"/>
      <c r="H12110" s="29" t="str">
        <f t="shared" si="1596"/>
        <v/>
      </c>
      <c r="I12110" s="394" t="str">
        <f t="shared" si="1597"/>
        <v/>
      </c>
      <c r="J12110" s="273"/>
      <c r="K12110" s="393"/>
      <c r="L12110" s="273"/>
      <c r="M12110" s="394" t="str">
        <f t="shared" si="1598"/>
        <v/>
      </c>
      <c r="N12110" s="273"/>
    </row>
    <row r="12111" spans="1:14" ht="12.75" customHeight="1" x14ac:dyDescent="0.25">
      <c r="A12111" s="426"/>
      <c r="B12111" s="271"/>
      <c r="C12111" s="271"/>
      <c r="D12111" s="271"/>
      <c r="E12111" s="271"/>
      <c r="F12111" s="271"/>
      <c r="G12111" s="273"/>
      <c r="H12111" s="29" t="str">
        <f t="shared" si="1596"/>
        <v/>
      </c>
      <c r="I12111" s="394" t="str">
        <f t="shared" si="1597"/>
        <v/>
      </c>
      <c r="J12111" s="273"/>
      <c r="K12111" s="393"/>
      <c r="L12111" s="273"/>
      <c r="M12111" s="394" t="str">
        <f t="shared" si="1598"/>
        <v/>
      </c>
      <c r="N12111" s="273"/>
    </row>
    <row r="12112" spans="1:14" ht="12.75" customHeight="1" x14ac:dyDescent="0.25">
      <c r="A12112" s="4"/>
      <c r="B12112" s="4"/>
      <c r="C12112" s="4"/>
      <c r="D12112" s="4"/>
      <c r="E12112" s="4"/>
      <c r="F12112" s="4"/>
      <c r="G12112" s="4"/>
      <c r="H12112" s="4"/>
      <c r="I12112" s="4"/>
      <c r="J12112" s="4"/>
      <c r="K12112" s="396" t="s">
        <v>444</v>
      </c>
      <c r="L12112" s="273"/>
      <c r="M12112" s="394">
        <f>SUM(M12096:N12111)</f>
        <v>149165.51999999999</v>
      </c>
      <c r="N12112" s="273"/>
    </row>
    <row r="12113" spans="1:14" ht="12.75" customHeight="1" x14ac:dyDescent="0.25">
      <c r="A12113" s="4"/>
      <c r="B12113" s="4"/>
      <c r="C12113" s="4"/>
      <c r="D12113" s="4"/>
      <c r="E12113" s="4"/>
      <c r="F12113" s="4"/>
      <c r="G12113" s="4"/>
      <c r="H12113" s="4"/>
      <c r="I12113" s="4"/>
      <c r="J12113" s="4"/>
      <c r="K12113" s="4"/>
      <c r="L12113" s="4"/>
      <c r="M12113" s="4"/>
      <c r="N12113" s="4"/>
    </row>
    <row r="12114" spans="1:14" ht="12.75" customHeight="1" x14ac:dyDescent="0.2">
      <c r="A12114" s="398" t="s">
        <v>926</v>
      </c>
      <c r="B12114" s="271"/>
      <c r="C12114" s="271"/>
      <c r="D12114" s="271"/>
      <c r="E12114" s="271"/>
      <c r="F12114" s="271"/>
      <c r="G12114" s="271"/>
      <c r="H12114" s="271"/>
      <c r="I12114" s="271"/>
      <c r="J12114" s="271"/>
      <c r="K12114" s="271"/>
      <c r="L12114" s="271"/>
      <c r="M12114" s="271"/>
      <c r="N12114" s="273"/>
    </row>
    <row r="12115" spans="1:14" ht="12.75" customHeight="1" x14ac:dyDescent="0.2">
      <c r="A12115" s="396" t="s">
        <v>76</v>
      </c>
      <c r="B12115" s="271"/>
      <c r="C12115" s="271"/>
      <c r="D12115" s="271"/>
      <c r="E12115" s="271"/>
      <c r="F12115" s="271"/>
      <c r="G12115" s="273"/>
      <c r="H12115" s="88" t="s">
        <v>77</v>
      </c>
      <c r="I12115" s="399" t="s">
        <v>920</v>
      </c>
      <c r="J12115" s="273"/>
      <c r="K12115" s="399" t="s">
        <v>453</v>
      </c>
      <c r="L12115" s="273"/>
      <c r="M12115" s="399" t="s">
        <v>921</v>
      </c>
      <c r="N12115" s="273"/>
    </row>
    <row r="12116" spans="1:14" ht="12.75" customHeight="1" x14ac:dyDescent="0.2">
      <c r="A12116" s="400" t="s">
        <v>927</v>
      </c>
      <c r="B12116" s="271"/>
      <c r="C12116" s="271"/>
      <c r="D12116" s="271"/>
      <c r="E12116" s="271"/>
      <c r="F12116" s="271"/>
      <c r="G12116" s="273"/>
      <c r="H12116" s="29" t="str">
        <f>IF(A12116="","",VLOOKUP(A12116,AA_Equipos,7,FALSE))</f>
        <v>% M.O.</v>
      </c>
      <c r="I12116" s="394">
        <f>+M12139</f>
        <v>49820</v>
      </c>
      <c r="J12116" s="273"/>
      <c r="K12116" s="404">
        <v>0.05</v>
      </c>
      <c r="L12116" s="273"/>
      <c r="M12116" s="394">
        <f t="shared" ref="M12116:M12120" si="1599">IF(A12116="","",I12116*K12116)</f>
        <v>2491</v>
      </c>
      <c r="N12116" s="273"/>
    </row>
    <row r="12117" spans="1:14" ht="12.75" customHeight="1" x14ac:dyDescent="0.2">
      <c r="A12117" s="403"/>
      <c r="B12117" s="271"/>
      <c r="C12117" s="271"/>
      <c r="D12117" s="271"/>
      <c r="E12117" s="271"/>
      <c r="F12117" s="271"/>
      <c r="G12117" s="273"/>
      <c r="H12117" s="29" t="str">
        <f>IF(A12117="","",VLOOKUP(A12117,AA_Equipos,7,FALSE))</f>
        <v/>
      </c>
      <c r="I12117" s="394" t="str">
        <f>IF(A12117="","",VLOOKUP(A12117,AA_Equipos,8,FALSE))</f>
        <v/>
      </c>
      <c r="J12117" s="273"/>
      <c r="K12117" s="402"/>
      <c r="L12117" s="273"/>
      <c r="M12117" s="394" t="str">
        <f t="shared" si="1599"/>
        <v/>
      </c>
      <c r="N12117" s="273"/>
    </row>
    <row r="12118" spans="1:14" ht="12.75" customHeight="1" x14ac:dyDescent="0.2">
      <c r="A12118" s="400"/>
      <c r="B12118" s="271"/>
      <c r="C12118" s="271"/>
      <c r="D12118" s="271"/>
      <c r="E12118" s="271"/>
      <c r="F12118" s="271"/>
      <c r="G12118" s="273"/>
      <c r="H12118" s="29" t="str">
        <f>IF(A12118="","",VLOOKUP(A12118,AA_Equipos,7,FALSE))</f>
        <v/>
      </c>
      <c r="I12118" s="394" t="str">
        <f>IF(A12118="","",VLOOKUP(A12118,AA_Equipos,8,FALSE))</f>
        <v/>
      </c>
      <c r="J12118" s="273"/>
      <c r="K12118" s="401"/>
      <c r="L12118" s="273"/>
      <c r="M12118" s="394" t="str">
        <f t="shared" si="1599"/>
        <v/>
      </c>
      <c r="N12118" s="273"/>
    </row>
    <row r="12119" spans="1:14" ht="12.75" customHeight="1" x14ac:dyDescent="0.2">
      <c r="A12119" s="400"/>
      <c r="B12119" s="271"/>
      <c r="C12119" s="271"/>
      <c r="D12119" s="271"/>
      <c r="E12119" s="271"/>
      <c r="F12119" s="271"/>
      <c r="G12119" s="273"/>
      <c r="H12119" s="29" t="str">
        <f>IF(A12119="","",VLOOKUP(A12119,AA_Equipos,7,FALSE))</f>
        <v/>
      </c>
      <c r="I12119" s="394" t="str">
        <f>IF(A12119="","",VLOOKUP(A12119,AA_Equipos,8,FALSE))</f>
        <v/>
      </c>
      <c r="J12119" s="273"/>
      <c r="K12119" s="395"/>
      <c r="L12119" s="273"/>
      <c r="M12119" s="394" t="str">
        <f t="shared" si="1599"/>
        <v/>
      </c>
      <c r="N12119" s="273"/>
    </row>
    <row r="12120" spans="1:14" ht="12.75" customHeight="1" x14ac:dyDescent="0.2">
      <c r="A12120" s="400"/>
      <c r="B12120" s="271"/>
      <c r="C12120" s="271"/>
      <c r="D12120" s="271"/>
      <c r="E12120" s="271"/>
      <c r="F12120" s="271"/>
      <c r="G12120" s="273"/>
      <c r="H12120" s="29" t="str">
        <f>IF(A12120="","",VLOOKUP(A12120,AA_Equipos,7,FALSE))</f>
        <v/>
      </c>
      <c r="I12120" s="394" t="str">
        <f>IF(A12120="","",VLOOKUP(A12120,AA_Equipos,8,FALSE))</f>
        <v/>
      </c>
      <c r="J12120" s="273"/>
      <c r="K12120" s="395"/>
      <c r="L12120" s="273"/>
      <c r="M12120" s="394" t="str">
        <f t="shared" si="1599"/>
        <v/>
      </c>
      <c r="N12120" s="273"/>
    </row>
    <row r="12121" spans="1:14" ht="12.75" customHeight="1" x14ac:dyDescent="0.25">
      <c r="A12121" s="4"/>
      <c r="B12121" s="4"/>
      <c r="C12121" s="4"/>
      <c r="D12121" s="4"/>
      <c r="E12121" s="4"/>
      <c r="F12121" s="4"/>
      <c r="G12121" s="4"/>
      <c r="H12121" s="4"/>
      <c r="I12121" s="4"/>
      <c r="J12121" s="4"/>
      <c r="K12121" s="396" t="s">
        <v>444</v>
      </c>
      <c r="L12121" s="273"/>
      <c r="M12121" s="394">
        <f>SUM(M12116:N12120)</f>
        <v>2491</v>
      </c>
      <c r="N12121" s="273"/>
    </row>
    <row r="12122" spans="1:14" ht="12.75" customHeight="1" x14ac:dyDescent="0.25">
      <c r="A12122" s="4"/>
      <c r="B12122" s="4"/>
      <c r="C12122" s="4"/>
      <c r="D12122" s="4"/>
      <c r="E12122" s="4"/>
      <c r="F12122" s="4"/>
      <c r="G12122" s="4"/>
      <c r="H12122" s="4"/>
      <c r="I12122" s="4"/>
      <c r="J12122" s="4"/>
      <c r="K12122" s="4"/>
      <c r="L12122" s="4"/>
      <c r="M12122" s="4"/>
      <c r="N12122" s="4"/>
    </row>
    <row r="12123" spans="1:14" ht="12.75" customHeight="1" x14ac:dyDescent="0.2">
      <c r="A12123" s="398" t="s">
        <v>929</v>
      </c>
      <c r="B12123" s="271"/>
      <c r="C12123" s="271"/>
      <c r="D12123" s="271"/>
      <c r="E12123" s="271"/>
      <c r="F12123" s="271"/>
      <c r="G12123" s="271"/>
      <c r="H12123" s="271"/>
      <c r="I12123" s="271"/>
      <c r="J12123" s="271"/>
      <c r="K12123" s="271"/>
      <c r="L12123" s="271"/>
      <c r="M12123" s="271"/>
      <c r="N12123" s="273"/>
    </row>
    <row r="12124" spans="1:14" ht="12.75" customHeight="1" x14ac:dyDescent="0.2">
      <c r="A12124" s="396" t="s">
        <v>76</v>
      </c>
      <c r="B12124" s="271"/>
      <c r="C12124" s="271"/>
      <c r="D12124" s="271"/>
      <c r="E12124" s="271"/>
      <c r="F12124" s="271"/>
      <c r="G12124" s="273"/>
      <c r="H12124" s="88" t="s">
        <v>77</v>
      </c>
      <c r="I12124" s="399" t="s">
        <v>920</v>
      </c>
      <c r="J12124" s="273"/>
      <c r="K12124" s="399" t="s">
        <v>453</v>
      </c>
      <c r="L12124" s="273"/>
      <c r="M12124" s="399" t="s">
        <v>921</v>
      </c>
      <c r="N12124" s="273"/>
    </row>
    <row r="12125" spans="1:14" ht="12.75" customHeight="1" x14ac:dyDescent="0.2">
      <c r="A12125" s="400" t="s">
        <v>1559</v>
      </c>
      <c r="B12125" s="271"/>
      <c r="C12125" s="271"/>
      <c r="D12125" s="271"/>
      <c r="E12125" s="271"/>
      <c r="F12125" s="271"/>
      <c r="G12125" s="273"/>
      <c r="H12125" s="29" t="str">
        <f>IF(A12125="","",VLOOKUP(A12125,AA_Equipos,7,FALSE))</f>
        <v>Día</v>
      </c>
      <c r="I12125" s="394">
        <f>IF(A12125="","",VLOOKUP(A12125,AA_Equipos,8,FALSE))</f>
        <v>74400</v>
      </c>
      <c r="J12125" s="273"/>
      <c r="K12125" s="408">
        <v>0.1</v>
      </c>
      <c r="L12125" s="273"/>
      <c r="M12125" s="394">
        <f t="shared" ref="M12125:M12129" si="1600">IF(A12125="","",I12125*K12125)</f>
        <v>7440</v>
      </c>
      <c r="N12125" s="273"/>
    </row>
    <row r="12126" spans="1:14" ht="12.75" customHeight="1" x14ac:dyDescent="0.2">
      <c r="A12126" s="403" t="s">
        <v>930</v>
      </c>
      <c r="B12126" s="271"/>
      <c r="C12126" s="271"/>
      <c r="D12126" s="271"/>
      <c r="E12126" s="271"/>
      <c r="F12126" s="271"/>
      <c r="G12126" s="273"/>
      <c r="H12126" s="29" t="s">
        <v>24</v>
      </c>
      <c r="I12126" s="394">
        <f>+M12112+M12121</f>
        <v>151656.51999999999</v>
      </c>
      <c r="J12126" s="273"/>
      <c r="K12126" s="404">
        <v>0.05</v>
      </c>
      <c r="L12126" s="273"/>
      <c r="M12126" s="394">
        <f t="shared" si="1600"/>
        <v>7582.826</v>
      </c>
      <c r="N12126" s="273"/>
    </row>
    <row r="12127" spans="1:14" ht="12.75" customHeight="1" x14ac:dyDescent="0.2">
      <c r="A12127" s="400"/>
      <c r="B12127" s="271"/>
      <c r="C12127" s="271"/>
      <c r="D12127" s="271"/>
      <c r="E12127" s="271"/>
      <c r="F12127" s="271"/>
      <c r="G12127" s="273"/>
      <c r="H12127" s="29"/>
      <c r="I12127" s="394"/>
      <c r="J12127" s="273"/>
      <c r="K12127" s="395"/>
      <c r="L12127" s="273"/>
      <c r="M12127" s="394" t="str">
        <f t="shared" si="1600"/>
        <v/>
      </c>
      <c r="N12127" s="273"/>
    </row>
    <row r="12128" spans="1:14" ht="12.75" customHeight="1" x14ac:dyDescent="0.2">
      <c r="A12128" s="400"/>
      <c r="B12128" s="271"/>
      <c r="C12128" s="271"/>
      <c r="D12128" s="271"/>
      <c r="E12128" s="271"/>
      <c r="F12128" s="271"/>
      <c r="G12128" s="273"/>
      <c r="H12128" s="29"/>
      <c r="I12128" s="394"/>
      <c r="J12128" s="273"/>
      <c r="K12128" s="395"/>
      <c r="L12128" s="273"/>
      <c r="M12128" s="394" t="str">
        <f t="shared" si="1600"/>
        <v/>
      </c>
      <c r="N12128" s="273"/>
    </row>
    <row r="12129" spans="1:14" ht="12.75" customHeight="1" x14ac:dyDescent="0.2">
      <c r="A12129" s="400"/>
      <c r="B12129" s="271"/>
      <c r="C12129" s="271"/>
      <c r="D12129" s="271"/>
      <c r="E12129" s="271"/>
      <c r="F12129" s="271"/>
      <c r="G12129" s="273"/>
      <c r="H12129" s="29"/>
      <c r="I12129" s="394"/>
      <c r="J12129" s="273"/>
      <c r="K12129" s="395"/>
      <c r="L12129" s="273"/>
      <c r="M12129" s="394" t="str">
        <f t="shared" si="1600"/>
        <v/>
      </c>
      <c r="N12129" s="273"/>
    </row>
    <row r="12130" spans="1:14" ht="12.75" customHeight="1" x14ac:dyDescent="0.25">
      <c r="A12130" s="4"/>
      <c r="B12130" s="4"/>
      <c r="C12130" s="4"/>
      <c r="D12130" s="4"/>
      <c r="E12130" s="4"/>
      <c r="F12130" s="4"/>
      <c r="G12130" s="4"/>
      <c r="H12130" s="4"/>
      <c r="I12130" s="4"/>
      <c r="J12130" s="4"/>
      <c r="K12130" s="396" t="s">
        <v>444</v>
      </c>
      <c r="L12130" s="273"/>
      <c r="M12130" s="394">
        <f>SUM(M12125:N12129)</f>
        <v>15022.826000000001</v>
      </c>
      <c r="N12130" s="273"/>
    </row>
    <row r="12131" spans="1:14" ht="12.75" customHeight="1" x14ac:dyDescent="0.25">
      <c r="A12131" s="4"/>
      <c r="B12131" s="4"/>
      <c r="C12131" s="4"/>
      <c r="D12131" s="4"/>
      <c r="E12131" s="4"/>
      <c r="F12131" s="4"/>
      <c r="G12131" s="4"/>
      <c r="H12131" s="4"/>
      <c r="I12131" s="4"/>
      <c r="J12131" s="4"/>
      <c r="K12131" s="4"/>
      <c r="L12131" s="4"/>
      <c r="M12131" s="4"/>
      <c r="N12131" s="4"/>
    </row>
    <row r="12132" spans="1:14" ht="12.75" customHeight="1" x14ac:dyDescent="0.2">
      <c r="A12132" s="398" t="s">
        <v>931</v>
      </c>
      <c r="B12132" s="271"/>
      <c r="C12132" s="271"/>
      <c r="D12132" s="271"/>
      <c r="E12132" s="271"/>
      <c r="F12132" s="271"/>
      <c r="G12132" s="271"/>
      <c r="H12132" s="271"/>
      <c r="I12132" s="271"/>
      <c r="J12132" s="271"/>
      <c r="K12132" s="271"/>
      <c r="L12132" s="271"/>
      <c r="M12132" s="271"/>
      <c r="N12132" s="273"/>
    </row>
    <row r="12133" spans="1:14" ht="12.75" customHeight="1" x14ac:dyDescent="0.2">
      <c r="A12133" s="396" t="s">
        <v>76</v>
      </c>
      <c r="B12133" s="271"/>
      <c r="C12133" s="271"/>
      <c r="D12133" s="271"/>
      <c r="E12133" s="271"/>
      <c r="F12133" s="271"/>
      <c r="G12133" s="273"/>
      <c r="H12133" s="88" t="s">
        <v>77</v>
      </c>
      <c r="I12133" s="399" t="s">
        <v>920</v>
      </c>
      <c r="J12133" s="273"/>
      <c r="K12133" s="90" t="s">
        <v>514</v>
      </c>
      <c r="L12133" s="91" t="s">
        <v>932</v>
      </c>
      <c r="M12133" s="399" t="s">
        <v>921</v>
      </c>
      <c r="N12133" s="273"/>
    </row>
    <row r="12134" spans="1:14" ht="12.75" customHeight="1" x14ac:dyDescent="0.25">
      <c r="A12134" s="393" t="s">
        <v>1301</v>
      </c>
      <c r="B12134" s="271"/>
      <c r="C12134" s="271"/>
      <c r="D12134" s="271"/>
      <c r="E12134" s="271"/>
      <c r="F12134" s="271"/>
      <c r="G12134" s="273"/>
      <c r="H12134" s="29" t="str">
        <f>IF(A12134="","",VLOOKUP(A12134,AA_Cuadrillas,4,FALSE))</f>
        <v>Cuadrilla</v>
      </c>
      <c r="I12134" s="394">
        <f>IF(A12134="","",VLOOKUP(A12134,AA_Cuadrillas,5,FALSE))</f>
        <v>132500</v>
      </c>
      <c r="J12134" s="273"/>
      <c r="K12134" s="9">
        <f>IF(A12134="","",F.P!$I$2)</f>
        <v>1.88</v>
      </c>
      <c r="L12134" s="97">
        <v>0.2</v>
      </c>
      <c r="M12134" s="394">
        <f t="shared" ref="M12134:M12138" si="1601">IF(A12134="","",I12134*K12134*L12134)</f>
        <v>49820</v>
      </c>
      <c r="N12134" s="273"/>
    </row>
    <row r="12135" spans="1:14" ht="12.75" customHeight="1" x14ac:dyDescent="0.25">
      <c r="A12135" s="393"/>
      <c r="B12135" s="271"/>
      <c r="C12135" s="271"/>
      <c r="D12135" s="271"/>
      <c r="E12135" s="271"/>
      <c r="F12135" s="271"/>
      <c r="G12135" s="273"/>
      <c r="H12135" s="29" t="str">
        <f>IF(A12135="","",VLOOKUP(A12135,AA_Cuadrillas,4,FALSE))</f>
        <v/>
      </c>
      <c r="I12135" s="394" t="str">
        <f>IF(A12135="","",VLOOKUP(A12135,AA_Cuadrillas,5,FALSE))</f>
        <v/>
      </c>
      <c r="J12135" s="273"/>
      <c r="K12135" s="9" t="str">
        <f>IF(A12135="","",F.P!$I$2)</f>
        <v/>
      </c>
      <c r="L12135" s="9"/>
      <c r="M12135" s="394" t="str">
        <f t="shared" si="1601"/>
        <v/>
      </c>
      <c r="N12135" s="273"/>
    </row>
    <row r="12136" spans="1:14" ht="12.75" customHeight="1" x14ac:dyDescent="0.25">
      <c r="A12136" s="393"/>
      <c r="B12136" s="271"/>
      <c r="C12136" s="271"/>
      <c r="D12136" s="271"/>
      <c r="E12136" s="271"/>
      <c r="F12136" s="271"/>
      <c r="G12136" s="273"/>
      <c r="H12136" s="29" t="str">
        <f>IF(A12136="","",VLOOKUP(A12136,AA_Cuadrillas,4,FALSE))</f>
        <v/>
      </c>
      <c r="I12136" s="394" t="str">
        <f>IF(A12136="","",VLOOKUP(A12136,AA_Cuadrillas,5,FALSE))</f>
        <v/>
      </c>
      <c r="J12136" s="273"/>
      <c r="K12136" s="9" t="str">
        <f>IF(A12136="","",F.P!$I$2)</f>
        <v/>
      </c>
      <c r="L12136" s="37"/>
      <c r="M12136" s="394" t="str">
        <f t="shared" si="1601"/>
        <v/>
      </c>
      <c r="N12136" s="273"/>
    </row>
    <row r="12137" spans="1:14" ht="12.75" customHeight="1" x14ac:dyDescent="0.25">
      <c r="A12137" s="393"/>
      <c r="B12137" s="271"/>
      <c r="C12137" s="271"/>
      <c r="D12137" s="271"/>
      <c r="E12137" s="271"/>
      <c r="F12137" s="271"/>
      <c r="G12137" s="273"/>
      <c r="H12137" s="29" t="str">
        <f>IF(A12137="","",VLOOKUP(A12137,AA_Cuadrillas,4,FALSE))</f>
        <v/>
      </c>
      <c r="I12137" s="394" t="str">
        <f>IF(A12137="","",VLOOKUP(A12137,AA_Cuadrillas,5,FALSE))</f>
        <v/>
      </c>
      <c r="J12137" s="273"/>
      <c r="K12137" s="9" t="str">
        <f>IF(A12137="","",F.P!$I$2)</f>
        <v/>
      </c>
      <c r="L12137" s="97"/>
      <c r="M12137" s="394" t="str">
        <f t="shared" si="1601"/>
        <v/>
      </c>
      <c r="N12137" s="273"/>
    </row>
    <row r="12138" spans="1:14" ht="12.75" customHeight="1" x14ac:dyDescent="0.25">
      <c r="A12138" s="393"/>
      <c r="B12138" s="271"/>
      <c r="C12138" s="271"/>
      <c r="D12138" s="271"/>
      <c r="E12138" s="271"/>
      <c r="F12138" s="271"/>
      <c r="G12138" s="273"/>
      <c r="H12138" s="29" t="str">
        <f>IF(A12138="","",VLOOKUP(A12138,AA_Cuadrillas,4,FALSE))</f>
        <v/>
      </c>
      <c r="I12138" s="394" t="str">
        <f>IF(A12138="","",VLOOKUP(A12138,AA_Cuadrillas,5,FALSE))</f>
        <v/>
      </c>
      <c r="J12138" s="273"/>
      <c r="K12138" s="9" t="str">
        <f>IF(A12138="","",F.P!$I$2)</f>
        <v/>
      </c>
      <c r="L12138" s="37"/>
      <c r="M12138" s="394" t="str">
        <f t="shared" si="1601"/>
        <v/>
      </c>
      <c r="N12138" s="273"/>
    </row>
    <row r="12139" spans="1:14" ht="12.75" customHeight="1" x14ac:dyDescent="0.25">
      <c r="A12139" s="4"/>
      <c r="B12139" s="4"/>
      <c r="C12139" s="4"/>
      <c r="D12139" s="4"/>
      <c r="E12139" s="4"/>
      <c r="F12139" s="4"/>
      <c r="G12139" s="4"/>
      <c r="H12139" s="4"/>
      <c r="I12139" s="4"/>
      <c r="J12139" s="4"/>
      <c r="K12139" s="396" t="s">
        <v>444</v>
      </c>
      <c r="L12139" s="273"/>
      <c r="M12139" s="394">
        <f>SUM(M12134:N12138)</f>
        <v>49820</v>
      </c>
      <c r="N12139" s="273"/>
    </row>
    <row r="12140" spans="1:14" ht="12.75" customHeight="1" x14ac:dyDescent="0.2"/>
    <row r="12141" spans="1:14" ht="12.75" customHeight="1" x14ac:dyDescent="0.2">
      <c r="A12141" s="397" t="s">
        <v>395</v>
      </c>
      <c r="B12141" s="275"/>
      <c r="C12141" s="275"/>
      <c r="D12141" s="275"/>
      <c r="E12141" s="275"/>
      <c r="F12141" s="275"/>
      <c r="G12141" s="275"/>
      <c r="H12141" s="275"/>
      <c r="I12141" s="275"/>
      <c r="J12141" s="275"/>
      <c r="K12141" s="275"/>
      <c r="L12141" s="275"/>
      <c r="M12141" s="275"/>
      <c r="N12141" s="276"/>
    </row>
    <row r="12142" spans="1:14" ht="12.75" customHeight="1" x14ac:dyDescent="0.2">
      <c r="A12142" s="277"/>
      <c r="B12142" s="278"/>
      <c r="C12142" s="278"/>
      <c r="D12142" s="278"/>
      <c r="E12142" s="278"/>
      <c r="F12142" s="278"/>
      <c r="G12142" s="278"/>
      <c r="H12142" s="278"/>
      <c r="I12142" s="278"/>
      <c r="J12142" s="278"/>
      <c r="K12142" s="278"/>
      <c r="L12142" s="278"/>
      <c r="M12142" s="278"/>
      <c r="N12142" s="279"/>
    </row>
    <row r="12143" spans="1:14" ht="12.75" customHeight="1" x14ac:dyDescent="0.2">
      <c r="A12143" s="75"/>
      <c r="B12143" s="75"/>
      <c r="C12143" s="75"/>
      <c r="D12143" s="75"/>
      <c r="E12143" s="75"/>
      <c r="F12143" s="75"/>
      <c r="G12143" s="75"/>
      <c r="H12143" s="75"/>
      <c r="I12143" s="75"/>
      <c r="J12143" s="75"/>
      <c r="K12143" s="75"/>
      <c r="L12143" s="75"/>
      <c r="M12143" s="75"/>
      <c r="N12143" s="75"/>
    </row>
    <row r="12144" spans="1:14" ht="12.75" customHeight="1" x14ac:dyDescent="0.3">
      <c r="A12144" s="79" t="s">
        <v>881</v>
      </c>
      <c r="B12144" s="80" t="str">
        <f>A12141</f>
        <v>SUMINISTRO E INSTALACIÓN DE REFLECTOR LED AUTÓNOMO CON PANEL SAOLAR Y BATERÍA DE 12 H DE AUTONOMÍA &gt;12000 CICLOS, INSTALADA EN POSTE DE MADERA DE 6 METROS</v>
      </c>
      <c r="C12144" s="81" t="s">
        <v>916</v>
      </c>
      <c r="D12144" s="82" t="s">
        <v>999</v>
      </c>
      <c r="E12144" s="83" t="s">
        <v>445</v>
      </c>
      <c r="F12144" s="86">
        <f>H12144+J12144+L12144+N12144</f>
        <v>1285122</v>
      </c>
      <c r="G12144" s="83" t="s">
        <v>607</v>
      </c>
      <c r="H12144" s="86">
        <f>M12164</f>
        <v>1106100</v>
      </c>
      <c r="I12144" s="83" t="s">
        <v>918</v>
      </c>
      <c r="J12144" s="86">
        <f>M12173</f>
        <v>4982</v>
      </c>
      <c r="K12144" s="83" t="s">
        <v>609</v>
      </c>
      <c r="L12144" s="86">
        <f>M12182</f>
        <v>74400</v>
      </c>
      <c r="M12144" s="83" t="s">
        <v>610</v>
      </c>
      <c r="N12144" s="86">
        <f>M12191</f>
        <v>99640</v>
      </c>
    </row>
    <row r="12145" spans="1:14" ht="12.75" customHeight="1" x14ac:dyDescent="0.25">
      <c r="A12145" s="87"/>
      <c r="B12145" s="87"/>
      <c r="C12145" s="87"/>
      <c r="D12145" s="87"/>
      <c r="E12145" s="87"/>
      <c r="F12145" s="87"/>
      <c r="G12145" s="87"/>
      <c r="H12145" s="12"/>
      <c r="I12145" s="12"/>
      <c r="J12145" s="87"/>
      <c r="K12145" s="215" t="s">
        <v>3217</v>
      </c>
      <c r="L12145" s="215">
        <f>+F12144*presup!$O$5</f>
        <v>1670658.6</v>
      </c>
      <c r="M12145" s="87"/>
      <c r="N12145" s="87"/>
    </row>
    <row r="12146" spans="1:14" ht="12.75" customHeight="1" x14ac:dyDescent="0.2">
      <c r="A12146" s="398" t="s">
        <v>919</v>
      </c>
      <c r="B12146" s="271"/>
      <c r="C12146" s="271"/>
      <c r="D12146" s="271"/>
      <c r="E12146" s="271"/>
      <c r="F12146" s="271"/>
      <c r="G12146" s="271"/>
      <c r="H12146" s="271"/>
      <c r="I12146" s="271"/>
      <c r="J12146" s="271"/>
      <c r="K12146" s="271"/>
      <c r="L12146" s="271"/>
      <c r="M12146" s="271"/>
      <c r="N12146" s="273"/>
    </row>
    <row r="12147" spans="1:14" ht="12.75" customHeight="1" x14ac:dyDescent="0.2">
      <c r="A12147" s="396" t="s">
        <v>76</v>
      </c>
      <c r="B12147" s="271"/>
      <c r="C12147" s="271"/>
      <c r="D12147" s="271"/>
      <c r="E12147" s="271"/>
      <c r="F12147" s="271"/>
      <c r="G12147" s="273"/>
      <c r="H12147" s="88" t="s">
        <v>77</v>
      </c>
      <c r="I12147" s="399" t="s">
        <v>920</v>
      </c>
      <c r="J12147" s="273"/>
      <c r="K12147" s="399" t="s">
        <v>453</v>
      </c>
      <c r="L12147" s="273"/>
      <c r="M12147" s="399" t="s">
        <v>921</v>
      </c>
      <c r="N12147" s="273"/>
    </row>
    <row r="12148" spans="1:14" ht="12.75" customHeight="1" x14ac:dyDescent="0.25">
      <c r="A12148" s="309" t="s">
        <v>1585</v>
      </c>
      <c r="B12148" s="271"/>
      <c r="C12148" s="271"/>
      <c r="D12148" s="271"/>
      <c r="E12148" s="271"/>
      <c r="F12148" s="271"/>
      <c r="G12148" s="273"/>
      <c r="H12148" s="29" t="str">
        <f t="shared" ref="H12148:H12163" si="1602">IF(A12148="","",VLOOKUP(A12148,AA_Materiales,7,FALSE))</f>
        <v>Unidad</v>
      </c>
      <c r="I12148" s="394">
        <f t="shared" ref="I12148:I12163" si="1603">IF(A12148="","",VLOOKUP(A12148,AA_Materiales,8,FALSE))</f>
        <v>673400</v>
      </c>
      <c r="J12148" s="273"/>
      <c r="K12148" s="393">
        <v>1</v>
      </c>
      <c r="L12148" s="273"/>
      <c r="M12148" s="394">
        <f t="shared" ref="M12148:M12163" si="1604">IF(A12148="","",I12148*K12148)</f>
        <v>673400</v>
      </c>
      <c r="N12148" s="273"/>
    </row>
    <row r="12149" spans="1:14" ht="12.75" customHeight="1" x14ac:dyDescent="0.25">
      <c r="A12149" s="309" t="s">
        <v>1586</v>
      </c>
      <c r="B12149" s="271"/>
      <c r="C12149" s="271"/>
      <c r="D12149" s="271"/>
      <c r="E12149" s="271"/>
      <c r="F12149" s="271"/>
      <c r="G12149" s="273"/>
      <c r="H12149" s="29" t="str">
        <f t="shared" si="1602"/>
        <v>Unidad</v>
      </c>
      <c r="I12149" s="394">
        <f t="shared" si="1603"/>
        <v>428400</v>
      </c>
      <c r="J12149" s="273"/>
      <c r="K12149" s="393">
        <v>1</v>
      </c>
      <c r="L12149" s="273"/>
      <c r="M12149" s="394">
        <f t="shared" si="1604"/>
        <v>428400</v>
      </c>
      <c r="N12149" s="273"/>
    </row>
    <row r="12150" spans="1:14" ht="12.75" customHeight="1" x14ac:dyDescent="0.25">
      <c r="A12150" s="309" t="s">
        <v>1587</v>
      </c>
      <c r="B12150" s="271"/>
      <c r="C12150" s="271"/>
      <c r="D12150" s="271"/>
      <c r="E12150" s="271"/>
      <c r="F12150" s="271"/>
      <c r="G12150" s="273"/>
      <c r="H12150" s="29" t="str">
        <f t="shared" si="1602"/>
        <v>Unidad</v>
      </c>
      <c r="I12150" s="394">
        <f t="shared" si="1603"/>
        <v>1750</v>
      </c>
      <c r="J12150" s="273"/>
      <c r="K12150" s="393">
        <v>2</v>
      </c>
      <c r="L12150" s="273"/>
      <c r="M12150" s="394">
        <f t="shared" si="1604"/>
        <v>3500</v>
      </c>
      <c r="N12150" s="273"/>
    </row>
    <row r="12151" spans="1:14" ht="12.75" customHeight="1" x14ac:dyDescent="0.25">
      <c r="A12151" s="309" t="s">
        <v>1588</v>
      </c>
      <c r="B12151" s="271"/>
      <c r="C12151" s="271"/>
      <c r="D12151" s="271"/>
      <c r="E12151" s="271"/>
      <c r="F12151" s="271"/>
      <c r="G12151" s="273"/>
      <c r="H12151" s="29" t="str">
        <f t="shared" si="1602"/>
        <v>Unidad</v>
      </c>
      <c r="I12151" s="394">
        <f t="shared" si="1603"/>
        <v>400</v>
      </c>
      <c r="J12151" s="273"/>
      <c r="K12151" s="393">
        <v>2</v>
      </c>
      <c r="L12151" s="273"/>
      <c r="M12151" s="394">
        <f t="shared" si="1604"/>
        <v>800</v>
      </c>
      <c r="N12151" s="273"/>
    </row>
    <row r="12152" spans="1:14" ht="12.75" customHeight="1" x14ac:dyDescent="0.25">
      <c r="A12152" s="309"/>
      <c r="B12152" s="271"/>
      <c r="C12152" s="271"/>
      <c r="D12152" s="271"/>
      <c r="E12152" s="271"/>
      <c r="F12152" s="271"/>
      <c r="G12152" s="273"/>
      <c r="H12152" s="29" t="str">
        <f t="shared" si="1602"/>
        <v/>
      </c>
      <c r="I12152" s="394" t="str">
        <f t="shared" si="1603"/>
        <v/>
      </c>
      <c r="J12152" s="273"/>
      <c r="K12152" s="393"/>
      <c r="L12152" s="273"/>
      <c r="M12152" s="394" t="str">
        <f t="shared" si="1604"/>
        <v/>
      </c>
      <c r="N12152" s="273"/>
    </row>
    <row r="12153" spans="1:14" ht="12.75" customHeight="1" x14ac:dyDescent="0.25">
      <c r="A12153" s="309"/>
      <c r="B12153" s="271"/>
      <c r="C12153" s="271"/>
      <c r="D12153" s="271"/>
      <c r="E12153" s="271"/>
      <c r="F12153" s="271"/>
      <c r="G12153" s="273"/>
      <c r="H12153" s="29" t="str">
        <f t="shared" si="1602"/>
        <v/>
      </c>
      <c r="I12153" s="394" t="str">
        <f t="shared" si="1603"/>
        <v/>
      </c>
      <c r="J12153" s="273"/>
      <c r="K12153" s="393"/>
      <c r="L12153" s="273"/>
      <c r="M12153" s="394" t="str">
        <f t="shared" si="1604"/>
        <v/>
      </c>
      <c r="N12153" s="273"/>
    </row>
    <row r="12154" spans="1:14" ht="12.75" customHeight="1" x14ac:dyDescent="0.25">
      <c r="A12154" s="309"/>
      <c r="B12154" s="271"/>
      <c r="C12154" s="271"/>
      <c r="D12154" s="271"/>
      <c r="E12154" s="271"/>
      <c r="F12154" s="271"/>
      <c r="G12154" s="273"/>
      <c r="H12154" s="29" t="str">
        <f t="shared" si="1602"/>
        <v/>
      </c>
      <c r="I12154" s="394" t="str">
        <f t="shared" si="1603"/>
        <v/>
      </c>
      <c r="J12154" s="273"/>
      <c r="K12154" s="393"/>
      <c r="L12154" s="273"/>
      <c r="M12154" s="394" t="str">
        <f t="shared" si="1604"/>
        <v/>
      </c>
      <c r="N12154" s="273"/>
    </row>
    <row r="12155" spans="1:14" ht="12.75" customHeight="1" x14ac:dyDescent="0.25">
      <c r="A12155" s="309"/>
      <c r="B12155" s="271"/>
      <c r="C12155" s="271"/>
      <c r="D12155" s="271"/>
      <c r="E12155" s="271"/>
      <c r="F12155" s="271"/>
      <c r="G12155" s="273"/>
      <c r="H12155" s="29" t="str">
        <f t="shared" si="1602"/>
        <v/>
      </c>
      <c r="I12155" s="394" t="str">
        <f t="shared" si="1603"/>
        <v/>
      </c>
      <c r="J12155" s="273"/>
      <c r="K12155" s="393"/>
      <c r="L12155" s="273"/>
      <c r="M12155" s="394" t="str">
        <f t="shared" si="1604"/>
        <v/>
      </c>
      <c r="N12155" s="273"/>
    </row>
    <row r="12156" spans="1:14" ht="12.75" customHeight="1" x14ac:dyDescent="0.25">
      <c r="A12156" s="309"/>
      <c r="B12156" s="271"/>
      <c r="C12156" s="271"/>
      <c r="D12156" s="271"/>
      <c r="E12156" s="271"/>
      <c r="F12156" s="271"/>
      <c r="G12156" s="273"/>
      <c r="H12156" s="29" t="str">
        <f t="shared" si="1602"/>
        <v/>
      </c>
      <c r="I12156" s="394" t="str">
        <f t="shared" si="1603"/>
        <v/>
      </c>
      <c r="J12156" s="273"/>
      <c r="K12156" s="393"/>
      <c r="L12156" s="273"/>
      <c r="M12156" s="394" t="str">
        <f t="shared" si="1604"/>
        <v/>
      </c>
      <c r="N12156" s="273"/>
    </row>
    <row r="12157" spans="1:14" ht="12.75" customHeight="1" x14ac:dyDescent="0.25">
      <c r="A12157" s="309"/>
      <c r="B12157" s="271"/>
      <c r="C12157" s="271"/>
      <c r="D12157" s="271"/>
      <c r="E12157" s="271"/>
      <c r="F12157" s="271"/>
      <c r="G12157" s="273"/>
      <c r="H12157" s="29" t="str">
        <f t="shared" si="1602"/>
        <v/>
      </c>
      <c r="I12157" s="394" t="str">
        <f t="shared" si="1603"/>
        <v/>
      </c>
      <c r="J12157" s="273"/>
      <c r="K12157" s="393"/>
      <c r="L12157" s="273"/>
      <c r="M12157" s="394" t="str">
        <f t="shared" si="1604"/>
        <v/>
      </c>
      <c r="N12157" s="273"/>
    </row>
    <row r="12158" spans="1:14" ht="12.75" customHeight="1" x14ac:dyDescent="0.25">
      <c r="A12158" s="309"/>
      <c r="B12158" s="271"/>
      <c r="C12158" s="271"/>
      <c r="D12158" s="271"/>
      <c r="E12158" s="271"/>
      <c r="F12158" s="271"/>
      <c r="G12158" s="273"/>
      <c r="H12158" s="29" t="str">
        <f t="shared" si="1602"/>
        <v/>
      </c>
      <c r="I12158" s="394" t="str">
        <f t="shared" si="1603"/>
        <v/>
      </c>
      <c r="J12158" s="273"/>
      <c r="K12158" s="393"/>
      <c r="L12158" s="273"/>
      <c r="M12158" s="394" t="str">
        <f t="shared" si="1604"/>
        <v/>
      </c>
      <c r="N12158" s="273"/>
    </row>
    <row r="12159" spans="1:14" ht="12.75" customHeight="1" x14ac:dyDescent="0.25">
      <c r="A12159" s="426"/>
      <c r="B12159" s="271"/>
      <c r="C12159" s="271"/>
      <c r="D12159" s="271"/>
      <c r="E12159" s="271"/>
      <c r="F12159" s="271"/>
      <c r="G12159" s="273"/>
      <c r="H12159" s="29" t="str">
        <f t="shared" si="1602"/>
        <v/>
      </c>
      <c r="I12159" s="394" t="str">
        <f t="shared" si="1603"/>
        <v/>
      </c>
      <c r="J12159" s="273"/>
      <c r="K12159" s="393"/>
      <c r="L12159" s="273"/>
      <c r="M12159" s="394" t="str">
        <f t="shared" si="1604"/>
        <v/>
      </c>
      <c r="N12159" s="273"/>
    </row>
    <row r="12160" spans="1:14" ht="12.75" customHeight="1" x14ac:dyDescent="0.25">
      <c r="A12160" s="426"/>
      <c r="B12160" s="271"/>
      <c r="C12160" s="271"/>
      <c r="D12160" s="271"/>
      <c r="E12160" s="271"/>
      <c r="F12160" s="271"/>
      <c r="G12160" s="273"/>
      <c r="H12160" s="29" t="str">
        <f t="shared" si="1602"/>
        <v/>
      </c>
      <c r="I12160" s="394" t="str">
        <f t="shared" si="1603"/>
        <v/>
      </c>
      <c r="J12160" s="273"/>
      <c r="K12160" s="393"/>
      <c r="L12160" s="273"/>
      <c r="M12160" s="394" t="str">
        <f t="shared" si="1604"/>
        <v/>
      </c>
      <c r="N12160" s="273"/>
    </row>
    <row r="12161" spans="1:14" ht="12.75" customHeight="1" x14ac:dyDescent="0.25">
      <c r="A12161" s="426"/>
      <c r="B12161" s="271"/>
      <c r="C12161" s="271"/>
      <c r="D12161" s="271"/>
      <c r="E12161" s="271"/>
      <c r="F12161" s="271"/>
      <c r="G12161" s="273"/>
      <c r="H12161" s="29" t="str">
        <f t="shared" si="1602"/>
        <v/>
      </c>
      <c r="I12161" s="394" t="str">
        <f t="shared" si="1603"/>
        <v/>
      </c>
      <c r="J12161" s="273"/>
      <c r="K12161" s="393"/>
      <c r="L12161" s="273"/>
      <c r="M12161" s="394" t="str">
        <f t="shared" si="1604"/>
        <v/>
      </c>
      <c r="N12161" s="273"/>
    </row>
    <row r="12162" spans="1:14" ht="12.75" customHeight="1" x14ac:dyDescent="0.25">
      <c r="A12162" s="426"/>
      <c r="B12162" s="271"/>
      <c r="C12162" s="271"/>
      <c r="D12162" s="271"/>
      <c r="E12162" s="271"/>
      <c r="F12162" s="271"/>
      <c r="G12162" s="273"/>
      <c r="H12162" s="29" t="str">
        <f t="shared" si="1602"/>
        <v/>
      </c>
      <c r="I12162" s="394" t="str">
        <f t="shared" si="1603"/>
        <v/>
      </c>
      <c r="J12162" s="273"/>
      <c r="K12162" s="393"/>
      <c r="L12162" s="273"/>
      <c r="M12162" s="394" t="str">
        <f t="shared" si="1604"/>
        <v/>
      </c>
      <c r="N12162" s="273"/>
    </row>
    <row r="12163" spans="1:14" ht="12.75" customHeight="1" x14ac:dyDescent="0.25">
      <c r="A12163" s="426"/>
      <c r="B12163" s="271"/>
      <c r="C12163" s="271"/>
      <c r="D12163" s="271"/>
      <c r="E12163" s="271"/>
      <c r="F12163" s="271"/>
      <c r="G12163" s="273"/>
      <c r="H12163" s="29" t="str">
        <f t="shared" si="1602"/>
        <v/>
      </c>
      <c r="I12163" s="394" t="str">
        <f t="shared" si="1603"/>
        <v/>
      </c>
      <c r="J12163" s="273"/>
      <c r="K12163" s="393"/>
      <c r="L12163" s="273"/>
      <c r="M12163" s="394" t="str">
        <f t="shared" si="1604"/>
        <v/>
      </c>
      <c r="N12163" s="273"/>
    </row>
    <row r="12164" spans="1:14" ht="12.75" customHeight="1" x14ac:dyDescent="0.25">
      <c r="A12164" s="4"/>
      <c r="B12164" s="4"/>
      <c r="C12164" s="4"/>
      <c r="D12164" s="4"/>
      <c r="E12164" s="4"/>
      <c r="F12164" s="4"/>
      <c r="G12164" s="4"/>
      <c r="H12164" s="4"/>
      <c r="I12164" s="4"/>
      <c r="J12164" s="4"/>
      <c r="K12164" s="396" t="s">
        <v>444</v>
      </c>
      <c r="L12164" s="273"/>
      <c r="M12164" s="394">
        <f>SUM(M12148:N12163)</f>
        <v>1106100</v>
      </c>
      <c r="N12164" s="273"/>
    </row>
    <row r="12165" spans="1:14" ht="12.75" customHeight="1" x14ac:dyDescent="0.25">
      <c r="A12165" s="4"/>
      <c r="B12165" s="4"/>
      <c r="C12165" s="4"/>
      <c r="D12165" s="4"/>
      <c r="E12165" s="4"/>
      <c r="F12165" s="4"/>
      <c r="G12165" s="4"/>
      <c r="H12165" s="4"/>
      <c r="I12165" s="4"/>
      <c r="J12165" s="4"/>
      <c r="K12165" s="4"/>
      <c r="L12165" s="4"/>
      <c r="M12165" s="4"/>
      <c r="N12165" s="4"/>
    </row>
    <row r="12166" spans="1:14" ht="12.75" customHeight="1" x14ac:dyDescent="0.2">
      <c r="A12166" s="398" t="s">
        <v>926</v>
      </c>
      <c r="B12166" s="271"/>
      <c r="C12166" s="271"/>
      <c r="D12166" s="271"/>
      <c r="E12166" s="271"/>
      <c r="F12166" s="271"/>
      <c r="G12166" s="271"/>
      <c r="H12166" s="271"/>
      <c r="I12166" s="271"/>
      <c r="J12166" s="271"/>
      <c r="K12166" s="271"/>
      <c r="L12166" s="271"/>
      <c r="M12166" s="271"/>
      <c r="N12166" s="273"/>
    </row>
    <row r="12167" spans="1:14" ht="12.75" customHeight="1" x14ac:dyDescent="0.2">
      <c r="A12167" s="396" t="s">
        <v>76</v>
      </c>
      <c r="B12167" s="271"/>
      <c r="C12167" s="271"/>
      <c r="D12167" s="271"/>
      <c r="E12167" s="271"/>
      <c r="F12167" s="271"/>
      <c r="G12167" s="273"/>
      <c r="H12167" s="88" t="s">
        <v>77</v>
      </c>
      <c r="I12167" s="399" t="s">
        <v>920</v>
      </c>
      <c r="J12167" s="273"/>
      <c r="K12167" s="399" t="s">
        <v>453</v>
      </c>
      <c r="L12167" s="273"/>
      <c r="M12167" s="399" t="s">
        <v>921</v>
      </c>
      <c r="N12167" s="273"/>
    </row>
    <row r="12168" spans="1:14" ht="12.75" customHeight="1" x14ac:dyDescent="0.2">
      <c r="A12168" s="400" t="s">
        <v>927</v>
      </c>
      <c r="B12168" s="271"/>
      <c r="C12168" s="271"/>
      <c r="D12168" s="271"/>
      <c r="E12168" s="271"/>
      <c r="F12168" s="271"/>
      <c r="G12168" s="273"/>
      <c r="H12168" s="29" t="str">
        <f>IF(A12168="","",VLOOKUP(A12168,AA_Equipos,7,FALSE))</f>
        <v>% M.O.</v>
      </c>
      <c r="I12168" s="394">
        <f>+M12191</f>
        <v>99640</v>
      </c>
      <c r="J12168" s="273"/>
      <c r="K12168" s="404">
        <v>0.05</v>
      </c>
      <c r="L12168" s="273"/>
      <c r="M12168" s="394">
        <f t="shared" ref="M12168:M12172" si="1605">IF(A12168="","",I12168*K12168)</f>
        <v>4982</v>
      </c>
      <c r="N12168" s="273"/>
    </row>
    <row r="12169" spans="1:14" ht="12.75" customHeight="1" x14ac:dyDescent="0.2">
      <c r="A12169" s="403"/>
      <c r="B12169" s="271"/>
      <c r="C12169" s="271"/>
      <c r="D12169" s="271"/>
      <c r="E12169" s="271"/>
      <c r="F12169" s="271"/>
      <c r="G12169" s="273"/>
      <c r="H12169" s="29" t="str">
        <f>IF(A12169="","",VLOOKUP(A12169,AA_Equipos,7,FALSE))</f>
        <v/>
      </c>
      <c r="I12169" s="394" t="str">
        <f>IF(A12169="","",VLOOKUP(A12169,AA_Equipos,8,FALSE))</f>
        <v/>
      </c>
      <c r="J12169" s="273"/>
      <c r="K12169" s="402"/>
      <c r="L12169" s="273"/>
      <c r="M12169" s="394" t="str">
        <f t="shared" si="1605"/>
        <v/>
      </c>
      <c r="N12169" s="273"/>
    </row>
    <row r="12170" spans="1:14" ht="12.75" customHeight="1" x14ac:dyDescent="0.2">
      <c r="A12170" s="400"/>
      <c r="B12170" s="271"/>
      <c r="C12170" s="271"/>
      <c r="D12170" s="271"/>
      <c r="E12170" s="271"/>
      <c r="F12170" s="271"/>
      <c r="G12170" s="273"/>
      <c r="H12170" s="29" t="str">
        <f>IF(A12170="","",VLOOKUP(A12170,AA_Equipos,7,FALSE))</f>
        <v/>
      </c>
      <c r="I12170" s="394" t="str">
        <f>IF(A12170="","",VLOOKUP(A12170,AA_Equipos,8,FALSE))</f>
        <v/>
      </c>
      <c r="J12170" s="273"/>
      <c r="K12170" s="401"/>
      <c r="L12170" s="273"/>
      <c r="M12170" s="394" t="str">
        <f t="shared" si="1605"/>
        <v/>
      </c>
      <c r="N12170" s="273"/>
    </row>
    <row r="12171" spans="1:14" ht="12.75" customHeight="1" x14ac:dyDescent="0.2">
      <c r="A12171" s="400"/>
      <c r="B12171" s="271"/>
      <c r="C12171" s="271"/>
      <c r="D12171" s="271"/>
      <c r="E12171" s="271"/>
      <c r="F12171" s="271"/>
      <c r="G12171" s="273"/>
      <c r="H12171" s="29" t="str">
        <f>IF(A12171="","",VLOOKUP(A12171,AA_Equipos,7,FALSE))</f>
        <v/>
      </c>
      <c r="I12171" s="394" t="str">
        <f>IF(A12171="","",VLOOKUP(A12171,AA_Equipos,8,FALSE))</f>
        <v/>
      </c>
      <c r="J12171" s="273"/>
      <c r="K12171" s="395"/>
      <c r="L12171" s="273"/>
      <c r="M12171" s="394" t="str">
        <f t="shared" si="1605"/>
        <v/>
      </c>
      <c r="N12171" s="273"/>
    </row>
    <row r="12172" spans="1:14" ht="12.75" customHeight="1" x14ac:dyDescent="0.2">
      <c r="A12172" s="400"/>
      <c r="B12172" s="271"/>
      <c r="C12172" s="271"/>
      <c r="D12172" s="271"/>
      <c r="E12172" s="271"/>
      <c r="F12172" s="271"/>
      <c r="G12172" s="273"/>
      <c r="H12172" s="29" t="str">
        <f>IF(A12172="","",VLOOKUP(A12172,AA_Equipos,7,FALSE))</f>
        <v/>
      </c>
      <c r="I12172" s="394" t="str">
        <f>IF(A12172="","",VLOOKUP(A12172,AA_Equipos,8,FALSE))</f>
        <v/>
      </c>
      <c r="J12172" s="273"/>
      <c r="K12172" s="395"/>
      <c r="L12172" s="273"/>
      <c r="M12172" s="394" t="str">
        <f t="shared" si="1605"/>
        <v/>
      </c>
      <c r="N12172" s="273"/>
    </row>
    <row r="12173" spans="1:14" ht="12.75" customHeight="1" x14ac:dyDescent="0.25">
      <c r="A12173" s="4"/>
      <c r="B12173" s="4"/>
      <c r="C12173" s="4"/>
      <c r="D12173" s="4"/>
      <c r="E12173" s="4"/>
      <c r="F12173" s="4"/>
      <c r="G12173" s="4"/>
      <c r="H12173" s="4"/>
      <c r="I12173" s="4"/>
      <c r="J12173" s="4"/>
      <c r="K12173" s="396" t="s">
        <v>444</v>
      </c>
      <c r="L12173" s="273"/>
      <c r="M12173" s="394">
        <f>SUM(M12168:N12172)</f>
        <v>4982</v>
      </c>
      <c r="N12173" s="273"/>
    </row>
    <row r="12174" spans="1:14" ht="12.75" customHeight="1" x14ac:dyDescent="0.25">
      <c r="A12174" s="4"/>
      <c r="B12174" s="4"/>
      <c r="C12174" s="4"/>
      <c r="D12174" s="4"/>
      <c r="E12174" s="4"/>
      <c r="F12174" s="4"/>
      <c r="G12174" s="4"/>
      <c r="H12174" s="4"/>
      <c r="I12174" s="4"/>
      <c r="J12174" s="4"/>
      <c r="K12174" s="4"/>
      <c r="L12174" s="4"/>
      <c r="M12174" s="4"/>
      <c r="N12174" s="4"/>
    </row>
    <row r="12175" spans="1:14" ht="12.75" customHeight="1" x14ac:dyDescent="0.2">
      <c r="A12175" s="398" t="s">
        <v>929</v>
      </c>
      <c r="B12175" s="271"/>
      <c r="C12175" s="271"/>
      <c r="D12175" s="271"/>
      <c r="E12175" s="271"/>
      <c r="F12175" s="271"/>
      <c r="G12175" s="271"/>
      <c r="H12175" s="271"/>
      <c r="I12175" s="271"/>
      <c r="J12175" s="271"/>
      <c r="K12175" s="271"/>
      <c r="L12175" s="271"/>
      <c r="M12175" s="271"/>
      <c r="N12175" s="273"/>
    </row>
    <row r="12176" spans="1:14" ht="12.75" customHeight="1" x14ac:dyDescent="0.2">
      <c r="A12176" s="396" t="s">
        <v>76</v>
      </c>
      <c r="B12176" s="271"/>
      <c r="C12176" s="271"/>
      <c r="D12176" s="271"/>
      <c r="E12176" s="271"/>
      <c r="F12176" s="271"/>
      <c r="G12176" s="273"/>
      <c r="H12176" s="88" t="s">
        <v>77</v>
      </c>
      <c r="I12176" s="399" t="s">
        <v>920</v>
      </c>
      <c r="J12176" s="273"/>
      <c r="K12176" s="399" t="s">
        <v>453</v>
      </c>
      <c r="L12176" s="273"/>
      <c r="M12176" s="399" t="s">
        <v>921</v>
      </c>
      <c r="N12176" s="273"/>
    </row>
    <row r="12177" spans="1:14" ht="12.75" customHeight="1" x14ac:dyDescent="0.2">
      <c r="A12177" s="400" t="s">
        <v>1559</v>
      </c>
      <c r="B12177" s="271"/>
      <c r="C12177" s="271"/>
      <c r="D12177" s="271"/>
      <c r="E12177" s="271"/>
      <c r="F12177" s="271"/>
      <c r="G12177" s="273"/>
      <c r="H12177" s="29" t="str">
        <f>IF(A12177="","",VLOOKUP(A12177,AA_Equipos,7,FALSE))</f>
        <v>Día</v>
      </c>
      <c r="I12177" s="394">
        <f>IF(A12177="","",VLOOKUP(A12177,AA_Equipos,8,FALSE))</f>
        <v>74400</v>
      </c>
      <c r="J12177" s="273"/>
      <c r="K12177" s="408">
        <v>1</v>
      </c>
      <c r="L12177" s="273"/>
      <c r="M12177" s="394">
        <f t="shared" ref="M12177:M12181" si="1606">IF(A12177="","",I12177*K12177)</f>
        <v>74400</v>
      </c>
      <c r="N12177" s="273"/>
    </row>
    <row r="12178" spans="1:14" ht="12.75" customHeight="1" x14ac:dyDescent="0.2">
      <c r="A12178" s="403"/>
      <c r="B12178" s="271"/>
      <c r="C12178" s="271"/>
      <c r="D12178" s="271"/>
      <c r="E12178" s="271"/>
      <c r="F12178" s="271"/>
      <c r="G12178" s="273"/>
      <c r="H12178" s="29"/>
      <c r="I12178" s="394"/>
      <c r="J12178" s="273"/>
      <c r="K12178" s="404"/>
      <c r="L12178" s="273"/>
      <c r="M12178" s="394" t="str">
        <f t="shared" si="1606"/>
        <v/>
      </c>
      <c r="N12178" s="273"/>
    </row>
    <row r="12179" spans="1:14" ht="12.75" customHeight="1" x14ac:dyDescent="0.2">
      <c r="A12179" s="400"/>
      <c r="B12179" s="271"/>
      <c r="C12179" s="271"/>
      <c r="D12179" s="271"/>
      <c r="E12179" s="271"/>
      <c r="F12179" s="271"/>
      <c r="G12179" s="273"/>
      <c r="H12179" s="29"/>
      <c r="I12179" s="394"/>
      <c r="J12179" s="273"/>
      <c r="K12179" s="395"/>
      <c r="L12179" s="273"/>
      <c r="M12179" s="394" t="str">
        <f t="shared" si="1606"/>
        <v/>
      </c>
      <c r="N12179" s="273"/>
    </row>
    <row r="12180" spans="1:14" ht="12.75" customHeight="1" x14ac:dyDescent="0.2">
      <c r="A12180" s="400"/>
      <c r="B12180" s="271"/>
      <c r="C12180" s="271"/>
      <c r="D12180" s="271"/>
      <c r="E12180" s="271"/>
      <c r="F12180" s="271"/>
      <c r="G12180" s="273"/>
      <c r="H12180" s="29"/>
      <c r="I12180" s="394"/>
      <c r="J12180" s="273"/>
      <c r="K12180" s="395"/>
      <c r="L12180" s="273"/>
      <c r="M12180" s="394" t="str">
        <f t="shared" si="1606"/>
        <v/>
      </c>
      <c r="N12180" s="273"/>
    </row>
    <row r="12181" spans="1:14" ht="12.75" customHeight="1" x14ac:dyDescent="0.2">
      <c r="A12181" s="400"/>
      <c r="B12181" s="271"/>
      <c r="C12181" s="271"/>
      <c r="D12181" s="271"/>
      <c r="E12181" s="271"/>
      <c r="F12181" s="271"/>
      <c r="G12181" s="273"/>
      <c r="H12181" s="29"/>
      <c r="I12181" s="394"/>
      <c r="J12181" s="273"/>
      <c r="K12181" s="395"/>
      <c r="L12181" s="273"/>
      <c r="M12181" s="394" t="str">
        <f t="shared" si="1606"/>
        <v/>
      </c>
      <c r="N12181" s="273"/>
    </row>
    <row r="12182" spans="1:14" ht="12.75" customHeight="1" x14ac:dyDescent="0.25">
      <c r="A12182" s="4"/>
      <c r="B12182" s="4"/>
      <c r="C12182" s="4"/>
      <c r="D12182" s="4"/>
      <c r="E12182" s="4"/>
      <c r="F12182" s="4"/>
      <c r="G12182" s="4"/>
      <c r="H12182" s="4"/>
      <c r="I12182" s="4"/>
      <c r="J12182" s="4"/>
      <c r="K12182" s="396" t="s">
        <v>444</v>
      </c>
      <c r="L12182" s="273"/>
      <c r="M12182" s="394">
        <f>SUM(M12177:N12181)</f>
        <v>74400</v>
      </c>
      <c r="N12182" s="273"/>
    </row>
    <row r="12183" spans="1:14" ht="12.75" customHeight="1" x14ac:dyDescent="0.25">
      <c r="A12183" s="4"/>
      <c r="B12183" s="4"/>
      <c r="C12183" s="4"/>
      <c r="D12183" s="4"/>
      <c r="E12183" s="4"/>
      <c r="F12183" s="4"/>
      <c r="G12183" s="4"/>
      <c r="H12183" s="4"/>
      <c r="I12183" s="4"/>
      <c r="J12183" s="4"/>
      <c r="K12183" s="4"/>
      <c r="L12183" s="4"/>
      <c r="M12183" s="4"/>
      <c r="N12183" s="4"/>
    </row>
    <row r="12184" spans="1:14" ht="12.75" customHeight="1" x14ac:dyDescent="0.2">
      <c r="A12184" s="398" t="s">
        <v>931</v>
      </c>
      <c r="B12184" s="271"/>
      <c r="C12184" s="271"/>
      <c r="D12184" s="271"/>
      <c r="E12184" s="271"/>
      <c r="F12184" s="271"/>
      <c r="G12184" s="271"/>
      <c r="H12184" s="271"/>
      <c r="I12184" s="271"/>
      <c r="J12184" s="271"/>
      <c r="K12184" s="271"/>
      <c r="L12184" s="271"/>
      <c r="M12184" s="271"/>
      <c r="N12184" s="273"/>
    </row>
    <row r="12185" spans="1:14" ht="12.75" customHeight="1" x14ac:dyDescent="0.2">
      <c r="A12185" s="396" t="s">
        <v>76</v>
      </c>
      <c r="B12185" s="271"/>
      <c r="C12185" s="271"/>
      <c r="D12185" s="271"/>
      <c r="E12185" s="271"/>
      <c r="F12185" s="271"/>
      <c r="G12185" s="273"/>
      <c r="H12185" s="88" t="s">
        <v>77</v>
      </c>
      <c r="I12185" s="399" t="s">
        <v>920</v>
      </c>
      <c r="J12185" s="273"/>
      <c r="K12185" s="90" t="s">
        <v>514</v>
      </c>
      <c r="L12185" s="91" t="s">
        <v>932</v>
      </c>
      <c r="M12185" s="399" t="s">
        <v>921</v>
      </c>
      <c r="N12185" s="273"/>
    </row>
    <row r="12186" spans="1:14" ht="12.75" customHeight="1" x14ac:dyDescent="0.25">
      <c r="A12186" s="393" t="s">
        <v>1301</v>
      </c>
      <c r="B12186" s="271"/>
      <c r="C12186" s="271"/>
      <c r="D12186" s="271"/>
      <c r="E12186" s="271"/>
      <c r="F12186" s="271"/>
      <c r="G12186" s="273"/>
      <c r="H12186" s="29" t="str">
        <f>IF(A12186="","",VLOOKUP(A12186,AA_Cuadrillas,4,FALSE))</f>
        <v>Cuadrilla</v>
      </c>
      <c r="I12186" s="394">
        <f>IF(A12186="","",VLOOKUP(A12186,AA_Cuadrillas,5,FALSE))</f>
        <v>132500</v>
      </c>
      <c r="J12186" s="273"/>
      <c r="K12186" s="9">
        <f>IF(A12186="","",F.P!$I$2)</f>
        <v>1.88</v>
      </c>
      <c r="L12186" s="97">
        <v>0.4</v>
      </c>
      <c r="M12186" s="394">
        <f t="shared" ref="M12186:M12190" si="1607">IF(A12186="","",I12186*K12186*L12186)</f>
        <v>99640</v>
      </c>
      <c r="N12186" s="273"/>
    </row>
    <row r="12187" spans="1:14" ht="12.75" customHeight="1" x14ac:dyDescent="0.25">
      <c r="A12187" s="393"/>
      <c r="B12187" s="271"/>
      <c r="C12187" s="271"/>
      <c r="D12187" s="271"/>
      <c r="E12187" s="271"/>
      <c r="F12187" s="271"/>
      <c r="G12187" s="273"/>
      <c r="H12187" s="29" t="str">
        <f>IF(A12187="","",VLOOKUP(A12187,AA_Cuadrillas,4,FALSE))</f>
        <v/>
      </c>
      <c r="I12187" s="394" t="str">
        <f>IF(A12187="","",VLOOKUP(A12187,AA_Cuadrillas,5,FALSE))</f>
        <v/>
      </c>
      <c r="J12187" s="273"/>
      <c r="K12187" s="9" t="str">
        <f>IF(A12187="","",F.P!$I$2)</f>
        <v/>
      </c>
      <c r="L12187" s="9"/>
      <c r="M12187" s="394" t="str">
        <f t="shared" si="1607"/>
        <v/>
      </c>
      <c r="N12187" s="273"/>
    </row>
    <row r="12188" spans="1:14" ht="12.75" customHeight="1" x14ac:dyDescent="0.25">
      <c r="A12188" s="393"/>
      <c r="B12188" s="271"/>
      <c r="C12188" s="271"/>
      <c r="D12188" s="271"/>
      <c r="E12188" s="271"/>
      <c r="F12188" s="271"/>
      <c r="G12188" s="273"/>
      <c r="H12188" s="29" t="str">
        <f>IF(A12188="","",VLOOKUP(A12188,AA_Cuadrillas,4,FALSE))</f>
        <v/>
      </c>
      <c r="I12188" s="394" t="str">
        <f>IF(A12188="","",VLOOKUP(A12188,AA_Cuadrillas,5,FALSE))</f>
        <v/>
      </c>
      <c r="J12188" s="273"/>
      <c r="K12188" s="9" t="str">
        <f>IF(A12188="","",F.P!$I$2)</f>
        <v/>
      </c>
      <c r="L12188" s="37"/>
      <c r="M12188" s="394" t="str">
        <f t="shared" si="1607"/>
        <v/>
      </c>
      <c r="N12188" s="273"/>
    </row>
    <row r="12189" spans="1:14" ht="12.75" customHeight="1" x14ac:dyDescent="0.25">
      <c r="A12189" s="393"/>
      <c r="B12189" s="271"/>
      <c r="C12189" s="271"/>
      <c r="D12189" s="271"/>
      <c r="E12189" s="271"/>
      <c r="F12189" s="271"/>
      <c r="G12189" s="273"/>
      <c r="H12189" s="29" t="str">
        <f>IF(A12189="","",VLOOKUP(A12189,AA_Cuadrillas,4,FALSE))</f>
        <v/>
      </c>
      <c r="I12189" s="394" t="str">
        <f>IF(A12189="","",VLOOKUP(A12189,AA_Cuadrillas,5,FALSE))</f>
        <v/>
      </c>
      <c r="J12189" s="273"/>
      <c r="K12189" s="9" t="str">
        <f>IF(A12189="","",F.P!$I$2)</f>
        <v/>
      </c>
      <c r="L12189" s="97"/>
      <c r="M12189" s="394" t="str">
        <f t="shared" si="1607"/>
        <v/>
      </c>
      <c r="N12189" s="273"/>
    </row>
    <row r="12190" spans="1:14" ht="12.75" customHeight="1" x14ac:dyDescent="0.25">
      <c r="A12190" s="393"/>
      <c r="B12190" s="271"/>
      <c r="C12190" s="271"/>
      <c r="D12190" s="271"/>
      <c r="E12190" s="271"/>
      <c r="F12190" s="271"/>
      <c r="G12190" s="273"/>
      <c r="H12190" s="29" t="str">
        <f>IF(A12190="","",VLOOKUP(A12190,AA_Cuadrillas,4,FALSE))</f>
        <v/>
      </c>
      <c r="I12190" s="394" t="str">
        <f>IF(A12190="","",VLOOKUP(A12190,AA_Cuadrillas,5,FALSE))</f>
        <v/>
      </c>
      <c r="J12190" s="273"/>
      <c r="K12190" s="9" t="str">
        <f>IF(A12190="","",F.P!$I$2)</f>
        <v/>
      </c>
      <c r="L12190" s="37"/>
      <c r="M12190" s="394" t="str">
        <f t="shared" si="1607"/>
        <v/>
      </c>
      <c r="N12190" s="273"/>
    </row>
    <row r="12191" spans="1:14" ht="12.75" customHeight="1" x14ac:dyDescent="0.25">
      <c r="A12191" s="4"/>
      <c r="B12191" s="4"/>
      <c r="C12191" s="4"/>
      <c r="D12191" s="4"/>
      <c r="E12191" s="4"/>
      <c r="F12191" s="4"/>
      <c r="G12191" s="4"/>
      <c r="H12191" s="4"/>
      <c r="I12191" s="4"/>
      <c r="J12191" s="4"/>
      <c r="K12191" s="396" t="s">
        <v>444</v>
      </c>
      <c r="L12191" s="273"/>
      <c r="M12191" s="394">
        <f>SUM(M12186:N12190)</f>
        <v>99640</v>
      </c>
      <c r="N12191" s="273"/>
    </row>
    <row r="12192" spans="1:14" ht="12.75" customHeight="1" x14ac:dyDescent="0.2"/>
    <row r="12193" spans="1:14" ht="12.75" customHeight="1" x14ac:dyDescent="0.2">
      <c r="A12193" s="397" t="s">
        <v>396</v>
      </c>
      <c r="B12193" s="275"/>
      <c r="C12193" s="275"/>
      <c r="D12193" s="275"/>
      <c r="E12193" s="275"/>
      <c r="F12193" s="275"/>
      <c r="G12193" s="275"/>
      <c r="H12193" s="275"/>
      <c r="I12193" s="275"/>
      <c r="J12193" s="275"/>
      <c r="K12193" s="275"/>
      <c r="L12193" s="275"/>
      <c r="M12193" s="275"/>
      <c r="N12193" s="276"/>
    </row>
    <row r="12194" spans="1:14" ht="12.75" customHeight="1" x14ac:dyDescent="0.2">
      <c r="A12194" s="277"/>
      <c r="B12194" s="278"/>
      <c r="C12194" s="278"/>
      <c r="D12194" s="278"/>
      <c r="E12194" s="278"/>
      <c r="F12194" s="278"/>
      <c r="G12194" s="278"/>
      <c r="H12194" s="278"/>
      <c r="I12194" s="278"/>
      <c r="J12194" s="278"/>
      <c r="K12194" s="278"/>
      <c r="L12194" s="278"/>
      <c r="M12194" s="278"/>
      <c r="N12194" s="279"/>
    </row>
    <row r="12195" spans="1:14" ht="12.75" customHeight="1" x14ac:dyDescent="0.2">
      <c r="A12195" s="75"/>
      <c r="B12195" s="75"/>
      <c r="C12195" s="75"/>
      <c r="D12195" s="75"/>
      <c r="E12195" s="75"/>
      <c r="F12195" s="75"/>
      <c r="G12195" s="75"/>
      <c r="H12195" s="75"/>
      <c r="I12195" s="75"/>
      <c r="J12195" s="75"/>
      <c r="K12195" s="75"/>
      <c r="L12195" s="75"/>
      <c r="M12195" s="75"/>
      <c r="N12195" s="75"/>
    </row>
    <row r="12196" spans="1:14" ht="12.75" customHeight="1" x14ac:dyDescent="0.3">
      <c r="A12196" s="79" t="s">
        <v>882</v>
      </c>
      <c r="B12196" s="80" t="str">
        <f>A12193</f>
        <v>SUMINISTRO E INSTALACIÓN DE TABLERO BIFÁSICO TIPO LUMINEX 8 CIRCUITOS DE INCRUSTAR O SOBREPONER, CON ESPACIO PARA TOTALIZADOR (INCLUYE BREQUES TIPO ENCHUFABLE 1X20A Y 2X30A)</v>
      </c>
      <c r="C12196" s="81" t="s">
        <v>916</v>
      </c>
      <c r="D12196" s="82" t="s">
        <v>999</v>
      </c>
      <c r="E12196" s="83" t="s">
        <v>445</v>
      </c>
      <c r="F12196" s="86">
        <f>H12196+J12196+L12196+N12196</f>
        <v>857628</v>
      </c>
      <c r="G12196" s="83" t="s">
        <v>607</v>
      </c>
      <c r="H12196" s="86">
        <f>M12216</f>
        <v>558873</v>
      </c>
      <c r="I12196" s="83" t="s">
        <v>918</v>
      </c>
      <c r="J12196" s="86">
        <f>M12225</f>
        <v>12455</v>
      </c>
      <c r="K12196" s="83" t="s">
        <v>609</v>
      </c>
      <c r="L12196" s="86">
        <f>M12234</f>
        <v>37200</v>
      </c>
      <c r="M12196" s="83" t="s">
        <v>610</v>
      </c>
      <c r="N12196" s="86">
        <f>M12243</f>
        <v>249100</v>
      </c>
    </row>
    <row r="12197" spans="1:14" ht="12.75" customHeight="1" x14ac:dyDescent="0.25">
      <c r="A12197" s="87"/>
      <c r="B12197" s="87"/>
      <c r="C12197" s="87"/>
      <c r="D12197" s="87"/>
      <c r="E12197" s="87"/>
      <c r="F12197" s="87"/>
      <c r="G12197" s="87"/>
      <c r="H12197" s="12"/>
      <c r="I12197" s="12"/>
      <c r="J12197" s="87"/>
      <c r="K12197" s="215" t="s">
        <v>3217</v>
      </c>
      <c r="L12197" s="215">
        <f>+F12196*presup!$O$5</f>
        <v>1114916.4000000001</v>
      </c>
      <c r="M12197" s="87"/>
      <c r="N12197" s="87"/>
    </row>
    <row r="12198" spans="1:14" ht="12.75" customHeight="1" x14ac:dyDescent="0.2">
      <c r="A12198" s="398" t="s">
        <v>919</v>
      </c>
      <c r="B12198" s="271"/>
      <c r="C12198" s="271"/>
      <c r="D12198" s="271"/>
      <c r="E12198" s="271"/>
      <c r="F12198" s="271"/>
      <c r="G12198" s="271"/>
      <c r="H12198" s="271"/>
      <c r="I12198" s="271"/>
      <c r="J12198" s="271"/>
      <c r="K12198" s="271"/>
      <c r="L12198" s="271"/>
      <c r="M12198" s="271"/>
      <c r="N12198" s="273"/>
    </row>
    <row r="12199" spans="1:14" ht="12.75" customHeight="1" x14ac:dyDescent="0.2">
      <c r="A12199" s="396" t="s">
        <v>76</v>
      </c>
      <c r="B12199" s="271"/>
      <c r="C12199" s="271"/>
      <c r="D12199" s="271"/>
      <c r="E12199" s="271"/>
      <c r="F12199" s="271"/>
      <c r="G12199" s="273"/>
      <c r="H12199" s="88" t="s">
        <v>77</v>
      </c>
      <c r="I12199" s="399" t="s">
        <v>920</v>
      </c>
      <c r="J12199" s="273"/>
      <c r="K12199" s="399" t="s">
        <v>453</v>
      </c>
      <c r="L12199" s="273"/>
      <c r="M12199" s="399" t="s">
        <v>921</v>
      </c>
      <c r="N12199" s="273"/>
    </row>
    <row r="12200" spans="1:14" ht="12.75" customHeight="1" x14ac:dyDescent="0.25">
      <c r="A12200" s="309" t="s">
        <v>1589</v>
      </c>
      <c r="B12200" s="271"/>
      <c r="C12200" s="271"/>
      <c r="D12200" s="271"/>
      <c r="E12200" s="271"/>
      <c r="F12200" s="271"/>
      <c r="G12200" s="273"/>
      <c r="H12200" s="29" t="str">
        <f t="shared" ref="H12200:H12215" si="1608">IF(A12200="","",VLOOKUP(A12200,AA_Materiales,7,FALSE))</f>
        <v>Unidad</v>
      </c>
      <c r="I12200" s="394">
        <f t="shared" ref="I12200:I12215" si="1609">IF(A12200="","",VLOOKUP(A12200,AA_Materiales,8,FALSE))</f>
        <v>211400</v>
      </c>
      <c r="J12200" s="273"/>
      <c r="K12200" s="393">
        <v>1</v>
      </c>
      <c r="L12200" s="273"/>
      <c r="M12200" s="394">
        <f t="shared" ref="M12200:M12215" si="1610">IF(A12200="","",I12200*K12200)</f>
        <v>211400</v>
      </c>
      <c r="N12200" s="273"/>
    </row>
    <row r="12201" spans="1:14" ht="12.75" customHeight="1" x14ac:dyDescent="0.25">
      <c r="A12201" s="309" t="s">
        <v>1590</v>
      </c>
      <c r="B12201" s="271"/>
      <c r="C12201" s="271"/>
      <c r="D12201" s="271"/>
      <c r="E12201" s="271"/>
      <c r="F12201" s="271"/>
      <c r="G12201" s="273"/>
      <c r="H12201" s="29" t="str">
        <f t="shared" si="1608"/>
        <v>Unidad</v>
      </c>
      <c r="I12201" s="394">
        <f t="shared" si="1609"/>
        <v>19600</v>
      </c>
      <c r="J12201" s="273"/>
      <c r="K12201" s="393">
        <v>6</v>
      </c>
      <c r="L12201" s="273"/>
      <c r="M12201" s="394">
        <f t="shared" si="1610"/>
        <v>117600</v>
      </c>
      <c r="N12201" s="273"/>
    </row>
    <row r="12202" spans="1:14" ht="12.75" customHeight="1" x14ac:dyDescent="0.25">
      <c r="A12202" s="309" t="s">
        <v>1591</v>
      </c>
      <c r="B12202" s="271"/>
      <c r="C12202" s="271"/>
      <c r="D12202" s="271"/>
      <c r="E12202" s="271"/>
      <c r="F12202" s="271"/>
      <c r="G12202" s="273"/>
      <c r="H12202" s="29" t="str">
        <f t="shared" si="1608"/>
        <v>Unidad</v>
      </c>
      <c r="I12202" s="394">
        <f t="shared" si="1609"/>
        <v>33600</v>
      </c>
      <c r="J12202" s="273"/>
      <c r="K12202" s="393">
        <v>1</v>
      </c>
      <c r="L12202" s="273"/>
      <c r="M12202" s="394">
        <f t="shared" si="1610"/>
        <v>33600</v>
      </c>
      <c r="N12202" s="273"/>
    </row>
    <row r="12203" spans="1:14" ht="12.75" customHeight="1" x14ac:dyDescent="0.25">
      <c r="A12203" s="309" t="s">
        <v>1592</v>
      </c>
      <c r="B12203" s="271"/>
      <c r="C12203" s="271"/>
      <c r="D12203" s="271"/>
      <c r="E12203" s="271"/>
      <c r="F12203" s="271"/>
      <c r="G12203" s="273"/>
      <c r="H12203" s="29" t="str">
        <f t="shared" si="1608"/>
        <v>Unidad</v>
      </c>
      <c r="I12203" s="394">
        <f t="shared" si="1609"/>
        <v>47523</v>
      </c>
      <c r="J12203" s="273"/>
      <c r="K12203" s="393">
        <v>1</v>
      </c>
      <c r="L12203" s="273"/>
      <c r="M12203" s="394">
        <f t="shared" si="1610"/>
        <v>47523</v>
      </c>
      <c r="N12203" s="273"/>
    </row>
    <row r="12204" spans="1:14" ht="12.75" customHeight="1" x14ac:dyDescent="0.25">
      <c r="A12204" s="309" t="s">
        <v>1593</v>
      </c>
      <c r="B12204" s="271"/>
      <c r="C12204" s="271"/>
      <c r="D12204" s="271"/>
      <c r="E12204" s="271"/>
      <c r="F12204" s="271"/>
      <c r="G12204" s="273"/>
      <c r="H12204" s="29" t="str">
        <f t="shared" si="1608"/>
        <v>Unidad</v>
      </c>
      <c r="I12204" s="394">
        <f t="shared" si="1609"/>
        <v>148750</v>
      </c>
      <c r="J12204" s="273"/>
      <c r="K12204" s="393">
        <v>1</v>
      </c>
      <c r="L12204" s="273"/>
      <c r="M12204" s="394">
        <f t="shared" si="1610"/>
        <v>148750</v>
      </c>
      <c r="N12204" s="273"/>
    </row>
    <row r="12205" spans="1:14" ht="12.75" customHeight="1" x14ac:dyDescent="0.25">
      <c r="A12205" s="309"/>
      <c r="B12205" s="271"/>
      <c r="C12205" s="271"/>
      <c r="D12205" s="271"/>
      <c r="E12205" s="271"/>
      <c r="F12205" s="271"/>
      <c r="G12205" s="273"/>
      <c r="H12205" s="29" t="str">
        <f t="shared" si="1608"/>
        <v/>
      </c>
      <c r="I12205" s="394" t="str">
        <f t="shared" si="1609"/>
        <v/>
      </c>
      <c r="J12205" s="273"/>
      <c r="K12205" s="393"/>
      <c r="L12205" s="273"/>
      <c r="M12205" s="394" t="str">
        <f t="shared" si="1610"/>
        <v/>
      </c>
      <c r="N12205" s="273"/>
    </row>
    <row r="12206" spans="1:14" ht="12.75" customHeight="1" x14ac:dyDescent="0.25">
      <c r="A12206" s="309"/>
      <c r="B12206" s="271"/>
      <c r="C12206" s="271"/>
      <c r="D12206" s="271"/>
      <c r="E12206" s="271"/>
      <c r="F12206" s="271"/>
      <c r="G12206" s="273"/>
      <c r="H12206" s="29" t="str">
        <f t="shared" si="1608"/>
        <v/>
      </c>
      <c r="I12206" s="394" t="str">
        <f t="shared" si="1609"/>
        <v/>
      </c>
      <c r="J12206" s="273"/>
      <c r="K12206" s="393"/>
      <c r="L12206" s="273"/>
      <c r="M12206" s="394" t="str">
        <f t="shared" si="1610"/>
        <v/>
      </c>
      <c r="N12206" s="273"/>
    </row>
    <row r="12207" spans="1:14" ht="12.75" customHeight="1" x14ac:dyDescent="0.25">
      <c r="A12207" s="309"/>
      <c r="B12207" s="271"/>
      <c r="C12207" s="271"/>
      <c r="D12207" s="271"/>
      <c r="E12207" s="271"/>
      <c r="F12207" s="271"/>
      <c r="G12207" s="273"/>
      <c r="H12207" s="29" t="str">
        <f t="shared" si="1608"/>
        <v/>
      </c>
      <c r="I12207" s="394" t="str">
        <f t="shared" si="1609"/>
        <v/>
      </c>
      <c r="J12207" s="273"/>
      <c r="K12207" s="393"/>
      <c r="L12207" s="273"/>
      <c r="M12207" s="394" t="str">
        <f t="shared" si="1610"/>
        <v/>
      </c>
      <c r="N12207" s="273"/>
    </row>
    <row r="12208" spans="1:14" ht="12.75" customHeight="1" x14ac:dyDescent="0.25">
      <c r="A12208" s="309"/>
      <c r="B12208" s="271"/>
      <c r="C12208" s="271"/>
      <c r="D12208" s="271"/>
      <c r="E12208" s="271"/>
      <c r="F12208" s="271"/>
      <c r="G12208" s="273"/>
      <c r="H12208" s="29" t="str">
        <f t="shared" si="1608"/>
        <v/>
      </c>
      <c r="I12208" s="394" t="str">
        <f t="shared" si="1609"/>
        <v/>
      </c>
      <c r="J12208" s="273"/>
      <c r="K12208" s="393"/>
      <c r="L12208" s="273"/>
      <c r="M12208" s="394" t="str">
        <f t="shared" si="1610"/>
        <v/>
      </c>
      <c r="N12208" s="273"/>
    </row>
    <row r="12209" spans="1:14" ht="12.75" customHeight="1" x14ac:dyDescent="0.25">
      <c r="A12209" s="309"/>
      <c r="B12209" s="271"/>
      <c r="C12209" s="271"/>
      <c r="D12209" s="271"/>
      <c r="E12209" s="271"/>
      <c r="F12209" s="271"/>
      <c r="G12209" s="273"/>
      <c r="H12209" s="29" t="str">
        <f t="shared" si="1608"/>
        <v/>
      </c>
      <c r="I12209" s="394" t="str">
        <f t="shared" si="1609"/>
        <v/>
      </c>
      <c r="J12209" s="273"/>
      <c r="K12209" s="393"/>
      <c r="L12209" s="273"/>
      <c r="M12209" s="394" t="str">
        <f t="shared" si="1610"/>
        <v/>
      </c>
      <c r="N12209" s="273"/>
    </row>
    <row r="12210" spans="1:14" ht="12.75" customHeight="1" x14ac:dyDescent="0.25">
      <c r="A12210" s="309"/>
      <c r="B12210" s="271"/>
      <c r="C12210" s="271"/>
      <c r="D12210" s="271"/>
      <c r="E12210" s="271"/>
      <c r="F12210" s="271"/>
      <c r="G12210" s="273"/>
      <c r="H12210" s="29" t="str">
        <f t="shared" si="1608"/>
        <v/>
      </c>
      <c r="I12210" s="394" t="str">
        <f t="shared" si="1609"/>
        <v/>
      </c>
      <c r="J12210" s="273"/>
      <c r="K12210" s="393"/>
      <c r="L12210" s="273"/>
      <c r="M12210" s="394" t="str">
        <f t="shared" si="1610"/>
        <v/>
      </c>
      <c r="N12210" s="273"/>
    </row>
    <row r="12211" spans="1:14" ht="12.75" customHeight="1" x14ac:dyDescent="0.25">
      <c r="A12211" s="426"/>
      <c r="B12211" s="271"/>
      <c r="C12211" s="271"/>
      <c r="D12211" s="271"/>
      <c r="E12211" s="271"/>
      <c r="F12211" s="271"/>
      <c r="G12211" s="273"/>
      <c r="H12211" s="29" t="str">
        <f t="shared" si="1608"/>
        <v/>
      </c>
      <c r="I12211" s="394" t="str">
        <f t="shared" si="1609"/>
        <v/>
      </c>
      <c r="J12211" s="273"/>
      <c r="K12211" s="393"/>
      <c r="L12211" s="273"/>
      <c r="M12211" s="394" t="str">
        <f t="shared" si="1610"/>
        <v/>
      </c>
      <c r="N12211" s="273"/>
    </row>
    <row r="12212" spans="1:14" ht="12.75" customHeight="1" x14ac:dyDescent="0.25">
      <c r="A12212" s="426"/>
      <c r="B12212" s="271"/>
      <c r="C12212" s="271"/>
      <c r="D12212" s="271"/>
      <c r="E12212" s="271"/>
      <c r="F12212" s="271"/>
      <c r="G12212" s="273"/>
      <c r="H12212" s="29" t="str">
        <f t="shared" si="1608"/>
        <v/>
      </c>
      <c r="I12212" s="394" t="str">
        <f t="shared" si="1609"/>
        <v/>
      </c>
      <c r="J12212" s="273"/>
      <c r="K12212" s="393"/>
      <c r="L12212" s="273"/>
      <c r="M12212" s="394" t="str">
        <f t="shared" si="1610"/>
        <v/>
      </c>
      <c r="N12212" s="273"/>
    </row>
    <row r="12213" spans="1:14" ht="12.75" customHeight="1" x14ac:dyDescent="0.25">
      <c r="A12213" s="426"/>
      <c r="B12213" s="271"/>
      <c r="C12213" s="271"/>
      <c r="D12213" s="271"/>
      <c r="E12213" s="271"/>
      <c r="F12213" s="271"/>
      <c r="G12213" s="273"/>
      <c r="H12213" s="29" t="str">
        <f t="shared" si="1608"/>
        <v/>
      </c>
      <c r="I12213" s="394" t="str">
        <f t="shared" si="1609"/>
        <v/>
      </c>
      <c r="J12213" s="273"/>
      <c r="K12213" s="393"/>
      <c r="L12213" s="273"/>
      <c r="M12213" s="394" t="str">
        <f t="shared" si="1610"/>
        <v/>
      </c>
      <c r="N12213" s="273"/>
    </row>
    <row r="12214" spans="1:14" ht="12.75" customHeight="1" x14ac:dyDescent="0.25">
      <c r="A12214" s="426"/>
      <c r="B12214" s="271"/>
      <c r="C12214" s="271"/>
      <c r="D12214" s="271"/>
      <c r="E12214" s="271"/>
      <c r="F12214" s="271"/>
      <c r="G12214" s="273"/>
      <c r="H12214" s="29" t="str">
        <f t="shared" si="1608"/>
        <v/>
      </c>
      <c r="I12214" s="394" t="str">
        <f t="shared" si="1609"/>
        <v/>
      </c>
      <c r="J12214" s="273"/>
      <c r="K12214" s="393"/>
      <c r="L12214" s="273"/>
      <c r="M12214" s="394" t="str">
        <f t="shared" si="1610"/>
        <v/>
      </c>
      <c r="N12214" s="273"/>
    </row>
    <row r="12215" spans="1:14" ht="12.75" customHeight="1" x14ac:dyDescent="0.25">
      <c r="A12215" s="426"/>
      <c r="B12215" s="271"/>
      <c r="C12215" s="271"/>
      <c r="D12215" s="271"/>
      <c r="E12215" s="271"/>
      <c r="F12215" s="271"/>
      <c r="G12215" s="273"/>
      <c r="H12215" s="29" t="str">
        <f t="shared" si="1608"/>
        <v/>
      </c>
      <c r="I12215" s="394" t="str">
        <f t="shared" si="1609"/>
        <v/>
      </c>
      <c r="J12215" s="273"/>
      <c r="K12215" s="393"/>
      <c r="L12215" s="273"/>
      <c r="M12215" s="394" t="str">
        <f t="shared" si="1610"/>
        <v/>
      </c>
      <c r="N12215" s="273"/>
    </row>
    <row r="12216" spans="1:14" ht="12.75" customHeight="1" x14ac:dyDescent="0.25">
      <c r="A12216" s="4"/>
      <c r="B12216" s="4"/>
      <c r="C12216" s="4"/>
      <c r="D12216" s="4"/>
      <c r="E12216" s="4"/>
      <c r="F12216" s="4"/>
      <c r="G12216" s="4"/>
      <c r="H12216" s="4"/>
      <c r="I12216" s="4"/>
      <c r="J12216" s="4"/>
      <c r="K12216" s="396" t="s">
        <v>444</v>
      </c>
      <c r="L12216" s="273"/>
      <c r="M12216" s="394">
        <f>SUM(M12200:N12215)</f>
        <v>558873</v>
      </c>
      <c r="N12216" s="273"/>
    </row>
    <row r="12217" spans="1:14" ht="12.75" customHeight="1" x14ac:dyDescent="0.25">
      <c r="A12217" s="4"/>
      <c r="B12217" s="4"/>
      <c r="C12217" s="4"/>
      <c r="D12217" s="4"/>
      <c r="E12217" s="4"/>
      <c r="F12217" s="4"/>
      <c r="G12217" s="4"/>
      <c r="H12217" s="4"/>
      <c r="I12217" s="4"/>
      <c r="J12217" s="4"/>
      <c r="K12217" s="4"/>
      <c r="L12217" s="4"/>
      <c r="M12217" s="4"/>
      <c r="N12217" s="4"/>
    </row>
    <row r="12218" spans="1:14" ht="12.75" customHeight="1" x14ac:dyDescent="0.2">
      <c r="A12218" s="398" t="s">
        <v>926</v>
      </c>
      <c r="B12218" s="271"/>
      <c r="C12218" s="271"/>
      <c r="D12218" s="271"/>
      <c r="E12218" s="271"/>
      <c r="F12218" s="271"/>
      <c r="G12218" s="271"/>
      <c r="H12218" s="271"/>
      <c r="I12218" s="271"/>
      <c r="J12218" s="271"/>
      <c r="K12218" s="271"/>
      <c r="L12218" s="271"/>
      <c r="M12218" s="271"/>
      <c r="N12218" s="273"/>
    </row>
    <row r="12219" spans="1:14" ht="12.75" customHeight="1" x14ac:dyDescent="0.2">
      <c r="A12219" s="396" t="s">
        <v>76</v>
      </c>
      <c r="B12219" s="271"/>
      <c r="C12219" s="271"/>
      <c r="D12219" s="271"/>
      <c r="E12219" s="271"/>
      <c r="F12219" s="271"/>
      <c r="G12219" s="273"/>
      <c r="H12219" s="88" t="s">
        <v>77</v>
      </c>
      <c r="I12219" s="399" t="s">
        <v>920</v>
      </c>
      <c r="J12219" s="273"/>
      <c r="K12219" s="399" t="s">
        <v>453</v>
      </c>
      <c r="L12219" s="273"/>
      <c r="M12219" s="399" t="s">
        <v>921</v>
      </c>
      <c r="N12219" s="273"/>
    </row>
    <row r="12220" spans="1:14" ht="12.75" customHeight="1" x14ac:dyDescent="0.2">
      <c r="A12220" s="400" t="s">
        <v>927</v>
      </c>
      <c r="B12220" s="271"/>
      <c r="C12220" s="271"/>
      <c r="D12220" s="271"/>
      <c r="E12220" s="271"/>
      <c r="F12220" s="271"/>
      <c r="G12220" s="273"/>
      <c r="H12220" s="29" t="str">
        <f>IF(A12220="","",VLOOKUP(A12220,AA_Equipos,7,FALSE))</f>
        <v>% M.O.</v>
      </c>
      <c r="I12220" s="394">
        <f>+M12243</f>
        <v>249100</v>
      </c>
      <c r="J12220" s="273"/>
      <c r="K12220" s="404">
        <v>0.05</v>
      </c>
      <c r="L12220" s="273"/>
      <c r="M12220" s="394">
        <f t="shared" ref="M12220:M12224" si="1611">IF(A12220="","",I12220*K12220)</f>
        <v>12455</v>
      </c>
      <c r="N12220" s="273"/>
    </row>
    <row r="12221" spans="1:14" ht="12.75" customHeight="1" x14ac:dyDescent="0.2">
      <c r="A12221" s="403"/>
      <c r="B12221" s="271"/>
      <c r="C12221" s="271"/>
      <c r="D12221" s="271"/>
      <c r="E12221" s="271"/>
      <c r="F12221" s="271"/>
      <c r="G12221" s="273"/>
      <c r="H12221" s="29" t="str">
        <f>IF(A12221="","",VLOOKUP(A12221,AA_Equipos,7,FALSE))</f>
        <v/>
      </c>
      <c r="I12221" s="394" t="str">
        <f>IF(A12221="","",VLOOKUP(A12221,AA_Equipos,8,FALSE))</f>
        <v/>
      </c>
      <c r="J12221" s="273"/>
      <c r="K12221" s="402"/>
      <c r="L12221" s="273"/>
      <c r="M12221" s="394" t="str">
        <f t="shared" si="1611"/>
        <v/>
      </c>
      <c r="N12221" s="273"/>
    </row>
    <row r="12222" spans="1:14" ht="12.75" customHeight="1" x14ac:dyDescent="0.2">
      <c r="A12222" s="400"/>
      <c r="B12222" s="271"/>
      <c r="C12222" s="271"/>
      <c r="D12222" s="271"/>
      <c r="E12222" s="271"/>
      <c r="F12222" s="271"/>
      <c r="G12222" s="273"/>
      <c r="H12222" s="29" t="str">
        <f>IF(A12222="","",VLOOKUP(A12222,AA_Equipos,7,FALSE))</f>
        <v/>
      </c>
      <c r="I12222" s="394" t="str">
        <f>IF(A12222="","",VLOOKUP(A12222,AA_Equipos,8,FALSE))</f>
        <v/>
      </c>
      <c r="J12222" s="273"/>
      <c r="K12222" s="401"/>
      <c r="L12222" s="273"/>
      <c r="M12222" s="394" t="str">
        <f t="shared" si="1611"/>
        <v/>
      </c>
      <c r="N12222" s="273"/>
    </row>
    <row r="12223" spans="1:14" ht="12.75" customHeight="1" x14ac:dyDescent="0.2">
      <c r="A12223" s="400"/>
      <c r="B12223" s="271"/>
      <c r="C12223" s="271"/>
      <c r="D12223" s="271"/>
      <c r="E12223" s="271"/>
      <c r="F12223" s="271"/>
      <c r="G12223" s="273"/>
      <c r="H12223" s="29" t="str">
        <f>IF(A12223="","",VLOOKUP(A12223,AA_Equipos,7,FALSE))</f>
        <v/>
      </c>
      <c r="I12223" s="394" t="str">
        <f>IF(A12223="","",VLOOKUP(A12223,AA_Equipos,8,FALSE))</f>
        <v/>
      </c>
      <c r="J12223" s="273"/>
      <c r="K12223" s="395"/>
      <c r="L12223" s="273"/>
      <c r="M12223" s="394" t="str">
        <f t="shared" si="1611"/>
        <v/>
      </c>
      <c r="N12223" s="273"/>
    </row>
    <row r="12224" spans="1:14" ht="12.75" customHeight="1" x14ac:dyDescent="0.2">
      <c r="A12224" s="400"/>
      <c r="B12224" s="271"/>
      <c r="C12224" s="271"/>
      <c r="D12224" s="271"/>
      <c r="E12224" s="271"/>
      <c r="F12224" s="271"/>
      <c r="G12224" s="273"/>
      <c r="H12224" s="29" t="str">
        <f>IF(A12224="","",VLOOKUP(A12224,AA_Equipos,7,FALSE))</f>
        <v/>
      </c>
      <c r="I12224" s="394" t="str">
        <f>IF(A12224="","",VLOOKUP(A12224,AA_Equipos,8,FALSE))</f>
        <v/>
      </c>
      <c r="J12224" s="273"/>
      <c r="K12224" s="395"/>
      <c r="L12224" s="273"/>
      <c r="M12224" s="394" t="str">
        <f t="shared" si="1611"/>
        <v/>
      </c>
      <c r="N12224" s="273"/>
    </row>
    <row r="12225" spans="1:14" ht="12.75" customHeight="1" x14ac:dyDescent="0.25">
      <c r="A12225" s="4"/>
      <c r="B12225" s="4"/>
      <c r="C12225" s="4"/>
      <c r="D12225" s="4"/>
      <c r="E12225" s="4"/>
      <c r="F12225" s="4"/>
      <c r="G12225" s="4"/>
      <c r="H12225" s="4"/>
      <c r="I12225" s="4"/>
      <c r="J12225" s="4"/>
      <c r="K12225" s="396" t="s">
        <v>444</v>
      </c>
      <c r="L12225" s="273"/>
      <c r="M12225" s="394">
        <f>SUM(M12220:N12224)</f>
        <v>12455</v>
      </c>
      <c r="N12225" s="273"/>
    </row>
    <row r="12226" spans="1:14" ht="12.75" customHeight="1" x14ac:dyDescent="0.25">
      <c r="A12226" s="4"/>
      <c r="B12226" s="4"/>
      <c r="C12226" s="4"/>
      <c r="D12226" s="4"/>
      <c r="E12226" s="4"/>
      <c r="F12226" s="4"/>
      <c r="G12226" s="4"/>
      <c r="H12226" s="4"/>
      <c r="I12226" s="4"/>
      <c r="J12226" s="4"/>
      <c r="K12226" s="4"/>
      <c r="L12226" s="4"/>
      <c r="M12226" s="4"/>
      <c r="N12226" s="4"/>
    </row>
    <row r="12227" spans="1:14" ht="12.75" customHeight="1" x14ac:dyDescent="0.2">
      <c r="A12227" s="398" t="s">
        <v>929</v>
      </c>
      <c r="B12227" s="271"/>
      <c r="C12227" s="271"/>
      <c r="D12227" s="271"/>
      <c r="E12227" s="271"/>
      <c r="F12227" s="271"/>
      <c r="G12227" s="271"/>
      <c r="H12227" s="271"/>
      <c r="I12227" s="271"/>
      <c r="J12227" s="271"/>
      <c r="K12227" s="271"/>
      <c r="L12227" s="271"/>
      <c r="M12227" s="271"/>
      <c r="N12227" s="273"/>
    </row>
    <row r="12228" spans="1:14" ht="12.75" customHeight="1" x14ac:dyDescent="0.2">
      <c r="A12228" s="396" t="s">
        <v>76</v>
      </c>
      <c r="B12228" s="271"/>
      <c r="C12228" s="271"/>
      <c r="D12228" s="271"/>
      <c r="E12228" s="271"/>
      <c r="F12228" s="271"/>
      <c r="G12228" s="273"/>
      <c r="H12228" s="88" t="s">
        <v>77</v>
      </c>
      <c r="I12228" s="399" t="s">
        <v>920</v>
      </c>
      <c r="J12228" s="273"/>
      <c r="K12228" s="399" t="s">
        <v>453</v>
      </c>
      <c r="L12228" s="273"/>
      <c r="M12228" s="399" t="s">
        <v>921</v>
      </c>
      <c r="N12228" s="273"/>
    </row>
    <row r="12229" spans="1:14" ht="12.75" customHeight="1" x14ac:dyDescent="0.2">
      <c r="A12229" s="400" t="s">
        <v>1559</v>
      </c>
      <c r="B12229" s="271"/>
      <c r="C12229" s="271"/>
      <c r="D12229" s="271"/>
      <c r="E12229" s="271"/>
      <c r="F12229" s="271"/>
      <c r="G12229" s="273"/>
      <c r="H12229" s="29" t="str">
        <f>IF(A12229="","",VLOOKUP(A12229,AA_Equipos,7,FALSE))</f>
        <v>Día</v>
      </c>
      <c r="I12229" s="394">
        <f>IF(A12229="","",VLOOKUP(A12229,AA_Equipos,8,FALSE))</f>
        <v>74400</v>
      </c>
      <c r="J12229" s="273"/>
      <c r="K12229" s="408">
        <v>0.5</v>
      </c>
      <c r="L12229" s="273"/>
      <c r="M12229" s="394">
        <f t="shared" ref="M12229:M12233" si="1612">IF(A12229="","",I12229*K12229)</f>
        <v>37200</v>
      </c>
      <c r="N12229" s="273"/>
    </row>
    <row r="12230" spans="1:14" ht="12.75" customHeight="1" x14ac:dyDescent="0.2">
      <c r="A12230" s="403"/>
      <c r="B12230" s="271"/>
      <c r="C12230" s="271"/>
      <c r="D12230" s="271"/>
      <c r="E12230" s="271"/>
      <c r="F12230" s="271"/>
      <c r="G12230" s="273"/>
      <c r="H12230" s="29"/>
      <c r="I12230" s="394"/>
      <c r="J12230" s="273"/>
      <c r="K12230" s="404"/>
      <c r="L12230" s="273"/>
      <c r="M12230" s="394" t="str">
        <f t="shared" si="1612"/>
        <v/>
      </c>
      <c r="N12230" s="273"/>
    </row>
    <row r="12231" spans="1:14" ht="12.75" customHeight="1" x14ac:dyDescent="0.2">
      <c r="A12231" s="400"/>
      <c r="B12231" s="271"/>
      <c r="C12231" s="271"/>
      <c r="D12231" s="271"/>
      <c r="E12231" s="271"/>
      <c r="F12231" s="271"/>
      <c r="G12231" s="273"/>
      <c r="H12231" s="29"/>
      <c r="I12231" s="394"/>
      <c r="J12231" s="273"/>
      <c r="K12231" s="395"/>
      <c r="L12231" s="273"/>
      <c r="M12231" s="394" t="str">
        <f t="shared" si="1612"/>
        <v/>
      </c>
      <c r="N12231" s="273"/>
    </row>
    <row r="12232" spans="1:14" ht="12.75" customHeight="1" x14ac:dyDescent="0.2">
      <c r="A12232" s="400"/>
      <c r="B12232" s="271"/>
      <c r="C12232" s="271"/>
      <c r="D12232" s="271"/>
      <c r="E12232" s="271"/>
      <c r="F12232" s="271"/>
      <c r="G12232" s="273"/>
      <c r="H12232" s="29"/>
      <c r="I12232" s="394"/>
      <c r="J12232" s="273"/>
      <c r="K12232" s="395"/>
      <c r="L12232" s="273"/>
      <c r="M12232" s="394" t="str">
        <f t="shared" si="1612"/>
        <v/>
      </c>
      <c r="N12232" s="273"/>
    </row>
    <row r="12233" spans="1:14" ht="12.75" customHeight="1" x14ac:dyDescent="0.2">
      <c r="A12233" s="400"/>
      <c r="B12233" s="271"/>
      <c r="C12233" s="271"/>
      <c r="D12233" s="271"/>
      <c r="E12233" s="271"/>
      <c r="F12233" s="271"/>
      <c r="G12233" s="273"/>
      <c r="H12233" s="29"/>
      <c r="I12233" s="394"/>
      <c r="J12233" s="273"/>
      <c r="K12233" s="395"/>
      <c r="L12233" s="273"/>
      <c r="M12233" s="394" t="str">
        <f t="shared" si="1612"/>
        <v/>
      </c>
      <c r="N12233" s="273"/>
    </row>
    <row r="12234" spans="1:14" ht="12.75" customHeight="1" x14ac:dyDescent="0.25">
      <c r="A12234" s="4"/>
      <c r="B12234" s="4"/>
      <c r="C12234" s="4"/>
      <c r="D12234" s="4"/>
      <c r="E12234" s="4"/>
      <c r="F12234" s="4"/>
      <c r="G12234" s="4"/>
      <c r="H12234" s="4"/>
      <c r="I12234" s="4"/>
      <c r="J12234" s="4"/>
      <c r="K12234" s="396" t="s">
        <v>444</v>
      </c>
      <c r="L12234" s="273"/>
      <c r="M12234" s="394">
        <f>SUM(M12229:N12233)</f>
        <v>37200</v>
      </c>
      <c r="N12234" s="273"/>
    </row>
    <row r="12235" spans="1:14" ht="12.75" customHeight="1" x14ac:dyDescent="0.25">
      <c r="A12235" s="4"/>
      <c r="B12235" s="4"/>
      <c r="C12235" s="4"/>
      <c r="D12235" s="4"/>
      <c r="E12235" s="4"/>
      <c r="F12235" s="4"/>
      <c r="G12235" s="4"/>
      <c r="H12235" s="4"/>
      <c r="I12235" s="4"/>
      <c r="J12235" s="4"/>
      <c r="K12235" s="4"/>
      <c r="L12235" s="4"/>
      <c r="M12235" s="4"/>
      <c r="N12235" s="4"/>
    </row>
    <row r="12236" spans="1:14" ht="12.75" customHeight="1" x14ac:dyDescent="0.2">
      <c r="A12236" s="398" t="s">
        <v>931</v>
      </c>
      <c r="B12236" s="271"/>
      <c r="C12236" s="271"/>
      <c r="D12236" s="271"/>
      <c r="E12236" s="271"/>
      <c r="F12236" s="271"/>
      <c r="G12236" s="271"/>
      <c r="H12236" s="271"/>
      <c r="I12236" s="271"/>
      <c r="J12236" s="271"/>
      <c r="K12236" s="271"/>
      <c r="L12236" s="271"/>
      <c r="M12236" s="271"/>
      <c r="N12236" s="273"/>
    </row>
    <row r="12237" spans="1:14" ht="12.75" customHeight="1" x14ac:dyDescent="0.2">
      <c r="A12237" s="396" t="s">
        <v>76</v>
      </c>
      <c r="B12237" s="271"/>
      <c r="C12237" s="271"/>
      <c r="D12237" s="271"/>
      <c r="E12237" s="271"/>
      <c r="F12237" s="271"/>
      <c r="G12237" s="273"/>
      <c r="H12237" s="88" t="s">
        <v>77</v>
      </c>
      <c r="I12237" s="399" t="s">
        <v>920</v>
      </c>
      <c r="J12237" s="273"/>
      <c r="K12237" s="90" t="s">
        <v>514</v>
      </c>
      <c r="L12237" s="91" t="s">
        <v>932</v>
      </c>
      <c r="M12237" s="399" t="s">
        <v>921</v>
      </c>
      <c r="N12237" s="273"/>
    </row>
    <row r="12238" spans="1:14" ht="12.75" customHeight="1" x14ac:dyDescent="0.25">
      <c r="A12238" s="393" t="s">
        <v>1301</v>
      </c>
      <c r="B12238" s="271"/>
      <c r="C12238" s="271"/>
      <c r="D12238" s="271"/>
      <c r="E12238" s="271"/>
      <c r="F12238" s="271"/>
      <c r="G12238" s="273"/>
      <c r="H12238" s="29" t="str">
        <f>IF(A12238="","",VLOOKUP(A12238,AA_Cuadrillas,4,FALSE))</f>
        <v>Cuadrilla</v>
      </c>
      <c r="I12238" s="394">
        <f>IF(A12238="","",VLOOKUP(A12238,AA_Cuadrillas,5,FALSE))</f>
        <v>132500</v>
      </c>
      <c r="J12238" s="273"/>
      <c r="K12238" s="9">
        <f>IF(A12238="","",F.P!$I$2)</f>
        <v>1.88</v>
      </c>
      <c r="L12238" s="97">
        <v>1</v>
      </c>
      <c r="M12238" s="394">
        <f t="shared" ref="M12238:M12242" si="1613">IF(A12238="","",I12238*K12238*L12238)</f>
        <v>249100</v>
      </c>
      <c r="N12238" s="273"/>
    </row>
    <row r="12239" spans="1:14" ht="12.75" customHeight="1" x14ac:dyDescent="0.25">
      <c r="A12239" s="393"/>
      <c r="B12239" s="271"/>
      <c r="C12239" s="271"/>
      <c r="D12239" s="271"/>
      <c r="E12239" s="271"/>
      <c r="F12239" s="271"/>
      <c r="G12239" s="273"/>
      <c r="H12239" s="29" t="str">
        <f>IF(A12239="","",VLOOKUP(A12239,AA_Cuadrillas,4,FALSE))</f>
        <v/>
      </c>
      <c r="I12239" s="394" t="str">
        <f>IF(A12239="","",VLOOKUP(A12239,AA_Cuadrillas,5,FALSE))</f>
        <v/>
      </c>
      <c r="J12239" s="273"/>
      <c r="K12239" s="9" t="str">
        <f>IF(A12239="","",F.P!$I$2)</f>
        <v/>
      </c>
      <c r="L12239" s="9"/>
      <c r="M12239" s="394" t="str">
        <f t="shared" si="1613"/>
        <v/>
      </c>
      <c r="N12239" s="273"/>
    </row>
    <row r="12240" spans="1:14" ht="12.75" customHeight="1" x14ac:dyDescent="0.25">
      <c r="A12240" s="393"/>
      <c r="B12240" s="271"/>
      <c r="C12240" s="271"/>
      <c r="D12240" s="271"/>
      <c r="E12240" s="271"/>
      <c r="F12240" s="271"/>
      <c r="G12240" s="273"/>
      <c r="H12240" s="29" t="str">
        <f>IF(A12240="","",VLOOKUP(A12240,AA_Cuadrillas,4,FALSE))</f>
        <v/>
      </c>
      <c r="I12240" s="394" t="str">
        <f>IF(A12240="","",VLOOKUP(A12240,AA_Cuadrillas,5,FALSE))</f>
        <v/>
      </c>
      <c r="J12240" s="273"/>
      <c r="K12240" s="9" t="str">
        <f>IF(A12240="","",F.P!$I$2)</f>
        <v/>
      </c>
      <c r="L12240" s="37"/>
      <c r="M12240" s="394" t="str">
        <f t="shared" si="1613"/>
        <v/>
      </c>
      <c r="N12240" s="273"/>
    </row>
    <row r="12241" spans="1:14" ht="12.75" customHeight="1" x14ac:dyDescent="0.25">
      <c r="A12241" s="393"/>
      <c r="B12241" s="271"/>
      <c r="C12241" s="271"/>
      <c r="D12241" s="271"/>
      <c r="E12241" s="271"/>
      <c r="F12241" s="271"/>
      <c r="G12241" s="273"/>
      <c r="H12241" s="29" t="str">
        <f>IF(A12241="","",VLOOKUP(A12241,AA_Cuadrillas,4,FALSE))</f>
        <v/>
      </c>
      <c r="I12241" s="394" t="str">
        <f>IF(A12241="","",VLOOKUP(A12241,AA_Cuadrillas,5,FALSE))</f>
        <v/>
      </c>
      <c r="J12241" s="273"/>
      <c r="K12241" s="9" t="str">
        <f>IF(A12241="","",F.P!$I$2)</f>
        <v/>
      </c>
      <c r="L12241" s="97"/>
      <c r="M12241" s="394" t="str">
        <f t="shared" si="1613"/>
        <v/>
      </c>
      <c r="N12241" s="273"/>
    </row>
    <row r="12242" spans="1:14" ht="12.75" customHeight="1" x14ac:dyDescent="0.25">
      <c r="A12242" s="393"/>
      <c r="B12242" s="271"/>
      <c r="C12242" s="271"/>
      <c r="D12242" s="271"/>
      <c r="E12242" s="271"/>
      <c r="F12242" s="271"/>
      <c r="G12242" s="273"/>
      <c r="H12242" s="29" t="str">
        <f>IF(A12242="","",VLOOKUP(A12242,AA_Cuadrillas,4,FALSE))</f>
        <v/>
      </c>
      <c r="I12242" s="394" t="str">
        <f>IF(A12242="","",VLOOKUP(A12242,AA_Cuadrillas,5,FALSE))</f>
        <v/>
      </c>
      <c r="J12242" s="273"/>
      <c r="K12242" s="9" t="str">
        <f>IF(A12242="","",F.P!$I$2)</f>
        <v/>
      </c>
      <c r="L12242" s="37"/>
      <c r="M12242" s="394" t="str">
        <f t="shared" si="1613"/>
        <v/>
      </c>
      <c r="N12242" s="273"/>
    </row>
    <row r="12243" spans="1:14" ht="12.75" customHeight="1" x14ac:dyDescent="0.25">
      <c r="A12243" s="4"/>
      <c r="B12243" s="4"/>
      <c r="C12243" s="4"/>
      <c r="D12243" s="4"/>
      <c r="E12243" s="4"/>
      <c r="F12243" s="4"/>
      <c r="G12243" s="4"/>
      <c r="H12243" s="4"/>
      <c r="I12243" s="4"/>
      <c r="J12243" s="4"/>
      <c r="K12243" s="396" t="s">
        <v>444</v>
      </c>
      <c r="L12243" s="273"/>
      <c r="M12243" s="394">
        <f>SUM(M12238:N12242)</f>
        <v>249100</v>
      </c>
      <c r="N12243" s="273"/>
    </row>
    <row r="12244" spans="1:14" ht="12.75" customHeight="1" x14ac:dyDescent="0.2"/>
    <row r="12245" spans="1:14" ht="12.75" customHeight="1" x14ac:dyDescent="0.2">
      <c r="A12245" s="397" t="s">
        <v>397</v>
      </c>
      <c r="B12245" s="275"/>
      <c r="C12245" s="275"/>
      <c r="D12245" s="275"/>
      <c r="E12245" s="275"/>
      <c r="F12245" s="275"/>
      <c r="G12245" s="275"/>
      <c r="H12245" s="275"/>
      <c r="I12245" s="275"/>
      <c r="J12245" s="275"/>
      <c r="K12245" s="275"/>
      <c r="L12245" s="275"/>
      <c r="M12245" s="275"/>
      <c r="N12245" s="276"/>
    </row>
    <row r="12246" spans="1:14" ht="12.75" customHeight="1" x14ac:dyDescent="0.2">
      <c r="A12246" s="277"/>
      <c r="B12246" s="278"/>
      <c r="C12246" s="278"/>
      <c r="D12246" s="278"/>
      <c r="E12246" s="278"/>
      <c r="F12246" s="278"/>
      <c r="G12246" s="278"/>
      <c r="H12246" s="278"/>
      <c r="I12246" s="278"/>
      <c r="J12246" s="278"/>
      <c r="K12246" s="278"/>
      <c r="L12246" s="278"/>
      <c r="M12246" s="278"/>
      <c r="N12246" s="279"/>
    </row>
    <row r="12247" spans="1:14" ht="12.75" customHeight="1" x14ac:dyDescent="0.2">
      <c r="A12247" s="75"/>
      <c r="B12247" s="75"/>
      <c r="C12247" s="75"/>
      <c r="D12247" s="75"/>
      <c r="E12247" s="75"/>
      <c r="F12247" s="75"/>
      <c r="G12247" s="75"/>
      <c r="H12247" s="75"/>
      <c r="I12247" s="75"/>
      <c r="J12247" s="75"/>
      <c r="K12247" s="75"/>
      <c r="L12247" s="75"/>
      <c r="M12247" s="75"/>
      <c r="N12247" s="75"/>
    </row>
    <row r="12248" spans="1:14" ht="12.75" customHeight="1" x14ac:dyDescent="0.3">
      <c r="A12248" s="79" t="s">
        <v>883</v>
      </c>
      <c r="B12248" s="80" t="str">
        <f>A12245</f>
        <v>SUMIISTRO E INSTALACIÓN DE TRANSFERENCIA AUTOMÁTICA 60A 440V DE DOS CONTACTORES TRIPOLARES ENCLAVADO MECÁNICAMENTE, CON TRANSFERENCIA ELEGIBLE MEDIANTE UN SELECTOR (INCLUYE CAÍDA DE FASE, PROTECCIÓN DE CONTROL Y CONTACTO PARA ENCENDIDO DE PLANTA)</v>
      </c>
      <c r="C12248" s="81" t="s">
        <v>916</v>
      </c>
      <c r="D12248" s="82" t="s">
        <v>999</v>
      </c>
      <c r="E12248" s="83" t="s">
        <v>445</v>
      </c>
      <c r="F12248" s="86">
        <f>H12248+J12248+L12248+N12248</f>
        <v>5517446</v>
      </c>
      <c r="G12248" s="83" t="s">
        <v>607</v>
      </c>
      <c r="H12248" s="86">
        <f>M12268</f>
        <v>4919936</v>
      </c>
      <c r="I12248" s="83" t="s">
        <v>918</v>
      </c>
      <c r="J12248" s="86">
        <f>M12277</f>
        <v>24910</v>
      </c>
      <c r="K12248" s="83" t="s">
        <v>609</v>
      </c>
      <c r="L12248" s="86">
        <f>M12286</f>
        <v>74400</v>
      </c>
      <c r="M12248" s="83" t="s">
        <v>610</v>
      </c>
      <c r="N12248" s="86">
        <f>M12295</f>
        <v>498200</v>
      </c>
    </row>
    <row r="12249" spans="1:14" ht="12.75" customHeight="1" x14ac:dyDescent="0.25">
      <c r="A12249" s="87"/>
      <c r="B12249" s="87"/>
      <c r="C12249" s="87"/>
      <c r="D12249" s="87"/>
      <c r="E12249" s="87"/>
      <c r="F12249" s="87"/>
      <c r="G12249" s="87"/>
      <c r="H12249" s="12"/>
      <c r="I12249" s="12"/>
      <c r="J12249" s="87"/>
      <c r="K12249" s="215" t="s">
        <v>3217</v>
      </c>
      <c r="L12249" s="215">
        <f>+F12248*presup!$O$5</f>
        <v>7172679.7999999998</v>
      </c>
      <c r="M12249" s="87"/>
      <c r="N12249" s="87"/>
    </row>
    <row r="12250" spans="1:14" ht="12.75" customHeight="1" x14ac:dyDescent="0.2">
      <c r="A12250" s="398" t="s">
        <v>919</v>
      </c>
      <c r="B12250" s="271"/>
      <c r="C12250" s="271"/>
      <c r="D12250" s="271"/>
      <c r="E12250" s="271"/>
      <c r="F12250" s="271"/>
      <c r="G12250" s="271"/>
      <c r="H12250" s="271"/>
      <c r="I12250" s="271"/>
      <c r="J12250" s="271"/>
      <c r="K12250" s="271"/>
      <c r="L12250" s="271"/>
      <c r="M12250" s="271"/>
      <c r="N12250" s="273"/>
    </row>
    <row r="12251" spans="1:14" ht="12.75" customHeight="1" x14ac:dyDescent="0.2">
      <c r="A12251" s="396" t="s">
        <v>76</v>
      </c>
      <c r="B12251" s="271"/>
      <c r="C12251" s="271"/>
      <c r="D12251" s="271"/>
      <c r="E12251" s="271"/>
      <c r="F12251" s="271"/>
      <c r="G12251" s="273"/>
      <c r="H12251" s="88" t="s">
        <v>77</v>
      </c>
      <c r="I12251" s="399" t="s">
        <v>920</v>
      </c>
      <c r="J12251" s="273"/>
      <c r="K12251" s="399" t="s">
        <v>453</v>
      </c>
      <c r="L12251" s="273"/>
      <c r="M12251" s="399" t="s">
        <v>921</v>
      </c>
      <c r="N12251" s="273"/>
    </row>
    <row r="12252" spans="1:14" ht="12.75" customHeight="1" x14ac:dyDescent="0.25">
      <c r="A12252" s="309" t="s">
        <v>1594</v>
      </c>
      <c r="B12252" s="271"/>
      <c r="C12252" s="271"/>
      <c r="D12252" s="271"/>
      <c r="E12252" s="271"/>
      <c r="F12252" s="271"/>
      <c r="G12252" s="273"/>
      <c r="H12252" s="29" t="str">
        <f t="shared" ref="H12252:H12267" si="1614">IF(A12252="","",VLOOKUP(A12252,AA_Materiales,7,FALSE))</f>
        <v>Unidad</v>
      </c>
      <c r="I12252" s="394">
        <f t="shared" ref="I12252:I12267" si="1615">IF(A12252="","",VLOOKUP(A12252,AA_Materiales,8,FALSE))</f>
        <v>4919936</v>
      </c>
      <c r="J12252" s="273"/>
      <c r="K12252" s="393">
        <v>1</v>
      </c>
      <c r="L12252" s="273"/>
      <c r="M12252" s="394">
        <f t="shared" ref="M12252:M12267" si="1616">IF(A12252="","",I12252*K12252)</f>
        <v>4919936</v>
      </c>
      <c r="N12252" s="273"/>
    </row>
    <row r="12253" spans="1:14" ht="12.75" customHeight="1" x14ac:dyDescent="0.25">
      <c r="A12253" s="309"/>
      <c r="B12253" s="271"/>
      <c r="C12253" s="271"/>
      <c r="D12253" s="271"/>
      <c r="E12253" s="271"/>
      <c r="F12253" s="271"/>
      <c r="G12253" s="273"/>
      <c r="H12253" s="29" t="str">
        <f t="shared" si="1614"/>
        <v/>
      </c>
      <c r="I12253" s="394" t="str">
        <f t="shared" si="1615"/>
        <v/>
      </c>
      <c r="J12253" s="273"/>
      <c r="K12253" s="393"/>
      <c r="L12253" s="273"/>
      <c r="M12253" s="394" t="str">
        <f t="shared" si="1616"/>
        <v/>
      </c>
      <c r="N12253" s="273"/>
    </row>
    <row r="12254" spans="1:14" ht="12.75" customHeight="1" x14ac:dyDescent="0.25">
      <c r="A12254" s="309"/>
      <c r="B12254" s="271"/>
      <c r="C12254" s="271"/>
      <c r="D12254" s="271"/>
      <c r="E12254" s="271"/>
      <c r="F12254" s="271"/>
      <c r="G12254" s="273"/>
      <c r="H12254" s="29" t="str">
        <f t="shared" si="1614"/>
        <v/>
      </c>
      <c r="I12254" s="394" t="str">
        <f t="shared" si="1615"/>
        <v/>
      </c>
      <c r="J12254" s="273"/>
      <c r="K12254" s="393"/>
      <c r="L12254" s="273"/>
      <c r="M12254" s="394" t="str">
        <f t="shared" si="1616"/>
        <v/>
      </c>
      <c r="N12254" s="273"/>
    </row>
    <row r="12255" spans="1:14" ht="12.75" customHeight="1" x14ac:dyDescent="0.25">
      <c r="A12255" s="309"/>
      <c r="B12255" s="271"/>
      <c r="C12255" s="271"/>
      <c r="D12255" s="271"/>
      <c r="E12255" s="271"/>
      <c r="F12255" s="271"/>
      <c r="G12255" s="273"/>
      <c r="H12255" s="29" t="str">
        <f t="shared" si="1614"/>
        <v/>
      </c>
      <c r="I12255" s="394" t="str">
        <f t="shared" si="1615"/>
        <v/>
      </c>
      <c r="J12255" s="273"/>
      <c r="K12255" s="393"/>
      <c r="L12255" s="273"/>
      <c r="M12255" s="394" t="str">
        <f t="shared" si="1616"/>
        <v/>
      </c>
      <c r="N12255" s="273"/>
    </row>
    <row r="12256" spans="1:14" ht="12.75" customHeight="1" x14ac:dyDescent="0.25">
      <c r="A12256" s="309"/>
      <c r="B12256" s="271"/>
      <c r="C12256" s="271"/>
      <c r="D12256" s="271"/>
      <c r="E12256" s="271"/>
      <c r="F12256" s="271"/>
      <c r="G12256" s="273"/>
      <c r="H12256" s="29" t="str">
        <f t="shared" si="1614"/>
        <v/>
      </c>
      <c r="I12256" s="394" t="str">
        <f t="shared" si="1615"/>
        <v/>
      </c>
      <c r="J12256" s="273"/>
      <c r="K12256" s="393"/>
      <c r="L12256" s="273"/>
      <c r="M12256" s="394" t="str">
        <f t="shared" si="1616"/>
        <v/>
      </c>
      <c r="N12256" s="273"/>
    </row>
    <row r="12257" spans="1:14" ht="12.75" customHeight="1" x14ac:dyDescent="0.25">
      <c r="A12257" s="309"/>
      <c r="B12257" s="271"/>
      <c r="C12257" s="271"/>
      <c r="D12257" s="271"/>
      <c r="E12257" s="271"/>
      <c r="F12257" s="271"/>
      <c r="G12257" s="273"/>
      <c r="H12257" s="29" t="str">
        <f t="shared" si="1614"/>
        <v/>
      </c>
      <c r="I12257" s="394" t="str">
        <f t="shared" si="1615"/>
        <v/>
      </c>
      <c r="J12257" s="273"/>
      <c r="K12257" s="393"/>
      <c r="L12257" s="273"/>
      <c r="M12257" s="394" t="str">
        <f t="shared" si="1616"/>
        <v/>
      </c>
      <c r="N12257" s="273"/>
    </row>
    <row r="12258" spans="1:14" ht="12.75" customHeight="1" x14ac:dyDescent="0.25">
      <c r="A12258" s="309"/>
      <c r="B12258" s="271"/>
      <c r="C12258" s="271"/>
      <c r="D12258" s="271"/>
      <c r="E12258" s="271"/>
      <c r="F12258" s="271"/>
      <c r="G12258" s="273"/>
      <c r="H12258" s="29" t="str">
        <f t="shared" si="1614"/>
        <v/>
      </c>
      <c r="I12258" s="394" t="str">
        <f t="shared" si="1615"/>
        <v/>
      </c>
      <c r="J12258" s="273"/>
      <c r="K12258" s="393"/>
      <c r="L12258" s="273"/>
      <c r="M12258" s="394" t="str">
        <f t="shared" si="1616"/>
        <v/>
      </c>
      <c r="N12258" s="273"/>
    </row>
    <row r="12259" spans="1:14" ht="12.75" customHeight="1" x14ac:dyDescent="0.25">
      <c r="A12259" s="309"/>
      <c r="B12259" s="271"/>
      <c r="C12259" s="271"/>
      <c r="D12259" s="271"/>
      <c r="E12259" s="271"/>
      <c r="F12259" s="271"/>
      <c r="G12259" s="273"/>
      <c r="H12259" s="29" t="str">
        <f t="shared" si="1614"/>
        <v/>
      </c>
      <c r="I12259" s="394" t="str">
        <f t="shared" si="1615"/>
        <v/>
      </c>
      <c r="J12259" s="273"/>
      <c r="K12259" s="393"/>
      <c r="L12259" s="273"/>
      <c r="M12259" s="394" t="str">
        <f t="shared" si="1616"/>
        <v/>
      </c>
      <c r="N12259" s="273"/>
    </row>
    <row r="12260" spans="1:14" ht="12.75" customHeight="1" x14ac:dyDescent="0.25">
      <c r="A12260" s="309"/>
      <c r="B12260" s="271"/>
      <c r="C12260" s="271"/>
      <c r="D12260" s="271"/>
      <c r="E12260" s="271"/>
      <c r="F12260" s="271"/>
      <c r="G12260" s="273"/>
      <c r="H12260" s="29" t="str">
        <f t="shared" si="1614"/>
        <v/>
      </c>
      <c r="I12260" s="394" t="str">
        <f t="shared" si="1615"/>
        <v/>
      </c>
      <c r="J12260" s="273"/>
      <c r="K12260" s="393"/>
      <c r="L12260" s="273"/>
      <c r="M12260" s="394" t="str">
        <f t="shared" si="1616"/>
        <v/>
      </c>
      <c r="N12260" s="273"/>
    </row>
    <row r="12261" spans="1:14" ht="12.75" customHeight="1" x14ac:dyDescent="0.25">
      <c r="A12261" s="309"/>
      <c r="B12261" s="271"/>
      <c r="C12261" s="271"/>
      <c r="D12261" s="271"/>
      <c r="E12261" s="271"/>
      <c r="F12261" s="271"/>
      <c r="G12261" s="273"/>
      <c r="H12261" s="29" t="str">
        <f t="shared" si="1614"/>
        <v/>
      </c>
      <c r="I12261" s="394" t="str">
        <f t="shared" si="1615"/>
        <v/>
      </c>
      <c r="J12261" s="273"/>
      <c r="K12261" s="393"/>
      <c r="L12261" s="273"/>
      <c r="M12261" s="394" t="str">
        <f t="shared" si="1616"/>
        <v/>
      </c>
      <c r="N12261" s="273"/>
    </row>
    <row r="12262" spans="1:14" ht="12.75" customHeight="1" x14ac:dyDescent="0.25">
      <c r="A12262" s="309"/>
      <c r="B12262" s="271"/>
      <c r="C12262" s="271"/>
      <c r="D12262" s="271"/>
      <c r="E12262" s="271"/>
      <c r="F12262" s="271"/>
      <c r="G12262" s="273"/>
      <c r="H12262" s="29" t="str">
        <f t="shared" si="1614"/>
        <v/>
      </c>
      <c r="I12262" s="394" t="str">
        <f t="shared" si="1615"/>
        <v/>
      </c>
      <c r="J12262" s="273"/>
      <c r="K12262" s="393"/>
      <c r="L12262" s="273"/>
      <c r="M12262" s="394" t="str">
        <f t="shared" si="1616"/>
        <v/>
      </c>
      <c r="N12262" s="273"/>
    </row>
    <row r="12263" spans="1:14" ht="12.75" customHeight="1" x14ac:dyDescent="0.25">
      <c r="A12263" s="426"/>
      <c r="B12263" s="271"/>
      <c r="C12263" s="271"/>
      <c r="D12263" s="271"/>
      <c r="E12263" s="271"/>
      <c r="F12263" s="271"/>
      <c r="G12263" s="273"/>
      <c r="H12263" s="29" t="str">
        <f t="shared" si="1614"/>
        <v/>
      </c>
      <c r="I12263" s="394" t="str">
        <f t="shared" si="1615"/>
        <v/>
      </c>
      <c r="J12263" s="273"/>
      <c r="K12263" s="393"/>
      <c r="L12263" s="273"/>
      <c r="M12263" s="394" t="str">
        <f t="shared" si="1616"/>
        <v/>
      </c>
      <c r="N12263" s="273"/>
    </row>
    <row r="12264" spans="1:14" ht="12.75" customHeight="1" x14ac:dyDescent="0.25">
      <c r="A12264" s="426"/>
      <c r="B12264" s="271"/>
      <c r="C12264" s="271"/>
      <c r="D12264" s="271"/>
      <c r="E12264" s="271"/>
      <c r="F12264" s="271"/>
      <c r="G12264" s="273"/>
      <c r="H12264" s="29" t="str">
        <f t="shared" si="1614"/>
        <v/>
      </c>
      <c r="I12264" s="394" t="str">
        <f t="shared" si="1615"/>
        <v/>
      </c>
      <c r="J12264" s="273"/>
      <c r="K12264" s="393"/>
      <c r="L12264" s="273"/>
      <c r="M12264" s="394" t="str">
        <f t="shared" si="1616"/>
        <v/>
      </c>
      <c r="N12264" s="273"/>
    </row>
    <row r="12265" spans="1:14" ht="12.75" customHeight="1" x14ac:dyDescent="0.25">
      <c r="A12265" s="426"/>
      <c r="B12265" s="271"/>
      <c r="C12265" s="271"/>
      <c r="D12265" s="271"/>
      <c r="E12265" s="271"/>
      <c r="F12265" s="271"/>
      <c r="G12265" s="273"/>
      <c r="H12265" s="29" t="str">
        <f t="shared" si="1614"/>
        <v/>
      </c>
      <c r="I12265" s="394" t="str">
        <f t="shared" si="1615"/>
        <v/>
      </c>
      <c r="J12265" s="273"/>
      <c r="K12265" s="393"/>
      <c r="L12265" s="273"/>
      <c r="M12265" s="394" t="str">
        <f t="shared" si="1616"/>
        <v/>
      </c>
      <c r="N12265" s="273"/>
    </row>
    <row r="12266" spans="1:14" ht="12.75" customHeight="1" x14ac:dyDescent="0.25">
      <c r="A12266" s="426"/>
      <c r="B12266" s="271"/>
      <c r="C12266" s="271"/>
      <c r="D12266" s="271"/>
      <c r="E12266" s="271"/>
      <c r="F12266" s="271"/>
      <c r="G12266" s="273"/>
      <c r="H12266" s="29" t="str">
        <f t="shared" si="1614"/>
        <v/>
      </c>
      <c r="I12266" s="394" t="str">
        <f t="shared" si="1615"/>
        <v/>
      </c>
      <c r="J12266" s="273"/>
      <c r="K12266" s="393"/>
      <c r="L12266" s="273"/>
      <c r="M12266" s="394" t="str">
        <f t="shared" si="1616"/>
        <v/>
      </c>
      <c r="N12266" s="273"/>
    </row>
    <row r="12267" spans="1:14" ht="12.75" customHeight="1" x14ac:dyDescent="0.25">
      <c r="A12267" s="426"/>
      <c r="B12267" s="271"/>
      <c r="C12267" s="271"/>
      <c r="D12267" s="271"/>
      <c r="E12267" s="271"/>
      <c r="F12267" s="271"/>
      <c r="G12267" s="273"/>
      <c r="H12267" s="29" t="str">
        <f t="shared" si="1614"/>
        <v/>
      </c>
      <c r="I12267" s="394" t="str">
        <f t="shared" si="1615"/>
        <v/>
      </c>
      <c r="J12267" s="273"/>
      <c r="K12267" s="393"/>
      <c r="L12267" s="273"/>
      <c r="M12267" s="394" t="str">
        <f t="shared" si="1616"/>
        <v/>
      </c>
      <c r="N12267" s="273"/>
    </row>
    <row r="12268" spans="1:14" ht="12.75" customHeight="1" x14ac:dyDescent="0.25">
      <c r="A12268" s="4"/>
      <c r="B12268" s="4"/>
      <c r="C12268" s="4"/>
      <c r="D12268" s="4"/>
      <c r="E12268" s="4"/>
      <c r="F12268" s="4"/>
      <c r="G12268" s="4"/>
      <c r="H12268" s="4"/>
      <c r="I12268" s="4"/>
      <c r="J12268" s="4"/>
      <c r="K12268" s="396" t="s">
        <v>444</v>
      </c>
      <c r="L12268" s="273"/>
      <c r="M12268" s="394">
        <f>SUM(M12252:N12267)</f>
        <v>4919936</v>
      </c>
      <c r="N12268" s="273"/>
    </row>
    <row r="12269" spans="1:14" ht="12.75" customHeight="1" x14ac:dyDescent="0.25">
      <c r="A12269" s="4"/>
      <c r="B12269" s="4"/>
      <c r="C12269" s="4"/>
      <c r="D12269" s="4"/>
      <c r="E12269" s="4"/>
      <c r="F12269" s="4"/>
      <c r="G12269" s="4"/>
      <c r="H12269" s="4"/>
      <c r="I12269" s="4"/>
      <c r="J12269" s="4"/>
      <c r="K12269" s="4"/>
      <c r="L12269" s="4"/>
      <c r="M12269" s="4"/>
      <c r="N12269" s="4"/>
    </row>
    <row r="12270" spans="1:14" ht="12.75" customHeight="1" x14ac:dyDescent="0.2">
      <c r="A12270" s="398" t="s">
        <v>926</v>
      </c>
      <c r="B12270" s="271"/>
      <c r="C12270" s="271"/>
      <c r="D12270" s="271"/>
      <c r="E12270" s="271"/>
      <c r="F12270" s="271"/>
      <c r="G12270" s="271"/>
      <c r="H12270" s="271"/>
      <c r="I12270" s="271"/>
      <c r="J12270" s="271"/>
      <c r="K12270" s="271"/>
      <c r="L12270" s="271"/>
      <c r="M12270" s="271"/>
      <c r="N12270" s="273"/>
    </row>
    <row r="12271" spans="1:14" ht="12.75" customHeight="1" x14ac:dyDescent="0.2">
      <c r="A12271" s="396" t="s">
        <v>76</v>
      </c>
      <c r="B12271" s="271"/>
      <c r="C12271" s="271"/>
      <c r="D12271" s="271"/>
      <c r="E12271" s="271"/>
      <c r="F12271" s="271"/>
      <c r="G12271" s="273"/>
      <c r="H12271" s="88" t="s">
        <v>77</v>
      </c>
      <c r="I12271" s="399" t="s">
        <v>920</v>
      </c>
      <c r="J12271" s="273"/>
      <c r="K12271" s="399" t="s">
        <v>453</v>
      </c>
      <c r="L12271" s="273"/>
      <c r="M12271" s="399" t="s">
        <v>921</v>
      </c>
      <c r="N12271" s="273"/>
    </row>
    <row r="12272" spans="1:14" ht="12.75" customHeight="1" x14ac:dyDescent="0.2">
      <c r="A12272" s="400" t="s">
        <v>927</v>
      </c>
      <c r="B12272" s="271"/>
      <c r="C12272" s="271"/>
      <c r="D12272" s="271"/>
      <c r="E12272" s="271"/>
      <c r="F12272" s="271"/>
      <c r="G12272" s="273"/>
      <c r="H12272" s="29" t="str">
        <f>IF(A12272="","",VLOOKUP(A12272,AA_Equipos,7,FALSE))</f>
        <v>% M.O.</v>
      </c>
      <c r="I12272" s="394">
        <f>+M12295</f>
        <v>498200</v>
      </c>
      <c r="J12272" s="273"/>
      <c r="K12272" s="404">
        <v>0.05</v>
      </c>
      <c r="L12272" s="273"/>
      <c r="M12272" s="394">
        <f t="shared" ref="M12272:M12276" si="1617">IF(A12272="","",I12272*K12272)</f>
        <v>24910</v>
      </c>
      <c r="N12272" s="273"/>
    </row>
    <row r="12273" spans="1:14" ht="12.75" customHeight="1" x14ac:dyDescent="0.2">
      <c r="A12273" s="403"/>
      <c r="B12273" s="271"/>
      <c r="C12273" s="271"/>
      <c r="D12273" s="271"/>
      <c r="E12273" s="271"/>
      <c r="F12273" s="271"/>
      <c r="G12273" s="273"/>
      <c r="H12273" s="29" t="str">
        <f>IF(A12273="","",VLOOKUP(A12273,AA_Equipos,7,FALSE))</f>
        <v/>
      </c>
      <c r="I12273" s="394" t="str">
        <f>IF(A12273="","",VLOOKUP(A12273,AA_Equipos,8,FALSE))</f>
        <v/>
      </c>
      <c r="J12273" s="273"/>
      <c r="K12273" s="402"/>
      <c r="L12273" s="273"/>
      <c r="M12273" s="394" t="str">
        <f t="shared" si="1617"/>
        <v/>
      </c>
      <c r="N12273" s="273"/>
    </row>
    <row r="12274" spans="1:14" ht="12.75" customHeight="1" x14ac:dyDescent="0.2">
      <c r="A12274" s="400"/>
      <c r="B12274" s="271"/>
      <c r="C12274" s="271"/>
      <c r="D12274" s="271"/>
      <c r="E12274" s="271"/>
      <c r="F12274" s="271"/>
      <c r="G12274" s="273"/>
      <c r="H12274" s="29" t="str">
        <f>IF(A12274="","",VLOOKUP(A12274,AA_Equipos,7,FALSE))</f>
        <v/>
      </c>
      <c r="I12274" s="394" t="str">
        <f>IF(A12274="","",VLOOKUP(A12274,AA_Equipos,8,FALSE))</f>
        <v/>
      </c>
      <c r="J12274" s="273"/>
      <c r="K12274" s="401"/>
      <c r="L12274" s="273"/>
      <c r="M12274" s="394" t="str">
        <f t="shared" si="1617"/>
        <v/>
      </c>
      <c r="N12274" s="273"/>
    </row>
    <row r="12275" spans="1:14" ht="12.75" customHeight="1" x14ac:dyDescent="0.2">
      <c r="A12275" s="400"/>
      <c r="B12275" s="271"/>
      <c r="C12275" s="271"/>
      <c r="D12275" s="271"/>
      <c r="E12275" s="271"/>
      <c r="F12275" s="271"/>
      <c r="G12275" s="273"/>
      <c r="H12275" s="29" t="str">
        <f>IF(A12275="","",VLOOKUP(A12275,AA_Equipos,7,FALSE))</f>
        <v/>
      </c>
      <c r="I12275" s="394" t="str">
        <f>IF(A12275="","",VLOOKUP(A12275,AA_Equipos,8,FALSE))</f>
        <v/>
      </c>
      <c r="J12275" s="273"/>
      <c r="K12275" s="395"/>
      <c r="L12275" s="273"/>
      <c r="M12275" s="394" t="str">
        <f t="shared" si="1617"/>
        <v/>
      </c>
      <c r="N12275" s="273"/>
    </row>
    <row r="12276" spans="1:14" ht="12.75" customHeight="1" x14ac:dyDescent="0.2">
      <c r="A12276" s="400"/>
      <c r="B12276" s="271"/>
      <c r="C12276" s="271"/>
      <c r="D12276" s="271"/>
      <c r="E12276" s="271"/>
      <c r="F12276" s="271"/>
      <c r="G12276" s="273"/>
      <c r="H12276" s="29" t="str">
        <f>IF(A12276="","",VLOOKUP(A12276,AA_Equipos,7,FALSE))</f>
        <v/>
      </c>
      <c r="I12276" s="394" t="str">
        <f>IF(A12276="","",VLOOKUP(A12276,AA_Equipos,8,FALSE))</f>
        <v/>
      </c>
      <c r="J12276" s="273"/>
      <c r="K12276" s="395"/>
      <c r="L12276" s="273"/>
      <c r="M12276" s="394" t="str">
        <f t="shared" si="1617"/>
        <v/>
      </c>
      <c r="N12276" s="273"/>
    </row>
    <row r="12277" spans="1:14" ht="12.75" customHeight="1" x14ac:dyDescent="0.25">
      <c r="A12277" s="4"/>
      <c r="B12277" s="4"/>
      <c r="C12277" s="4"/>
      <c r="D12277" s="4"/>
      <c r="E12277" s="4"/>
      <c r="F12277" s="4"/>
      <c r="G12277" s="4"/>
      <c r="H12277" s="4"/>
      <c r="I12277" s="4"/>
      <c r="J12277" s="4"/>
      <c r="K12277" s="396" t="s">
        <v>444</v>
      </c>
      <c r="L12277" s="273"/>
      <c r="M12277" s="394">
        <f>SUM(M12272:N12276)</f>
        <v>24910</v>
      </c>
      <c r="N12277" s="273"/>
    </row>
    <row r="12278" spans="1:14" ht="12.75" customHeight="1" x14ac:dyDescent="0.25">
      <c r="A12278" s="4"/>
      <c r="B12278" s="4"/>
      <c r="C12278" s="4"/>
      <c r="D12278" s="4"/>
      <c r="E12278" s="4"/>
      <c r="F12278" s="4"/>
      <c r="G12278" s="4"/>
      <c r="H12278" s="4"/>
      <c r="I12278" s="4"/>
      <c r="J12278" s="4"/>
      <c r="K12278" s="4"/>
      <c r="L12278" s="4"/>
      <c r="M12278" s="4"/>
      <c r="N12278" s="4"/>
    </row>
    <row r="12279" spans="1:14" ht="12.75" customHeight="1" x14ac:dyDescent="0.2">
      <c r="A12279" s="398" t="s">
        <v>929</v>
      </c>
      <c r="B12279" s="271"/>
      <c r="C12279" s="271"/>
      <c r="D12279" s="271"/>
      <c r="E12279" s="271"/>
      <c r="F12279" s="271"/>
      <c r="G12279" s="271"/>
      <c r="H12279" s="271"/>
      <c r="I12279" s="271"/>
      <c r="J12279" s="271"/>
      <c r="K12279" s="271"/>
      <c r="L12279" s="271"/>
      <c r="M12279" s="271"/>
      <c r="N12279" s="273"/>
    </row>
    <row r="12280" spans="1:14" ht="12.75" customHeight="1" x14ac:dyDescent="0.2">
      <c r="A12280" s="396" t="s">
        <v>76</v>
      </c>
      <c r="B12280" s="271"/>
      <c r="C12280" s="271"/>
      <c r="D12280" s="271"/>
      <c r="E12280" s="271"/>
      <c r="F12280" s="271"/>
      <c r="G12280" s="273"/>
      <c r="H12280" s="88" t="s">
        <v>77</v>
      </c>
      <c r="I12280" s="399" t="s">
        <v>920</v>
      </c>
      <c r="J12280" s="273"/>
      <c r="K12280" s="399" t="s">
        <v>453</v>
      </c>
      <c r="L12280" s="273"/>
      <c r="M12280" s="399" t="s">
        <v>921</v>
      </c>
      <c r="N12280" s="273"/>
    </row>
    <row r="12281" spans="1:14" ht="12.75" customHeight="1" x14ac:dyDescent="0.2">
      <c r="A12281" s="400" t="s">
        <v>1559</v>
      </c>
      <c r="B12281" s="271"/>
      <c r="C12281" s="271"/>
      <c r="D12281" s="271"/>
      <c r="E12281" s="271"/>
      <c r="F12281" s="271"/>
      <c r="G12281" s="273"/>
      <c r="H12281" s="29" t="str">
        <f>IF(A12281="","",VLOOKUP(A12281,AA_Equipos,7,FALSE))</f>
        <v>Día</v>
      </c>
      <c r="I12281" s="394">
        <f>IF(A12281="","",VLOOKUP(A12281,AA_Equipos,8,FALSE))</f>
        <v>74400</v>
      </c>
      <c r="J12281" s="273"/>
      <c r="K12281" s="408">
        <v>1</v>
      </c>
      <c r="L12281" s="273"/>
      <c r="M12281" s="394">
        <f t="shared" ref="M12281:M12285" si="1618">IF(A12281="","",I12281*K12281)</f>
        <v>74400</v>
      </c>
      <c r="N12281" s="273"/>
    </row>
    <row r="12282" spans="1:14" ht="12.75" customHeight="1" x14ac:dyDescent="0.2">
      <c r="A12282" s="403"/>
      <c r="B12282" s="271"/>
      <c r="C12282" s="271"/>
      <c r="D12282" s="271"/>
      <c r="E12282" s="271"/>
      <c r="F12282" s="271"/>
      <c r="G12282" s="273"/>
      <c r="H12282" s="29"/>
      <c r="I12282" s="394"/>
      <c r="J12282" s="273"/>
      <c r="K12282" s="404"/>
      <c r="L12282" s="273"/>
      <c r="M12282" s="394" t="str">
        <f t="shared" si="1618"/>
        <v/>
      </c>
      <c r="N12282" s="273"/>
    </row>
    <row r="12283" spans="1:14" ht="12.75" customHeight="1" x14ac:dyDescent="0.2">
      <c r="A12283" s="400"/>
      <c r="B12283" s="271"/>
      <c r="C12283" s="271"/>
      <c r="D12283" s="271"/>
      <c r="E12283" s="271"/>
      <c r="F12283" s="271"/>
      <c r="G12283" s="273"/>
      <c r="H12283" s="29"/>
      <c r="I12283" s="394"/>
      <c r="J12283" s="273"/>
      <c r="K12283" s="395"/>
      <c r="L12283" s="273"/>
      <c r="M12283" s="394" t="str">
        <f t="shared" si="1618"/>
        <v/>
      </c>
      <c r="N12283" s="273"/>
    </row>
    <row r="12284" spans="1:14" ht="12.75" customHeight="1" x14ac:dyDescent="0.2">
      <c r="A12284" s="400"/>
      <c r="B12284" s="271"/>
      <c r="C12284" s="271"/>
      <c r="D12284" s="271"/>
      <c r="E12284" s="271"/>
      <c r="F12284" s="271"/>
      <c r="G12284" s="273"/>
      <c r="H12284" s="29"/>
      <c r="I12284" s="394"/>
      <c r="J12284" s="273"/>
      <c r="K12284" s="395"/>
      <c r="L12284" s="273"/>
      <c r="M12284" s="394" t="str">
        <f t="shared" si="1618"/>
        <v/>
      </c>
      <c r="N12284" s="273"/>
    </row>
    <row r="12285" spans="1:14" ht="12.75" customHeight="1" x14ac:dyDescent="0.2">
      <c r="A12285" s="400"/>
      <c r="B12285" s="271"/>
      <c r="C12285" s="271"/>
      <c r="D12285" s="271"/>
      <c r="E12285" s="271"/>
      <c r="F12285" s="271"/>
      <c r="G12285" s="273"/>
      <c r="H12285" s="29"/>
      <c r="I12285" s="394"/>
      <c r="J12285" s="273"/>
      <c r="K12285" s="395"/>
      <c r="L12285" s="273"/>
      <c r="M12285" s="394" t="str">
        <f t="shared" si="1618"/>
        <v/>
      </c>
      <c r="N12285" s="273"/>
    </row>
    <row r="12286" spans="1:14" ht="12.75" customHeight="1" x14ac:dyDescent="0.25">
      <c r="A12286" s="4"/>
      <c r="B12286" s="4"/>
      <c r="C12286" s="4"/>
      <c r="D12286" s="4"/>
      <c r="E12286" s="4"/>
      <c r="F12286" s="4"/>
      <c r="G12286" s="4"/>
      <c r="H12286" s="4"/>
      <c r="I12286" s="4"/>
      <c r="J12286" s="4"/>
      <c r="K12286" s="396" t="s">
        <v>444</v>
      </c>
      <c r="L12286" s="273"/>
      <c r="M12286" s="394">
        <f>SUM(M12281:N12285)</f>
        <v>74400</v>
      </c>
      <c r="N12286" s="273"/>
    </row>
    <row r="12287" spans="1:14" ht="12.75" customHeight="1" x14ac:dyDescent="0.25">
      <c r="A12287" s="4"/>
      <c r="B12287" s="4"/>
      <c r="C12287" s="4"/>
      <c r="D12287" s="4"/>
      <c r="E12287" s="4"/>
      <c r="F12287" s="4"/>
      <c r="G12287" s="4"/>
      <c r="H12287" s="4"/>
      <c r="I12287" s="4"/>
      <c r="J12287" s="4"/>
      <c r="K12287" s="4"/>
      <c r="L12287" s="4"/>
      <c r="M12287" s="4"/>
      <c r="N12287" s="4"/>
    </row>
    <row r="12288" spans="1:14" ht="12.75" customHeight="1" x14ac:dyDescent="0.2">
      <c r="A12288" s="398" t="s">
        <v>931</v>
      </c>
      <c r="B12288" s="271"/>
      <c r="C12288" s="271"/>
      <c r="D12288" s="271"/>
      <c r="E12288" s="271"/>
      <c r="F12288" s="271"/>
      <c r="G12288" s="271"/>
      <c r="H12288" s="271"/>
      <c r="I12288" s="271"/>
      <c r="J12288" s="271"/>
      <c r="K12288" s="271"/>
      <c r="L12288" s="271"/>
      <c r="M12288" s="271"/>
      <c r="N12288" s="273"/>
    </row>
    <row r="12289" spans="1:15" ht="12.75" customHeight="1" x14ac:dyDescent="0.2">
      <c r="A12289" s="396" t="s">
        <v>76</v>
      </c>
      <c r="B12289" s="271"/>
      <c r="C12289" s="271"/>
      <c r="D12289" s="271"/>
      <c r="E12289" s="271"/>
      <c r="F12289" s="271"/>
      <c r="G12289" s="273"/>
      <c r="H12289" s="88" t="s">
        <v>77</v>
      </c>
      <c r="I12289" s="399" t="s">
        <v>920</v>
      </c>
      <c r="J12289" s="273"/>
      <c r="K12289" s="90" t="s">
        <v>514</v>
      </c>
      <c r="L12289" s="91" t="s">
        <v>932</v>
      </c>
      <c r="M12289" s="399" t="s">
        <v>921</v>
      </c>
      <c r="N12289" s="273"/>
    </row>
    <row r="12290" spans="1:15" ht="12.75" customHeight="1" x14ac:dyDescent="0.25">
      <c r="A12290" s="393" t="s">
        <v>1301</v>
      </c>
      <c r="B12290" s="271"/>
      <c r="C12290" s="271"/>
      <c r="D12290" s="271"/>
      <c r="E12290" s="271"/>
      <c r="F12290" s="271"/>
      <c r="G12290" s="273"/>
      <c r="H12290" s="29" t="str">
        <f>IF(A12290="","",VLOOKUP(A12290,AA_Cuadrillas,4,FALSE))</f>
        <v>Cuadrilla</v>
      </c>
      <c r="I12290" s="394">
        <f>IF(A12290="","",VLOOKUP(A12290,AA_Cuadrillas,5,FALSE))</f>
        <v>132500</v>
      </c>
      <c r="J12290" s="273"/>
      <c r="K12290" s="9">
        <f>IF(A12290="","",F.P!$I$2)</f>
        <v>1.88</v>
      </c>
      <c r="L12290" s="97">
        <v>2</v>
      </c>
      <c r="M12290" s="394">
        <f t="shared" ref="M12290:M12294" si="1619">IF(A12290="","",I12290*K12290*L12290)</f>
        <v>498200</v>
      </c>
      <c r="N12290" s="273"/>
    </row>
    <row r="12291" spans="1:15" ht="12.75" customHeight="1" x14ac:dyDescent="0.25">
      <c r="A12291" s="393"/>
      <c r="B12291" s="271"/>
      <c r="C12291" s="271"/>
      <c r="D12291" s="271"/>
      <c r="E12291" s="271"/>
      <c r="F12291" s="271"/>
      <c r="G12291" s="273"/>
      <c r="H12291" s="29" t="str">
        <f>IF(A12291="","",VLOOKUP(A12291,AA_Cuadrillas,4,FALSE))</f>
        <v/>
      </c>
      <c r="I12291" s="394" t="str">
        <f>IF(A12291="","",VLOOKUP(A12291,AA_Cuadrillas,5,FALSE))</f>
        <v/>
      </c>
      <c r="J12291" s="273"/>
      <c r="K12291" s="9" t="str">
        <f>IF(A12291="","",F.P!$I$2)</f>
        <v/>
      </c>
      <c r="L12291" s="9"/>
      <c r="M12291" s="394" t="str">
        <f t="shared" si="1619"/>
        <v/>
      </c>
      <c r="N12291" s="273"/>
    </row>
    <row r="12292" spans="1:15" ht="12.75" customHeight="1" x14ac:dyDescent="0.25">
      <c r="A12292" s="393"/>
      <c r="B12292" s="271"/>
      <c r="C12292" s="271"/>
      <c r="D12292" s="271"/>
      <c r="E12292" s="271"/>
      <c r="F12292" s="271"/>
      <c r="G12292" s="273"/>
      <c r="H12292" s="29" t="str">
        <f>IF(A12292="","",VLOOKUP(A12292,AA_Cuadrillas,4,FALSE))</f>
        <v/>
      </c>
      <c r="I12292" s="394" t="str">
        <f>IF(A12292="","",VLOOKUP(A12292,AA_Cuadrillas,5,FALSE))</f>
        <v/>
      </c>
      <c r="J12292" s="273"/>
      <c r="K12292" s="9" t="str">
        <f>IF(A12292="","",F.P!$I$2)</f>
        <v/>
      </c>
      <c r="L12292" s="37"/>
      <c r="M12292" s="394" t="str">
        <f t="shared" si="1619"/>
        <v/>
      </c>
      <c r="N12292" s="273"/>
    </row>
    <row r="12293" spans="1:15" ht="12.75" customHeight="1" x14ac:dyDescent="0.25">
      <c r="A12293" s="393"/>
      <c r="B12293" s="271"/>
      <c r="C12293" s="271"/>
      <c r="D12293" s="271"/>
      <c r="E12293" s="271"/>
      <c r="F12293" s="271"/>
      <c r="G12293" s="273"/>
      <c r="H12293" s="29" t="str">
        <f>IF(A12293="","",VLOOKUP(A12293,AA_Cuadrillas,4,FALSE))</f>
        <v/>
      </c>
      <c r="I12293" s="394" t="str">
        <f>IF(A12293="","",VLOOKUP(A12293,AA_Cuadrillas,5,FALSE))</f>
        <v/>
      </c>
      <c r="J12293" s="273"/>
      <c r="K12293" s="9" t="str">
        <f>IF(A12293="","",F.P!$I$2)</f>
        <v/>
      </c>
      <c r="L12293" s="97"/>
      <c r="M12293" s="394" t="str">
        <f t="shared" si="1619"/>
        <v/>
      </c>
      <c r="N12293" s="273"/>
    </row>
    <row r="12294" spans="1:15" ht="12.75" customHeight="1" x14ac:dyDescent="0.25">
      <c r="A12294" s="393"/>
      <c r="B12294" s="271"/>
      <c r="C12294" s="271"/>
      <c r="D12294" s="271"/>
      <c r="E12294" s="271"/>
      <c r="F12294" s="271"/>
      <c r="G12294" s="273"/>
      <c r="H12294" s="29" t="str">
        <f>IF(A12294="","",VLOOKUP(A12294,AA_Cuadrillas,4,FALSE))</f>
        <v/>
      </c>
      <c r="I12294" s="394" t="str">
        <f>IF(A12294="","",VLOOKUP(A12294,AA_Cuadrillas,5,FALSE))</f>
        <v/>
      </c>
      <c r="J12294" s="273"/>
      <c r="K12294" s="9" t="str">
        <f>IF(A12294="","",F.P!$I$2)</f>
        <v/>
      </c>
      <c r="L12294" s="37"/>
      <c r="M12294" s="394" t="str">
        <f t="shared" si="1619"/>
        <v/>
      </c>
      <c r="N12294" s="273"/>
    </row>
    <row r="12295" spans="1:15" ht="12.75" customHeight="1" x14ac:dyDescent="0.25">
      <c r="A12295" s="4"/>
      <c r="B12295" s="4"/>
      <c r="C12295" s="4"/>
      <c r="D12295" s="4"/>
      <c r="E12295" s="4"/>
      <c r="F12295" s="4"/>
      <c r="G12295" s="4"/>
      <c r="H12295" s="4"/>
      <c r="I12295" s="4"/>
      <c r="J12295" s="4"/>
      <c r="K12295" s="396" t="s">
        <v>444</v>
      </c>
      <c r="L12295" s="273"/>
      <c r="M12295" s="394">
        <f>SUM(M12290:N12294)</f>
        <v>498200</v>
      </c>
      <c r="N12295" s="273"/>
    </row>
    <row r="12296" spans="1:15" ht="12.75" customHeight="1" x14ac:dyDescent="0.2"/>
    <row r="12297" spans="1:15" ht="12.75" customHeight="1" x14ac:dyDescent="0.2">
      <c r="A12297" s="397" t="s">
        <v>399</v>
      </c>
      <c r="B12297" s="275"/>
      <c r="C12297" s="275"/>
      <c r="D12297" s="275"/>
      <c r="E12297" s="275"/>
      <c r="F12297" s="275"/>
      <c r="G12297" s="275"/>
      <c r="H12297" s="275"/>
      <c r="I12297" s="275"/>
      <c r="J12297" s="275"/>
      <c r="K12297" s="275"/>
      <c r="L12297" s="275"/>
      <c r="M12297" s="275"/>
      <c r="N12297" s="276"/>
      <c r="O12297" s="166"/>
    </row>
    <row r="12298" spans="1:15" ht="12.75" customHeight="1" x14ac:dyDescent="0.2">
      <c r="A12298" s="277"/>
      <c r="B12298" s="278"/>
      <c r="C12298" s="278"/>
      <c r="D12298" s="278"/>
      <c r="E12298" s="278"/>
      <c r="F12298" s="278"/>
      <c r="G12298" s="278"/>
      <c r="H12298" s="278"/>
      <c r="I12298" s="278"/>
      <c r="J12298" s="278"/>
      <c r="K12298" s="278"/>
      <c r="L12298" s="278"/>
      <c r="M12298" s="278"/>
      <c r="N12298" s="279"/>
      <c r="O12298" s="166"/>
    </row>
    <row r="12299" spans="1:15" ht="12.75" customHeight="1" x14ac:dyDescent="0.2">
      <c r="A12299" s="75"/>
      <c r="B12299" s="75"/>
      <c r="C12299" s="75"/>
      <c r="D12299" s="75"/>
      <c r="E12299" s="75"/>
      <c r="F12299" s="75"/>
      <c r="G12299" s="75"/>
      <c r="H12299" s="75"/>
      <c r="I12299" s="75"/>
      <c r="J12299" s="75"/>
      <c r="K12299" s="75"/>
      <c r="L12299" s="75"/>
      <c r="M12299" s="75"/>
      <c r="N12299" s="75"/>
    </row>
    <row r="12300" spans="1:15" ht="12.75" customHeight="1" x14ac:dyDescent="0.3">
      <c r="A12300" s="79" t="s">
        <v>884</v>
      </c>
      <c r="B12300" s="80" t="str">
        <f>A12297</f>
        <v>SUMINISTRO E INSTALACIÓN CAJA DE INSPECCION PREFABRICADA 30X30CM</v>
      </c>
      <c r="C12300" s="81" t="s">
        <v>916</v>
      </c>
      <c r="D12300" s="82" t="s">
        <v>999</v>
      </c>
      <c r="E12300" s="83" t="s">
        <v>445</v>
      </c>
      <c r="F12300" s="234">
        <f>(H12300+J12300+L12300+N12300)*1.3</f>
        <v>315800.25750000001</v>
      </c>
      <c r="G12300" s="83" t="s">
        <v>607</v>
      </c>
      <c r="H12300" s="86">
        <f>M12320</f>
        <v>121019</v>
      </c>
      <c r="I12300" s="83" t="s">
        <v>918</v>
      </c>
      <c r="J12300" s="86">
        <f>M12329</f>
        <v>3736.5</v>
      </c>
      <c r="K12300" s="83" t="s">
        <v>609</v>
      </c>
      <c r="L12300" s="86">
        <f>M12338</f>
        <v>43437.775000000001</v>
      </c>
      <c r="M12300" s="83" t="s">
        <v>610</v>
      </c>
      <c r="N12300" s="86">
        <f>M12347</f>
        <v>74730</v>
      </c>
    </row>
    <row r="12301" spans="1:15" ht="12.75" customHeight="1" x14ac:dyDescent="0.25">
      <c r="A12301" s="87"/>
      <c r="B12301" s="87"/>
      <c r="C12301" s="87"/>
      <c r="D12301" s="87"/>
      <c r="E12301" s="87"/>
      <c r="F12301" s="87"/>
      <c r="G12301" s="87"/>
      <c r="H12301" s="12"/>
      <c r="I12301" s="12"/>
      <c r="J12301" s="87"/>
      <c r="K12301" s="215" t="s">
        <v>3217</v>
      </c>
      <c r="L12301" s="215">
        <f>+F12300*presup!$O$5</f>
        <v>410540.33475000004</v>
      </c>
      <c r="M12301" s="87"/>
      <c r="N12301" s="87"/>
    </row>
    <row r="12302" spans="1:15" ht="12.75" customHeight="1" x14ac:dyDescent="0.2">
      <c r="A12302" s="398" t="s">
        <v>919</v>
      </c>
      <c r="B12302" s="271"/>
      <c r="C12302" s="271"/>
      <c r="D12302" s="271"/>
      <c r="E12302" s="271"/>
      <c r="F12302" s="271"/>
      <c r="G12302" s="271"/>
      <c r="H12302" s="271"/>
      <c r="I12302" s="271"/>
      <c r="J12302" s="271"/>
      <c r="K12302" s="271"/>
      <c r="L12302" s="271"/>
      <c r="M12302" s="271"/>
      <c r="N12302" s="273"/>
    </row>
    <row r="12303" spans="1:15" ht="12.75" customHeight="1" x14ac:dyDescent="0.2">
      <c r="A12303" s="396" t="s">
        <v>76</v>
      </c>
      <c r="B12303" s="271"/>
      <c r="C12303" s="271"/>
      <c r="D12303" s="271"/>
      <c r="E12303" s="271"/>
      <c r="F12303" s="271"/>
      <c r="G12303" s="273"/>
      <c r="H12303" s="88" t="s">
        <v>77</v>
      </c>
      <c r="I12303" s="399" t="s">
        <v>920</v>
      </c>
      <c r="J12303" s="273"/>
      <c r="K12303" s="399" t="s">
        <v>453</v>
      </c>
      <c r="L12303" s="273"/>
      <c r="M12303" s="399" t="s">
        <v>921</v>
      </c>
      <c r="N12303" s="273"/>
    </row>
    <row r="12304" spans="1:15" ht="12.75" customHeight="1" x14ac:dyDescent="0.25">
      <c r="A12304" s="309" t="s">
        <v>1595</v>
      </c>
      <c r="B12304" s="271"/>
      <c r="C12304" s="271"/>
      <c r="D12304" s="271"/>
      <c r="E12304" s="271"/>
      <c r="F12304" s="271"/>
      <c r="G12304" s="273"/>
      <c r="H12304" s="29" t="str">
        <f t="shared" ref="H12304:H12319" si="1620">IF(A12304="","",VLOOKUP(A12304,AA_Materiales,7,FALSE))</f>
        <v>Unidad</v>
      </c>
      <c r="I12304" s="394">
        <f t="shared" ref="I12304:I12319" si="1621">IF(A12304="","",VLOOKUP(A12304,AA_Materiales,8,FALSE))</f>
        <v>114500</v>
      </c>
      <c r="J12304" s="273"/>
      <c r="K12304" s="393">
        <v>1</v>
      </c>
      <c r="L12304" s="273"/>
      <c r="M12304" s="394">
        <f t="shared" ref="M12304:M12319" si="1622">IF(A12304="","",I12304*K12304)</f>
        <v>114500</v>
      </c>
      <c r="N12304" s="273"/>
    </row>
    <row r="12305" spans="1:14" ht="12.75" customHeight="1" x14ac:dyDescent="0.25">
      <c r="A12305" s="309" t="s">
        <v>1596</v>
      </c>
      <c r="B12305" s="271"/>
      <c r="C12305" s="271"/>
      <c r="D12305" s="271"/>
      <c r="E12305" s="271"/>
      <c r="F12305" s="271"/>
      <c r="G12305" s="273"/>
      <c r="H12305" s="29" t="str">
        <f t="shared" si="1620"/>
        <v>Unidad</v>
      </c>
      <c r="I12305" s="394">
        <f t="shared" si="1621"/>
        <v>3938</v>
      </c>
      <c r="J12305" s="273"/>
      <c r="K12305" s="393">
        <v>0.3</v>
      </c>
      <c r="L12305" s="273"/>
      <c r="M12305" s="394">
        <f t="shared" si="1622"/>
        <v>1181.3999999999999</v>
      </c>
      <c r="N12305" s="273"/>
    </row>
    <row r="12306" spans="1:14" ht="12.75" customHeight="1" x14ac:dyDescent="0.25">
      <c r="A12306" s="309" t="s">
        <v>1597</v>
      </c>
      <c r="B12306" s="271"/>
      <c r="C12306" s="271"/>
      <c r="D12306" s="271"/>
      <c r="E12306" s="271"/>
      <c r="F12306" s="271"/>
      <c r="G12306" s="273"/>
      <c r="H12306" s="29" t="str">
        <f t="shared" si="1620"/>
        <v>m3</v>
      </c>
      <c r="I12306" s="394">
        <f t="shared" si="1621"/>
        <v>35584</v>
      </c>
      <c r="J12306" s="273"/>
      <c r="K12306" s="393">
        <v>0.15</v>
      </c>
      <c r="L12306" s="273"/>
      <c r="M12306" s="394">
        <f t="shared" si="1622"/>
        <v>5337.5999999999995</v>
      </c>
      <c r="N12306" s="273"/>
    </row>
    <row r="12307" spans="1:14" ht="12.75" customHeight="1" x14ac:dyDescent="0.25">
      <c r="A12307" s="309"/>
      <c r="B12307" s="271"/>
      <c r="C12307" s="271"/>
      <c r="D12307" s="271"/>
      <c r="E12307" s="271"/>
      <c r="F12307" s="271"/>
      <c r="G12307" s="273"/>
      <c r="H12307" s="29" t="str">
        <f t="shared" si="1620"/>
        <v/>
      </c>
      <c r="I12307" s="394" t="str">
        <f t="shared" si="1621"/>
        <v/>
      </c>
      <c r="J12307" s="273"/>
      <c r="K12307" s="393"/>
      <c r="L12307" s="273"/>
      <c r="M12307" s="394" t="str">
        <f t="shared" si="1622"/>
        <v/>
      </c>
      <c r="N12307" s="273"/>
    </row>
    <row r="12308" spans="1:14" ht="12.75" customHeight="1" x14ac:dyDescent="0.25">
      <c r="A12308" s="309"/>
      <c r="B12308" s="271"/>
      <c r="C12308" s="271"/>
      <c r="D12308" s="271"/>
      <c r="E12308" s="271"/>
      <c r="F12308" s="271"/>
      <c r="G12308" s="273"/>
      <c r="H12308" s="29" t="str">
        <f t="shared" si="1620"/>
        <v/>
      </c>
      <c r="I12308" s="394" t="str">
        <f t="shared" si="1621"/>
        <v/>
      </c>
      <c r="J12308" s="273"/>
      <c r="K12308" s="393"/>
      <c r="L12308" s="273"/>
      <c r="M12308" s="394" t="str">
        <f t="shared" si="1622"/>
        <v/>
      </c>
      <c r="N12308" s="273"/>
    </row>
    <row r="12309" spans="1:14" ht="12.75" customHeight="1" x14ac:dyDescent="0.25">
      <c r="A12309" s="309"/>
      <c r="B12309" s="271"/>
      <c r="C12309" s="271"/>
      <c r="D12309" s="271"/>
      <c r="E12309" s="271"/>
      <c r="F12309" s="271"/>
      <c r="G12309" s="273"/>
      <c r="H12309" s="29" t="str">
        <f t="shared" si="1620"/>
        <v/>
      </c>
      <c r="I12309" s="394" t="str">
        <f t="shared" si="1621"/>
        <v/>
      </c>
      <c r="J12309" s="273"/>
      <c r="K12309" s="393"/>
      <c r="L12309" s="273"/>
      <c r="M12309" s="394" t="str">
        <f t="shared" si="1622"/>
        <v/>
      </c>
      <c r="N12309" s="273"/>
    </row>
    <row r="12310" spans="1:14" ht="12.75" customHeight="1" x14ac:dyDescent="0.25">
      <c r="A12310" s="309"/>
      <c r="B12310" s="271"/>
      <c r="C12310" s="271"/>
      <c r="D12310" s="271"/>
      <c r="E12310" s="271"/>
      <c r="F12310" s="271"/>
      <c r="G12310" s="273"/>
      <c r="H12310" s="29" t="str">
        <f t="shared" si="1620"/>
        <v/>
      </c>
      <c r="I12310" s="394" t="str">
        <f t="shared" si="1621"/>
        <v/>
      </c>
      <c r="J12310" s="273"/>
      <c r="K12310" s="393"/>
      <c r="L12310" s="273"/>
      <c r="M12310" s="394" t="str">
        <f t="shared" si="1622"/>
        <v/>
      </c>
      <c r="N12310" s="273"/>
    </row>
    <row r="12311" spans="1:14" ht="12.75" customHeight="1" x14ac:dyDescent="0.25">
      <c r="A12311" s="309"/>
      <c r="B12311" s="271"/>
      <c r="C12311" s="271"/>
      <c r="D12311" s="271"/>
      <c r="E12311" s="271"/>
      <c r="F12311" s="271"/>
      <c r="G12311" s="273"/>
      <c r="H12311" s="29" t="str">
        <f t="shared" si="1620"/>
        <v/>
      </c>
      <c r="I12311" s="394" t="str">
        <f t="shared" si="1621"/>
        <v/>
      </c>
      <c r="J12311" s="273"/>
      <c r="K12311" s="393"/>
      <c r="L12311" s="273"/>
      <c r="M12311" s="394" t="str">
        <f t="shared" si="1622"/>
        <v/>
      </c>
      <c r="N12311" s="273"/>
    </row>
    <row r="12312" spans="1:14" ht="12.75" customHeight="1" x14ac:dyDescent="0.25">
      <c r="A12312" s="309"/>
      <c r="B12312" s="271"/>
      <c r="C12312" s="271"/>
      <c r="D12312" s="271"/>
      <c r="E12312" s="271"/>
      <c r="F12312" s="271"/>
      <c r="G12312" s="273"/>
      <c r="H12312" s="29" t="str">
        <f t="shared" si="1620"/>
        <v/>
      </c>
      <c r="I12312" s="394" t="str">
        <f t="shared" si="1621"/>
        <v/>
      </c>
      <c r="J12312" s="273"/>
      <c r="K12312" s="393"/>
      <c r="L12312" s="273"/>
      <c r="M12312" s="394" t="str">
        <f t="shared" si="1622"/>
        <v/>
      </c>
      <c r="N12312" s="273"/>
    </row>
    <row r="12313" spans="1:14" ht="12.75" customHeight="1" x14ac:dyDescent="0.25">
      <c r="A12313" s="309"/>
      <c r="B12313" s="271"/>
      <c r="C12313" s="271"/>
      <c r="D12313" s="271"/>
      <c r="E12313" s="271"/>
      <c r="F12313" s="271"/>
      <c r="G12313" s="273"/>
      <c r="H12313" s="29" t="str">
        <f t="shared" si="1620"/>
        <v/>
      </c>
      <c r="I12313" s="394" t="str">
        <f t="shared" si="1621"/>
        <v/>
      </c>
      <c r="J12313" s="273"/>
      <c r="K12313" s="393"/>
      <c r="L12313" s="273"/>
      <c r="M12313" s="394" t="str">
        <f t="shared" si="1622"/>
        <v/>
      </c>
      <c r="N12313" s="273"/>
    </row>
    <row r="12314" spans="1:14" ht="12.75" customHeight="1" x14ac:dyDescent="0.25">
      <c r="A12314" s="309"/>
      <c r="B12314" s="271"/>
      <c r="C12314" s="271"/>
      <c r="D12314" s="271"/>
      <c r="E12314" s="271"/>
      <c r="F12314" s="271"/>
      <c r="G12314" s="273"/>
      <c r="H12314" s="29" t="str">
        <f t="shared" si="1620"/>
        <v/>
      </c>
      <c r="I12314" s="394" t="str">
        <f t="shared" si="1621"/>
        <v/>
      </c>
      <c r="J12314" s="273"/>
      <c r="K12314" s="393"/>
      <c r="L12314" s="273"/>
      <c r="M12314" s="394" t="str">
        <f t="shared" si="1622"/>
        <v/>
      </c>
      <c r="N12314" s="273"/>
    </row>
    <row r="12315" spans="1:14" ht="12.75" customHeight="1" x14ac:dyDescent="0.25">
      <c r="A12315" s="426"/>
      <c r="B12315" s="271"/>
      <c r="C12315" s="271"/>
      <c r="D12315" s="271"/>
      <c r="E12315" s="271"/>
      <c r="F12315" s="271"/>
      <c r="G12315" s="273"/>
      <c r="H12315" s="29" t="str">
        <f t="shared" si="1620"/>
        <v/>
      </c>
      <c r="I12315" s="394" t="str">
        <f t="shared" si="1621"/>
        <v/>
      </c>
      <c r="J12315" s="273"/>
      <c r="K12315" s="393"/>
      <c r="L12315" s="273"/>
      <c r="M12315" s="394" t="str">
        <f t="shared" si="1622"/>
        <v/>
      </c>
      <c r="N12315" s="273"/>
    </row>
    <row r="12316" spans="1:14" ht="12.75" customHeight="1" x14ac:dyDescent="0.25">
      <c r="A12316" s="426"/>
      <c r="B12316" s="271"/>
      <c r="C12316" s="271"/>
      <c r="D12316" s="271"/>
      <c r="E12316" s="271"/>
      <c r="F12316" s="271"/>
      <c r="G12316" s="273"/>
      <c r="H12316" s="29" t="str">
        <f t="shared" si="1620"/>
        <v/>
      </c>
      <c r="I12316" s="394" t="str">
        <f t="shared" si="1621"/>
        <v/>
      </c>
      <c r="J12316" s="273"/>
      <c r="K12316" s="393"/>
      <c r="L12316" s="273"/>
      <c r="M12316" s="394" t="str">
        <f t="shared" si="1622"/>
        <v/>
      </c>
      <c r="N12316" s="273"/>
    </row>
    <row r="12317" spans="1:14" ht="12.75" customHeight="1" x14ac:dyDescent="0.25">
      <c r="A12317" s="426"/>
      <c r="B12317" s="271"/>
      <c r="C12317" s="271"/>
      <c r="D12317" s="271"/>
      <c r="E12317" s="271"/>
      <c r="F12317" s="271"/>
      <c r="G12317" s="273"/>
      <c r="H12317" s="29" t="str">
        <f t="shared" si="1620"/>
        <v/>
      </c>
      <c r="I12317" s="394" t="str">
        <f t="shared" si="1621"/>
        <v/>
      </c>
      <c r="J12317" s="273"/>
      <c r="K12317" s="393"/>
      <c r="L12317" s="273"/>
      <c r="M12317" s="394" t="str">
        <f t="shared" si="1622"/>
        <v/>
      </c>
      <c r="N12317" s="273"/>
    </row>
    <row r="12318" spans="1:14" ht="12.75" customHeight="1" x14ac:dyDescent="0.25">
      <c r="A12318" s="426"/>
      <c r="B12318" s="271"/>
      <c r="C12318" s="271"/>
      <c r="D12318" s="271"/>
      <c r="E12318" s="271"/>
      <c r="F12318" s="271"/>
      <c r="G12318" s="273"/>
      <c r="H12318" s="29" t="str">
        <f t="shared" si="1620"/>
        <v/>
      </c>
      <c r="I12318" s="394" t="str">
        <f t="shared" si="1621"/>
        <v/>
      </c>
      <c r="J12318" s="273"/>
      <c r="K12318" s="393"/>
      <c r="L12318" s="273"/>
      <c r="M12318" s="394" t="str">
        <f t="shared" si="1622"/>
        <v/>
      </c>
      <c r="N12318" s="273"/>
    </row>
    <row r="12319" spans="1:14" ht="12.75" customHeight="1" x14ac:dyDescent="0.25">
      <c r="A12319" s="426"/>
      <c r="B12319" s="271"/>
      <c r="C12319" s="271"/>
      <c r="D12319" s="271"/>
      <c r="E12319" s="271"/>
      <c r="F12319" s="271"/>
      <c r="G12319" s="273"/>
      <c r="H12319" s="29" t="str">
        <f t="shared" si="1620"/>
        <v/>
      </c>
      <c r="I12319" s="394" t="str">
        <f t="shared" si="1621"/>
        <v/>
      </c>
      <c r="J12319" s="273"/>
      <c r="K12319" s="393"/>
      <c r="L12319" s="273"/>
      <c r="M12319" s="394" t="str">
        <f t="shared" si="1622"/>
        <v/>
      </c>
      <c r="N12319" s="273"/>
    </row>
    <row r="12320" spans="1:14" ht="12.75" customHeight="1" x14ac:dyDescent="0.25">
      <c r="A12320" s="4"/>
      <c r="B12320" s="4"/>
      <c r="C12320" s="4"/>
      <c r="D12320" s="4"/>
      <c r="E12320" s="4"/>
      <c r="F12320" s="4"/>
      <c r="G12320" s="4"/>
      <c r="H12320" s="4"/>
      <c r="I12320" s="4"/>
      <c r="J12320" s="4"/>
      <c r="K12320" s="396" t="s">
        <v>444</v>
      </c>
      <c r="L12320" s="273"/>
      <c r="M12320" s="394">
        <f>SUM(M12304:N12319)</f>
        <v>121019</v>
      </c>
      <c r="N12320" s="273"/>
    </row>
    <row r="12321" spans="1:14" ht="12.75" customHeight="1" x14ac:dyDescent="0.25">
      <c r="A12321" s="4"/>
      <c r="B12321" s="4"/>
      <c r="C12321" s="4"/>
      <c r="D12321" s="4"/>
      <c r="E12321" s="4"/>
      <c r="F12321" s="4"/>
      <c r="G12321" s="4"/>
      <c r="H12321" s="4"/>
      <c r="I12321" s="4"/>
      <c r="J12321" s="4"/>
      <c r="K12321" s="4"/>
      <c r="L12321" s="4"/>
      <c r="M12321" s="4"/>
      <c r="N12321" s="4"/>
    </row>
    <row r="12322" spans="1:14" ht="12.75" customHeight="1" x14ac:dyDescent="0.2">
      <c r="A12322" s="398" t="s">
        <v>926</v>
      </c>
      <c r="B12322" s="271"/>
      <c r="C12322" s="271"/>
      <c r="D12322" s="271"/>
      <c r="E12322" s="271"/>
      <c r="F12322" s="271"/>
      <c r="G12322" s="271"/>
      <c r="H12322" s="271"/>
      <c r="I12322" s="271"/>
      <c r="J12322" s="271"/>
      <c r="K12322" s="271"/>
      <c r="L12322" s="271"/>
      <c r="M12322" s="271"/>
      <c r="N12322" s="273"/>
    </row>
    <row r="12323" spans="1:14" ht="12.75" customHeight="1" x14ac:dyDescent="0.2">
      <c r="A12323" s="396" t="s">
        <v>76</v>
      </c>
      <c r="B12323" s="271"/>
      <c r="C12323" s="271"/>
      <c r="D12323" s="271"/>
      <c r="E12323" s="271"/>
      <c r="F12323" s="271"/>
      <c r="G12323" s="273"/>
      <c r="H12323" s="88" t="s">
        <v>77</v>
      </c>
      <c r="I12323" s="399" t="s">
        <v>920</v>
      </c>
      <c r="J12323" s="273"/>
      <c r="K12323" s="399" t="s">
        <v>453</v>
      </c>
      <c r="L12323" s="273"/>
      <c r="M12323" s="399" t="s">
        <v>921</v>
      </c>
      <c r="N12323" s="273"/>
    </row>
    <row r="12324" spans="1:14" ht="12.75" customHeight="1" x14ac:dyDescent="0.2">
      <c r="A12324" s="400" t="s">
        <v>927</v>
      </c>
      <c r="B12324" s="271"/>
      <c r="C12324" s="271"/>
      <c r="D12324" s="271"/>
      <c r="E12324" s="271"/>
      <c r="F12324" s="271"/>
      <c r="G12324" s="273"/>
      <c r="H12324" s="29" t="str">
        <f>IF(A12324="","",VLOOKUP(A12324,AA_Equipos,7,FALSE))</f>
        <v>% M.O.</v>
      </c>
      <c r="I12324" s="394">
        <f>+M12347</f>
        <v>74730</v>
      </c>
      <c r="J12324" s="273"/>
      <c r="K12324" s="404">
        <v>0.05</v>
      </c>
      <c r="L12324" s="273"/>
      <c r="M12324" s="394">
        <f t="shared" ref="M12324:M12328" si="1623">IF(A12324="","",I12324*K12324)</f>
        <v>3736.5</v>
      </c>
      <c r="N12324" s="273"/>
    </row>
    <row r="12325" spans="1:14" ht="12.75" customHeight="1" x14ac:dyDescent="0.2">
      <c r="A12325" s="403"/>
      <c r="B12325" s="271"/>
      <c r="C12325" s="271"/>
      <c r="D12325" s="271"/>
      <c r="E12325" s="271"/>
      <c r="F12325" s="271"/>
      <c r="G12325" s="273"/>
      <c r="H12325" s="29" t="str">
        <f>IF(A12325="","",VLOOKUP(A12325,AA_Equipos,7,FALSE))</f>
        <v/>
      </c>
      <c r="I12325" s="394" t="str">
        <f>IF(A12325="","",VLOOKUP(A12325,AA_Equipos,8,FALSE))</f>
        <v/>
      </c>
      <c r="J12325" s="273"/>
      <c r="K12325" s="402"/>
      <c r="L12325" s="273"/>
      <c r="M12325" s="394" t="str">
        <f t="shared" si="1623"/>
        <v/>
      </c>
      <c r="N12325" s="273"/>
    </row>
    <row r="12326" spans="1:14" ht="12.75" customHeight="1" x14ac:dyDescent="0.2">
      <c r="A12326" s="400"/>
      <c r="B12326" s="271"/>
      <c r="C12326" s="271"/>
      <c r="D12326" s="271"/>
      <c r="E12326" s="271"/>
      <c r="F12326" s="271"/>
      <c r="G12326" s="273"/>
      <c r="H12326" s="29" t="str">
        <f>IF(A12326="","",VLOOKUP(A12326,AA_Equipos,7,FALSE))</f>
        <v/>
      </c>
      <c r="I12326" s="394" t="str">
        <f>IF(A12326="","",VLOOKUP(A12326,AA_Equipos,8,FALSE))</f>
        <v/>
      </c>
      <c r="J12326" s="273"/>
      <c r="K12326" s="401"/>
      <c r="L12326" s="273"/>
      <c r="M12326" s="394" t="str">
        <f t="shared" si="1623"/>
        <v/>
      </c>
      <c r="N12326" s="273"/>
    </row>
    <row r="12327" spans="1:14" ht="12.75" customHeight="1" x14ac:dyDescent="0.2">
      <c r="A12327" s="400"/>
      <c r="B12327" s="271"/>
      <c r="C12327" s="271"/>
      <c r="D12327" s="271"/>
      <c r="E12327" s="271"/>
      <c r="F12327" s="271"/>
      <c r="G12327" s="273"/>
      <c r="H12327" s="29" t="str">
        <f>IF(A12327="","",VLOOKUP(A12327,AA_Equipos,7,FALSE))</f>
        <v/>
      </c>
      <c r="I12327" s="394" t="str">
        <f>IF(A12327="","",VLOOKUP(A12327,AA_Equipos,8,FALSE))</f>
        <v/>
      </c>
      <c r="J12327" s="273"/>
      <c r="K12327" s="395"/>
      <c r="L12327" s="273"/>
      <c r="M12327" s="394" t="str">
        <f t="shared" si="1623"/>
        <v/>
      </c>
      <c r="N12327" s="273"/>
    </row>
    <row r="12328" spans="1:14" ht="12.75" customHeight="1" x14ac:dyDescent="0.2">
      <c r="A12328" s="400"/>
      <c r="B12328" s="271"/>
      <c r="C12328" s="271"/>
      <c r="D12328" s="271"/>
      <c r="E12328" s="271"/>
      <c r="F12328" s="271"/>
      <c r="G12328" s="273"/>
      <c r="H12328" s="29" t="str">
        <f>IF(A12328="","",VLOOKUP(A12328,AA_Equipos,7,FALSE))</f>
        <v/>
      </c>
      <c r="I12328" s="394" t="str">
        <f>IF(A12328="","",VLOOKUP(A12328,AA_Equipos,8,FALSE))</f>
        <v/>
      </c>
      <c r="J12328" s="273"/>
      <c r="K12328" s="395"/>
      <c r="L12328" s="273"/>
      <c r="M12328" s="394" t="str">
        <f t="shared" si="1623"/>
        <v/>
      </c>
      <c r="N12328" s="273"/>
    </row>
    <row r="12329" spans="1:14" ht="12.75" customHeight="1" x14ac:dyDescent="0.25">
      <c r="A12329" s="4"/>
      <c r="B12329" s="4"/>
      <c r="C12329" s="4"/>
      <c r="D12329" s="4"/>
      <c r="E12329" s="4"/>
      <c r="F12329" s="4"/>
      <c r="G12329" s="4"/>
      <c r="H12329" s="4"/>
      <c r="I12329" s="4"/>
      <c r="J12329" s="4"/>
      <c r="K12329" s="396" t="s">
        <v>444</v>
      </c>
      <c r="L12329" s="273"/>
      <c r="M12329" s="394">
        <f>SUM(M12324:N12328)</f>
        <v>3736.5</v>
      </c>
      <c r="N12329" s="273"/>
    </row>
    <row r="12330" spans="1:14" ht="12.75" customHeight="1" x14ac:dyDescent="0.25">
      <c r="A12330" s="4"/>
      <c r="B12330" s="4"/>
      <c r="C12330" s="4"/>
      <c r="D12330" s="4"/>
      <c r="E12330" s="4"/>
      <c r="F12330" s="4"/>
      <c r="G12330" s="4"/>
      <c r="H12330" s="4"/>
      <c r="I12330" s="4"/>
      <c r="J12330" s="4"/>
      <c r="K12330" s="4"/>
      <c r="L12330" s="4"/>
      <c r="M12330" s="4"/>
      <c r="N12330" s="4"/>
    </row>
    <row r="12331" spans="1:14" ht="12.75" customHeight="1" x14ac:dyDescent="0.2">
      <c r="A12331" s="398" t="s">
        <v>929</v>
      </c>
      <c r="B12331" s="271"/>
      <c r="C12331" s="271"/>
      <c r="D12331" s="271"/>
      <c r="E12331" s="271"/>
      <c r="F12331" s="271"/>
      <c r="G12331" s="271"/>
      <c r="H12331" s="271"/>
      <c r="I12331" s="271"/>
      <c r="J12331" s="271"/>
      <c r="K12331" s="271"/>
      <c r="L12331" s="271"/>
      <c r="M12331" s="271"/>
      <c r="N12331" s="273"/>
    </row>
    <row r="12332" spans="1:14" ht="12.75" customHeight="1" x14ac:dyDescent="0.2">
      <c r="A12332" s="396" t="s">
        <v>76</v>
      </c>
      <c r="B12332" s="271"/>
      <c r="C12332" s="271"/>
      <c r="D12332" s="271"/>
      <c r="E12332" s="271"/>
      <c r="F12332" s="271"/>
      <c r="G12332" s="273"/>
      <c r="H12332" s="88" t="s">
        <v>77</v>
      </c>
      <c r="I12332" s="399" t="s">
        <v>920</v>
      </c>
      <c r="J12332" s="273"/>
      <c r="K12332" s="399" t="s">
        <v>453</v>
      </c>
      <c r="L12332" s="273"/>
      <c r="M12332" s="399" t="s">
        <v>921</v>
      </c>
      <c r="N12332" s="273"/>
    </row>
    <row r="12333" spans="1:14" ht="12.75" customHeight="1" x14ac:dyDescent="0.2">
      <c r="A12333" s="400" t="s">
        <v>1559</v>
      </c>
      <c r="B12333" s="271"/>
      <c r="C12333" s="271"/>
      <c r="D12333" s="271"/>
      <c r="E12333" s="271"/>
      <c r="F12333" s="271"/>
      <c r="G12333" s="273"/>
      <c r="H12333" s="29" t="str">
        <f>IF(A12333="","",VLOOKUP(A12333,AA_Equipos,7,FALSE))</f>
        <v>Día</v>
      </c>
      <c r="I12333" s="394">
        <f>IF(A12333="","",VLOOKUP(A12333,AA_Equipos,8,FALSE))</f>
        <v>74400</v>
      </c>
      <c r="J12333" s="273"/>
      <c r="K12333" s="408">
        <v>0.5</v>
      </c>
      <c r="L12333" s="273"/>
      <c r="M12333" s="394">
        <f t="shared" ref="M12333:M12337" si="1624">IF(A12333="","",I12333*K12333)</f>
        <v>37200</v>
      </c>
      <c r="N12333" s="273"/>
    </row>
    <row r="12334" spans="1:14" ht="12.75" customHeight="1" x14ac:dyDescent="0.2">
      <c r="A12334" s="403" t="s">
        <v>930</v>
      </c>
      <c r="B12334" s="271"/>
      <c r="C12334" s="271"/>
      <c r="D12334" s="271"/>
      <c r="E12334" s="271"/>
      <c r="F12334" s="271"/>
      <c r="G12334" s="273"/>
      <c r="H12334" s="29" t="s">
        <v>24</v>
      </c>
      <c r="I12334" s="394">
        <f>+M12320+M12329</f>
        <v>124755.5</v>
      </c>
      <c r="J12334" s="273"/>
      <c r="K12334" s="404">
        <v>0.05</v>
      </c>
      <c r="L12334" s="273"/>
      <c r="M12334" s="394">
        <f t="shared" si="1624"/>
        <v>6237.7750000000005</v>
      </c>
      <c r="N12334" s="273"/>
    </row>
    <row r="12335" spans="1:14" ht="12.75" customHeight="1" x14ac:dyDescent="0.2">
      <c r="A12335" s="400"/>
      <c r="B12335" s="271"/>
      <c r="C12335" s="271"/>
      <c r="D12335" s="271"/>
      <c r="E12335" s="271"/>
      <c r="F12335" s="271"/>
      <c r="G12335" s="273"/>
      <c r="H12335" s="29"/>
      <c r="I12335" s="394"/>
      <c r="J12335" s="273"/>
      <c r="K12335" s="395"/>
      <c r="L12335" s="273"/>
      <c r="M12335" s="394" t="str">
        <f t="shared" si="1624"/>
        <v/>
      </c>
      <c r="N12335" s="273"/>
    </row>
    <row r="12336" spans="1:14" ht="12.75" customHeight="1" x14ac:dyDescent="0.2">
      <c r="A12336" s="400"/>
      <c r="B12336" s="271"/>
      <c r="C12336" s="271"/>
      <c r="D12336" s="271"/>
      <c r="E12336" s="271"/>
      <c r="F12336" s="271"/>
      <c r="G12336" s="273"/>
      <c r="H12336" s="29"/>
      <c r="I12336" s="394"/>
      <c r="J12336" s="273"/>
      <c r="K12336" s="395"/>
      <c r="L12336" s="273"/>
      <c r="M12336" s="394" t="str">
        <f t="shared" si="1624"/>
        <v/>
      </c>
      <c r="N12336" s="273"/>
    </row>
    <row r="12337" spans="1:14" ht="12.75" customHeight="1" x14ac:dyDescent="0.2">
      <c r="A12337" s="400"/>
      <c r="B12337" s="271"/>
      <c r="C12337" s="271"/>
      <c r="D12337" s="271"/>
      <c r="E12337" s="271"/>
      <c r="F12337" s="271"/>
      <c r="G12337" s="273"/>
      <c r="H12337" s="29"/>
      <c r="I12337" s="394"/>
      <c r="J12337" s="273"/>
      <c r="K12337" s="395"/>
      <c r="L12337" s="273"/>
      <c r="M12337" s="394" t="str">
        <f t="shared" si="1624"/>
        <v/>
      </c>
      <c r="N12337" s="273"/>
    </row>
    <row r="12338" spans="1:14" ht="12.75" customHeight="1" x14ac:dyDescent="0.25">
      <c r="A12338" s="4"/>
      <c r="B12338" s="4"/>
      <c r="C12338" s="4"/>
      <c r="D12338" s="4"/>
      <c r="E12338" s="4"/>
      <c r="F12338" s="4"/>
      <c r="G12338" s="4"/>
      <c r="H12338" s="4"/>
      <c r="I12338" s="4"/>
      <c r="J12338" s="4"/>
      <c r="K12338" s="396" t="s">
        <v>444</v>
      </c>
      <c r="L12338" s="273"/>
      <c r="M12338" s="394">
        <f>SUM(M12333:N12337)</f>
        <v>43437.775000000001</v>
      </c>
      <c r="N12338" s="273"/>
    </row>
    <row r="12339" spans="1:14" ht="12.75" customHeight="1" x14ac:dyDescent="0.25">
      <c r="A12339" s="4"/>
      <c r="B12339" s="4"/>
      <c r="C12339" s="4"/>
      <c r="D12339" s="4"/>
      <c r="E12339" s="4"/>
      <c r="F12339" s="4"/>
      <c r="G12339" s="4"/>
      <c r="H12339" s="4"/>
      <c r="I12339" s="4"/>
      <c r="J12339" s="4"/>
      <c r="K12339" s="4"/>
      <c r="L12339" s="4"/>
      <c r="M12339" s="4"/>
      <c r="N12339" s="4"/>
    </row>
    <row r="12340" spans="1:14" ht="12.75" customHeight="1" x14ac:dyDescent="0.2">
      <c r="A12340" s="398" t="s">
        <v>931</v>
      </c>
      <c r="B12340" s="271"/>
      <c r="C12340" s="271"/>
      <c r="D12340" s="271"/>
      <c r="E12340" s="271"/>
      <c r="F12340" s="271"/>
      <c r="G12340" s="271"/>
      <c r="H12340" s="271"/>
      <c r="I12340" s="271"/>
      <c r="J12340" s="271"/>
      <c r="K12340" s="271"/>
      <c r="L12340" s="271"/>
      <c r="M12340" s="271"/>
      <c r="N12340" s="273"/>
    </row>
    <row r="12341" spans="1:14" ht="12.75" customHeight="1" x14ac:dyDescent="0.2">
      <c r="A12341" s="396" t="s">
        <v>76</v>
      </c>
      <c r="B12341" s="271"/>
      <c r="C12341" s="271"/>
      <c r="D12341" s="271"/>
      <c r="E12341" s="271"/>
      <c r="F12341" s="271"/>
      <c r="G12341" s="273"/>
      <c r="H12341" s="88" t="s">
        <v>77</v>
      </c>
      <c r="I12341" s="399" t="s">
        <v>920</v>
      </c>
      <c r="J12341" s="273"/>
      <c r="K12341" s="90" t="s">
        <v>514</v>
      </c>
      <c r="L12341" s="91" t="s">
        <v>932</v>
      </c>
      <c r="M12341" s="399" t="s">
        <v>921</v>
      </c>
      <c r="N12341" s="273"/>
    </row>
    <row r="12342" spans="1:14" ht="12.75" customHeight="1" x14ac:dyDescent="0.25">
      <c r="A12342" s="393" t="s">
        <v>1301</v>
      </c>
      <c r="B12342" s="271"/>
      <c r="C12342" s="271"/>
      <c r="D12342" s="271"/>
      <c r="E12342" s="271"/>
      <c r="F12342" s="271"/>
      <c r="G12342" s="273"/>
      <c r="H12342" s="29" t="str">
        <f>IF(A12342="","",VLOOKUP(A12342,AA_Cuadrillas,4,FALSE))</f>
        <v>Cuadrilla</v>
      </c>
      <c r="I12342" s="394">
        <f>IF(A12342="","",VLOOKUP(A12342,AA_Cuadrillas,5,FALSE))</f>
        <v>132500</v>
      </c>
      <c r="J12342" s="273"/>
      <c r="K12342" s="9">
        <f>IF(A12342="","",F.P!$I$2)</f>
        <v>1.88</v>
      </c>
      <c r="L12342" s="97">
        <v>0.3</v>
      </c>
      <c r="M12342" s="394">
        <f t="shared" ref="M12342:M12346" si="1625">IF(A12342="","",I12342*K12342*L12342)</f>
        <v>74730</v>
      </c>
      <c r="N12342" s="273"/>
    </row>
    <row r="12343" spans="1:14" ht="12.75" customHeight="1" x14ac:dyDescent="0.25">
      <c r="A12343" s="393"/>
      <c r="B12343" s="271"/>
      <c r="C12343" s="271"/>
      <c r="D12343" s="271"/>
      <c r="E12343" s="271"/>
      <c r="F12343" s="271"/>
      <c r="G12343" s="273"/>
      <c r="H12343" s="29" t="str">
        <f>IF(A12343="","",VLOOKUP(A12343,AA_Cuadrillas,4,FALSE))</f>
        <v/>
      </c>
      <c r="I12343" s="394" t="str">
        <f>IF(A12343="","",VLOOKUP(A12343,AA_Cuadrillas,5,FALSE))</f>
        <v/>
      </c>
      <c r="J12343" s="273"/>
      <c r="K12343" s="9" t="str">
        <f>IF(A12343="","",F.P!$I$2)</f>
        <v/>
      </c>
      <c r="L12343" s="9"/>
      <c r="M12343" s="394" t="str">
        <f t="shared" si="1625"/>
        <v/>
      </c>
      <c r="N12343" s="273"/>
    </row>
    <row r="12344" spans="1:14" ht="12.75" customHeight="1" x14ac:dyDescent="0.25">
      <c r="A12344" s="393"/>
      <c r="B12344" s="271"/>
      <c r="C12344" s="271"/>
      <c r="D12344" s="271"/>
      <c r="E12344" s="271"/>
      <c r="F12344" s="271"/>
      <c r="G12344" s="273"/>
      <c r="H12344" s="29" t="str">
        <f>IF(A12344="","",VLOOKUP(A12344,AA_Cuadrillas,4,FALSE))</f>
        <v/>
      </c>
      <c r="I12344" s="394" t="str">
        <f>IF(A12344="","",VLOOKUP(A12344,AA_Cuadrillas,5,FALSE))</f>
        <v/>
      </c>
      <c r="J12344" s="273"/>
      <c r="K12344" s="9" t="str">
        <f>IF(A12344="","",F.P!$I$2)</f>
        <v/>
      </c>
      <c r="L12344" s="37"/>
      <c r="M12344" s="394" t="str">
        <f t="shared" si="1625"/>
        <v/>
      </c>
      <c r="N12344" s="273"/>
    </row>
    <row r="12345" spans="1:14" ht="12.75" customHeight="1" x14ac:dyDescent="0.25">
      <c r="A12345" s="393"/>
      <c r="B12345" s="271"/>
      <c r="C12345" s="271"/>
      <c r="D12345" s="271"/>
      <c r="E12345" s="271"/>
      <c r="F12345" s="271"/>
      <c r="G12345" s="273"/>
      <c r="H12345" s="29" t="str">
        <f>IF(A12345="","",VLOOKUP(A12345,AA_Cuadrillas,4,FALSE))</f>
        <v/>
      </c>
      <c r="I12345" s="394" t="str">
        <f>IF(A12345="","",VLOOKUP(A12345,AA_Cuadrillas,5,FALSE))</f>
        <v/>
      </c>
      <c r="J12345" s="273"/>
      <c r="K12345" s="9" t="str">
        <f>IF(A12345="","",F.P!$I$2)</f>
        <v/>
      </c>
      <c r="L12345" s="97"/>
      <c r="M12345" s="394" t="str">
        <f t="shared" si="1625"/>
        <v/>
      </c>
      <c r="N12345" s="273"/>
    </row>
    <row r="12346" spans="1:14" ht="12.75" customHeight="1" x14ac:dyDescent="0.25">
      <c r="A12346" s="393"/>
      <c r="B12346" s="271"/>
      <c r="C12346" s="271"/>
      <c r="D12346" s="271"/>
      <c r="E12346" s="271"/>
      <c r="F12346" s="271"/>
      <c r="G12346" s="273"/>
      <c r="H12346" s="29" t="str">
        <f>IF(A12346="","",VLOOKUP(A12346,AA_Cuadrillas,4,FALSE))</f>
        <v/>
      </c>
      <c r="I12346" s="394" t="str">
        <f>IF(A12346="","",VLOOKUP(A12346,AA_Cuadrillas,5,FALSE))</f>
        <v/>
      </c>
      <c r="J12346" s="273"/>
      <c r="K12346" s="9" t="str">
        <f>IF(A12346="","",F.P!$I$2)</f>
        <v/>
      </c>
      <c r="L12346" s="37"/>
      <c r="M12346" s="394" t="str">
        <f t="shared" si="1625"/>
        <v/>
      </c>
      <c r="N12346" s="273"/>
    </row>
    <row r="12347" spans="1:14" ht="12.75" customHeight="1" x14ac:dyDescent="0.25">
      <c r="A12347" s="4"/>
      <c r="B12347" s="4"/>
      <c r="C12347" s="4"/>
      <c r="D12347" s="4"/>
      <c r="E12347" s="4"/>
      <c r="F12347" s="4"/>
      <c r="G12347" s="4"/>
      <c r="H12347" s="4"/>
      <c r="I12347" s="4"/>
      <c r="J12347" s="4"/>
      <c r="K12347" s="396" t="s">
        <v>444</v>
      </c>
      <c r="L12347" s="273"/>
      <c r="M12347" s="394">
        <f>SUM(M12342:N12346)</f>
        <v>74730</v>
      </c>
      <c r="N12347" s="273"/>
    </row>
    <row r="12348" spans="1:14" ht="12.75" customHeight="1" x14ac:dyDescent="0.2"/>
    <row r="12349" spans="1:14" ht="12.75" customHeight="1" x14ac:dyDescent="0.2">
      <c r="A12349" s="397" t="s">
        <v>400</v>
      </c>
      <c r="B12349" s="275"/>
      <c r="C12349" s="275"/>
      <c r="D12349" s="275"/>
      <c r="E12349" s="275"/>
      <c r="F12349" s="275"/>
      <c r="G12349" s="275"/>
      <c r="H12349" s="275"/>
      <c r="I12349" s="275"/>
      <c r="J12349" s="275"/>
      <c r="K12349" s="275"/>
      <c r="L12349" s="275"/>
      <c r="M12349" s="275"/>
      <c r="N12349" s="276"/>
    </row>
    <row r="12350" spans="1:14" ht="12.75" customHeight="1" x14ac:dyDescent="0.2">
      <c r="A12350" s="277"/>
      <c r="B12350" s="278"/>
      <c r="C12350" s="278"/>
      <c r="D12350" s="278"/>
      <c r="E12350" s="278"/>
      <c r="F12350" s="278"/>
      <c r="G12350" s="278"/>
      <c r="H12350" s="278"/>
      <c r="I12350" s="278"/>
      <c r="J12350" s="278"/>
      <c r="K12350" s="278"/>
      <c r="L12350" s="278"/>
      <c r="M12350" s="278"/>
      <c r="N12350" s="279"/>
    </row>
    <row r="12351" spans="1:14" ht="12.75" customHeight="1" x14ac:dyDescent="0.2">
      <c r="A12351" s="75"/>
      <c r="B12351" s="75"/>
      <c r="C12351" s="75"/>
      <c r="D12351" s="75"/>
      <c r="E12351" s="75"/>
      <c r="F12351" s="75"/>
      <c r="G12351" s="75"/>
      <c r="H12351" s="75"/>
      <c r="I12351" s="75"/>
      <c r="J12351" s="75"/>
      <c r="K12351" s="75"/>
      <c r="L12351" s="75"/>
      <c r="M12351" s="75"/>
      <c r="N12351" s="75"/>
    </row>
    <row r="12352" spans="1:14" ht="12.75" customHeight="1" x14ac:dyDescent="0.3">
      <c r="A12352" s="79" t="s">
        <v>885</v>
      </c>
      <c r="B12352" s="80" t="str">
        <f>A12349</f>
        <v>SUMINISTRO E INSTALACIÓN CAJA DE INSPECCIÓN BT NORMA CODENSA CS274</v>
      </c>
      <c r="C12352" s="81" t="s">
        <v>916</v>
      </c>
      <c r="D12352" s="82" t="s">
        <v>999</v>
      </c>
      <c r="E12352" s="83" t="s">
        <v>445</v>
      </c>
      <c r="F12352" s="86">
        <f>H12352+J12352+L12352+N12352</f>
        <v>2140038.4980000006</v>
      </c>
      <c r="G12352" s="83" t="s">
        <v>607</v>
      </c>
      <c r="H12352" s="86">
        <f>M12372</f>
        <v>1729683.4980000006</v>
      </c>
      <c r="I12352" s="83" t="s">
        <v>918</v>
      </c>
      <c r="J12352" s="86">
        <f>M12381</f>
        <v>12455</v>
      </c>
      <c r="K12352" s="83" t="s">
        <v>609</v>
      </c>
      <c r="L12352" s="86">
        <f>M12390</f>
        <v>148800</v>
      </c>
      <c r="M12352" s="83" t="s">
        <v>610</v>
      </c>
      <c r="N12352" s="86">
        <f>M12399</f>
        <v>249100</v>
      </c>
    </row>
    <row r="12353" spans="1:14" ht="12.75" customHeight="1" x14ac:dyDescent="0.25">
      <c r="A12353" s="87"/>
      <c r="B12353" s="87"/>
      <c r="C12353" s="87"/>
      <c r="D12353" s="87"/>
      <c r="E12353" s="87"/>
      <c r="F12353" s="87"/>
      <c r="G12353" s="87"/>
      <c r="H12353" s="12"/>
      <c r="I12353" s="12"/>
      <c r="J12353" s="87"/>
      <c r="K12353" s="215" t="s">
        <v>3217</v>
      </c>
      <c r="L12353" s="215">
        <f>+F12352*presup!$O$5</f>
        <v>2782050.047400001</v>
      </c>
      <c r="M12353" s="87"/>
      <c r="N12353" s="87"/>
    </row>
    <row r="12354" spans="1:14" ht="12.75" customHeight="1" x14ac:dyDescent="0.2">
      <c r="A12354" s="398" t="s">
        <v>919</v>
      </c>
      <c r="B12354" s="271"/>
      <c r="C12354" s="271"/>
      <c r="D12354" s="271"/>
      <c r="E12354" s="271"/>
      <c r="F12354" s="271"/>
      <c r="G12354" s="271"/>
      <c r="H12354" s="271"/>
      <c r="I12354" s="271"/>
      <c r="J12354" s="271"/>
      <c r="K12354" s="271"/>
      <c r="L12354" s="271"/>
      <c r="M12354" s="271"/>
      <c r="N12354" s="273"/>
    </row>
    <row r="12355" spans="1:14" ht="12.75" customHeight="1" x14ac:dyDescent="0.2">
      <c r="A12355" s="396" t="s">
        <v>76</v>
      </c>
      <c r="B12355" s="271"/>
      <c r="C12355" s="271"/>
      <c r="D12355" s="271"/>
      <c r="E12355" s="271"/>
      <c r="F12355" s="271"/>
      <c r="G12355" s="273"/>
      <c r="H12355" s="88" t="s">
        <v>77</v>
      </c>
      <c r="I12355" s="399" t="s">
        <v>920</v>
      </c>
      <c r="J12355" s="273"/>
      <c r="K12355" s="399" t="s">
        <v>453</v>
      </c>
      <c r="L12355" s="273"/>
      <c r="M12355" s="399" t="s">
        <v>921</v>
      </c>
      <c r="N12355" s="273"/>
    </row>
    <row r="12356" spans="1:14" ht="12.75" customHeight="1" x14ac:dyDescent="0.25">
      <c r="A12356" s="309" t="s">
        <v>1598</v>
      </c>
      <c r="B12356" s="271"/>
      <c r="C12356" s="271"/>
      <c r="D12356" s="271"/>
      <c r="E12356" s="271"/>
      <c r="F12356" s="271"/>
      <c r="G12356" s="273"/>
      <c r="H12356" s="29" t="str">
        <f t="shared" ref="H12356:H12371" si="1626">IF(A12356="","",VLOOKUP(A12356,AA_Materiales,7,FALSE))</f>
        <v>un</v>
      </c>
      <c r="I12356" s="394">
        <f t="shared" ref="I12356:I12371" si="1627">IF(A12356="","",VLOOKUP(A12356,AA_Materiales,8,FALSE))</f>
        <v>31637.759999999998</v>
      </c>
      <c r="J12356" s="273"/>
      <c r="K12356" s="393">
        <v>1</v>
      </c>
      <c r="L12356" s="273"/>
      <c r="M12356" s="394">
        <f t="shared" ref="M12356:M12371" si="1628">IF(A12356="","",I12356*K12356)</f>
        <v>31637.759999999998</v>
      </c>
      <c r="N12356" s="273"/>
    </row>
    <row r="12357" spans="1:14" ht="12.75" customHeight="1" x14ac:dyDescent="0.25">
      <c r="A12357" s="309" t="s">
        <v>1599</v>
      </c>
      <c r="B12357" s="271"/>
      <c r="C12357" s="271"/>
      <c r="D12357" s="271"/>
      <c r="E12357" s="271"/>
      <c r="F12357" s="271"/>
      <c r="G12357" s="273"/>
      <c r="H12357" s="29" t="str">
        <f t="shared" si="1626"/>
        <v>kg</v>
      </c>
      <c r="I12357" s="394">
        <f t="shared" si="1627"/>
        <v>8698.4500000000007</v>
      </c>
      <c r="J12357" s="273"/>
      <c r="K12357" s="393">
        <v>50</v>
      </c>
      <c r="L12357" s="273"/>
      <c r="M12357" s="394">
        <f t="shared" si="1628"/>
        <v>434922.50000000006</v>
      </c>
      <c r="N12357" s="273"/>
    </row>
    <row r="12358" spans="1:14" ht="12.75" customHeight="1" x14ac:dyDescent="0.25">
      <c r="A12358" s="309" t="s">
        <v>1600</v>
      </c>
      <c r="B12358" s="271"/>
      <c r="C12358" s="271"/>
      <c r="D12358" s="271"/>
      <c r="E12358" s="271"/>
      <c r="F12358" s="271"/>
      <c r="G12358" s="273"/>
      <c r="H12358" s="29" t="str">
        <f t="shared" si="1626"/>
        <v>m3</v>
      </c>
      <c r="I12358" s="394">
        <f t="shared" si="1627"/>
        <v>1220265.2</v>
      </c>
      <c r="J12358" s="273"/>
      <c r="K12358" s="393">
        <v>0.4</v>
      </c>
      <c r="L12358" s="273"/>
      <c r="M12358" s="394">
        <f t="shared" si="1628"/>
        <v>488106.08</v>
      </c>
      <c r="N12358" s="273"/>
    </row>
    <row r="12359" spans="1:14" ht="12.75" customHeight="1" x14ac:dyDescent="0.25">
      <c r="A12359" s="309" t="s">
        <v>1601</v>
      </c>
      <c r="B12359" s="271"/>
      <c r="C12359" s="271"/>
      <c r="D12359" s="271"/>
      <c r="E12359" s="271"/>
      <c r="F12359" s="271"/>
      <c r="G12359" s="273"/>
      <c r="H12359" s="29" t="str">
        <f t="shared" si="1626"/>
        <v>un</v>
      </c>
      <c r="I12359" s="394">
        <f t="shared" si="1627"/>
        <v>45623.199999999997</v>
      </c>
      <c r="J12359" s="273"/>
      <c r="K12359" s="393">
        <v>1</v>
      </c>
      <c r="L12359" s="273"/>
      <c r="M12359" s="394">
        <f t="shared" si="1628"/>
        <v>45623.199999999997</v>
      </c>
      <c r="N12359" s="273"/>
    </row>
    <row r="12360" spans="1:14" ht="12.75" customHeight="1" x14ac:dyDescent="0.25">
      <c r="A12360" s="309" t="s">
        <v>1602</v>
      </c>
      <c r="B12360" s="271"/>
      <c r="C12360" s="271"/>
      <c r="D12360" s="271"/>
      <c r="E12360" s="271"/>
      <c r="F12360" s="271"/>
      <c r="G12360" s="273"/>
      <c r="H12360" s="29" t="str">
        <f t="shared" si="1626"/>
        <v>un</v>
      </c>
      <c r="I12360" s="394">
        <f t="shared" si="1627"/>
        <v>57482.6</v>
      </c>
      <c r="J12360" s="273"/>
      <c r="K12360" s="393">
        <v>1</v>
      </c>
      <c r="L12360" s="273"/>
      <c r="M12360" s="394">
        <f t="shared" si="1628"/>
        <v>57482.6</v>
      </c>
      <c r="N12360" s="273"/>
    </row>
    <row r="12361" spans="1:14" ht="12.75" customHeight="1" x14ac:dyDescent="0.25">
      <c r="A12361" s="309" t="s">
        <v>1603</v>
      </c>
      <c r="B12361" s="271"/>
      <c r="C12361" s="271"/>
      <c r="D12361" s="271"/>
      <c r="E12361" s="271"/>
      <c r="F12361" s="271"/>
      <c r="G12361" s="273"/>
      <c r="H12361" s="29" t="str">
        <f t="shared" si="1626"/>
        <v>un</v>
      </c>
      <c r="I12361" s="394">
        <f t="shared" si="1627"/>
        <v>150211.6</v>
      </c>
      <c r="J12361" s="273"/>
      <c r="K12361" s="393">
        <v>1</v>
      </c>
      <c r="L12361" s="273"/>
      <c r="M12361" s="394">
        <f t="shared" si="1628"/>
        <v>150211.6</v>
      </c>
      <c r="N12361" s="273"/>
    </row>
    <row r="12362" spans="1:14" ht="12.75" customHeight="1" x14ac:dyDescent="0.25">
      <c r="A12362" s="309" t="s">
        <v>1604</v>
      </c>
      <c r="B12362" s="271"/>
      <c r="C12362" s="271"/>
      <c r="D12362" s="271"/>
      <c r="E12362" s="271"/>
      <c r="F12362" s="271"/>
      <c r="G12362" s="273"/>
      <c r="H12362" s="29" t="str">
        <f t="shared" si="1626"/>
        <v>m3</v>
      </c>
      <c r="I12362" s="394">
        <f t="shared" si="1627"/>
        <v>59610.6</v>
      </c>
      <c r="J12362" s="273"/>
      <c r="K12362" s="393">
        <v>1.35</v>
      </c>
      <c r="L12362" s="273"/>
      <c r="M12362" s="394">
        <f t="shared" si="1628"/>
        <v>80474.31</v>
      </c>
      <c r="N12362" s="273"/>
    </row>
    <row r="12363" spans="1:14" ht="12.75" customHeight="1" x14ac:dyDescent="0.25">
      <c r="A12363" s="309" t="s">
        <v>1605</v>
      </c>
      <c r="B12363" s="271"/>
      <c r="C12363" s="271"/>
      <c r="D12363" s="271"/>
      <c r="E12363" s="271"/>
      <c r="F12363" s="271"/>
      <c r="G12363" s="273"/>
      <c r="H12363" s="29" t="str">
        <f t="shared" si="1626"/>
        <v>m2</v>
      </c>
      <c r="I12363" s="394">
        <f t="shared" si="1627"/>
        <v>18911.2</v>
      </c>
      <c r="J12363" s="273"/>
      <c r="K12363" s="393">
        <v>0.6</v>
      </c>
      <c r="L12363" s="273"/>
      <c r="M12363" s="394">
        <f t="shared" si="1628"/>
        <v>11346.72</v>
      </c>
      <c r="N12363" s="273"/>
    </row>
    <row r="12364" spans="1:14" ht="12.75" customHeight="1" x14ac:dyDescent="0.25">
      <c r="A12364" s="309" t="s">
        <v>1606</v>
      </c>
      <c r="B12364" s="271"/>
      <c r="C12364" s="271"/>
      <c r="D12364" s="271"/>
      <c r="E12364" s="271"/>
      <c r="F12364" s="271"/>
      <c r="G12364" s="273"/>
      <c r="H12364" s="29" t="str">
        <f t="shared" si="1626"/>
        <v>un</v>
      </c>
      <c r="I12364" s="394">
        <f t="shared" si="1627"/>
        <v>345717.4</v>
      </c>
      <c r="J12364" s="273"/>
      <c r="K12364" s="393">
        <v>1</v>
      </c>
      <c r="L12364" s="273"/>
      <c r="M12364" s="394">
        <f t="shared" si="1628"/>
        <v>345717.4</v>
      </c>
      <c r="N12364" s="273"/>
    </row>
    <row r="12365" spans="1:14" ht="12.75" customHeight="1" x14ac:dyDescent="0.25">
      <c r="A12365" s="309" t="s">
        <v>1607</v>
      </c>
      <c r="B12365" s="271"/>
      <c r="C12365" s="271"/>
      <c r="D12365" s="271"/>
      <c r="E12365" s="271"/>
      <c r="F12365" s="271"/>
      <c r="G12365" s="273"/>
      <c r="H12365" s="29" t="str">
        <f t="shared" si="1626"/>
        <v>ml</v>
      </c>
      <c r="I12365" s="394">
        <f t="shared" si="1627"/>
        <v>68250</v>
      </c>
      <c r="J12365" s="273"/>
      <c r="K12365" s="393">
        <v>0.28000000000000003</v>
      </c>
      <c r="L12365" s="273"/>
      <c r="M12365" s="394">
        <f t="shared" si="1628"/>
        <v>19110</v>
      </c>
      <c r="N12365" s="273"/>
    </row>
    <row r="12366" spans="1:14" ht="12.75" customHeight="1" x14ac:dyDescent="0.25">
      <c r="A12366" s="309" t="s">
        <v>1608</v>
      </c>
      <c r="B12366" s="271"/>
      <c r="C12366" s="271"/>
      <c r="D12366" s="271"/>
      <c r="E12366" s="271"/>
      <c r="F12366" s="271"/>
      <c r="G12366" s="273"/>
      <c r="H12366" s="29" t="str">
        <f t="shared" si="1626"/>
        <v>un</v>
      </c>
      <c r="I12366" s="394">
        <f t="shared" si="1627"/>
        <v>9882.6</v>
      </c>
      <c r="J12366" s="273"/>
      <c r="K12366" s="393">
        <v>1</v>
      </c>
      <c r="L12366" s="273"/>
      <c r="M12366" s="394">
        <f t="shared" si="1628"/>
        <v>9882.6</v>
      </c>
      <c r="N12366" s="273"/>
    </row>
    <row r="12367" spans="1:14" ht="12.75" customHeight="1" x14ac:dyDescent="0.25">
      <c r="A12367" s="309" t="s">
        <v>1609</v>
      </c>
      <c r="B12367" s="271"/>
      <c r="C12367" s="271"/>
      <c r="D12367" s="271"/>
      <c r="E12367" s="271"/>
      <c r="F12367" s="271"/>
      <c r="G12367" s="273"/>
      <c r="H12367" s="29" t="str">
        <f t="shared" si="1626"/>
        <v>ml</v>
      </c>
      <c r="I12367" s="394">
        <f t="shared" si="1627"/>
        <v>1470</v>
      </c>
      <c r="J12367" s="273"/>
      <c r="K12367" s="393">
        <v>2.88</v>
      </c>
      <c r="L12367" s="273"/>
      <c r="M12367" s="394">
        <f t="shared" si="1628"/>
        <v>4233.5999999999995</v>
      </c>
      <c r="N12367" s="273"/>
    </row>
    <row r="12368" spans="1:14" ht="12.75" customHeight="1" x14ac:dyDescent="0.25">
      <c r="A12368" s="309" t="s">
        <v>1610</v>
      </c>
      <c r="B12368" s="271"/>
      <c r="C12368" s="271"/>
      <c r="D12368" s="271"/>
      <c r="E12368" s="271"/>
      <c r="F12368" s="271"/>
      <c r="G12368" s="273"/>
      <c r="H12368" s="29" t="str">
        <f t="shared" si="1626"/>
        <v>ml</v>
      </c>
      <c r="I12368" s="394">
        <f t="shared" si="1627"/>
        <v>3312.4</v>
      </c>
      <c r="J12368" s="273"/>
      <c r="K12368" s="393">
        <v>5.76</v>
      </c>
      <c r="L12368" s="273"/>
      <c r="M12368" s="394">
        <f t="shared" si="1628"/>
        <v>19079.423999999999</v>
      </c>
      <c r="N12368" s="273"/>
    </row>
    <row r="12369" spans="1:14" ht="12.75" customHeight="1" x14ac:dyDescent="0.25">
      <c r="A12369" s="309" t="s">
        <v>1611</v>
      </c>
      <c r="B12369" s="271"/>
      <c r="C12369" s="271"/>
      <c r="D12369" s="271"/>
      <c r="E12369" s="271"/>
      <c r="F12369" s="271"/>
      <c r="G12369" s="273"/>
      <c r="H12369" s="29" t="str">
        <f t="shared" si="1626"/>
        <v>m3</v>
      </c>
      <c r="I12369" s="394">
        <f t="shared" si="1627"/>
        <v>394251.88</v>
      </c>
      <c r="J12369" s="273"/>
      <c r="K12369" s="393">
        <v>0.05</v>
      </c>
      <c r="L12369" s="273"/>
      <c r="M12369" s="394">
        <f t="shared" si="1628"/>
        <v>19712.594000000001</v>
      </c>
      <c r="N12369" s="273"/>
    </row>
    <row r="12370" spans="1:14" ht="12.75" customHeight="1" x14ac:dyDescent="0.25">
      <c r="A12370" s="309" t="s">
        <v>1612</v>
      </c>
      <c r="B12370" s="271"/>
      <c r="C12370" s="271"/>
      <c r="D12370" s="271"/>
      <c r="E12370" s="271"/>
      <c r="F12370" s="271"/>
      <c r="G12370" s="273"/>
      <c r="H12370" s="29" t="str">
        <f t="shared" si="1626"/>
        <v>ml</v>
      </c>
      <c r="I12370" s="394">
        <f t="shared" si="1627"/>
        <v>22828.400000000001</v>
      </c>
      <c r="J12370" s="273"/>
      <c r="K12370" s="393">
        <v>0.5</v>
      </c>
      <c r="L12370" s="273"/>
      <c r="M12370" s="394">
        <f t="shared" si="1628"/>
        <v>11414.2</v>
      </c>
      <c r="N12370" s="273"/>
    </row>
    <row r="12371" spans="1:14" ht="12.75" customHeight="1" x14ac:dyDescent="0.25">
      <c r="A12371" s="309" t="s">
        <v>1613</v>
      </c>
      <c r="B12371" s="271"/>
      <c r="C12371" s="271"/>
      <c r="D12371" s="271"/>
      <c r="E12371" s="271"/>
      <c r="F12371" s="271"/>
      <c r="G12371" s="273"/>
      <c r="H12371" s="29" t="str">
        <f t="shared" si="1626"/>
        <v>ml</v>
      </c>
      <c r="I12371" s="394">
        <f t="shared" si="1627"/>
        <v>14578.2</v>
      </c>
      <c r="J12371" s="273"/>
      <c r="K12371" s="393">
        <v>0.05</v>
      </c>
      <c r="L12371" s="273"/>
      <c r="M12371" s="394">
        <f t="shared" si="1628"/>
        <v>728.91000000000008</v>
      </c>
      <c r="N12371" s="273"/>
    </row>
    <row r="12372" spans="1:14" ht="12.75" customHeight="1" x14ac:dyDescent="0.25">
      <c r="A12372" s="4"/>
      <c r="B12372" s="4"/>
      <c r="C12372" s="4"/>
      <c r="D12372" s="4"/>
      <c r="E12372" s="4"/>
      <c r="F12372" s="4"/>
      <c r="G12372" s="4"/>
      <c r="H12372" s="4"/>
      <c r="I12372" s="4"/>
      <c r="J12372" s="4"/>
      <c r="K12372" s="396" t="s">
        <v>444</v>
      </c>
      <c r="L12372" s="273"/>
      <c r="M12372" s="394">
        <f>SUM(M12356:N12371)</f>
        <v>1729683.4980000006</v>
      </c>
      <c r="N12372" s="273"/>
    </row>
    <row r="12373" spans="1:14" ht="12.75" customHeight="1" x14ac:dyDescent="0.25">
      <c r="A12373" s="4"/>
      <c r="B12373" s="4"/>
      <c r="C12373" s="4"/>
      <c r="D12373" s="4"/>
      <c r="E12373" s="4"/>
      <c r="F12373" s="4"/>
      <c r="G12373" s="4"/>
      <c r="H12373" s="4"/>
      <c r="I12373" s="4"/>
      <c r="J12373" s="4"/>
      <c r="K12373" s="4"/>
      <c r="L12373" s="4"/>
      <c r="M12373" s="4"/>
      <c r="N12373" s="4"/>
    </row>
    <row r="12374" spans="1:14" ht="12.75" customHeight="1" x14ac:dyDescent="0.2">
      <c r="A12374" s="398" t="s">
        <v>926</v>
      </c>
      <c r="B12374" s="271"/>
      <c r="C12374" s="271"/>
      <c r="D12374" s="271"/>
      <c r="E12374" s="271"/>
      <c r="F12374" s="271"/>
      <c r="G12374" s="271"/>
      <c r="H12374" s="271"/>
      <c r="I12374" s="271"/>
      <c r="J12374" s="271"/>
      <c r="K12374" s="271"/>
      <c r="L12374" s="271"/>
      <c r="M12374" s="271"/>
      <c r="N12374" s="273"/>
    </row>
    <row r="12375" spans="1:14" ht="12.75" customHeight="1" x14ac:dyDescent="0.2">
      <c r="A12375" s="396" t="s">
        <v>76</v>
      </c>
      <c r="B12375" s="271"/>
      <c r="C12375" s="271"/>
      <c r="D12375" s="271"/>
      <c r="E12375" s="271"/>
      <c r="F12375" s="271"/>
      <c r="G12375" s="273"/>
      <c r="H12375" s="88" t="s">
        <v>77</v>
      </c>
      <c r="I12375" s="399" t="s">
        <v>920</v>
      </c>
      <c r="J12375" s="273"/>
      <c r="K12375" s="399" t="s">
        <v>453</v>
      </c>
      <c r="L12375" s="273"/>
      <c r="M12375" s="399" t="s">
        <v>921</v>
      </c>
      <c r="N12375" s="273"/>
    </row>
    <row r="12376" spans="1:14" ht="12.75" customHeight="1" x14ac:dyDescent="0.2">
      <c r="A12376" s="400" t="s">
        <v>927</v>
      </c>
      <c r="B12376" s="271"/>
      <c r="C12376" s="271"/>
      <c r="D12376" s="271"/>
      <c r="E12376" s="271"/>
      <c r="F12376" s="271"/>
      <c r="G12376" s="273"/>
      <c r="H12376" s="29" t="str">
        <f>IF(A12376="","",VLOOKUP(A12376,AA_Equipos,7,FALSE))</f>
        <v>% M.O.</v>
      </c>
      <c r="I12376" s="394">
        <f>+M12399</f>
        <v>249100</v>
      </c>
      <c r="J12376" s="273"/>
      <c r="K12376" s="404">
        <v>0.05</v>
      </c>
      <c r="L12376" s="273"/>
      <c r="M12376" s="394">
        <f t="shared" ref="M12376:M12380" si="1629">IF(A12376="","",I12376*K12376)</f>
        <v>12455</v>
      </c>
      <c r="N12376" s="273"/>
    </row>
    <row r="12377" spans="1:14" ht="12.75" customHeight="1" x14ac:dyDescent="0.2">
      <c r="A12377" s="403"/>
      <c r="B12377" s="271"/>
      <c r="C12377" s="271"/>
      <c r="D12377" s="271"/>
      <c r="E12377" s="271"/>
      <c r="F12377" s="271"/>
      <c r="G12377" s="273"/>
      <c r="H12377" s="29" t="str">
        <f>IF(A12377="","",VLOOKUP(A12377,AA_Equipos,7,FALSE))</f>
        <v/>
      </c>
      <c r="I12377" s="394" t="str">
        <f>IF(A12377="","",VLOOKUP(A12377,AA_Equipos,8,FALSE))</f>
        <v/>
      </c>
      <c r="J12377" s="273"/>
      <c r="K12377" s="402"/>
      <c r="L12377" s="273"/>
      <c r="M12377" s="394" t="str">
        <f t="shared" si="1629"/>
        <v/>
      </c>
      <c r="N12377" s="273"/>
    </row>
    <row r="12378" spans="1:14" ht="12.75" customHeight="1" x14ac:dyDescent="0.2">
      <c r="A12378" s="400"/>
      <c r="B12378" s="271"/>
      <c r="C12378" s="271"/>
      <c r="D12378" s="271"/>
      <c r="E12378" s="271"/>
      <c r="F12378" s="271"/>
      <c r="G12378" s="273"/>
      <c r="H12378" s="29" t="str">
        <f>IF(A12378="","",VLOOKUP(A12378,AA_Equipos,7,FALSE))</f>
        <v/>
      </c>
      <c r="I12378" s="394" t="str">
        <f>IF(A12378="","",VLOOKUP(A12378,AA_Equipos,8,FALSE))</f>
        <v/>
      </c>
      <c r="J12378" s="273"/>
      <c r="K12378" s="401"/>
      <c r="L12378" s="273"/>
      <c r="M12378" s="394" t="str">
        <f t="shared" si="1629"/>
        <v/>
      </c>
      <c r="N12378" s="273"/>
    </row>
    <row r="12379" spans="1:14" ht="12.75" customHeight="1" x14ac:dyDescent="0.2">
      <c r="A12379" s="400"/>
      <c r="B12379" s="271"/>
      <c r="C12379" s="271"/>
      <c r="D12379" s="271"/>
      <c r="E12379" s="271"/>
      <c r="F12379" s="271"/>
      <c r="G12379" s="273"/>
      <c r="H12379" s="29" t="str">
        <f>IF(A12379="","",VLOOKUP(A12379,AA_Equipos,7,FALSE))</f>
        <v/>
      </c>
      <c r="I12379" s="394" t="str">
        <f>IF(A12379="","",VLOOKUP(A12379,AA_Equipos,8,FALSE))</f>
        <v/>
      </c>
      <c r="J12379" s="273"/>
      <c r="K12379" s="395"/>
      <c r="L12379" s="273"/>
      <c r="M12379" s="394" t="str">
        <f t="shared" si="1629"/>
        <v/>
      </c>
      <c r="N12379" s="273"/>
    </row>
    <row r="12380" spans="1:14" ht="12.75" customHeight="1" x14ac:dyDescent="0.2">
      <c r="A12380" s="400"/>
      <c r="B12380" s="271"/>
      <c r="C12380" s="271"/>
      <c r="D12380" s="271"/>
      <c r="E12380" s="271"/>
      <c r="F12380" s="271"/>
      <c r="G12380" s="273"/>
      <c r="H12380" s="29" t="str">
        <f>IF(A12380="","",VLOOKUP(A12380,AA_Equipos,7,FALSE))</f>
        <v/>
      </c>
      <c r="I12380" s="394" t="str">
        <f>IF(A12380="","",VLOOKUP(A12380,AA_Equipos,8,FALSE))</f>
        <v/>
      </c>
      <c r="J12380" s="273"/>
      <c r="K12380" s="395"/>
      <c r="L12380" s="273"/>
      <c r="M12380" s="394" t="str">
        <f t="shared" si="1629"/>
        <v/>
      </c>
      <c r="N12380" s="273"/>
    </row>
    <row r="12381" spans="1:14" ht="12.75" customHeight="1" x14ac:dyDescent="0.25">
      <c r="A12381" s="4"/>
      <c r="B12381" s="4"/>
      <c r="C12381" s="4"/>
      <c r="D12381" s="4"/>
      <c r="E12381" s="4"/>
      <c r="F12381" s="4"/>
      <c r="G12381" s="4"/>
      <c r="H12381" s="4"/>
      <c r="I12381" s="4"/>
      <c r="J12381" s="4"/>
      <c r="K12381" s="396" t="s">
        <v>444</v>
      </c>
      <c r="L12381" s="273"/>
      <c r="M12381" s="394">
        <f>SUM(M12376:N12380)</f>
        <v>12455</v>
      </c>
      <c r="N12381" s="273"/>
    </row>
    <row r="12382" spans="1:14" ht="12.75" customHeight="1" x14ac:dyDescent="0.25">
      <c r="A12382" s="4"/>
      <c r="B12382" s="4"/>
      <c r="C12382" s="4"/>
      <c r="D12382" s="4"/>
      <c r="E12382" s="4"/>
      <c r="F12382" s="4"/>
      <c r="G12382" s="4"/>
      <c r="H12382" s="4"/>
      <c r="I12382" s="4"/>
      <c r="J12382" s="4"/>
      <c r="K12382" s="4"/>
      <c r="L12382" s="4"/>
      <c r="M12382" s="4"/>
      <c r="N12382" s="4"/>
    </row>
    <row r="12383" spans="1:14" ht="12.75" customHeight="1" x14ac:dyDescent="0.2">
      <c r="A12383" s="398" t="s">
        <v>929</v>
      </c>
      <c r="B12383" s="271"/>
      <c r="C12383" s="271"/>
      <c r="D12383" s="271"/>
      <c r="E12383" s="271"/>
      <c r="F12383" s="271"/>
      <c r="G12383" s="271"/>
      <c r="H12383" s="271"/>
      <c r="I12383" s="271"/>
      <c r="J12383" s="271"/>
      <c r="K12383" s="271"/>
      <c r="L12383" s="271"/>
      <c r="M12383" s="271"/>
      <c r="N12383" s="273"/>
    </row>
    <row r="12384" spans="1:14" ht="12.75" customHeight="1" x14ac:dyDescent="0.2">
      <c r="A12384" s="396" t="s">
        <v>76</v>
      </c>
      <c r="B12384" s="271"/>
      <c r="C12384" s="271"/>
      <c r="D12384" s="271"/>
      <c r="E12384" s="271"/>
      <c r="F12384" s="271"/>
      <c r="G12384" s="273"/>
      <c r="H12384" s="88" t="s">
        <v>77</v>
      </c>
      <c r="I12384" s="399" t="s">
        <v>920</v>
      </c>
      <c r="J12384" s="273"/>
      <c r="K12384" s="399" t="s">
        <v>453</v>
      </c>
      <c r="L12384" s="273"/>
      <c r="M12384" s="399" t="s">
        <v>921</v>
      </c>
      <c r="N12384" s="273"/>
    </row>
    <row r="12385" spans="1:14" ht="12.75" customHeight="1" x14ac:dyDescent="0.2">
      <c r="A12385" s="400" t="s">
        <v>1559</v>
      </c>
      <c r="B12385" s="271"/>
      <c r="C12385" s="271"/>
      <c r="D12385" s="271"/>
      <c r="E12385" s="271"/>
      <c r="F12385" s="271"/>
      <c r="G12385" s="273"/>
      <c r="H12385" s="29" t="str">
        <f>IF(A12385="","",VLOOKUP(A12385,AA_Equipos,7,FALSE))</f>
        <v>Día</v>
      </c>
      <c r="I12385" s="394">
        <f>IF(A12385="","",VLOOKUP(A12385,AA_Equipos,8,FALSE))</f>
        <v>74400</v>
      </c>
      <c r="J12385" s="273"/>
      <c r="K12385" s="408">
        <v>2</v>
      </c>
      <c r="L12385" s="273"/>
      <c r="M12385" s="394">
        <f t="shared" ref="M12385:M12389" si="1630">IF(A12385="","",I12385*K12385)</f>
        <v>148800</v>
      </c>
      <c r="N12385" s="273"/>
    </row>
    <row r="12386" spans="1:14" ht="12.75" customHeight="1" x14ac:dyDescent="0.2">
      <c r="A12386" s="403"/>
      <c r="B12386" s="271"/>
      <c r="C12386" s="271"/>
      <c r="D12386" s="271"/>
      <c r="E12386" s="271"/>
      <c r="F12386" s="271"/>
      <c r="G12386" s="273"/>
      <c r="H12386" s="29"/>
      <c r="I12386" s="394"/>
      <c r="J12386" s="273"/>
      <c r="K12386" s="404"/>
      <c r="L12386" s="273"/>
      <c r="M12386" s="394" t="str">
        <f t="shared" si="1630"/>
        <v/>
      </c>
      <c r="N12386" s="273"/>
    </row>
    <row r="12387" spans="1:14" ht="12.75" customHeight="1" x14ac:dyDescent="0.2">
      <c r="A12387" s="400"/>
      <c r="B12387" s="271"/>
      <c r="C12387" s="271"/>
      <c r="D12387" s="271"/>
      <c r="E12387" s="271"/>
      <c r="F12387" s="271"/>
      <c r="G12387" s="273"/>
      <c r="H12387" s="29"/>
      <c r="I12387" s="394"/>
      <c r="J12387" s="273"/>
      <c r="K12387" s="395"/>
      <c r="L12387" s="273"/>
      <c r="M12387" s="394" t="str">
        <f t="shared" si="1630"/>
        <v/>
      </c>
      <c r="N12387" s="273"/>
    </row>
    <row r="12388" spans="1:14" ht="12.75" customHeight="1" x14ac:dyDescent="0.2">
      <c r="A12388" s="400"/>
      <c r="B12388" s="271"/>
      <c r="C12388" s="271"/>
      <c r="D12388" s="271"/>
      <c r="E12388" s="271"/>
      <c r="F12388" s="271"/>
      <c r="G12388" s="273"/>
      <c r="H12388" s="29"/>
      <c r="I12388" s="394"/>
      <c r="J12388" s="273"/>
      <c r="K12388" s="395"/>
      <c r="L12388" s="273"/>
      <c r="M12388" s="394" t="str">
        <f t="shared" si="1630"/>
        <v/>
      </c>
      <c r="N12388" s="273"/>
    </row>
    <row r="12389" spans="1:14" ht="12.75" customHeight="1" x14ac:dyDescent="0.2">
      <c r="A12389" s="400"/>
      <c r="B12389" s="271"/>
      <c r="C12389" s="271"/>
      <c r="D12389" s="271"/>
      <c r="E12389" s="271"/>
      <c r="F12389" s="271"/>
      <c r="G12389" s="273"/>
      <c r="H12389" s="29"/>
      <c r="I12389" s="394"/>
      <c r="J12389" s="273"/>
      <c r="K12389" s="395"/>
      <c r="L12389" s="273"/>
      <c r="M12389" s="394" t="str">
        <f t="shared" si="1630"/>
        <v/>
      </c>
      <c r="N12389" s="273"/>
    </row>
    <row r="12390" spans="1:14" ht="12.75" customHeight="1" x14ac:dyDescent="0.25">
      <c r="A12390" s="4"/>
      <c r="B12390" s="4"/>
      <c r="C12390" s="4"/>
      <c r="D12390" s="4"/>
      <c r="E12390" s="4"/>
      <c r="F12390" s="4"/>
      <c r="G12390" s="4"/>
      <c r="H12390" s="4"/>
      <c r="I12390" s="4"/>
      <c r="J12390" s="4"/>
      <c r="K12390" s="396" t="s">
        <v>444</v>
      </c>
      <c r="L12390" s="273"/>
      <c r="M12390" s="394">
        <f>SUM(M12385:N12389)</f>
        <v>148800</v>
      </c>
      <c r="N12390" s="273"/>
    </row>
    <row r="12391" spans="1:14" ht="12.75" customHeight="1" x14ac:dyDescent="0.25">
      <c r="A12391" s="4"/>
      <c r="B12391" s="4"/>
      <c r="C12391" s="4"/>
      <c r="D12391" s="4"/>
      <c r="E12391" s="4"/>
      <c r="F12391" s="4"/>
      <c r="G12391" s="4"/>
      <c r="H12391" s="4"/>
      <c r="I12391" s="4"/>
      <c r="J12391" s="4"/>
      <c r="K12391" s="4"/>
      <c r="L12391" s="4"/>
      <c r="M12391" s="4"/>
      <c r="N12391" s="4"/>
    </row>
    <row r="12392" spans="1:14" ht="12.75" customHeight="1" x14ac:dyDescent="0.2">
      <c r="A12392" s="398" t="s">
        <v>931</v>
      </c>
      <c r="B12392" s="271"/>
      <c r="C12392" s="271"/>
      <c r="D12392" s="271"/>
      <c r="E12392" s="271"/>
      <c r="F12392" s="271"/>
      <c r="G12392" s="271"/>
      <c r="H12392" s="271"/>
      <c r="I12392" s="271"/>
      <c r="J12392" s="271"/>
      <c r="K12392" s="271"/>
      <c r="L12392" s="271"/>
      <c r="M12392" s="271"/>
      <c r="N12392" s="273"/>
    </row>
    <row r="12393" spans="1:14" ht="12.75" customHeight="1" x14ac:dyDescent="0.2">
      <c r="A12393" s="396" t="s">
        <v>76</v>
      </c>
      <c r="B12393" s="271"/>
      <c r="C12393" s="271"/>
      <c r="D12393" s="271"/>
      <c r="E12393" s="271"/>
      <c r="F12393" s="271"/>
      <c r="G12393" s="273"/>
      <c r="H12393" s="88" t="s">
        <v>77</v>
      </c>
      <c r="I12393" s="399" t="s">
        <v>920</v>
      </c>
      <c r="J12393" s="273"/>
      <c r="K12393" s="90" t="s">
        <v>514</v>
      </c>
      <c r="L12393" s="91" t="s">
        <v>932</v>
      </c>
      <c r="M12393" s="399" t="s">
        <v>921</v>
      </c>
      <c r="N12393" s="273"/>
    </row>
    <row r="12394" spans="1:14" ht="12.75" customHeight="1" x14ac:dyDescent="0.25">
      <c r="A12394" s="393" t="s">
        <v>1301</v>
      </c>
      <c r="B12394" s="271"/>
      <c r="C12394" s="271"/>
      <c r="D12394" s="271"/>
      <c r="E12394" s="271"/>
      <c r="F12394" s="271"/>
      <c r="G12394" s="273"/>
      <c r="H12394" s="29" t="str">
        <f>IF(A12394="","",VLOOKUP(A12394,AA_Cuadrillas,4,FALSE))</f>
        <v>Cuadrilla</v>
      </c>
      <c r="I12394" s="394">
        <f>IF(A12394="","",VLOOKUP(A12394,AA_Cuadrillas,5,FALSE))</f>
        <v>132500</v>
      </c>
      <c r="J12394" s="273"/>
      <c r="K12394" s="9">
        <f>IF(A12394="","",F.P!$I$2)</f>
        <v>1.88</v>
      </c>
      <c r="L12394" s="97">
        <v>1</v>
      </c>
      <c r="M12394" s="394">
        <f t="shared" ref="M12394:M12398" si="1631">IF(A12394="","",I12394*K12394*L12394)</f>
        <v>249100</v>
      </c>
      <c r="N12394" s="273"/>
    </row>
    <row r="12395" spans="1:14" ht="12.75" customHeight="1" x14ac:dyDescent="0.25">
      <c r="A12395" s="393"/>
      <c r="B12395" s="271"/>
      <c r="C12395" s="271"/>
      <c r="D12395" s="271"/>
      <c r="E12395" s="271"/>
      <c r="F12395" s="271"/>
      <c r="G12395" s="273"/>
      <c r="H12395" s="29" t="str">
        <f>IF(A12395="","",VLOOKUP(A12395,AA_Cuadrillas,4,FALSE))</f>
        <v/>
      </c>
      <c r="I12395" s="394" t="str">
        <f>IF(A12395="","",VLOOKUP(A12395,AA_Cuadrillas,5,FALSE))</f>
        <v/>
      </c>
      <c r="J12395" s="273"/>
      <c r="K12395" s="9" t="str">
        <f>IF(A12395="","",F.P!$I$2)</f>
        <v/>
      </c>
      <c r="L12395" s="9"/>
      <c r="M12395" s="394" t="str">
        <f t="shared" si="1631"/>
        <v/>
      </c>
      <c r="N12395" s="273"/>
    </row>
    <row r="12396" spans="1:14" ht="12.75" customHeight="1" x14ac:dyDescent="0.25">
      <c r="A12396" s="393"/>
      <c r="B12396" s="271"/>
      <c r="C12396" s="271"/>
      <c r="D12396" s="271"/>
      <c r="E12396" s="271"/>
      <c r="F12396" s="271"/>
      <c r="G12396" s="273"/>
      <c r="H12396" s="29" t="str">
        <f>IF(A12396="","",VLOOKUP(A12396,AA_Cuadrillas,4,FALSE))</f>
        <v/>
      </c>
      <c r="I12396" s="394" t="str">
        <f>IF(A12396="","",VLOOKUP(A12396,AA_Cuadrillas,5,FALSE))</f>
        <v/>
      </c>
      <c r="J12396" s="273"/>
      <c r="K12396" s="9" t="str">
        <f>IF(A12396="","",F.P!$I$2)</f>
        <v/>
      </c>
      <c r="L12396" s="37"/>
      <c r="M12396" s="394" t="str">
        <f t="shared" si="1631"/>
        <v/>
      </c>
      <c r="N12396" s="273"/>
    </row>
    <row r="12397" spans="1:14" ht="12.75" customHeight="1" x14ac:dyDescent="0.25">
      <c r="A12397" s="393"/>
      <c r="B12397" s="271"/>
      <c r="C12397" s="271"/>
      <c r="D12397" s="271"/>
      <c r="E12397" s="271"/>
      <c r="F12397" s="271"/>
      <c r="G12397" s="273"/>
      <c r="H12397" s="29" t="str">
        <f>IF(A12397="","",VLOOKUP(A12397,AA_Cuadrillas,4,FALSE))</f>
        <v/>
      </c>
      <c r="I12397" s="394" t="str">
        <f>IF(A12397="","",VLOOKUP(A12397,AA_Cuadrillas,5,FALSE))</f>
        <v/>
      </c>
      <c r="J12397" s="273"/>
      <c r="K12397" s="9" t="str">
        <f>IF(A12397="","",F.P!$I$2)</f>
        <v/>
      </c>
      <c r="L12397" s="97"/>
      <c r="M12397" s="394" t="str">
        <f t="shared" si="1631"/>
        <v/>
      </c>
      <c r="N12397" s="273"/>
    </row>
    <row r="12398" spans="1:14" ht="12.75" customHeight="1" x14ac:dyDescent="0.25">
      <c r="A12398" s="393"/>
      <c r="B12398" s="271"/>
      <c r="C12398" s="271"/>
      <c r="D12398" s="271"/>
      <c r="E12398" s="271"/>
      <c r="F12398" s="271"/>
      <c r="G12398" s="273"/>
      <c r="H12398" s="29" t="str">
        <f>IF(A12398="","",VLOOKUP(A12398,AA_Cuadrillas,4,FALSE))</f>
        <v/>
      </c>
      <c r="I12398" s="394" t="str">
        <f>IF(A12398="","",VLOOKUP(A12398,AA_Cuadrillas,5,FALSE))</f>
        <v/>
      </c>
      <c r="J12398" s="273"/>
      <c r="K12398" s="9" t="str">
        <f>IF(A12398="","",F.P!$I$2)</f>
        <v/>
      </c>
      <c r="L12398" s="37"/>
      <c r="M12398" s="394" t="str">
        <f t="shared" si="1631"/>
        <v/>
      </c>
      <c r="N12398" s="273"/>
    </row>
    <row r="12399" spans="1:14" ht="12.75" customHeight="1" x14ac:dyDescent="0.25">
      <c r="A12399" s="4"/>
      <c r="B12399" s="4"/>
      <c r="C12399" s="4"/>
      <c r="D12399" s="4"/>
      <c r="E12399" s="4"/>
      <c r="F12399" s="4"/>
      <c r="G12399" s="4"/>
      <c r="H12399" s="4"/>
      <c r="I12399" s="4"/>
      <c r="J12399" s="4"/>
      <c r="K12399" s="396" t="s">
        <v>444</v>
      </c>
      <c r="L12399" s="273"/>
      <c r="M12399" s="394">
        <f>SUM(M12394:N12398)</f>
        <v>249100</v>
      </c>
      <c r="N12399" s="273"/>
    </row>
    <row r="12400" spans="1:14" ht="12.75" customHeight="1" x14ac:dyDescent="0.2"/>
    <row r="12401" spans="1:14" ht="12.75" customHeight="1" x14ac:dyDescent="0.2">
      <c r="A12401" s="397" t="s">
        <v>401</v>
      </c>
      <c r="B12401" s="275"/>
      <c r="C12401" s="275"/>
      <c r="D12401" s="275"/>
      <c r="E12401" s="275"/>
      <c r="F12401" s="275"/>
      <c r="G12401" s="275"/>
      <c r="H12401" s="275"/>
      <c r="I12401" s="275"/>
      <c r="J12401" s="275"/>
      <c r="K12401" s="275"/>
      <c r="L12401" s="275"/>
      <c r="M12401" s="275"/>
      <c r="N12401" s="276"/>
    </row>
    <row r="12402" spans="1:14" ht="12.75" customHeight="1" x14ac:dyDescent="0.2">
      <c r="A12402" s="277"/>
      <c r="B12402" s="278"/>
      <c r="C12402" s="278"/>
      <c r="D12402" s="278"/>
      <c r="E12402" s="278"/>
      <c r="F12402" s="278"/>
      <c r="G12402" s="278"/>
      <c r="H12402" s="278"/>
      <c r="I12402" s="278"/>
      <c r="J12402" s="278"/>
      <c r="K12402" s="278"/>
      <c r="L12402" s="278"/>
      <c r="M12402" s="278"/>
      <c r="N12402" s="279"/>
    </row>
    <row r="12403" spans="1:14" ht="12.75" customHeight="1" x14ac:dyDescent="0.2">
      <c r="A12403" s="75"/>
      <c r="B12403" s="75"/>
      <c r="C12403" s="75"/>
      <c r="D12403" s="75"/>
      <c r="E12403" s="75"/>
      <c r="F12403" s="75"/>
      <c r="G12403" s="75"/>
      <c r="H12403" s="75"/>
      <c r="I12403" s="75"/>
      <c r="J12403" s="75"/>
      <c r="K12403" s="75"/>
      <c r="L12403" s="75"/>
      <c r="M12403" s="75"/>
      <c r="N12403" s="75"/>
    </row>
    <row r="12404" spans="1:14" ht="12.75" customHeight="1" x14ac:dyDescent="0.3">
      <c r="A12404" s="79" t="s">
        <v>886</v>
      </c>
      <c r="B12404" s="80" t="str">
        <f>A12401</f>
        <v>SUMINISTRO E INSTALACIÓN TRANSFORMADOR TRIFÁSICO EN ACEITE 13,2/0,440KV 112,5KVA CONEXIÓN DYN 5, (INCLUYE PROTECCIONES DE MT, DPS Y HERRAJES DE INSTALACIÓN, ESTRUCTURA FINLA DE CIRCUITO CTU 500 CODENSA)</v>
      </c>
      <c r="C12404" s="81" t="s">
        <v>916</v>
      </c>
      <c r="D12404" s="82" t="s">
        <v>999</v>
      </c>
      <c r="E12404" s="83" t="s">
        <v>445</v>
      </c>
      <c r="F12404" s="86">
        <f>H12404+J12404+L12404+N12404</f>
        <v>36751676.799999997</v>
      </c>
      <c r="G12404" s="83" t="s">
        <v>607</v>
      </c>
      <c r="H12404" s="86">
        <f>M12433</f>
        <v>36238508</v>
      </c>
      <c r="I12404" s="83" t="s">
        <v>918</v>
      </c>
      <c r="J12404" s="86">
        <f>M12442</f>
        <v>14946</v>
      </c>
      <c r="K12404" s="83" t="s">
        <v>609</v>
      </c>
      <c r="L12404" s="86">
        <f>M12451</f>
        <v>199302.8</v>
      </c>
      <c r="M12404" s="83" t="s">
        <v>610</v>
      </c>
      <c r="N12404" s="86">
        <f>M12460</f>
        <v>298920</v>
      </c>
    </row>
    <row r="12405" spans="1:14" ht="12.75" customHeight="1" x14ac:dyDescent="0.25">
      <c r="A12405" s="87"/>
      <c r="B12405" s="87"/>
      <c r="C12405" s="87"/>
      <c r="D12405" s="87"/>
      <c r="E12405" s="87"/>
      <c r="F12405" s="87"/>
      <c r="G12405" s="87"/>
      <c r="H12405" s="12"/>
      <c r="I12405" s="12"/>
      <c r="J12405" s="87"/>
      <c r="K12405" s="215" t="s">
        <v>3217</v>
      </c>
      <c r="L12405" s="215">
        <f>+F12404*presup!$O$5</f>
        <v>47777179.839999996</v>
      </c>
      <c r="M12405" s="87"/>
      <c r="N12405" s="87"/>
    </row>
    <row r="12406" spans="1:14" ht="12.75" customHeight="1" x14ac:dyDescent="0.2">
      <c r="A12406" s="398" t="s">
        <v>919</v>
      </c>
      <c r="B12406" s="271"/>
      <c r="C12406" s="271"/>
      <c r="D12406" s="271"/>
      <c r="E12406" s="271"/>
      <c r="F12406" s="271"/>
      <c r="G12406" s="271"/>
      <c r="H12406" s="271"/>
      <c r="I12406" s="271"/>
      <c r="J12406" s="271"/>
      <c r="K12406" s="271"/>
      <c r="L12406" s="271"/>
      <c r="M12406" s="271"/>
      <c r="N12406" s="273"/>
    </row>
    <row r="12407" spans="1:14" ht="12.75" customHeight="1" x14ac:dyDescent="0.2">
      <c r="A12407" s="396" t="s">
        <v>76</v>
      </c>
      <c r="B12407" s="271"/>
      <c r="C12407" s="271"/>
      <c r="D12407" s="271"/>
      <c r="E12407" s="271"/>
      <c r="F12407" s="271"/>
      <c r="G12407" s="273"/>
      <c r="H12407" s="88" t="s">
        <v>77</v>
      </c>
      <c r="I12407" s="399" t="s">
        <v>920</v>
      </c>
      <c r="J12407" s="273"/>
      <c r="K12407" s="399" t="s">
        <v>453</v>
      </c>
      <c r="L12407" s="273"/>
      <c r="M12407" s="399" t="s">
        <v>921</v>
      </c>
      <c r="N12407" s="273"/>
    </row>
    <row r="12408" spans="1:14" ht="12.75" customHeight="1" x14ac:dyDescent="0.25">
      <c r="A12408" s="309" t="s">
        <v>1614</v>
      </c>
      <c r="B12408" s="271"/>
      <c r="C12408" s="271"/>
      <c r="D12408" s="271"/>
      <c r="E12408" s="271"/>
      <c r="F12408" s="271"/>
      <c r="G12408" s="273"/>
      <c r="H12408" s="29" t="str">
        <f t="shared" ref="H12408:H12432" si="1632">IF(A12408="","",VLOOKUP(A12408,AA_Materiales,7,FALSE))</f>
        <v>Unidad</v>
      </c>
      <c r="I12408" s="394">
        <f t="shared" ref="I12408:I12432" si="1633">IF(A12408="","",VLOOKUP(A12408,AA_Materiales,8,FALSE))</f>
        <v>10475</v>
      </c>
      <c r="J12408" s="273"/>
      <c r="K12408" s="393">
        <v>4</v>
      </c>
      <c r="L12408" s="273"/>
      <c r="M12408" s="394">
        <f t="shared" ref="M12408:M12432" si="1634">IF(A12408="","",I12408*K12408)</f>
        <v>41900</v>
      </c>
      <c r="N12408" s="273"/>
    </row>
    <row r="12409" spans="1:14" ht="12.75" customHeight="1" x14ac:dyDescent="0.25">
      <c r="A12409" s="309" t="s">
        <v>1615</v>
      </c>
      <c r="B12409" s="271"/>
      <c r="C12409" s="271"/>
      <c r="D12409" s="271"/>
      <c r="E12409" s="271"/>
      <c r="F12409" s="271"/>
      <c r="G12409" s="273"/>
      <c r="H12409" s="29" t="str">
        <f t="shared" si="1632"/>
        <v>Unidad</v>
      </c>
      <c r="I12409" s="394">
        <f t="shared" si="1633"/>
        <v>7165</v>
      </c>
      <c r="J12409" s="273"/>
      <c r="K12409" s="393">
        <v>1</v>
      </c>
      <c r="L12409" s="273"/>
      <c r="M12409" s="394">
        <f t="shared" si="1634"/>
        <v>7165</v>
      </c>
      <c r="N12409" s="273"/>
    </row>
    <row r="12410" spans="1:14" ht="12.75" customHeight="1" x14ac:dyDescent="0.25">
      <c r="A12410" s="309" t="s">
        <v>1616</v>
      </c>
      <c r="B12410" s="271"/>
      <c r="C12410" s="271"/>
      <c r="D12410" s="271"/>
      <c r="E12410" s="271"/>
      <c r="F12410" s="271"/>
      <c r="G12410" s="273"/>
      <c r="H12410" s="29" t="str">
        <f t="shared" si="1632"/>
        <v>Unidad</v>
      </c>
      <c r="I12410" s="394">
        <f t="shared" si="1633"/>
        <v>31302600</v>
      </c>
      <c r="J12410" s="273"/>
      <c r="K12410" s="393">
        <v>1</v>
      </c>
      <c r="L12410" s="273"/>
      <c r="M12410" s="394">
        <f t="shared" si="1634"/>
        <v>31302600</v>
      </c>
      <c r="N12410" s="273"/>
    </row>
    <row r="12411" spans="1:14" ht="12.75" customHeight="1" x14ac:dyDescent="0.25">
      <c r="A12411" s="309" t="s">
        <v>1617</v>
      </c>
      <c r="B12411" s="271"/>
      <c r="C12411" s="271"/>
      <c r="D12411" s="271"/>
      <c r="E12411" s="271"/>
      <c r="F12411" s="271"/>
      <c r="G12411" s="273"/>
      <c r="H12411" s="29" t="str">
        <f t="shared" si="1632"/>
        <v>Unidad</v>
      </c>
      <c r="I12411" s="394">
        <f t="shared" si="1633"/>
        <v>207529</v>
      </c>
      <c r="J12411" s="273"/>
      <c r="K12411" s="393">
        <v>1</v>
      </c>
      <c r="L12411" s="273"/>
      <c r="M12411" s="394">
        <f t="shared" si="1634"/>
        <v>207529</v>
      </c>
      <c r="N12411" s="273"/>
    </row>
    <row r="12412" spans="1:14" ht="12.75" customHeight="1" x14ac:dyDescent="0.25">
      <c r="A12412" s="309" t="s">
        <v>1618</v>
      </c>
      <c r="B12412" s="271"/>
      <c r="C12412" s="271"/>
      <c r="D12412" s="271"/>
      <c r="E12412" s="271"/>
      <c r="F12412" s="271"/>
      <c r="G12412" s="273"/>
      <c r="H12412" s="29" t="str">
        <f t="shared" si="1632"/>
        <v>Unidad</v>
      </c>
      <c r="I12412" s="394">
        <f t="shared" si="1633"/>
        <v>1680</v>
      </c>
      <c r="J12412" s="273"/>
      <c r="K12412" s="393">
        <v>10</v>
      </c>
      <c r="L12412" s="273"/>
      <c r="M12412" s="394">
        <f t="shared" si="1634"/>
        <v>16800</v>
      </c>
      <c r="N12412" s="273"/>
    </row>
    <row r="12413" spans="1:14" ht="12.75" customHeight="1" x14ac:dyDescent="0.25">
      <c r="A12413" s="309" t="s">
        <v>1619</v>
      </c>
      <c r="B12413" s="271"/>
      <c r="C12413" s="271"/>
      <c r="D12413" s="271"/>
      <c r="E12413" s="271"/>
      <c r="F12413" s="271"/>
      <c r="G12413" s="273"/>
      <c r="H12413" s="29" t="str">
        <f t="shared" si="1632"/>
        <v>Unidad</v>
      </c>
      <c r="I12413" s="394">
        <f t="shared" si="1633"/>
        <v>824</v>
      </c>
      <c r="J12413" s="273"/>
      <c r="K12413" s="393">
        <v>4</v>
      </c>
      <c r="L12413" s="273"/>
      <c r="M12413" s="394">
        <f t="shared" si="1634"/>
        <v>3296</v>
      </c>
      <c r="N12413" s="273"/>
    </row>
    <row r="12414" spans="1:14" ht="12.75" customHeight="1" x14ac:dyDescent="0.25">
      <c r="A12414" s="309" t="s">
        <v>1620</v>
      </c>
      <c r="B12414" s="271"/>
      <c r="C12414" s="271"/>
      <c r="D12414" s="271"/>
      <c r="E12414" s="271"/>
      <c r="F12414" s="271"/>
      <c r="G12414" s="273"/>
      <c r="H12414" s="29" t="str">
        <f t="shared" si="1632"/>
        <v>Unidad</v>
      </c>
      <c r="I12414" s="394">
        <f t="shared" si="1633"/>
        <v>239153</v>
      </c>
      <c r="J12414" s="273"/>
      <c r="K12414" s="393">
        <v>3</v>
      </c>
      <c r="L12414" s="273"/>
      <c r="M12414" s="394">
        <f t="shared" si="1634"/>
        <v>717459</v>
      </c>
      <c r="N12414" s="273"/>
    </row>
    <row r="12415" spans="1:14" ht="12.75" customHeight="1" x14ac:dyDescent="0.25">
      <c r="A12415" s="309" t="s">
        <v>1621</v>
      </c>
      <c r="B12415" s="271"/>
      <c r="C12415" s="271"/>
      <c r="D12415" s="271"/>
      <c r="E12415" s="271"/>
      <c r="F12415" s="271"/>
      <c r="G12415" s="273"/>
      <c r="H12415" s="29" t="str">
        <f t="shared" si="1632"/>
        <v>Unidad</v>
      </c>
      <c r="I12415" s="394">
        <f t="shared" si="1633"/>
        <v>15482</v>
      </c>
      <c r="J12415" s="273"/>
      <c r="K12415" s="393">
        <v>3</v>
      </c>
      <c r="L12415" s="273"/>
      <c r="M12415" s="394">
        <f t="shared" si="1634"/>
        <v>46446</v>
      </c>
      <c r="N12415" s="273"/>
    </row>
    <row r="12416" spans="1:14" ht="12.75" customHeight="1" x14ac:dyDescent="0.25">
      <c r="A12416" s="309" t="s">
        <v>1622</v>
      </c>
      <c r="B12416" s="271"/>
      <c r="C12416" s="271"/>
      <c r="D12416" s="271"/>
      <c r="E12416" s="271"/>
      <c r="F12416" s="271"/>
      <c r="G12416" s="273"/>
      <c r="H12416" s="29" t="str">
        <f t="shared" si="1632"/>
        <v>Unidad</v>
      </c>
      <c r="I12416" s="394">
        <f t="shared" si="1633"/>
        <v>447341</v>
      </c>
      <c r="J12416" s="273"/>
      <c r="K12416" s="393">
        <v>3</v>
      </c>
      <c r="L12416" s="273"/>
      <c r="M12416" s="394">
        <f t="shared" si="1634"/>
        <v>1342023</v>
      </c>
      <c r="N12416" s="273"/>
    </row>
    <row r="12417" spans="1:14" ht="12.75" customHeight="1" x14ac:dyDescent="0.25">
      <c r="A12417" s="309" t="s">
        <v>1623</v>
      </c>
      <c r="B12417" s="271"/>
      <c r="C12417" s="271"/>
      <c r="D12417" s="271"/>
      <c r="E12417" s="271"/>
      <c r="F12417" s="271"/>
      <c r="G12417" s="273"/>
      <c r="H12417" s="29" t="str">
        <f t="shared" si="1632"/>
        <v>Unidad</v>
      </c>
      <c r="I12417" s="394">
        <f t="shared" si="1633"/>
        <v>17724</v>
      </c>
      <c r="J12417" s="273"/>
      <c r="K12417" s="393">
        <v>3</v>
      </c>
      <c r="L12417" s="273"/>
      <c r="M12417" s="394">
        <f t="shared" si="1634"/>
        <v>53172</v>
      </c>
      <c r="N12417" s="273"/>
    </row>
    <row r="12418" spans="1:14" ht="12.75" customHeight="1" x14ac:dyDescent="0.25">
      <c r="A12418" s="309" t="s">
        <v>1624</v>
      </c>
      <c r="B12418" s="271"/>
      <c r="C12418" s="271"/>
      <c r="D12418" s="271"/>
      <c r="E12418" s="271"/>
      <c r="F12418" s="271"/>
      <c r="G12418" s="273"/>
      <c r="H12418" s="29" t="str">
        <f t="shared" si="1632"/>
        <v>Unidad</v>
      </c>
      <c r="I12418" s="394">
        <f t="shared" si="1633"/>
        <v>61666</v>
      </c>
      <c r="J12418" s="273"/>
      <c r="K12418" s="393">
        <v>3</v>
      </c>
      <c r="L12418" s="273"/>
      <c r="M12418" s="394">
        <f t="shared" si="1634"/>
        <v>184998</v>
      </c>
      <c r="N12418" s="273"/>
    </row>
    <row r="12419" spans="1:14" ht="12.75" customHeight="1" x14ac:dyDescent="0.25">
      <c r="A12419" s="309" t="s">
        <v>1625</v>
      </c>
      <c r="B12419" s="271"/>
      <c r="C12419" s="271"/>
      <c r="D12419" s="271"/>
      <c r="E12419" s="271"/>
      <c r="F12419" s="271"/>
      <c r="G12419" s="273"/>
      <c r="H12419" s="29" t="str">
        <f t="shared" si="1632"/>
        <v>Unidad</v>
      </c>
      <c r="I12419" s="394">
        <f t="shared" si="1633"/>
        <v>44800</v>
      </c>
      <c r="J12419" s="273"/>
      <c r="K12419" s="393">
        <v>3</v>
      </c>
      <c r="L12419" s="273"/>
      <c r="M12419" s="394">
        <f t="shared" si="1634"/>
        <v>134400</v>
      </c>
      <c r="N12419" s="273"/>
    </row>
    <row r="12420" spans="1:14" ht="12.75" customHeight="1" x14ac:dyDescent="0.25">
      <c r="A12420" s="309" t="s">
        <v>1626</v>
      </c>
      <c r="B12420" s="271"/>
      <c r="C12420" s="271"/>
      <c r="D12420" s="271"/>
      <c r="E12420" s="271"/>
      <c r="F12420" s="271"/>
      <c r="G12420" s="273"/>
      <c r="H12420" s="29" t="str">
        <f t="shared" si="1632"/>
        <v>Unidad</v>
      </c>
      <c r="I12420" s="394">
        <f t="shared" si="1633"/>
        <v>22456</v>
      </c>
      <c r="J12420" s="273"/>
      <c r="K12420" s="393">
        <v>2</v>
      </c>
      <c r="L12420" s="273"/>
      <c r="M12420" s="394">
        <f t="shared" si="1634"/>
        <v>44912</v>
      </c>
      <c r="N12420" s="273"/>
    </row>
    <row r="12421" spans="1:14" ht="12.75" customHeight="1" x14ac:dyDescent="0.25">
      <c r="A12421" s="309" t="s">
        <v>1627</v>
      </c>
      <c r="B12421" s="271"/>
      <c r="C12421" s="271"/>
      <c r="D12421" s="271"/>
      <c r="E12421" s="271"/>
      <c r="F12421" s="271"/>
      <c r="G12421" s="273"/>
      <c r="H12421" s="29" t="str">
        <f t="shared" si="1632"/>
        <v>Unidad</v>
      </c>
      <c r="I12421" s="394">
        <f t="shared" si="1633"/>
        <v>9306</v>
      </c>
      <c r="J12421" s="273"/>
      <c r="K12421" s="393">
        <v>4</v>
      </c>
      <c r="L12421" s="273"/>
      <c r="M12421" s="394">
        <f t="shared" si="1634"/>
        <v>37224</v>
      </c>
      <c r="N12421" s="273"/>
    </row>
    <row r="12422" spans="1:14" ht="12.75" customHeight="1" x14ac:dyDescent="0.25">
      <c r="A12422" s="309" t="s">
        <v>1628</v>
      </c>
      <c r="B12422" s="271"/>
      <c r="C12422" s="271"/>
      <c r="D12422" s="271"/>
      <c r="E12422" s="271"/>
      <c r="F12422" s="271"/>
      <c r="G12422" s="273"/>
      <c r="H12422" s="29" t="str">
        <f t="shared" si="1632"/>
        <v>Unidad</v>
      </c>
      <c r="I12422" s="394">
        <f t="shared" si="1633"/>
        <v>1820</v>
      </c>
      <c r="J12422" s="273"/>
      <c r="K12422" s="393">
        <v>8</v>
      </c>
      <c r="L12422" s="273"/>
      <c r="M12422" s="394">
        <f t="shared" si="1634"/>
        <v>14560</v>
      </c>
      <c r="N12422" s="273"/>
    </row>
    <row r="12423" spans="1:14" ht="12.75" customHeight="1" x14ac:dyDescent="0.25">
      <c r="A12423" s="309" t="s">
        <v>1629</v>
      </c>
      <c r="B12423" s="271"/>
      <c r="C12423" s="271"/>
      <c r="D12423" s="271"/>
      <c r="E12423" s="271"/>
      <c r="F12423" s="271"/>
      <c r="G12423" s="273"/>
      <c r="H12423" s="29" t="str">
        <f t="shared" si="1632"/>
        <v>Unidad</v>
      </c>
      <c r="I12423" s="394">
        <f t="shared" si="1633"/>
        <v>1400</v>
      </c>
      <c r="J12423" s="273"/>
      <c r="K12423" s="393">
        <v>16</v>
      </c>
      <c r="L12423" s="273"/>
      <c r="M12423" s="394">
        <f t="shared" si="1634"/>
        <v>22400</v>
      </c>
      <c r="N12423" s="273"/>
    </row>
    <row r="12424" spans="1:14" ht="12.75" customHeight="1" x14ac:dyDescent="0.25">
      <c r="A12424" s="309" t="s">
        <v>1630</v>
      </c>
      <c r="B12424" s="271"/>
      <c r="C12424" s="271"/>
      <c r="D12424" s="271"/>
      <c r="E12424" s="271"/>
      <c r="F12424" s="271"/>
      <c r="G12424" s="273"/>
      <c r="H12424" s="29" t="str">
        <f t="shared" si="1632"/>
        <v>Unidad</v>
      </c>
      <c r="I12424" s="394">
        <f t="shared" si="1633"/>
        <v>2060</v>
      </c>
      <c r="J12424" s="273"/>
      <c r="K12424" s="393">
        <v>8</v>
      </c>
      <c r="L12424" s="273"/>
      <c r="M12424" s="394">
        <f t="shared" si="1634"/>
        <v>16480</v>
      </c>
      <c r="N12424" s="273"/>
    </row>
    <row r="12425" spans="1:14" ht="12.75" customHeight="1" x14ac:dyDescent="0.25">
      <c r="A12425" s="309" t="s">
        <v>1631</v>
      </c>
      <c r="B12425" s="271"/>
      <c r="C12425" s="271"/>
      <c r="D12425" s="271"/>
      <c r="E12425" s="271"/>
      <c r="F12425" s="271"/>
      <c r="G12425" s="273"/>
      <c r="H12425" s="29" t="str">
        <f t="shared" si="1632"/>
        <v>Unidad</v>
      </c>
      <c r="I12425" s="394">
        <f t="shared" si="1633"/>
        <v>170882</v>
      </c>
      <c r="J12425" s="273"/>
      <c r="K12425" s="393">
        <v>3</v>
      </c>
      <c r="L12425" s="273"/>
      <c r="M12425" s="394">
        <f t="shared" si="1634"/>
        <v>512646</v>
      </c>
      <c r="N12425" s="273"/>
    </row>
    <row r="12426" spans="1:14" ht="12.75" customHeight="1" x14ac:dyDescent="0.25">
      <c r="A12426" s="309" t="s">
        <v>1632</v>
      </c>
      <c r="B12426" s="271"/>
      <c r="C12426" s="271"/>
      <c r="D12426" s="271"/>
      <c r="E12426" s="271"/>
      <c r="F12426" s="271"/>
      <c r="G12426" s="273"/>
      <c r="H12426" s="29" t="str">
        <f t="shared" si="1632"/>
        <v>Unidad</v>
      </c>
      <c r="I12426" s="394">
        <f t="shared" si="1633"/>
        <v>15190</v>
      </c>
      <c r="J12426" s="273"/>
      <c r="K12426" s="393">
        <v>2</v>
      </c>
      <c r="L12426" s="273"/>
      <c r="M12426" s="394">
        <f t="shared" si="1634"/>
        <v>30380</v>
      </c>
      <c r="N12426" s="273"/>
    </row>
    <row r="12427" spans="1:14" ht="12.75" customHeight="1" x14ac:dyDescent="0.25">
      <c r="A12427" s="309" t="s">
        <v>1633</v>
      </c>
      <c r="B12427" s="271"/>
      <c r="C12427" s="271"/>
      <c r="D12427" s="271"/>
      <c r="E12427" s="271"/>
      <c r="F12427" s="271"/>
      <c r="G12427" s="273"/>
      <c r="H12427" s="29" t="str">
        <f t="shared" si="1632"/>
        <v>Unidad</v>
      </c>
      <c r="I12427" s="394">
        <f t="shared" si="1633"/>
        <v>1262118</v>
      </c>
      <c r="J12427" s="273"/>
      <c r="K12427" s="393">
        <v>1</v>
      </c>
      <c r="L12427" s="273"/>
      <c r="M12427" s="394">
        <f t="shared" si="1634"/>
        <v>1262118</v>
      </c>
      <c r="N12427" s="273"/>
    </row>
    <row r="12428" spans="1:14" ht="12.75" customHeight="1" x14ac:dyDescent="0.25">
      <c r="A12428" s="309" t="s">
        <v>1634</v>
      </c>
      <c r="B12428" s="271"/>
      <c r="C12428" s="271"/>
      <c r="D12428" s="271"/>
      <c r="E12428" s="271"/>
      <c r="F12428" s="271"/>
      <c r="G12428" s="273"/>
      <c r="H12428" s="29" t="str">
        <f t="shared" si="1632"/>
        <v>m3</v>
      </c>
      <c r="I12428" s="394">
        <f t="shared" si="1633"/>
        <v>25417</v>
      </c>
      <c r="J12428" s="273"/>
      <c r="K12428" s="393">
        <v>2</v>
      </c>
      <c r="L12428" s="273"/>
      <c r="M12428" s="394">
        <f t="shared" si="1634"/>
        <v>50834</v>
      </c>
      <c r="N12428" s="273"/>
    </row>
    <row r="12429" spans="1:14" ht="12.75" customHeight="1" x14ac:dyDescent="0.25">
      <c r="A12429" s="309" t="s">
        <v>1635</v>
      </c>
      <c r="B12429" s="271"/>
      <c r="C12429" s="271"/>
      <c r="D12429" s="271"/>
      <c r="E12429" s="271"/>
      <c r="F12429" s="271"/>
      <c r="G12429" s="273"/>
      <c r="H12429" s="29" t="str">
        <f t="shared" si="1632"/>
        <v>Unidad</v>
      </c>
      <c r="I12429" s="394">
        <f t="shared" si="1633"/>
        <v>189166</v>
      </c>
      <c r="J12429" s="273"/>
      <c r="K12429" s="393">
        <v>1</v>
      </c>
      <c r="L12429" s="273"/>
      <c r="M12429" s="394">
        <f t="shared" si="1634"/>
        <v>189166</v>
      </c>
      <c r="N12429" s="273"/>
    </row>
    <row r="12430" spans="1:14" ht="12.75" customHeight="1" x14ac:dyDescent="0.25">
      <c r="A12430" s="309"/>
      <c r="B12430" s="271"/>
      <c r="C12430" s="271"/>
      <c r="D12430" s="271"/>
      <c r="E12430" s="271"/>
      <c r="F12430" s="271"/>
      <c r="G12430" s="273"/>
      <c r="H12430" s="29" t="str">
        <f t="shared" si="1632"/>
        <v/>
      </c>
      <c r="I12430" s="394" t="str">
        <f t="shared" si="1633"/>
        <v/>
      </c>
      <c r="J12430" s="273"/>
      <c r="K12430" s="393"/>
      <c r="L12430" s="273"/>
      <c r="M12430" s="394" t="str">
        <f t="shared" si="1634"/>
        <v/>
      </c>
      <c r="N12430" s="273"/>
    </row>
    <row r="12431" spans="1:14" ht="12.75" customHeight="1" x14ac:dyDescent="0.25">
      <c r="A12431" s="309"/>
      <c r="B12431" s="271"/>
      <c r="C12431" s="271"/>
      <c r="D12431" s="271"/>
      <c r="E12431" s="271"/>
      <c r="F12431" s="271"/>
      <c r="G12431" s="273"/>
      <c r="H12431" s="29" t="str">
        <f t="shared" si="1632"/>
        <v/>
      </c>
      <c r="I12431" s="394" t="str">
        <f t="shared" si="1633"/>
        <v/>
      </c>
      <c r="J12431" s="273"/>
      <c r="K12431" s="393"/>
      <c r="L12431" s="273"/>
      <c r="M12431" s="394" t="str">
        <f t="shared" si="1634"/>
        <v/>
      </c>
      <c r="N12431" s="273"/>
    </row>
    <row r="12432" spans="1:14" ht="12.75" customHeight="1" x14ac:dyDescent="0.25">
      <c r="A12432" s="309"/>
      <c r="B12432" s="271"/>
      <c r="C12432" s="271"/>
      <c r="D12432" s="271"/>
      <c r="E12432" s="271"/>
      <c r="F12432" s="271"/>
      <c r="G12432" s="273"/>
      <c r="H12432" s="29" t="str">
        <f t="shared" si="1632"/>
        <v/>
      </c>
      <c r="I12432" s="394" t="str">
        <f t="shared" si="1633"/>
        <v/>
      </c>
      <c r="J12432" s="273"/>
      <c r="K12432" s="393"/>
      <c r="L12432" s="273"/>
      <c r="M12432" s="394" t="str">
        <f t="shared" si="1634"/>
        <v/>
      </c>
      <c r="N12432" s="273"/>
    </row>
    <row r="12433" spans="1:14" ht="12.75" customHeight="1" x14ac:dyDescent="0.25">
      <c r="A12433" s="4"/>
      <c r="B12433" s="4"/>
      <c r="C12433" s="4"/>
      <c r="D12433" s="4"/>
      <c r="E12433" s="4"/>
      <c r="F12433" s="4"/>
      <c r="G12433" s="4"/>
      <c r="H12433" s="4"/>
      <c r="I12433" s="4"/>
      <c r="J12433" s="4"/>
      <c r="K12433" s="396" t="s">
        <v>444</v>
      </c>
      <c r="L12433" s="273"/>
      <c r="M12433" s="394">
        <f>SUM(M12408:N12432)</f>
        <v>36238508</v>
      </c>
      <c r="N12433" s="273"/>
    </row>
    <row r="12434" spans="1:14" ht="12.75" customHeight="1" x14ac:dyDescent="0.25">
      <c r="A12434" s="4"/>
      <c r="B12434" s="4"/>
      <c r="C12434" s="4"/>
      <c r="D12434" s="4"/>
      <c r="E12434" s="4"/>
      <c r="F12434" s="4"/>
      <c r="G12434" s="4"/>
      <c r="H12434" s="4"/>
      <c r="I12434" s="4"/>
      <c r="J12434" s="4"/>
      <c r="K12434" s="4"/>
      <c r="L12434" s="4"/>
      <c r="M12434" s="4"/>
      <c r="N12434" s="4"/>
    </row>
    <row r="12435" spans="1:14" ht="12.75" customHeight="1" x14ac:dyDescent="0.2">
      <c r="A12435" s="398" t="s">
        <v>926</v>
      </c>
      <c r="B12435" s="271"/>
      <c r="C12435" s="271"/>
      <c r="D12435" s="271"/>
      <c r="E12435" s="271"/>
      <c r="F12435" s="271"/>
      <c r="G12435" s="271"/>
      <c r="H12435" s="271"/>
      <c r="I12435" s="271"/>
      <c r="J12435" s="271"/>
      <c r="K12435" s="271"/>
      <c r="L12435" s="271"/>
      <c r="M12435" s="271"/>
      <c r="N12435" s="273"/>
    </row>
    <row r="12436" spans="1:14" ht="12.75" customHeight="1" x14ac:dyDescent="0.2">
      <c r="A12436" s="396" t="s">
        <v>76</v>
      </c>
      <c r="B12436" s="271"/>
      <c r="C12436" s="271"/>
      <c r="D12436" s="271"/>
      <c r="E12436" s="271"/>
      <c r="F12436" s="271"/>
      <c r="G12436" s="273"/>
      <c r="H12436" s="88" t="s">
        <v>77</v>
      </c>
      <c r="I12436" s="399" t="s">
        <v>920</v>
      </c>
      <c r="J12436" s="273"/>
      <c r="K12436" s="399" t="s">
        <v>453</v>
      </c>
      <c r="L12436" s="273"/>
      <c r="M12436" s="399" t="s">
        <v>921</v>
      </c>
      <c r="N12436" s="273"/>
    </row>
    <row r="12437" spans="1:14" ht="12.75" customHeight="1" x14ac:dyDescent="0.2">
      <c r="A12437" s="400" t="s">
        <v>927</v>
      </c>
      <c r="B12437" s="271"/>
      <c r="C12437" s="271"/>
      <c r="D12437" s="271"/>
      <c r="E12437" s="271"/>
      <c r="F12437" s="271"/>
      <c r="G12437" s="273"/>
      <c r="H12437" s="29" t="str">
        <f>IF(A12437="","",VLOOKUP(A12437,AA_Equipos,7,FALSE))</f>
        <v>% M.O.</v>
      </c>
      <c r="I12437" s="394">
        <f>+M12460</f>
        <v>298920</v>
      </c>
      <c r="J12437" s="273"/>
      <c r="K12437" s="404">
        <v>0.05</v>
      </c>
      <c r="L12437" s="273"/>
      <c r="M12437" s="394">
        <f t="shared" ref="M12437:M12441" si="1635">IF(A12437="","",I12437*K12437)</f>
        <v>14946</v>
      </c>
      <c r="N12437" s="273"/>
    </row>
    <row r="12438" spans="1:14" ht="12.75" customHeight="1" x14ac:dyDescent="0.2">
      <c r="A12438" s="403"/>
      <c r="B12438" s="271"/>
      <c r="C12438" s="271"/>
      <c r="D12438" s="271"/>
      <c r="E12438" s="271"/>
      <c r="F12438" s="271"/>
      <c r="G12438" s="273"/>
      <c r="H12438" s="29" t="str">
        <f>IF(A12438="","",VLOOKUP(A12438,AA_Equipos,7,FALSE))</f>
        <v/>
      </c>
      <c r="I12438" s="394" t="str">
        <f>IF(A12438="","",VLOOKUP(A12438,AA_Equipos,8,FALSE))</f>
        <v/>
      </c>
      <c r="J12438" s="273"/>
      <c r="K12438" s="402"/>
      <c r="L12438" s="273"/>
      <c r="M12438" s="394" t="str">
        <f t="shared" si="1635"/>
        <v/>
      </c>
      <c r="N12438" s="273"/>
    </row>
    <row r="12439" spans="1:14" ht="12.75" customHeight="1" x14ac:dyDescent="0.2">
      <c r="A12439" s="400"/>
      <c r="B12439" s="271"/>
      <c r="C12439" s="271"/>
      <c r="D12439" s="271"/>
      <c r="E12439" s="271"/>
      <c r="F12439" s="271"/>
      <c r="G12439" s="273"/>
      <c r="H12439" s="29" t="str">
        <f>IF(A12439="","",VLOOKUP(A12439,AA_Equipos,7,FALSE))</f>
        <v/>
      </c>
      <c r="I12439" s="394" t="str">
        <f>IF(A12439="","",VLOOKUP(A12439,AA_Equipos,8,FALSE))</f>
        <v/>
      </c>
      <c r="J12439" s="273"/>
      <c r="K12439" s="401"/>
      <c r="L12439" s="273"/>
      <c r="M12439" s="394" t="str">
        <f t="shared" si="1635"/>
        <v/>
      </c>
      <c r="N12439" s="273"/>
    </row>
    <row r="12440" spans="1:14" ht="12.75" customHeight="1" x14ac:dyDescent="0.2">
      <c r="A12440" s="400"/>
      <c r="B12440" s="271"/>
      <c r="C12440" s="271"/>
      <c r="D12440" s="271"/>
      <c r="E12440" s="271"/>
      <c r="F12440" s="271"/>
      <c r="G12440" s="273"/>
      <c r="H12440" s="29" t="str">
        <f>IF(A12440="","",VLOOKUP(A12440,AA_Equipos,7,FALSE))</f>
        <v/>
      </c>
      <c r="I12440" s="394" t="str">
        <f>IF(A12440="","",VLOOKUP(A12440,AA_Equipos,8,FALSE))</f>
        <v/>
      </c>
      <c r="J12440" s="273"/>
      <c r="K12440" s="395"/>
      <c r="L12440" s="273"/>
      <c r="M12440" s="394" t="str">
        <f t="shared" si="1635"/>
        <v/>
      </c>
      <c r="N12440" s="273"/>
    </row>
    <row r="12441" spans="1:14" ht="12.75" customHeight="1" x14ac:dyDescent="0.2">
      <c r="A12441" s="400"/>
      <c r="B12441" s="271"/>
      <c r="C12441" s="271"/>
      <c r="D12441" s="271"/>
      <c r="E12441" s="271"/>
      <c r="F12441" s="271"/>
      <c r="G12441" s="273"/>
      <c r="H12441" s="29" t="str">
        <f>IF(A12441="","",VLOOKUP(A12441,AA_Equipos,7,FALSE))</f>
        <v/>
      </c>
      <c r="I12441" s="394" t="str">
        <f>IF(A12441="","",VLOOKUP(A12441,AA_Equipos,8,FALSE))</f>
        <v/>
      </c>
      <c r="J12441" s="273"/>
      <c r="K12441" s="395"/>
      <c r="L12441" s="273"/>
      <c r="M12441" s="394" t="str">
        <f t="shared" si="1635"/>
        <v/>
      </c>
      <c r="N12441" s="273"/>
    </row>
    <row r="12442" spans="1:14" ht="12.75" customHeight="1" x14ac:dyDescent="0.25">
      <c r="A12442" s="4"/>
      <c r="B12442" s="4"/>
      <c r="C12442" s="4"/>
      <c r="D12442" s="4"/>
      <c r="E12442" s="4"/>
      <c r="F12442" s="4"/>
      <c r="G12442" s="4"/>
      <c r="H12442" s="4"/>
      <c r="I12442" s="4"/>
      <c r="J12442" s="4"/>
      <c r="K12442" s="396" t="s">
        <v>444</v>
      </c>
      <c r="L12442" s="273"/>
      <c r="M12442" s="394">
        <f>SUM(M12437:N12441)</f>
        <v>14946</v>
      </c>
      <c r="N12442" s="273"/>
    </row>
    <row r="12443" spans="1:14" ht="12.75" customHeight="1" x14ac:dyDescent="0.25">
      <c r="A12443" s="4"/>
      <c r="B12443" s="4"/>
      <c r="C12443" s="4"/>
      <c r="D12443" s="4"/>
      <c r="E12443" s="4"/>
      <c r="F12443" s="4"/>
      <c r="G12443" s="4"/>
      <c r="H12443" s="4"/>
      <c r="I12443" s="4"/>
      <c r="J12443" s="4"/>
      <c r="K12443" s="4"/>
      <c r="L12443" s="4"/>
      <c r="M12443" s="4"/>
      <c r="N12443" s="4"/>
    </row>
    <row r="12444" spans="1:14" ht="12.75" customHeight="1" x14ac:dyDescent="0.2">
      <c r="A12444" s="398" t="s">
        <v>929</v>
      </c>
      <c r="B12444" s="271"/>
      <c r="C12444" s="271"/>
      <c r="D12444" s="271"/>
      <c r="E12444" s="271"/>
      <c r="F12444" s="271"/>
      <c r="G12444" s="271"/>
      <c r="H12444" s="271"/>
      <c r="I12444" s="271"/>
      <c r="J12444" s="271"/>
      <c r="K12444" s="271"/>
      <c r="L12444" s="271"/>
      <c r="M12444" s="271"/>
      <c r="N12444" s="273"/>
    </row>
    <row r="12445" spans="1:14" ht="12.75" customHeight="1" x14ac:dyDescent="0.2">
      <c r="A12445" s="396" t="s">
        <v>76</v>
      </c>
      <c r="B12445" s="271"/>
      <c r="C12445" s="271"/>
      <c r="D12445" s="271"/>
      <c r="E12445" s="271"/>
      <c r="F12445" s="271"/>
      <c r="G12445" s="273"/>
      <c r="H12445" s="88" t="s">
        <v>77</v>
      </c>
      <c r="I12445" s="399" t="s">
        <v>920</v>
      </c>
      <c r="J12445" s="273"/>
      <c r="K12445" s="399" t="s">
        <v>453</v>
      </c>
      <c r="L12445" s="273"/>
      <c r="M12445" s="399" t="s">
        <v>921</v>
      </c>
      <c r="N12445" s="273"/>
    </row>
    <row r="12446" spans="1:14" ht="12.75" customHeight="1" x14ac:dyDescent="0.2">
      <c r="A12446" s="400" t="s">
        <v>1559</v>
      </c>
      <c r="B12446" s="271"/>
      <c r="C12446" s="271"/>
      <c r="D12446" s="271"/>
      <c r="E12446" s="271"/>
      <c r="F12446" s="271"/>
      <c r="G12446" s="273"/>
      <c r="H12446" s="29" t="str">
        <f>IF(A12446="","",VLOOKUP(A12446,AA_Equipos,7,FALSE))</f>
        <v>Día</v>
      </c>
      <c r="I12446" s="394">
        <f>IF(A12446="","",VLOOKUP(A12446,AA_Equipos,8,FALSE))</f>
        <v>74400</v>
      </c>
      <c r="J12446" s="273"/>
      <c r="K12446" s="408">
        <v>1</v>
      </c>
      <c r="L12446" s="273"/>
      <c r="M12446" s="394">
        <f t="shared" ref="M12446:M12450" si="1636">IF(A12446="","",I12446*K12446)</f>
        <v>74400</v>
      </c>
      <c r="N12446" s="273"/>
    </row>
    <row r="12447" spans="1:14" ht="12.75" customHeight="1" x14ac:dyDescent="0.2">
      <c r="A12447" s="403" t="s">
        <v>1636</v>
      </c>
      <c r="B12447" s="271"/>
      <c r="C12447" s="271"/>
      <c r="D12447" s="271"/>
      <c r="E12447" s="271"/>
      <c r="F12447" s="271"/>
      <c r="G12447" s="273"/>
      <c r="H12447" s="29" t="str">
        <f>IF(A12447="","",VLOOKUP(A12447,AA_Equipos,7,FALSE))</f>
        <v>Día</v>
      </c>
      <c r="I12447" s="394">
        <f>IF(A12447="","",VLOOKUP(A12447,AA_Equipos,8,FALSE))</f>
        <v>141935</v>
      </c>
      <c r="J12447" s="273"/>
      <c r="K12447" s="395">
        <v>0.88</v>
      </c>
      <c r="L12447" s="273"/>
      <c r="M12447" s="394">
        <f t="shared" si="1636"/>
        <v>124902.8</v>
      </c>
      <c r="N12447" s="273"/>
    </row>
    <row r="12448" spans="1:14" ht="12.75" customHeight="1" x14ac:dyDescent="0.2">
      <c r="A12448" s="400"/>
      <c r="B12448" s="271"/>
      <c r="C12448" s="271"/>
      <c r="D12448" s="271"/>
      <c r="E12448" s="271"/>
      <c r="F12448" s="271"/>
      <c r="G12448" s="273"/>
      <c r="H12448" s="29"/>
      <c r="I12448" s="394"/>
      <c r="J12448" s="273"/>
      <c r="K12448" s="395"/>
      <c r="L12448" s="273"/>
      <c r="M12448" s="394" t="str">
        <f t="shared" si="1636"/>
        <v/>
      </c>
      <c r="N12448" s="273"/>
    </row>
    <row r="12449" spans="1:14" ht="12.75" customHeight="1" x14ac:dyDescent="0.2">
      <c r="A12449" s="400"/>
      <c r="B12449" s="271"/>
      <c r="C12449" s="271"/>
      <c r="D12449" s="271"/>
      <c r="E12449" s="271"/>
      <c r="F12449" s="271"/>
      <c r="G12449" s="273"/>
      <c r="H12449" s="29"/>
      <c r="I12449" s="394"/>
      <c r="J12449" s="273"/>
      <c r="K12449" s="395"/>
      <c r="L12449" s="273"/>
      <c r="M12449" s="394" t="str">
        <f t="shared" si="1636"/>
        <v/>
      </c>
      <c r="N12449" s="273"/>
    </row>
    <row r="12450" spans="1:14" ht="12.75" customHeight="1" x14ac:dyDescent="0.2">
      <c r="A12450" s="400"/>
      <c r="B12450" s="271"/>
      <c r="C12450" s="271"/>
      <c r="D12450" s="271"/>
      <c r="E12450" s="271"/>
      <c r="F12450" s="271"/>
      <c r="G12450" s="273"/>
      <c r="H12450" s="29"/>
      <c r="I12450" s="394"/>
      <c r="J12450" s="273"/>
      <c r="K12450" s="395"/>
      <c r="L12450" s="273"/>
      <c r="M12450" s="394" t="str">
        <f t="shared" si="1636"/>
        <v/>
      </c>
      <c r="N12450" s="273"/>
    </row>
    <row r="12451" spans="1:14" ht="12.75" customHeight="1" x14ac:dyDescent="0.25">
      <c r="A12451" s="4"/>
      <c r="B12451" s="4"/>
      <c r="C12451" s="4"/>
      <c r="D12451" s="4"/>
      <c r="E12451" s="4"/>
      <c r="F12451" s="4"/>
      <c r="G12451" s="4"/>
      <c r="H12451" s="4"/>
      <c r="I12451" s="4"/>
      <c r="J12451" s="4"/>
      <c r="K12451" s="396" t="s">
        <v>444</v>
      </c>
      <c r="L12451" s="273"/>
      <c r="M12451" s="394">
        <f>SUM(M12446:N12450)</f>
        <v>199302.8</v>
      </c>
      <c r="N12451" s="273"/>
    </row>
    <row r="12452" spans="1:14" ht="12.75" customHeight="1" x14ac:dyDescent="0.25">
      <c r="A12452" s="4"/>
      <c r="B12452" s="4"/>
      <c r="C12452" s="4"/>
      <c r="D12452" s="4"/>
      <c r="E12452" s="4"/>
      <c r="F12452" s="4"/>
      <c r="G12452" s="4"/>
      <c r="H12452" s="4"/>
      <c r="I12452" s="4"/>
      <c r="J12452" s="4"/>
      <c r="K12452" s="4"/>
      <c r="L12452" s="4"/>
      <c r="M12452" s="4"/>
      <c r="N12452" s="4"/>
    </row>
    <row r="12453" spans="1:14" ht="12.75" customHeight="1" x14ac:dyDescent="0.2">
      <c r="A12453" s="398" t="s">
        <v>931</v>
      </c>
      <c r="B12453" s="271"/>
      <c r="C12453" s="271"/>
      <c r="D12453" s="271"/>
      <c r="E12453" s="271"/>
      <c r="F12453" s="271"/>
      <c r="G12453" s="271"/>
      <c r="H12453" s="271"/>
      <c r="I12453" s="271"/>
      <c r="J12453" s="271"/>
      <c r="K12453" s="271"/>
      <c r="L12453" s="271"/>
      <c r="M12453" s="271"/>
      <c r="N12453" s="273"/>
    </row>
    <row r="12454" spans="1:14" ht="12.75" customHeight="1" x14ac:dyDescent="0.2">
      <c r="A12454" s="396" t="s">
        <v>76</v>
      </c>
      <c r="B12454" s="271"/>
      <c r="C12454" s="271"/>
      <c r="D12454" s="271"/>
      <c r="E12454" s="271"/>
      <c r="F12454" s="271"/>
      <c r="G12454" s="273"/>
      <c r="H12454" s="88" t="s">
        <v>77</v>
      </c>
      <c r="I12454" s="399" t="s">
        <v>920</v>
      </c>
      <c r="J12454" s="273"/>
      <c r="K12454" s="90" t="s">
        <v>514</v>
      </c>
      <c r="L12454" s="91" t="s">
        <v>932</v>
      </c>
      <c r="M12454" s="399" t="s">
        <v>921</v>
      </c>
      <c r="N12454" s="273"/>
    </row>
    <row r="12455" spans="1:14" ht="12.75" customHeight="1" x14ac:dyDescent="0.25">
      <c r="A12455" s="393" t="s">
        <v>1301</v>
      </c>
      <c r="B12455" s="271"/>
      <c r="C12455" s="271"/>
      <c r="D12455" s="271"/>
      <c r="E12455" s="271"/>
      <c r="F12455" s="271"/>
      <c r="G12455" s="273"/>
      <c r="H12455" s="29" t="str">
        <f>IF(A12455="","",VLOOKUP(A12455,AA_Cuadrillas,4,FALSE))</f>
        <v>Cuadrilla</v>
      </c>
      <c r="I12455" s="394">
        <f>IF(A12455="","",VLOOKUP(A12455,AA_Cuadrillas,5,FALSE))</f>
        <v>132500</v>
      </c>
      <c r="J12455" s="273"/>
      <c r="K12455" s="9">
        <f>IF(A12455="","",F.P!$I$2)</f>
        <v>1.88</v>
      </c>
      <c r="L12455" s="97">
        <v>1.2</v>
      </c>
      <c r="M12455" s="394">
        <f t="shared" ref="M12455:M12459" si="1637">IF(A12455="","",I12455*K12455*L12455)</f>
        <v>298920</v>
      </c>
      <c r="N12455" s="273"/>
    </row>
    <row r="12456" spans="1:14" ht="12.75" customHeight="1" x14ac:dyDescent="0.25">
      <c r="A12456" s="393"/>
      <c r="B12456" s="271"/>
      <c r="C12456" s="271"/>
      <c r="D12456" s="271"/>
      <c r="E12456" s="271"/>
      <c r="F12456" s="271"/>
      <c r="G12456" s="273"/>
      <c r="H12456" s="29" t="str">
        <f>IF(A12456="","",VLOOKUP(A12456,AA_Cuadrillas,4,FALSE))</f>
        <v/>
      </c>
      <c r="I12456" s="394" t="str">
        <f>IF(A12456="","",VLOOKUP(A12456,AA_Cuadrillas,5,FALSE))</f>
        <v/>
      </c>
      <c r="J12456" s="273"/>
      <c r="K12456" s="9" t="str">
        <f>IF(A12456="","",F.P!$I$2)</f>
        <v/>
      </c>
      <c r="L12456" s="9"/>
      <c r="M12456" s="394" t="str">
        <f t="shared" si="1637"/>
        <v/>
      </c>
      <c r="N12456" s="273"/>
    </row>
    <row r="12457" spans="1:14" ht="12.75" customHeight="1" x14ac:dyDescent="0.25">
      <c r="A12457" s="393"/>
      <c r="B12457" s="271"/>
      <c r="C12457" s="271"/>
      <c r="D12457" s="271"/>
      <c r="E12457" s="271"/>
      <c r="F12457" s="271"/>
      <c r="G12457" s="273"/>
      <c r="H12457" s="29" t="str">
        <f>IF(A12457="","",VLOOKUP(A12457,AA_Cuadrillas,4,FALSE))</f>
        <v/>
      </c>
      <c r="I12457" s="394" t="str">
        <f>IF(A12457="","",VLOOKUP(A12457,AA_Cuadrillas,5,FALSE))</f>
        <v/>
      </c>
      <c r="J12457" s="273"/>
      <c r="K12457" s="9" t="str">
        <f>IF(A12457="","",F.P!$I$2)</f>
        <v/>
      </c>
      <c r="L12457" s="37"/>
      <c r="M12457" s="394" t="str">
        <f t="shared" si="1637"/>
        <v/>
      </c>
      <c r="N12457" s="273"/>
    </row>
    <row r="12458" spans="1:14" ht="12.75" customHeight="1" x14ac:dyDescent="0.25">
      <c r="A12458" s="393"/>
      <c r="B12458" s="271"/>
      <c r="C12458" s="271"/>
      <c r="D12458" s="271"/>
      <c r="E12458" s="271"/>
      <c r="F12458" s="271"/>
      <c r="G12458" s="273"/>
      <c r="H12458" s="29" t="str">
        <f>IF(A12458="","",VLOOKUP(A12458,AA_Cuadrillas,4,FALSE))</f>
        <v/>
      </c>
      <c r="I12458" s="394" t="str">
        <f>IF(A12458="","",VLOOKUP(A12458,AA_Cuadrillas,5,FALSE))</f>
        <v/>
      </c>
      <c r="J12458" s="273"/>
      <c r="K12458" s="9" t="str">
        <f>IF(A12458="","",F.P!$I$2)</f>
        <v/>
      </c>
      <c r="L12458" s="97"/>
      <c r="M12458" s="394" t="str">
        <f t="shared" si="1637"/>
        <v/>
      </c>
      <c r="N12458" s="273"/>
    </row>
    <row r="12459" spans="1:14" ht="12.75" customHeight="1" x14ac:dyDescent="0.25">
      <c r="A12459" s="393"/>
      <c r="B12459" s="271"/>
      <c r="C12459" s="271"/>
      <c r="D12459" s="271"/>
      <c r="E12459" s="271"/>
      <c r="F12459" s="271"/>
      <c r="G12459" s="273"/>
      <c r="H12459" s="29" t="str">
        <f>IF(A12459="","",VLOOKUP(A12459,AA_Cuadrillas,4,FALSE))</f>
        <v/>
      </c>
      <c r="I12459" s="394" t="str">
        <f>IF(A12459="","",VLOOKUP(A12459,AA_Cuadrillas,5,FALSE))</f>
        <v/>
      </c>
      <c r="J12459" s="273"/>
      <c r="K12459" s="9" t="str">
        <f>IF(A12459="","",F.P!$I$2)</f>
        <v/>
      </c>
      <c r="L12459" s="37"/>
      <c r="M12459" s="394" t="str">
        <f t="shared" si="1637"/>
        <v/>
      </c>
      <c r="N12459" s="273"/>
    </row>
    <row r="12460" spans="1:14" ht="12.75" customHeight="1" x14ac:dyDescent="0.25">
      <c r="A12460" s="4"/>
      <c r="B12460" s="4"/>
      <c r="C12460" s="4"/>
      <c r="D12460" s="4"/>
      <c r="E12460" s="4"/>
      <c r="F12460" s="4"/>
      <c r="G12460" s="4"/>
      <c r="H12460" s="4"/>
      <c r="I12460" s="4"/>
      <c r="J12460" s="4"/>
      <c r="K12460" s="396" t="s">
        <v>444</v>
      </c>
      <c r="L12460" s="273"/>
      <c r="M12460" s="394">
        <f>SUM(M12455:N12459)</f>
        <v>298920</v>
      </c>
      <c r="N12460" s="273"/>
    </row>
    <row r="12461" spans="1:14" ht="12.75" customHeight="1" x14ac:dyDescent="0.2"/>
    <row r="12462" spans="1:14" ht="12.75" customHeight="1" x14ac:dyDescent="0.2">
      <c r="A12462" s="397" t="s">
        <v>402</v>
      </c>
      <c r="B12462" s="275"/>
      <c r="C12462" s="275"/>
      <c r="D12462" s="275"/>
      <c r="E12462" s="275"/>
      <c r="F12462" s="275"/>
      <c r="G12462" s="275"/>
      <c r="H12462" s="275"/>
      <c r="I12462" s="275"/>
      <c r="J12462" s="275"/>
      <c r="K12462" s="275"/>
      <c r="L12462" s="275"/>
      <c r="M12462" s="275"/>
      <c r="N12462" s="276"/>
    </row>
    <row r="12463" spans="1:14" ht="12.75" customHeight="1" x14ac:dyDescent="0.2">
      <c r="A12463" s="277"/>
      <c r="B12463" s="278"/>
      <c r="C12463" s="278"/>
      <c r="D12463" s="278"/>
      <c r="E12463" s="278"/>
      <c r="F12463" s="278"/>
      <c r="G12463" s="278"/>
      <c r="H12463" s="278"/>
      <c r="I12463" s="278"/>
      <c r="J12463" s="278"/>
      <c r="K12463" s="278"/>
      <c r="L12463" s="278"/>
      <c r="M12463" s="278"/>
      <c r="N12463" s="279"/>
    </row>
    <row r="12464" spans="1:14" ht="12.75" customHeight="1" x14ac:dyDescent="0.2">
      <c r="A12464" s="75"/>
      <c r="B12464" s="75"/>
      <c r="C12464" s="75"/>
      <c r="D12464" s="75"/>
      <c r="E12464" s="75"/>
      <c r="F12464" s="75"/>
      <c r="G12464" s="75"/>
      <c r="H12464" s="75"/>
      <c r="I12464" s="75"/>
      <c r="J12464" s="75"/>
      <c r="K12464" s="75"/>
      <c r="L12464" s="75"/>
      <c r="M12464" s="75"/>
      <c r="N12464" s="75"/>
    </row>
    <row r="12465" spans="1:14" ht="12.75" customHeight="1" x14ac:dyDescent="0.3">
      <c r="A12465" s="79" t="s">
        <v>887</v>
      </c>
      <c r="B12465" s="80" t="str">
        <f>A12462</f>
        <v>SUMINISTRO E INSTALACIÓN TUBERÍA IMC 3" Y TUBERÍA SUBTERRANEA 3" CON CABLEADO CU 3X4/0F + 1X4/0N DEL TRANSFORMADOR AL CONTADOR CON CAPACETE ROSCADO 2", ADOSADA AL POSTE (INCLUYE BORNAS Y ACCESORIOS DE FIJACIÓN)</v>
      </c>
      <c r="C12465" s="81" t="s">
        <v>916</v>
      </c>
      <c r="D12465" s="82" t="s">
        <v>999</v>
      </c>
      <c r="E12465" s="83" t="s">
        <v>445</v>
      </c>
      <c r="F12465" s="86">
        <f>H12465+J12465+L12465+N12465</f>
        <v>10963310</v>
      </c>
      <c r="G12465" s="83" t="s">
        <v>607</v>
      </c>
      <c r="H12465" s="86">
        <f>M12484</f>
        <v>10575044</v>
      </c>
      <c r="I12465" s="83" t="s">
        <v>918</v>
      </c>
      <c r="J12465" s="86">
        <f>M12493</f>
        <v>14946</v>
      </c>
      <c r="K12465" s="83" t="s">
        <v>609</v>
      </c>
      <c r="L12465" s="86">
        <f>M12501</f>
        <v>74400</v>
      </c>
      <c r="M12465" s="83" t="s">
        <v>610</v>
      </c>
      <c r="N12465" s="86">
        <f>M12510</f>
        <v>298920</v>
      </c>
    </row>
    <row r="12466" spans="1:14" ht="12.75" customHeight="1" x14ac:dyDescent="0.25">
      <c r="A12466" s="87"/>
      <c r="B12466" s="87"/>
      <c r="C12466" s="87"/>
      <c r="D12466" s="87"/>
      <c r="E12466" s="87"/>
      <c r="F12466" s="87"/>
      <c r="G12466" s="87"/>
      <c r="H12466" s="12"/>
      <c r="I12466" s="12"/>
      <c r="J12466" s="87"/>
      <c r="K12466" s="215" t="s">
        <v>3217</v>
      </c>
      <c r="L12466" s="215">
        <f>+F12465*presup!$O$5</f>
        <v>14252303</v>
      </c>
      <c r="M12466" s="87"/>
      <c r="N12466" s="87"/>
    </row>
    <row r="12467" spans="1:14" ht="12.75" customHeight="1" x14ac:dyDescent="0.2">
      <c r="A12467" s="398" t="s">
        <v>919</v>
      </c>
      <c r="B12467" s="271"/>
      <c r="C12467" s="271"/>
      <c r="D12467" s="271"/>
      <c r="E12467" s="271"/>
      <c r="F12467" s="271"/>
      <c r="G12467" s="271"/>
      <c r="H12467" s="271"/>
      <c r="I12467" s="271"/>
      <c r="J12467" s="271"/>
      <c r="K12467" s="271"/>
      <c r="L12467" s="271"/>
      <c r="M12467" s="271"/>
      <c r="N12467" s="273"/>
    </row>
    <row r="12468" spans="1:14" ht="12.75" customHeight="1" x14ac:dyDescent="0.2">
      <c r="A12468" s="396" t="s">
        <v>76</v>
      </c>
      <c r="B12468" s="271"/>
      <c r="C12468" s="271"/>
      <c r="D12468" s="271"/>
      <c r="E12468" s="271"/>
      <c r="F12468" s="271"/>
      <c r="G12468" s="273"/>
      <c r="H12468" s="88" t="s">
        <v>77</v>
      </c>
      <c r="I12468" s="399" t="s">
        <v>920</v>
      </c>
      <c r="J12468" s="273"/>
      <c r="K12468" s="399" t="s">
        <v>453</v>
      </c>
      <c r="L12468" s="273"/>
      <c r="M12468" s="399" t="s">
        <v>921</v>
      </c>
      <c r="N12468" s="273"/>
    </row>
    <row r="12469" spans="1:14" ht="12.75" customHeight="1" x14ac:dyDescent="0.25">
      <c r="A12469" s="309" t="s">
        <v>1637</v>
      </c>
      <c r="B12469" s="271"/>
      <c r="C12469" s="271"/>
      <c r="D12469" s="271"/>
      <c r="E12469" s="271"/>
      <c r="F12469" s="271"/>
      <c r="G12469" s="273"/>
      <c r="H12469" s="29" t="str">
        <f t="shared" ref="H12469:H12483" si="1638">IF(A12469="","",VLOOKUP(A12469,AA_Materiales,7,FALSE))</f>
        <v>m</v>
      </c>
      <c r="I12469" s="394">
        <f t="shared" ref="I12469:I12483" si="1639">IF(A12469="","",VLOOKUP(A12469,AA_Materiales,8,FALSE))</f>
        <v>190960</v>
      </c>
      <c r="J12469" s="273"/>
      <c r="K12469" s="393">
        <v>6</v>
      </c>
      <c r="L12469" s="273"/>
      <c r="M12469" s="394">
        <f t="shared" ref="M12469:M12483" si="1640">IF(A12469="","",I12469*K12469)</f>
        <v>1145760</v>
      </c>
      <c r="N12469" s="273"/>
    </row>
    <row r="12470" spans="1:14" ht="12.75" customHeight="1" x14ac:dyDescent="0.25">
      <c r="A12470" s="309" t="s">
        <v>1638</v>
      </c>
      <c r="B12470" s="271"/>
      <c r="C12470" s="271"/>
      <c r="D12470" s="271"/>
      <c r="E12470" s="271"/>
      <c r="F12470" s="271"/>
      <c r="G12470" s="273"/>
      <c r="H12470" s="29" t="str">
        <f t="shared" si="1638"/>
        <v>Unidad</v>
      </c>
      <c r="I12470" s="394">
        <f t="shared" si="1639"/>
        <v>64400</v>
      </c>
      <c r="J12470" s="273"/>
      <c r="K12470" s="393">
        <v>1</v>
      </c>
      <c r="L12470" s="273"/>
      <c r="M12470" s="394">
        <f t="shared" si="1640"/>
        <v>64400</v>
      </c>
      <c r="N12470" s="273"/>
    </row>
    <row r="12471" spans="1:14" ht="12.75" customHeight="1" x14ac:dyDescent="0.25">
      <c r="A12471" s="309" t="s">
        <v>1639</v>
      </c>
      <c r="B12471" s="271"/>
      <c r="C12471" s="271"/>
      <c r="D12471" s="271"/>
      <c r="E12471" s="271"/>
      <c r="F12471" s="271"/>
      <c r="G12471" s="273"/>
      <c r="H12471" s="29" t="str">
        <f t="shared" si="1638"/>
        <v>m</v>
      </c>
      <c r="I12471" s="394">
        <f t="shared" si="1639"/>
        <v>98560</v>
      </c>
      <c r="J12471" s="273"/>
      <c r="K12471" s="393">
        <v>80</v>
      </c>
      <c r="L12471" s="273"/>
      <c r="M12471" s="394">
        <f t="shared" si="1640"/>
        <v>7884800</v>
      </c>
      <c r="N12471" s="273"/>
    </row>
    <row r="12472" spans="1:14" ht="12.75" customHeight="1" x14ac:dyDescent="0.25">
      <c r="A12472" s="309" t="s">
        <v>1640</v>
      </c>
      <c r="B12472" s="271"/>
      <c r="C12472" s="271"/>
      <c r="D12472" s="271"/>
      <c r="E12472" s="271"/>
      <c r="F12472" s="271"/>
      <c r="G12472" s="273"/>
      <c r="H12472" s="29" t="str">
        <f t="shared" si="1638"/>
        <v>Unidad</v>
      </c>
      <c r="I12472" s="394">
        <f t="shared" si="1639"/>
        <v>11340</v>
      </c>
      <c r="J12472" s="273"/>
      <c r="K12472" s="393">
        <v>4</v>
      </c>
      <c r="L12472" s="273"/>
      <c r="M12472" s="394">
        <f t="shared" si="1640"/>
        <v>45360</v>
      </c>
      <c r="N12472" s="273"/>
    </row>
    <row r="12473" spans="1:14" ht="12.75" customHeight="1" x14ac:dyDescent="0.25">
      <c r="A12473" s="309" t="s">
        <v>1641</v>
      </c>
      <c r="B12473" s="271"/>
      <c r="C12473" s="271"/>
      <c r="D12473" s="271"/>
      <c r="E12473" s="271"/>
      <c r="F12473" s="271"/>
      <c r="G12473" s="273"/>
      <c r="H12473" s="29" t="str">
        <f t="shared" si="1638"/>
        <v>Unidad</v>
      </c>
      <c r="I12473" s="394">
        <f t="shared" si="1639"/>
        <v>2450</v>
      </c>
      <c r="J12473" s="273"/>
      <c r="K12473" s="393">
        <v>4</v>
      </c>
      <c r="L12473" s="273"/>
      <c r="M12473" s="394">
        <f t="shared" si="1640"/>
        <v>9800</v>
      </c>
      <c r="N12473" s="273"/>
    </row>
    <row r="12474" spans="1:14" ht="12.75" customHeight="1" x14ac:dyDescent="0.25">
      <c r="A12474" s="309" t="s">
        <v>1642</v>
      </c>
      <c r="B12474" s="271"/>
      <c r="C12474" s="271"/>
      <c r="D12474" s="271"/>
      <c r="E12474" s="271"/>
      <c r="F12474" s="271"/>
      <c r="G12474" s="273"/>
      <c r="H12474" s="29" t="str">
        <f t="shared" si="1638"/>
        <v>Unidad</v>
      </c>
      <c r="I12474" s="394">
        <f t="shared" si="1639"/>
        <v>560</v>
      </c>
      <c r="J12474" s="273"/>
      <c r="K12474" s="393">
        <v>4</v>
      </c>
      <c r="L12474" s="273"/>
      <c r="M12474" s="394">
        <f t="shared" si="1640"/>
        <v>2240</v>
      </c>
      <c r="N12474" s="273"/>
    </row>
    <row r="12475" spans="1:14" ht="12.75" customHeight="1" x14ac:dyDescent="0.25">
      <c r="A12475" s="309" t="s">
        <v>1643</v>
      </c>
      <c r="B12475" s="271"/>
      <c r="C12475" s="271"/>
      <c r="D12475" s="271"/>
      <c r="E12475" s="271"/>
      <c r="F12475" s="271"/>
      <c r="G12475" s="273"/>
      <c r="H12475" s="29" t="str">
        <f t="shared" si="1638"/>
        <v>m</v>
      </c>
      <c r="I12475" s="394">
        <f t="shared" si="1639"/>
        <v>63980</v>
      </c>
      <c r="J12475" s="273"/>
      <c r="K12475" s="393">
        <v>18</v>
      </c>
      <c r="L12475" s="273"/>
      <c r="M12475" s="394">
        <f t="shared" si="1640"/>
        <v>1151640</v>
      </c>
      <c r="N12475" s="273"/>
    </row>
    <row r="12476" spans="1:14" ht="12.75" customHeight="1" x14ac:dyDescent="0.25">
      <c r="A12476" s="309" t="s">
        <v>1644</v>
      </c>
      <c r="B12476" s="271"/>
      <c r="C12476" s="271"/>
      <c r="D12476" s="271"/>
      <c r="E12476" s="271"/>
      <c r="F12476" s="271"/>
      <c r="G12476" s="273"/>
      <c r="H12476" s="29" t="str">
        <f t="shared" si="1638"/>
        <v>Unidad</v>
      </c>
      <c r="I12476" s="394">
        <f t="shared" si="1639"/>
        <v>8456</v>
      </c>
      <c r="J12476" s="273"/>
      <c r="K12476" s="393">
        <v>4</v>
      </c>
      <c r="L12476" s="273"/>
      <c r="M12476" s="394">
        <f t="shared" si="1640"/>
        <v>33824</v>
      </c>
      <c r="N12476" s="273"/>
    </row>
    <row r="12477" spans="1:14" ht="12.75" customHeight="1" x14ac:dyDescent="0.25">
      <c r="A12477" s="309" t="s">
        <v>1645</v>
      </c>
      <c r="B12477" s="271"/>
      <c r="C12477" s="271"/>
      <c r="D12477" s="271"/>
      <c r="E12477" s="271"/>
      <c r="F12477" s="271"/>
      <c r="G12477" s="273"/>
      <c r="H12477" s="29" t="str">
        <f t="shared" si="1638"/>
        <v>ml</v>
      </c>
      <c r="I12477" s="394">
        <f t="shared" si="1639"/>
        <v>11861</v>
      </c>
      <c r="J12477" s="273"/>
      <c r="K12477" s="393">
        <v>20</v>
      </c>
      <c r="L12477" s="273"/>
      <c r="M12477" s="394">
        <f t="shared" si="1640"/>
        <v>237220</v>
      </c>
      <c r="N12477" s="273"/>
    </row>
    <row r="12478" spans="1:14" ht="12.75" customHeight="1" x14ac:dyDescent="0.25">
      <c r="A12478" s="309"/>
      <c r="B12478" s="271"/>
      <c r="C12478" s="271"/>
      <c r="D12478" s="271"/>
      <c r="E12478" s="271"/>
      <c r="F12478" s="271"/>
      <c r="G12478" s="273"/>
      <c r="H12478" s="29" t="str">
        <f t="shared" si="1638"/>
        <v/>
      </c>
      <c r="I12478" s="394" t="str">
        <f t="shared" si="1639"/>
        <v/>
      </c>
      <c r="J12478" s="273"/>
      <c r="K12478" s="393"/>
      <c r="L12478" s="273"/>
      <c r="M12478" s="394" t="str">
        <f t="shared" si="1640"/>
        <v/>
      </c>
      <c r="N12478" s="273"/>
    </row>
    <row r="12479" spans="1:14" ht="12.75" customHeight="1" x14ac:dyDescent="0.25">
      <c r="A12479" s="309"/>
      <c r="B12479" s="271"/>
      <c r="C12479" s="271"/>
      <c r="D12479" s="271"/>
      <c r="E12479" s="271"/>
      <c r="F12479" s="271"/>
      <c r="G12479" s="273"/>
      <c r="H12479" s="29" t="str">
        <f t="shared" si="1638"/>
        <v/>
      </c>
      <c r="I12479" s="394" t="str">
        <f t="shared" si="1639"/>
        <v/>
      </c>
      <c r="J12479" s="273"/>
      <c r="K12479" s="393"/>
      <c r="L12479" s="273"/>
      <c r="M12479" s="394" t="str">
        <f t="shared" si="1640"/>
        <v/>
      </c>
      <c r="N12479" s="273"/>
    </row>
    <row r="12480" spans="1:14" ht="12.75" customHeight="1" x14ac:dyDescent="0.25">
      <c r="A12480" s="309"/>
      <c r="B12480" s="271"/>
      <c r="C12480" s="271"/>
      <c r="D12480" s="271"/>
      <c r="E12480" s="271"/>
      <c r="F12480" s="271"/>
      <c r="G12480" s="273"/>
      <c r="H12480" s="29" t="str">
        <f t="shared" si="1638"/>
        <v/>
      </c>
      <c r="I12480" s="394" t="str">
        <f t="shared" si="1639"/>
        <v/>
      </c>
      <c r="J12480" s="273"/>
      <c r="K12480" s="393"/>
      <c r="L12480" s="273"/>
      <c r="M12480" s="394" t="str">
        <f t="shared" si="1640"/>
        <v/>
      </c>
      <c r="N12480" s="273"/>
    </row>
    <row r="12481" spans="1:14" ht="12.75" customHeight="1" x14ac:dyDescent="0.25">
      <c r="A12481" s="309"/>
      <c r="B12481" s="271"/>
      <c r="C12481" s="271"/>
      <c r="D12481" s="271"/>
      <c r="E12481" s="271"/>
      <c r="F12481" s="271"/>
      <c r="G12481" s="273"/>
      <c r="H12481" s="29" t="str">
        <f t="shared" si="1638"/>
        <v/>
      </c>
      <c r="I12481" s="394" t="str">
        <f t="shared" si="1639"/>
        <v/>
      </c>
      <c r="J12481" s="273"/>
      <c r="K12481" s="393"/>
      <c r="L12481" s="273"/>
      <c r="M12481" s="394" t="str">
        <f t="shared" si="1640"/>
        <v/>
      </c>
      <c r="N12481" s="273"/>
    </row>
    <row r="12482" spans="1:14" ht="12.75" customHeight="1" x14ac:dyDescent="0.25">
      <c r="A12482" s="309"/>
      <c r="B12482" s="271"/>
      <c r="C12482" s="271"/>
      <c r="D12482" s="271"/>
      <c r="E12482" s="271"/>
      <c r="F12482" s="271"/>
      <c r="G12482" s="273"/>
      <c r="H12482" s="29" t="str">
        <f t="shared" si="1638"/>
        <v/>
      </c>
      <c r="I12482" s="394" t="str">
        <f t="shared" si="1639"/>
        <v/>
      </c>
      <c r="J12482" s="273"/>
      <c r="K12482" s="393"/>
      <c r="L12482" s="273"/>
      <c r="M12482" s="394" t="str">
        <f t="shared" si="1640"/>
        <v/>
      </c>
      <c r="N12482" s="273"/>
    </row>
    <row r="12483" spans="1:14" ht="12.75" customHeight="1" x14ac:dyDescent="0.25">
      <c r="A12483" s="309"/>
      <c r="B12483" s="271"/>
      <c r="C12483" s="271"/>
      <c r="D12483" s="271"/>
      <c r="E12483" s="271"/>
      <c r="F12483" s="271"/>
      <c r="G12483" s="273"/>
      <c r="H12483" s="29" t="str">
        <f t="shared" si="1638"/>
        <v/>
      </c>
      <c r="I12483" s="394" t="str">
        <f t="shared" si="1639"/>
        <v/>
      </c>
      <c r="J12483" s="273"/>
      <c r="K12483" s="393"/>
      <c r="L12483" s="273"/>
      <c r="M12483" s="394" t="str">
        <f t="shared" si="1640"/>
        <v/>
      </c>
      <c r="N12483" s="273"/>
    </row>
    <row r="12484" spans="1:14" ht="12.75" customHeight="1" x14ac:dyDescent="0.25">
      <c r="A12484" s="4"/>
      <c r="B12484" s="4"/>
      <c r="C12484" s="4"/>
      <c r="D12484" s="4"/>
      <c r="E12484" s="4"/>
      <c r="F12484" s="4"/>
      <c r="G12484" s="4"/>
      <c r="H12484" s="4"/>
      <c r="I12484" s="4"/>
      <c r="J12484" s="4"/>
      <c r="K12484" s="396" t="s">
        <v>444</v>
      </c>
      <c r="L12484" s="273"/>
      <c r="M12484" s="394">
        <f>SUM(M12469:N12483)</f>
        <v>10575044</v>
      </c>
      <c r="N12484" s="273"/>
    </row>
    <row r="12485" spans="1:14" ht="12.75" customHeight="1" x14ac:dyDescent="0.25">
      <c r="A12485" s="4"/>
      <c r="B12485" s="4"/>
      <c r="C12485" s="4"/>
      <c r="D12485" s="4"/>
      <c r="E12485" s="4"/>
      <c r="F12485" s="4"/>
      <c r="G12485" s="4"/>
      <c r="H12485" s="4"/>
      <c r="I12485" s="4"/>
      <c r="J12485" s="4"/>
      <c r="K12485" s="4"/>
      <c r="L12485" s="4"/>
      <c r="M12485" s="4"/>
      <c r="N12485" s="4"/>
    </row>
    <row r="12486" spans="1:14" ht="12.75" customHeight="1" x14ac:dyDescent="0.2">
      <c r="A12486" s="398" t="s">
        <v>926</v>
      </c>
      <c r="B12486" s="271"/>
      <c r="C12486" s="271"/>
      <c r="D12486" s="271"/>
      <c r="E12486" s="271"/>
      <c r="F12486" s="271"/>
      <c r="G12486" s="271"/>
      <c r="H12486" s="271"/>
      <c r="I12486" s="271"/>
      <c r="J12486" s="271"/>
      <c r="K12486" s="271"/>
      <c r="L12486" s="271"/>
      <c r="M12486" s="271"/>
      <c r="N12486" s="273"/>
    </row>
    <row r="12487" spans="1:14" ht="12.75" customHeight="1" x14ac:dyDescent="0.2">
      <c r="A12487" s="396" t="s">
        <v>76</v>
      </c>
      <c r="B12487" s="271"/>
      <c r="C12487" s="271"/>
      <c r="D12487" s="271"/>
      <c r="E12487" s="271"/>
      <c r="F12487" s="271"/>
      <c r="G12487" s="273"/>
      <c r="H12487" s="88" t="s">
        <v>77</v>
      </c>
      <c r="I12487" s="399" t="s">
        <v>920</v>
      </c>
      <c r="J12487" s="273"/>
      <c r="K12487" s="399" t="s">
        <v>453</v>
      </c>
      <c r="L12487" s="273"/>
      <c r="M12487" s="399" t="s">
        <v>921</v>
      </c>
      <c r="N12487" s="273"/>
    </row>
    <row r="12488" spans="1:14" ht="12.75" customHeight="1" x14ac:dyDescent="0.2">
      <c r="A12488" s="400" t="s">
        <v>927</v>
      </c>
      <c r="B12488" s="271"/>
      <c r="C12488" s="271"/>
      <c r="D12488" s="271"/>
      <c r="E12488" s="271"/>
      <c r="F12488" s="271"/>
      <c r="G12488" s="273"/>
      <c r="H12488" s="29" t="str">
        <f>IF(A12488="","",VLOOKUP(A12488,AA_Equipos,7,FALSE))</f>
        <v>% M.O.</v>
      </c>
      <c r="I12488" s="394">
        <f>+M12510</f>
        <v>298920</v>
      </c>
      <c r="J12488" s="273"/>
      <c r="K12488" s="404">
        <v>0.05</v>
      </c>
      <c r="L12488" s="273"/>
      <c r="M12488" s="394">
        <f t="shared" ref="M12488:M12492" si="1641">IF(A12488="","",I12488*K12488)</f>
        <v>14946</v>
      </c>
      <c r="N12488" s="273"/>
    </row>
    <row r="12489" spans="1:14" ht="12.75" customHeight="1" x14ac:dyDescent="0.2">
      <c r="A12489" s="403"/>
      <c r="B12489" s="271"/>
      <c r="C12489" s="271"/>
      <c r="D12489" s="271"/>
      <c r="E12489" s="271"/>
      <c r="F12489" s="271"/>
      <c r="G12489" s="273"/>
      <c r="H12489" s="29" t="str">
        <f>IF(A12489="","",VLOOKUP(A12489,AA_Equipos,7,FALSE))</f>
        <v/>
      </c>
      <c r="I12489" s="394" t="str">
        <f>IF(A12489="","",VLOOKUP(A12489,AA_Equipos,8,FALSE))</f>
        <v/>
      </c>
      <c r="J12489" s="273"/>
      <c r="K12489" s="402"/>
      <c r="L12489" s="273"/>
      <c r="M12489" s="394" t="str">
        <f t="shared" si="1641"/>
        <v/>
      </c>
      <c r="N12489" s="273"/>
    </row>
    <row r="12490" spans="1:14" ht="12.75" customHeight="1" x14ac:dyDescent="0.2">
      <c r="A12490" s="400"/>
      <c r="B12490" s="271"/>
      <c r="C12490" s="271"/>
      <c r="D12490" s="271"/>
      <c r="E12490" s="271"/>
      <c r="F12490" s="271"/>
      <c r="G12490" s="273"/>
      <c r="H12490" s="29" t="str">
        <f>IF(A12490="","",VLOOKUP(A12490,AA_Equipos,7,FALSE))</f>
        <v/>
      </c>
      <c r="I12490" s="394" t="str">
        <f>IF(A12490="","",VLOOKUP(A12490,AA_Equipos,8,FALSE))</f>
        <v/>
      </c>
      <c r="J12490" s="273"/>
      <c r="K12490" s="401"/>
      <c r="L12490" s="273"/>
      <c r="M12490" s="394" t="str">
        <f t="shared" si="1641"/>
        <v/>
      </c>
      <c r="N12490" s="273"/>
    </row>
    <row r="12491" spans="1:14" ht="12.75" customHeight="1" x14ac:dyDescent="0.2">
      <c r="A12491" s="400"/>
      <c r="B12491" s="271"/>
      <c r="C12491" s="271"/>
      <c r="D12491" s="271"/>
      <c r="E12491" s="271"/>
      <c r="F12491" s="271"/>
      <c r="G12491" s="273"/>
      <c r="H12491" s="29" t="str">
        <f>IF(A12491="","",VLOOKUP(A12491,AA_Equipos,7,FALSE))</f>
        <v/>
      </c>
      <c r="I12491" s="394" t="str">
        <f>IF(A12491="","",VLOOKUP(A12491,AA_Equipos,8,FALSE))</f>
        <v/>
      </c>
      <c r="J12491" s="273"/>
      <c r="K12491" s="395"/>
      <c r="L12491" s="273"/>
      <c r="M12491" s="394" t="str">
        <f t="shared" si="1641"/>
        <v/>
      </c>
      <c r="N12491" s="273"/>
    </row>
    <row r="12492" spans="1:14" ht="12.75" customHeight="1" x14ac:dyDescent="0.2">
      <c r="A12492" s="400"/>
      <c r="B12492" s="271"/>
      <c r="C12492" s="271"/>
      <c r="D12492" s="271"/>
      <c r="E12492" s="271"/>
      <c r="F12492" s="271"/>
      <c r="G12492" s="273"/>
      <c r="H12492" s="29" t="str">
        <f>IF(A12492="","",VLOOKUP(A12492,AA_Equipos,7,FALSE))</f>
        <v/>
      </c>
      <c r="I12492" s="394" t="str">
        <f>IF(A12492="","",VLOOKUP(A12492,AA_Equipos,8,FALSE))</f>
        <v/>
      </c>
      <c r="J12492" s="273"/>
      <c r="K12492" s="395"/>
      <c r="L12492" s="273"/>
      <c r="M12492" s="394" t="str">
        <f t="shared" si="1641"/>
        <v/>
      </c>
      <c r="N12492" s="273"/>
    </row>
    <row r="12493" spans="1:14" ht="12.75" customHeight="1" x14ac:dyDescent="0.25">
      <c r="A12493" s="4"/>
      <c r="B12493" s="4"/>
      <c r="C12493" s="4"/>
      <c r="D12493" s="4"/>
      <c r="E12493" s="4"/>
      <c r="F12493" s="4"/>
      <c r="G12493" s="4"/>
      <c r="H12493" s="4"/>
      <c r="I12493" s="4"/>
      <c r="J12493" s="4"/>
      <c r="K12493" s="396" t="s">
        <v>444</v>
      </c>
      <c r="L12493" s="273"/>
      <c r="M12493" s="394">
        <f>SUM(M12488:N12492)</f>
        <v>14946</v>
      </c>
      <c r="N12493" s="273"/>
    </row>
    <row r="12494" spans="1:14" ht="12.75" customHeight="1" x14ac:dyDescent="0.25">
      <c r="A12494" s="4"/>
      <c r="B12494" s="4"/>
      <c r="C12494" s="4"/>
      <c r="D12494" s="4"/>
      <c r="E12494" s="4"/>
      <c r="F12494" s="4"/>
      <c r="G12494" s="4"/>
      <c r="H12494" s="4"/>
      <c r="I12494" s="4"/>
      <c r="J12494" s="4"/>
      <c r="K12494" s="4"/>
      <c r="L12494" s="4"/>
      <c r="M12494" s="4"/>
      <c r="N12494" s="4"/>
    </row>
    <row r="12495" spans="1:14" ht="12.75" customHeight="1" x14ac:dyDescent="0.2">
      <c r="A12495" s="398" t="s">
        <v>929</v>
      </c>
      <c r="B12495" s="271"/>
      <c r="C12495" s="271"/>
      <c r="D12495" s="271"/>
      <c r="E12495" s="271"/>
      <c r="F12495" s="271"/>
      <c r="G12495" s="271"/>
      <c r="H12495" s="271"/>
      <c r="I12495" s="271"/>
      <c r="J12495" s="271"/>
      <c r="K12495" s="271"/>
      <c r="L12495" s="271"/>
      <c r="M12495" s="271"/>
      <c r="N12495" s="273"/>
    </row>
    <row r="12496" spans="1:14" ht="12.75" customHeight="1" x14ac:dyDescent="0.2">
      <c r="A12496" s="396" t="s">
        <v>76</v>
      </c>
      <c r="B12496" s="271"/>
      <c r="C12496" s="271"/>
      <c r="D12496" s="271"/>
      <c r="E12496" s="271"/>
      <c r="F12496" s="271"/>
      <c r="G12496" s="273"/>
      <c r="H12496" s="88" t="s">
        <v>77</v>
      </c>
      <c r="I12496" s="399" t="s">
        <v>920</v>
      </c>
      <c r="J12496" s="273"/>
      <c r="K12496" s="399" t="s">
        <v>453</v>
      </c>
      <c r="L12496" s="273"/>
      <c r="M12496" s="399" t="s">
        <v>921</v>
      </c>
      <c r="N12496" s="273"/>
    </row>
    <row r="12497" spans="1:14" ht="12.75" customHeight="1" x14ac:dyDescent="0.2">
      <c r="A12497" s="400" t="s">
        <v>1559</v>
      </c>
      <c r="B12497" s="271"/>
      <c r="C12497" s="271"/>
      <c r="D12497" s="271"/>
      <c r="E12497" s="271"/>
      <c r="F12497" s="271"/>
      <c r="G12497" s="273"/>
      <c r="H12497" s="29" t="str">
        <f>IF(A12497="","",VLOOKUP(A12497,AA_Equipos,7,FALSE))</f>
        <v>Día</v>
      </c>
      <c r="I12497" s="394">
        <f>IF(A12497="","",VLOOKUP(A12497,AA_Equipos,8,FALSE))</f>
        <v>74400</v>
      </c>
      <c r="J12497" s="273"/>
      <c r="K12497" s="408">
        <v>1</v>
      </c>
      <c r="L12497" s="273"/>
      <c r="M12497" s="394">
        <f t="shared" ref="M12497:M12500" si="1642">IF(A12497="","",I12497*K12497)</f>
        <v>74400</v>
      </c>
      <c r="N12497" s="273"/>
    </row>
    <row r="12498" spans="1:14" ht="12.75" customHeight="1" x14ac:dyDescent="0.2">
      <c r="A12498" s="400"/>
      <c r="B12498" s="271"/>
      <c r="C12498" s="271"/>
      <c r="D12498" s="271"/>
      <c r="E12498" s="271"/>
      <c r="F12498" s="271"/>
      <c r="G12498" s="273"/>
      <c r="H12498" s="29"/>
      <c r="I12498" s="394"/>
      <c r="J12498" s="273"/>
      <c r="K12498" s="395"/>
      <c r="L12498" s="273"/>
      <c r="M12498" s="394" t="str">
        <f t="shared" si="1642"/>
        <v/>
      </c>
      <c r="N12498" s="273"/>
    </row>
    <row r="12499" spans="1:14" ht="12.75" customHeight="1" x14ac:dyDescent="0.2">
      <c r="A12499" s="400"/>
      <c r="B12499" s="271"/>
      <c r="C12499" s="271"/>
      <c r="D12499" s="271"/>
      <c r="E12499" s="271"/>
      <c r="F12499" s="271"/>
      <c r="G12499" s="273"/>
      <c r="H12499" s="29"/>
      <c r="I12499" s="394"/>
      <c r="J12499" s="273"/>
      <c r="K12499" s="395"/>
      <c r="L12499" s="273"/>
      <c r="M12499" s="394" t="str">
        <f t="shared" si="1642"/>
        <v/>
      </c>
      <c r="N12499" s="273"/>
    </row>
    <row r="12500" spans="1:14" ht="12.75" customHeight="1" x14ac:dyDescent="0.2">
      <c r="A12500" s="400"/>
      <c r="B12500" s="271"/>
      <c r="C12500" s="271"/>
      <c r="D12500" s="271"/>
      <c r="E12500" s="271"/>
      <c r="F12500" s="271"/>
      <c r="G12500" s="273"/>
      <c r="H12500" s="29"/>
      <c r="I12500" s="394"/>
      <c r="J12500" s="273"/>
      <c r="K12500" s="395"/>
      <c r="L12500" s="273"/>
      <c r="M12500" s="394" t="str">
        <f t="shared" si="1642"/>
        <v/>
      </c>
      <c r="N12500" s="273"/>
    </row>
    <row r="12501" spans="1:14" ht="12.75" customHeight="1" x14ac:dyDescent="0.25">
      <c r="A12501" s="4"/>
      <c r="B12501" s="4"/>
      <c r="C12501" s="4"/>
      <c r="D12501" s="4"/>
      <c r="E12501" s="4"/>
      <c r="F12501" s="4"/>
      <c r="G12501" s="4"/>
      <c r="H12501" s="4"/>
      <c r="I12501" s="4"/>
      <c r="J12501" s="4"/>
      <c r="K12501" s="396" t="s">
        <v>444</v>
      </c>
      <c r="L12501" s="273"/>
      <c r="M12501" s="394">
        <f>SUM(M12497:N12500)</f>
        <v>74400</v>
      </c>
      <c r="N12501" s="273"/>
    </row>
    <row r="12502" spans="1:14" ht="12.75" customHeight="1" x14ac:dyDescent="0.25">
      <c r="A12502" s="4"/>
      <c r="B12502" s="4"/>
      <c r="C12502" s="4"/>
      <c r="D12502" s="4"/>
      <c r="E12502" s="4"/>
      <c r="F12502" s="4"/>
      <c r="G12502" s="4"/>
      <c r="H12502" s="4"/>
      <c r="I12502" s="4"/>
      <c r="J12502" s="4"/>
      <c r="K12502" s="4"/>
      <c r="L12502" s="4"/>
      <c r="M12502" s="4"/>
      <c r="N12502" s="4"/>
    </row>
    <row r="12503" spans="1:14" ht="12.75" customHeight="1" x14ac:dyDescent="0.2">
      <c r="A12503" s="398" t="s">
        <v>931</v>
      </c>
      <c r="B12503" s="271"/>
      <c r="C12503" s="271"/>
      <c r="D12503" s="271"/>
      <c r="E12503" s="271"/>
      <c r="F12503" s="271"/>
      <c r="G12503" s="271"/>
      <c r="H12503" s="271"/>
      <c r="I12503" s="271"/>
      <c r="J12503" s="271"/>
      <c r="K12503" s="271"/>
      <c r="L12503" s="271"/>
      <c r="M12503" s="271"/>
      <c r="N12503" s="273"/>
    </row>
    <row r="12504" spans="1:14" ht="12.75" customHeight="1" x14ac:dyDescent="0.2">
      <c r="A12504" s="396" t="s">
        <v>76</v>
      </c>
      <c r="B12504" s="271"/>
      <c r="C12504" s="271"/>
      <c r="D12504" s="271"/>
      <c r="E12504" s="271"/>
      <c r="F12504" s="271"/>
      <c r="G12504" s="273"/>
      <c r="H12504" s="88" t="s">
        <v>77</v>
      </c>
      <c r="I12504" s="399" t="s">
        <v>920</v>
      </c>
      <c r="J12504" s="273"/>
      <c r="K12504" s="90" t="s">
        <v>514</v>
      </c>
      <c r="L12504" s="91" t="s">
        <v>932</v>
      </c>
      <c r="M12504" s="399" t="s">
        <v>921</v>
      </c>
      <c r="N12504" s="273"/>
    </row>
    <row r="12505" spans="1:14" ht="12.75" customHeight="1" x14ac:dyDescent="0.25">
      <c r="A12505" s="393" t="s">
        <v>1301</v>
      </c>
      <c r="B12505" s="271"/>
      <c r="C12505" s="271"/>
      <c r="D12505" s="271"/>
      <c r="E12505" s="271"/>
      <c r="F12505" s="271"/>
      <c r="G12505" s="273"/>
      <c r="H12505" s="29" t="str">
        <f>IF(A12505="","",VLOOKUP(A12505,AA_Cuadrillas,4,FALSE))</f>
        <v>Cuadrilla</v>
      </c>
      <c r="I12505" s="394">
        <f>IF(A12505="","",VLOOKUP(A12505,AA_Cuadrillas,5,FALSE))</f>
        <v>132500</v>
      </c>
      <c r="J12505" s="273"/>
      <c r="K12505" s="9">
        <f>IF(A12505="","",F.P!$I$2)</f>
        <v>1.88</v>
      </c>
      <c r="L12505" s="97">
        <v>1.2</v>
      </c>
      <c r="M12505" s="394">
        <f t="shared" ref="M12505:M12509" si="1643">IF(A12505="","",I12505*K12505*L12505)</f>
        <v>298920</v>
      </c>
      <c r="N12505" s="273"/>
    </row>
    <row r="12506" spans="1:14" ht="12.75" customHeight="1" x14ac:dyDescent="0.25">
      <c r="A12506" s="393"/>
      <c r="B12506" s="271"/>
      <c r="C12506" s="271"/>
      <c r="D12506" s="271"/>
      <c r="E12506" s="271"/>
      <c r="F12506" s="271"/>
      <c r="G12506" s="273"/>
      <c r="H12506" s="29" t="str">
        <f>IF(A12506="","",VLOOKUP(A12506,AA_Cuadrillas,4,FALSE))</f>
        <v/>
      </c>
      <c r="I12506" s="394" t="str">
        <f>IF(A12506="","",VLOOKUP(A12506,AA_Cuadrillas,5,FALSE))</f>
        <v/>
      </c>
      <c r="J12506" s="273"/>
      <c r="K12506" s="9" t="str">
        <f>IF(A12506="","",F.P!$I$2)</f>
        <v/>
      </c>
      <c r="L12506" s="9"/>
      <c r="M12506" s="394" t="str">
        <f t="shared" si="1643"/>
        <v/>
      </c>
      <c r="N12506" s="273"/>
    </row>
    <row r="12507" spans="1:14" ht="12.75" customHeight="1" x14ac:dyDescent="0.25">
      <c r="A12507" s="393"/>
      <c r="B12507" s="271"/>
      <c r="C12507" s="271"/>
      <c r="D12507" s="271"/>
      <c r="E12507" s="271"/>
      <c r="F12507" s="271"/>
      <c r="G12507" s="273"/>
      <c r="H12507" s="29" t="str">
        <f>IF(A12507="","",VLOOKUP(A12507,AA_Cuadrillas,4,FALSE))</f>
        <v/>
      </c>
      <c r="I12507" s="394" t="str">
        <f>IF(A12507="","",VLOOKUP(A12507,AA_Cuadrillas,5,FALSE))</f>
        <v/>
      </c>
      <c r="J12507" s="273"/>
      <c r="K12507" s="9" t="str">
        <f>IF(A12507="","",F.P!$I$2)</f>
        <v/>
      </c>
      <c r="L12507" s="37"/>
      <c r="M12507" s="394" t="str">
        <f t="shared" si="1643"/>
        <v/>
      </c>
      <c r="N12507" s="273"/>
    </row>
    <row r="12508" spans="1:14" ht="12.75" customHeight="1" x14ac:dyDescent="0.25">
      <c r="A12508" s="393"/>
      <c r="B12508" s="271"/>
      <c r="C12508" s="271"/>
      <c r="D12508" s="271"/>
      <c r="E12508" s="271"/>
      <c r="F12508" s="271"/>
      <c r="G12508" s="273"/>
      <c r="H12508" s="29" t="str">
        <f>IF(A12508="","",VLOOKUP(A12508,AA_Cuadrillas,4,FALSE))</f>
        <v/>
      </c>
      <c r="I12508" s="394" t="str">
        <f>IF(A12508="","",VLOOKUP(A12508,AA_Cuadrillas,5,FALSE))</f>
        <v/>
      </c>
      <c r="J12508" s="273"/>
      <c r="K12508" s="9" t="str">
        <f>IF(A12508="","",F.P!$I$2)</f>
        <v/>
      </c>
      <c r="L12508" s="97"/>
      <c r="M12508" s="394" t="str">
        <f t="shared" si="1643"/>
        <v/>
      </c>
      <c r="N12508" s="273"/>
    </row>
    <row r="12509" spans="1:14" ht="12.75" customHeight="1" x14ac:dyDescent="0.25">
      <c r="A12509" s="393"/>
      <c r="B12509" s="271"/>
      <c r="C12509" s="271"/>
      <c r="D12509" s="271"/>
      <c r="E12509" s="271"/>
      <c r="F12509" s="271"/>
      <c r="G12509" s="273"/>
      <c r="H12509" s="29" t="str">
        <f>IF(A12509="","",VLOOKUP(A12509,AA_Cuadrillas,4,FALSE))</f>
        <v/>
      </c>
      <c r="I12509" s="394" t="str">
        <f>IF(A12509="","",VLOOKUP(A12509,AA_Cuadrillas,5,FALSE))</f>
        <v/>
      </c>
      <c r="J12509" s="273"/>
      <c r="K12509" s="9" t="str">
        <f>IF(A12509="","",F.P!$I$2)</f>
        <v/>
      </c>
      <c r="L12509" s="37"/>
      <c r="M12509" s="394" t="str">
        <f t="shared" si="1643"/>
        <v/>
      </c>
      <c r="N12509" s="273"/>
    </row>
    <row r="12510" spans="1:14" ht="12.75" customHeight="1" x14ac:dyDescent="0.25">
      <c r="A12510" s="4"/>
      <c r="B12510" s="4"/>
      <c r="C12510" s="4"/>
      <c r="D12510" s="4"/>
      <c r="E12510" s="4"/>
      <c r="F12510" s="4"/>
      <c r="G12510" s="4"/>
      <c r="H12510" s="4"/>
      <c r="I12510" s="4"/>
      <c r="J12510" s="4"/>
      <c r="K12510" s="396" t="s">
        <v>444</v>
      </c>
      <c r="L12510" s="273"/>
      <c r="M12510" s="394">
        <f>SUM(M12505:N12509)</f>
        <v>298920</v>
      </c>
      <c r="N12510" s="273"/>
    </row>
    <row r="12511" spans="1:14" ht="12.75" customHeight="1" x14ac:dyDescent="0.2"/>
    <row r="12512" spans="1:14" ht="12.75" customHeight="1" x14ac:dyDescent="0.2">
      <c r="A12512" s="397" t="s">
        <v>403</v>
      </c>
      <c r="B12512" s="275"/>
      <c r="C12512" s="275"/>
      <c r="D12512" s="275"/>
      <c r="E12512" s="275"/>
      <c r="F12512" s="275"/>
      <c r="G12512" s="275"/>
      <c r="H12512" s="275"/>
      <c r="I12512" s="275"/>
      <c r="J12512" s="275"/>
      <c r="K12512" s="275"/>
      <c r="L12512" s="275"/>
      <c r="M12512" s="275"/>
      <c r="N12512" s="276"/>
    </row>
    <row r="12513" spans="1:14" ht="12.75" customHeight="1" x14ac:dyDescent="0.2">
      <c r="A12513" s="277"/>
      <c r="B12513" s="278"/>
      <c r="C12513" s="278"/>
      <c r="D12513" s="278"/>
      <c r="E12513" s="278"/>
      <c r="F12513" s="278"/>
      <c r="G12513" s="278"/>
      <c r="H12513" s="278"/>
      <c r="I12513" s="278"/>
      <c r="J12513" s="278"/>
      <c r="K12513" s="278"/>
      <c r="L12513" s="278"/>
      <c r="M12513" s="278"/>
      <c r="N12513" s="279"/>
    </row>
    <row r="12514" spans="1:14" ht="12.75" customHeight="1" x14ac:dyDescent="0.2">
      <c r="A12514" s="75"/>
      <c r="B12514" s="75"/>
      <c r="C12514" s="75"/>
      <c r="D12514" s="75"/>
      <c r="E12514" s="75"/>
      <c r="F12514" s="75"/>
      <c r="G12514" s="75"/>
      <c r="H12514" s="75"/>
      <c r="I12514" s="75"/>
      <c r="J12514" s="75"/>
      <c r="K12514" s="75"/>
      <c r="L12514" s="75"/>
      <c r="M12514" s="75"/>
      <c r="N12514" s="75"/>
    </row>
    <row r="12515" spans="1:14" ht="12.75" customHeight="1" x14ac:dyDescent="0.3">
      <c r="A12515" s="79" t="s">
        <v>888</v>
      </c>
      <c r="B12515" s="80" t="str">
        <f>A12512</f>
        <v>SUMINISTRO E INSTALACIÓN DE TUBERÍA PVC 1" SUBTERRANEA 75CM DE PROFUNDIDAD CON CABLEADO CU 1X12F + 1X12N +1X12T</v>
      </c>
      <c r="C12515" s="81" t="s">
        <v>916</v>
      </c>
      <c r="D12515" s="82" t="s">
        <v>999</v>
      </c>
      <c r="E12515" s="83" t="s">
        <v>445</v>
      </c>
      <c r="F12515" s="86">
        <f>H12515+J12515+L12515+N12515</f>
        <v>65039.1</v>
      </c>
      <c r="G12515" s="83" t="s">
        <v>607</v>
      </c>
      <c r="H12515" s="86">
        <f>M12534</f>
        <v>38139.599999999999</v>
      </c>
      <c r="I12515" s="83" t="s">
        <v>918</v>
      </c>
      <c r="J12515" s="86">
        <f>M12543</f>
        <v>1245.5</v>
      </c>
      <c r="K12515" s="83" t="s">
        <v>609</v>
      </c>
      <c r="L12515" s="86">
        <f>M12551</f>
        <v>744</v>
      </c>
      <c r="M12515" s="83" t="s">
        <v>610</v>
      </c>
      <c r="N12515" s="86">
        <f>M12560</f>
        <v>24910</v>
      </c>
    </row>
    <row r="12516" spans="1:14" ht="12.75" customHeight="1" x14ac:dyDescent="0.25">
      <c r="A12516" s="87"/>
      <c r="B12516" s="87"/>
      <c r="C12516" s="87"/>
      <c r="D12516" s="87"/>
      <c r="E12516" s="87"/>
      <c r="F12516" s="87"/>
      <c r="G12516" s="87"/>
      <c r="H12516" s="12"/>
      <c r="I12516" s="12"/>
      <c r="J12516" s="87"/>
      <c r="K12516" s="215" t="s">
        <v>3217</v>
      </c>
      <c r="L12516" s="215">
        <f>+F12515*presup!$O$5</f>
        <v>84550.83</v>
      </c>
      <c r="M12516" s="87"/>
      <c r="N12516" s="87"/>
    </row>
    <row r="12517" spans="1:14" ht="12.75" customHeight="1" x14ac:dyDescent="0.2">
      <c r="A12517" s="398" t="s">
        <v>919</v>
      </c>
      <c r="B12517" s="271"/>
      <c r="C12517" s="271"/>
      <c r="D12517" s="271"/>
      <c r="E12517" s="271"/>
      <c r="F12517" s="271"/>
      <c r="G12517" s="271"/>
      <c r="H12517" s="271"/>
      <c r="I12517" s="271"/>
      <c r="J12517" s="271"/>
      <c r="K12517" s="271"/>
      <c r="L12517" s="271"/>
      <c r="M12517" s="271"/>
      <c r="N12517" s="273"/>
    </row>
    <row r="12518" spans="1:14" ht="12.75" customHeight="1" x14ac:dyDescent="0.2">
      <c r="A12518" s="396" t="s">
        <v>76</v>
      </c>
      <c r="B12518" s="271"/>
      <c r="C12518" s="271"/>
      <c r="D12518" s="271"/>
      <c r="E12518" s="271"/>
      <c r="F12518" s="271"/>
      <c r="G12518" s="273"/>
      <c r="H12518" s="88" t="s">
        <v>77</v>
      </c>
      <c r="I12518" s="399" t="s">
        <v>920</v>
      </c>
      <c r="J12518" s="273"/>
      <c r="K12518" s="399" t="s">
        <v>453</v>
      </c>
      <c r="L12518" s="273"/>
      <c r="M12518" s="399" t="s">
        <v>921</v>
      </c>
      <c r="N12518" s="273"/>
    </row>
    <row r="12519" spans="1:14" ht="12.75" customHeight="1" x14ac:dyDescent="0.25">
      <c r="A12519" s="309" t="s">
        <v>1646</v>
      </c>
      <c r="B12519" s="271"/>
      <c r="C12519" s="271"/>
      <c r="D12519" s="271"/>
      <c r="E12519" s="271"/>
      <c r="F12519" s="271"/>
      <c r="G12519" s="273"/>
      <c r="H12519" s="29" t="str">
        <f t="shared" ref="H12519:H12533" si="1644">IF(A12519="","",VLOOKUP(A12519,AA_Materiales,7,FALSE))</f>
        <v>m</v>
      </c>
      <c r="I12519" s="394">
        <f t="shared" ref="I12519:I12533" si="1645">IF(A12519="","",VLOOKUP(A12519,AA_Materiales,8,FALSE))</f>
        <v>6113</v>
      </c>
      <c r="J12519" s="273"/>
      <c r="K12519" s="393">
        <v>1</v>
      </c>
      <c r="L12519" s="273"/>
      <c r="M12519" s="394">
        <f t="shared" ref="M12519:M12533" si="1646">IF(A12519="","",I12519*K12519)</f>
        <v>6113</v>
      </c>
      <c r="N12519" s="273"/>
    </row>
    <row r="12520" spans="1:14" ht="12.75" customHeight="1" x14ac:dyDescent="0.25">
      <c r="A12520" s="309" t="s">
        <v>1647</v>
      </c>
      <c r="B12520" s="271"/>
      <c r="C12520" s="271"/>
      <c r="D12520" s="271"/>
      <c r="E12520" s="271"/>
      <c r="F12520" s="271"/>
      <c r="G12520" s="273"/>
      <c r="H12520" s="29" t="str">
        <f t="shared" si="1644"/>
        <v>m</v>
      </c>
      <c r="I12520" s="394">
        <f t="shared" si="1645"/>
        <v>3220</v>
      </c>
      <c r="J12520" s="273"/>
      <c r="K12520" s="393">
        <v>6</v>
      </c>
      <c r="L12520" s="273"/>
      <c r="M12520" s="394">
        <f t="shared" si="1646"/>
        <v>19320</v>
      </c>
      <c r="N12520" s="273"/>
    </row>
    <row r="12521" spans="1:14" ht="12.75" customHeight="1" x14ac:dyDescent="0.25">
      <c r="A12521" s="309" t="s">
        <v>1648</v>
      </c>
      <c r="B12521" s="271"/>
      <c r="C12521" s="271"/>
      <c r="D12521" s="271"/>
      <c r="E12521" s="271"/>
      <c r="F12521" s="271"/>
      <c r="G12521" s="273"/>
      <c r="H12521" s="29" t="str">
        <f t="shared" si="1644"/>
        <v>Unidad</v>
      </c>
      <c r="I12521" s="394">
        <f t="shared" si="1645"/>
        <v>8456</v>
      </c>
      <c r="J12521" s="273"/>
      <c r="K12521" s="393">
        <v>0.1</v>
      </c>
      <c r="L12521" s="273"/>
      <c r="M12521" s="394">
        <f t="shared" si="1646"/>
        <v>845.6</v>
      </c>
      <c r="N12521" s="273"/>
    </row>
    <row r="12522" spans="1:14" ht="12.75" customHeight="1" x14ac:dyDescent="0.25">
      <c r="A12522" s="309" t="s">
        <v>1649</v>
      </c>
      <c r="B12522" s="271"/>
      <c r="C12522" s="271"/>
      <c r="D12522" s="271"/>
      <c r="E12522" s="271"/>
      <c r="F12522" s="271"/>
      <c r="G12522" s="273"/>
      <c r="H12522" s="29" t="str">
        <f t="shared" si="1644"/>
        <v>ml</v>
      </c>
      <c r="I12522" s="394">
        <f t="shared" si="1645"/>
        <v>11861</v>
      </c>
      <c r="J12522" s="273"/>
      <c r="K12522" s="393">
        <v>1</v>
      </c>
      <c r="L12522" s="273"/>
      <c r="M12522" s="394">
        <f t="shared" si="1646"/>
        <v>11861</v>
      </c>
      <c r="N12522" s="273"/>
    </row>
    <row r="12523" spans="1:14" ht="12.75" customHeight="1" x14ac:dyDescent="0.25">
      <c r="A12523" s="309"/>
      <c r="B12523" s="271"/>
      <c r="C12523" s="271"/>
      <c r="D12523" s="271"/>
      <c r="E12523" s="271"/>
      <c r="F12523" s="271"/>
      <c r="G12523" s="273"/>
      <c r="H12523" s="29" t="str">
        <f t="shared" si="1644"/>
        <v/>
      </c>
      <c r="I12523" s="394" t="str">
        <f t="shared" si="1645"/>
        <v/>
      </c>
      <c r="J12523" s="273"/>
      <c r="K12523" s="393"/>
      <c r="L12523" s="273"/>
      <c r="M12523" s="394" t="str">
        <f t="shared" si="1646"/>
        <v/>
      </c>
      <c r="N12523" s="273"/>
    </row>
    <row r="12524" spans="1:14" ht="12.75" customHeight="1" x14ac:dyDescent="0.25">
      <c r="A12524" s="309"/>
      <c r="B12524" s="271"/>
      <c r="C12524" s="271"/>
      <c r="D12524" s="271"/>
      <c r="E12524" s="271"/>
      <c r="F12524" s="271"/>
      <c r="G12524" s="273"/>
      <c r="H12524" s="29" t="str">
        <f t="shared" si="1644"/>
        <v/>
      </c>
      <c r="I12524" s="394" t="str">
        <f t="shared" si="1645"/>
        <v/>
      </c>
      <c r="J12524" s="273"/>
      <c r="K12524" s="393"/>
      <c r="L12524" s="273"/>
      <c r="M12524" s="394" t="str">
        <f t="shared" si="1646"/>
        <v/>
      </c>
      <c r="N12524" s="273"/>
    </row>
    <row r="12525" spans="1:14" ht="12.75" customHeight="1" x14ac:dyDescent="0.25">
      <c r="A12525" s="309"/>
      <c r="B12525" s="271"/>
      <c r="C12525" s="271"/>
      <c r="D12525" s="271"/>
      <c r="E12525" s="271"/>
      <c r="F12525" s="271"/>
      <c r="G12525" s="273"/>
      <c r="H12525" s="29" t="str">
        <f t="shared" si="1644"/>
        <v/>
      </c>
      <c r="I12525" s="394" t="str">
        <f t="shared" si="1645"/>
        <v/>
      </c>
      <c r="J12525" s="273"/>
      <c r="K12525" s="393"/>
      <c r="L12525" s="273"/>
      <c r="M12525" s="394" t="str">
        <f t="shared" si="1646"/>
        <v/>
      </c>
      <c r="N12525" s="273"/>
    </row>
    <row r="12526" spans="1:14" ht="12.75" customHeight="1" x14ac:dyDescent="0.25">
      <c r="A12526" s="309"/>
      <c r="B12526" s="271"/>
      <c r="C12526" s="271"/>
      <c r="D12526" s="271"/>
      <c r="E12526" s="271"/>
      <c r="F12526" s="271"/>
      <c r="G12526" s="273"/>
      <c r="H12526" s="29" t="str">
        <f t="shared" si="1644"/>
        <v/>
      </c>
      <c r="I12526" s="394" t="str">
        <f t="shared" si="1645"/>
        <v/>
      </c>
      <c r="J12526" s="273"/>
      <c r="K12526" s="393"/>
      <c r="L12526" s="273"/>
      <c r="M12526" s="394" t="str">
        <f t="shared" si="1646"/>
        <v/>
      </c>
      <c r="N12526" s="273"/>
    </row>
    <row r="12527" spans="1:14" ht="12.75" customHeight="1" x14ac:dyDescent="0.25">
      <c r="A12527" s="309"/>
      <c r="B12527" s="271"/>
      <c r="C12527" s="271"/>
      <c r="D12527" s="271"/>
      <c r="E12527" s="271"/>
      <c r="F12527" s="271"/>
      <c r="G12527" s="273"/>
      <c r="H12527" s="29" t="str">
        <f t="shared" si="1644"/>
        <v/>
      </c>
      <c r="I12527" s="394" t="str">
        <f t="shared" si="1645"/>
        <v/>
      </c>
      <c r="J12527" s="273"/>
      <c r="K12527" s="393"/>
      <c r="L12527" s="273"/>
      <c r="M12527" s="394" t="str">
        <f t="shared" si="1646"/>
        <v/>
      </c>
      <c r="N12527" s="273"/>
    </row>
    <row r="12528" spans="1:14" ht="12.75" customHeight="1" x14ac:dyDescent="0.25">
      <c r="A12528" s="309"/>
      <c r="B12528" s="271"/>
      <c r="C12528" s="271"/>
      <c r="D12528" s="271"/>
      <c r="E12528" s="271"/>
      <c r="F12528" s="271"/>
      <c r="G12528" s="273"/>
      <c r="H12528" s="29" t="str">
        <f t="shared" si="1644"/>
        <v/>
      </c>
      <c r="I12528" s="394" t="str">
        <f t="shared" si="1645"/>
        <v/>
      </c>
      <c r="J12528" s="273"/>
      <c r="K12528" s="393"/>
      <c r="L12528" s="273"/>
      <c r="M12528" s="394" t="str">
        <f t="shared" si="1646"/>
        <v/>
      </c>
      <c r="N12528" s="273"/>
    </row>
    <row r="12529" spans="1:14" ht="12.75" customHeight="1" x14ac:dyDescent="0.25">
      <c r="A12529" s="309"/>
      <c r="B12529" s="271"/>
      <c r="C12529" s="271"/>
      <c r="D12529" s="271"/>
      <c r="E12529" s="271"/>
      <c r="F12529" s="271"/>
      <c r="G12529" s="273"/>
      <c r="H12529" s="29" t="str">
        <f t="shared" si="1644"/>
        <v/>
      </c>
      <c r="I12529" s="394" t="str">
        <f t="shared" si="1645"/>
        <v/>
      </c>
      <c r="J12529" s="273"/>
      <c r="K12529" s="393"/>
      <c r="L12529" s="273"/>
      <c r="M12529" s="394" t="str">
        <f t="shared" si="1646"/>
        <v/>
      </c>
      <c r="N12529" s="273"/>
    </row>
    <row r="12530" spans="1:14" ht="12.75" customHeight="1" x14ac:dyDescent="0.25">
      <c r="A12530" s="309"/>
      <c r="B12530" s="271"/>
      <c r="C12530" s="271"/>
      <c r="D12530" s="271"/>
      <c r="E12530" s="271"/>
      <c r="F12530" s="271"/>
      <c r="G12530" s="273"/>
      <c r="H12530" s="29" t="str">
        <f t="shared" si="1644"/>
        <v/>
      </c>
      <c r="I12530" s="394" t="str">
        <f t="shared" si="1645"/>
        <v/>
      </c>
      <c r="J12530" s="273"/>
      <c r="K12530" s="393"/>
      <c r="L12530" s="273"/>
      <c r="M12530" s="394" t="str">
        <f t="shared" si="1646"/>
        <v/>
      </c>
      <c r="N12530" s="273"/>
    </row>
    <row r="12531" spans="1:14" ht="12.75" customHeight="1" x14ac:dyDescent="0.25">
      <c r="A12531" s="309"/>
      <c r="B12531" s="271"/>
      <c r="C12531" s="271"/>
      <c r="D12531" s="271"/>
      <c r="E12531" s="271"/>
      <c r="F12531" s="271"/>
      <c r="G12531" s="273"/>
      <c r="H12531" s="29" t="str">
        <f t="shared" si="1644"/>
        <v/>
      </c>
      <c r="I12531" s="394" t="str">
        <f t="shared" si="1645"/>
        <v/>
      </c>
      <c r="J12531" s="273"/>
      <c r="K12531" s="393"/>
      <c r="L12531" s="273"/>
      <c r="M12531" s="394" t="str">
        <f t="shared" si="1646"/>
        <v/>
      </c>
      <c r="N12531" s="273"/>
    </row>
    <row r="12532" spans="1:14" ht="12.75" customHeight="1" x14ac:dyDescent="0.25">
      <c r="A12532" s="309"/>
      <c r="B12532" s="271"/>
      <c r="C12532" s="271"/>
      <c r="D12532" s="271"/>
      <c r="E12532" s="271"/>
      <c r="F12532" s="271"/>
      <c r="G12532" s="273"/>
      <c r="H12532" s="29" t="str">
        <f t="shared" si="1644"/>
        <v/>
      </c>
      <c r="I12532" s="394" t="str">
        <f t="shared" si="1645"/>
        <v/>
      </c>
      <c r="J12532" s="273"/>
      <c r="K12532" s="393"/>
      <c r="L12532" s="273"/>
      <c r="M12532" s="394" t="str">
        <f t="shared" si="1646"/>
        <v/>
      </c>
      <c r="N12532" s="273"/>
    </row>
    <row r="12533" spans="1:14" ht="12.75" customHeight="1" x14ac:dyDescent="0.25">
      <c r="A12533" s="309"/>
      <c r="B12533" s="271"/>
      <c r="C12533" s="271"/>
      <c r="D12533" s="271"/>
      <c r="E12533" s="271"/>
      <c r="F12533" s="271"/>
      <c r="G12533" s="273"/>
      <c r="H12533" s="29" t="str">
        <f t="shared" si="1644"/>
        <v/>
      </c>
      <c r="I12533" s="394" t="str">
        <f t="shared" si="1645"/>
        <v/>
      </c>
      <c r="J12533" s="273"/>
      <c r="K12533" s="393"/>
      <c r="L12533" s="273"/>
      <c r="M12533" s="394" t="str">
        <f t="shared" si="1646"/>
        <v/>
      </c>
      <c r="N12533" s="273"/>
    </row>
    <row r="12534" spans="1:14" ht="12.75" customHeight="1" x14ac:dyDescent="0.25">
      <c r="A12534" s="4"/>
      <c r="B12534" s="4"/>
      <c r="C12534" s="4"/>
      <c r="D12534" s="4"/>
      <c r="E12534" s="4"/>
      <c r="F12534" s="4"/>
      <c r="G12534" s="4"/>
      <c r="H12534" s="4"/>
      <c r="I12534" s="4"/>
      <c r="J12534" s="4"/>
      <c r="K12534" s="396" t="s">
        <v>444</v>
      </c>
      <c r="L12534" s="273"/>
      <c r="M12534" s="394">
        <f>SUM(M12519:N12533)</f>
        <v>38139.599999999999</v>
      </c>
      <c r="N12534" s="273"/>
    </row>
    <row r="12535" spans="1:14" ht="12.75" customHeight="1" x14ac:dyDescent="0.25">
      <c r="A12535" s="4"/>
      <c r="B12535" s="4"/>
      <c r="C12535" s="4"/>
      <c r="D12535" s="4"/>
      <c r="E12535" s="4"/>
      <c r="F12535" s="4"/>
      <c r="G12535" s="4"/>
      <c r="H12535" s="4"/>
      <c r="I12535" s="4"/>
      <c r="J12535" s="4"/>
      <c r="K12535" s="4"/>
      <c r="L12535" s="4"/>
      <c r="M12535" s="4"/>
      <c r="N12535" s="4"/>
    </row>
    <row r="12536" spans="1:14" ht="12.75" customHeight="1" x14ac:dyDescent="0.2">
      <c r="A12536" s="398" t="s">
        <v>926</v>
      </c>
      <c r="B12536" s="271"/>
      <c r="C12536" s="271"/>
      <c r="D12536" s="271"/>
      <c r="E12536" s="271"/>
      <c r="F12536" s="271"/>
      <c r="G12536" s="271"/>
      <c r="H12536" s="271"/>
      <c r="I12536" s="271"/>
      <c r="J12536" s="271"/>
      <c r="K12536" s="271"/>
      <c r="L12536" s="271"/>
      <c r="M12536" s="271"/>
      <c r="N12536" s="273"/>
    </row>
    <row r="12537" spans="1:14" ht="12.75" customHeight="1" x14ac:dyDescent="0.2">
      <c r="A12537" s="396" t="s">
        <v>76</v>
      </c>
      <c r="B12537" s="271"/>
      <c r="C12537" s="271"/>
      <c r="D12537" s="271"/>
      <c r="E12537" s="271"/>
      <c r="F12537" s="271"/>
      <c r="G12537" s="273"/>
      <c r="H12537" s="88" t="s">
        <v>77</v>
      </c>
      <c r="I12537" s="399" t="s">
        <v>920</v>
      </c>
      <c r="J12537" s="273"/>
      <c r="K12537" s="399" t="s">
        <v>453</v>
      </c>
      <c r="L12537" s="273"/>
      <c r="M12537" s="399" t="s">
        <v>921</v>
      </c>
      <c r="N12537" s="273"/>
    </row>
    <row r="12538" spans="1:14" ht="12.75" customHeight="1" x14ac:dyDescent="0.2">
      <c r="A12538" s="400" t="s">
        <v>927</v>
      </c>
      <c r="B12538" s="271"/>
      <c r="C12538" s="271"/>
      <c r="D12538" s="271"/>
      <c r="E12538" s="271"/>
      <c r="F12538" s="271"/>
      <c r="G12538" s="273"/>
      <c r="H12538" s="29" t="str">
        <f>IF(A12538="","",VLOOKUP(A12538,AA_Equipos,7,FALSE))</f>
        <v>% M.O.</v>
      </c>
      <c r="I12538" s="394">
        <f>+M12560</f>
        <v>24910</v>
      </c>
      <c r="J12538" s="273"/>
      <c r="K12538" s="404">
        <v>0.05</v>
      </c>
      <c r="L12538" s="273"/>
      <c r="M12538" s="394">
        <f t="shared" ref="M12538:M12542" si="1647">IF(A12538="","",I12538*K12538)</f>
        <v>1245.5</v>
      </c>
      <c r="N12538" s="273"/>
    </row>
    <row r="12539" spans="1:14" ht="12.75" customHeight="1" x14ac:dyDescent="0.2">
      <c r="A12539" s="403"/>
      <c r="B12539" s="271"/>
      <c r="C12539" s="271"/>
      <c r="D12539" s="271"/>
      <c r="E12539" s="271"/>
      <c r="F12539" s="271"/>
      <c r="G12539" s="273"/>
      <c r="H12539" s="29" t="str">
        <f>IF(A12539="","",VLOOKUP(A12539,AA_Equipos,7,FALSE))</f>
        <v/>
      </c>
      <c r="I12539" s="394" t="str">
        <f>IF(A12539="","",VLOOKUP(A12539,AA_Equipos,8,FALSE))</f>
        <v/>
      </c>
      <c r="J12539" s="273"/>
      <c r="K12539" s="402"/>
      <c r="L12539" s="273"/>
      <c r="M12539" s="394" t="str">
        <f t="shared" si="1647"/>
        <v/>
      </c>
      <c r="N12539" s="273"/>
    </row>
    <row r="12540" spans="1:14" ht="12.75" customHeight="1" x14ac:dyDescent="0.2">
      <c r="A12540" s="400"/>
      <c r="B12540" s="271"/>
      <c r="C12540" s="271"/>
      <c r="D12540" s="271"/>
      <c r="E12540" s="271"/>
      <c r="F12540" s="271"/>
      <c r="G12540" s="273"/>
      <c r="H12540" s="29" t="str">
        <f>IF(A12540="","",VLOOKUP(A12540,AA_Equipos,7,FALSE))</f>
        <v/>
      </c>
      <c r="I12540" s="394" t="str">
        <f>IF(A12540="","",VLOOKUP(A12540,AA_Equipos,8,FALSE))</f>
        <v/>
      </c>
      <c r="J12540" s="273"/>
      <c r="K12540" s="401"/>
      <c r="L12540" s="273"/>
      <c r="M12540" s="394" t="str">
        <f t="shared" si="1647"/>
        <v/>
      </c>
      <c r="N12540" s="273"/>
    </row>
    <row r="12541" spans="1:14" ht="12.75" customHeight="1" x14ac:dyDescent="0.2">
      <c r="A12541" s="400"/>
      <c r="B12541" s="271"/>
      <c r="C12541" s="271"/>
      <c r="D12541" s="271"/>
      <c r="E12541" s="271"/>
      <c r="F12541" s="271"/>
      <c r="G12541" s="273"/>
      <c r="H12541" s="29" t="str">
        <f>IF(A12541="","",VLOOKUP(A12541,AA_Equipos,7,FALSE))</f>
        <v/>
      </c>
      <c r="I12541" s="394" t="str">
        <f>IF(A12541="","",VLOOKUP(A12541,AA_Equipos,8,FALSE))</f>
        <v/>
      </c>
      <c r="J12541" s="273"/>
      <c r="K12541" s="395"/>
      <c r="L12541" s="273"/>
      <c r="M12541" s="394" t="str">
        <f t="shared" si="1647"/>
        <v/>
      </c>
      <c r="N12541" s="273"/>
    </row>
    <row r="12542" spans="1:14" ht="12.75" customHeight="1" x14ac:dyDescent="0.2">
      <c r="A12542" s="400"/>
      <c r="B12542" s="271"/>
      <c r="C12542" s="271"/>
      <c r="D12542" s="271"/>
      <c r="E12542" s="271"/>
      <c r="F12542" s="271"/>
      <c r="G12542" s="273"/>
      <c r="H12542" s="29" t="str">
        <f>IF(A12542="","",VLOOKUP(A12542,AA_Equipos,7,FALSE))</f>
        <v/>
      </c>
      <c r="I12542" s="394" t="str">
        <f>IF(A12542="","",VLOOKUP(A12542,AA_Equipos,8,FALSE))</f>
        <v/>
      </c>
      <c r="J12542" s="273"/>
      <c r="K12542" s="395"/>
      <c r="L12542" s="273"/>
      <c r="M12542" s="394" t="str">
        <f t="shared" si="1647"/>
        <v/>
      </c>
      <c r="N12542" s="273"/>
    </row>
    <row r="12543" spans="1:14" ht="12.75" customHeight="1" x14ac:dyDescent="0.25">
      <c r="A12543" s="4"/>
      <c r="B12543" s="4"/>
      <c r="C12543" s="4"/>
      <c r="D12543" s="4"/>
      <c r="E12543" s="4"/>
      <c r="F12543" s="4"/>
      <c r="G12543" s="4"/>
      <c r="H12543" s="4"/>
      <c r="I12543" s="4"/>
      <c r="J12543" s="4"/>
      <c r="K12543" s="396" t="s">
        <v>444</v>
      </c>
      <c r="L12543" s="273"/>
      <c r="M12543" s="394">
        <f>SUM(M12538:N12542)</f>
        <v>1245.5</v>
      </c>
      <c r="N12543" s="273"/>
    </row>
    <row r="12544" spans="1:14" ht="12.75" customHeight="1" x14ac:dyDescent="0.25">
      <c r="A12544" s="4"/>
      <c r="B12544" s="4"/>
      <c r="C12544" s="4"/>
      <c r="D12544" s="4"/>
      <c r="E12544" s="4"/>
      <c r="F12544" s="4"/>
      <c r="G12544" s="4"/>
      <c r="H12544" s="4"/>
      <c r="I12544" s="4"/>
      <c r="J12544" s="4"/>
      <c r="K12544" s="4"/>
      <c r="L12544" s="4"/>
      <c r="M12544" s="4"/>
      <c r="N12544" s="4"/>
    </row>
    <row r="12545" spans="1:14" ht="12.75" customHeight="1" x14ac:dyDescent="0.2">
      <c r="A12545" s="398" t="s">
        <v>929</v>
      </c>
      <c r="B12545" s="271"/>
      <c r="C12545" s="271"/>
      <c r="D12545" s="271"/>
      <c r="E12545" s="271"/>
      <c r="F12545" s="271"/>
      <c r="G12545" s="271"/>
      <c r="H12545" s="271"/>
      <c r="I12545" s="271"/>
      <c r="J12545" s="271"/>
      <c r="K12545" s="271"/>
      <c r="L12545" s="271"/>
      <c r="M12545" s="271"/>
      <c r="N12545" s="273"/>
    </row>
    <row r="12546" spans="1:14" ht="12.75" customHeight="1" x14ac:dyDescent="0.2">
      <c r="A12546" s="396" t="s">
        <v>76</v>
      </c>
      <c r="B12546" s="271"/>
      <c r="C12546" s="271"/>
      <c r="D12546" s="271"/>
      <c r="E12546" s="271"/>
      <c r="F12546" s="271"/>
      <c r="G12546" s="273"/>
      <c r="H12546" s="88" t="s">
        <v>77</v>
      </c>
      <c r="I12546" s="399" t="s">
        <v>920</v>
      </c>
      <c r="J12546" s="273"/>
      <c r="K12546" s="399" t="s">
        <v>453</v>
      </c>
      <c r="L12546" s="273"/>
      <c r="M12546" s="399" t="s">
        <v>921</v>
      </c>
      <c r="N12546" s="273"/>
    </row>
    <row r="12547" spans="1:14" ht="12.75" customHeight="1" x14ac:dyDescent="0.2">
      <c r="A12547" s="400" t="s">
        <v>1559</v>
      </c>
      <c r="B12547" s="271"/>
      <c r="C12547" s="271"/>
      <c r="D12547" s="271"/>
      <c r="E12547" s="271"/>
      <c r="F12547" s="271"/>
      <c r="G12547" s="273"/>
      <c r="H12547" s="29" t="str">
        <f>IF(A12547="","",VLOOKUP(A12547,AA_Equipos,7,FALSE))</f>
        <v>Día</v>
      </c>
      <c r="I12547" s="394">
        <f>IF(A12547="","",VLOOKUP(A12547,AA_Equipos,8,FALSE))</f>
        <v>74400</v>
      </c>
      <c r="J12547" s="273"/>
      <c r="K12547" s="395">
        <v>0.01</v>
      </c>
      <c r="L12547" s="273"/>
      <c r="M12547" s="394">
        <f t="shared" ref="M12547:M12550" si="1648">IF(A12547="","",I12547*K12547)</f>
        <v>744</v>
      </c>
      <c r="N12547" s="273"/>
    </row>
    <row r="12548" spans="1:14" ht="12.75" customHeight="1" x14ac:dyDescent="0.2">
      <c r="A12548" s="400"/>
      <c r="B12548" s="271"/>
      <c r="C12548" s="271"/>
      <c r="D12548" s="271"/>
      <c r="E12548" s="271"/>
      <c r="F12548" s="271"/>
      <c r="G12548" s="273"/>
      <c r="H12548" s="29"/>
      <c r="I12548" s="394"/>
      <c r="J12548" s="273"/>
      <c r="K12548" s="395"/>
      <c r="L12548" s="273"/>
      <c r="M12548" s="394" t="str">
        <f t="shared" si="1648"/>
        <v/>
      </c>
      <c r="N12548" s="273"/>
    </row>
    <row r="12549" spans="1:14" ht="12.75" customHeight="1" x14ac:dyDescent="0.2">
      <c r="A12549" s="400"/>
      <c r="B12549" s="271"/>
      <c r="C12549" s="271"/>
      <c r="D12549" s="271"/>
      <c r="E12549" s="271"/>
      <c r="F12549" s="271"/>
      <c r="G12549" s="273"/>
      <c r="H12549" s="29"/>
      <c r="I12549" s="394"/>
      <c r="J12549" s="273"/>
      <c r="K12549" s="395"/>
      <c r="L12549" s="273"/>
      <c r="M12549" s="394" t="str">
        <f t="shared" si="1648"/>
        <v/>
      </c>
      <c r="N12549" s="273"/>
    </row>
    <row r="12550" spans="1:14" ht="12.75" customHeight="1" x14ac:dyDescent="0.2">
      <c r="A12550" s="400"/>
      <c r="B12550" s="271"/>
      <c r="C12550" s="271"/>
      <c r="D12550" s="271"/>
      <c r="E12550" s="271"/>
      <c r="F12550" s="271"/>
      <c r="G12550" s="273"/>
      <c r="H12550" s="29"/>
      <c r="I12550" s="394"/>
      <c r="J12550" s="273"/>
      <c r="K12550" s="395"/>
      <c r="L12550" s="273"/>
      <c r="M12550" s="394" t="str">
        <f t="shared" si="1648"/>
        <v/>
      </c>
      <c r="N12550" s="273"/>
    </row>
    <row r="12551" spans="1:14" ht="12.75" customHeight="1" x14ac:dyDescent="0.25">
      <c r="A12551" s="4"/>
      <c r="B12551" s="4"/>
      <c r="C12551" s="4"/>
      <c r="D12551" s="4"/>
      <c r="E12551" s="4"/>
      <c r="F12551" s="4"/>
      <c r="G12551" s="4"/>
      <c r="H12551" s="4"/>
      <c r="I12551" s="4"/>
      <c r="J12551" s="4"/>
      <c r="K12551" s="396" t="s">
        <v>444</v>
      </c>
      <c r="L12551" s="273"/>
      <c r="M12551" s="394">
        <f>SUM(M12547:N12550)</f>
        <v>744</v>
      </c>
      <c r="N12551" s="273"/>
    </row>
    <row r="12552" spans="1:14" ht="12.75" customHeight="1" x14ac:dyDescent="0.25">
      <c r="A12552" s="4"/>
      <c r="B12552" s="4"/>
      <c r="C12552" s="4"/>
      <c r="D12552" s="4"/>
      <c r="E12552" s="4"/>
      <c r="F12552" s="4"/>
      <c r="G12552" s="4"/>
      <c r="H12552" s="4"/>
      <c r="I12552" s="4"/>
      <c r="J12552" s="4"/>
      <c r="K12552" s="4"/>
      <c r="L12552" s="4"/>
      <c r="M12552" s="4"/>
      <c r="N12552" s="4"/>
    </row>
    <row r="12553" spans="1:14" ht="12.75" customHeight="1" x14ac:dyDescent="0.2">
      <c r="A12553" s="398" t="s">
        <v>931</v>
      </c>
      <c r="B12553" s="271"/>
      <c r="C12553" s="271"/>
      <c r="D12553" s="271"/>
      <c r="E12553" s="271"/>
      <c r="F12553" s="271"/>
      <c r="G12553" s="271"/>
      <c r="H12553" s="271"/>
      <c r="I12553" s="271"/>
      <c r="J12553" s="271"/>
      <c r="K12553" s="271"/>
      <c r="L12553" s="271"/>
      <c r="M12553" s="271"/>
      <c r="N12553" s="273"/>
    </row>
    <row r="12554" spans="1:14" ht="12.75" customHeight="1" x14ac:dyDescent="0.2">
      <c r="A12554" s="396" t="s">
        <v>76</v>
      </c>
      <c r="B12554" s="271"/>
      <c r="C12554" s="271"/>
      <c r="D12554" s="271"/>
      <c r="E12554" s="271"/>
      <c r="F12554" s="271"/>
      <c r="G12554" s="273"/>
      <c r="H12554" s="88" t="s">
        <v>77</v>
      </c>
      <c r="I12554" s="399" t="s">
        <v>920</v>
      </c>
      <c r="J12554" s="273"/>
      <c r="K12554" s="90" t="s">
        <v>514</v>
      </c>
      <c r="L12554" s="91" t="s">
        <v>932</v>
      </c>
      <c r="M12554" s="399" t="s">
        <v>921</v>
      </c>
      <c r="N12554" s="273"/>
    </row>
    <row r="12555" spans="1:14" ht="12.75" customHeight="1" x14ac:dyDescent="0.25">
      <c r="A12555" s="393" t="s">
        <v>1301</v>
      </c>
      <c r="B12555" s="271"/>
      <c r="C12555" s="271"/>
      <c r="D12555" s="271"/>
      <c r="E12555" s="271"/>
      <c r="F12555" s="271"/>
      <c r="G12555" s="273"/>
      <c r="H12555" s="29" t="str">
        <f>IF(A12555="","",VLOOKUP(A12555,AA_Cuadrillas,4,FALSE))</f>
        <v>Cuadrilla</v>
      </c>
      <c r="I12555" s="394">
        <f>IF(A12555="","",VLOOKUP(A12555,AA_Cuadrillas,5,FALSE))</f>
        <v>132500</v>
      </c>
      <c r="J12555" s="273"/>
      <c r="K12555" s="9">
        <f>IF(A12555="","",F.P!$I$2)</f>
        <v>1.88</v>
      </c>
      <c r="L12555" s="97">
        <v>0.1</v>
      </c>
      <c r="M12555" s="394">
        <f t="shared" ref="M12555:M12559" si="1649">IF(A12555="","",I12555*K12555*L12555)</f>
        <v>24910</v>
      </c>
      <c r="N12555" s="273"/>
    </row>
    <row r="12556" spans="1:14" ht="12.75" customHeight="1" x14ac:dyDescent="0.25">
      <c r="A12556" s="393"/>
      <c r="B12556" s="271"/>
      <c r="C12556" s="271"/>
      <c r="D12556" s="271"/>
      <c r="E12556" s="271"/>
      <c r="F12556" s="271"/>
      <c r="G12556" s="273"/>
      <c r="H12556" s="29" t="str">
        <f>IF(A12556="","",VLOOKUP(A12556,AA_Cuadrillas,4,FALSE))</f>
        <v/>
      </c>
      <c r="I12556" s="394" t="str">
        <f>IF(A12556="","",VLOOKUP(A12556,AA_Cuadrillas,5,FALSE))</f>
        <v/>
      </c>
      <c r="J12556" s="273"/>
      <c r="K12556" s="9" t="str">
        <f>IF(A12556="","",F.P!$I$2)</f>
        <v/>
      </c>
      <c r="L12556" s="9"/>
      <c r="M12556" s="394" t="str">
        <f t="shared" si="1649"/>
        <v/>
      </c>
      <c r="N12556" s="273"/>
    </row>
    <row r="12557" spans="1:14" ht="12.75" customHeight="1" x14ac:dyDescent="0.25">
      <c r="A12557" s="393"/>
      <c r="B12557" s="271"/>
      <c r="C12557" s="271"/>
      <c r="D12557" s="271"/>
      <c r="E12557" s="271"/>
      <c r="F12557" s="271"/>
      <c r="G12557" s="273"/>
      <c r="H12557" s="29" t="str">
        <f>IF(A12557="","",VLOOKUP(A12557,AA_Cuadrillas,4,FALSE))</f>
        <v/>
      </c>
      <c r="I12557" s="394" t="str">
        <f>IF(A12557="","",VLOOKUP(A12557,AA_Cuadrillas,5,FALSE))</f>
        <v/>
      </c>
      <c r="J12557" s="273"/>
      <c r="K12557" s="9" t="str">
        <f>IF(A12557="","",F.P!$I$2)</f>
        <v/>
      </c>
      <c r="L12557" s="37"/>
      <c r="M12557" s="394" t="str">
        <f t="shared" si="1649"/>
        <v/>
      </c>
      <c r="N12557" s="273"/>
    </row>
    <row r="12558" spans="1:14" ht="12.75" customHeight="1" x14ac:dyDescent="0.25">
      <c r="A12558" s="393"/>
      <c r="B12558" s="271"/>
      <c r="C12558" s="271"/>
      <c r="D12558" s="271"/>
      <c r="E12558" s="271"/>
      <c r="F12558" s="271"/>
      <c r="G12558" s="273"/>
      <c r="H12558" s="29" t="str">
        <f>IF(A12558="","",VLOOKUP(A12558,AA_Cuadrillas,4,FALSE))</f>
        <v/>
      </c>
      <c r="I12558" s="394" t="str">
        <f>IF(A12558="","",VLOOKUP(A12558,AA_Cuadrillas,5,FALSE))</f>
        <v/>
      </c>
      <c r="J12558" s="273"/>
      <c r="K12558" s="9" t="str">
        <f>IF(A12558="","",F.P!$I$2)</f>
        <v/>
      </c>
      <c r="L12558" s="97"/>
      <c r="M12558" s="394" t="str">
        <f t="shared" si="1649"/>
        <v/>
      </c>
      <c r="N12558" s="273"/>
    </row>
    <row r="12559" spans="1:14" ht="12.75" customHeight="1" x14ac:dyDescent="0.25">
      <c r="A12559" s="393"/>
      <c r="B12559" s="271"/>
      <c r="C12559" s="271"/>
      <c r="D12559" s="271"/>
      <c r="E12559" s="271"/>
      <c r="F12559" s="271"/>
      <c r="G12559" s="273"/>
      <c r="H12559" s="29" t="str">
        <f>IF(A12559="","",VLOOKUP(A12559,AA_Cuadrillas,4,FALSE))</f>
        <v/>
      </c>
      <c r="I12559" s="394" t="str">
        <f>IF(A12559="","",VLOOKUP(A12559,AA_Cuadrillas,5,FALSE))</f>
        <v/>
      </c>
      <c r="J12559" s="273"/>
      <c r="K12559" s="9" t="str">
        <f>IF(A12559="","",F.P!$I$2)</f>
        <v/>
      </c>
      <c r="L12559" s="37"/>
      <c r="M12559" s="394" t="str">
        <f t="shared" si="1649"/>
        <v/>
      </c>
      <c r="N12559" s="273"/>
    </row>
    <row r="12560" spans="1:14" ht="12.75" customHeight="1" x14ac:dyDescent="0.25">
      <c r="A12560" s="4"/>
      <c r="B12560" s="4"/>
      <c r="C12560" s="4"/>
      <c r="D12560" s="4"/>
      <c r="E12560" s="4"/>
      <c r="F12560" s="4"/>
      <c r="G12560" s="4"/>
      <c r="H12560" s="4"/>
      <c r="I12560" s="4"/>
      <c r="J12560" s="4"/>
      <c r="K12560" s="396" t="s">
        <v>444</v>
      </c>
      <c r="L12560" s="273"/>
      <c r="M12560" s="394">
        <f>SUM(M12555:N12559)</f>
        <v>24910</v>
      </c>
      <c r="N12560" s="273"/>
    </row>
    <row r="12561" spans="1:14" ht="12.75" customHeight="1" x14ac:dyDescent="0.2"/>
    <row r="12562" spans="1:14" ht="12.75" customHeight="1" x14ac:dyDescent="0.2">
      <c r="A12562" s="397" t="s">
        <v>404</v>
      </c>
      <c r="B12562" s="275"/>
      <c r="C12562" s="275"/>
      <c r="D12562" s="275"/>
      <c r="E12562" s="275"/>
      <c r="F12562" s="275"/>
      <c r="G12562" s="275"/>
      <c r="H12562" s="275"/>
      <c r="I12562" s="275"/>
      <c r="J12562" s="275"/>
      <c r="K12562" s="275"/>
      <c r="L12562" s="275"/>
      <c r="M12562" s="275"/>
      <c r="N12562" s="276"/>
    </row>
    <row r="12563" spans="1:14" ht="12.75" customHeight="1" x14ac:dyDescent="0.2">
      <c r="A12563" s="277"/>
      <c r="B12563" s="278"/>
      <c r="C12563" s="278"/>
      <c r="D12563" s="278"/>
      <c r="E12563" s="278"/>
      <c r="F12563" s="278"/>
      <c r="G12563" s="278"/>
      <c r="H12563" s="278"/>
      <c r="I12563" s="278"/>
      <c r="J12563" s="278"/>
      <c r="K12563" s="278"/>
      <c r="L12563" s="278"/>
      <c r="M12563" s="278"/>
      <c r="N12563" s="279"/>
    </row>
    <row r="12564" spans="1:14" ht="12.75" customHeight="1" x14ac:dyDescent="0.2">
      <c r="A12564" s="75"/>
      <c r="B12564" s="75"/>
      <c r="C12564" s="75"/>
      <c r="D12564" s="75"/>
      <c r="E12564" s="75"/>
      <c r="F12564" s="75"/>
      <c r="G12564" s="75"/>
      <c r="H12564" s="75"/>
      <c r="I12564" s="75"/>
      <c r="J12564" s="75"/>
      <c r="K12564" s="75"/>
      <c r="L12564" s="75"/>
      <c r="M12564" s="75"/>
      <c r="N12564" s="75"/>
    </row>
    <row r="12565" spans="1:14" ht="12.75" customHeight="1" x14ac:dyDescent="0.3">
      <c r="A12565" s="79" t="s">
        <v>889</v>
      </c>
      <c r="B12565" s="80" t="str">
        <f>A12562</f>
        <v>TABLERO DE CONTROL DE MOTORES CON VARIADOR 6SL3210-5BE32-2UV0 PARA MOTORES 30HP 440V-2UN, PLC LOGO 8 SIEMENS CON MÓDULO DE EXPANSIÓN, GABINETE RESGUARDO DE EQUIPOS 1200X700X300</v>
      </c>
      <c r="C12565" s="81" t="s">
        <v>916</v>
      </c>
      <c r="D12565" s="82" t="s">
        <v>999</v>
      </c>
      <c r="E12565" s="83" t="s">
        <v>445</v>
      </c>
      <c r="F12565" s="86">
        <f>H12565+J12565+L12565+N12565</f>
        <v>40898346.5</v>
      </c>
      <c r="G12565" s="83" t="s">
        <v>607</v>
      </c>
      <c r="H12565" s="86">
        <f>M12584</f>
        <v>40431614</v>
      </c>
      <c r="I12565" s="83" t="s">
        <v>918</v>
      </c>
      <c r="J12565" s="86">
        <f>M12593</f>
        <v>18682.5</v>
      </c>
      <c r="K12565" s="83" t="s">
        <v>609</v>
      </c>
      <c r="L12565" s="86">
        <f>M12601</f>
        <v>74400</v>
      </c>
      <c r="M12565" s="83" t="s">
        <v>610</v>
      </c>
      <c r="N12565" s="86">
        <f>M12610</f>
        <v>373650</v>
      </c>
    </row>
    <row r="12566" spans="1:14" ht="12.75" customHeight="1" x14ac:dyDescent="0.25">
      <c r="A12566" s="87"/>
      <c r="B12566" s="87"/>
      <c r="C12566" s="87"/>
      <c r="D12566" s="87"/>
      <c r="E12566" s="87"/>
      <c r="F12566" s="87"/>
      <c r="G12566" s="87"/>
      <c r="H12566" s="12"/>
      <c r="I12566" s="12"/>
      <c r="J12566" s="87"/>
      <c r="K12566" s="215" t="s">
        <v>3217</v>
      </c>
      <c r="L12566" s="215">
        <f>+F12565*presup!$O$5</f>
        <v>53167850.450000003</v>
      </c>
      <c r="M12566" s="87"/>
      <c r="N12566" s="87"/>
    </row>
    <row r="12567" spans="1:14" ht="12.75" customHeight="1" x14ac:dyDescent="0.2">
      <c r="A12567" s="398" t="s">
        <v>919</v>
      </c>
      <c r="B12567" s="271"/>
      <c r="C12567" s="271"/>
      <c r="D12567" s="271"/>
      <c r="E12567" s="271"/>
      <c r="F12567" s="271"/>
      <c r="G12567" s="271"/>
      <c r="H12567" s="271"/>
      <c r="I12567" s="271"/>
      <c r="J12567" s="271"/>
      <c r="K12567" s="271"/>
      <c r="L12567" s="271"/>
      <c r="M12567" s="271"/>
      <c r="N12567" s="273"/>
    </row>
    <row r="12568" spans="1:14" ht="12.75" customHeight="1" x14ac:dyDescent="0.2">
      <c r="A12568" s="396" t="s">
        <v>76</v>
      </c>
      <c r="B12568" s="271"/>
      <c r="C12568" s="271"/>
      <c r="D12568" s="271"/>
      <c r="E12568" s="271"/>
      <c r="F12568" s="271"/>
      <c r="G12568" s="273"/>
      <c r="H12568" s="88" t="s">
        <v>77</v>
      </c>
      <c r="I12568" s="399" t="s">
        <v>920</v>
      </c>
      <c r="J12568" s="273"/>
      <c r="K12568" s="399" t="s">
        <v>453</v>
      </c>
      <c r="L12568" s="273"/>
      <c r="M12568" s="399" t="s">
        <v>921</v>
      </c>
      <c r="N12568" s="273"/>
    </row>
    <row r="12569" spans="1:14" ht="12.75" customHeight="1" x14ac:dyDescent="0.25">
      <c r="A12569" s="309" t="s">
        <v>1650</v>
      </c>
      <c r="B12569" s="271"/>
      <c r="C12569" s="271"/>
      <c r="D12569" s="271"/>
      <c r="E12569" s="271"/>
      <c r="F12569" s="271"/>
      <c r="G12569" s="273"/>
      <c r="H12569" s="29" t="str">
        <f t="shared" ref="H12569:H12583" si="1650">IF(A12569="","",VLOOKUP(A12569,AA_Materiales,7,FALSE))</f>
        <v>Unidad</v>
      </c>
      <c r="I12569" s="394">
        <f t="shared" ref="I12569:I12583" si="1651">IF(A12569="","",VLOOKUP(A12569,AA_Materiales,8,FALSE))</f>
        <v>18163600</v>
      </c>
      <c r="J12569" s="273"/>
      <c r="K12569" s="393">
        <v>2</v>
      </c>
      <c r="L12569" s="273"/>
      <c r="M12569" s="394">
        <f t="shared" ref="M12569:M12583" si="1652">IF(A12569="","",I12569*K12569)</f>
        <v>36327200</v>
      </c>
      <c r="N12569" s="273"/>
    </row>
    <row r="12570" spans="1:14" ht="12.75" customHeight="1" x14ac:dyDescent="0.25">
      <c r="A12570" s="309" t="s">
        <v>1651</v>
      </c>
      <c r="B12570" s="271"/>
      <c r="C12570" s="271"/>
      <c r="D12570" s="271"/>
      <c r="E12570" s="271"/>
      <c r="F12570" s="271"/>
      <c r="G12570" s="273"/>
      <c r="H12570" s="29" t="str">
        <f t="shared" si="1650"/>
        <v>Unidad</v>
      </c>
      <c r="I12570" s="394">
        <f t="shared" si="1651"/>
        <v>1719304</v>
      </c>
      <c r="J12570" s="273"/>
      <c r="K12570" s="393">
        <v>1</v>
      </c>
      <c r="L12570" s="273"/>
      <c r="M12570" s="394">
        <f t="shared" si="1652"/>
        <v>1719304</v>
      </c>
      <c r="N12570" s="273"/>
    </row>
    <row r="12571" spans="1:14" ht="12.75" customHeight="1" x14ac:dyDescent="0.25">
      <c r="A12571" s="309" t="s">
        <v>1652</v>
      </c>
      <c r="B12571" s="271"/>
      <c r="C12571" s="271"/>
      <c r="D12571" s="271"/>
      <c r="E12571" s="271"/>
      <c r="F12571" s="271"/>
      <c r="G12571" s="273"/>
      <c r="H12571" s="29" t="str">
        <f t="shared" si="1650"/>
        <v>Unidad</v>
      </c>
      <c r="I12571" s="394">
        <f t="shared" si="1651"/>
        <v>72965</v>
      </c>
      <c r="J12571" s="273"/>
      <c r="K12571" s="393">
        <v>4</v>
      </c>
      <c r="L12571" s="273"/>
      <c r="M12571" s="394">
        <f t="shared" si="1652"/>
        <v>291860</v>
      </c>
      <c r="N12571" s="273"/>
    </row>
    <row r="12572" spans="1:14" ht="12.75" customHeight="1" x14ac:dyDescent="0.25">
      <c r="A12572" s="309" t="s">
        <v>1653</v>
      </c>
      <c r="B12572" s="271"/>
      <c r="C12572" s="271"/>
      <c r="D12572" s="271"/>
      <c r="E12572" s="271"/>
      <c r="F12572" s="271"/>
      <c r="G12572" s="273"/>
      <c r="H12572" s="29" t="str">
        <f t="shared" si="1650"/>
        <v>Unidad</v>
      </c>
      <c r="I12572" s="394">
        <f t="shared" si="1651"/>
        <v>89106</v>
      </c>
      <c r="J12572" s="273"/>
      <c r="K12572" s="393">
        <v>4</v>
      </c>
      <c r="L12572" s="273"/>
      <c r="M12572" s="394">
        <f t="shared" si="1652"/>
        <v>356424</v>
      </c>
      <c r="N12572" s="273"/>
    </row>
    <row r="12573" spans="1:14" ht="12.75" customHeight="1" x14ac:dyDescent="0.25">
      <c r="A12573" s="309" t="s">
        <v>1654</v>
      </c>
      <c r="B12573" s="271"/>
      <c r="C12573" s="271"/>
      <c r="D12573" s="271"/>
      <c r="E12573" s="271"/>
      <c r="F12573" s="271"/>
      <c r="G12573" s="273"/>
      <c r="H12573" s="29" t="str">
        <f t="shared" si="1650"/>
        <v>Unidad</v>
      </c>
      <c r="I12573" s="394">
        <f t="shared" si="1651"/>
        <v>49576</v>
      </c>
      <c r="J12573" s="273"/>
      <c r="K12573" s="393">
        <v>2</v>
      </c>
      <c r="L12573" s="273"/>
      <c r="M12573" s="394">
        <f t="shared" si="1652"/>
        <v>99152</v>
      </c>
      <c r="N12573" s="273"/>
    </row>
    <row r="12574" spans="1:14" ht="12.75" customHeight="1" x14ac:dyDescent="0.25">
      <c r="A12574" s="309" t="s">
        <v>1655</v>
      </c>
      <c r="B12574" s="271"/>
      <c r="C12574" s="271"/>
      <c r="D12574" s="271"/>
      <c r="E12574" s="271"/>
      <c r="F12574" s="271"/>
      <c r="G12574" s="273"/>
      <c r="H12574" s="29" t="str">
        <f t="shared" si="1650"/>
        <v>ml</v>
      </c>
      <c r="I12574" s="394">
        <f t="shared" si="1651"/>
        <v>4118</v>
      </c>
      <c r="J12574" s="273"/>
      <c r="K12574" s="393">
        <v>10</v>
      </c>
      <c r="L12574" s="273"/>
      <c r="M12574" s="394">
        <f t="shared" si="1652"/>
        <v>41180</v>
      </c>
      <c r="N12574" s="273"/>
    </row>
    <row r="12575" spans="1:14" ht="12.75" customHeight="1" x14ac:dyDescent="0.25">
      <c r="A12575" s="309" t="s">
        <v>1656</v>
      </c>
      <c r="B12575" s="271"/>
      <c r="C12575" s="271"/>
      <c r="D12575" s="271"/>
      <c r="E12575" s="271"/>
      <c r="F12575" s="271"/>
      <c r="G12575" s="273"/>
      <c r="H12575" s="29" t="str">
        <f t="shared" si="1650"/>
        <v>Unidad</v>
      </c>
      <c r="I12575" s="394">
        <f t="shared" si="1651"/>
        <v>395294</v>
      </c>
      <c r="J12575" s="273"/>
      <c r="K12575" s="393">
        <v>1</v>
      </c>
      <c r="L12575" s="273"/>
      <c r="M12575" s="394">
        <f t="shared" si="1652"/>
        <v>395294</v>
      </c>
      <c r="N12575" s="273"/>
    </row>
    <row r="12576" spans="1:14" ht="12.75" customHeight="1" x14ac:dyDescent="0.25">
      <c r="A12576" s="309" t="s">
        <v>1657</v>
      </c>
      <c r="B12576" s="271"/>
      <c r="C12576" s="271"/>
      <c r="D12576" s="271"/>
      <c r="E12576" s="271"/>
      <c r="F12576" s="271"/>
      <c r="G12576" s="273"/>
      <c r="H12576" s="29" t="str">
        <f t="shared" si="1650"/>
        <v>Unidad</v>
      </c>
      <c r="I12576" s="394">
        <f t="shared" si="1651"/>
        <v>1201200</v>
      </c>
      <c r="J12576" s="273"/>
      <c r="K12576" s="393">
        <v>1</v>
      </c>
      <c r="L12576" s="273"/>
      <c r="M12576" s="394">
        <f t="shared" si="1652"/>
        <v>1201200</v>
      </c>
      <c r="N12576" s="273"/>
    </row>
    <row r="12577" spans="1:14" ht="12.75" customHeight="1" x14ac:dyDescent="0.25">
      <c r="A12577" s="309"/>
      <c r="B12577" s="271"/>
      <c r="C12577" s="271"/>
      <c r="D12577" s="271"/>
      <c r="E12577" s="271"/>
      <c r="F12577" s="271"/>
      <c r="G12577" s="273"/>
      <c r="H12577" s="29" t="str">
        <f t="shared" si="1650"/>
        <v/>
      </c>
      <c r="I12577" s="394" t="str">
        <f t="shared" si="1651"/>
        <v/>
      </c>
      <c r="J12577" s="273"/>
      <c r="K12577" s="393"/>
      <c r="L12577" s="273"/>
      <c r="M12577" s="394" t="str">
        <f t="shared" si="1652"/>
        <v/>
      </c>
      <c r="N12577" s="273"/>
    </row>
    <row r="12578" spans="1:14" ht="12.75" customHeight="1" x14ac:dyDescent="0.25">
      <c r="A12578" s="309"/>
      <c r="B12578" s="271"/>
      <c r="C12578" s="271"/>
      <c r="D12578" s="271"/>
      <c r="E12578" s="271"/>
      <c r="F12578" s="271"/>
      <c r="G12578" s="273"/>
      <c r="H12578" s="29" t="str">
        <f t="shared" si="1650"/>
        <v/>
      </c>
      <c r="I12578" s="394" t="str">
        <f t="shared" si="1651"/>
        <v/>
      </c>
      <c r="J12578" s="273"/>
      <c r="K12578" s="393"/>
      <c r="L12578" s="273"/>
      <c r="M12578" s="394" t="str">
        <f t="shared" si="1652"/>
        <v/>
      </c>
      <c r="N12578" s="273"/>
    </row>
    <row r="12579" spans="1:14" ht="12.75" customHeight="1" x14ac:dyDescent="0.25">
      <c r="A12579" s="309"/>
      <c r="B12579" s="271"/>
      <c r="C12579" s="271"/>
      <c r="D12579" s="271"/>
      <c r="E12579" s="271"/>
      <c r="F12579" s="271"/>
      <c r="G12579" s="273"/>
      <c r="H12579" s="29" t="str">
        <f t="shared" si="1650"/>
        <v/>
      </c>
      <c r="I12579" s="394" t="str">
        <f t="shared" si="1651"/>
        <v/>
      </c>
      <c r="J12579" s="273"/>
      <c r="K12579" s="393"/>
      <c r="L12579" s="273"/>
      <c r="M12579" s="394" t="str">
        <f t="shared" si="1652"/>
        <v/>
      </c>
      <c r="N12579" s="273"/>
    </row>
    <row r="12580" spans="1:14" ht="12.75" customHeight="1" x14ac:dyDescent="0.25">
      <c r="A12580" s="309"/>
      <c r="B12580" s="271"/>
      <c r="C12580" s="271"/>
      <c r="D12580" s="271"/>
      <c r="E12580" s="271"/>
      <c r="F12580" s="271"/>
      <c r="G12580" s="273"/>
      <c r="H12580" s="29" t="str">
        <f t="shared" si="1650"/>
        <v/>
      </c>
      <c r="I12580" s="394" t="str">
        <f t="shared" si="1651"/>
        <v/>
      </c>
      <c r="J12580" s="273"/>
      <c r="K12580" s="393"/>
      <c r="L12580" s="273"/>
      <c r="M12580" s="394" t="str">
        <f t="shared" si="1652"/>
        <v/>
      </c>
      <c r="N12580" s="273"/>
    </row>
    <row r="12581" spans="1:14" ht="12.75" customHeight="1" x14ac:dyDescent="0.25">
      <c r="A12581" s="309"/>
      <c r="B12581" s="271"/>
      <c r="C12581" s="271"/>
      <c r="D12581" s="271"/>
      <c r="E12581" s="271"/>
      <c r="F12581" s="271"/>
      <c r="G12581" s="273"/>
      <c r="H12581" s="29" t="str">
        <f t="shared" si="1650"/>
        <v/>
      </c>
      <c r="I12581" s="394" t="str">
        <f t="shared" si="1651"/>
        <v/>
      </c>
      <c r="J12581" s="273"/>
      <c r="K12581" s="393"/>
      <c r="L12581" s="273"/>
      <c r="M12581" s="394" t="str">
        <f t="shared" si="1652"/>
        <v/>
      </c>
      <c r="N12581" s="273"/>
    </row>
    <row r="12582" spans="1:14" ht="12.75" customHeight="1" x14ac:dyDescent="0.25">
      <c r="A12582" s="309"/>
      <c r="B12582" s="271"/>
      <c r="C12582" s="271"/>
      <c r="D12582" s="271"/>
      <c r="E12582" s="271"/>
      <c r="F12582" s="271"/>
      <c r="G12582" s="273"/>
      <c r="H12582" s="29" t="str">
        <f t="shared" si="1650"/>
        <v/>
      </c>
      <c r="I12582" s="394" t="str">
        <f t="shared" si="1651"/>
        <v/>
      </c>
      <c r="J12582" s="273"/>
      <c r="K12582" s="393"/>
      <c r="L12582" s="273"/>
      <c r="M12582" s="394" t="str">
        <f t="shared" si="1652"/>
        <v/>
      </c>
      <c r="N12582" s="273"/>
    </row>
    <row r="12583" spans="1:14" ht="12.75" customHeight="1" x14ac:dyDescent="0.25">
      <c r="A12583" s="309"/>
      <c r="B12583" s="271"/>
      <c r="C12583" s="271"/>
      <c r="D12583" s="271"/>
      <c r="E12583" s="271"/>
      <c r="F12583" s="271"/>
      <c r="G12583" s="273"/>
      <c r="H12583" s="29" t="str">
        <f t="shared" si="1650"/>
        <v/>
      </c>
      <c r="I12583" s="394" t="str">
        <f t="shared" si="1651"/>
        <v/>
      </c>
      <c r="J12583" s="273"/>
      <c r="K12583" s="393"/>
      <c r="L12583" s="273"/>
      <c r="M12583" s="394" t="str">
        <f t="shared" si="1652"/>
        <v/>
      </c>
      <c r="N12583" s="273"/>
    </row>
    <row r="12584" spans="1:14" ht="12.75" customHeight="1" x14ac:dyDescent="0.25">
      <c r="A12584" s="4"/>
      <c r="B12584" s="4"/>
      <c r="C12584" s="4"/>
      <c r="D12584" s="4"/>
      <c r="E12584" s="4"/>
      <c r="F12584" s="4"/>
      <c r="G12584" s="4"/>
      <c r="H12584" s="4"/>
      <c r="I12584" s="4"/>
      <c r="J12584" s="4"/>
      <c r="K12584" s="396" t="s">
        <v>444</v>
      </c>
      <c r="L12584" s="273"/>
      <c r="M12584" s="394">
        <f>SUM(M12569:N12583)</f>
        <v>40431614</v>
      </c>
      <c r="N12584" s="273"/>
    </row>
    <row r="12585" spans="1:14" ht="12.75" customHeight="1" x14ac:dyDescent="0.25">
      <c r="A12585" s="4"/>
      <c r="B12585" s="4"/>
      <c r="C12585" s="4"/>
      <c r="D12585" s="4"/>
      <c r="E12585" s="4"/>
      <c r="F12585" s="4"/>
      <c r="G12585" s="4"/>
      <c r="H12585" s="4"/>
      <c r="I12585" s="4"/>
      <c r="J12585" s="4"/>
      <c r="K12585" s="4"/>
      <c r="L12585" s="4"/>
      <c r="M12585" s="4"/>
      <c r="N12585" s="4"/>
    </row>
    <row r="12586" spans="1:14" ht="12.75" customHeight="1" x14ac:dyDescent="0.2">
      <c r="A12586" s="398" t="s">
        <v>926</v>
      </c>
      <c r="B12586" s="271"/>
      <c r="C12586" s="271"/>
      <c r="D12586" s="271"/>
      <c r="E12586" s="271"/>
      <c r="F12586" s="271"/>
      <c r="G12586" s="271"/>
      <c r="H12586" s="271"/>
      <c r="I12586" s="271"/>
      <c r="J12586" s="271"/>
      <c r="K12586" s="271"/>
      <c r="L12586" s="271"/>
      <c r="M12586" s="271"/>
      <c r="N12586" s="273"/>
    </row>
    <row r="12587" spans="1:14" ht="12.75" customHeight="1" x14ac:dyDescent="0.2">
      <c r="A12587" s="396" t="s">
        <v>76</v>
      </c>
      <c r="B12587" s="271"/>
      <c r="C12587" s="271"/>
      <c r="D12587" s="271"/>
      <c r="E12587" s="271"/>
      <c r="F12587" s="271"/>
      <c r="G12587" s="273"/>
      <c r="H12587" s="88" t="s">
        <v>77</v>
      </c>
      <c r="I12587" s="399" t="s">
        <v>920</v>
      </c>
      <c r="J12587" s="273"/>
      <c r="K12587" s="399" t="s">
        <v>453</v>
      </c>
      <c r="L12587" s="273"/>
      <c r="M12587" s="399" t="s">
        <v>921</v>
      </c>
      <c r="N12587" s="273"/>
    </row>
    <row r="12588" spans="1:14" ht="12.75" customHeight="1" x14ac:dyDescent="0.2">
      <c r="A12588" s="400" t="s">
        <v>927</v>
      </c>
      <c r="B12588" s="271"/>
      <c r="C12588" s="271"/>
      <c r="D12588" s="271"/>
      <c r="E12588" s="271"/>
      <c r="F12588" s="271"/>
      <c r="G12588" s="273"/>
      <c r="H12588" s="29" t="str">
        <f>IF(A12588="","",VLOOKUP(A12588,AA_Equipos,7,FALSE))</f>
        <v>% M.O.</v>
      </c>
      <c r="I12588" s="394">
        <f>+M12610</f>
        <v>373650</v>
      </c>
      <c r="J12588" s="273"/>
      <c r="K12588" s="404">
        <v>0.05</v>
      </c>
      <c r="L12588" s="273"/>
      <c r="M12588" s="394">
        <f t="shared" ref="M12588:M12592" si="1653">IF(A12588="","",I12588*K12588)</f>
        <v>18682.5</v>
      </c>
      <c r="N12588" s="273"/>
    </row>
    <row r="12589" spans="1:14" ht="12.75" customHeight="1" x14ac:dyDescent="0.2">
      <c r="A12589" s="403"/>
      <c r="B12589" s="271"/>
      <c r="C12589" s="271"/>
      <c r="D12589" s="271"/>
      <c r="E12589" s="271"/>
      <c r="F12589" s="271"/>
      <c r="G12589" s="273"/>
      <c r="H12589" s="29" t="str">
        <f>IF(A12589="","",VLOOKUP(A12589,AA_Equipos,7,FALSE))</f>
        <v/>
      </c>
      <c r="I12589" s="394" t="str">
        <f>IF(A12589="","",VLOOKUP(A12589,AA_Equipos,8,FALSE))</f>
        <v/>
      </c>
      <c r="J12589" s="273"/>
      <c r="K12589" s="402"/>
      <c r="L12589" s="273"/>
      <c r="M12589" s="394" t="str">
        <f t="shared" si="1653"/>
        <v/>
      </c>
      <c r="N12589" s="273"/>
    </row>
    <row r="12590" spans="1:14" ht="12.75" customHeight="1" x14ac:dyDescent="0.2">
      <c r="A12590" s="400"/>
      <c r="B12590" s="271"/>
      <c r="C12590" s="271"/>
      <c r="D12590" s="271"/>
      <c r="E12590" s="271"/>
      <c r="F12590" s="271"/>
      <c r="G12590" s="273"/>
      <c r="H12590" s="29" t="str">
        <f>IF(A12590="","",VLOOKUP(A12590,AA_Equipos,7,FALSE))</f>
        <v/>
      </c>
      <c r="I12590" s="394" t="str">
        <f>IF(A12590="","",VLOOKUP(A12590,AA_Equipos,8,FALSE))</f>
        <v/>
      </c>
      <c r="J12590" s="273"/>
      <c r="K12590" s="401"/>
      <c r="L12590" s="273"/>
      <c r="M12590" s="394" t="str">
        <f t="shared" si="1653"/>
        <v/>
      </c>
      <c r="N12590" s="273"/>
    </row>
    <row r="12591" spans="1:14" ht="12.75" customHeight="1" x14ac:dyDescent="0.2">
      <c r="A12591" s="400"/>
      <c r="B12591" s="271"/>
      <c r="C12591" s="271"/>
      <c r="D12591" s="271"/>
      <c r="E12591" s="271"/>
      <c r="F12591" s="271"/>
      <c r="G12591" s="273"/>
      <c r="H12591" s="29" t="str">
        <f>IF(A12591="","",VLOOKUP(A12591,AA_Equipos,7,FALSE))</f>
        <v/>
      </c>
      <c r="I12591" s="394" t="str">
        <f>IF(A12591="","",VLOOKUP(A12591,AA_Equipos,8,FALSE))</f>
        <v/>
      </c>
      <c r="J12591" s="273"/>
      <c r="K12591" s="395"/>
      <c r="L12591" s="273"/>
      <c r="M12591" s="394" t="str">
        <f t="shared" si="1653"/>
        <v/>
      </c>
      <c r="N12591" s="273"/>
    </row>
    <row r="12592" spans="1:14" ht="12.75" customHeight="1" x14ac:dyDescent="0.2">
      <c r="A12592" s="400"/>
      <c r="B12592" s="271"/>
      <c r="C12592" s="271"/>
      <c r="D12592" s="271"/>
      <c r="E12592" s="271"/>
      <c r="F12592" s="271"/>
      <c r="G12592" s="273"/>
      <c r="H12592" s="29" t="str">
        <f>IF(A12592="","",VLOOKUP(A12592,AA_Equipos,7,FALSE))</f>
        <v/>
      </c>
      <c r="I12592" s="394" t="str">
        <f>IF(A12592="","",VLOOKUP(A12592,AA_Equipos,8,FALSE))</f>
        <v/>
      </c>
      <c r="J12592" s="273"/>
      <c r="K12592" s="395"/>
      <c r="L12592" s="273"/>
      <c r="M12592" s="394" t="str">
        <f t="shared" si="1653"/>
        <v/>
      </c>
      <c r="N12592" s="273"/>
    </row>
    <row r="12593" spans="1:14" ht="12.75" customHeight="1" x14ac:dyDescent="0.25">
      <c r="A12593" s="4"/>
      <c r="B12593" s="4"/>
      <c r="C12593" s="4"/>
      <c r="D12593" s="4"/>
      <c r="E12593" s="4"/>
      <c r="F12593" s="4"/>
      <c r="G12593" s="4"/>
      <c r="H12593" s="4"/>
      <c r="I12593" s="4"/>
      <c r="J12593" s="4"/>
      <c r="K12593" s="396" t="s">
        <v>444</v>
      </c>
      <c r="L12593" s="273"/>
      <c r="M12593" s="394">
        <f>SUM(M12588:N12592)</f>
        <v>18682.5</v>
      </c>
      <c r="N12593" s="273"/>
    </row>
    <row r="12594" spans="1:14" ht="12.75" customHeight="1" x14ac:dyDescent="0.25">
      <c r="A12594" s="4"/>
      <c r="B12594" s="4"/>
      <c r="C12594" s="4"/>
      <c r="D12594" s="4"/>
      <c r="E12594" s="4"/>
      <c r="F12594" s="4"/>
      <c r="G12594" s="4"/>
      <c r="H12594" s="4"/>
      <c r="I12594" s="4"/>
      <c r="J12594" s="4"/>
      <c r="K12594" s="4"/>
      <c r="L12594" s="4"/>
      <c r="M12594" s="4"/>
      <c r="N12594" s="4"/>
    </row>
    <row r="12595" spans="1:14" ht="12.75" customHeight="1" x14ac:dyDescent="0.2">
      <c r="A12595" s="398" t="s">
        <v>929</v>
      </c>
      <c r="B12595" s="271"/>
      <c r="C12595" s="271"/>
      <c r="D12595" s="271"/>
      <c r="E12595" s="271"/>
      <c r="F12595" s="271"/>
      <c r="G12595" s="271"/>
      <c r="H12595" s="271"/>
      <c r="I12595" s="271"/>
      <c r="J12595" s="271"/>
      <c r="K12595" s="271"/>
      <c r="L12595" s="271"/>
      <c r="M12595" s="271"/>
      <c r="N12595" s="273"/>
    </row>
    <row r="12596" spans="1:14" ht="12.75" customHeight="1" x14ac:dyDescent="0.2">
      <c r="A12596" s="396" t="s">
        <v>76</v>
      </c>
      <c r="B12596" s="271"/>
      <c r="C12596" s="271"/>
      <c r="D12596" s="271"/>
      <c r="E12596" s="271"/>
      <c r="F12596" s="271"/>
      <c r="G12596" s="273"/>
      <c r="H12596" s="88" t="s">
        <v>77</v>
      </c>
      <c r="I12596" s="399" t="s">
        <v>920</v>
      </c>
      <c r="J12596" s="273"/>
      <c r="K12596" s="399" t="s">
        <v>453</v>
      </c>
      <c r="L12596" s="273"/>
      <c r="M12596" s="399" t="s">
        <v>921</v>
      </c>
      <c r="N12596" s="273"/>
    </row>
    <row r="12597" spans="1:14" ht="12.75" customHeight="1" x14ac:dyDescent="0.2">
      <c r="A12597" s="400" t="s">
        <v>1559</v>
      </c>
      <c r="B12597" s="271"/>
      <c r="C12597" s="271"/>
      <c r="D12597" s="271"/>
      <c r="E12597" s="271"/>
      <c r="F12597" s="271"/>
      <c r="G12597" s="273"/>
      <c r="H12597" s="29" t="str">
        <f>IF(A12597="","",VLOOKUP(A12597,AA_Equipos,7,FALSE))</f>
        <v>Día</v>
      </c>
      <c r="I12597" s="394">
        <f>IF(A12597="","",VLOOKUP(A12597,AA_Equipos,8,FALSE))</f>
        <v>74400</v>
      </c>
      <c r="J12597" s="273"/>
      <c r="K12597" s="395">
        <v>1</v>
      </c>
      <c r="L12597" s="273"/>
      <c r="M12597" s="394">
        <f t="shared" ref="M12597:M12600" si="1654">IF(A12597="","",I12597*K12597)</f>
        <v>74400</v>
      </c>
      <c r="N12597" s="273"/>
    </row>
    <row r="12598" spans="1:14" ht="12.75" customHeight="1" x14ac:dyDescent="0.2">
      <c r="A12598" s="400"/>
      <c r="B12598" s="271"/>
      <c r="C12598" s="271"/>
      <c r="D12598" s="271"/>
      <c r="E12598" s="271"/>
      <c r="F12598" s="271"/>
      <c r="G12598" s="273"/>
      <c r="H12598" s="29"/>
      <c r="I12598" s="394"/>
      <c r="J12598" s="273"/>
      <c r="K12598" s="395"/>
      <c r="L12598" s="273"/>
      <c r="M12598" s="394" t="str">
        <f t="shared" si="1654"/>
        <v/>
      </c>
      <c r="N12598" s="273"/>
    </row>
    <row r="12599" spans="1:14" ht="12.75" customHeight="1" x14ac:dyDescent="0.2">
      <c r="A12599" s="400"/>
      <c r="B12599" s="271"/>
      <c r="C12599" s="271"/>
      <c r="D12599" s="271"/>
      <c r="E12599" s="271"/>
      <c r="F12599" s="271"/>
      <c r="G12599" s="273"/>
      <c r="H12599" s="29"/>
      <c r="I12599" s="394"/>
      <c r="J12599" s="273"/>
      <c r="K12599" s="395"/>
      <c r="L12599" s="273"/>
      <c r="M12599" s="394" t="str">
        <f t="shared" si="1654"/>
        <v/>
      </c>
      <c r="N12599" s="273"/>
    </row>
    <row r="12600" spans="1:14" ht="12.75" customHeight="1" x14ac:dyDescent="0.2">
      <c r="A12600" s="400"/>
      <c r="B12600" s="271"/>
      <c r="C12600" s="271"/>
      <c r="D12600" s="271"/>
      <c r="E12600" s="271"/>
      <c r="F12600" s="271"/>
      <c r="G12600" s="273"/>
      <c r="H12600" s="29"/>
      <c r="I12600" s="394"/>
      <c r="J12600" s="273"/>
      <c r="K12600" s="395"/>
      <c r="L12600" s="273"/>
      <c r="M12600" s="394" t="str">
        <f t="shared" si="1654"/>
        <v/>
      </c>
      <c r="N12600" s="273"/>
    </row>
    <row r="12601" spans="1:14" ht="12.75" customHeight="1" x14ac:dyDescent="0.25">
      <c r="A12601" s="4"/>
      <c r="B12601" s="4"/>
      <c r="C12601" s="4"/>
      <c r="D12601" s="4"/>
      <c r="E12601" s="4"/>
      <c r="F12601" s="4"/>
      <c r="G12601" s="4"/>
      <c r="H12601" s="4"/>
      <c r="I12601" s="4"/>
      <c r="J12601" s="4"/>
      <c r="K12601" s="396" t="s">
        <v>444</v>
      </c>
      <c r="L12601" s="273"/>
      <c r="M12601" s="394">
        <f>SUM(M12597:N12600)</f>
        <v>74400</v>
      </c>
      <c r="N12601" s="273"/>
    </row>
    <row r="12602" spans="1:14" ht="12.75" customHeight="1" x14ac:dyDescent="0.25">
      <c r="A12602" s="4"/>
      <c r="B12602" s="4"/>
      <c r="C12602" s="4"/>
      <c r="D12602" s="4"/>
      <c r="E12602" s="4"/>
      <c r="F12602" s="4"/>
      <c r="G12602" s="4"/>
      <c r="H12602" s="4"/>
      <c r="I12602" s="4"/>
      <c r="J12602" s="4"/>
      <c r="K12602" s="4"/>
      <c r="L12602" s="4"/>
      <c r="M12602" s="4"/>
      <c r="N12602" s="4"/>
    </row>
    <row r="12603" spans="1:14" ht="12.75" customHeight="1" x14ac:dyDescent="0.2">
      <c r="A12603" s="398" t="s">
        <v>931</v>
      </c>
      <c r="B12603" s="271"/>
      <c r="C12603" s="271"/>
      <c r="D12603" s="271"/>
      <c r="E12603" s="271"/>
      <c r="F12603" s="271"/>
      <c r="G12603" s="271"/>
      <c r="H12603" s="271"/>
      <c r="I12603" s="271"/>
      <c r="J12603" s="271"/>
      <c r="K12603" s="271"/>
      <c r="L12603" s="271"/>
      <c r="M12603" s="271"/>
      <c r="N12603" s="273"/>
    </row>
    <row r="12604" spans="1:14" ht="12.75" customHeight="1" x14ac:dyDescent="0.2">
      <c r="A12604" s="396" t="s">
        <v>76</v>
      </c>
      <c r="B12604" s="271"/>
      <c r="C12604" s="271"/>
      <c r="D12604" s="271"/>
      <c r="E12604" s="271"/>
      <c r="F12604" s="271"/>
      <c r="G12604" s="273"/>
      <c r="H12604" s="88" t="s">
        <v>77</v>
      </c>
      <c r="I12604" s="399" t="s">
        <v>920</v>
      </c>
      <c r="J12604" s="273"/>
      <c r="K12604" s="90" t="s">
        <v>514</v>
      </c>
      <c r="L12604" s="91" t="s">
        <v>932</v>
      </c>
      <c r="M12604" s="399" t="s">
        <v>921</v>
      </c>
      <c r="N12604" s="273"/>
    </row>
    <row r="12605" spans="1:14" ht="12.75" customHeight="1" x14ac:dyDescent="0.25">
      <c r="A12605" s="393" t="s">
        <v>1301</v>
      </c>
      <c r="B12605" s="271"/>
      <c r="C12605" s="271"/>
      <c r="D12605" s="271"/>
      <c r="E12605" s="271"/>
      <c r="F12605" s="271"/>
      <c r="G12605" s="273"/>
      <c r="H12605" s="29" t="str">
        <f>IF(A12605="","",VLOOKUP(A12605,AA_Cuadrillas,4,FALSE))</f>
        <v>Cuadrilla</v>
      </c>
      <c r="I12605" s="394">
        <f>IF(A12605="","",VLOOKUP(A12605,AA_Cuadrillas,5,FALSE))</f>
        <v>132500</v>
      </c>
      <c r="J12605" s="273"/>
      <c r="K12605" s="9">
        <f>IF(A12605="","",F.P!$I$2)</f>
        <v>1.88</v>
      </c>
      <c r="L12605" s="97">
        <v>1.5</v>
      </c>
      <c r="M12605" s="394">
        <f t="shared" ref="M12605:M12609" si="1655">IF(A12605="","",I12605*K12605*L12605)</f>
        <v>373650</v>
      </c>
      <c r="N12605" s="273"/>
    </row>
    <row r="12606" spans="1:14" ht="12.75" customHeight="1" x14ac:dyDescent="0.25">
      <c r="A12606" s="393"/>
      <c r="B12606" s="271"/>
      <c r="C12606" s="271"/>
      <c r="D12606" s="271"/>
      <c r="E12606" s="271"/>
      <c r="F12606" s="271"/>
      <c r="G12606" s="273"/>
      <c r="H12606" s="29" t="str">
        <f>IF(A12606="","",VLOOKUP(A12606,AA_Cuadrillas,4,FALSE))</f>
        <v/>
      </c>
      <c r="I12606" s="394" t="str">
        <f>IF(A12606="","",VLOOKUP(A12606,AA_Cuadrillas,5,FALSE))</f>
        <v/>
      </c>
      <c r="J12606" s="273"/>
      <c r="K12606" s="9" t="str">
        <f>IF(A12606="","",F.P!$I$2)</f>
        <v/>
      </c>
      <c r="L12606" s="9"/>
      <c r="M12606" s="394" t="str">
        <f t="shared" si="1655"/>
        <v/>
      </c>
      <c r="N12606" s="273"/>
    </row>
    <row r="12607" spans="1:14" ht="12.75" customHeight="1" x14ac:dyDescent="0.25">
      <c r="A12607" s="393"/>
      <c r="B12607" s="271"/>
      <c r="C12607" s="271"/>
      <c r="D12607" s="271"/>
      <c r="E12607" s="271"/>
      <c r="F12607" s="271"/>
      <c r="G12607" s="273"/>
      <c r="H12607" s="29" t="str">
        <f>IF(A12607="","",VLOOKUP(A12607,AA_Cuadrillas,4,FALSE))</f>
        <v/>
      </c>
      <c r="I12607" s="394" t="str">
        <f>IF(A12607="","",VLOOKUP(A12607,AA_Cuadrillas,5,FALSE))</f>
        <v/>
      </c>
      <c r="J12607" s="273"/>
      <c r="K12607" s="9" t="str">
        <f>IF(A12607="","",F.P!$I$2)</f>
        <v/>
      </c>
      <c r="L12607" s="37"/>
      <c r="M12607" s="394" t="str">
        <f t="shared" si="1655"/>
        <v/>
      </c>
      <c r="N12607" s="273"/>
    </row>
    <row r="12608" spans="1:14" ht="12.75" customHeight="1" x14ac:dyDescent="0.25">
      <c r="A12608" s="393"/>
      <c r="B12608" s="271"/>
      <c r="C12608" s="271"/>
      <c r="D12608" s="271"/>
      <c r="E12608" s="271"/>
      <c r="F12608" s="271"/>
      <c r="G12608" s="273"/>
      <c r="H12608" s="29" t="str">
        <f>IF(A12608="","",VLOOKUP(A12608,AA_Cuadrillas,4,FALSE))</f>
        <v/>
      </c>
      <c r="I12608" s="394" t="str">
        <f>IF(A12608="","",VLOOKUP(A12608,AA_Cuadrillas,5,FALSE))</f>
        <v/>
      </c>
      <c r="J12608" s="273"/>
      <c r="K12608" s="9" t="str">
        <f>IF(A12608="","",F.P!$I$2)</f>
        <v/>
      </c>
      <c r="L12608" s="97"/>
      <c r="M12608" s="394" t="str">
        <f t="shared" si="1655"/>
        <v/>
      </c>
      <c r="N12608" s="273"/>
    </row>
    <row r="12609" spans="1:14" ht="12.75" customHeight="1" x14ac:dyDescent="0.25">
      <c r="A12609" s="393"/>
      <c r="B12609" s="271"/>
      <c r="C12609" s="271"/>
      <c r="D12609" s="271"/>
      <c r="E12609" s="271"/>
      <c r="F12609" s="271"/>
      <c r="G12609" s="273"/>
      <c r="H12609" s="29" t="str">
        <f>IF(A12609="","",VLOOKUP(A12609,AA_Cuadrillas,4,FALSE))</f>
        <v/>
      </c>
      <c r="I12609" s="394" t="str">
        <f>IF(A12609="","",VLOOKUP(A12609,AA_Cuadrillas,5,FALSE))</f>
        <v/>
      </c>
      <c r="J12609" s="273"/>
      <c r="K12609" s="9" t="str">
        <f>IF(A12609="","",F.P!$I$2)</f>
        <v/>
      </c>
      <c r="L12609" s="37"/>
      <c r="M12609" s="394" t="str">
        <f t="shared" si="1655"/>
        <v/>
      </c>
      <c r="N12609" s="273"/>
    </row>
    <row r="12610" spans="1:14" ht="12.75" customHeight="1" x14ac:dyDescent="0.25">
      <c r="A12610" s="4"/>
      <c r="B12610" s="4"/>
      <c r="C12610" s="4"/>
      <c r="D12610" s="4"/>
      <c r="E12610" s="4"/>
      <c r="F12610" s="4"/>
      <c r="G12610" s="4"/>
      <c r="H12610" s="4"/>
      <c r="I12610" s="4"/>
      <c r="J12610" s="4"/>
      <c r="K12610" s="396" t="s">
        <v>444</v>
      </c>
      <c r="L12610" s="273"/>
      <c r="M12610" s="394">
        <f>SUM(M12605:N12609)</f>
        <v>373650</v>
      </c>
      <c r="N12610" s="273"/>
    </row>
    <row r="12611" spans="1:14" ht="12.75" customHeight="1" x14ac:dyDescent="0.2"/>
    <row r="12612" spans="1:14" ht="12.75" customHeight="1" x14ac:dyDescent="0.2">
      <c r="A12612" s="397" t="s">
        <v>405</v>
      </c>
      <c r="B12612" s="275"/>
      <c r="C12612" s="275"/>
      <c r="D12612" s="275"/>
      <c r="E12612" s="275"/>
      <c r="F12612" s="275"/>
      <c r="G12612" s="275"/>
      <c r="H12612" s="275"/>
      <c r="I12612" s="275"/>
      <c r="J12612" s="275"/>
      <c r="K12612" s="275"/>
      <c r="L12612" s="275"/>
      <c r="M12612" s="275"/>
      <c r="N12612" s="276"/>
    </row>
    <row r="12613" spans="1:14" ht="12.75" customHeight="1" x14ac:dyDescent="0.2">
      <c r="A12613" s="277"/>
      <c r="B12613" s="278"/>
      <c r="C12613" s="278"/>
      <c r="D12613" s="278"/>
      <c r="E12613" s="278"/>
      <c r="F12613" s="278"/>
      <c r="G12613" s="278"/>
      <c r="H12613" s="278"/>
      <c r="I12613" s="278"/>
      <c r="J12613" s="278"/>
      <c r="K12613" s="278"/>
      <c r="L12613" s="278"/>
      <c r="M12613" s="278"/>
      <c r="N12613" s="279"/>
    </row>
    <row r="12614" spans="1:14" ht="12.75" customHeight="1" x14ac:dyDescent="0.2">
      <c r="A12614" s="75"/>
      <c r="B12614" s="75"/>
      <c r="C12614" s="75"/>
      <c r="D12614" s="75"/>
      <c r="E12614" s="75"/>
      <c r="F12614" s="75"/>
      <c r="G12614" s="75"/>
      <c r="H12614" s="75"/>
      <c r="I12614" s="75"/>
      <c r="J12614" s="75"/>
      <c r="K12614" s="75"/>
      <c r="L12614" s="75"/>
      <c r="M12614" s="75"/>
      <c r="N12614" s="75"/>
    </row>
    <row r="12615" spans="1:14" ht="12.75" customHeight="1" x14ac:dyDescent="0.3">
      <c r="A12615" s="79" t="s">
        <v>890</v>
      </c>
      <c r="B12615" s="80" t="str">
        <f>A12612</f>
        <v>TD: SUMINISTRO E INSTALACIÓN DE TABLERO TRIFÁSICO ESPECIAL CON TOTALIZADOR 3X50A - 10KA BARRAJE PRINCIPAL, BREQUES (INCLUYE TRASFORMADOR REDUCTOR, ENCERRAMIENTO METÁLICO, PUERTA Y FRENTE MUERTO</v>
      </c>
      <c r="C12615" s="81" t="s">
        <v>916</v>
      </c>
      <c r="D12615" s="82" t="s">
        <v>999</v>
      </c>
      <c r="E12615" s="83" t="s">
        <v>445</v>
      </c>
      <c r="F12615" s="86">
        <f>H12615+J12615+L12615+N12615</f>
        <v>4244150.5</v>
      </c>
      <c r="G12615" s="83" t="s">
        <v>607</v>
      </c>
      <c r="H12615" s="86">
        <f>M12634</f>
        <v>3777418</v>
      </c>
      <c r="I12615" s="83" t="s">
        <v>918</v>
      </c>
      <c r="J12615" s="86">
        <f>M12643</f>
        <v>18682.5</v>
      </c>
      <c r="K12615" s="83" t="s">
        <v>609</v>
      </c>
      <c r="L12615" s="86">
        <f>M12651</f>
        <v>74400</v>
      </c>
      <c r="M12615" s="83" t="s">
        <v>610</v>
      </c>
      <c r="N12615" s="86">
        <f>M12660</f>
        <v>373650</v>
      </c>
    </row>
    <row r="12616" spans="1:14" ht="12.75" customHeight="1" x14ac:dyDescent="0.25">
      <c r="A12616" s="87"/>
      <c r="B12616" s="87"/>
      <c r="C12616" s="87"/>
      <c r="D12616" s="87"/>
      <c r="E12616" s="87"/>
      <c r="F12616" s="87"/>
      <c r="G12616" s="87"/>
      <c r="H12616" s="12"/>
      <c r="I12616" s="12"/>
      <c r="J12616" s="87"/>
      <c r="K12616" s="215" t="s">
        <v>3217</v>
      </c>
      <c r="L12616" s="215">
        <f>+F12615*presup!$O$5</f>
        <v>5517395.6500000004</v>
      </c>
      <c r="M12616" s="87"/>
      <c r="N12616" s="87"/>
    </row>
    <row r="12617" spans="1:14" ht="12.75" customHeight="1" x14ac:dyDescent="0.2">
      <c r="A12617" s="398" t="s">
        <v>919</v>
      </c>
      <c r="B12617" s="271"/>
      <c r="C12617" s="271"/>
      <c r="D12617" s="271"/>
      <c r="E12617" s="271"/>
      <c r="F12617" s="271"/>
      <c r="G12617" s="271"/>
      <c r="H12617" s="271"/>
      <c r="I12617" s="271"/>
      <c r="J12617" s="271"/>
      <c r="K12617" s="271"/>
      <c r="L12617" s="271"/>
      <c r="M12617" s="271"/>
      <c r="N12617" s="273"/>
    </row>
    <row r="12618" spans="1:14" ht="12.75" customHeight="1" x14ac:dyDescent="0.2">
      <c r="A12618" s="396" t="s">
        <v>76</v>
      </c>
      <c r="B12618" s="271"/>
      <c r="C12618" s="271"/>
      <c r="D12618" s="271"/>
      <c r="E12618" s="271"/>
      <c r="F12618" s="271"/>
      <c r="G12618" s="273"/>
      <c r="H12618" s="88" t="s">
        <v>77</v>
      </c>
      <c r="I12618" s="399" t="s">
        <v>920</v>
      </c>
      <c r="J12618" s="273"/>
      <c r="K12618" s="399" t="s">
        <v>453</v>
      </c>
      <c r="L12618" s="273"/>
      <c r="M12618" s="399" t="s">
        <v>921</v>
      </c>
      <c r="N12618" s="273"/>
    </row>
    <row r="12619" spans="1:14" ht="12.75" customHeight="1" x14ac:dyDescent="0.25">
      <c r="A12619" s="309" t="s">
        <v>1658</v>
      </c>
      <c r="B12619" s="271"/>
      <c r="C12619" s="271"/>
      <c r="D12619" s="271"/>
      <c r="E12619" s="271"/>
      <c r="F12619" s="271"/>
      <c r="G12619" s="273"/>
      <c r="H12619" s="29" t="str">
        <f t="shared" ref="H12619:H12633" si="1656">IF(A12619="","",VLOOKUP(A12619,AA_Materiales,7,FALSE))</f>
        <v>Unidad</v>
      </c>
      <c r="I12619" s="394">
        <f t="shared" ref="I12619:I12633" si="1657">IF(A12619="","",VLOOKUP(A12619,AA_Materiales,8,FALSE))</f>
        <v>1542716</v>
      </c>
      <c r="J12619" s="273"/>
      <c r="K12619" s="393">
        <v>1</v>
      </c>
      <c r="L12619" s="273"/>
      <c r="M12619" s="394">
        <f t="shared" ref="M12619:M12633" si="1658">IF(A12619="","",I12619*K12619)</f>
        <v>1542716</v>
      </c>
      <c r="N12619" s="273"/>
    </row>
    <row r="12620" spans="1:14" ht="12.75" customHeight="1" x14ac:dyDescent="0.25">
      <c r="A12620" s="309" t="s">
        <v>1659</v>
      </c>
      <c r="B12620" s="271"/>
      <c r="C12620" s="271"/>
      <c r="D12620" s="271"/>
      <c r="E12620" s="271"/>
      <c r="F12620" s="271"/>
      <c r="G12620" s="273"/>
      <c r="H12620" s="29" t="str">
        <f t="shared" si="1656"/>
        <v>Unidad</v>
      </c>
      <c r="I12620" s="394">
        <f t="shared" si="1657"/>
        <v>295100</v>
      </c>
      <c r="J12620" s="273"/>
      <c r="K12620" s="393">
        <v>1</v>
      </c>
      <c r="L12620" s="273"/>
      <c r="M12620" s="394">
        <f t="shared" si="1658"/>
        <v>295100</v>
      </c>
      <c r="N12620" s="273"/>
    </row>
    <row r="12621" spans="1:14" ht="12.75" customHeight="1" x14ac:dyDescent="0.25">
      <c r="A12621" s="309" t="s">
        <v>1660</v>
      </c>
      <c r="B12621" s="271"/>
      <c r="C12621" s="271"/>
      <c r="D12621" s="271"/>
      <c r="E12621" s="271"/>
      <c r="F12621" s="271"/>
      <c r="G12621" s="273"/>
      <c r="H12621" s="29" t="str">
        <f t="shared" si="1656"/>
        <v>Unidad</v>
      </c>
      <c r="I12621" s="394">
        <f t="shared" si="1657"/>
        <v>295100</v>
      </c>
      <c r="J12621" s="273"/>
      <c r="K12621" s="393">
        <v>2</v>
      </c>
      <c r="L12621" s="273"/>
      <c r="M12621" s="394">
        <f t="shared" si="1658"/>
        <v>590200</v>
      </c>
      <c r="N12621" s="273"/>
    </row>
    <row r="12622" spans="1:14" ht="12.75" customHeight="1" x14ac:dyDescent="0.25">
      <c r="A12622" s="309" t="s">
        <v>1661</v>
      </c>
      <c r="B12622" s="271"/>
      <c r="C12622" s="271"/>
      <c r="D12622" s="271"/>
      <c r="E12622" s="271"/>
      <c r="F12622" s="271"/>
      <c r="G12622" s="273"/>
      <c r="H12622" s="29" t="str">
        <f t="shared" si="1656"/>
        <v>Unidad</v>
      </c>
      <c r="I12622" s="394">
        <f t="shared" si="1657"/>
        <v>49400</v>
      </c>
      <c r="J12622" s="273"/>
      <c r="K12622" s="393">
        <v>1</v>
      </c>
      <c r="L12622" s="273"/>
      <c r="M12622" s="394">
        <f t="shared" si="1658"/>
        <v>49400</v>
      </c>
      <c r="N12622" s="273"/>
    </row>
    <row r="12623" spans="1:14" ht="12.75" customHeight="1" x14ac:dyDescent="0.25">
      <c r="A12623" s="309" t="s">
        <v>1662</v>
      </c>
      <c r="B12623" s="271"/>
      <c r="C12623" s="271"/>
      <c r="D12623" s="271"/>
      <c r="E12623" s="271"/>
      <c r="F12623" s="271"/>
      <c r="G12623" s="273"/>
      <c r="H12623" s="29" t="str">
        <f t="shared" si="1656"/>
        <v>Unidad</v>
      </c>
      <c r="I12623" s="394">
        <f t="shared" si="1657"/>
        <v>66532</v>
      </c>
      <c r="J12623" s="273"/>
      <c r="K12623" s="393">
        <v>1</v>
      </c>
      <c r="L12623" s="273"/>
      <c r="M12623" s="394">
        <f t="shared" si="1658"/>
        <v>66532</v>
      </c>
      <c r="N12623" s="273"/>
    </row>
    <row r="12624" spans="1:14" ht="12.75" customHeight="1" x14ac:dyDescent="0.25">
      <c r="A12624" s="309" t="s">
        <v>1593</v>
      </c>
      <c r="B12624" s="271"/>
      <c r="C12624" s="271"/>
      <c r="D12624" s="271"/>
      <c r="E12624" s="271"/>
      <c r="F12624" s="271"/>
      <c r="G12624" s="273"/>
      <c r="H12624" s="29" t="str">
        <f t="shared" si="1656"/>
        <v>Unidad</v>
      </c>
      <c r="I12624" s="394">
        <f t="shared" si="1657"/>
        <v>148750</v>
      </c>
      <c r="J12624" s="273"/>
      <c r="K12624" s="393">
        <v>1</v>
      </c>
      <c r="L12624" s="273"/>
      <c r="M12624" s="394">
        <f t="shared" si="1658"/>
        <v>148750</v>
      </c>
      <c r="N12624" s="273"/>
    </row>
    <row r="12625" spans="1:14" ht="12.75" customHeight="1" x14ac:dyDescent="0.25">
      <c r="A12625" s="309" t="s">
        <v>1663</v>
      </c>
      <c r="B12625" s="271"/>
      <c r="C12625" s="271"/>
      <c r="D12625" s="271"/>
      <c r="E12625" s="271"/>
      <c r="F12625" s="271"/>
      <c r="G12625" s="273"/>
      <c r="H12625" s="29" t="str">
        <f t="shared" si="1656"/>
        <v>Unidad</v>
      </c>
      <c r="I12625" s="394">
        <f t="shared" si="1657"/>
        <v>1084720</v>
      </c>
      <c r="J12625" s="273"/>
      <c r="K12625" s="393">
        <v>1</v>
      </c>
      <c r="L12625" s="273"/>
      <c r="M12625" s="394">
        <f t="shared" si="1658"/>
        <v>1084720</v>
      </c>
      <c r="N12625" s="273"/>
    </row>
    <row r="12626" spans="1:14" ht="12.75" customHeight="1" x14ac:dyDescent="0.25">
      <c r="A12626" s="309"/>
      <c r="B12626" s="271"/>
      <c r="C12626" s="271"/>
      <c r="D12626" s="271"/>
      <c r="E12626" s="271"/>
      <c r="F12626" s="271"/>
      <c r="G12626" s="273"/>
      <c r="H12626" s="29" t="str">
        <f t="shared" si="1656"/>
        <v/>
      </c>
      <c r="I12626" s="394" t="str">
        <f t="shared" si="1657"/>
        <v/>
      </c>
      <c r="J12626" s="273"/>
      <c r="K12626" s="393"/>
      <c r="L12626" s="273"/>
      <c r="M12626" s="394" t="str">
        <f t="shared" si="1658"/>
        <v/>
      </c>
      <c r="N12626" s="273"/>
    </row>
    <row r="12627" spans="1:14" ht="12.75" customHeight="1" x14ac:dyDescent="0.25">
      <c r="A12627" s="309"/>
      <c r="B12627" s="271"/>
      <c r="C12627" s="271"/>
      <c r="D12627" s="271"/>
      <c r="E12627" s="271"/>
      <c r="F12627" s="271"/>
      <c r="G12627" s="273"/>
      <c r="H12627" s="29" t="str">
        <f t="shared" si="1656"/>
        <v/>
      </c>
      <c r="I12627" s="394" t="str">
        <f t="shared" si="1657"/>
        <v/>
      </c>
      <c r="J12627" s="273"/>
      <c r="K12627" s="393"/>
      <c r="L12627" s="273"/>
      <c r="M12627" s="394" t="str">
        <f t="shared" si="1658"/>
        <v/>
      </c>
      <c r="N12627" s="273"/>
    </row>
    <row r="12628" spans="1:14" ht="12.75" customHeight="1" x14ac:dyDescent="0.25">
      <c r="A12628" s="309"/>
      <c r="B12628" s="271"/>
      <c r="C12628" s="271"/>
      <c r="D12628" s="271"/>
      <c r="E12628" s="271"/>
      <c r="F12628" s="271"/>
      <c r="G12628" s="273"/>
      <c r="H12628" s="29" t="str">
        <f t="shared" si="1656"/>
        <v/>
      </c>
      <c r="I12628" s="394" t="str">
        <f t="shared" si="1657"/>
        <v/>
      </c>
      <c r="J12628" s="273"/>
      <c r="K12628" s="393"/>
      <c r="L12628" s="273"/>
      <c r="M12628" s="394" t="str">
        <f t="shared" si="1658"/>
        <v/>
      </c>
      <c r="N12628" s="273"/>
    </row>
    <row r="12629" spans="1:14" ht="12.75" customHeight="1" x14ac:dyDescent="0.25">
      <c r="A12629" s="309"/>
      <c r="B12629" s="271"/>
      <c r="C12629" s="271"/>
      <c r="D12629" s="271"/>
      <c r="E12629" s="271"/>
      <c r="F12629" s="271"/>
      <c r="G12629" s="273"/>
      <c r="H12629" s="29" t="str">
        <f t="shared" si="1656"/>
        <v/>
      </c>
      <c r="I12629" s="394" t="str">
        <f t="shared" si="1657"/>
        <v/>
      </c>
      <c r="J12629" s="273"/>
      <c r="K12629" s="393"/>
      <c r="L12629" s="273"/>
      <c r="M12629" s="394" t="str">
        <f t="shared" si="1658"/>
        <v/>
      </c>
      <c r="N12629" s="273"/>
    </row>
    <row r="12630" spans="1:14" ht="12.75" customHeight="1" x14ac:dyDescent="0.25">
      <c r="A12630" s="309"/>
      <c r="B12630" s="271"/>
      <c r="C12630" s="271"/>
      <c r="D12630" s="271"/>
      <c r="E12630" s="271"/>
      <c r="F12630" s="271"/>
      <c r="G12630" s="273"/>
      <c r="H12630" s="29" t="str">
        <f t="shared" si="1656"/>
        <v/>
      </c>
      <c r="I12630" s="394" t="str">
        <f t="shared" si="1657"/>
        <v/>
      </c>
      <c r="J12630" s="273"/>
      <c r="K12630" s="393"/>
      <c r="L12630" s="273"/>
      <c r="M12630" s="394" t="str">
        <f t="shared" si="1658"/>
        <v/>
      </c>
      <c r="N12630" s="273"/>
    </row>
    <row r="12631" spans="1:14" ht="12.75" customHeight="1" x14ac:dyDescent="0.25">
      <c r="A12631" s="309"/>
      <c r="B12631" s="271"/>
      <c r="C12631" s="271"/>
      <c r="D12631" s="271"/>
      <c r="E12631" s="271"/>
      <c r="F12631" s="271"/>
      <c r="G12631" s="273"/>
      <c r="H12631" s="29" t="str">
        <f t="shared" si="1656"/>
        <v/>
      </c>
      <c r="I12631" s="394" t="str">
        <f t="shared" si="1657"/>
        <v/>
      </c>
      <c r="J12631" s="273"/>
      <c r="K12631" s="393"/>
      <c r="L12631" s="273"/>
      <c r="M12631" s="394" t="str">
        <f t="shared" si="1658"/>
        <v/>
      </c>
      <c r="N12631" s="273"/>
    </row>
    <row r="12632" spans="1:14" ht="12.75" customHeight="1" x14ac:dyDescent="0.25">
      <c r="A12632" s="309"/>
      <c r="B12632" s="271"/>
      <c r="C12632" s="271"/>
      <c r="D12632" s="271"/>
      <c r="E12632" s="271"/>
      <c r="F12632" s="271"/>
      <c r="G12632" s="273"/>
      <c r="H12632" s="29" t="str">
        <f t="shared" si="1656"/>
        <v/>
      </c>
      <c r="I12632" s="394" t="str">
        <f t="shared" si="1657"/>
        <v/>
      </c>
      <c r="J12632" s="273"/>
      <c r="K12632" s="393"/>
      <c r="L12632" s="273"/>
      <c r="M12632" s="394" t="str">
        <f t="shared" si="1658"/>
        <v/>
      </c>
      <c r="N12632" s="273"/>
    </row>
    <row r="12633" spans="1:14" ht="12.75" customHeight="1" x14ac:dyDescent="0.25">
      <c r="A12633" s="309"/>
      <c r="B12633" s="271"/>
      <c r="C12633" s="271"/>
      <c r="D12633" s="271"/>
      <c r="E12633" s="271"/>
      <c r="F12633" s="271"/>
      <c r="G12633" s="273"/>
      <c r="H12633" s="29" t="str">
        <f t="shared" si="1656"/>
        <v/>
      </c>
      <c r="I12633" s="394" t="str">
        <f t="shared" si="1657"/>
        <v/>
      </c>
      <c r="J12633" s="273"/>
      <c r="K12633" s="393"/>
      <c r="L12633" s="273"/>
      <c r="M12633" s="394" t="str">
        <f t="shared" si="1658"/>
        <v/>
      </c>
      <c r="N12633" s="273"/>
    </row>
    <row r="12634" spans="1:14" ht="12.75" customHeight="1" x14ac:dyDescent="0.25">
      <c r="A12634" s="4"/>
      <c r="B12634" s="4"/>
      <c r="C12634" s="4"/>
      <c r="D12634" s="4"/>
      <c r="E12634" s="4"/>
      <c r="F12634" s="4"/>
      <c r="G12634" s="4"/>
      <c r="H12634" s="4"/>
      <c r="I12634" s="4"/>
      <c r="J12634" s="4"/>
      <c r="K12634" s="396" t="s">
        <v>444</v>
      </c>
      <c r="L12634" s="273"/>
      <c r="M12634" s="394">
        <f>SUM(M12619:N12633)</f>
        <v>3777418</v>
      </c>
      <c r="N12634" s="273"/>
    </row>
    <row r="12635" spans="1:14" ht="12.75" customHeight="1" x14ac:dyDescent="0.25">
      <c r="A12635" s="4"/>
      <c r="B12635" s="4"/>
      <c r="C12635" s="4"/>
      <c r="D12635" s="4"/>
      <c r="E12635" s="4"/>
      <c r="F12635" s="4"/>
      <c r="G12635" s="4"/>
      <c r="H12635" s="4"/>
      <c r="I12635" s="4"/>
      <c r="J12635" s="4"/>
      <c r="K12635" s="4"/>
      <c r="L12635" s="4"/>
      <c r="M12635" s="4"/>
      <c r="N12635" s="4"/>
    </row>
    <row r="12636" spans="1:14" ht="12.75" customHeight="1" x14ac:dyDescent="0.2">
      <c r="A12636" s="398" t="s">
        <v>926</v>
      </c>
      <c r="B12636" s="271"/>
      <c r="C12636" s="271"/>
      <c r="D12636" s="271"/>
      <c r="E12636" s="271"/>
      <c r="F12636" s="271"/>
      <c r="G12636" s="271"/>
      <c r="H12636" s="271"/>
      <c r="I12636" s="271"/>
      <c r="J12636" s="271"/>
      <c r="K12636" s="271"/>
      <c r="L12636" s="271"/>
      <c r="M12636" s="271"/>
      <c r="N12636" s="273"/>
    </row>
    <row r="12637" spans="1:14" ht="12.75" customHeight="1" x14ac:dyDescent="0.2">
      <c r="A12637" s="396" t="s">
        <v>76</v>
      </c>
      <c r="B12637" s="271"/>
      <c r="C12637" s="271"/>
      <c r="D12637" s="271"/>
      <c r="E12637" s="271"/>
      <c r="F12637" s="271"/>
      <c r="G12637" s="273"/>
      <c r="H12637" s="88" t="s">
        <v>77</v>
      </c>
      <c r="I12637" s="399" t="s">
        <v>920</v>
      </c>
      <c r="J12637" s="273"/>
      <c r="K12637" s="399" t="s">
        <v>453</v>
      </c>
      <c r="L12637" s="273"/>
      <c r="M12637" s="399" t="s">
        <v>921</v>
      </c>
      <c r="N12637" s="273"/>
    </row>
    <row r="12638" spans="1:14" ht="12.75" customHeight="1" x14ac:dyDescent="0.2">
      <c r="A12638" s="400" t="s">
        <v>927</v>
      </c>
      <c r="B12638" s="271"/>
      <c r="C12638" s="271"/>
      <c r="D12638" s="271"/>
      <c r="E12638" s="271"/>
      <c r="F12638" s="271"/>
      <c r="G12638" s="273"/>
      <c r="H12638" s="29" t="str">
        <f>IF(A12638="","",VLOOKUP(A12638,AA_Equipos,7,FALSE))</f>
        <v>% M.O.</v>
      </c>
      <c r="I12638" s="394">
        <f>+M12660</f>
        <v>373650</v>
      </c>
      <c r="J12638" s="273"/>
      <c r="K12638" s="404">
        <v>0.05</v>
      </c>
      <c r="L12638" s="273"/>
      <c r="M12638" s="394">
        <f t="shared" ref="M12638:M12642" si="1659">IF(A12638="","",I12638*K12638)</f>
        <v>18682.5</v>
      </c>
      <c r="N12638" s="273"/>
    </row>
    <row r="12639" spans="1:14" ht="12.75" customHeight="1" x14ac:dyDescent="0.2">
      <c r="A12639" s="403"/>
      <c r="B12639" s="271"/>
      <c r="C12639" s="271"/>
      <c r="D12639" s="271"/>
      <c r="E12639" s="271"/>
      <c r="F12639" s="271"/>
      <c r="G12639" s="273"/>
      <c r="H12639" s="29" t="str">
        <f>IF(A12639="","",VLOOKUP(A12639,AA_Equipos,7,FALSE))</f>
        <v/>
      </c>
      <c r="I12639" s="394" t="str">
        <f>IF(A12639="","",VLOOKUP(A12639,AA_Equipos,8,FALSE))</f>
        <v/>
      </c>
      <c r="J12639" s="273"/>
      <c r="K12639" s="402"/>
      <c r="L12639" s="273"/>
      <c r="M12639" s="394" t="str">
        <f t="shared" si="1659"/>
        <v/>
      </c>
      <c r="N12639" s="273"/>
    </row>
    <row r="12640" spans="1:14" ht="12.75" customHeight="1" x14ac:dyDescent="0.2">
      <c r="A12640" s="400"/>
      <c r="B12640" s="271"/>
      <c r="C12640" s="271"/>
      <c r="D12640" s="271"/>
      <c r="E12640" s="271"/>
      <c r="F12640" s="271"/>
      <c r="G12640" s="273"/>
      <c r="H12640" s="29" t="str">
        <f>IF(A12640="","",VLOOKUP(A12640,AA_Equipos,7,FALSE))</f>
        <v/>
      </c>
      <c r="I12640" s="394" t="str">
        <f>IF(A12640="","",VLOOKUP(A12640,AA_Equipos,8,FALSE))</f>
        <v/>
      </c>
      <c r="J12640" s="273"/>
      <c r="K12640" s="401"/>
      <c r="L12640" s="273"/>
      <c r="M12640" s="394" t="str">
        <f t="shared" si="1659"/>
        <v/>
      </c>
      <c r="N12640" s="273"/>
    </row>
    <row r="12641" spans="1:14" ht="12.75" customHeight="1" x14ac:dyDescent="0.2">
      <c r="A12641" s="400"/>
      <c r="B12641" s="271"/>
      <c r="C12641" s="271"/>
      <c r="D12641" s="271"/>
      <c r="E12641" s="271"/>
      <c r="F12641" s="271"/>
      <c r="G12641" s="273"/>
      <c r="H12641" s="29" t="str">
        <f>IF(A12641="","",VLOOKUP(A12641,AA_Equipos,7,FALSE))</f>
        <v/>
      </c>
      <c r="I12641" s="394" t="str">
        <f>IF(A12641="","",VLOOKUP(A12641,AA_Equipos,8,FALSE))</f>
        <v/>
      </c>
      <c r="J12641" s="273"/>
      <c r="K12641" s="395"/>
      <c r="L12641" s="273"/>
      <c r="M12641" s="394" t="str">
        <f t="shared" si="1659"/>
        <v/>
      </c>
      <c r="N12641" s="273"/>
    </row>
    <row r="12642" spans="1:14" ht="12.75" customHeight="1" x14ac:dyDescent="0.2">
      <c r="A12642" s="400"/>
      <c r="B12642" s="271"/>
      <c r="C12642" s="271"/>
      <c r="D12642" s="271"/>
      <c r="E12642" s="271"/>
      <c r="F12642" s="271"/>
      <c r="G12642" s="273"/>
      <c r="H12642" s="29" t="str">
        <f>IF(A12642="","",VLOOKUP(A12642,AA_Equipos,7,FALSE))</f>
        <v/>
      </c>
      <c r="I12642" s="394" t="str">
        <f>IF(A12642="","",VLOOKUP(A12642,AA_Equipos,8,FALSE))</f>
        <v/>
      </c>
      <c r="J12642" s="273"/>
      <c r="K12642" s="395"/>
      <c r="L12642" s="273"/>
      <c r="M12642" s="394" t="str">
        <f t="shared" si="1659"/>
        <v/>
      </c>
      <c r="N12642" s="273"/>
    </row>
    <row r="12643" spans="1:14" ht="12.75" customHeight="1" x14ac:dyDescent="0.25">
      <c r="A12643" s="4"/>
      <c r="B12643" s="4"/>
      <c r="C12643" s="4"/>
      <c r="D12643" s="4"/>
      <c r="E12643" s="4"/>
      <c r="F12643" s="4"/>
      <c r="G12643" s="4"/>
      <c r="H12643" s="4"/>
      <c r="I12643" s="4"/>
      <c r="J12643" s="4"/>
      <c r="K12643" s="396" t="s">
        <v>444</v>
      </c>
      <c r="L12643" s="273"/>
      <c r="M12643" s="394">
        <f>SUM(M12638:N12642)</f>
        <v>18682.5</v>
      </c>
      <c r="N12643" s="273"/>
    </row>
    <row r="12644" spans="1:14" ht="12.75" customHeight="1" x14ac:dyDescent="0.25">
      <c r="A12644" s="4"/>
      <c r="B12644" s="4"/>
      <c r="C12644" s="4"/>
      <c r="D12644" s="4"/>
      <c r="E12644" s="4"/>
      <c r="F12644" s="4"/>
      <c r="G12644" s="4"/>
      <c r="H12644" s="4"/>
      <c r="I12644" s="4"/>
      <c r="J12644" s="4"/>
      <c r="K12644" s="4"/>
      <c r="L12644" s="4"/>
      <c r="M12644" s="4"/>
      <c r="N12644" s="4"/>
    </row>
    <row r="12645" spans="1:14" ht="12.75" customHeight="1" x14ac:dyDescent="0.2">
      <c r="A12645" s="398" t="s">
        <v>929</v>
      </c>
      <c r="B12645" s="271"/>
      <c r="C12645" s="271"/>
      <c r="D12645" s="271"/>
      <c r="E12645" s="271"/>
      <c r="F12645" s="271"/>
      <c r="G12645" s="271"/>
      <c r="H12645" s="271"/>
      <c r="I12645" s="271"/>
      <c r="J12645" s="271"/>
      <c r="K12645" s="271"/>
      <c r="L12645" s="271"/>
      <c r="M12645" s="271"/>
      <c r="N12645" s="273"/>
    </row>
    <row r="12646" spans="1:14" ht="12.75" customHeight="1" x14ac:dyDescent="0.2">
      <c r="A12646" s="396" t="s">
        <v>76</v>
      </c>
      <c r="B12646" s="271"/>
      <c r="C12646" s="271"/>
      <c r="D12646" s="271"/>
      <c r="E12646" s="271"/>
      <c r="F12646" s="271"/>
      <c r="G12646" s="273"/>
      <c r="H12646" s="88" t="s">
        <v>77</v>
      </c>
      <c r="I12646" s="399" t="s">
        <v>920</v>
      </c>
      <c r="J12646" s="273"/>
      <c r="K12646" s="399" t="s">
        <v>453</v>
      </c>
      <c r="L12646" s="273"/>
      <c r="M12646" s="399" t="s">
        <v>921</v>
      </c>
      <c r="N12646" s="273"/>
    </row>
    <row r="12647" spans="1:14" ht="12.75" customHeight="1" x14ac:dyDescent="0.2">
      <c r="A12647" s="400" t="s">
        <v>1559</v>
      </c>
      <c r="B12647" s="271"/>
      <c r="C12647" s="271"/>
      <c r="D12647" s="271"/>
      <c r="E12647" s="271"/>
      <c r="F12647" s="271"/>
      <c r="G12647" s="273"/>
      <c r="H12647" s="29" t="str">
        <f>IF(A12647="","",VLOOKUP(A12647,AA_Equipos,7,FALSE))</f>
        <v>Día</v>
      </c>
      <c r="I12647" s="394">
        <f>IF(A12647="","",VLOOKUP(A12647,AA_Equipos,8,FALSE))</f>
        <v>74400</v>
      </c>
      <c r="J12647" s="273"/>
      <c r="K12647" s="395">
        <v>1</v>
      </c>
      <c r="L12647" s="273"/>
      <c r="M12647" s="394">
        <f t="shared" ref="M12647:M12650" si="1660">IF(A12647="","",I12647*K12647)</f>
        <v>74400</v>
      </c>
      <c r="N12647" s="273"/>
    </row>
    <row r="12648" spans="1:14" ht="12.75" customHeight="1" x14ac:dyDescent="0.2">
      <c r="A12648" s="400"/>
      <c r="B12648" s="271"/>
      <c r="C12648" s="271"/>
      <c r="D12648" s="271"/>
      <c r="E12648" s="271"/>
      <c r="F12648" s="271"/>
      <c r="G12648" s="273"/>
      <c r="H12648" s="29"/>
      <c r="I12648" s="394"/>
      <c r="J12648" s="273"/>
      <c r="K12648" s="395"/>
      <c r="L12648" s="273"/>
      <c r="M12648" s="394" t="str">
        <f t="shared" si="1660"/>
        <v/>
      </c>
      <c r="N12648" s="273"/>
    </row>
    <row r="12649" spans="1:14" ht="12.75" customHeight="1" x14ac:dyDescent="0.2">
      <c r="A12649" s="400"/>
      <c r="B12649" s="271"/>
      <c r="C12649" s="271"/>
      <c r="D12649" s="271"/>
      <c r="E12649" s="271"/>
      <c r="F12649" s="271"/>
      <c r="G12649" s="273"/>
      <c r="H12649" s="29"/>
      <c r="I12649" s="394"/>
      <c r="J12649" s="273"/>
      <c r="K12649" s="395"/>
      <c r="L12649" s="273"/>
      <c r="M12649" s="394" t="str">
        <f t="shared" si="1660"/>
        <v/>
      </c>
      <c r="N12649" s="273"/>
    </row>
    <row r="12650" spans="1:14" ht="12.75" customHeight="1" x14ac:dyDescent="0.2">
      <c r="A12650" s="400"/>
      <c r="B12650" s="271"/>
      <c r="C12650" s="271"/>
      <c r="D12650" s="271"/>
      <c r="E12650" s="271"/>
      <c r="F12650" s="271"/>
      <c r="G12650" s="273"/>
      <c r="H12650" s="29"/>
      <c r="I12650" s="394"/>
      <c r="J12650" s="273"/>
      <c r="K12650" s="395"/>
      <c r="L12650" s="273"/>
      <c r="M12650" s="394" t="str">
        <f t="shared" si="1660"/>
        <v/>
      </c>
      <c r="N12650" s="273"/>
    </row>
    <row r="12651" spans="1:14" ht="12.75" customHeight="1" x14ac:dyDescent="0.25">
      <c r="A12651" s="4"/>
      <c r="B12651" s="4"/>
      <c r="C12651" s="4"/>
      <c r="D12651" s="4"/>
      <c r="E12651" s="4"/>
      <c r="F12651" s="4"/>
      <c r="G12651" s="4"/>
      <c r="H12651" s="4"/>
      <c r="I12651" s="4"/>
      <c r="J12651" s="4"/>
      <c r="K12651" s="396" t="s">
        <v>444</v>
      </c>
      <c r="L12651" s="273"/>
      <c r="M12651" s="394">
        <f>SUM(M12647:N12650)</f>
        <v>74400</v>
      </c>
      <c r="N12651" s="273"/>
    </row>
    <row r="12652" spans="1:14" ht="12.75" customHeight="1" x14ac:dyDescent="0.25">
      <c r="A12652" s="4"/>
      <c r="B12652" s="4"/>
      <c r="C12652" s="4"/>
      <c r="D12652" s="4"/>
      <c r="E12652" s="4"/>
      <c r="F12652" s="4"/>
      <c r="G12652" s="4"/>
      <c r="H12652" s="4"/>
      <c r="I12652" s="4"/>
      <c r="J12652" s="4"/>
      <c r="K12652" s="4"/>
      <c r="L12652" s="4"/>
      <c r="M12652" s="4"/>
      <c r="N12652" s="4"/>
    </row>
    <row r="12653" spans="1:14" ht="12.75" customHeight="1" x14ac:dyDescent="0.2">
      <c r="A12653" s="398" t="s">
        <v>931</v>
      </c>
      <c r="B12653" s="271"/>
      <c r="C12653" s="271"/>
      <c r="D12653" s="271"/>
      <c r="E12653" s="271"/>
      <c r="F12653" s="271"/>
      <c r="G12653" s="271"/>
      <c r="H12653" s="271"/>
      <c r="I12653" s="271"/>
      <c r="J12653" s="271"/>
      <c r="K12653" s="271"/>
      <c r="L12653" s="271"/>
      <c r="M12653" s="271"/>
      <c r="N12653" s="273"/>
    </row>
    <row r="12654" spans="1:14" ht="12.75" customHeight="1" x14ac:dyDescent="0.2">
      <c r="A12654" s="396" t="s">
        <v>76</v>
      </c>
      <c r="B12654" s="271"/>
      <c r="C12654" s="271"/>
      <c r="D12654" s="271"/>
      <c r="E12654" s="271"/>
      <c r="F12654" s="271"/>
      <c r="G12654" s="273"/>
      <c r="H12654" s="88" t="s">
        <v>77</v>
      </c>
      <c r="I12654" s="399" t="s">
        <v>920</v>
      </c>
      <c r="J12654" s="273"/>
      <c r="K12654" s="90" t="s">
        <v>514</v>
      </c>
      <c r="L12654" s="91" t="s">
        <v>932</v>
      </c>
      <c r="M12654" s="399" t="s">
        <v>921</v>
      </c>
      <c r="N12654" s="273"/>
    </row>
    <row r="12655" spans="1:14" ht="12.75" customHeight="1" x14ac:dyDescent="0.25">
      <c r="A12655" s="393" t="s">
        <v>1301</v>
      </c>
      <c r="B12655" s="271"/>
      <c r="C12655" s="271"/>
      <c r="D12655" s="271"/>
      <c r="E12655" s="271"/>
      <c r="F12655" s="271"/>
      <c r="G12655" s="273"/>
      <c r="H12655" s="29" t="str">
        <f>IF(A12655="","",VLOOKUP(A12655,AA_Cuadrillas,4,FALSE))</f>
        <v>Cuadrilla</v>
      </c>
      <c r="I12655" s="394">
        <f>IF(A12655="","",VLOOKUP(A12655,AA_Cuadrillas,5,FALSE))</f>
        <v>132500</v>
      </c>
      <c r="J12655" s="273"/>
      <c r="K12655" s="9">
        <f>IF(A12655="","",F.P!$I$2)</f>
        <v>1.88</v>
      </c>
      <c r="L12655" s="97">
        <v>1.5</v>
      </c>
      <c r="M12655" s="394">
        <f t="shared" ref="M12655:M12659" si="1661">IF(A12655="","",I12655*K12655*L12655)</f>
        <v>373650</v>
      </c>
      <c r="N12655" s="273"/>
    </row>
    <row r="12656" spans="1:14" ht="12.75" customHeight="1" x14ac:dyDescent="0.25">
      <c r="A12656" s="393"/>
      <c r="B12656" s="271"/>
      <c r="C12656" s="271"/>
      <c r="D12656" s="271"/>
      <c r="E12656" s="271"/>
      <c r="F12656" s="271"/>
      <c r="G12656" s="273"/>
      <c r="H12656" s="29" t="str">
        <f>IF(A12656="","",VLOOKUP(A12656,AA_Cuadrillas,4,FALSE))</f>
        <v/>
      </c>
      <c r="I12656" s="394" t="str">
        <f>IF(A12656="","",VLOOKUP(A12656,AA_Cuadrillas,5,FALSE))</f>
        <v/>
      </c>
      <c r="J12656" s="273"/>
      <c r="K12656" s="9" t="str">
        <f>IF(A12656="","",F.P!$I$2)</f>
        <v/>
      </c>
      <c r="L12656" s="9"/>
      <c r="M12656" s="394" t="str">
        <f t="shared" si="1661"/>
        <v/>
      </c>
      <c r="N12656" s="273"/>
    </row>
    <row r="12657" spans="1:14" ht="12.75" customHeight="1" x14ac:dyDescent="0.25">
      <c r="A12657" s="393"/>
      <c r="B12657" s="271"/>
      <c r="C12657" s="271"/>
      <c r="D12657" s="271"/>
      <c r="E12657" s="271"/>
      <c r="F12657" s="271"/>
      <c r="G12657" s="273"/>
      <c r="H12657" s="29" t="str">
        <f>IF(A12657="","",VLOOKUP(A12657,AA_Cuadrillas,4,FALSE))</f>
        <v/>
      </c>
      <c r="I12657" s="394" t="str">
        <f>IF(A12657="","",VLOOKUP(A12657,AA_Cuadrillas,5,FALSE))</f>
        <v/>
      </c>
      <c r="J12657" s="273"/>
      <c r="K12657" s="9" t="str">
        <f>IF(A12657="","",F.P!$I$2)</f>
        <v/>
      </c>
      <c r="L12657" s="37"/>
      <c r="M12657" s="394" t="str">
        <f t="shared" si="1661"/>
        <v/>
      </c>
      <c r="N12657" s="273"/>
    </row>
    <row r="12658" spans="1:14" ht="12.75" customHeight="1" x14ac:dyDescent="0.25">
      <c r="A12658" s="393"/>
      <c r="B12658" s="271"/>
      <c r="C12658" s="271"/>
      <c r="D12658" s="271"/>
      <c r="E12658" s="271"/>
      <c r="F12658" s="271"/>
      <c r="G12658" s="273"/>
      <c r="H12658" s="29" t="str">
        <f>IF(A12658="","",VLOOKUP(A12658,AA_Cuadrillas,4,FALSE))</f>
        <v/>
      </c>
      <c r="I12658" s="394" t="str">
        <f>IF(A12658="","",VLOOKUP(A12658,AA_Cuadrillas,5,FALSE))</f>
        <v/>
      </c>
      <c r="J12658" s="273"/>
      <c r="K12658" s="9" t="str">
        <f>IF(A12658="","",F.P!$I$2)</f>
        <v/>
      </c>
      <c r="L12658" s="97"/>
      <c r="M12658" s="394" t="str">
        <f t="shared" si="1661"/>
        <v/>
      </c>
      <c r="N12658" s="273"/>
    </row>
    <row r="12659" spans="1:14" ht="12.75" customHeight="1" x14ac:dyDescent="0.25">
      <c r="A12659" s="393"/>
      <c r="B12659" s="271"/>
      <c r="C12659" s="271"/>
      <c r="D12659" s="271"/>
      <c r="E12659" s="271"/>
      <c r="F12659" s="271"/>
      <c r="G12659" s="273"/>
      <c r="H12659" s="29" t="str">
        <f>IF(A12659="","",VLOOKUP(A12659,AA_Cuadrillas,4,FALSE))</f>
        <v/>
      </c>
      <c r="I12659" s="394" t="str">
        <f>IF(A12659="","",VLOOKUP(A12659,AA_Cuadrillas,5,FALSE))</f>
        <v/>
      </c>
      <c r="J12659" s="273"/>
      <c r="K12659" s="9" t="str">
        <f>IF(A12659="","",F.P!$I$2)</f>
        <v/>
      </c>
      <c r="L12659" s="37"/>
      <c r="M12659" s="394" t="str">
        <f t="shared" si="1661"/>
        <v/>
      </c>
      <c r="N12659" s="273"/>
    </row>
    <row r="12660" spans="1:14" ht="12.75" customHeight="1" x14ac:dyDescent="0.25">
      <c r="A12660" s="4"/>
      <c r="B12660" s="4"/>
      <c r="C12660" s="4"/>
      <c r="D12660" s="4"/>
      <c r="E12660" s="4"/>
      <c r="F12660" s="4"/>
      <c r="G12660" s="4"/>
      <c r="H12660" s="4"/>
      <c r="I12660" s="4"/>
      <c r="J12660" s="4"/>
      <c r="K12660" s="396" t="s">
        <v>444</v>
      </c>
      <c r="L12660" s="273"/>
      <c r="M12660" s="394">
        <f>SUM(M12655:N12659)</f>
        <v>373650</v>
      </c>
      <c r="N12660" s="273"/>
    </row>
    <row r="12661" spans="1:14" ht="12.75" customHeight="1" x14ac:dyDescent="0.2"/>
    <row r="12662" spans="1:14" ht="12.75" customHeight="1" x14ac:dyDescent="0.2">
      <c r="A12662" s="397" t="s">
        <v>406</v>
      </c>
      <c r="B12662" s="275"/>
      <c r="C12662" s="275"/>
      <c r="D12662" s="275"/>
      <c r="E12662" s="275"/>
      <c r="F12662" s="275"/>
      <c r="G12662" s="275"/>
      <c r="H12662" s="275"/>
      <c r="I12662" s="275"/>
      <c r="J12662" s="275"/>
      <c r="K12662" s="275"/>
      <c r="L12662" s="275"/>
      <c r="M12662" s="275"/>
      <c r="N12662" s="276"/>
    </row>
    <row r="12663" spans="1:14" ht="12.75" customHeight="1" x14ac:dyDescent="0.2">
      <c r="A12663" s="277"/>
      <c r="B12663" s="278"/>
      <c r="C12663" s="278"/>
      <c r="D12663" s="278"/>
      <c r="E12663" s="278"/>
      <c r="F12663" s="278"/>
      <c r="G12663" s="278"/>
      <c r="H12663" s="278"/>
      <c r="I12663" s="278"/>
      <c r="J12663" s="278"/>
      <c r="K12663" s="278"/>
      <c r="L12663" s="278"/>
      <c r="M12663" s="278"/>
      <c r="N12663" s="279"/>
    </row>
    <row r="12664" spans="1:14" ht="12.75" customHeight="1" x14ac:dyDescent="0.2">
      <c r="A12664" s="75"/>
      <c r="B12664" s="75"/>
      <c r="C12664" s="75"/>
      <c r="D12664" s="75"/>
      <c r="E12664" s="75"/>
      <c r="F12664" s="75"/>
      <c r="G12664" s="75"/>
      <c r="H12664" s="75"/>
      <c r="I12664" s="75"/>
      <c r="J12664" s="75"/>
      <c r="K12664" s="75"/>
      <c r="L12664" s="75"/>
      <c r="M12664" s="75"/>
      <c r="N12664" s="75"/>
    </row>
    <row r="12665" spans="1:14" ht="12.75" customHeight="1" x14ac:dyDescent="0.3">
      <c r="A12665" s="79" t="s">
        <v>891</v>
      </c>
      <c r="B12665" s="80" t="str">
        <f>A12662</f>
        <v>TGA: SUMINISTRO E INSTALACIÓN DE TABLERO TRIFÁSICO ESPECIAL CON TOTALIZADOR 3X180A - 10KA, BARRAJE PRINCIPAL, BREAKER INDUSTRIAL 3X165A, 3X60A Y 3X70A, ENCERRAMIENTO METÁLICO, PUERTA Y FRENTE MUERTO</v>
      </c>
      <c r="C12665" s="81" t="s">
        <v>916</v>
      </c>
      <c r="D12665" s="82" t="s">
        <v>999</v>
      </c>
      <c r="E12665" s="83" t="s">
        <v>445</v>
      </c>
      <c r="F12665" s="86">
        <f>H12665+J12665+L12665+N12665</f>
        <v>6405760.5</v>
      </c>
      <c r="G12665" s="83" t="s">
        <v>607</v>
      </c>
      <c r="H12665" s="86">
        <f>M12684</f>
        <v>5939028</v>
      </c>
      <c r="I12665" s="83" t="s">
        <v>918</v>
      </c>
      <c r="J12665" s="86">
        <f>M12693</f>
        <v>18682.5</v>
      </c>
      <c r="K12665" s="83" t="s">
        <v>609</v>
      </c>
      <c r="L12665" s="86">
        <f>M12701</f>
        <v>74400</v>
      </c>
      <c r="M12665" s="83" t="s">
        <v>610</v>
      </c>
      <c r="N12665" s="86">
        <f>M12710</f>
        <v>373650</v>
      </c>
    </row>
    <row r="12666" spans="1:14" ht="12.75" customHeight="1" x14ac:dyDescent="0.25">
      <c r="A12666" s="87"/>
      <c r="B12666" s="87"/>
      <c r="C12666" s="87"/>
      <c r="D12666" s="87"/>
      <c r="E12666" s="87"/>
      <c r="F12666" s="87"/>
      <c r="G12666" s="87"/>
      <c r="H12666" s="12"/>
      <c r="I12666" s="12"/>
      <c r="J12666" s="87"/>
      <c r="K12666" s="215" t="s">
        <v>3217</v>
      </c>
      <c r="L12666" s="215">
        <f>+F12665*presup!$O$5</f>
        <v>8327488.6500000004</v>
      </c>
      <c r="M12666" s="87"/>
      <c r="N12666" s="87"/>
    </row>
    <row r="12667" spans="1:14" ht="12.75" customHeight="1" x14ac:dyDescent="0.2">
      <c r="A12667" s="398" t="s">
        <v>919</v>
      </c>
      <c r="B12667" s="271"/>
      <c r="C12667" s="271"/>
      <c r="D12667" s="271"/>
      <c r="E12667" s="271"/>
      <c r="F12667" s="271"/>
      <c r="G12667" s="271"/>
      <c r="H12667" s="271"/>
      <c r="I12667" s="271"/>
      <c r="J12667" s="271"/>
      <c r="K12667" s="271"/>
      <c r="L12667" s="271"/>
      <c r="M12667" s="271"/>
      <c r="N12667" s="273"/>
    </row>
    <row r="12668" spans="1:14" ht="12.75" customHeight="1" x14ac:dyDescent="0.2">
      <c r="A12668" s="396" t="s">
        <v>76</v>
      </c>
      <c r="B12668" s="271"/>
      <c r="C12668" s="271"/>
      <c r="D12668" s="271"/>
      <c r="E12668" s="271"/>
      <c r="F12668" s="271"/>
      <c r="G12668" s="273"/>
      <c r="H12668" s="88" t="s">
        <v>77</v>
      </c>
      <c r="I12668" s="399" t="s">
        <v>920</v>
      </c>
      <c r="J12668" s="273"/>
      <c r="K12668" s="399" t="s">
        <v>453</v>
      </c>
      <c r="L12668" s="273"/>
      <c r="M12668" s="399" t="s">
        <v>921</v>
      </c>
      <c r="N12668" s="273"/>
    </row>
    <row r="12669" spans="1:14" ht="12.75" customHeight="1" x14ac:dyDescent="0.25">
      <c r="A12669" s="309" t="s">
        <v>1658</v>
      </c>
      <c r="B12669" s="271"/>
      <c r="C12669" s="271"/>
      <c r="D12669" s="271"/>
      <c r="E12669" s="271"/>
      <c r="F12669" s="271"/>
      <c r="G12669" s="273"/>
      <c r="H12669" s="29" t="str">
        <f t="shared" ref="H12669:H12683" si="1662">IF(A12669="","",VLOOKUP(A12669,AA_Materiales,7,FALSE))</f>
        <v>Unidad</v>
      </c>
      <c r="I12669" s="394">
        <f t="shared" ref="I12669:I12683" si="1663">IF(A12669="","",VLOOKUP(A12669,AA_Materiales,8,FALSE))</f>
        <v>1542716</v>
      </c>
      <c r="J12669" s="273"/>
      <c r="K12669" s="393">
        <v>1</v>
      </c>
      <c r="L12669" s="273"/>
      <c r="M12669" s="394">
        <f t="shared" ref="M12669:M12683" si="1664">IF(A12669="","",I12669*K12669)</f>
        <v>1542716</v>
      </c>
      <c r="N12669" s="273"/>
    </row>
    <row r="12670" spans="1:14" ht="12.75" customHeight="1" x14ac:dyDescent="0.25">
      <c r="A12670" s="309" t="s">
        <v>1664</v>
      </c>
      <c r="B12670" s="271"/>
      <c r="C12670" s="271"/>
      <c r="D12670" s="271"/>
      <c r="E12670" s="271"/>
      <c r="F12670" s="271"/>
      <c r="G12670" s="273"/>
      <c r="H12670" s="29" t="str">
        <f t="shared" si="1662"/>
        <v>Unidad</v>
      </c>
      <c r="I12670" s="394">
        <f t="shared" si="1663"/>
        <v>1114360</v>
      </c>
      <c r="J12670" s="273"/>
      <c r="K12670" s="393">
        <v>1</v>
      </c>
      <c r="L12670" s="273"/>
      <c r="M12670" s="394">
        <f t="shared" si="1664"/>
        <v>1114360</v>
      </c>
      <c r="N12670" s="273"/>
    </row>
    <row r="12671" spans="1:14" ht="12.75" customHeight="1" x14ac:dyDescent="0.25">
      <c r="A12671" s="309" t="s">
        <v>1665</v>
      </c>
      <c r="B12671" s="271"/>
      <c r="C12671" s="271"/>
      <c r="D12671" s="271"/>
      <c r="E12671" s="271"/>
      <c r="F12671" s="271"/>
      <c r="G12671" s="273"/>
      <c r="H12671" s="29" t="str">
        <f t="shared" si="1662"/>
        <v>Unidad</v>
      </c>
      <c r="I12671" s="394">
        <f t="shared" si="1663"/>
        <v>777920</v>
      </c>
      <c r="J12671" s="273"/>
      <c r="K12671" s="393">
        <v>1</v>
      </c>
      <c r="L12671" s="273"/>
      <c r="M12671" s="394">
        <f t="shared" si="1664"/>
        <v>777920</v>
      </c>
      <c r="N12671" s="273"/>
    </row>
    <row r="12672" spans="1:14" ht="12.75" customHeight="1" x14ac:dyDescent="0.25">
      <c r="A12672" s="309" t="s">
        <v>1666</v>
      </c>
      <c r="B12672" s="271"/>
      <c r="C12672" s="271"/>
      <c r="D12672" s="271"/>
      <c r="E12672" s="271"/>
      <c r="F12672" s="271"/>
      <c r="G12672" s="273"/>
      <c r="H12672" s="29" t="str">
        <f t="shared" si="1662"/>
        <v>Unidad</v>
      </c>
      <c r="I12672" s="394">
        <f t="shared" si="1663"/>
        <v>295100</v>
      </c>
      <c r="J12672" s="273"/>
      <c r="K12672" s="393">
        <v>1</v>
      </c>
      <c r="L12672" s="273"/>
      <c r="M12672" s="394">
        <f t="shared" si="1664"/>
        <v>295100</v>
      </c>
      <c r="N12672" s="273"/>
    </row>
    <row r="12673" spans="1:14" ht="12.75" customHeight="1" x14ac:dyDescent="0.25">
      <c r="A12673" s="309" t="s">
        <v>1667</v>
      </c>
      <c r="B12673" s="271"/>
      <c r="C12673" s="271"/>
      <c r="D12673" s="271"/>
      <c r="E12673" s="271"/>
      <c r="F12673" s="271"/>
      <c r="G12673" s="273"/>
      <c r="H12673" s="29" t="str">
        <f t="shared" si="1662"/>
        <v>Unidad</v>
      </c>
      <c r="I12673" s="394">
        <f t="shared" si="1663"/>
        <v>295100</v>
      </c>
      <c r="J12673" s="273"/>
      <c r="K12673" s="393">
        <v>1</v>
      </c>
      <c r="L12673" s="273"/>
      <c r="M12673" s="394">
        <f t="shared" si="1664"/>
        <v>295100</v>
      </c>
      <c r="N12673" s="273"/>
    </row>
    <row r="12674" spans="1:14" ht="12.75" customHeight="1" x14ac:dyDescent="0.25">
      <c r="A12674" s="309" t="s">
        <v>1668</v>
      </c>
      <c r="B12674" s="271"/>
      <c r="C12674" s="271"/>
      <c r="D12674" s="271"/>
      <c r="E12674" s="271"/>
      <c r="F12674" s="271"/>
      <c r="G12674" s="273"/>
      <c r="H12674" s="29" t="str">
        <f t="shared" si="1662"/>
        <v>Unidad</v>
      </c>
      <c r="I12674" s="394">
        <f t="shared" si="1663"/>
        <v>26390</v>
      </c>
      <c r="J12674" s="273"/>
      <c r="K12674" s="393">
        <v>5</v>
      </c>
      <c r="L12674" s="273"/>
      <c r="M12674" s="394">
        <f t="shared" si="1664"/>
        <v>131950</v>
      </c>
      <c r="N12674" s="273"/>
    </row>
    <row r="12675" spans="1:14" ht="12.75" customHeight="1" x14ac:dyDescent="0.25">
      <c r="A12675" s="309" t="s">
        <v>1669</v>
      </c>
      <c r="B12675" s="271"/>
      <c r="C12675" s="271"/>
      <c r="D12675" s="271"/>
      <c r="E12675" s="271"/>
      <c r="F12675" s="271"/>
      <c r="G12675" s="273"/>
      <c r="H12675" s="29" t="str">
        <f t="shared" si="1662"/>
        <v>Unidad</v>
      </c>
      <c r="I12675" s="394">
        <f t="shared" si="1663"/>
        <v>1566600</v>
      </c>
      <c r="J12675" s="273"/>
      <c r="K12675" s="393">
        <v>1</v>
      </c>
      <c r="L12675" s="273"/>
      <c r="M12675" s="394">
        <f t="shared" si="1664"/>
        <v>1566600</v>
      </c>
      <c r="N12675" s="273"/>
    </row>
    <row r="12676" spans="1:14" ht="12.75" customHeight="1" x14ac:dyDescent="0.25">
      <c r="A12676" s="309" t="s">
        <v>1662</v>
      </c>
      <c r="B12676" s="271"/>
      <c r="C12676" s="271"/>
      <c r="D12676" s="271"/>
      <c r="E12676" s="271"/>
      <c r="F12676" s="271"/>
      <c r="G12676" s="273"/>
      <c r="H12676" s="29" t="str">
        <f t="shared" si="1662"/>
        <v>Unidad</v>
      </c>
      <c r="I12676" s="394">
        <f t="shared" si="1663"/>
        <v>66532</v>
      </c>
      <c r="J12676" s="273"/>
      <c r="K12676" s="393">
        <v>1</v>
      </c>
      <c r="L12676" s="273"/>
      <c r="M12676" s="394">
        <f t="shared" si="1664"/>
        <v>66532</v>
      </c>
      <c r="N12676" s="273"/>
    </row>
    <row r="12677" spans="1:14" ht="12.75" customHeight="1" x14ac:dyDescent="0.25">
      <c r="A12677" s="309" t="s">
        <v>1593</v>
      </c>
      <c r="B12677" s="271"/>
      <c r="C12677" s="271"/>
      <c r="D12677" s="271"/>
      <c r="E12677" s="271"/>
      <c r="F12677" s="271"/>
      <c r="G12677" s="273"/>
      <c r="H12677" s="29" t="str">
        <f t="shared" si="1662"/>
        <v>Unidad</v>
      </c>
      <c r="I12677" s="394">
        <f t="shared" si="1663"/>
        <v>148750</v>
      </c>
      <c r="J12677" s="273"/>
      <c r="K12677" s="393">
        <v>1</v>
      </c>
      <c r="L12677" s="273"/>
      <c r="M12677" s="394">
        <f t="shared" si="1664"/>
        <v>148750</v>
      </c>
      <c r="N12677" s="273"/>
    </row>
    <row r="12678" spans="1:14" ht="12.75" customHeight="1" x14ac:dyDescent="0.25">
      <c r="A12678" s="309"/>
      <c r="B12678" s="271"/>
      <c r="C12678" s="271"/>
      <c r="D12678" s="271"/>
      <c r="E12678" s="271"/>
      <c r="F12678" s="271"/>
      <c r="G12678" s="273"/>
      <c r="H12678" s="29" t="str">
        <f t="shared" si="1662"/>
        <v/>
      </c>
      <c r="I12678" s="394" t="str">
        <f t="shared" si="1663"/>
        <v/>
      </c>
      <c r="J12678" s="273"/>
      <c r="K12678" s="393"/>
      <c r="L12678" s="273"/>
      <c r="M12678" s="394" t="str">
        <f t="shared" si="1664"/>
        <v/>
      </c>
      <c r="N12678" s="273"/>
    </row>
    <row r="12679" spans="1:14" ht="12.75" customHeight="1" x14ac:dyDescent="0.25">
      <c r="A12679" s="309"/>
      <c r="B12679" s="271"/>
      <c r="C12679" s="271"/>
      <c r="D12679" s="271"/>
      <c r="E12679" s="271"/>
      <c r="F12679" s="271"/>
      <c r="G12679" s="273"/>
      <c r="H12679" s="29" t="str">
        <f t="shared" si="1662"/>
        <v/>
      </c>
      <c r="I12679" s="394" t="str">
        <f t="shared" si="1663"/>
        <v/>
      </c>
      <c r="J12679" s="273"/>
      <c r="K12679" s="393"/>
      <c r="L12679" s="273"/>
      <c r="M12679" s="394" t="str">
        <f t="shared" si="1664"/>
        <v/>
      </c>
      <c r="N12679" s="273"/>
    </row>
    <row r="12680" spans="1:14" ht="12.75" customHeight="1" x14ac:dyDescent="0.25">
      <c r="A12680" s="309"/>
      <c r="B12680" s="271"/>
      <c r="C12680" s="271"/>
      <c r="D12680" s="271"/>
      <c r="E12680" s="271"/>
      <c r="F12680" s="271"/>
      <c r="G12680" s="273"/>
      <c r="H12680" s="29" t="str">
        <f t="shared" si="1662"/>
        <v/>
      </c>
      <c r="I12680" s="394" t="str">
        <f t="shared" si="1663"/>
        <v/>
      </c>
      <c r="J12680" s="273"/>
      <c r="K12680" s="393"/>
      <c r="L12680" s="273"/>
      <c r="M12680" s="394" t="str">
        <f t="shared" si="1664"/>
        <v/>
      </c>
      <c r="N12680" s="273"/>
    </row>
    <row r="12681" spans="1:14" ht="12.75" customHeight="1" x14ac:dyDescent="0.25">
      <c r="A12681" s="309"/>
      <c r="B12681" s="271"/>
      <c r="C12681" s="271"/>
      <c r="D12681" s="271"/>
      <c r="E12681" s="271"/>
      <c r="F12681" s="271"/>
      <c r="G12681" s="273"/>
      <c r="H12681" s="29" t="str">
        <f t="shared" si="1662"/>
        <v/>
      </c>
      <c r="I12681" s="394" t="str">
        <f t="shared" si="1663"/>
        <v/>
      </c>
      <c r="J12681" s="273"/>
      <c r="K12681" s="393"/>
      <c r="L12681" s="273"/>
      <c r="M12681" s="394" t="str">
        <f t="shared" si="1664"/>
        <v/>
      </c>
      <c r="N12681" s="273"/>
    </row>
    <row r="12682" spans="1:14" ht="12.75" customHeight="1" x14ac:dyDescent="0.25">
      <c r="A12682" s="309"/>
      <c r="B12682" s="271"/>
      <c r="C12682" s="271"/>
      <c r="D12682" s="271"/>
      <c r="E12682" s="271"/>
      <c r="F12682" s="271"/>
      <c r="G12682" s="273"/>
      <c r="H12682" s="29" t="str">
        <f t="shared" si="1662"/>
        <v/>
      </c>
      <c r="I12682" s="394" t="str">
        <f t="shared" si="1663"/>
        <v/>
      </c>
      <c r="J12682" s="273"/>
      <c r="K12682" s="393"/>
      <c r="L12682" s="273"/>
      <c r="M12682" s="394" t="str">
        <f t="shared" si="1664"/>
        <v/>
      </c>
      <c r="N12682" s="273"/>
    </row>
    <row r="12683" spans="1:14" ht="12.75" customHeight="1" x14ac:dyDescent="0.25">
      <c r="A12683" s="309"/>
      <c r="B12683" s="271"/>
      <c r="C12683" s="271"/>
      <c r="D12683" s="271"/>
      <c r="E12683" s="271"/>
      <c r="F12683" s="271"/>
      <c r="G12683" s="273"/>
      <c r="H12683" s="29" t="str">
        <f t="shared" si="1662"/>
        <v/>
      </c>
      <c r="I12683" s="394" t="str">
        <f t="shared" si="1663"/>
        <v/>
      </c>
      <c r="J12683" s="273"/>
      <c r="K12683" s="393"/>
      <c r="L12683" s="273"/>
      <c r="M12683" s="394" t="str">
        <f t="shared" si="1664"/>
        <v/>
      </c>
      <c r="N12683" s="273"/>
    </row>
    <row r="12684" spans="1:14" ht="12.75" customHeight="1" x14ac:dyDescent="0.25">
      <c r="A12684" s="4"/>
      <c r="B12684" s="4"/>
      <c r="C12684" s="4"/>
      <c r="D12684" s="4"/>
      <c r="E12684" s="4"/>
      <c r="F12684" s="4"/>
      <c r="G12684" s="4"/>
      <c r="H12684" s="4"/>
      <c r="I12684" s="4"/>
      <c r="J12684" s="4"/>
      <c r="K12684" s="396" t="s">
        <v>444</v>
      </c>
      <c r="L12684" s="273"/>
      <c r="M12684" s="394">
        <f>SUM(M12669:N12683)</f>
        <v>5939028</v>
      </c>
      <c r="N12684" s="273"/>
    </row>
    <row r="12685" spans="1:14" ht="12.75" customHeight="1" x14ac:dyDescent="0.25">
      <c r="A12685" s="4"/>
      <c r="B12685" s="4"/>
      <c r="C12685" s="4"/>
      <c r="D12685" s="4"/>
      <c r="E12685" s="4"/>
      <c r="F12685" s="4"/>
      <c r="G12685" s="4"/>
      <c r="H12685" s="4"/>
      <c r="I12685" s="4"/>
      <c r="J12685" s="4"/>
      <c r="K12685" s="4"/>
      <c r="L12685" s="4"/>
      <c r="M12685" s="4"/>
      <c r="N12685" s="4"/>
    </row>
    <row r="12686" spans="1:14" ht="12.75" customHeight="1" x14ac:dyDescent="0.2">
      <c r="A12686" s="398" t="s">
        <v>926</v>
      </c>
      <c r="B12686" s="271"/>
      <c r="C12686" s="271"/>
      <c r="D12686" s="271"/>
      <c r="E12686" s="271"/>
      <c r="F12686" s="271"/>
      <c r="G12686" s="271"/>
      <c r="H12686" s="271"/>
      <c r="I12686" s="271"/>
      <c r="J12686" s="271"/>
      <c r="K12686" s="271"/>
      <c r="L12686" s="271"/>
      <c r="M12686" s="271"/>
      <c r="N12686" s="273"/>
    </row>
    <row r="12687" spans="1:14" ht="12.75" customHeight="1" x14ac:dyDescent="0.2">
      <c r="A12687" s="396" t="s">
        <v>76</v>
      </c>
      <c r="B12687" s="271"/>
      <c r="C12687" s="271"/>
      <c r="D12687" s="271"/>
      <c r="E12687" s="271"/>
      <c r="F12687" s="271"/>
      <c r="G12687" s="273"/>
      <c r="H12687" s="88" t="s">
        <v>77</v>
      </c>
      <c r="I12687" s="399" t="s">
        <v>920</v>
      </c>
      <c r="J12687" s="273"/>
      <c r="K12687" s="399" t="s">
        <v>453</v>
      </c>
      <c r="L12687" s="273"/>
      <c r="M12687" s="399" t="s">
        <v>921</v>
      </c>
      <c r="N12687" s="273"/>
    </row>
    <row r="12688" spans="1:14" ht="12.75" customHeight="1" x14ac:dyDescent="0.2">
      <c r="A12688" s="400" t="s">
        <v>927</v>
      </c>
      <c r="B12688" s="271"/>
      <c r="C12688" s="271"/>
      <c r="D12688" s="271"/>
      <c r="E12688" s="271"/>
      <c r="F12688" s="271"/>
      <c r="G12688" s="273"/>
      <c r="H12688" s="29" t="str">
        <f>IF(A12688="","",VLOOKUP(A12688,AA_Equipos,7,FALSE))</f>
        <v>% M.O.</v>
      </c>
      <c r="I12688" s="394">
        <f>+M12710</f>
        <v>373650</v>
      </c>
      <c r="J12688" s="273"/>
      <c r="K12688" s="404">
        <v>0.05</v>
      </c>
      <c r="L12688" s="273"/>
      <c r="M12688" s="394">
        <f t="shared" ref="M12688:M12692" si="1665">IF(A12688="","",I12688*K12688)</f>
        <v>18682.5</v>
      </c>
      <c r="N12688" s="273"/>
    </row>
    <row r="12689" spans="1:14" ht="12.75" customHeight="1" x14ac:dyDescent="0.2">
      <c r="A12689" s="403"/>
      <c r="B12689" s="271"/>
      <c r="C12689" s="271"/>
      <c r="D12689" s="271"/>
      <c r="E12689" s="271"/>
      <c r="F12689" s="271"/>
      <c r="G12689" s="273"/>
      <c r="H12689" s="29" t="str">
        <f>IF(A12689="","",VLOOKUP(A12689,AA_Equipos,7,FALSE))</f>
        <v/>
      </c>
      <c r="I12689" s="394" t="str">
        <f>IF(A12689="","",VLOOKUP(A12689,AA_Equipos,8,FALSE))</f>
        <v/>
      </c>
      <c r="J12689" s="273"/>
      <c r="K12689" s="402"/>
      <c r="L12689" s="273"/>
      <c r="M12689" s="394" t="str">
        <f t="shared" si="1665"/>
        <v/>
      </c>
      <c r="N12689" s="273"/>
    </row>
    <row r="12690" spans="1:14" ht="12.75" customHeight="1" x14ac:dyDescent="0.2">
      <c r="A12690" s="400"/>
      <c r="B12690" s="271"/>
      <c r="C12690" s="271"/>
      <c r="D12690" s="271"/>
      <c r="E12690" s="271"/>
      <c r="F12690" s="271"/>
      <c r="G12690" s="273"/>
      <c r="H12690" s="29" t="str">
        <f>IF(A12690="","",VLOOKUP(A12690,AA_Equipos,7,FALSE))</f>
        <v/>
      </c>
      <c r="I12690" s="394" t="str">
        <f>IF(A12690="","",VLOOKUP(A12690,AA_Equipos,8,FALSE))</f>
        <v/>
      </c>
      <c r="J12690" s="273"/>
      <c r="K12690" s="401"/>
      <c r="L12690" s="273"/>
      <c r="M12690" s="394" t="str">
        <f t="shared" si="1665"/>
        <v/>
      </c>
      <c r="N12690" s="273"/>
    </row>
    <row r="12691" spans="1:14" ht="12.75" customHeight="1" x14ac:dyDescent="0.2">
      <c r="A12691" s="400"/>
      <c r="B12691" s="271"/>
      <c r="C12691" s="271"/>
      <c r="D12691" s="271"/>
      <c r="E12691" s="271"/>
      <c r="F12691" s="271"/>
      <c r="G12691" s="273"/>
      <c r="H12691" s="29" t="str">
        <f>IF(A12691="","",VLOOKUP(A12691,AA_Equipos,7,FALSE))</f>
        <v/>
      </c>
      <c r="I12691" s="394" t="str">
        <f>IF(A12691="","",VLOOKUP(A12691,AA_Equipos,8,FALSE))</f>
        <v/>
      </c>
      <c r="J12691" s="273"/>
      <c r="K12691" s="395"/>
      <c r="L12691" s="273"/>
      <c r="M12691" s="394" t="str">
        <f t="shared" si="1665"/>
        <v/>
      </c>
      <c r="N12691" s="273"/>
    </row>
    <row r="12692" spans="1:14" ht="12.75" customHeight="1" x14ac:dyDescent="0.2">
      <c r="A12692" s="400"/>
      <c r="B12692" s="271"/>
      <c r="C12692" s="271"/>
      <c r="D12692" s="271"/>
      <c r="E12692" s="271"/>
      <c r="F12692" s="271"/>
      <c r="G12692" s="273"/>
      <c r="H12692" s="29" t="str">
        <f>IF(A12692="","",VLOOKUP(A12692,AA_Equipos,7,FALSE))</f>
        <v/>
      </c>
      <c r="I12692" s="394" t="str">
        <f>IF(A12692="","",VLOOKUP(A12692,AA_Equipos,8,FALSE))</f>
        <v/>
      </c>
      <c r="J12692" s="273"/>
      <c r="K12692" s="395"/>
      <c r="L12692" s="273"/>
      <c r="M12692" s="394" t="str">
        <f t="shared" si="1665"/>
        <v/>
      </c>
      <c r="N12692" s="273"/>
    </row>
    <row r="12693" spans="1:14" ht="12.75" customHeight="1" x14ac:dyDescent="0.25">
      <c r="A12693" s="4"/>
      <c r="B12693" s="4"/>
      <c r="C12693" s="4"/>
      <c r="D12693" s="4"/>
      <c r="E12693" s="4"/>
      <c r="F12693" s="4"/>
      <c r="G12693" s="4"/>
      <c r="H12693" s="4"/>
      <c r="I12693" s="4"/>
      <c r="J12693" s="4"/>
      <c r="K12693" s="396" t="s">
        <v>444</v>
      </c>
      <c r="L12693" s="273"/>
      <c r="M12693" s="394">
        <f>SUM(M12688:N12692)</f>
        <v>18682.5</v>
      </c>
      <c r="N12693" s="273"/>
    </row>
    <row r="12694" spans="1:14" ht="12.75" customHeight="1" x14ac:dyDescent="0.25">
      <c r="A12694" s="4"/>
      <c r="B12694" s="4"/>
      <c r="C12694" s="4"/>
      <c r="D12694" s="4"/>
      <c r="E12694" s="4"/>
      <c r="F12694" s="4"/>
      <c r="G12694" s="4"/>
      <c r="H12694" s="4"/>
      <c r="I12694" s="4"/>
      <c r="J12694" s="4"/>
      <c r="K12694" s="4"/>
      <c r="L12694" s="4"/>
      <c r="M12694" s="4"/>
      <c r="N12694" s="4"/>
    </row>
    <row r="12695" spans="1:14" ht="12.75" customHeight="1" x14ac:dyDescent="0.2">
      <c r="A12695" s="398" t="s">
        <v>929</v>
      </c>
      <c r="B12695" s="271"/>
      <c r="C12695" s="271"/>
      <c r="D12695" s="271"/>
      <c r="E12695" s="271"/>
      <c r="F12695" s="271"/>
      <c r="G12695" s="271"/>
      <c r="H12695" s="271"/>
      <c r="I12695" s="271"/>
      <c r="J12695" s="271"/>
      <c r="K12695" s="271"/>
      <c r="L12695" s="271"/>
      <c r="M12695" s="271"/>
      <c r="N12695" s="273"/>
    </row>
    <row r="12696" spans="1:14" ht="12.75" customHeight="1" x14ac:dyDescent="0.2">
      <c r="A12696" s="396" t="s">
        <v>76</v>
      </c>
      <c r="B12696" s="271"/>
      <c r="C12696" s="271"/>
      <c r="D12696" s="271"/>
      <c r="E12696" s="271"/>
      <c r="F12696" s="271"/>
      <c r="G12696" s="273"/>
      <c r="H12696" s="88" t="s">
        <v>77</v>
      </c>
      <c r="I12696" s="399" t="s">
        <v>920</v>
      </c>
      <c r="J12696" s="273"/>
      <c r="K12696" s="399" t="s">
        <v>453</v>
      </c>
      <c r="L12696" s="273"/>
      <c r="M12696" s="399" t="s">
        <v>921</v>
      </c>
      <c r="N12696" s="273"/>
    </row>
    <row r="12697" spans="1:14" ht="12.75" customHeight="1" x14ac:dyDescent="0.2">
      <c r="A12697" s="400" t="s">
        <v>1559</v>
      </c>
      <c r="B12697" s="271"/>
      <c r="C12697" s="271"/>
      <c r="D12697" s="271"/>
      <c r="E12697" s="271"/>
      <c r="F12697" s="271"/>
      <c r="G12697" s="273"/>
      <c r="H12697" s="29" t="str">
        <f>IF(A12697="","",VLOOKUP(A12697,AA_Equipos,7,FALSE))</f>
        <v>Día</v>
      </c>
      <c r="I12697" s="394">
        <f>IF(A12697="","",VLOOKUP(A12697,AA_Equipos,8,FALSE))</f>
        <v>74400</v>
      </c>
      <c r="J12697" s="273"/>
      <c r="K12697" s="395">
        <v>1</v>
      </c>
      <c r="L12697" s="273"/>
      <c r="M12697" s="394">
        <f t="shared" ref="M12697:M12700" si="1666">IF(A12697="","",I12697*K12697)</f>
        <v>74400</v>
      </c>
      <c r="N12697" s="273"/>
    </row>
    <row r="12698" spans="1:14" ht="12.75" customHeight="1" x14ac:dyDescent="0.2">
      <c r="A12698" s="400"/>
      <c r="B12698" s="271"/>
      <c r="C12698" s="271"/>
      <c r="D12698" s="271"/>
      <c r="E12698" s="271"/>
      <c r="F12698" s="271"/>
      <c r="G12698" s="273"/>
      <c r="H12698" s="29"/>
      <c r="I12698" s="394"/>
      <c r="J12698" s="273"/>
      <c r="K12698" s="395"/>
      <c r="L12698" s="273"/>
      <c r="M12698" s="394" t="str">
        <f t="shared" si="1666"/>
        <v/>
      </c>
      <c r="N12698" s="273"/>
    </row>
    <row r="12699" spans="1:14" ht="12.75" customHeight="1" x14ac:dyDescent="0.2">
      <c r="A12699" s="400"/>
      <c r="B12699" s="271"/>
      <c r="C12699" s="271"/>
      <c r="D12699" s="271"/>
      <c r="E12699" s="271"/>
      <c r="F12699" s="271"/>
      <c r="G12699" s="273"/>
      <c r="H12699" s="29"/>
      <c r="I12699" s="394"/>
      <c r="J12699" s="273"/>
      <c r="K12699" s="395"/>
      <c r="L12699" s="273"/>
      <c r="M12699" s="394" t="str">
        <f t="shared" si="1666"/>
        <v/>
      </c>
      <c r="N12699" s="273"/>
    </row>
    <row r="12700" spans="1:14" ht="12.75" customHeight="1" x14ac:dyDescent="0.2">
      <c r="A12700" s="400"/>
      <c r="B12700" s="271"/>
      <c r="C12700" s="271"/>
      <c r="D12700" s="271"/>
      <c r="E12700" s="271"/>
      <c r="F12700" s="271"/>
      <c r="G12700" s="273"/>
      <c r="H12700" s="29"/>
      <c r="I12700" s="394"/>
      <c r="J12700" s="273"/>
      <c r="K12700" s="395"/>
      <c r="L12700" s="273"/>
      <c r="M12700" s="394" t="str">
        <f t="shared" si="1666"/>
        <v/>
      </c>
      <c r="N12700" s="273"/>
    </row>
    <row r="12701" spans="1:14" ht="12.75" customHeight="1" x14ac:dyDescent="0.25">
      <c r="A12701" s="4"/>
      <c r="B12701" s="4"/>
      <c r="C12701" s="4"/>
      <c r="D12701" s="4"/>
      <c r="E12701" s="4"/>
      <c r="F12701" s="4"/>
      <c r="G12701" s="4"/>
      <c r="H12701" s="4"/>
      <c r="I12701" s="4"/>
      <c r="J12701" s="4"/>
      <c r="K12701" s="396" t="s">
        <v>444</v>
      </c>
      <c r="L12701" s="273"/>
      <c r="M12701" s="394">
        <f>SUM(M12697:N12700)</f>
        <v>74400</v>
      </c>
      <c r="N12701" s="273"/>
    </row>
    <row r="12702" spans="1:14" ht="12.75" customHeight="1" x14ac:dyDescent="0.25">
      <c r="A12702" s="4"/>
      <c r="B12702" s="4"/>
      <c r="C12702" s="4"/>
      <c r="D12702" s="4"/>
      <c r="E12702" s="4"/>
      <c r="F12702" s="4"/>
      <c r="G12702" s="4"/>
      <c r="H12702" s="4"/>
      <c r="I12702" s="4"/>
      <c r="J12702" s="4"/>
      <c r="K12702" s="4"/>
      <c r="L12702" s="4"/>
      <c r="M12702" s="4"/>
      <c r="N12702" s="4"/>
    </row>
    <row r="12703" spans="1:14" ht="12.75" customHeight="1" x14ac:dyDescent="0.2">
      <c r="A12703" s="398" t="s">
        <v>931</v>
      </c>
      <c r="B12703" s="271"/>
      <c r="C12703" s="271"/>
      <c r="D12703" s="271"/>
      <c r="E12703" s="271"/>
      <c r="F12703" s="271"/>
      <c r="G12703" s="271"/>
      <c r="H12703" s="271"/>
      <c r="I12703" s="271"/>
      <c r="J12703" s="271"/>
      <c r="K12703" s="271"/>
      <c r="L12703" s="271"/>
      <c r="M12703" s="271"/>
      <c r="N12703" s="273"/>
    </row>
    <row r="12704" spans="1:14" ht="12.75" customHeight="1" x14ac:dyDescent="0.2">
      <c r="A12704" s="396" t="s">
        <v>76</v>
      </c>
      <c r="B12704" s="271"/>
      <c r="C12704" s="271"/>
      <c r="D12704" s="271"/>
      <c r="E12704" s="271"/>
      <c r="F12704" s="271"/>
      <c r="G12704" s="273"/>
      <c r="H12704" s="88" t="s">
        <v>77</v>
      </c>
      <c r="I12704" s="399" t="s">
        <v>920</v>
      </c>
      <c r="J12704" s="273"/>
      <c r="K12704" s="90" t="s">
        <v>514</v>
      </c>
      <c r="L12704" s="91" t="s">
        <v>932</v>
      </c>
      <c r="M12704" s="399" t="s">
        <v>921</v>
      </c>
      <c r="N12704" s="273"/>
    </row>
    <row r="12705" spans="1:15" ht="12.75" customHeight="1" x14ac:dyDescent="0.25">
      <c r="A12705" s="393" t="s">
        <v>1301</v>
      </c>
      <c r="B12705" s="271"/>
      <c r="C12705" s="271"/>
      <c r="D12705" s="271"/>
      <c r="E12705" s="271"/>
      <c r="F12705" s="271"/>
      <c r="G12705" s="273"/>
      <c r="H12705" s="29" t="str">
        <f>IF(A12705="","",VLOOKUP(A12705,AA_Cuadrillas,4,FALSE))</f>
        <v>Cuadrilla</v>
      </c>
      <c r="I12705" s="394">
        <f>IF(A12705="","",VLOOKUP(A12705,AA_Cuadrillas,5,FALSE))</f>
        <v>132500</v>
      </c>
      <c r="J12705" s="273"/>
      <c r="K12705" s="9">
        <f>IF(A12705="","",F.P!$I$2)</f>
        <v>1.88</v>
      </c>
      <c r="L12705" s="97">
        <v>1.5</v>
      </c>
      <c r="M12705" s="394">
        <f t="shared" ref="M12705:M12709" si="1667">IF(A12705="","",I12705*K12705*L12705)</f>
        <v>373650</v>
      </c>
      <c r="N12705" s="273"/>
    </row>
    <row r="12706" spans="1:15" ht="12.75" customHeight="1" x14ac:dyDescent="0.25">
      <c r="A12706" s="393"/>
      <c r="B12706" s="271"/>
      <c r="C12706" s="271"/>
      <c r="D12706" s="271"/>
      <c r="E12706" s="271"/>
      <c r="F12706" s="271"/>
      <c r="G12706" s="273"/>
      <c r="H12706" s="29" t="str">
        <f>IF(A12706="","",VLOOKUP(A12706,AA_Cuadrillas,4,FALSE))</f>
        <v/>
      </c>
      <c r="I12706" s="394" t="str">
        <f>IF(A12706="","",VLOOKUP(A12706,AA_Cuadrillas,5,FALSE))</f>
        <v/>
      </c>
      <c r="J12706" s="273"/>
      <c r="K12706" s="9" t="str">
        <f>IF(A12706="","",F.P!$I$2)</f>
        <v/>
      </c>
      <c r="L12706" s="9"/>
      <c r="M12706" s="394" t="str">
        <f t="shared" si="1667"/>
        <v/>
      </c>
      <c r="N12706" s="273"/>
    </row>
    <row r="12707" spans="1:15" ht="12.75" customHeight="1" x14ac:dyDescent="0.25">
      <c r="A12707" s="393"/>
      <c r="B12707" s="271"/>
      <c r="C12707" s="271"/>
      <c r="D12707" s="271"/>
      <c r="E12707" s="271"/>
      <c r="F12707" s="271"/>
      <c r="G12707" s="273"/>
      <c r="H12707" s="29" t="str">
        <f>IF(A12707="","",VLOOKUP(A12707,AA_Cuadrillas,4,FALSE))</f>
        <v/>
      </c>
      <c r="I12707" s="394" t="str">
        <f>IF(A12707="","",VLOOKUP(A12707,AA_Cuadrillas,5,FALSE))</f>
        <v/>
      </c>
      <c r="J12707" s="273"/>
      <c r="K12707" s="9" t="str">
        <f>IF(A12707="","",F.P!$I$2)</f>
        <v/>
      </c>
      <c r="L12707" s="37"/>
      <c r="M12707" s="394" t="str">
        <f t="shared" si="1667"/>
        <v/>
      </c>
      <c r="N12707" s="273"/>
    </row>
    <row r="12708" spans="1:15" ht="12.75" customHeight="1" x14ac:dyDescent="0.25">
      <c r="A12708" s="393"/>
      <c r="B12708" s="271"/>
      <c r="C12708" s="271"/>
      <c r="D12708" s="271"/>
      <c r="E12708" s="271"/>
      <c r="F12708" s="271"/>
      <c r="G12708" s="273"/>
      <c r="H12708" s="29" t="str">
        <f>IF(A12708="","",VLOOKUP(A12708,AA_Cuadrillas,4,FALSE))</f>
        <v/>
      </c>
      <c r="I12708" s="394" t="str">
        <f>IF(A12708="","",VLOOKUP(A12708,AA_Cuadrillas,5,FALSE))</f>
        <v/>
      </c>
      <c r="J12708" s="273"/>
      <c r="K12708" s="9" t="str">
        <f>IF(A12708="","",F.P!$I$2)</f>
        <v/>
      </c>
      <c r="L12708" s="97"/>
      <c r="M12708" s="394" t="str">
        <f t="shared" si="1667"/>
        <v/>
      </c>
      <c r="N12708" s="273"/>
    </row>
    <row r="12709" spans="1:15" ht="12.75" customHeight="1" x14ac:dyDescent="0.25">
      <c r="A12709" s="393"/>
      <c r="B12709" s="271"/>
      <c r="C12709" s="271"/>
      <c r="D12709" s="271"/>
      <c r="E12709" s="271"/>
      <c r="F12709" s="271"/>
      <c r="G12709" s="273"/>
      <c r="H12709" s="29" t="str">
        <f>IF(A12709="","",VLOOKUP(A12709,AA_Cuadrillas,4,FALSE))</f>
        <v/>
      </c>
      <c r="I12709" s="394" t="str">
        <f>IF(A12709="","",VLOOKUP(A12709,AA_Cuadrillas,5,FALSE))</f>
        <v/>
      </c>
      <c r="J12709" s="273"/>
      <c r="K12709" s="9" t="str">
        <f>IF(A12709="","",F.P!$I$2)</f>
        <v/>
      </c>
      <c r="L12709" s="37"/>
      <c r="M12709" s="394" t="str">
        <f t="shared" si="1667"/>
        <v/>
      </c>
      <c r="N12709" s="273"/>
    </row>
    <row r="12710" spans="1:15" ht="12.75" customHeight="1" x14ac:dyDescent="0.25">
      <c r="A12710" s="4"/>
      <c r="B12710" s="4"/>
      <c r="C12710" s="4"/>
      <c r="D12710" s="4"/>
      <c r="E12710" s="4"/>
      <c r="F12710" s="4"/>
      <c r="G12710" s="4"/>
      <c r="H12710" s="4"/>
      <c r="I12710" s="4"/>
      <c r="J12710" s="4"/>
      <c r="K12710" s="396" t="s">
        <v>444</v>
      </c>
      <c r="L12710" s="273"/>
      <c r="M12710" s="394">
        <f>SUM(M12705:N12709)</f>
        <v>373650</v>
      </c>
      <c r="N12710" s="273"/>
    </row>
    <row r="12711" spans="1:15" ht="12.75" customHeight="1" x14ac:dyDescent="0.2"/>
    <row r="12712" spans="1:15" ht="12.75" customHeight="1" x14ac:dyDescent="0.2">
      <c r="A12712" s="397" t="s">
        <v>408</v>
      </c>
      <c r="B12712" s="275"/>
      <c r="C12712" s="275"/>
      <c r="D12712" s="275"/>
      <c r="E12712" s="275"/>
      <c r="F12712" s="275"/>
      <c r="G12712" s="275"/>
      <c r="H12712" s="275"/>
      <c r="I12712" s="275"/>
      <c r="J12712" s="275"/>
      <c r="K12712" s="275"/>
      <c r="L12712" s="275"/>
      <c r="M12712" s="275"/>
      <c r="N12712" s="276"/>
      <c r="O12712" s="166"/>
    </row>
    <row r="12713" spans="1:15" ht="12.75" customHeight="1" x14ac:dyDescent="0.2">
      <c r="A12713" s="277"/>
      <c r="B12713" s="278"/>
      <c r="C12713" s="278"/>
      <c r="D12713" s="278"/>
      <c r="E12713" s="278"/>
      <c r="F12713" s="278"/>
      <c r="G12713" s="278"/>
      <c r="H12713" s="278"/>
      <c r="I12713" s="278"/>
      <c r="J12713" s="278"/>
      <c r="K12713" s="278"/>
      <c r="L12713" s="278"/>
      <c r="M12713" s="278"/>
      <c r="N12713" s="279"/>
      <c r="O12713" s="166"/>
    </row>
    <row r="12714" spans="1:15" ht="12.75" customHeight="1" x14ac:dyDescent="0.2">
      <c r="A12714" s="75"/>
      <c r="B12714" s="75"/>
      <c r="C12714" s="75"/>
      <c r="D12714" s="75"/>
      <c r="E12714" s="75"/>
      <c r="F12714" s="75"/>
      <c r="G12714" s="75"/>
      <c r="H12714" s="75"/>
      <c r="I12714" s="75"/>
      <c r="J12714" s="75"/>
      <c r="K12714" s="75"/>
      <c r="L12714" s="75"/>
      <c r="M12714" s="75"/>
      <c r="N12714" s="75"/>
    </row>
    <row r="12715" spans="1:15" ht="12.75" customHeight="1" x14ac:dyDescent="0.3">
      <c r="A12715" s="79" t="s">
        <v>892</v>
      </c>
      <c r="B12715" s="80" t="str">
        <f>A12712</f>
        <v>VARILLA CU 5/8"X8' Y TRATAMIENTO DEL TERRENO</v>
      </c>
      <c r="C12715" s="81" t="s">
        <v>916</v>
      </c>
      <c r="D12715" s="82" t="s">
        <v>999</v>
      </c>
      <c r="E12715" s="83" t="s">
        <v>445</v>
      </c>
      <c r="F12715" s="234">
        <f>(H12715+J12715+L12715+N12715)*1.3</f>
        <v>1084375.6377999999</v>
      </c>
      <c r="G12715" s="83" t="s">
        <v>607</v>
      </c>
      <c r="H12715" s="86">
        <f>M12734</f>
        <v>509292.72</v>
      </c>
      <c r="I12715" s="83" t="s">
        <v>918</v>
      </c>
      <c r="J12715" s="86">
        <f>M12743</f>
        <v>12455</v>
      </c>
      <c r="K12715" s="83" t="s">
        <v>609</v>
      </c>
      <c r="L12715" s="86">
        <f>M12751</f>
        <v>63287.385999999999</v>
      </c>
      <c r="M12715" s="83" t="s">
        <v>610</v>
      </c>
      <c r="N12715" s="86">
        <f>M12760</f>
        <v>249100</v>
      </c>
    </row>
    <row r="12716" spans="1:15" ht="12.75" customHeight="1" x14ac:dyDescent="0.25">
      <c r="A12716" s="87"/>
      <c r="B12716" s="87"/>
      <c r="C12716" s="87"/>
      <c r="D12716" s="87"/>
      <c r="E12716" s="87"/>
      <c r="F12716" s="87"/>
      <c r="G12716" s="87"/>
      <c r="H12716" s="12"/>
      <c r="I12716" s="12"/>
      <c r="J12716" s="87"/>
      <c r="K12716" s="215" t="s">
        <v>3217</v>
      </c>
      <c r="L12716" s="215">
        <f>+F12715*presup!$O$5</f>
        <v>1409688.32914</v>
      </c>
      <c r="M12716" s="87"/>
      <c r="N12716" s="87"/>
    </row>
    <row r="12717" spans="1:15" ht="12.75" customHeight="1" x14ac:dyDescent="0.2">
      <c r="A12717" s="398" t="s">
        <v>919</v>
      </c>
      <c r="B12717" s="271"/>
      <c r="C12717" s="271"/>
      <c r="D12717" s="271"/>
      <c r="E12717" s="271"/>
      <c r="F12717" s="271"/>
      <c r="G12717" s="271"/>
      <c r="H12717" s="271"/>
      <c r="I12717" s="271"/>
      <c r="J12717" s="271"/>
      <c r="K12717" s="271"/>
      <c r="L12717" s="271"/>
      <c r="M12717" s="271"/>
      <c r="N12717" s="273"/>
    </row>
    <row r="12718" spans="1:15" ht="12.75" customHeight="1" x14ac:dyDescent="0.2">
      <c r="A12718" s="396" t="s">
        <v>76</v>
      </c>
      <c r="B12718" s="271"/>
      <c r="C12718" s="271"/>
      <c r="D12718" s="271"/>
      <c r="E12718" s="271"/>
      <c r="F12718" s="271"/>
      <c r="G12718" s="273"/>
      <c r="H12718" s="88" t="s">
        <v>77</v>
      </c>
      <c r="I12718" s="399" t="s">
        <v>920</v>
      </c>
      <c r="J12718" s="273"/>
      <c r="K12718" s="399" t="s">
        <v>453</v>
      </c>
      <c r="L12718" s="273"/>
      <c r="M12718" s="399" t="s">
        <v>921</v>
      </c>
      <c r="N12718" s="273"/>
    </row>
    <row r="12719" spans="1:15" ht="12.75" customHeight="1" x14ac:dyDescent="0.25">
      <c r="A12719" s="309" t="s">
        <v>1670</v>
      </c>
      <c r="B12719" s="271"/>
      <c r="C12719" s="271"/>
      <c r="D12719" s="271"/>
      <c r="E12719" s="271"/>
      <c r="F12719" s="271"/>
      <c r="G12719" s="273"/>
      <c r="H12719" s="29" t="str">
        <f t="shared" ref="H12719:H12733" si="1668">IF(A12719="","",VLOOKUP(A12719,AA_Materiales,7,FALSE))</f>
        <v>Unidad</v>
      </c>
      <c r="I12719" s="394">
        <f t="shared" ref="I12719:I12733" si="1669">IF(A12719="","",VLOOKUP(A12719,AA_Materiales,8,FALSE))</f>
        <v>381176</v>
      </c>
      <c r="J12719" s="273"/>
      <c r="K12719" s="393">
        <v>1</v>
      </c>
      <c r="L12719" s="273"/>
      <c r="M12719" s="394">
        <f t="shared" ref="M12719:M12733" si="1670">IF(A12719="","",I12719*K12719)</f>
        <v>381176</v>
      </c>
      <c r="N12719" s="273"/>
    </row>
    <row r="12720" spans="1:15" ht="12.75" customHeight="1" x14ac:dyDescent="0.25">
      <c r="A12720" s="309" t="s">
        <v>1570</v>
      </c>
      <c r="B12720" s="271"/>
      <c r="C12720" s="271"/>
      <c r="D12720" s="271"/>
      <c r="E12720" s="271"/>
      <c r="F12720" s="271"/>
      <c r="G12720" s="273"/>
      <c r="H12720" s="29" t="str">
        <f t="shared" si="1668"/>
        <v>Un</v>
      </c>
      <c r="I12720" s="394">
        <f t="shared" si="1669"/>
        <v>1532.7199999999998</v>
      </c>
      <c r="J12720" s="273"/>
      <c r="K12720" s="393">
        <v>1</v>
      </c>
      <c r="L12720" s="273"/>
      <c r="M12720" s="394">
        <f t="shared" si="1670"/>
        <v>1532.7199999999998</v>
      </c>
      <c r="N12720" s="273"/>
    </row>
    <row r="12721" spans="1:14" ht="12.75" customHeight="1" x14ac:dyDescent="0.25">
      <c r="A12721" s="309" t="s">
        <v>1577</v>
      </c>
      <c r="B12721" s="271"/>
      <c r="C12721" s="271"/>
      <c r="D12721" s="271"/>
      <c r="E12721" s="271"/>
      <c r="F12721" s="271"/>
      <c r="G12721" s="273"/>
      <c r="H12721" s="29" t="str">
        <f t="shared" si="1668"/>
        <v>Un</v>
      </c>
      <c r="I12721" s="394">
        <f t="shared" si="1669"/>
        <v>91000</v>
      </c>
      <c r="J12721" s="273"/>
      <c r="K12721" s="393">
        <v>1</v>
      </c>
      <c r="L12721" s="273"/>
      <c r="M12721" s="394">
        <f t="shared" si="1670"/>
        <v>91000</v>
      </c>
      <c r="N12721" s="273"/>
    </row>
    <row r="12722" spans="1:14" ht="12.75" customHeight="1" x14ac:dyDescent="0.25">
      <c r="A12722" s="309" t="s">
        <v>1671</v>
      </c>
      <c r="B12722" s="271"/>
      <c r="C12722" s="271"/>
      <c r="D12722" s="271"/>
      <c r="E12722" s="271"/>
      <c r="F12722" s="271"/>
      <c r="G12722" s="273"/>
      <c r="H12722" s="29" t="str">
        <f t="shared" si="1668"/>
        <v>m3</v>
      </c>
      <c r="I12722" s="394">
        <f t="shared" si="1669"/>
        <v>35584</v>
      </c>
      <c r="J12722" s="273"/>
      <c r="K12722" s="393">
        <v>1</v>
      </c>
      <c r="L12722" s="273"/>
      <c r="M12722" s="394">
        <f t="shared" si="1670"/>
        <v>35584</v>
      </c>
      <c r="N12722" s="273"/>
    </row>
    <row r="12723" spans="1:14" ht="12.75" customHeight="1" x14ac:dyDescent="0.25">
      <c r="A12723" s="309"/>
      <c r="B12723" s="271"/>
      <c r="C12723" s="271"/>
      <c r="D12723" s="271"/>
      <c r="E12723" s="271"/>
      <c r="F12723" s="271"/>
      <c r="G12723" s="273"/>
      <c r="H12723" s="29" t="str">
        <f t="shared" si="1668"/>
        <v/>
      </c>
      <c r="I12723" s="394" t="str">
        <f t="shared" si="1669"/>
        <v/>
      </c>
      <c r="J12723" s="273"/>
      <c r="K12723" s="393"/>
      <c r="L12723" s="273"/>
      <c r="M12723" s="394" t="str">
        <f t="shared" si="1670"/>
        <v/>
      </c>
      <c r="N12723" s="273"/>
    </row>
    <row r="12724" spans="1:14" ht="12.75" customHeight="1" x14ac:dyDescent="0.25">
      <c r="A12724" s="309"/>
      <c r="B12724" s="271"/>
      <c r="C12724" s="271"/>
      <c r="D12724" s="271"/>
      <c r="E12724" s="271"/>
      <c r="F12724" s="271"/>
      <c r="G12724" s="273"/>
      <c r="H12724" s="29" t="str">
        <f t="shared" si="1668"/>
        <v/>
      </c>
      <c r="I12724" s="394" t="str">
        <f t="shared" si="1669"/>
        <v/>
      </c>
      <c r="J12724" s="273"/>
      <c r="K12724" s="393"/>
      <c r="L12724" s="273"/>
      <c r="M12724" s="394" t="str">
        <f t="shared" si="1670"/>
        <v/>
      </c>
      <c r="N12724" s="273"/>
    </row>
    <row r="12725" spans="1:14" ht="12.75" customHeight="1" x14ac:dyDescent="0.25">
      <c r="A12725" s="309"/>
      <c r="B12725" s="271"/>
      <c r="C12725" s="271"/>
      <c r="D12725" s="271"/>
      <c r="E12725" s="271"/>
      <c r="F12725" s="271"/>
      <c r="G12725" s="273"/>
      <c r="H12725" s="29" t="str">
        <f t="shared" si="1668"/>
        <v/>
      </c>
      <c r="I12725" s="394" t="str">
        <f t="shared" si="1669"/>
        <v/>
      </c>
      <c r="J12725" s="273"/>
      <c r="K12725" s="393"/>
      <c r="L12725" s="273"/>
      <c r="M12725" s="394" t="str">
        <f t="shared" si="1670"/>
        <v/>
      </c>
      <c r="N12725" s="273"/>
    </row>
    <row r="12726" spans="1:14" ht="12.75" customHeight="1" x14ac:dyDescent="0.25">
      <c r="A12726" s="309"/>
      <c r="B12726" s="271"/>
      <c r="C12726" s="271"/>
      <c r="D12726" s="271"/>
      <c r="E12726" s="271"/>
      <c r="F12726" s="271"/>
      <c r="G12726" s="273"/>
      <c r="H12726" s="29" t="str">
        <f t="shared" si="1668"/>
        <v/>
      </c>
      <c r="I12726" s="394" t="str">
        <f t="shared" si="1669"/>
        <v/>
      </c>
      <c r="J12726" s="273"/>
      <c r="K12726" s="393"/>
      <c r="L12726" s="273"/>
      <c r="M12726" s="394" t="str">
        <f t="shared" si="1670"/>
        <v/>
      </c>
      <c r="N12726" s="273"/>
    </row>
    <row r="12727" spans="1:14" ht="12.75" customHeight="1" x14ac:dyDescent="0.25">
      <c r="A12727" s="309"/>
      <c r="B12727" s="271"/>
      <c r="C12727" s="271"/>
      <c r="D12727" s="271"/>
      <c r="E12727" s="271"/>
      <c r="F12727" s="271"/>
      <c r="G12727" s="273"/>
      <c r="H12727" s="29" t="str">
        <f t="shared" si="1668"/>
        <v/>
      </c>
      <c r="I12727" s="394" t="str">
        <f t="shared" si="1669"/>
        <v/>
      </c>
      <c r="J12727" s="273"/>
      <c r="K12727" s="393"/>
      <c r="L12727" s="273"/>
      <c r="M12727" s="394" t="str">
        <f t="shared" si="1670"/>
        <v/>
      </c>
      <c r="N12727" s="273"/>
    </row>
    <row r="12728" spans="1:14" ht="12.75" customHeight="1" x14ac:dyDescent="0.25">
      <c r="A12728" s="309"/>
      <c r="B12728" s="271"/>
      <c r="C12728" s="271"/>
      <c r="D12728" s="271"/>
      <c r="E12728" s="271"/>
      <c r="F12728" s="271"/>
      <c r="G12728" s="273"/>
      <c r="H12728" s="29" t="str">
        <f t="shared" si="1668"/>
        <v/>
      </c>
      <c r="I12728" s="394" t="str">
        <f t="shared" si="1669"/>
        <v/>
      </c>
      <c r="J12728" s="273"/>
      <c r="K12728" s="393"/>
      <c r="L12728" s="273"/>
      <c r="M12728" s="394" t="str">
        <f t="shared" si="1670"/>
        <v/>
      </c>
      <c r="N12728" s="273"/>
    </row>
    <row r="12729" spans="1:14" ht="12.75" customHeight="1" x14ac:dyDescent="0.25">
      <c r="A12729" s="309"/>
      <c r="B12729" s="271"/>
      <c r="C12729" s="271"/>
      <c r="D12729" s="271"/>
      <c r="E12729" s="271"/>
      <c r="F12729" s="271"/>
      <c r="G12729" s="273"/>
      <c r="H12729" s="29" t="str">
        <f t="shared" si="1668"/>
        <v/>
      </c>
      <c r="I12729" s="394" t="str">
        <f t="shared" si="1669"/>
        <v/>
      </c>
      <c r="J12729" s="273"/>
      <c r="K12729" s="393"/>
      <c r="L12729" s="273"/>
      <c r="M12729" s="394" t="str">
        <f t="shared" si="1670"/>
        <v/>
      </c>
      <c r="N12729" s="273"/>
    </row>
    <row r="12730" spans="1:14" ht="12.75" customHeight="1" x14ac:dyDescent="0.25">
      <c r="A12730" s="309"/>
      <c r="B12730" s="271"/>
      <c r="C12730" s="271"/>
      <c r="D12730" s="271"/>
      <c r="E12730" s="271"/>
      <c r="F12730" s="271"/>
      <c r="G12730" s="273"/>
      <c r="H12730" s="29" t="str">
        <f t="shared" si="1668"/>
        <v/>
      </c>
      <c r="I12730" s="394" t="str">
        <f t="shared" si="1669"/>
        <v/>
      </c>
      <c r="J12730" s="273"/>
      <c r="K12730" s="393"/>
      <c r="L12730" s="273"/>
      <c r="M12730" s="394" t="str">
        <f t="shared" si="1670"/>
        <v/>
      </c>
      <c r="N12730" s="273"/>
    </row>
    <row r="12731" spans="1:14" ht="12.75" customHeight="1" x14ac:dyDescent="0.25">
      <c r="A12731" s="309"/>
      <c r="B12731" s="271"/>
      <c r="C12731" s="271"/>
      <c r="D12731" s="271"/>
      <c r="E12731" s="271"/>
      <c r="F12731" s="271"/>
      <c r="G12731" s="273"/>
      <c r="H12731" s="29" t="str">
        <f t="shared" si="1668"/>
        <v/>
      </c>
      <c r="I12731" s="394" t="str">
        <f t="shared" si="1669"/>
        <v/>
      </c>
      <c r="J12731" s="273"/>
      <c r="K12731" s="393"/>
      <c r="L12731" s="273"/>
      <c r="M12731" s="394" t="str">
        <f t="shared" si="1670"/>
        <v/>
      </c>
      <c r="N12731" s="273"/>
    </row>
    <row r="12732" spans="1:14" ht="12.75" customHeight="1" x14ac:dyDescent="0.25">
      <c r="A12732" s="309"/>
      <c r="B12732" s="271"/>
      <c r="C12732" s="271"/>
      <c r="D12732" s="271"/>
      <c r="E12732" s="271"/>
      <c r="F12732" s="271"/>
      <c r="G12732" s="273"/>
      <c r="H12732" s="29" t="str">
        <f t="shared" si="1668"/>
        <v/>
      </c>
      <c r="I12732" s="394" t="str">
        <f t="shared" si="1669"/>
        <v/>
      </c>
      <c r="J12732" s="273"/>
      <c r="K12732" s="393"/>
      <c r="L12732" s="273"/>
      <c r="M12732" s="394" t="str">
        <f t="shared" si="1670"/>
        <v/>
      </c>
      <c r="N12732" s="273"/>
    </row>
    <row r="12733" spans="1:14" ht="12.75" customHeight="1" x14ac:dyDescent="0.25">
      <c r="A12733" s="309"/>
      <c r="B12733" s="271"/>
      <c r="C12733" s="271"/>
      <c r="D12733" s="271"/>
      <c r="E12733" s="271"/>
      <c r="F12733" s="271"/>
      <c r="G12733" s="273"/>
      <c r="H12733" s="29" t="str">
        <f t="shared" si="1668"/>
        <v/>
      </c>
      <c r="I12733" s="394" t="str">
        <f t="shared" si="1669"/>
        <v/>
      </c>
      <c r="J12733" s="273"/>
      <c r="K12733" s="393"/>
      <c r="L12733" s="273"/>
      <c r="M12733" s="394" t="str">
        <f t="shared" si="1670"/>
        <v/>
      </c>
      <c r="N12733" s="273"/>
    </row>
    <row r="12734" spans="1:14" ht="12.75" customHeight="1" x14ac:dyDescent="0.25">
      <c r="A12734" s="4"/>
      <c r="B12734" s="4"/>
      <c r="C12734" s="4"/>
      <c r="D12734" s="4"/>
      <c r="E12734" s="4"/>
      <c r="F12734" s="4"/>
      <c r="G12734" s="4"/>
      <c r="H12734" s="4"/>
      <c r="I12734" s="4"/>
      <c r="J12734" s="4"/>
      <c r="K12734" s="396" t="s">
        <v>444</v>
      </c>
      <c r="L12734" s="273"/>
      <c r="M12734" s="394">
        <f>SUM(M12719:N12733)</f>
        <v>509292.72</v>
      </c>
      <c r="N12734" s="273"/>
    </row>
    <row r="12735" spans="1:14" ht="12.75" customHeight="1" x14ac:dyDescent="0.25">
      <c r="A12735" s="4"/>
      <c r="B12735" s="4"/>
      <c r="C12735" s="4"/>
      <c r="D12735" s="4"/>
      <c r="E12735" s="4"/>
      <c r="F12735" s="4"/>
      <c r="G12735" s="4"/>
      <c r="H12735" s="4"/>
      <c r="I12735" s="4"/>
      <c r="J12735" s="4"/>
      <c r="K12735" s="4"/>
      <c r="L12735" s="4"/>
      <c r="M12735" s="4"/>
      <c r="N12735" s="4"/>
    </row>
    <row r="12736" spans="1:14" ht="12.75" customHeight="1" x14ac:dyDescent="0.2">
      <c r="A12736" s="398" t="s">
        <v>926</v>
      </c>
      <c r="B12736" s="271"/>
      <c r="C12736" s="271"/>
      <c r="D12736" s="271"/>
      <c r="E12736" s="271"/>
      <c r="F12736" s="271"/>
      <c r="G12736" s="271"/>
      <c r="H12736" s="271"/>
      <c r="I12736" s="271"/>
      <c r="J12736" s="271"/>
      <c r="K12736" s="271"/>
      <c r="L12736" s="271"/>
      <c r="M12736" s="271"/>
      <c r="N12736" s="273"/>
    </row>
    <row r="12737" spans="1:14" ht="12.75" customHeight="1" x14ac:dyDescent="0.2">
      <c r="A12737" s="396" t="s">
        <v>76</v>
      </c>
      <c r="B12737" s="271"/>
      <c r="C12737" s="271"/>
      <c r="D12737" s="271"/>
      <c r="E12737" s="271"/>
      <c r="F12737" s="271"/>
      <c r="G12737" s="273"/>
      <c r="H12737" s="88" t="s">
        <v>77</v>
      </c>
      <c r="I12737" s="399" t="s">
        <v>920</v>
      </c>
      <c r="J12737" s="273"/>
      <c r="K12737" s="399" t="s">
        <v>453</v>
      </c>
      <c r="L12737" s="273"/>
      <c r="M12737" s="399" t="s">
        <v>921</v>
      </c>
      <c r="N12737" s="273"/>
    </row>
    <row r="12738" spans="1:14" ht="12.75" customHeight="1" x14ac:dyDescent="0.2">
      <c r="A12738" s="400" t="s">
        <v>927</v>
      </c>
      <c r="B12738" s="271"/>
      <c r="C12738" s="271"/>
      <c r="D12738" s="271"/>
      <c r="E12738" s="271"/>
      <c r="F12738" s="271"/>
      <c r="G12738" s="273"/>
      <c r="H12738" s="29" t="str">
        <f>IF(A12738="","",VLOOKUP(A12738,AA_Equipos,7,FALSE))</f>
        <v>% M.O.</v>
      </c>
      <c r="I12738" s="394">
        <f>+M12760</f>
        <v>249100</v>
      </c>
      <c r="J12738" s="273"/>
      <c r="K12738" s="404">
        <v>0.05</v>
      </c>
      <c r="L12738" s="273"/>
      <c r="M12738" s="394">
        <f t="shared" ref="M12738:M12742" si="1671">IF(A12738="","",I12738*K12738)</f>
        <v>12455</v>
      </c>
      <c r="N12738" s="273"/>
    </row>
    <row r="12739" spans="1:14" ht="12.75" customHeight="1" x14ac:dyDescent="0.2">
      <c r="A12739" s="403"/>
      <c r="B12739" s="271"/>
      <c r="C12739" s="271"/>
      <c r="D12739" s="271"/>
      <c r="E12739" s="271"/>
      <c r="F12739" s="271"/>
      <c r="G12739" s="273"/>
      <c r="H12739" s="29" t="str">
        <f>IF(A12739="","",VLOOKUP(A12739,AA_Equipos,7,FALSE))</f>
        <v/>
      </c>
      <c r="I12739" s="394" t="str">
        <f>IF(A12739="","",VLOOKUP(A12739,AA_Equipos,8,FALSE))</f>
        <v/>
      </c>
      <c r="J12739" s="273"/>
      <c r="K12739" s="402"/>
      <c r="L12739" s="273"/>
      <c r="M12739" s="394" t="str">
        <f t="shared" si="1671"/>
        <v/>
      </c>
      <c r="N12739" s="273"/>
    </row>
    <row r="12740" spans="1:14" ht="12.75" customHeight="1" x14ac:dyDescent="0.2">
      <c r="A12740" s="400"/>
      <c r="B12740" s="271"/>
      <c r="C12740" s="271"/>
      <c r="D12740" s="271"/>
      <c r="E12740" s="271"/>
      <c r="F12740" s="271"/>
      <c r="G12740" s="273"/>
      <c r="H12740" s="29" t="str">
        <f>IF(A12740="","",VLOOKUP(A12740,AA_Equipos,7,FALSE))</f>
        <v/>
      </c>
      <c r="I12740" s="394" t="str">
        <f>IF(A12740="","",VLOOKUP(A12740,AA_Equipos,8,FALSE))</f>
        <v/>
      </c>
      <c r="J12740" s="273"/>
      <c r="K12740" s="401"/>
      <c r="L12740" s="273"/>
      <c r="M12740" s="394" t="str">
        <f t="shared" si="1671"/>
        <v/>
      </c>
      <c r="N12740" s="273"/>
    </row>
    <row r="12741" spans="1:14" ht="12.75" customHeight="1" x14ac:dyDescent="0.2">
      <c r="A12741" s="400"/>
      <c r="B12741" s="271"/>
      <c r="C12741" s="271"/>
      <c r="D12741" s="271"/>
      <c r="E12741" s="271"/>
      <c r="F12741" s="271"/>
      <c r="G12741" s="273"/>
      <c r="H12741" s="29" t="str">
        <f>IF(A12741="","",VLOOKUP(A12741,AA_Equipos,7,FALSE))</f>
        <v/>
      </c>
      <c r="I12741" s="394" t="str">
        <f>IF(A12741="","",VLOOKUP(A12741,AA_Equipos,8,FALSE))</f>
        <v/>
      </c>
      <c r="J12741" s="273"/>
      <c r="K12741" s="395"/>
      <c r="L12741" s="273"/>
      <c r="M12741" s="394" t="str">
        <f t="shared" si="1671"/>
        <v/>
      </c>
      <c r="N12741" s="273"/>
    </row>
    <row r="12742" spans="1:14" ht="12.75" customHeight="1" x14ac:dyDescent="0.2">
      <c r="A12742" s="400"/>
      <c r="B12742" s="271"/>
      <c r="C12742" s="271"/>
      <c r="D12742" s="271"/>
      <c r="E12742" s="271"/>
      <c r="F12742" s="271"/>
      <c r="G12742" s="273"/>
      <c r="H12742" s="29" t="str">
        <f>IF(A12742="","",VLOOKUP(A12742,AA_Equipos,7,FALSE))</f>
        <v/>
      </c>
      <c r="I12742" s="394" t="str">
        <f>IF(A12742="","",VLOOKUP(A12742,AA_Equipos,8,FALSE))</f>
        <v/>
      </c>
      <c r="J12742" s="273"/>
      <c r="K12742" s="395"/>
      <c r="L12742" s="273"/>
      <c r="M12742" s="394" t="str">
        <f t="shared" si="1671"/>
        <v/>
      </c>
      <c r="N12742" s="273"/>
    </row>
    <row r="12743" spans="1:14" ht="12.75" customHeight="1" x14ac:dyDescent="0.25">
      <c r="A12743" s="4"/>
      <c r="B12743" s="4"/>
      <c r="C12743" s="4"/>
      <c r="D12743" s="4"/>
      <c r="E12743" s="4"/>
      <c r="F12743" s="4"/>
      <c r="G12743" s="4"/>
      <c r="H12743" s="4"/>
      <c r="I12743" s="4"/>
      <c r="J12743" s="4"/>
      <c r="K12743" s="396" t="s">
        <v>444</v>
      </c>
      <c r="L12743" s="273"/>
      <c r="M12743" s="394">
        <f>SUM(M12738:N12742)</f>
        <v>12455</v>
      </c>
      <c r="N12743" s="273"/>
    </row>
    <row r="12744" spans="1:14" ht="12.75" customHeight="1" x14ac:dyDescent="0.25">
      <c r="A12744" s="4"/>
      <c r="B12744" s="4"/>
      <c r="C12744" s="4"/>
      <c r="D12744" s="4"/>
      <c r="E12744" s="4"/>
      <c r="F12744" s="4"/>
      <c r="G12744" s="4"/>
      <c r="H12744" s="4"/>
      <c r="I12744" s="4"/>
      <c r="J12744" s="4"/>
      <c r="K12744" s="4"/>
      <c r="L12744" s="4"/>
      <c r="M12744" s="4"/>
      <c r="N12744" s="4"/>
    </row>
    <row r="12745" spans="1:14" ht="12.75" customHeight="1" x14ac:dyDescent="0.2">
      <c r="A12745" s="398" t="s">
        <v>929</v>
      </c>
      <c r="B12745" s="271"/>
      <c r="C12745" s="271"/>
      <c r="D12745" s="271"/>
      <c r="E12745" s="271"/>
      <c r="F12745" s="271"/>
      <c r="G12745" s="271"/>
      <c r="H12745" s="271"/>
      <c r="I12745" s="271"/>
      <c r="J12745" s="271"/>
      <c r="K12745" s="271"/>
      <c r="L12745" s="271"/>
      <c r="M12745" s="271"/>
      <c r="N12745" s="273"/>
    </row>
    <row r="12746" spans="1:14" ht="12.75" customHeight="1" x14ac:dyDescent="0.2">
      <c r="A12746" s="396" t="s">
        <v>76</v>
      </c>
      <c r="B12746" s="271"/>
      <c r="C12746" s="271"/>
      <c r="D12746" s="271"/>
      <c r="E12746" s="271"/>
      <c r="F12746" s="271"/>
      <c r="G12746" s="273"/>
      <c r="H12746" s="88" t="s">
        <v>77</v>
      </c>
      <c r="I12746" s="399" t="s">
        <v>920</v>
      </c>
      <c r="J12746" s="273"/>
      <c r="K12746" s="399" t="s">
        <v>453</v>
      </c>
      <c r="L12746" s="273"/>
      <c r="M12746" s="399" t="s">
        <v>921</v>
      </c>
      <c r="N12746" s="273"/>
    </row>
    <row r="12747" spans="1:14" ht="12.75" customHeight="1" x14ac:dyDescent="0.2">
      <c r="A12747" s="400" t="s">
        <v>1559</v>
      </c>
      <c r="B12747" s="271"/>
      <c r="C12747" s="271"/>
      <c r="D12747" s="271"/>
      <c r="E12747" s="271"/>
      <c r="F12747" s="271"/>
      <c r="G12747" s="273"/>
      <c r="H12747" s="29" t="str">
        <f>IF(A12747="","",VLOOKUP(A12747,AA_Equipos,7,FALSE))</f>
        <v>Día</v>
      </c>
      <c r="I12747" s="394">
        <f>IF(A12747="","",VLOOKUP(A12747,AA_Equipos,8,FALSE))</f>
        <v>74400</v>
      </c>
      <c r="J12747" s="273"/>
      <c r="K12747" s="395">
        <v>0.5</v>
      </c>
      <c r="L12747" s="273"/>
      <c r="M12747" s="394">
        <f t="shared" ref="M12747:M12750" si="1672">IF(A12747="","",I12747*K12747)</f>
        <v>37200</v>
      </c>
      <c r="N12747" s="273"/>
    </row>
    <row r="12748" spans="1:14" ht="12.75" customHeight="1" x14ac:dyDescent="0.2">
      <c r="A12748" s="400" t="s">
        <v>930</v>
      </c>
      <c r="B12748" s="271"/>
      <c r="C12748" s="271"/>
      <c r="D12748" s="271"/>
      <c r="E12748" s="271"/>
      <c r="F12748" s="271"/>
      <c r="G12748" s="273"/>
      <c r="H12748" s="29" t="s">
        <v>24</v>
      </c>
      <c r="I12748" s="394">
        <f>+M12734+M12743</f>
        <v>521747.72</v>
      </c>
      <c r="J12748" s="273"/>
      <c r="K12748" s="405">
        <v>0.05</v>
      </c>
      <c r="L12748" s="406"/>
      <c r="M12748" s="394">
        <f t="shared" si="1672"/>
        <v>26087.385999999999</v>
      </c>
      <c r="N12748" s="273"/>
    </row>
    <row r="12749" spans="1:14" ht="12.75" customHeight="1" x14ac:dyDescent="0.2">
      <c r="A12749" s="400"/>
      <c r="B12749" s="271"/>
      <c r="C12749" s="271"/>
      <c r="D12749" s="271"/>
      <c r="E12749" s="271"/>
      <c r="F12749" s="271"/>
      <c r="G12749" s="273"/>
      <c r="H12749" s="29"/>
      <c r="I12749" s="394"/>
      <c r="J12749" s="273"/>
      <c r="K12749" s="395"/>
      <c r="L12749" s="273"/>
      <c r="M12749" s="394" t="str">
        <f t="shared" si="1672"/>
        <v/>
      </c>
      <c r="N12749" s="273"/>
    </row>
    <row r="12750" spans="1:14" ht="12.75" customHeight="1" x14ac:dyDescent="0.2">
      <c r="A12750" s="400"/>
      <c r="B12750" s="271"/>
      <c r="C12750" s="271"/>
      <c r="D12750" s="271"/>
      <c r="E12750" s="271"/>
      <c r="F12750" s="271"/>
      <c r="G12750" s="273"/>
      <c r="H12750" s="29"/>
      <c r="I12750" s="394"/>
      <c r="J12750" s="273"/>
      <c r="K12750" s="395"/>
      <c r="L12750" s="273"/>
      <c r="M12750" s="394" t="str">
        <f t="shared" si="1672"/>
        <v/>
      </c>
      <c r="N12750" s="273"/>
    </row>
    <row r="12751" spans="1:14" ht="12.75" customHeight="1" x14ac:dyDescent="0.25">
      <c r="A12751" s="4"/>
      <c r="B12751" s="4"/>
      <c r="C12751" s="4"/>
      <c r="D12751" s="4"/>
      <c r="E12751" s="4"/>
      <c r="F12751" s="4"/>
      <c r="G12751" s="4"/>
      <c r="H12751" s="4"/>
      <c r="I12751" s="4"/>
      <c r="J12751" s="4"/>
      <c r="K12751" s="396" t="s">
        <v>444</v>
      </c>
      <c r="L12751" s="273"/>
      <c r="M12751" s="394">
        <f>SUM(M12747:N12750)</f>
        <v>63287.385999999999</v>
      </c>
      <c r="N12751" s="273"/>
    </row>
    <row r="12752" spans="1:14" ht="12.75" customHeight="1" x14ac:dyDescent="0.25">
      <c r="A12752" s="4"/>
      <c r="B12752" s="4"/>
      <c r="C12752" s="4"/>
      <c r="D12752" s="4"/>
      <c r="E12752" s="4"/>
      <c r="F12752" s="4"/>
      <c r="G12752" s="4"/>
      <c r="H12752" s="4"/>
      <c r="I12752" s="4"/>
      <c r="J12752" s="4"/>
      <c r="K12752" s="4"/>
      <c r="L12752" s="4"/>
      <c r="M12752" s="4"/>
      <c r="N12752" s="4"/>
    </row>
    <row r="12753" spans="1:15" ht="12.75" customHeight="1" x14ac:dyDescent="0.2">
      <c r="A12753" s="398" t="s">
        <v>931</v>
      </c>
      <c r="B12753" s="271"/>
      <c r="C12753" s="271"/>
      <c r="D12753" s="271"/>
      <c r="E12753" s="271"/>
      <c r="F12753" s="271"/>
      <c r="G12753" s="271"/>
      <c r="H12753" s="271"/>
      <c r="I12753" s="271"/>
      <c r="J12753" s="271"/>
      <c r="K12753" s="271"/>
      <c r="L12753" s="271"/>
      <c r="M12753" s="271"/>
      <c r="N12753" s="273"/>
    </row>
    <row r="12754" spans="1:15" ht="12.75" customHeight="1" x14ac:dyDescent="0.2">
      <c r="A12754" s="396" t="s">
        <v>76</v>
      </c>
      <c r="B12754" s="271"/>
      <c r="C12754" s="271"/>
      <c r="D12754" s="271"/>
      <c r="E12754" s="271"/>
      <c r="F12754" s="271"/>
      <c r="G12754" s="273"/>
      <c r="H12754" s="88" t="s">
        <v>77</v>
      </c>
      <c r="I12754" s="399" t="s">
        <v>920</v>
      </c>
      <c r="J12754" s="273"/>
      <c r="K12754" s="90" t="s">
        <v>514</v>
      </c>
      <c r="L12754" s="91" t="s">
        <v>932</v>
      </c>
      <c r="M12754" s="399" t="s">
        <v>921</v>
      </c>
      <c r="N12754" s="273"/>
    </row>
    <row r="12755" spans="1:15" ht="12.75" customHeight="1" x14ac:dyDescent="0.25">
      <c r="A12755" s="393" t="s">
        <v>1301</v>
      </c>
      <c r="B12755" s="271"/>
      <c r="C12755" s="271"/>
      <c r="D12755" s="271"/>
      <c r="E12755" s="271"/>
      <c r="F12755" s="271"/>
      <c r="G12755" s="273"/>
      <c r="H12755" s="29" t="str">
        <f>IF(A12755="","",VLOOKUP(A12755,AA_Cuadrillas,4,FALSE))</f>
        <v>Cuadrilla</v>
      </c>
      <c r="I12755" s="394">
        <f>IF(A12755="","",VLOOKUP(A12755,AA_Cuadrillas,5,FALSE))</f>
        <v>132500</v>
      </c>
      <c r="J12755" s="273"/>
      <c r="K12755" s="9">
        <f>IF(A12755="","",F.P!$I$2)</f>
        <v>1.88</v>
      </c>
      <c r="L12755" s="97">
        <v>1</v>
      </c>
      <c r="M12755" s="394">
        <f t="shared" ref="M12755:M12759" si="1673">IF(A12755="","",I12755*K12755*L12755)</f>
        <v>249100</v>
      </c>
      <c r="N12755" s="273"/>
    </row>
    <row r="12756" spans="1:15" ht="12.75" customHeight="1" x14ac:dyDescent="0.25">
      <c r="A12756" s="393"/>
      <c r="B12756" s="271"/>
      <c r="C12756" s="271"/>
      <c r="D12756" s="271"/>
      <c r="E12756" s="271"/>
      <c r="F12756" s="271"/>
      <c r="G12756" s="273"/>
      <c r="H12756" s="29" t="str">
        <f>IF(A12756="","",VLOOKUP(A12756,AA_Cuadrillas,4,FALSE))</f>
        <v/>
      </c>
      <c r="I12756" s="394" t="str">
        <f>IF(A12756="","",VLOOKUP(A12756,AA_Cuadrillas,5,FALSE))</f>
        <v/>
      </c>
      <c r="J12756" s="273"/>
      <c r="K12756" s="9" t="str">
        <f>IF(A12756="","",F.P!$I$2)</f>
        <v/>
      </c>
      <c r="L12756" s="9"/>
      <c r="M12756" s="394" t="str">
        <f t="shared" si="1673"/>
        <v/>
      </c>
      <c r="N12756" s="273"/>
    </row>
    <row r="12757" spans="1:15" ht="12.75" customHeight="1" x14ac:dyDescent="0.25">
      <c r="A12757" s="393"/>
      <c r="B12757" s="271"/>
      <c r="C12757" s="271"/>
      <c r="D12757" s="271"/>
      <c r="E12757" s="271"/>
      <c r="F12757" s="271"/>
      <c r="G12757" s="273"/>
      <c r="H12757" s="29" t="str">
        <f>IF(A12757="","",VLOOKUP(A12757,AA_Cuadrillas,4,FALSE))</f>
        <v/>
      </c>
      <c r="I12757" s="394" t="str">
        <f>IF(A12757="","",VLOOKUP(A12757,AA_Cuadrillas,5,FALSE))</f>
        <v/>
      </c>
      <c r="J12757" s="273"/>
      <c r="K12757" s="9" t="str">
        <f>IF(A12757="","",F.P!$I$2)</f>
        <v/>
      </c>
      <c r="L12757" s="37"/>
      <c r="M12757" s="394" t="str">
        <f t="shared" si="1673"/>
        <v/>
      </c>
      <c r="N12757" s="273"/>
    </row>
    <row r="12758" spans="1:15" ht="12.75" customHeight="1" x14ac:dyDescent="0.25">
      <c r="A12758" s="393"/>
      <c r="B12758" s="271"/>
      <c r="C12758" s="271"/>
      <c r="D12758" s="271"/>
      <c r="E12758" s="271"/>
      <c r="F12758" s="271"/>
      <c r="G12758" s="273"/>
      <c r="H12758" s="29" t="str">
        <f>IF(A12758="","",VLOOKUP(A12758,AA_Cuadrillas,4,FALSE))</f>
        <v/>
      </c>
      <c r="I12758" s="394" t="str">
        <f>IF(A12758="","",VLOOKUP(A12758,AA_Cuadrillas,5,FALSE))</f>
        <v/>
      </c>
      <c r="J12758" s="273"/>
      <c r="K12758" s="9" t="str">
        <f>IF(A12758="","",F.P!$I$2)</f>
        <v/>
      </c>
      <c r="L12758" s="97"/>
      <c r="M12758" s="394" t="str">
        <f t="shared" si="1673"/>
        <v/>
      </c>
      <c r="N12758" s="273"/>
    </row>
    <row r="12759" spans="1:15" ht="12.75" customHeight="1" x14ac:dyDescent="0.25">
      <c r="A12759" s="393"/>
      <c r="B12759" s="271"/>
      <c r="C12759" s="271"/>
      <c r="D12759" s="271"/>
      <c r="E12759" s="271"/>
      <c r="F12759" s="271"/>
      <c r="G12759" s="273"/>
      <c r="H12759" s="29" t="str">
        <f>IF(A12759="","",VLOOKUP(A12759,AA_Cuadrillas,4,FALSE))</f>
        <v/>
      </c>
      <c r="I12759" s="394" t="str">
        <f>IF(A12759="","",VLOOKUP(A12759,AA_Cuadrillas,5,FALSE))</f>
        <v/>
      </c>
      <c r="J12759" s="273"/>
      <c r="K12759" s="9" t="str">
        <f>IF(A12759="","",F.P!$I$2)</f>
        <v/>
      </c>
      <c r="L12759" s="37"/>
      <c r="M12759" s="394" t="str">
        <f t="shared" si="1673"/>
        <v/>
      </c>
      <c r="N12759" s="273"/>
    </row>
    <row r="12760" spans="1:15" ht="12.75" customHeight="1" x14ac:dyDescent="0.25">
      <c r="A12760" s="4"/>
      <c r="B12760" s="4"/>
      <c r="C12760" s="4"/>
      <c r="D12760" s="4"/>
      <c r="E12760" s="4"/>
      <c r="F12760" s="4"/>
      <c r="G12760" s="4"/>
      <c r="H12760" s="4"/>
      <c r="I12760" s="4"/>
      <c r="J12760" s="4"/>
      <c r="K12760" s="396" t="s">
        <v>444</v>
      </c>
      <c r="L12760" s="273"/>
      <c r="M12760" s="394">
        <f>SUM(M12755:N12759)</f>
        <v>249100</v>
      </c>
      <c r="N12760" s="273"/>
    </row>
    <row r="12761" spans="1:15" ht="12.75" customHeight="1" x14ac:dyDescent="0.2"/>
    <row r="12762" spans="1:15" ht="12.75" customHeight="1" x14ac:dyDescent="0.2">
      <c r="A12762" s="397" t="s">
        <v>410</v>
      </c>
      <c r="B12762" s="275"/>
      <c r="C12762" s="275"/>
      <c r="D12762" s="275"/>
      <c r="E12762" s="275"/>
      <c r="F12762" s="275"/>
      <c r="G12762" s="275"/>
      <c r="H12762" s="275"/>
      <c r="I12762" s="275"/>
      <c r="J12762" s="275"/>
      <c r="K12762" s="275"/>
      <c r="L12762" s="275"/>
      <c r="M12762" s="275"/>
      <c r="N12762" s="276"/>
      <c r="O12762" s="166"/>
    </row>
    <row r="12763" spans="1:15" ht="12.75" customHeight="1" x14ac:dyDescent="0.2">
      <c r="A12763" s="277"/>
      <c r="B12763" s="278"/>
      <c r="C12763" s="278"/>
      <c r="D12763" s="278"/>
      <c r="E12763" s="278"/>
      <c r="F12763" s="278"/>
      <c r="G12763" s="278"/>
      <c r="H12763" s="278"/>
      <c r="I12763" s="278"/>
      <c r="J12763" s="278"/>
      <c r="K12763" s="278"/>
      <c r="L12763" s="278"/>
      <c r="M12763" s="278"/>
      <c r="N12763" s="279"/>
      <c r="O12763" s="166"/>
    </row>
    <row r="12764" spans="1:15" ht="12.75" customHeight="1" x14ac:dyDescent="0.2">
      <c r="A12764" s="75"/>
      <c r="B12764" s="75"/>
      <c r="C12764" s="75"/>
      <c r="D12764" s="75"/>
      <c r="E12764" s="75"/>
      <c r="F12764" s="75"/>
      <c r="G12764" s="75"/>
      <c r="H12764" s="75"/>
      <c r="I12764" s="75"/>
      <c r="J12764" s="75"/>
      <c r="K12764" s="75"/>
      <c r="L12764" s="75"/>
      <c r="M12764" s="75"/>
      <c r="N12764" s="75"/>
    </row>
    <row r="12765" spans="1:15" ht="12.75" customHeight="1" x14ac:dyDescent="0.3">
      <c r="A12765" s="79" t="s">
        <v>893</v>
      </c>
      <c r="B12765" s="80" t="str">
        <f>A12762</f>
        <v>CABLEADO DE CONEXIÓN DE LA PUESTA A TIERRA CU 6 AWG EN TUBERÍA PVC 1"</v>
      </c>
      <c r="C12765" s="81" t="s">
        <v>916</v>
      </c>
      <c r="D12765" s="82" t="s">
        <v>999</v>
      </c>
      <c r="E12765" s="83" t="s">
        <v>445</v>
      </c>
      <c r="F12765" s="234">
        <f>(H12765+J12765+L12765+N12765)*1.3</f>
        <v>78179.998000000007</v>
      </c>
      <c r="G12765" s="83" t="s">
        <v>607</v>
      </c>
      <c r="H12765" s="86">
        <f>M12784</f>
        <v>25219.699999999997</v>
      </c>
      <c r="I12765" s="83" t="s">
        <v>918</v>
      </c>
      <c r="J12765" s="86">
        <f>M12793</f>
        <v>1245.5</v>
      </c>
      <c r="K12765" s="83" t="s">
        <v>609</v>
      </c>
      <c r="L12765" s="86">
        <f>M12801</f>
        <v>8763.26</v>
      </c>
      <c r="M12765" s="83" t="s">
        <v>610</v>
      </c>
      <c r="N12765" s="86">
        <f>M12810</f>
        <v>24910</v>
      </c>
    </row>
    <row r="12766" spans="1:15" ht="12.75" customHeight="1" x14ac:dyDescent="0.25">
      <c r="A12766" s="87"/>
      <c r="B12766" s="87"/>
      <c r="C12766" s="87"/>
      <c r="D12766" s="87"/>
      <c r="E12766" s="87"/>
      <c r="F12766" s="87"/>
      <c r="G12766" s="87"/>
      <c r="H12766" s="12"/>
      <c r="I12766" s="12"/>
      <c r="J12766" s="87"/>
      <c r="K12766" s="215" t="s">
        <v>3217</v>
      </c>
      <c r="L12766" s="215">
        <f>+F12765*presup!$O$5</f>
        <v>101633.99740000001</v>
      </c>
      <c r="M12766" s="87"/>
      <c r="N12766" s="87"/>
    </row>
    <row r="12767" spans="1:15" ht="12.75" customHeight="1" x14ac:dyDescent="0.2">
      <c r="A12767" s="398" t="s">
        <v>919</v>
      </c>
      <c r="B12767" s="271"/>
      <c r="C12767" s="271"/>
      <c r="D12767" s="271"/>
      <c r="E12767" s="271"/>
      <c r="F12767" s="271"/>
      <c r="G12767" s="271"/>
      <c r="H12767" s="271"/>
      <c r="I12767" s="271"/>
      <c r="J12767" s="271"/>
      <c r="K12767" s="271"/>
      <c r="L12767" s="271"/>
      <c r="M12767" s="271"/>
      <c r="N12767" s="273"/>
    </row>
    <row r="12768" spans="1:15" ht="12.75" customHeight="1" x14ac:dyDescent="0.2">
      <c r="A12768" s="396" t="s">
        <v>76</v>
      </c>
      <c r="B12768" s="271"/>
      <c r="C12768" s="271"/>
      <c r="D12768" s="271"/>
      <c r="E12768" s="271"/>
      <c r="F12768" s="271"/>
      <c r="G12768" s="273"/>
      <c r="H12768" s="88" t="s">
        <v>77</v>
      </c>
      <c r="I12768" s="399" t="s">
        <v>920</v>
      </c>
      <c r="J12768" s="273"/>
      <c r="K12768" s="399" t="s">
        <v>453</v>
      </c>
      <c r="L12768" s="273"/>
      <c r="M12768" s="399" t="s">
        <v>921</v>
      </c>
      <c r="N12768" s="273"/>
    </row>
    <row r="12769" spans="1:14" ht="12.75" customHeight="1" x14ac:dyDescent="0.25">
      <c r="A12769" s="309" t="s">
        <v>1672</v>
      </c>
      <c r="B12769" s="271"/>
      <c r="C12769" s="271"/>
      <c r="D12769" s="271"/>
      <c r="E12769" s="271"/>
      <c r="F12769" s="271"/>
      <c r="G12769" s="273"/>
      <c r="H12769" s="29" t="str">
        <f t="shared" ref="H12769:H12783" si="1674">IF(A12769="","",VLOOKUP(A12769,AA_Materiales,7,FALSE))</f>
        <v>Unidad</v>
      </c>
      <c r="I12769" s="394">
        <f t="shared" ref="I12769:I12783" si="1675">IF(A12769="","",VLOOKUP(A12769,AA_Materiales,8,FALSE))</f>
        <v>6550</v>
      </c>
      <c r="J12769" s="273"/>
      <c r="K12769" s="393">
        <v>1</v>
      </c>
      <c r="L12769" s="273"/>
      <c r="M12769" s="394">
        <f t="shared" ref="M12769:M12783" si="1676">IF(A12769="","",I12769*K12769)</f>
        <v>6550</v>
      </c>
      <c r="N12769" s="273"/>
    </row>
    <row r="12770" spans="1:14" ht="12.75" customHeight="1" x14ac:dyDescent="0.25">
      <c r="A12770" s="309" t="s">
        <v>1596</v>
      </c>
      <c r="B12770" s="271"/>
      <c r="C12770" s="271"/>
      <c r="D12770" s="271"/>
      <c r="E12770" s="271"/>
      <c r="F12770" s="271"/>
      <c r="G12770" s="273"/>
      <c r="H12770" s="29" t="str">
        <f t="shared" si="1674"/>
        <v>Unidad</v>
      </c>
      <c r="I12770" s="394">
        <f t="shared" si="1675"/>
        <v>3938</v>
      </c>
      <c r="J12770" s="273"/>
      <c r="K12770" s="393">
        <v>0.3</v>
      </c>
      <c r="L12770" s="273"/>
      <c r="M12770" s="394">
        <f t="shared" si="1676"/>
        <v>1181.3999999999999</v>
      </c>
      <c r="N12770" s="273"/>
    </row>
    <row r="12771" spans="1:14" ht="12.75" customHeight="1" x14ac:dyDescent="0.25">
      <c r="A12771" s="309" t="s">
        <v>1649</v>
      </c>
      <c r="B12771" s="271"/>
      <c r="C12771" s="271"/>
      <c r="D12771" s="271"/>
      <c r="E12771" s="271"/>
      <c r="F12771" s="271"/>
      <c r="G12771" s="273"/>
      <c r="H12771" s="29" t="str">
        <f t="shared" si="1674"/>
        <v>ml</v>
      </c>
      <c r="I12771" s="394">
        <f t="shared" si="1675"/>
        <v>11861</v>
      </c>
      <c r="J12771" s="273"/>
      <c r="K12771" s="393">
        <v>0.3</v>
      </c>
      <c r="L12771" s="273"/>
      <c r="M12771" s="394">
        <f t="shared" si="1676"/>
        <v>3558.2999999999997</v>
      </c>
      <c r="N12771" s="273"/>
    </row>
    <row r="12772" spans="1:14" ht="12.75" customHeight="1" x14ac:dyDescent="0.25">
      <c r="A12772" s="309" t="s">
        <v>1673</v>
      </c>
      <c r="B12772" s="271"/>
      <c r="C12772" s="271"/>
      <c r="D12772" s="271"/>
      <c r="E12772" s="271"/>
      <c r="F12772" s="271"/>
      <c r="G12772" s="273"/>
      <c r="H12772" s="29" t="str">
        <f t="shared" si="1674"/>
        <v>m</v>
      </c>
      <c r="I12772" s="394">
        <f t="shared" si="1675"/>
        <v>13930</v>
      </c>
      <c r="J12772" s="273"/>
      <c r="K12772" s="393">
        <v>1</v>
      </c>
      <c r="L12772" s="273"/>
      <c r="M12772" s="394">
        <f t="shared" si="1676"/>
        <v>13930</v>
      </c>
      <c r="N12772" s="273"/>
    </row>
    <row r="12773" spans="1:14" ht="12.75" customHeight="1" x14ac:dyDescent="0.25">
      <c r="A12773" s="309"/>
      <c r="B12773" s="271"/>
      <c r="C12773" s="271"/>
      <c r="D12773" s="271"/>
      <c r="E12773" s="271"/>
      <c r="F12773" s="271"/>
      <c r="G12773" s="273"/>
      <c r="H12773" s="29" t="str">
        <f t="shared" si="1674"/>
        <v/>
      </c>
      <c r="I12773" s="394" t="str">
        <f t="shared" si="1675"/>
        <v/>
      </c>
      <c r="J12773" s="273"/>
      <c r="K12773" s="393"/>
      <c r="L12773" s="273"/>
      <c r="M12773" s="394" t="str">
        <f t="shared" si="1676"/>
        <v/>
      </c>
      <c r="N12773" s="273"/>
    </row>
    <row r="12774" spans="1:14" ht="12.75" customHeight="1" x14ac:dyDescent="0.25">
      <c r="A12774" s="309"/>
      <c r="B12774" s="271"/>
      <c r="C12774" s="271"/>
      <c r="D12774" s="271"/>
      <c r="E12774" s="271"/>
      <c r="F12774" s="271"/>
      <c r="G12774" s="273"/>
      <c r="H12774" s="29" t="str">
        <f t="shared" si="1674"/>
        <v/>
      </c>
      <c r="I12774" s="394" t="str">
        <f t="shared" si="1675"/>
        <v/>
      </c>
      <c r="J12774" s="273"/>
      <c r="K12774" s="393"/>
      <c r="L12774" s="273"/>
      <c r="M12774" s="394" t="str">
        <f t="shared" si="1676"/>
        <v/>
      </c>
      <c r="N12774" s="273"/>
    </row>
    <row r="12775" spans="1:14" ht="12.75" customHeight="1" x14ac:dyDescent="0.25">
      <c r="A12775" s="309"/>
      <c r="B12775" s="271"/>
      <c r="C12775" s="271"/>
      <c r="D12775" s="271"/>
      <c r="E12775" s="271"/>
      <c r="F12775" s="271"/>
      <c r="G12775" s="273"/>
      <c r="H12775" s="29" t="str">
        <f t="shared" si="1674"/>
        <v/>
      </c>
      <c r="I12775" s="394" t="str">
        <f t="shared" si="1675"/>
        <v/>
      </c>
      <c r="J12775" s="273"/>
      <c r="K12775" s="393"/>
      <c r="L12775" s="273"/>
      <c r="M12775" s="394" t="str">
        <f t="shared" si="1676"/>
        <v/>
      </c>
      <c r="N12775" s="273"/>
    </row>
    <row r="12776" spans="1:14" ht="12.75" customHeight="1" x14ac:dyDescent="0.25">
      <c r="A12776" s="309"/>
      <c r="B12776" s="271"/>
      <c r="C12776" s="271"/>
      <c r="D12776" s="271"/>
      <c r="E12776" s="271"/>
      <c r="F12776" s="271"/>
      <c r="G12776" s="273"/>
      <c r="H12776" s="29" t="str">
        <f t="shared" si="1674"/>
        <v/>
      </c>
      <c r="I12776" s="394" t="str">
        <f t="shared" si="1675"/>
        <v/>
      </c>
      <c r="J12776" s="273"/>
      <c r="K12776" s="393"/>
      <c r="L12776" s="273"/>
      <c r="M12776" s="394" t="str">
        <f t="shared" si="1676"/>
        <v/>
      </c>
      <c r="N12776" s="273"/>
    </row>
    <row r="12777" spans="1:14" ht="12.75" customHeight="1" x14ac:dyDescent="0.25">
      <c r="A12777" s="309"/>
      <c r="B12777" s="271"/>
      <c r="C12777" s="271"/>
      <c r="D12777" s="271"/>
      <c r="E12777" s="271"/>
      <c r="F12777" s="271"/>
      <c r="G12777" s="273"/>
      <c r="H12777" s="29" t="str">
        <f t="shared" si="1674"/>
        <v/>
      </c>
      <c r="I12777" s="394" t="str">
        <f t="shared" si="1675"/>
        <v/>
      </c>
      <c r="J12777" s="273"/>
      <c r="K12777" s="393"/>
      <c r="L12777" s="273"/>
      <c r="M12777" s="394" t="str">
        <f t="shared" si="1676"/>
        <v/>
      </c>
      <c r="N12777" s="273"/>
    </row>
    <row r="12778" spans="1:14" ht="12.75" customHeight="1" x14ac:dyDescent="0.25">
      <c r="A12778" s="309"/>
      <c r="B12778" s="271"/>
      <c r="C12778" s="271"/>
      <c r="D12778" s="271"/>
      <c r="E12778" s="271"/>
      <c r="F12778" s="271"/>
      <c r="G12778" s="273"/>
      <c r="H12778" s="29" t="str">
        <f t="shared" si="1674"/>
        <v/>
      </c>
      <c r="I12778" s="394" t="str">
        <f t="shared" si="1675"/>
        <v/>
      </c>
      <c r="J12778" s="273"/>
      <c r="K12778" s="393"/>
      <c r="L12778" s="273"/>
      <c r="M12778" s="394" t="str">
        <f t="shared" si="1676"/>
        <v/>
      </c>
      <c r="N12778" s="273"/>
    </row>
    <row r="12779" spans="1:14" ht="12.75" customHeight="1" x14ac:dyDescent="0.25">
      <c r="A12779" s="309"/>
      <c r="B12779" s="271"/>
      <c r="C12779" s="271"/>
      <c r="D12779" s="271"/>
      <c r="E12779" s="271"/>
      <c r="F12779" s="271"/>
      <c r="G12779" s="273"/>
      <c r="H12779" s="29" t="str">
        <f t="shared" si="1674"/>
        <v/>
      </c>
      <c r="I12779" s="394" t="str">
        <f t="shared" si="1675"/>
        <v/>
      </c>
      <c r="J12779" s="273"/>
      <c r="K12779" s="393"/>
      <c r="L12779" s="273"/>
      <c r="M12779" s="394" t="str">
        <f t="shared" si="1676"/>
        <v/>
      </c>
      <c r="N12779" s="273"/>
    </row>
    <row r="12780" spans="1:14" ht="12.75" customHeight="1" x14ac:dyDescent="0.25">
      <c r="A12780" s="309"/>
      <c r="B12780" s="271"/>
      <c r="C12780" s="271"/>
      <c r="D12780" s="271"/>
      <c r="E12780" s="271"/>
      <c r="F12780" s="271"/>
      <c r="G12780" s="273"/>
      <c r="H12780" s="29" t="str">
        <f t="shared" si="1674"/>
        <v/>
      </c>
      <c r="I12780" s="394" t="str">
        <f t="shared" si="1675"/>
        <v/>
      </c>
      <c r="J12780" s="273"/>
      <c r="K12780" s="393"/>
      <c r="L12780" s="273"/>
      <c r="M12780" s="394" t="str">
        <f t="shared" si="1676"/>
        <v/>
      </c>
      <c r="N12780" s="273"/>
    </row>
    <row r="12781" spans="1:14" ht="12.75" customHeight="1" x14ac:dyDescent="0.25">
      <c r="A12781" s="309"/>
      <c r="B12781" s="271"/>
      <c r="C12781" s="271"/>
      <c r="D12781" s="271"/>
      <c r="E12781" s="271"/>
      <c r="F12781" s="271"/>
      <c r="G12781" s="273"/>
      <c r="H12781" s="29" t="str">
        <f t="shared" si="1674"/>
        <v/>
      </c>
      <c r="I12781" s="394" t="str">
        <f t="shared" si="1675"/>
        <v/>
      </c>
      <c r="J12781" s="273"/>
      <c r="K12781" s="393"/>
      <c r="L12781" s="273"/>
      <c r="M12781" s="394" t="str">
        <f t="shared" si="1676"/>
        <v/>
      </c>
      <c r="N12781" s="273"/>
    </row>
    <row r="12782" spans="1:14" ht="12.75" customHeight="1" x14ac:dyDescent="0.25">
      <c r="A12782" s="309"/>
      <c r="B12782" s="271"/>
      <c r="C12782" s="271"/>
      <c r="D12782" s="271"/>
      <c r="E12782" s="271"/>
      <c r="F12782" s="271"/>
      <c r="G12782" s="273"/>
      <c r="H12782" s="29" t="str">
        <f t="shared" si="1674"/>
        <v/>
      </c>
      <c r="I12782" s="394" t="str">
        <f t="shared" si="1675"/>
        <v/>
      </c>
      <c r="J12782" s="273"/>
      <c r="K12782" s="393"/>
      <c r="L12782" s="273"/>
      <c r="M12782" s="394" t="str">
        <f t="shared" si="1676"/>
        <v/>
      </c>
      <c r="N12782" s="273"/>
    </row>
    <row r="12783" spans="1:14" ht="12.75" customHeight="1" x14ac:dyDescent="0.25">
      <c r="A12783" s="309"/>
      <c r="B12783" s="271"/>
      <c r="C12783" s="271"/>
      <c r="D12783" s="271"/>
      <c r="E12783" s="271"/>
      <c r="F12783" s="271"/>
      <c r="G12783" s="273"/>
      <c r="H12783" s="29" t="str">
        <f t="shared" si="1674"/>
        <v/>
      </c>
      <c r="I12783" s="394" t="str">
        <f t="shared" si="1675"/>
        <v/>
      </c>
      <c r="J12783" s="273"/>
      <c r="K12783" s="393"/>
      <c r="L12783" s="273"/>
      <c r="M12783" s="394" t="str">
        <f t="shared" si="1676"/>
        <v/>
      </c>
      <c r="N12783" s="273"/>
    </row>
    <row r="12784" spans="1:14" ht="12.75" customHeight="1" x14ac:dyDescent="0.25">
      <c r="A12784" s="4"/>
      <c r="B12784" s="4"/>
      <c r="C12784" s="4"/>
      <c r="D12784" s="4"/>
      <c r="E12784" s="4"/>
      <c r="F12784" s="4"/>
      <c r="G12784" s="4"/>
      <c r="H12784" s="4"/>
      <c r="I12784" s="4"/>
      <c r="J12784" s="4"/>
      <c r="K12784" s="396" t="s">
        <v>444</v>
      </c>
      <c r="L12784" s="273"/>
      <c r="M12784" s="394">
        <f>SUM(M12769:N12783)</f>
        <v>25219.699999999997</v>
      </c>
      <c r="N12784" s="273"/>
    </row>
    <row r="12785" spans="1:14" ht="12.75" customHeight="1" x14ac:dyDescent="0.25">
      <c r="A12785" s="4"/>
      <c r="B12785" s="4"/>
      <c r="C12785" s="4"/>
      <c r="D12785" s="4"/>
      <c r="E12785" s="4"/>
      <c r="F12785" s="4"/>
      <c r="G12785" s="4"/>
      <c r="H12785" s="4"/>
      <c r="I12785" s="4"/>
      <c r="J12785" s="4"/>
      <c r="K12785" s="4"/>
      <c r="L12785" s="4"/>
      <c r="M12785" s="4"/>
      <c r="N12785" s="4"/>
    </row>
    <row r="12786" spans="1:14" ht="12.75" customHeight="1" x14ac:dyDescent="0.2">
      <c r="A12786" s="398" t="s">
        <v>926</v>
      </c>
      <c r="B12786" s="271"/>
      <c r="C12786" s="271"/>
      <c r="D12786" s="271"/>
      <c r="E12786" s="271"/>
      <c r="F12786" s="271"/>
      <c r="G12786" s="271"/>
      <c r="H12786" s="271"/>
      <c r="I12786" s="271"/>
      <c r="J12786" s="271"/>
      <c r="K12786" s="271"/>
      <c r="L12786" s="271"/>
      <c r="M12786" s="271"/>
      <c r="N12786" s="273"/>
    </row>
    <row r="12787" spans="1:14" ht="12.75" customHeight="1" x14ac:dyDescent="0.2">
      <c r="A12787" s="396" t="s">
        <v>76</v>
      </c>
      <c r="B12787" s="271"/>
      <c r="C12787" s="271"/>
      <c r="D12787" s="271"/>
      <c r="E12787" s="271"/>
      <c r="F12787" s="271"/>
      <c r="G12787" s="273"/>
      <c r="H12787" s="88" t="s">
        <v>77</v>
      </c>
      <c r="I12787" s="399" t="s">
        <v>920</v>
      </c>
      <c r="J12787" s="273"/>
      <c r="K12787" s="399" t="s">
        <v>453</v>
      </c>
      <c r="L12787" s="273"/>
      <c r="M12787" s="399" t="s">
        <v>921</v>
      </c>
      <c r="N12787" s="273"/>
    </row>
    <row r="12788" spans="1:14" ht="12.75" customHeight="1" x14ac:dyDescent="0.2">
      <c r="A12788" s="400" t="s">
        <v>927</v>
      </c>
      <c r="B12788" s="271"/>
      <c r="C12788" s="271"/>
      <c r="D12788" s="271"/>
      <c r="E12788" s="271"/>
      <c r="F12788" s="271"/>
      <c r="G12788" s="273"/>
      <c r="H12788" s="29" t="str">
        <f>IF(A12788="","",VLOOKUP(A12788,AA_Equipos,7,FALSE))</f>
        <v>% M.O.</v>
      </c>
      <c r="I12788" s="394">
        <f>+M12810</f>
        <v>24910</v>
      </c>
      <c r="J12788" s="273"/>
      <c r="K12788" s="404">
        <v>0.05</v>
      </c>
      <c r="L12788" s="273"/>
      <c r="M12788" s="394">
        <f t="shared" ref="M12788:M12792" si="1677">IF(A12788="","",I12788*K12788)</f>
        <v>1245.5</v>
      </c>
      <c r="N12788" s="273"/>
    </row>
    <row r="12789" spans="1:14" ht="12.75" customHeight="1" x14ac:dyDescent="0.2">
      <c r="A12789" s="403"/>
      <c r="B12789" s="271"/>
      <c r="C12789" s="271"/>
      <c r="D12789" s="271"/>
      <c r="E12789" s="271"/>
      <c r="F12789" s="271"/>
      <c r="G12789" s="273"/>
      <c r="H12789" s="29" t="str">
        <f>IF(A12789="","",VLOOKUP(A12789,AA_Equipos,7,FALSE))</f>
        <v/>
      </c>
      <c r="I12789" s="394" t="str">
        <f>IF(A12789="","",VLOOKUP(A12789,AA_Equipos,8,FALSE))</f>
        <v/>
      </c>
      <c r="J12789" s="273"/>
      <c r="K12789" s="402"/>
      <c r="L12789" s="273"/>
      <c r="M12789" s="394" t="str">
        <f t="shared" si="1677"/>
        <v/>
      </c>
      <c r="N12789" s="273"/>
    </row>
    <row r="12790" spans="1:14" ht="12.75" customHeight="1" x14ac:dyDescent="0.2">
      <c r="A12790" s="400"/>
      <c r="B12790" s="271"/>
      <c r="C12790" s="271"/>
      <c r="D12790" s="271"/>
      <c r="E12790" s="271"/>
      <c r="F12790" s="271"/>
      <c r="G12790" s="273"/>
      <c r="H12790" s="29" t="str">
        <f>IF(A12790="","",VLOOKUP(A12790,AA_Equipos,7,FALSE))</f>
        <v/>
      </c>
      <c r="I12790" s="394" t="str">
        <f>IF(A12790="","",VLOOKUP(A12790,AA_Equipos,8,FALSE))</f>
        <v/>
      </c>
      <c r="J12790" s="273"/>
      <c r="K12790" s="401"/>
      <c r="L12790" s="273"/>
      <c r="M12790" s="394" t="str">
        <f t="shared" si="1677"/>
        <v/>
      </c>
      <c r="N12790" s="273"/>
    </row>
    <row r="12791" spans="1:14" ht="12.75" customHeight="1" x14ac:dyDescent="0.2">
      <c r="A12791" s="400"/>
      <c r="B12791" s="271"/>
      <c r="C12791" s="271"/>
      <c r="D12791" s="271"/>
      <c r="E12791" s="271"/>
      <c r="F12791" s="271"/>
      <c r="G12791" s="273"/>
      <c r="H12791" s="29" t="str">
        <f>IF(A12791="","",VLOOKUP(A12791,AA_Equipos,7,FALSE))</f>
        <v/>
      </c>
      <c r="I12791" s="394" t="str">
        <f>IF(A12791="","",VLOOKUP(A12791,AA_Equipos,8,FALSE))</f>
        <v/>
      </c>
      <c r="J12791" s="273"/>
      <c r="K12791" s="395"/>
      <c r="L12791" s="273"/>
      <c r="M12791" s="394" t="str">
        <f t="shared" si="1677"/>
        <v/>
      </c>
      <c r="N12791" s="273"/>
    </row>
    <row r="12792" spans="1:14" ht="12.75" customHeight="1" x14ac:dyDescent="0.2">
      <c r="A12792" s="400"/>
      <c r="B12792" s="271"/>
      <c r="C12792" s="271"/>
      <c r="D12792" s="271"/>
      <c r="E12792" s="271"/>
      <c r="F12792" s="271"/>
      <c r="G12792" s="273"/>
      <c r="H12792" s="29" t="str">
        <f>IF(A12792="","",VLOOKUP(A12792,AA_Equipos,7,FALSE))</f>
        <v/>
      </c>
      <c r="I12792" s="394" t="str">
        <f>IF(A12792="","",VLOOKUP(A12792,AA_Equipos,8,FALSE))</f>
        <v/>
      </c>
      <c r="J12792" s="273"/>
      <c r="K12792" s="395"/>
      <c r="L12792" s="273"/>
      <c r="M12792" s="394" t="str">
        <f t="shared" si="1677"/>
        <v/>
      </c>
      <c r="N12792" s="273"/>
    </row>
    <row r="12793" spans="1:14" ht="12.75" customHeight="1" x14ac:dyDescent="0.25">
      <c r="A12793" s="4"/>
      <c r="B12793" s="4"/>
      <c r="C12793" s="4"/>
      <c r="D12793" s="4"/>
      <c r="E12793" s="4"/>
      <c r="F12793" s="4"/>
      <c r="G12793" s="4"/>
      <c r="H12793" s="4"/>
      <c r="I12793" s="4"/>
      <c r="J12793" s="4"/>
      <c r="K12793" s="396" t="s">
        <v>444</v>
      </c>
      <c r="L12793" s="273"/>
      <c r="M12793" s="394">
        <f>SUM(M12788:N12792)</f>
        <v>1245.5</v>
      </c>
      <c r="N12793" s="273"/>
    </row>
    <row r="12794" spans="1:14" ht="12.75" customHeight="1" x14ac:dyDescent="0.25">
      <c r="A12794" s="4"/>
      <c r="B12794" s="4"/>
      <c r="C12794" s="4"/>
      <c r="D12794" s="4"/>
      <c r="E12794" s="4"/>
      <c r="F12794" s="4"/>
      <c r="G12794" s="4"/>
      <c r="H12794" s="4"/>
      <c r="I12794" s="4"/>
      <c r="J12794" s="4"/>
      <c r="K12794" s="4"/>
      <c r="L12794" s="4"/>
      <c r="M12794" s="4"/>
      <c r="N12794" s="4"/>
    </row>
    <row r="12795" spans="1:14" ht="12.75" customHeight="1" x14ac:dyDescent="0.2">
      <c r="A12795" s="398" t="s">
        <v>929</v>
      </c>
      <c r="B12795" s="271"/>
      <c r="C12795" s="271"/>
      <c r="D12795" s="271"/>
      <c r="E12795" s="271"/>
      <c r="F12795" s="271"/>
      <c r="G12795" s="271"/>
      <c r="H12795" s="271"/>
      <c r="I12795" s="271"/>
      <c r="J12795" s="271"/>
      <c r="K12795" s="271"/>
      <c r="L12795" s="271"/>
      <c r="M12795" s="271"/>
      <c r="N12795" s="273"/>
    </row>
    <row r="12796" spans="1:14" ht="12.75" customHeight="1" x14ac:dyDescent="0.2">
      <c r="A12796" s="396" t="s">
        <v>76</v>
      </c>
      <c r="B12796" s="271"/>
      <c r="C12796" s="271"/>
      <c r="D12796" s="271"/>
      <c r="E12796" s="271"/>
      <c r="F12796" s="271"/>
      <c r="G12796" s="273"/>
      <c r="H12796" s="88" t="s">
        <v>77</v>
      </c>
      <c r="I12796" s="399" t="s">
        <v>920</v>
      </c>
      <c r="J12796" s="273"/>
      <c r="K12796" s="399" t="s">
        <v>453</v>
      </c>
      <c r="L12796" s="273"/>
      <c r="M12796" s="399" t="s">
        <v>921</v>
      </c>
      <c r="N12796" s="273"/>
    </row>
    <row r="12797" spans="1:14" ht="12.75" customHeight="1" x14ac:dyDescent="0.2">
      <c r="A12797" s="400" t="s">
        <v>1559</v>
      </c>
      <c r="B12797" s="271"/>
      <c r="C12797" s="271"/>
      <c r="D12797" s="271"/>
      <c r="E12797" s="271"/>
      <c r="F12797" s="271"/>
      <c r="G12797" s="273"/>
      <c r="H12797" s="29" t="str">
        <f>IF(A12797="","",VLOOKUP(A12797,AA_Equipos,7,FALSE))</f>
        <v>Día</v>
      </c>
      <c r="I12797" s="394">
        <f>IF(A12797="","",VLOOKUP(A12797,AA_Equipos,8,FALSE))</f>
        <v>74400</v>
      </c>
      <c r="J12797" s="273"/>
      <c r="K12797" s="395">
        <v>0.1</v>
      </c>
      <c r="L12797" s="273"/>
      <c r="M12797" s="394">
        <f t="shared" ref="M12797:M12800" si="1678">IF(A12797="","",I12797*K12797)</f>
        <v>7440</v>
      </c>
      <c r="N12797" s="273"/>
    </row>
    <row r="12798" spans="1:14" ht="12.75" customHeight="1" x14ac:dyDescent="0.2">
      <c r="A12798" s="400" t="s">
        <v>930</v>
      </c>
      <c r="B12798" s="271"/>
      <c r="C12798" s="271"/>
      <c r="D12798" s="271"/>
      <c r="E12798" s="271"/>
      <c r="F12798" s="271"/>
      <c r="G12798" s="273"/>
      <c r="H12798" s="29" t="s">
        <v>24</v>
      </c>
      <c r="I12798" s="394">
        <f>+M12784+M12793</f>
        <v>26465.199999999997</v>
      </c>
      <c r="J12798" s="273"/>
      <c r="K12798" s="405">
        <v>0.05</v>
      </c>
      <c r="L12798" s="406"/>
      <c r="M12798" s="394">
        <f t="shared" si="1678"/>
        <v>1323.26</v>
      </c>
      <c r="N12798" s="273"/>
    </row>
    <row r="12799" spans="1:14" ht="12.75" customHeight="1" x14ac:dyDescent="0.2">
      <c r="A12799" s="400"/>
      <c r="B12799" s="271"/>
      <c r="C12799" s="271"/>
      <c r="D12799" s="271"/>
      <c r="E12799" s="271"/>
      <c r="F12799" s="271"/>
      <c r="G12799" s="273"/>
      <c r="H12799" s="29"/>
      <c r="I12799" s="394"/>
      <c r="J12799" s="273"/>
      <c r="K12799" s="395"/>
      <c r="L12799" s="273"/>
      <c r="M12799" s="394" t="str">
        <f t="shared" si="1678"/>
        <v/>
      </c>
      <c r="N12799" s="273"/>
    </row>
    <row r="12800" spans="1:14" ht="12.75" customHeight="1" x14ac:dyDescent="0.2">
      <c r="A12800" s="400"/>
      <c r="B12800" s="271"/>
      <c r="C12800" s="271"/>
      <c r="D12800" s="271"/>
      <c r="E12800" s="271"/>
      <c r="F12800" s="271"/>
      <c r="G12800" s="273"/>
      <c r="H12800" s="29"/>
      <c r="I12800" s="394"/>
      <c r="J12800" s="273"/>
      <c r="K12800" s="395"/>
      <c r="L12800" s="273"/>
      <c r="M12800" s="394" t="str">
        <f t="shared" si="1678"/>
        <v/>
      </c>
      <c r="N12800" s="273"/>
    </row>
    <row r="12801" spans="1:15" ht="12.75" customHeight="1" x14ac:dyDescent="0.25">
      <c r="A12801" s="4"/>
      <c r="B12801" s="4"/>
      <c r="C12801" s="4"/>
      <c r="D12801" s="4"/>
      <c r="E12801" s="4"/>
      <c r="F12801" s="4"/>
      <c r="G12801" s="4"/>
      <c r="H12801" s="4"/>
      <c r="I12801" s="4"/>
      <c r="J12801" s="4"/>
      <c r="K12801" s="396" t="s">
        <v>444</v>
      </c>
      <c r="L12801" s="273"/>
      <c r="M12801" s="394">
        <f>SUM(M12797:N12800)</f>
        <v>8763.26</v>
      </c>
      <c r="N12801" s="273"/>
    </row>
    <row r="12802" spans="1:15" ht="12.75" customHeight="1" x14ac:dyDescent="0.25">
      <c r="A12802" s="4"/>
      <c r="B12802" s="4"/>
      <c r="C12802" s="4"/>
      <c r="D12802" s="4"/>
      <c r="E12802" s="4"/>
      <c r="F12802" s="4"/>
      <c r="G12802" s="4"/>
      <c r="H12802" s="4"/>
      <c r="I12802" s="4"/>
      <c r="J12802" s="4"/>
      <c r="K12802" s="4"/>
      <c r="L12802" s="4"/>
      <c r="M12802" s="4"/>
      <c r="N12802" s="4"/>
    </row>
    <row r="12803" spans="1:15" ht="12.75" customHeight="1" x14ac:dyDescent="0.2">
      <c r="A12803" s="398" t="s">
        <v>931</v>
      </c>
      <c r="B12803" s="271"/>
      <c r="C12803" s="271"/>
      <c r="D12803" s="271"/>
      <c r="E12803" s="271"/>
      <c r="F12803" s="271"/>
      <c r="G12803" s="271"/>
      <c r="H12803" s="271"/>
      <c r="I12803" s="271"/>
      <c r="J12803" s="271"/>
      <c r="K12803" s="271"/>
      <c r="L12803" s="271"/>
      <c r="M12803" s="271"/>
      <c r="N12803" s="273"/>
    </row>
    <row r="12804" spans="1:15" ht="12.75" customHeight="1" x14ac:dyDescent="0.2">
      <c r="A12804" s="396" t="s">
        <v>76</v>
      </c>
      <c r="B12804" s="271"/>
      <c r="C12804" s="271"/>
      <c r="D12804" s="271"/>
      <c r="E12804" s="271"/>
      <c r="F12804" s="271"/>
      <c r="G12804" s="273"/>
      <c r="H12804" s="88" t="s">
        <v>77</v>
      </c>
      <c r="I12804" s="399" t="s">
        <v>920</v>
      </c>
      <c r="J12804" s="273"/>
      <c r="K12804" s="90" t="s">
        <v>514</v>
      </c>
      <c r="L12804" s="91" t="s">
        <v>932</v>
      </c>
      <c r="M12804" s="399" t="s">
        <v>921</v>
      </c>
      <c r="N12804" s="273"/>
    </row>
    <row r="12805" spans="1:15" ht="12.75" customHeight="1" x14ac:dyDescent="0.25">
      <c r="A12805" s="393" t="s">
        <v>1301</v>
      </c>
      <c r="B12805" s="271"/>
      <c r="C12805" s="271"/>
      <c r="D12805" s="271"/>
      <c r="E12805" s="271"/>
      <c r="F12805" s="271"/>
      <c r="G12805" s="273"/>
      <c r="H12805" s="29" t="str">
        <f>IF(A12805="","",VLOOKUP(A12805,AA_Cuadrillas,4,FALSE))</f>
        <v>Cuadrilla</v>
      </c>
      <c r="I12805" s="394">
        <f>IF(A12805="","",VLOOKUP(A12805,AA_Cuadrillas,5,FALSE))</f>
        <v>132500</v>
      </c>
      <c r="J12805" s="273"/>
      <c r="K12805" s="9">
        <f>IF(A12805="","",F.P!$I$2)</f>
        <v>1.88</v>
      </c>
      <c r="L12805" s="97">
        <v>0.1</v>
      </c>
      <c r="M12805" s="394">
        <f t="shared" ref="M12805:M12809" si="1679">IF(A12805="","",I12805*K12805*L12805)</f>
        <v>24910</v>
      </c>
      <c r="N12805" s="273"/>
    </row>
    <row r="12806" spans="1:15" ht="12.75" customHeight="1" x14ac:dyDescent="0.25">
      <c r="A12806" s="393"/>
      <c r="B12806" s="271"/>
      <c r="C12806" s="271"/>
      <c r="D12806" s="271"/>
      <c r="E12806" s="271"/>
      <c r="F12806" s="271"/>
      <c r="G12806" s="273"/>
      <c r="H12806" s="29" t="str">
        <f>IF(A12806="","",VLOOKUP(A12806,AA_Cuadrillas,4,FALSE))</f>
        <v/>
      </c>
      <c r="I12806" s="394" t="str">
        <f>IF(A12806="","",VLOOKUP(A12806,AA_Cuadrillas,5,FALSE))</f>
        <v/>
      </c>
      <c r="J12806" s="273"/>
      <c r="K12806" s="9" t="str">
        <f>IF(A12806="","",F.P!$I$2)</f>
        <v/>
      </c>
      <c r="L12806" s="9"/>
      <c r="M12806" s="394" t="str">
        <f t="shared" si="1679"/>
        <v/>
      </c>
      <c r="N12806" s="273"/>
    </row>
    <row r="12807" spans="1:15" ht="12.75" customHeight="1" x14ac:dyDescent="0.25">
      <c r="A12807" s="393"/>
      <c r="B12807" s="271"/>
      <c r="C12807" s="271"/>
      <c r="D12807" s="271"/>
      <c r="E12807" s="271"/>
      <c r="F12807" s="271"/>
      <c r="G12807" s="273"/>
      <c r="H12807" s="29" t="str">
        <f>IF(A12807="","",VLOOKUP(A12807,AA_Cuadrillas,4,FALSE))</f>
        <v/>
      </c>
      <c r="I12807" s="394" t="str">
        <f>IF(A12807="","",VLOOKUP(A12807,AA_Cuadrillas,5,FALSE))</f>
        <v/>
      </c>
      <c r="J12807" s="273"/>
      <c r="K12807" s="9" t="str">
        <f>IF(A12807="","",F.P!$I$2)</f>
        <v/>
      </c>
      <c r="L12807" s="37"/>
      <c r="M12807" s="394" t="str">
        <f t="shared" si="1679"/>
        <v/>
      </c>
      <c r="N12807" s="273"/>
    </row>
    <row r="12808" spans="1:15" ht="12.75" customHeight="1" x14ac:dyDescent="0.25">
      <c r="A12808" s="393"/>
      <c r="B12808" s="271"/>
      <c r="C12808" s="271"/>
      <c r="D12808" s="271"/>
      <c r="E12808" s="271"/>
      <c r="F12808" s="271"/>
      <c r="G12808" s="273"/>
      <c r="H12808" s="29" t="str">
        <f>IF(A12808="","",VLOOKUP(A12808,AA_Cuadrillas,4,FALSE))</f>
        <v/>
      </c>
      <c r="I12808" s="394" t="str">
        <f>IF(A12808="","",VLOOKUP(A12808,AA_Cuadrillas,5,FALSE))</f>
        <v/>
      </c>
      <c r="J12808" s="273"/>
      <c r="K12808" s="9" t="str">
        <f>IF(A12808="","",F.P!$I$2)</f>
        <v/>
      </c>
      <c r="L12808" s="97"/>
      <c r="M12808" s="394" t="str">
        <f t="shared" si="1679"/>
        <v/>
      </c>
      <c r="N12808" s="273"/>
    </row>
    <row r="12809" spans="1:15" ht="12.75" customHeight="1" x14ac:dyDescent="0.25">
      <c r="A12809" s="393"/>
      <c r="B12809" s="271"/>
      <c r="C12809" s="271"/>
      <c r="D12809" s="271"/>
      <c r="E12809" s="271"/>
      <c r="F12809" s="271"/>
      <c r="G12809" s="273"/>
      <c r="H12809" s="29" t="str">
        <f>IF(A12809="","",VLOOKUP(A12809,AA_Cuadrillas,4,FALSE))</f>
        <v/>
      </c>
      <c r="I12809" s="394" t="str">
        <f>IF(A12809="","",VLOOKUP(A12809,AA_Cuadrillas,5,FALSE))</f>
        <v/>
      </c>
      <c r="J12809" s="273"/>
      <c r="K12809" s="9" t="str">
        <f>IF(A12809="","",F.P!$I$2)</f>
        <v/>
      </c>
      <c r="L12809" s="37"/>
      <c r="M12809" s="394" t="str">
        <f t="shared" si="1679"/>
        <v/>
      </c>
      <c r="N12809" s="273"/>
    </row>
    <row r="12810" spans="1:15" ht="12.75" customHeight="1" x14ac:dyDescent="0.25">
      <c r="A12810" s="4"/>
      <c r="B12810" s="4"/>
      <c r="C12810" s="4"/>
      <c r="D12810" s="4"/>
      <c r="E12810" s="4"/>
      <c r="F12810" s="4"/>
      <c r="G12810" s="4"/>
      <c r="H12810" s="4"/>
      <c r="I12810" s="4"/>
      <c r="J12810" s="4"/>
      <c r="K12810" s="396" t="s">
        <v>444</v>
      </c>
      <c r="L12810" s="273"/>
      <c r="M12810" s="394">
        <f>SUM(M12805:N12809)</f>
        <v>24910</v>
      </c>
      <c r="N12810" s="273"/>
    </row>
    <row r="12811" spans="1:15" ht="12.75" customHeight="1" x14ac:dyDescent="0.2"/>
    <row r="12812" spans="1:15" ht="12.75" customHeight="1" x14ac:dyDescent="0.2">
      <c r="A12812" s="397" t="s">
        <v>412</v>
      </c>
      <c r="B12812" s="275"/>
      <c r="C12812" s="275"/>
      <c r="D12812" s="275"/>
      <c r="E12812" s="275"/>
      <c r="F12812" s="275"/>
      <c r="G12812" s="275"/>
      <c r="H12812" s="275"/>
      <c r="I12812" s="275"/>
      <c r="J12812" s="275"/>
      <c r="K12812" s="275"/>
      <c r="L12812" s="275"/>
      <c r="M12812" s="275"/>
      <c r="N12812" s="276"/>
      <c r="O12812" s="166"/>
    </row>
    <row r="12813" spans="1:15" ht="12.75" customHeight="1" x14ac:dyDescent="0.2">
      <c r="A12813" s="277"/>
      <c r="B12813" s="278"/>
      <c r="C12813" s="278"/>
      <c r="D12813" s="278"/>
      <c r="E12813" s="278"/>
      <c r="F12813" s="278"/>
      <c r="G12813" s="278"/>
      <c r="H12813" s="278"/>
      <c r="I12813" s="278"/>
      <c r="J12813" s="278"/>
      <c r="K12813" s="278"/>
      <c r="L12813" s="278"/>
      <c r="M12813" s="278"/>
      <c r="N12813" s="279"/>
      <c r="O12813" s="166"/>
    </row>
    <row r="12814" spans="1:15" ht="12.75" customHeight="1" x14ac:dyDescent="0.2">
      <c r="A12814" s="75"/>
      <c r="B12814" s="75"/>
      <c r="C12814" s="75"/>
      <c r="D12814" s="75"/>
      <c r="E12814" s="75"/>
      <c r="F12814" s="75"/>
      <c r="G12814" s="75"/>
      <c r="H12814" s="75"/>
      <c r="I12814" s="75"/>
      <c r="J12814" s="75"/>
      <c r="K12814" s="75"/>
      <c r="L12814" s="75"/>
      <c r="M12814" s="75"/>
      <c r="N12814" s="75"/>
    </row>
    <row r="12815" spans="1:15" ht="12.75" customHeight="1" x14ac:dyDescent="0.3">
      <c r="A12815" s="79" t="s">
        <v>894</v>
      </c>
      <c r="B12815" s="80" t="str">
        <f>A12812</f>
        <v>SALIDA PARA MOTOR TRIFÁSICO EN CABLE 3X2F + 1X8T THHN/THWN, EN TUBERÍA EMT 2" -  4M Y CORAZA LIQUID THIGHT 2" - 2 M, INCLUYE CAJA DE PASO 10X10CM, FIJACIONES, HERRAJES, MARCACION, BORNAS Y DEMÁS ACCESORIOS</v>
      </c>
      <c r="C12815" s="81" t="s">
        <v>916</v>
      </c>
      <c r="D12815" s="82" t="s">
        <v>999</v>
      </c>
      <c r="E12815" s="83" t="s">
        <v>445</v>
      </c>
      <c r="F12815" s="234">
        <f>(H12815+J12815+L12815+N12815)*1.3</f>
        <v>1833197.8925000001</v>
      </c>
      <c r="G12815" s="83" t="s">
        <v>607</v>
      </c>
      <c r="H12815" s="86">
        <f>M12834</f>
        <v>1182727</v>
      </c>
      <c r="I12815" s="83" t="s">
        <v>918</v>
      </c>
      <c r="J12815" s="86">
        <f>M12843</f>
        <v>6227.5</v>
      </c>
      <c r="K12815" s="83" t="s">
        <v>609</v>
      </c>
      <c r="L12815" s="86">
        <f>M12851</f>
        <v>96647.725000000006</v>
      </c>
      <c r="M12815" s="83" t="s">
        <v>610</v>
      </c>
      <c r="N12815" s="86">
        <f>M12860</f>
        <v>124550</v>
      </c>
    </row>
    <row r="12816" spans="1:15" ht="12.75" customHeight="1" x14ac:dyDescent="0.25">
      <c r="A12816" s="87"/>
      <c r="B12816" s="87"/>
      <c r="C12816" s="87"/>
      <c r="D12816" s="87"/>
      <c r="E12816" s="87"/>
      <c r="F12816" s="87"/>
      <c r="G12816" s="87"/>
      <c r="H12816" s="12"/>
      <c r="I12816" s="12"/>
      <c r="J12816" s="87"/>
      <c r="K12816" s="215" t="s">
        <v>3217</v>
      </c>
      <c r="L12816" s="215">
        <f>+F12815*presup!$O$5</f>
        <v>2383157.2602500003</v>
      </c>
      <c r="M12816" s="87"/>
      <c r="N12816" s="87"/>
    </row>
    <row r="12817" spans="1:14" ht="12.75" customHeight="1" x14ac:dyDescent="0.2">
      <c r="A12817" s="398" t="s">
        <v>919</v>
      </c>
      <c r="B12817" s="271"/>
      <c r="C12817" s="271"/>
      <c r="D12817" s="271"/>
      <c r="E12817" s="271"/>
      <c r="F12817" s="271"/>
      <c r="G12817" s="271"/>
      <c r="H12817" s="271"/>
      <c r="I12817" s="271"/>
      <c r="J12817" s="271"/>
      <c r="K12817" s="271"/>
      <c r="L12817" s="271"/>
      <c r="M12817" s="271"/>
      <c r="N12817" s="273"/>
    </row>
    <row r="12818" spans="1:14" ht="12.75" customHeight="1" x14ac:dyDescent="0.2">
      <c r="A12818" s="396" t="s">
        <v>76</v>
      </c>
      <c r="B12818" s="271"/>
      <c r="C12818" s="271"/>
      <c r="D12818" s="271"/>
      <c r="E12818" s="271"/>
      <c r="F12818" s="271"/>
      <c r="G12818" s="273"/>
      <c r="H12818" s="88" t="s">
        <v>77</v>
      </c>
      <c r="I12818" s="399" t="s">
        <v>920</v>
      </c>
      <c r="J12818" s="273"/>
      <c r="K12818" s="399" t="s">
        <v>453</v>
      </c>
      <c r="L12818" s="273"/>
      <c r="M12818" s="399" t="s">
        <v>921</v>
      </c>
      <c r="N12818" s="273"/>
    </row>
    <row r="12819" spans="1:14" ht="12.75" customHeight="1" x14ac:dyDescent="0.25">
      <c r="A12819" s="309" t="s">
        <v>1674</v>
      </c>
      <c r="B12819" s="271"/>
      <c r="C12819" s="271"/>
      <c r="D12819" s="271"/>
      <c r="E12819" s="271"/>
      <c r="F12819" s="271"/>
      <c r="G12819" s="273"/>
      <c r="H12819" s="29" t="str">
        <f t="shared" ref="H12819:H12833" si="1680">IF(A12819="","",VLOOKUP(A12819,AA_Materiales,7,FALSE))</f>
        <v>Unidad</v>
      </c>
      <c r="I12819" s="394">
        <f t="shared" ref="I12819:I12833" si="1681">IF(A12819="","",VLOOKUP(A12819,AA_Materiales,8,FALSE))</f>
        <v>9660</v>
      </c>
      <c r="J12819" s="273"/>
      <c r="K12819" s="393">
        <v>1</v>
      </c>
      <c r="L12819" s="273"/>
      <c r="M12819" s="394">
        <f t="shared" ref="M12819:M12833" si="1682">IF(A12819="","",I12819*K12819)</f>
        <v>9660</v>
      </c>
      <c r="N12819" s="273"/>
    </row>
    <row r="12820" spans="1:14" ht="12.75" customHeight="1" x14ac:dyDescent="0.25">
      <c r="A12820" s="309" t="s">
        <v>1675</v>
      </c>
      <c r="B12820" s="271"/>
      <c r="C12820" s="271"/>
      <c r="D12820" s="271"/>
      <c r="E12820" s="271"/>
      <c r="F12820" s="271"/>
      <c r="G12820" s="273"/>
      <c r="H12820" s="29" t="str">
        <f t="shared" si="1680"/>
        <v>Unidad</v>
      </c>
      <c r="I12820" s="394">
        <f t="shared" si="1681"/>
        <v>780</v>
      </c>
      <c r="J12820" s="273"/>
      <c r="K12820" s="393">
        <v>6</v>
      </c>
      <c r="L12820" s="273"/>
      <c r="M12820" s="394">
        <f t="shared" si="1682"/>
        <v>4680</v>
      </c>
      <c r="N12820" s="273"/>
    </row>
    <row r="12821" spans="1:14" ht="12.75" customHeight="1" x14ac:dyDescent="0.25">
      <c r="A12821" s="309" t="s">
        <v>1676</v>
      </c>
      <c r="B12821" s="271"/>
      <c r="C12821" s="271"/>
      <c r="D12821" s="271"/>
      <c r="E12821" s="271"/>
      <c r="F12821" s="271"/>
      <c r="G12821" s="273"/>
      <c r="H12821" s="29" t="str">
        <f t="shared" si="1680"/>
        <v>Unidad</v>
      </c>
      <c r="I12821" s="394">
        <f t="shared" si="1681"/>
        <v>6412</v>
      </c>
      <c r="J12821" s="273"/>
      <c r="K12821" s="393">
        <v>6</v>
      </c>
      <c r="L12821" s="273"/>
      <c r="M12821" s="394">
        <f t="shared" si="1682"/>
        <v>38472</v>
      </c>
      <c r="N12821" s="273"/>
    </row>
    <row r="12822" spans="1:14" ht="12.75" customHeight="1" x14ac:dyDescent="0.25">
      <c r="A12822" s="309" t="s">
        <v>1677</v>
      </c>
      <c r="B12822" s="271"/>
      <c r="C12822" s="271"/>
      <c r="D12822" s="271"/>
      <c r="E12822" s="271"/>
      <c r="F12822" s="271"/>
      <c r="G12822" s="273"/>
      <c r="H12822" s="29" t="str">
        <f t="shared" si="1680"/>
        <v>m</v>
      </c>
      <c r="I12822" s="394">
        <f t="shared" si="1681"/>
        <v>39410</v>
      </c>
      <c r="J12822" s="273"/>
      <c r="K12822" s="393">
        <v>18</v>
      </c>
      <c r="L12822" s="273"/>
      <c r="M12822" s="394">
        <f t="shared" si="1682"/>
        <v>709380</v>
      </c>
      <c r="N12822" s="273"/>
    </row>
    <row r="12823" spans="1:14" ht="12.75" customHeight="1" x14ac:dyDescent="0.25">
      <c r="A12823" s="309" t="s">
        <v>1678</v>
      </c>
      <c r="B12823" s="271"/>
      <c r="C12823" s="271"/>
      <c r="D12823" s="271"/>
      <c r="E12823" s="271"/>
      <c r="F12823" s="271"/>
      <c r="G12823" s="273"/>
      <c r="H12823" s="29" t="str">
        <f t="shared" si="1680"/>
        <v>m</v>
      </c>
      <c r="I12823" s="394">
        <f t="shared" si="1681"/>
        <v>7000</v>
      </c>
      <c r="J12823" s="273"/>
      <c r="K12823" s="393">
        <v>6</v>
      </c>
      <c r="L12823" s="273"/>
      <c r="M12823" s="394">
        <f t="shared" si="1682"/>
        <v>42000</v>
      </c>
      <c r="N12823" s="273"/>
    </row>
    <row r="12824" spans="1:14" ht="12.75" customHeight="1" x14ac:dyDescent="0.25">
      <c r="A12824" s="309" t="s">
        <v>1679</v>
      </c>
      <c r="B12824" s="271"/>
      <c r="C12824" s="271"/>
      <c r="D12824" s="271"/>
      <c r="E12824" s="271"/>
      <c r="F12824" s="271"/>
      <c r="G12824" s="273"/>
      <c r="H12824" s="29" t="str">
        <f t="shared" si="1680"/>
        <v>m</v>
      </c>
      <c r="I12824" s="394">
        <f t="shared" si="1681"/>
        <v>4200</v>
      </c>
      <c r="J12824" s="273"/>
      <c r="K12824" s="393">
        <v>2</v>
      </c>
      <c r="L12824" s="273"/>
      <c r="M12824" s="394">
        <f t="shared" si="1682"/>
        <v>8400</v>
      </c>
      <c r="N12824" s="273"/>
    </row>
    <row r="12825" spans="1:14" ht="12.75" customHeight="1" x14ac:dyDescent="0.25">
      <c r="A12825" s="309" t="s">
        <v>1680</v>
      </c>
      <c r="B12825" s="271"/>
      <c r="C12825" s="271"/>
      <c r="D12825" s="271"/>
      <c r="E12825" s="271"/>
      <c r="F12825" s="271"/>
      <c r="G12825" s="273"/>
      <c r="H12825" s="29" t="str">
        <f t="shared" si="1680"/>
        <v>Unidad</v>
      </c>
      <c r="I12825" s="394">
        <f t="shared" si="1681"/>
        <v>52033</v>
      </c>
      <c r="J12825" s="273"/>
      <c r="K12825" s="393">
        <v>5</v>
      </c>
      <c r="L12825" s="273"/>
      <c r="M12825" s="394">
        <f t="shared" si="1682"/>
        <v>260165</v>
      </c>
      <c r="N12825" s="273"/>
    </row>
    <row r="12826" spans="1:14" ht="12.75" customHeight="1" x14ac:dyDescent="0.25">
      <c r="A12826" s="309" t="s">
        <v>1681</v>
      </c>
      <c r="B12826" s="271"/>
      <c r="C12826" s="271"/>
      <c r="D12826" s="271"/>
      <c r="E12826" s="271"/>
      <c r="F12826" s="271"/>
      <c r="G12826" s="273"/>
      <c r="H12826" s="29" t="str">
        <f t="shared" si="1680"/>
        <v>Unidad</v>
      </c>
      <c r="I12826" s="394">
        <f t="shared" si="1681"/>
        <v>45500</v>
      </c>
      <c r="J12826" s="273"/>
      <c r="K12826" s="393">
        <v>1</v>
      </c>
      <c r="L12826" s="273"/>
      <c r="M12826" s="394">
        <f t="shared" si="1682"/>
        <v>45500</v>
      </c>
      <c r="N12826" s="273"/>
    </row>
    <row r="12827" spans="1:14" ht="12.75" customHeight="1" x14ac:dyDescent="0.25">
      <c r="A12827" s="309" t="s">
        <v>1682</v>
      </c>
      <c r="B12827" s="271"/>
      <c r="C12827" s="271"/>
      <c r="D12827" s="271"/>
      <c r="E12827" s="271"/>
      <c r="F12827" s="271"/>
      <c r="G12827" s="273"/>
      <c r="H12827" s="29" t="str">
        <f t="shared" si="1680"/>
        <v>m</v>
      </c>
      <c r="I12827" s="394">
        <f t="shared" si="1681"/>
        <v>25200</v>
      </c>
      <c r="J12827" s="273"/>
      <c r="K12827" s="393">
        <v>2</v>
      </c>
      <c r="L12827" s="273"/>
      <c r="M12827" s="394">
        <f t="shared" si="1682"/>
        <v>50400</v>
      </c>
      <c r="N12827" s="273"/>
    </row>
    <row r="12828" spans="1:14" ht="12.75" customHeight="1" x14ac:dyDescent="0.25">
      <c r="A12828" s="309" t="s">
        <v>1683</v>
      </c>
      <c r="B12828" s="271"/>
      <c r="C12828" s="271"/>
      <c r="D12828" s="271"/>
      <c r="E12828" s="271"/>
      <c r="F12828" s="271"/>
      <c r="G12828" s="273"/>
      <c r="H12828" s="29" t="str">
        <f t="shared" si="1680"/>
        <v>Unidad</v>
      </c>
      <c r="I12828" s="394">
        <f t="shared" si="1681"/>
        <v>14070</v>
      </c>
      <c r="J12828" s="273"/>
      <c r="K12828" s="393">
        <v>1</v>
      </c>
      <c r="L12828" s="273"/>
      <c r="M12828" s="394">
        <f t="shared" si="1682"/>
        <v>14070</v>
      </c>
      <c r="N12828" s="273"/>
    </row>
    <row r="12829" spans="1:14" ht="12.75" customHeight="1" x14ac:dyDescent="0.25">
      <c r="A12829" s="309"/>
      <c r="B12829" s="271"/>
      <c r="C12829" s="271"/>
      <c r="D12829" s="271"/>
      <c r="E12829" s="271"/>
      <c r="F12829" s="271"/>
      <c r="G12829" s="273"/>
      <c r="H12829" s="29" t="str">
        <f t="shared" si="1680"/>
        <v/>
      </c>
      <c r="I12829" s="394" t="str">
        <f t="shared" si="1681"/>
        <v/>
      </c>
      <c r="J12829" s="273"/>
      <c r="K12829" s="393"/>
      <c r="L12829" s="273"/>
      <c r="M12829" s="394" t="str">
        <f t="shared" si="1682"/>
        <v/>
      </c>
      <c r="N12829" s="273"/>
    </row>
    <row r="12830" spans="1:14" ht="12.75" customHeight="1" x14ac:dyDescent="0.25">
      <c r="A12830" s="309"/>
      <c r="B12830" s="271"/>
      <c r="C12830" s="271"/>
      <c r="D12830" s="271"/>
      <c r="E12830" s="271"/>
      <c r="F12830" s="271"/>
      <c r="G12830" s="273"/>
      <c r="H12830" s="29" t="str">
        <f t="shared" si="1680"/>
        <v/>
      </c>
      <c r="I12830" s="394" t="str">
        <f t="shared" si="1681"/>
        <v/>
      </c>
      <c r="J12830" s="273"/>
      <c r="K12830" s="393"/>
      <c r="L12830" s="273"/>
      <c r="M12830" s="394" t="str">
        <f t="shared" si="1682"/>
        <v/>
      </c>
      <c r="N12830" s="273"/>
    </row>
    <row r="12831" spans="1:14" ht="12.75" customHeight="1" x14ac:dyDescent="0.25">
      <c r="A12831" s="309"/>
      <c r="B12831" s="271"/>
      <c r="C12831" s="271"/>
      <c r="D12831" s="271"/>
      <c r="E12831" s="271"/>
      <c r="F12831" s="271"/>
      <c r="G12831" s="273"/>
      <c r="H12831" s="29" t="str">
        <f t="shared" si="1680"/>
        <v/>
      </c>
      <c r="I12831" s="394" t="str">
        <f t="shared" si="1681"/>
        <v/>
      </c>
      <c r="J12831" s="273"/>
      <c r="K12831" s="393"/>
      <c r="L12831" s="273"/>
      <c r="M12831" s="394" t="str">
        <f t="shared" si="1682"/>
        <v/>
      </c>
      <c r="N12831" s="273"/>
    </row>
    <row r="12832" spans="1:14" ht="12.75" customHeight="1" x14ac:dyDescent="0.25">
      <c r="A12832" s="309"/>
      <c r="B12832" s="271"/>
      <c r="C12832" s="271"/>
      <c r="D12832" s="271"/>
      <c r="E12832" s="271"/>
      <c r="F12832" s="271"/>
      <c r="G12832" s="273"/>
      <c r="H12832" s="29" t="str">
        <f t="shared" si="1680"/>
        <v/>
      </c>
      <c r="I12832" s="394" t="str">
        <f t="shared" si="1681"/>
        <v/>
      </c>
      <c r="J12832" s="273"/>
      <c r="K12832" s="393"/>
      <c r="L12832" s="273"/>
      <c r="M12832" s="394" t="str">
        <f t="shared" si="1682"/>
        <v/>
      </c>
      <c r="N12832" s="273"/>
    </row>
    <row r="12833" spans="1:14" ht="12.75" customHeight="1" x14ac:dyDescent="0.25">
      <c r="A12833" s="309"/>
      <c r="B12833" s="271"/>
      <c r="C12833" s="271"/>
      <c r="D12833" s="271"/>
      <c r="E12833" s="271"/>
      <c r="F12833" s="271"/>
      <c r="G12833" s="273"/>
      <c r="H12833" s="29" t="str">
        <f t="shared" si="1680"/>
        <v/>
      </c>
      <c r="I12833" s="394" t="str">
        <f t="shared" si="1681"/>
        <v/>
      </c>
      <c r="J12833" s="273"/>
      <c r="K12833" s="393"/>
      <c r="L12833" s="273"/>
      <c r="M12833" s="394" t="str">
        <f t="shared" si="1682"/>
        <v/>
      </c>
      <c r="N12833" s="273"/>
    </row>
    <row r="12834" spans="1:14" ht="12.75" customHeight="1" x14ac:dyDescent="0.25">
      <c r="A12834" s="4"/>
      <c r="B12834" s="4"/>
      <c r="C12834" s="4"/>
      <c r="D12834" s="4"/>
      <c r="E12834" s="4"/>
      <c r="F12834" s="4"/>
      <c r="G12834" s="4"/>
      <c r="H12834" s="4"/>
      <c r="I12834" s="4"/>
      <c r="J12834" s="4"/>
      <c r="K12834" s="396" t="s">
        <v>444</v>
      </c>
      <c r="L12834" s="273"/>
      <c r="M12834" s="394">
        <f>SUM(M12819:N12833)</f>
        <v>1182727</v>
      </c>
      <c r="N12834" s="273"/>
    </row>
    <row r="12835" spans="1:14" ht="12.75" customHeight="1" x14ac:dyDescent="0.25">
      <c r="A12835" s="4"/>
      <c r="B12835" s="4"/>
      <c r="C12835" s="4"/>
      <c r="D12835" s="4"/>
      <c r="E12835" s="4"/>
      <c r="F12835" s="4"/>
      <c r="G12835" s="4"/>
      <c r="H12835" s="4"/>
      <c r="I12835" s="4"/>
      <c r="J12835" s="4"/>
      <c r="K12835" s="4"/>
      <c r="L12835" s="4"/>
      <c r="M12835" s="4"/>
      <c r="N12835" s="4"/>
    </row>
    <row r="12836" spans="1:14" ht="12.75" customHeight="1" x14ac:dyDescent="0.2">
      <c r="A12836" s="398" t="s">
        <v>926</v>
      </c>
      <c r="B12836" s="271"/>
      <c r="C12836" s="271"/>
      <c r="D12836" s="271"/>
      <c r="E12836" s="271"/>
      <c r="F12836" s="271"/>
      <c r="G12836" s="271"/>
      <c r="H12836" s="271"/>
      <c r="I12836" s="271"/>
      <c r="J12836" s="271"/>
      <c r="K12836" s="271"/>
      <c r="L12836" s="271"/>
      <c r="M12836" s="271"/>
      <c r="N12836" s="273"/>
    </row>
    <row r="12837" spans="1:14" ht="12.75" customHeight="1" x14ac:dyDescent="0.2">
      <c r="A12837" s="396" t="s">
        <v>76</v>
      </c>
      <c r="B12837" s="271"/>
      <c r="C12837" s="271"/>
      <c r="D12837" s="271"/>
      <c r="E12837" s="271"/>
      <c r="F12837" s="271"/>
      <c r="G12837" s="273"/>
      <c r="H12837" s="88" t="s">
        <v>77</v>
      </c>
      <c r="I12837" s="399" t="s">
        <v>920</v>
      </c>
      <c r="J12837" s="273"/>
      <c r="K12837" s="399" t="s">
        <v>453</v>
      </c>
      <c r="L12837" s="273"/>
      <c r="M12837" s="399" t="s">
        <v>921</v>
      </c>
      <c r="N12837" s="273"/>
    </row>
    <row r="12838" spans="1:14" ht="12.75" customHeight="1" x14ac:dyDescent="0.2">
      <c r="A12838" s="400" t="s">
        <v>927</v>
      </c>
      <c r="B12838" s="271"/>
      <c r="C12838" s="271"/>
      <c r="D12838" s="271"/>
      <c r="E12838" s="271"/>
      <c r="F12838" s="271"/>
      <c r="G12838" s="273"/>
      <c r="H12838" s="29" t="str">
        <f>IF(A12838="","",VLOOKUP(A12838,AA_Equipos,7,FALSE))</f>
        <v>% M.O.</v>
      </c>
      <c r="I12838" s="394">
        <f>+M12860</f>
        <v>124550</v>
      </c>
      <c r="J12838" s="273"/>
      <c r="K12838" s="404">
        <v>0.05</v>
      </c>
      <c r="L12838" s="273"/>
      <c r="M12838" s="394">
        <f t="shared" ref="M12838:M12842" si="1683">IF(A12838="","",I12838*K12838)</f>
        <v>6227.5</v>
      </c>
      <c r="N12838" s="273"/>
    </row>
    <row r="12839" spans="1:14" ht="12.75" customHeight="1" x14ac:dyDescent="0.2">
      <c r="A12839" s="403"/>
      <c r="B12839" s="271"/>
      <c r="C12839" s="271"/>
      <c r="D12839" s="271"/>
      <c r="E12839" s="271"/>
      <c r="F12839" s="271"/>
      <c r="G12839" s="273"/>
      <c r="H12839" s="29" t="str">
        <f>IF(A12839="","",VLOOKUP(A12839,AA_Equipos,7,FALSE))</f>
        <v/>
      </c>
      <c r="I12839" s="394" t="str">
        <f>IF(A12839="","",VLOOKUP(A12839,AA_Equipos,8,FALSE))</f>
        <v/>
      </c>
      <c r="J12839" s="273"/>
      <c r="K12839" s="402"/>
      <c r="L12839" s="273"/>
      <c r="M12839" s="394" t="str">
        <f t="shared" si="1683"/>
        <v/>
      </c>
      <c r="N12839" s="273"/>
    </row>
    <row r="12840" spans="1:14" ht="12.75" customHeight="1" x14ac:dyDescent="0.2">
      <c r="A12840" s="400"/>
      <c r="B12840" s="271"/>
      <c r="C12840" s="271"/>
      <c r="D12840" s="271"/>
      <c r="E12840" s="271"/>
      <c r="F12840" s="271"/>
      <c r="G12840" s="273"/>
      <c r="H12840" s="29" t="str">
        <f>IF(A12840="","",VLOOKUP(A12840,AA_Equipos,7,FALSE))</f>
        <v/>
      </c>
      <c r="I12840" s="394" t="str">
        <f>IF(A12840="","",VLOOKUP(A12840,AA_Equipos,8,FALSE))</f>
        <v/>
      </c>
      <c r="J12840" s="273"/>
      <c r="K12840" s="401"/>
      <c r="L12840" s="273"/>
      <c r="M12840" s="394" t="str">
        <f t="shared" si="1683"/>
        <v/>
      </c>
      <c r="N12840" s="273"/>
    </row>
    <row r="12841" spans="1:14" ht="12.75" customHeight="1" x14ac:dyDescent="0.2">
      <c r="A12841" s="400"/>
      <c r="B12841" s="271"/>
      <c r="C12841" s="271"/>
      <c r="D12841" s="271"/>
      <c r="E12841" s="271"/>
      <c r="F12841" s="271"/>
      <c r="G12841" s="273"/>
      <c r="H12841" s="29" t="str">
        <f>IF(A12841="","",VLOOKUP(A12841,AA_Equipos,7,FALSE))</f>
        <v/>
      </c>
      <c r="I12841" s="394" t="str">
        <f>IF(A12841="","",VLOOKUP(A12841,AA_Equipos,8,FALSE))</f>
        <v/>
      </c>
      <c r="J12841" s="273"/>
      <c r="K12841" s="395"/>
      <c r="L12841" s="273"/>
      <c r="M12841" s="394" t="str">
        <f t="shared" si="1683"/>
        <v/>
      </c>
      <c r="N12841" s="273"/>
    </row>
    <row r="12842" spans="1:14" ht="12.75" customHeight="1" x14ac:dyDescent="0.2">
      <c r="A12842" s="400"/>
      <c r="B12842" s="271"/>
      <c r="C12842" s="271"/>
      <c r="D12842" s="271"/>
      <c r="E12842" s="271"/>
      <c r="F12842" s="271"/>
      <c r="G12842" s="273"/>
      <c r="H12842" s="29" t="str">
        <f>IF(A12842="","",VLOOKUP(A12842,AA_Equipos,7,FALSE))</f>
        <v/>
      </c>
      <c r="I12842" s="394" t="str">
        <f>IF(A12842="","",VLOOKUP(A12842,AA_Equipos,8,FALSE))</f>
        <v/>
      </c>
      <c r="J12842" s="273"/>
      <c r="K12842" s="395"/>
      <c r="L12842" s="273"/>
      <c r="M12842" s="394" t="str">
        <f t="shared" si="1683"/>
        <v/>
      </c>
      <c r="N12842" s="273"/>
    </row>
    <row r="12843" spans="1:14" ht="12.75" customHeight="1" x14ac:dyDescent="0.25">
      <c r="A12843" s="4"/>
      <c r="B12843" s="4"/>
      <c r="C12843" s="4"/>
      <c r="D12843" s="4"/>
      <c r="E12843" s="4"/>
      <c r="F12843" s="4"/>
      <c r="G12843" s="4"/>
      <c r="H12843" s="4"/>
      <c r="I12843" s="4"/>
      <c r="J12843" s="4"/>
      <c r="K12843" s="396" t="s">
        <v>444</v>
      </c>
      <c r="L12843" s="273"/>
      <c r="M12843" s="394">
        <f>SUM(M12838:N12842)</f>
        <v>6227.5</v>
      </c>
      <c r="N12843" s="273"/>
    </row>
    <row r="12844" spans="1:14" ht="12.75" customHeight="1" x14ac:dyDescent="0.25">
      <c r="A12844" s="4"/>
      <c r="B12844" s="4"/>
      <c r="C12844" s="4"/>
      <c r="D12844" s="4"/>
      <c r="E12844" s="4"/>
      <c r="F12844" s="4"/>
      <c r="G12844" s="4"/>
      <c r="H12844" s="4"/>
      <c r="I12844" s="4"/>
      <c r="J12844" s="4"/>
      <c r="K12844" s="4"/>
      <c r="L12844" s="4"/>
      <c r="M12844" s="4"/>
      <c r="N12844" s="4"/>
    </row>
    <row r="12845" spans="1:14" ht="12.75" customHeight="1" x14ac:dyDescent="0.2">
      <c r="A12845" s="398" t="s">
        <v>929</v>
      </c>
      <c r="B12845" s="271"/>
      <c r="C12845" s="271"/>
      <c r="D12845" s="271"/>
      <c r="E12845" s="271"/>
      <c r="F12845" s="271"/>
      <c r="G12845" s="271"/>
      <c r="H12845" s="271"/>
      <c r="I12845" s="271"/>
      <c r="J12845" s="271"/>
      <c r="K12845" s="271"/>
      <c r="L12845" s="271"/>
      <c r="M12845" s="271"/>
      <c r="N12845" s="273"/>
    </row>
    <row r="12846" spans="1:14" ht="12.75" customHeight="1" x14ac:dyDescent="0.2">
      <c r="A12846" s="396" t="s">
        <v>76</v>
      </c>
      <c r="B12846" s="271"/>
      <c r="C12846" s="271"/>
      <c r="D12846" s="271"/>
      <c r="E12846" s="271"/>
      <c r="F12846" s="271"/>
      <c r="G12846" s="273"/>
      <c r="H12846" s="88" t="s">
        <v>77</v>
      </c>
      <c r="I12846" s="399" t="s">
        <v>920</v>
      </c>
      <c r="J12846" s="273"/>
      <c r="K12846" s="399" t="s">
        <v>453</v>
      </c>
      <c r="L12846" s="273"/>
      <c r="M12846" s="399" t="s">
        <v>921</v>
      </c>
      <c r="N12846" s="273"/>
    </row>
    <row r="12847" spans="1:14" ht="12.75" customHeight="1" x14ac:dyDescent="0.2">
      <c r="A12847" s="400" t="s">
        <v>1559</v>
      </c>
      <c r="B12847" s="271"/>
      <c r="C12847" s="271"/>
      <c r="D12847" s="271"/>
      <c r="E12847" s="271"/>
      <c r="F12847" s="271"/>
      <c r="G12847" s="273"/>
      <c r="H12847" s="29" t="str">
        <f>IF(A12847="","",VLOOKUP(A12847,AA_Equipos,7,FALSE))</f>
        <v>Día</v>
      </c>
      <c r="I12847" s="394">
        <f>IF(A12847="","",VLOOKUP(A12847,AA_Equipos,8,FALSE))</f>
        <v>74400</v>
      </c>
      <c r="J12847" s="273"/>
      <c r="K12847" s="395">
        <v>0.5</v>
      </c>
      <c r="L12847" s="273"/>
      <c r="M12847" s="394">
        <f t="shared" ref="M12847:M12850" si="1684">IF(A12847="","",I12847*K12847)</f>
        <v>37200</v>
      </c>
      <c r="N12847" s="273"/>
    </row>
    <row r="12848" spans="1:14" ht="12.75" customHeight="1" x14ac:dyDescent="0.2">
      <c r="A12848" s="400" t="s">
        <v>930</v>
      </c>
      <c r="B12848" s="271"/>
      <c r="C12848" s="271"/>
      <c r="D12848" s="271"/>
      <c r="E12848" s="271"/>
      <c r="F12848" s="271"/>
      <c r="G12848" s="273"/>
      <c r="H12848" s="29" t="s">
        <v>24</v>
      </c>
      <c r="I12848" s="394">
        <f>+M12834+M12843</f>
        <v>1188954.5</v>
      </c>
      <c r="J12848" s="273"/>
      <c r="K12848" s="405">
        <v>0.05</v>
      </c>
      <c r="L12848" s="406"/>
      <c r="M12848" s="394">
        <f t="shared" si="1684"/>
        <v>59447.725000000006</v>
      </c>
      <c r="N12848" s="273"/>
    </row>
    <row r="12849" spans="1:15" ht="12.75" customHeight="1" x14ac:dyDescent="0.2">
      <c r="A12849" s="400"/>
      <c r="B12849" s="271"/>
      <c r="C12849" s="271"/>
      <c r="D12849" s="271"/>
      <c r="E12849" s="271"/>
      <c r="F12849" s="271"/>
      <c r="G12849" s="273"/>
      <c r="H12849" s="29"/>
      <c r="I12849" s="394"/>
      <c r="J12849" s="273"/>
      <c r="K12849" s="395"/>
      <c r="L12849" s="273"/>
      <c r="M12849" s="394" t="str">
        <f t="shared" si="1684"/>
        <v/>
      </c>
      <c r="N12849" s="273"/>
    </row>
    <row r="12850" spans="1:15" ht="12.75" customHeight="1" x14ac:dyDescent="0.2">
      <c r="A12850" s="400"/>
      <c r="B12850" s="271"/>
      <c r="C12850" s="271"/>
      <c r="D12850" s="271"/>
      <c r="E12850" s="271"/>
      <c r="F12850" s="271"/>
      <c r="G12850" s="273"/>
      <c r="H12850" s="29"/>
      <c r="I12850" s="394"/>
      <c r="J12850" s="273"/>
      <c r="K12850" s="395"/>
      <c r="L12850" s="273"/>
      <c r="M12850" s="394" t="str">
        <f t="shared" si="1684"/>
        <v/>
      </c>
      <c r="N12850" s="273"/>
    </row>
    <row r="12851" spans="1:15" ht="12.75" customHeight="1" x14ac:dyDescent="0.25">
      <c r="A12851" s="4"/>
      <c r="B12851" s="4"/>
      <c r="C12851" s="4"/>
      <c r="D12851" s="4"/>
      <c r="E12851" s="4"/>
      <c r="F12851" s="4"/>
      <c r="G12851" s="4"/>
      <c r="H12851" s="4"/>
      <c r="I12851" s="4"/>
      <c r="J12851" s="4"/>
      <c r="K12851" s="396" t="s">
        <v>444</v>
      </c>
      <c r="L12851" s="273"/>
      <c r="M12851" s="394">
        <f>SUM(M12847:N12850)</f>
        <v>96647.725000000006</v>
      </c>
      <c r="N12851" s="273"/>
    </row>
    <row r="12852" spans="1:15" ht="12.75" customHeight="1" x14ac:dyDescent="0.25">
      <c r="A12852" s="4"/>
      <c r="B12852" s="4"/>
      <c r="C12852" s="4"/>
      <c r="D12852" s="4"/>
      <c r="E12852" s="4"/>
      <c r="F12852" s="4"/>
      <c r="G12852" s="4"/>
      <c r="H12852" s="4"/>
      <c r="I12852" s="4"/>
      <c r="J12852" s="4"/>
      <c r="K12852" s="4"/>
      <c r="L12852" s="4"/>
      <c r="M12852" s="4"/>
      <c r="N12852" s="4"/>
    </row>
    <row r="12853" spans="1:15" ht="12.75" customHeight="1" x14ac:dyDescent="0.2">
      <c r="A12853" s="398" t="s">
        <v>931</v>
      </c>
      <c r="B12853" s="271"/>
      <c r="C12853" s="271"/>
      <c r="D12853" s="271"/>
      <c r="E12853" s="271"/>
      <c r="F12853" s="271"/>
      <c r="G12853" s="271"/>
      <c r="H12853" s="271"/>
      <c r="I12853" s="271"/>
      <c r="J12853" s="271"/>
      <c r="K12853" s="271"/>
      <c r="L12853" s="271"/>
      <c r="M12853" s="271"/>
      <c r="N12853" s="273"/>
    </row>
    <row r="12854" spans="1:15" ht="12.75" customHeight="1" x14ac:dyDescent="0.2">
      <c r="A12854" s="396" t="s">
        <v>76</v>
      </c>
      <c r="B12854" s="271"/>
      <c r="C12854" s="271"/>
      <c r="D12854" s="271"/>
      <c r="E12854" s="271"/>
      <c r="F12854" s="271"/>
      <c r="G12854" s="273"/>
      <c r="H12854" s="88" t="s">
        <v>77</v>
      </c>
      <c r="I12854" s="399" t="s">
        <v>920</v>
      </c>
      <c r="J12854" s="273"/>
      <c r="K12854" s="90" t="s">
        <v>514</v>
      </c>
      <c r="L12854" s="91" t="s">
        <v>932</v>
      </c>
      <c r="M12854" s="399" t="s">
        <v>921</v>
      </c>
      <c r="N12854" s="273"/>
    </row>
    <row r="12855" spans="1:15" ht="12.75" customHeight="1" x14ac:dyDescent="0.25">
      <c r="A12855" s="393" t="s">
        <v>1301</v>
      </c>
      <c r="B12855" s="271"/>
      <c r="C12855" s="271"/>
      <c r="D12855" s="271"/>
      <c r="E12855" s="271"/>
      <c r="F12855" s="271"/>
      <c r="G12855" s="273"/>
      <c r="H12855" s="29" t="str">
        <f>IF(A12855="","",VLOOKUP(A12855,AA_Cuadrillas,4,FALSE))</f>
        <v>Cuadrilla</v>
      </c>
      <c r="I12855" s="394">
        <f>IF(A12855="","",VLOOKUP(A12855,AA_Cuadrillas,5,FALSE))</f>
        <v>132500</v>
      </c>
      <c r="J12855" s="273"/>
      <c r="K12855" s="9">
        <f>IF(A12855="","",F.P!$I$2)</f>
        <v>1.88</v>
      </c>
      <c r="L12855" s="97">
        <v>0.5</v>
      </c>
      <c r="M12855" s="394">
        <f t="shared" ref="M12855:M12859" si="1685">IF(A12855="","",I12855*K12855*L12855)</f>
        <v>124550</v>
      </c>
      <c r="N12855" s="273"/>
    </row>
    <row r="12856" spans="1:15" ht="12.75" customHeight="1" x14ac:dyDescent="0.25">
      <c r="A12856" s="393"/>
      <c r="B12856" s="271"/>
      <c r="C12856" s="271"/>
      <c r="D12856" s="271"/>
      <c r="E12856" s="271"/>
      <c r="F12856" s="271"/>
      <c r="G12856" s="273"/>
      <c r="H12856" s="29" t="str">
        <f>IF(A12856="","",VLOOKUP(A12856,AA_Cuadrillas,4,FALSE))</f>
        <v/>
      </c>
      <c r="I12856" s="394" t="str">
        <f>IF(A12856="","",VLOOKUP(A12856,AA_Cuadrillas,5,FALSE))</f>
        <v/>
      </c>
      <c r="J12856" s="273"/>
      <c r="K12856" s="9" t="str">
        <f>IF(A12856="","",F.P!$I$2)</f>
        <v/>
      </c>
      <c r="L12856" s="9"/>
      <c r="M12856" s="394" t="str">
        <f t="shared" si="1685"/>
        <v/>
      </c>
      <c r="N12856" s="273"/>
    </row>
    <row r="12857" spans="1:15" ht="12.75" customHeight="1" x14ac:dyDescent="0.25">
      <c r="A12857" s="393"/>
      <c r="B12857" s="271"/>
      <c r="C12857" s="271"/>
      <c r="D12857" s="271"/>
      <c r="E12857" s="271"/>
      <c r="F12857" s="271"/>
      <c r="G12857" s="273"/>
      <c r="H12857" s="29" t="str">
        <f>IF(A12857="","",VLOOKUP(A12857,AA_Cuadrillas,4,FALSE))</f>
        <v/>
      </c>
      <c r="I12857" s="394" t="str">
        <f>IF(A12857="","",VLOOKUP(A12857,AA_Cuadrillas,5,FALSE))</f>
        <v/>
      </c>
      <c r="J12857" s="273"/>
      <c r="K12857" s="9" t="str">
        <f>IF(A12857="","",F.P!$I$2)</f>
        <v/>
      </c>
      <c r="L12857" s="37"/>
      <c r="M12857" s="394" t="str">
        <f t="shared" si="1685"/>
        <v/>
      </c>
      <c r="N12857" s="273"/>
    </row>
    <row r="12858" spans="1:15" ht="12.75" customHeight="1" x14ac:dyDescent="0.25">
      <c r="A12858" s="393"/>
      <c r="B12858" s="271"/>
      <c r="C12858" s="271"/>
      <c r="D12858" s="271"/>
      <c r="E12858" s="271"/>
      <c r="F12858" s="271"/>
      <c r="G12858" s="273"/>
      <c r="H12858" s="29" t="str">
        <f>IF(A12858="","",VLOOKUP(A12858,AA_Cuadrillas,4,FALSE))</f>
        <v/>
      </c>
      <c r="I12858" s="394" t="str">
        <f>IF(A12858="","",VLOOKUP(A12858,AA_Cuadrillas,5,FALSE))</f>
        <v/>
      </c>
      <c r="J12858" s="273"/>
      <c r="K12858" s="9" t="str">
        <f>IF(A12858="","",F.P!$I$2)</f>
        <v/>
      </c>
      <c r="L12858" s="97"/>
      <c r="M12858" s="394" t="str">
        <f t="shared" si="1685"/>
        <v/>
      </c>
      <c r="N12858" s="273"/>
    </row>
    <row r="12859" spans="1:15" ht="12.75" customHeight="1" x14ac:dyDescent="0.25">
      <c r="A12859" s="393"/>
      <c r="B12859" s="271"/>
      <c r="C12859" s="271"/>
      <c r="D12859" s="271"/>
      <c r="E12859" s="271"/>
      <c r="F12859" s="271"/>
      <c r="G12859" s="273"/>
      <c r="H12859" s="29" t="str">
        <f>IF(A12859="","",VLOOKUP(A12859,AA_Cuadrillas,4,FALSE))</f>
        <v/>
      </c>
      <c r="I12859" s="394" t="str">
        <f>IF(A12859="","",VLOOKUP(A12859,AA_Cuadrillas,5,FALSE))</f>
        <v/>
      </c>
      <c r="J12859" s="273"/>
      <c r="K12859" s="9" t="str">
        <f>IF(A12859="","",F.P!$I$2)</f>
        <v/>
      </c>
      <c r="L12859" s="37"/>
      <c r="M12859" s="394" t="str">
        <f t="shared" si="1685"/>
        <v/>
      </c>
      <c r="N12859" s="273"/>
    </row>
    <row r="12860" spans="1:15" ht="12.75" customHeight="1" x14ac:dyDescent="0.25">
      <c r="A12860" s="4"/>
      <c r="B12860" s="4"/>
      <c r="C12860" s="4"/>
      <c r="D12860" s="4"/>
      <c r="E12860" s="4"/>
      <c r="F12860" s="4"/>
      <c r="G12860" s="4"/>
      <c r="H12860" s="4"/>
      <c r="I12860" s="4"/>
      <c r="J12860" s="4"/>
      <c r="K12860" s="396" t="s">
        <v>444</v>
      </c>
      <c r="L12860" s="273"/>
      <c r="M12860" s="394">
        <f>SUM(M12855:N12859)</f>
        <v>124550</v>
      </c>
      <c r="N12860" s="273"/>
    </row>
    <row r="12861" spans="1:15" ht="12.75" customHeight="1" x14ac:dyDescent="0.2"/>
    <row r="12862" spans="1:15" ht="12.75" customHeight="1" x14ac:dyDescent="0.2">
      <c r="A12862" s="397" t="s">
        <v>414</v>
      </c>
      <c r="B12862" s="275"/>
      <c r="C12862" s="275"/>
      <c r="D12862" s="275"/>
      <c r="E12862" s="275"/>
      <c r="F12862" s="275"/>
      <c r="G12862" s="275"/>
      <c r="H12862" s="275"/>
      <c r="I12862" s="275"/>
      <c r="J12862" s="275"/>
      <c r="K12862" s="275"/>
      <c r="L12862" s="275"/>
      <c r="M12862" s="275"/>
      <c r="N12862" s="276"/>
      <c r="O12862" s="166"/>
    </row>
    <row r="12863" spans="1:15" ht="12.75" customHeight="1" x14ac:dyDescent="0.2">
      <c r="A12863" s="277"/>
      <c r="B12863" s="278"/>
      <c r="C12863" s="278"/>
      <c r="D12863" s="278"/>
      <c r="E12863" s="278"/>
      <c r="F12863" s="278"/>
      <c r="G12863" s="278"/>
      <c r="H12863" s="278"/>
      <c r="I12863" s="278"/>
      <c r="J12863" s="278"/>
      <c r="K12863" s="278"/>
      <c r="L12863" s="278"/>
      <c r="M12863" s="278"/>
      <c r="N12863" s="279"/>
      <c r="O12863" s="166"/>
    </row>
    <row r="12864" spans="1:15" ht="12.75" customHeight="1" x14ac:dyDescent="0.2">
      <c r="A12864" s="75"/>
      <c r="B12864" s="75"/>
      <c r="C12864" s="75"/>
      <c r="D12864" s="75"/>
      <c r="E12864" s="75"/>
      <c r="F12864" s="75"/>
      <c r="G12864" s="75"/>
      <c r="H12864" s="75"/>
      <c r="I12864" s="75"/>
      <c r="J12864" s="75"/>
      <c r="K12864" s="75"/>
      <c r="L12864" s="75"/>
      <c r="M12864" s="75"/>
      <c r="N12864" s="75"/>
    </row>
    <row r="12865" spans="1:14" ht="12.75" customHeight="1" x14ac:dyDescent="0.3">
      <c r="A12865" s="79" t="s">
        <v>895</v>
      </c>
      <c r="B12865" s="80" t="str">
        <f>A12862</f>
        <v>TABLERO DE CONTROL DE MOTORES CON ARRANCADOR SUAVE SIEMENS 3RW4047-1BB14 - 1 UN, PLC LOGO! 8 SIEMENS CON MÓDULO DE EXPANSIÓN, RELÉS DE INTERPOSICIÓN, PULSADORES, LUCES DE INDICACIÓN, GABINETE RESGUARDO DE EQUIPOS</v>
      </c>
      <c r="C12865" s="81" t="s">
        <v>916</v>
      </c>
      <c r="D12865" s="82" t="s">
        <v>999</v>
      </c>
      <c r="E12865" s="83" t="s">
        <v>445</v>
      </c>
      <c r="F12865" s="234">
        <f>(H12865+J12865+L12865+N12865)*1.3</f>
        <v>24950435.289000001</v>
      </c>
      <c r="G12865" s="83" t="s">
        <v>607</v>
      </c>
      <c r="H12865" s="86">
        <f>M12884</f>
        <v>18358369</v>
      </c>
      <c r="I12865" s="83" t="s">
        <v>918</v>
      </c>
      <c r="J12865" s="86">
        <f>M12893</f>
        <v>18682.5</v>
      </c>
      <c r="K12865" s="83" t="s">
        <v>609</v>
      </c>
      <c r="L12865" s="86">
        <f>M12901</f>
        <v>441941.03</v>
      </c>
      <c r="M12865" s="83" t="s">
        <v>610</v>
      </c>
      <c r="N12865" s="86">
        <f>M12910</f>
        <v>373650</v>
      </c>
    </row>
    <row r="12866" spans="1:14" ht="12.75" customHeight="1" x14ac:dyDescent="0.25">
      <c r="A12866" s="87"/>
      <c r="B12866" s="87"/>
      <c r="C12866" s="87"/>
      <c r="D12866" s="87"/>
      <c r="E12866" s="87"/>
      <c r="F12866" s="87"/>
      <c r="G12866" s="87"/>
      <c r="H12866" s="12"/>
      <c r="I12866" s="12"/>
      <c r="J12866" s="87"/>
      <c r="K12866" s="215" t="s">
        <v>3217</v>
      </c>
      <c r="L12866" s="215">
        <f>+F12865*presup!$O$5</f>
        <v>32435565.875700001</v>
      </c>
      <c r="M12866" s="87"/>
      <c r="N12866" s="87"/>
    </row>
    <row r="12867" spans="1:14" ht="12.75" customHeight="1" x14ac:dyDescent="0.2">
      <c r="A12867" s="398" t="s">
        <v>919</v>
      </c>
      <c r="B12867" s="271"/>
      <c r="C12867" s="271"/>
      <c r="D12867" s="271"/>
      <c r="E12867" s="271"/>
      <c r="F12867" s="271"/>
      <c r="G12867" s="271"/>
      <c r="H12867" s="271"/>
      <c r="I12867" s="271"/>
      <c r="J12867" s="271"/>
      <c r="K12867" s="271"/>
      <c r="L12867" s="271"/>
      <c r="M12867" s="271"/>
      <c r="N12867" s="273"/>
    </row>
    <row r="12868" spans="1:14" ht="12.75" customHeight="1" x14ac:dyDescent="0.2">
      <c r="A12868" s="396" t="s">
        <v>76</v>
      </c>
      <c r="B12868" s="271"/>
      <c r="C12868" s="271"/>
      <c r="D12868" s="271"/>
      <c r="E12868" s="271"/>
      <c r="F12868" s="271"/>
      <c r="G12868" s="273"/>
      <c r="H12868" s="88" t="s">
        <v>77</v>
      </c>
      <c r="I12868" s="399" t="s">
        <v>920</v>
      </c>
      <c r="J12868" s="273"/>
      <c r="K12868" s="399" t="s">
        <v>453</v>
      </c>
      <c r="L12868" s="273"/>
      <c r="M12868" s="399" t="s">
        <v>921</v>
      </c>
      <c r="N12868" s="273"/>
    </row>
    <row r="12869" spans="1:14" ht="12.75" customHeight="1" x14ac:dyDescent="0.25">
      <c r="A12869" s="309" t="s">
        <v>1684</v>
      </c>
      <c r="B12869" s="271"/>
      <c r="C12869" s="271"/>
      <c r="D12869" s="271"/>
      <c r="E12869" s="271"/>
      <c r="F12869" s="271"/>
      <c r="G12869" s="273"/>
      <c r="H12869" s="29" t="str">
        <f t="shared" ref="H12869:H12883" si="1686">IF(A12869="","",VLOOKUP(A12869,AA_Materiales,7,FALSE))</f>
        <v>Unidad</v>
      </c>
      <c r="I12869" s="394">
        <f t="shared" ref="I12869:I12883" si="1687">IF(A12869="","",VLOOKUP(A12869,AA_Materiales,8,FALSE))</f>
        <v>14393499</v>
      </c>
      <c r="J12869" s="273"/>
      <c r="K12869" s="393">
        <v>1</v>
      </c>
      <c r="L12869" s="273"/>
      <c r="M12869" s="394">
        <f t="shared" ref="M12869:M12883" si="1688">IF(A12869="","",I12869*K12869)</f>
        <v>14393499</v>
      </c>
      <c r="N12869" s="273"/>
    </row>
    <row r="12870" spans="1:14" ht="12.75" customHeight="1" x14ac:dyDescent="0.25">
      <c r="A12870" s="309" t="s">
        <v>1685</v>
      </c>
      <c r="B12870" s="271"/>
      <c r="C12870" s="271"/>
      <c r="D12870" s="271"/>
      <c r="E12870" s="271"/>
      <c r="F12870" s="271"/>
      <c r="G12870" s="273"/>
      <c r="H12870" s="29" t="str">
        <f t="shared" si="1686"/>
        <v>Unidad</v>
      </c>
      <c r="I12870" s="394">
        <f t="shared" si="1687"/>
        <v>1903902</v>
      </c>
      <c r="J12870" s="273"/>
      <c r="K12870" s="393">
        <v>1</v>
      </c>
      <c r="L12870" s="273"/>
      <c r="M12870" s="394">
        <f t="shared" si="1688"/>
        <v>1903902</v>
      </c>
      <c r="N12870" s="273"/>
    </row>
    <row r="12871" spans="1:14" ht="12.75" customHeight="1" x14ac:dyDescent="0.25">
      <c r="A12871" s="309" t="s">
        <v>1652</v>
      </c>
      <c r="B12871" s="271"/>
      <c r="C12871" s="271"/>
      <c r="D12871" s="271"/>
      <c r="E12871" s="271"/>
      <c r="F12871" s="271"/>
      <c r="G12871" s="273"/>
      <c r="H12871" s="29" t="str">
        <f t="shared" si="1686"/>
        <v>Unidad</v>
      </c>
      <c r="I12871" s="394">
        <f t="shared" si="1687"/>
        <v>72965</v>
      </c>
      <c r="J12871" s="273"/>
      <c r="K12871" s="393">
        <v>2</v>
      </c>
      <c r="L12871" s="273"/>
      <c r="M12871" s="394">
        <f t="shared" si="1688"/>
        <v>145930</v>
      </c>
      <c r="N12871" s="273"/>
    </row>
    <row r="12872" spans="1:14" ht="12.75" customHeight="1" x14ac:dyDescent="0.25">
      <c r="A12872" s="309" t="s">
        <v>1653</v>
      </c>
      <c r="B12872" s="271"/>
      <c r="C12872" s="271"/>
      <c r="D12872" s="271"/>
      <c r="E12872" s="271"/>
      <c r="F12872" s="271"/>
      <c r="G12872" s="273"/>
      <c r="H12872" s="29" t="str">
        <f t="shared" si="1686"/>
        <v>Unidad</v>
      </c>
      <c r="I12872" s="394">
        <f t="shared" si="1687"/>
        <v>89106</v>
      </c>
      <c r="J12872" s="273"/>
      <c r="K12872" s="393">
        <v>2</v>
      </c>
      <c r="L12872" s="273"/>
      <c r="M12872" s="394">
        <f t="shared" si="1688"/>
        <v>178212</v>
      </c>
      <c r="N12872" s="273"/>
    </row>
    <row r="12873" spans="1:14" ht="12.75" customHeight="1" x14ac:dyDescent="0.25">
      <c r="A12873" s="309" t="s">
        <v>1654</v>
      </c>
      <c r="B12873" s="271"/>
      <c r="C12873" s="271"/>
      <c r="D12873" s="271"/>
      <c r="E12873" s="271"/>
      <c r="F12873" s="271"/>
      <c r="G12873" s="273"/>
      <c r="H12873" s="29" t="str">
        <f t="shared" si="1686"/>
        <v>Unidad</v>
      </c>
      <c r="I12873" s="394">
        <f t="shared" si="1687"/>
        <v>49576</v>
      </c>
      <c r="J12873" s="273"/>
      <c r="K12873" s="393">
        <v>2</v>
      </c>
      <c r="L12873" s="273"/>
      <c r="M12873" s="394">
        <f t="shared" si="1688"/>
        <v>99152</v>
      </c>
      <c r="N12873" s="273"/>
    </row>
    <row r="12874" spans="1:14" ht="12.75" customHeight="1" x14ac:dyDescent="0.25">
      <c r="A12874" s="309" t="s">
        <v>1655</v>
      </c>
      <c r="B12874" s="271"/>
      <c r="C12874" s="271"/>
      <c r="D12874" s="271"/>
      <c r="E12874" s="271"/>
      <c r="F12874" s="271"/>
      <c r="G12874" s="273"/>
      <c r="H12874" s="29" t="str">
        <f t="shared" si="1686"/>
        <v>ml</v>
      </c>
      <c r="I12874" s="394">
        <f t="shared" si="1687"/>
        <v>4118</v>
      </c>
      <c r="J12874" s="273"/>
      <c r="K12874" s="393">
        <v>10</v>
      </c>
      <c r="L12874" s="273"/>
      <c r="M12874" s="394">
        <f t="shared" si="1688"/>
        <v>41180</v>
      </c>
      <c r="N12874" s="273"/>
    </row>
    <row r="12875" spans="1:14" ht="12.75" customHeight="1" x14ac:dyDescent="0.25">
      <c r="A12875" s="309" t="s">
        <v>1686</v>
      </c>
      <c r="B12875" s="271"/>
      <c r="C12875" s="271"/>
      <c r="D12875" s="271"/>
      <c r="E12875" s="271"/>
      <c r="F12875" s="271"/>
      <c r="G12875" s="273"/>
      <c r="H12875" s="29" t="str">
        <f t="shared" si="1686"/>
        <v>Unidad</v>
      </c>
      <c r="I12875" s="394">
        <f t="shared" si="1687"/>
        <v>395294</v>
      </c>
      <c r="J12875" s="273"/>
      <c r="K12875" s="393">
        <v>1</v>
      </c>
      <c r="L12875" s="273"/>
      <c r="M12875" s="394">
        <f t="shared" si="1688"/>
        <v>395294</v>
      </c>
      <c r="N12875" s="273"/>
    </row>
    <row r="12876" spans="1:14" ht="12.75" customHeight="1" x14ac:dyDescent="0.25">
      <c r="A12876" s="309" t="s">
        <v>1657</v>
      </c>
      <c r="B12876" s="271"/>
      <c r="C12876" s="271"/>
      <c r="D12876" s="271"/>
      <c r="E12876" s="271"/>
      <c r="F12876" s="271"/>
      <c r="G12876" s="273"/>
      <c r="H12876" s="29" t="str">
        <f t="shared" si="1686"/>
        <v>Unidad</v>
      </c>
      <c r="I12876" s="394">
        <f t="shared" si="1687"/>
        <v>1201200</v>
      </c>
      <c r="J12876" s="273"/>
      <c r="K12876" s="393">
        <v>1</v>
      </c>
      <c r="L12876" s="273"/>
      <c r="M12876" s="394">
        <f t="shared" si="1688"/>
        <v>1201200</v>
      </c>
      <c r="N12876" s="273"/>
    </row>
    <row r="12877" spans="1:14" ht="12.75" customHeight="1" x14ac:dyDescent="0.25">
      <c r="A12877" s="309"/>
      <c r="B12877" s="271"/>
      <c r="C12877" s="271"/>
      <c r="D12877" s="271"/>
      <c r="E12877" s="271"/>
      <c r="F12877" s="271"/>
      <c r="G12877" s="273"/>
      <c r="H12877" s="29" t="str">
        <f t="shared" si="1686"/>
        <v/>
      </c>
      <c r="I12877" s="394" t="str">
        <f t="shared" si="1687"/>
        <v/>
      </c>
      <c r="J12877" s="273"/>
      <c r="K12877" s="393"/>
      <c r="L12877" s="273"/>
      <c r="M12877" s="394" t="str">
        <f t="shared" si="1688"/>
        <v/>
      </c>
      <c r="N12877" s="273"/>
    </row>
    <row r="12878" spans="1:14" ht="12.75" customHeight="1" x14ac:dyDescent="0.25">
      <c r="A12878" s="309"/>
      <c r="B12878" s="271"/>
      <c r="C12878" s="271"/>
      <c r="D12878" s="271"/>
      <c r="E12878" s="271"/>
      <c r="F12878" s="271"/>
      <c r="G12878" s="273"/>
      <c r="H12878" s="29" t="str">
        <f t="shared" si="1686"/>
        <v/>
      </c>
      <c r="I12878" s="394" t="str">
        <f t="shared" si="1687"/>
        <v/>
      </c>
      <c r="J12878" s="273"/>
      <c r="K12878" s="393"/>
      <c r="L12878" s="273"/>
      <c r="M12878" s="394" t="str">
        <f t="shared" si="1688"/>
        <v/>
      </c>
      <c r="N12878" s="273"/>
    </row>
    <row r="12879" spans="1:14" ht="12.75" customHeight="1" x14ac:dyDescent="0.25">
      <c r="A12879" s="309"/>
      <c r="B12879" s="271"/>
      <c r="C12879" s="271"/>
      <c r="D12879" s="271"/>
      <c r="E12879" s="271"/>
      <c r="F12879" s="271"/>
      <c r="G12879" s="273"/>
      <c r="H12879" s="29" t="str">
        <f t="shared" si="1686"/>
        <v/>
      </c>
      <c r="I12879" s="394" t="str">
        <f t="shared" si="1687"/>
        <v/>
      </c>
      <c r="J12879" s="273"/>
      <c r="K12879" s="393"/>
      <c r="L12879" s="273"/>
      <c r="M12879" s="394" t="str">
        <f t="shared" si="1688"/>
        <v/>
      </c>
      <c r="N12879" s="273"/>
    </row>
    <row r="12880" spans="1:14" ht="12.75" customHeight="1" x14ac:dyDescent="0.25">
      <c r="A12880" s="309"/>
      <c r="B12880" s="271"/>
      <c r="C12880" s="271"/>
      <c r="D12880" s="271"/>
      <c r="E12880" s="271"/>
      <c r="F12880" s="271"/>
      <c r="G12880" s="273"/>
      <c r="H12880" s="29" t="str">
        <f t="shared" si="1686"/>
        <v/>
      </c>
      <c r="I12880" s="394" t="str">
        <f t="shared" si="1687"/>
        <v/>
      </c>
      <c r="J12880" s="273"/>
      <c r="K12880" s="393"/>
      <c r="L12880" s="273"/>
      <c r="M12880" s="394" t="str">
        <f t="shared" si="1688"/>
        <v/>
      </c>
      <c r="N12880" s="273"/>
    </row>
    <row r="12881" spans="1:14" ht="12.75" customHeight="1" x14ac:dyDescent="0.25">
      <c r="A12881" s="309"/>
      <c r="B12881" s="271"/>
      <c r="C12881" s="271"/>
      <c r="D12881" s="271"/>
      <c r="E12881" s="271"/>
      <c r="F12881" s="271"/>
      <c r="G12881" s="273"/>
      <c r="H12881" s="29" t="str">
        <f t="shared" si="1686"/>
        <v/>
      </c>
      <c r="I12881" s="394" t="str">
        <f t="shared" si="1687"/>
        <v/>
      </c>
      <c r="J12881" s="273"/>
      <c r="K12881" s="393"/>
      <c r="L12881" s="273"/>
      <c r="M12881" s="394" t="str">
        <f t="shared" si="1688"/>
        <v/>
      </c>
      <c r="N12881" s="273"/>
    </row>
    <row r="12882" spans="1:14" ht="12.75" customHeight="1" x14ac:dyDescent="0.25">
      <c r="A12882" s="309"/>
      <c r="B12882" s="271"/>
      <c r="C12882" s="271"/>
      <c r="D12882" s="271"/>
      <c r="E12882" s="271"/>
      <c r="F12882" s="271"/>
      <c r="G12882" s="273"/>
      <c r="H12882" s="29" t="str">
        <f t="shared" si="1686"/>
        <v/>
      </c>
      <c r="I12882" s="394" t="str">
        <f t="shared" si="1687"/>
        <v/>
      </c>
      <c r="J12882" s="273"/>
      <c r="K12882" s="393"/>
      <c r="L12882" s="273"/>
      <c r="M12882" s="394" t="str">
        <f t="shared" si="1688"/>
        <v/>
      </c>
      <c r="N12882" s="273"/>
    </row>
    <row r="12883" spans="1:14" ht="12.75" customHeight="1" x14ac:dyDescent="0.25">
      <c r="A12883" s="309"/>
      <c r="B12883" s="271"/>
      <c r="C12883" s="271"/>
      <c r="D12883" s="271"/>
      <c r="E12883" s="271"/>
      <c r="F12883" s="271"/>
      <c r="G12883" s="273"/>
      <c r="H12883" s="29" t="str">
        <f t="shared" si="1686"/>
        <v/>
      </c>
      <c r="I12883" s="394" t="str">
        <f t="shared" si="1687"/>
        <v/>
      </c>
      <c r="J12883" s="273"/>
      <c r="K12883" s="393"/>
      <c r="L12883" s="273"/>
      <c r="M12883" s="394" t="str">
        <f t="shared" si="1688"/>
        <v/>
      </c>
      <c r="N12883" s="273"/>
    </row>
    <row r="12884" spans="1:14" ht="12.75" customHeight="1" x14ac:dyDescent="0.25">
      <c r="A12884" s="4"/>
      <c r="B12884" s="4"/>
      <c r="C12884" s="4"/>
      <c r="D12884" s="4"/>
      <c r="E12884" s="4"/>
      <c r="F12884" s="4"/>
      <c r="G12884" s="4"/>
      <c r="H12884" s="4"/>
      <c r="I12884" s="4"/>
      <c r="J12884" s="4"/>
      <c r="K12884" s="396" t="s">
        <v>444</v>
      </c>
      <c r="L12884" s="273"/>
      <c r="M12884" s="394">
        <f>SUM(M12869:N12883)</f>
        <v>18358369</v>
      </c>
      <c r="N12884" s="273"/>
    </row>
    <row r="12885" spans="1:14" ht="12.75" customHeight="1" x14ac:dyDescent="0.25">
      <c r="A12885" s="4"/>
      <c r="B12885" s="4"/>
      <c r="C12885" s="4"/>
      <c r="D12885" s="4"/>
      <c r="E12885" s="4"/>
      <c r="F12885" s="4"/>
      <c r="G12885" s="4"/>
      <c r="H12885" s="4"/>
      <c r="I12885" s="4"/>
      <c r="J12885" s="4"/>
      <c r="K12885" s="4"/>
      <c r="L12885" s="4"/>
      <c r="M12885" s="4"/>
      <c r="N12885" s="4"/>
    </row>
    <row r="12886" spans="1:14" ht="12.75" customHeight="1" x14ac:dyDescent="0.2">
      <c r="A12886" s="398" t="s">
        <v>926</v>
      </c>
      <c r="B12886" s="271"/>
      <c r="C12886" s="271"/>
      <c r="D12886" s="271"/>
      <c r="E12886" s="271"/>
      <c r="F12886" s="271"/>
      <c r="G12886" s="271"/>
      <c r="H12886" s="271"/>
      <c r="I12886" s="271"/>
      <c r="J12886" s="271"/>
      <c r="K12886" s="271"/>
      <c r="L12886" s="271"/>
      <c r="M12886" s="271"/>
      <c r="N12886" s="273"/>
    </row>
    <row r="12887" spans="1:14" ht="12.75" customHeight="1" x14ac:dyDescent="0.2">
      <c r="A12887" s="396" t="s">
        <v>76</v>
      </c>
      <c r="B12887" s="271"/>
      <c r="C12887" s="271"/>
      <c r="D12887" s="271"/>
      <c r="E12887" s="271"/>
      <c r="F12887" s="271"/>
      <c r="G12887" s="273"/>
      <c r="H12887" s="88" t="s">
        <v>77</v>
      </c>
      <c r="I12887" s="399" t="s">
        <v>920</v>
      </c>
      <c r="J12887" s="273"/>
      <c r="K12887" s="399" t="s">
        <v>453</v>
      </c>
      <c r="L12887" s="273"/>
      <c r="M12887" s="399" t="s">
        <v>921</v>
      </c>
      <c r="N12887" s="273"/>
    </row>
    <row r="12888" spans="1:14" ht="12.75" customHeight="1" x14ac:dyDescent="0.2">
      <c r="A12888" s="400" t="s">
        <v>927</v>
      </c>
      <c r="B12888" s="271"/>
      <c r="C12888" s="271"/>
      <c r="D12888" s="271"/>
      <c r="E12888" s="271"/>
      <c r="F12888" s="271"/>
      <c r="G12888" s="273"/>
      <c r="H12888" s="29" t="str">
        <f>IF(A12888="","",VLOOKUP(A12888,AA_Equipos,7,FALSE))</f>
        <v>% M.O.</v>
      </c>
      <c r="I12888" s="394">
        <f>+M12910</f>
        <v>373650</v>
      </c>
      <c r="J12888" s="273"/>
      <c r="K12888" s="404">
        <v>0.05</v>
      </c>
      <c r="L12888" s="273"/>
      <c r="M12888" s="394">
        <f t="shared" ref="M12888:M12892" si="1689">IF(A12888="","",I12888*K12888)</f>
        <v>18682.5</v>
      </c>
      <c r="N12888" s="273"/>
    </row>
    <row r="12889" spans="1:14" ht="12.75" customHeight="1" x14ac:dyDescent="0.2">
      <c r="A12889" s="403"/>
      <c r="B12889" s="271"/>
      <c r="C12889" s="271"/>
      <c r="D12889" s="271"/>
      <c r="E12889" s="271"/>
      <c r="F12889" s="271"/>
      <c r="G12889" s="273"/>
      <c r="H12889" s="29" t="str">
        <f>IF(A12889="","",VLOOKUP(A12889,AA_Equipos,7,FALSE))</f>
        <v/>
      </c>
      <c r="I12889" s="394" t="str">
        <f>IF(A12889="","",VLOOKUP(A12889,AA_Equipos,8,FALSE))</f>
        <v/>
      </c>
      <c r="J12889" s="273"/>
      <c r="K12889" s="402"/>
      <c r="L12889" s="273"/>
      <c r="M12889" s="394" t="str">
        <f t="shared" si="1689"/>
        <v/>
      </c>
      <c r="N12889" s="273"/>
    </row>
    <row r="12890" spans="1:14" ht="12.75" customHeight="1" x14ac:dyDescent="0.2">
      <c r="A12890" s="400"/>
      <c r="B12890" s="271"/>
      <c r="C12890" s="271"/>
      <c r="D12890" s="271"/>
      <c r="E12890" s="271"/>
      <c r="F12890" s="271"/>
      <c r="G12890" s="273"/>
      <c r="H12890" s="29" t="str">
        <f>IF(A12890="","",VLOOKUP(A12890,AA_Equipos,7,FALSE))</f>
        <v/>
      </c>
      <c r="I12890" s="394" t="str">
        <f>IF(A12890="","",VLOOKUP(A12890,AA_Equipos,8,FALSE))</f>
        <v/>
      </c>
      <c r="J12890" s="273"/>
      <c r="K12890" s="401"/>
      <c r="L12890" s="273"/>
      <c r="M12890" s="394" t="str">
        <f t="shared" si="1689"/>
        <v/>
      </c>
      <c r="N12890" s="273"/>
    </row>
    <row r="12891" spans="1:14" ht="12.75" customHeight="1" x14ac:dyDescent="0.2">
      <c r="A12891" s="400"/>
      <c r="B12891" s="271"/>
      <c r="C12891" s="271"/>
      <c r="D12891" s="271"/>
      <c r="E12891" s="271"/>
      <c r="F12891" s="271"/>
      <c r="G12891" s="273"/>
      <c r="H12891" s="29" t="str">
        <f>IF(A12891="","",VLOOKUP(A12891,AA_Equipos,7,FALSE))</f>
        <v/>
      </c>
      <c r="I12891" s="394" t="str">
        <f>IF(A12891="","",VLOOKUP(A12891,AA_Equipos,8,FALSE))</f>
        <v/>
      </c>
      <c r="J12891" s="273"/>
      <c r="K12891" s="395"/>
      <c r="L12891" s="273"/>
      <c r="M12891" s="394" t="str">
        <f t="shared" si="1689"/>
        <v/>
      </c>
      <c r="N12891" s="273"/>
    </row>
    <row r="12892" spans="1:14" ht="12.75" customHeight="1" x14ac:dyDescent="0.2">
      <c r="A12892" s="400"/>
      <c r="B12892" s="271"/>
      <c r="C12892" s="271"/>
      <c r="D12892" s="271"/>
      <c r="E12892" s="271"/>
      <c r="F12892" s="271"/>
      <c r="G12892" s="273"/>
      <c r="H12892" s="29" t="str">
        <f>IF(A12892="","",VLOOKUP(A12892,AA_Equipos,7,FALSE))</f>
        <v/>
      </c>
      <c r="I12892" s="394" t="str">
        <f>IF(A12892="","",VLOOKUP(A12892,AA_Equipos,8,FALSE))</f>
        <v/>
      </c>
      <c r="J12892" s="273"/>
      <c r="K12892" s="395"/>
      <c r="L12892" s="273"/>
      <c r="M12892" s="394" t="str">
        <f t="shared" si="1689"/>
        <v/>
      </c>
      <c r="N12892" s="273"/>
    </row>
    <row r="12893" spans="1:14" ht="12.75" customHeight="1" x14ac:dyDescent="0.25">
      <c r="A12893" s="4"/>
      <c r="B12893" s="4"/>
      <c r="C12893" s="4"/>
      <c r="D12893" s="4"/>
      <c r="E12893" s="4"/>
      <c r="F12893" s="4"/>
      <c r="G12893" s="4"/>
      <c r="H12893" s="4"/>
      <c r="I12893" s="4"/>
      <c r="J12893" s="4"/>
      <c r="K12893" s="396" t="s">
        <v>444</v>
      </c>
      <c r="L12893" s="273"/>
      <c r="M12893" s="394">
        <f>SUM(M12888:N12892)</f>
        <v>18682.5</v>
      </c>
      <c r="N12893" s="273"/>
    </row>
    <row r="12894" spans="1:14" ht="12.75" customHeight="1" x14ac:dyDescent="0.25">
      <c r="A12894" s="4"/>
      <c r="B12894" s="4"/>
      <c r="C12894" s="4"/>
      <c r="D12894" s="4"/>
      <c r="E12894" s="4"/>
      <c r="F12894" s="4"/>
      <c r="G12894" s="4"/>
      <c r="H12894" s="4"/>
      <c r="I12894" s="4"/>
      <c r="J12894" s="4"/>
      <c r="K12894" s="4"/>
      <c r="L12894" s="4"/>
      <c r="M12894" s="4"/>
      <c r="N12894" s="4"/>
    </row>
    <row r="12895" spans="1:14" ht="12.75" customHeight="1" x14ac:dyDescent="0.2">
      <c r="A12895" s="398" t="s">
        <v>929</v>
      </c>
      <c r="B12895" s="271"/>
      <c r="C12895" s="271"/>
      <c r="D12895" s="271"/>
      <c r="E12895" s="271"/>
      <c r="F12895" s="271"/>
      <c r="G12895" s="271"/>
      <c r="H12895" s="271"/>
      <c r="I12895" s="271"/>
      <c r="J12895" s="271"/>
      <c r="K12895" s="271"/>
      <c r="L12895" s="271"/>
      <c r="M12895" s="271"/>
      <c r="N12895" s="273"/>
    </row>
    <row r="12896" spans="1:14" ht="12.75" customHeight="1" x14ac:dyDescent="0.2">
      <c r="A12896" s="396" t="s">
        <v>76</v>
      </c>
      <c r="B12896" s="271"/>
      <c r="C12896" s="271"/>
      <c r="D12896" s="271"/>
      <c r="E12896" s="271"/>
      <c r="F12896" s="271"/>
      <c r="G12896" s="273"/>
      <c r="H12896" s="88" t="s">
        <v>77</v>
      </c>
      <c r="I12896" s="399" t="s">
        <v>920</v>
      </c>
      <c r="J12896" s="273"/>
      <c r="K12896" s="399" t="s">
        <v>453</v>
      </c>
      <c r="L12896" s="273"/>
      <c r="M12896" s="399" t="s">
        <v>921</v>
      </c>
      <c r="N12896" s="273"/>
    </row>
    <row r="12897" spans="1:15" ht="12.75" customHeight="1" x14ac:dyDescent="0.2">
      <c r="A12897" s="400" t="s">
        <v>1559</v>
      </c>
      <c r="B12897" s="271"/>
      <c r="C12897" s="271"/>
      <c r="D12897" s="271"/>
      <c r="E12897" s="271"/>
      <c r="F12897" s="271"/>
      <c r="G12897" s="273"/>
      <c r="H12897" s="29" t="str">
        <f>IF(A12897="","",VLOOKUP(A12897,AA_Equipos,7,FALSE))</f>
        <v>Día</v>
      </c>
      <c r="I12897" s="394">
        <f>IF(A12897="","",VLOOKUP(A12897,AA_Equipos,8,FALSE))</f>
        <v>74400</v>
      </c>
      <c r="J12897" s="273"/>
      <c r="K12897" s="395">
        <v>1</v>
      </c>
      <c r="L12897" s="273"/>
      <c r="M12897" s="394">
        <f t="shared" ref="M12897:M12900" si="1690">IF(A12897="","",I12897*K12897)</f>
        <v>74400</v>
      </c>
      <c r="N12897" s="273"/>
    </row>
    <row r="12898" spans="1:15" ht="12.75" customHeight="1" x14ac:dyDescent="0.2">
      <c r="A12898" s="400" t="s">
        <v>930</v>
      </c>
      <c r="B12898" s="271"/>
      <c r="C12898" s="271"/>
      <c r="D12898" s="271"/>
      <c r="E12898" s="271"/>
      <c r="F12898" s="271"/>
      <c r="G12898" s="273"/>
      <c r="H12898" s="29" t="s">
        <v>24</v>
      </c>
      <c r="I12898" s="394">
        <f>+M12884+M12893</f>
        <v>18377051.5</v>
      </c>
      <c r="J12898" s="273"/>
      <c r="K12898" s="405">
        <v>0.02</v>
      </c>
      <c r="L12898" s="406"/>
      <c r="M12898" s="394">
        <f t="shared" si="1690"/>
        <v>367541.03</v>
      </c>
      <c r="N12898" s="273"/>
    </row>
    <row r="12899" spans="1:15" ht="12.75" customHeight="1" x14ac:dyDescent="0.2">
      <c r="A12899" s="400"/>
      <c r="B12899" s="271"/>
      <c r="C12899" s="271"/>
      <c r="D12899" s="271"/>
      <c r="E12899" s="271"/>
      <c r="F12899" s="271"/>
      <c r="G12899" s="273"/>
      <c r="H12899" s="29"/>
      <c r="I12899" s="394"/>
      <c r="J12899" s="273"/>
      <c r="K12899" s="395"/>
      <c r="L12899" s="273"/>
      <c r="M12899" s="394" t="str">
        <f t="shared" si="1690"/>
        <v/>
      </c>
      <c r="N12899" s="273"/>
    </row>
    <row r="12900" spans="1:15" ht="12.75" customHeight="1" x14ac:dyDescent="0.2">
      <c r="A12900" s="400"/>
      <c r="B12900" s="271"/>
      <c r="C12900" s="271"/>
      <c r="D12900" s="271"/>
      <c r="E12900" s="271"/>
      <c r="F12900" s="271"/>
      <c r="G12900" s="273"/>
      <c r="H12900" s="29"/>
      <c r="I12900" s="394"/>
      <c r="J12900" s="273"/>
      <c r="K12900" s="395"/>
      <c r="L12900" s="273"/>
      <c r="M12900" s="394" t="str">
        <f t="shared" si="1690"/>
        <v/>
      </c>
      <c r="N12900" s="273"/>
    </row>
    <row r="12901" spans="1:15" ht="12.75" customHeight="1" x14ac:dyDescent="0.25">
      <c r="A12901" s="4"/>
      <c r="B12901" s="4"/>
      <c r="C12901" s="4"/>
      <c r="D12901" s="4"/>
      <c r="E12901" s="4"/>
      <c r="F12901" s="4"/>
      <c r="G12901" s="4"/>
      <c r="H12901" s="4"/>
      <c r="I12901" s="4"/>
      <c r="J12901" s="4"/>
      <c r="K12901" s="396" t="s">
        <v>444</v>
      </c>
      <c r="L12901" s="273"/>
      <c r="M12901" s="394">
        <f>SUM(M12897:N12900)</f>
        <v>441941.03</v>
      </c>
      <c r="N12901" s="273"/>
    </row>
    <row r="12902" spans="1:15" ht="12.75" customHeight="1" x14ac:dyDescent="0.25">
      <c r="A12902" s="4"/>
      <c r="B12902" s="4"/>
      <c r="C12902" s="4"/>
      <c r="D12902" s="4"/>
      <c r="E12902" s="4"/>
      <c r="F12902" s="4"/>
      <c r="G12902" s="4"/>
      <c r="H12902" s="4"/>
      <c r="I12902" s="4"/>
      <c r="J12902" s="4"/>
      <c r="K12902" s="4"/>
      <c r="L12902" s="4"/>
      <c r="M12902" s="4"/>
      <c r="N12902" s="4"/>
    </row>
    <row r="12903" spans="1:15" ht="12.75" customHeight="1" x14ac:dyDescent="0.2">
      <c r="A12903" s="398" t="s">
        <v>931</v>
      </c>
      <c r="B12903" s="271"/>
      <c r="C12903" s="271"/>
      <c r="D12903" s="271"/>
      <c r="E12903" s="271"/>
      <c r="F12903" s="271"/>
      <c r="G12903" s="271"/>
      <c r="H12903" s="271"/>
      <c r="I12903" s="271"/>
      <c r="J12903" s="271"/>
      <c r="K12903" s="271"/>
      <c r="L12903" s="271"/>
      <c r="M12903" s="271"/>
      <c r="N12903" s="273"/>
    </row>
    <row r="12904" spans="1:15" ht="12.75" customHeight="1" x14ac:dyDescent="0.2">
      <c r="A12904" s="396" t="s">
        <v>76</v>
      </c>
      <c r="B12904" s="271"/>
      <c r="C12904" s="271"/>
      <c r="D12904" s="271"/>
      <c r="E12904" s="271"/>
      <c r="F12904" s="271"/>
      <c r="G12904" s="273"/>
      <c r="H12904" s="88" t="s">
        <v>77</v>
      </c>
      <c r="I12904" s="399" t="s">
        <v>920</v>
      </c>
      <c r="J12904" s="273"/>
      <c r="K12904" s="90" t="s">
        <v>514</v>
      </c>
      <c r="L12904" s="91" t="s">
        <v>932</v>
      </c>
      <c r="M12904" s="399" t="s">
        <v>921</v>
      </c>
      <c r="N12904" s="273"/>
    </row>
    <row r="12905" spans="1:15" ht="12.75" customHeight="1" x14ac:dyDescent="0.25">
      <c r="A12905" s="393" t="s">
        <v>1301</v>
      </c>
      <c r="B12905" s="271"/>
      <c r="C12905" s="271"/>
      <c r="D12905" s="271"/>
      <c r="E12905" s="271"/>
      <c r="F12905" s="271"/>
      <c r="G12905" s="273"/>
      <c r="H12905" s="29" t="str">
        <f>IF(A12905="","",VLOOKUP(A12905,AA_Cuadrillas,4,FALSE))</f>
        <v>Cuadrilla</v>
      </c>
      <c r="I12905" s="394">
        <f>IF(A12905="","",VLOOKUP(A12905,AA_Cuadrillas,5,FALSE))</f>
        <v>132500</v>
      </c>
      <c r="J12905" s="273"/>
      <c r="K12905" s="9">
        <f>IF(A12905="","",F.P!$I$2)</f>
        <v>1.88</v>
      </c>
      <c r="L12905" s="97">
        <v>1.5</v>
      </c>
      <c r="M12905" s="394">
        <f t="shared" ref="M12905:M12909" si="1691">IF(A12905="","",I12905*K12905*L12905)</f>
        <v>373650</v>
      </c>
      <c r="N12905" s="273"/>
    </row>
    <row r="12906" spans="1:15" ht="12.75" customHeight="1" x14ac:dyDescent="0.25">
      <c r="A12906" s="393"/>
      <c r="B12906" s="271"/>
      <c r="C12906" s="271"/>
      <c r="D12906" s="271"/>
      <c r="E12906" s="271"/>
      <c r="F12906" s="271"/>
      <c r="G12906" s="273"/>
      <c r="H12906" s="29" t="str">
        <f>IF(A12906="","",VLOOKUP(A12906,AA_Cuadrillas,4,FALSE))</f>
        <v/>
      </c>
      <c r="I12906" s="394" t="str">
        <f>IF(A12906="","",VLOOKUP(A12906,AA_Cuadrillas,5,FALSE))</f>
        <v/>
      </c>
      <c r="J12906" s="273"/>
      <c r="K12906" s="9" t="str">
        <f>IF(A12906="","",F.P!$I$2)</f>
        <v/>
      </c>
      <c r="L12906" s="9"/>
      <c r="M12906" s="394" t="str">
        <f t="shared" si="1691"/>
        <v/>
      </c>
      <c r="N12906" s="273"/>
    </row>
    <row r="12907" spans="1:15" ht="12.75" customHeight="1" x14ac:dyDescent="0.25">
      <c r="A12907" s="393"/>
      <c r="B12907" s="271"/>
      <c r="C12907" s="271"/>
      <c r="D12907" s="271"/>
      <c r="E12907" s="271"/>
      <c r="F12907" s="271"/>
      <c r="G12907" s="273"/>
      <c r="H12907" s="29" t="str">
        <f>IF(A12907="","",VLOOKUP(A12907,AA_Cuadrillas,4,FALSE))</f>
        <v/>
      </c>
      <c r="I12907" s="394" t="str">
        <f>IF(A12907="","",VLOOKUP(A12907,AA_Cuadrillas,5,FALSE))</f>
        <v/>
      </c>
      <c r="J12907" s="273"/>
      <c r="K12907" s="9" t="str">
        <f>IF(A12907="","",F.P!$I$2)</f>
        <v/>
      </c>
      <c r="L12907" s="37"/>
      <c r="M12907" s="394" t="str">
        <f t="shared" si="1691"/>
        <v/>
      </c>
      <c r="N12907" s="273"/>
    </row>
    <row r="12908" spans="1:15" ht="12.75" customHeight="1" x14ac:dyDescent="0.25">
      <c r="A12908" s="393"/>
      <c r="B12908" s="271"/>
      <c r="C12908" s="271"/>
      <c r="D12908" s="271"/>
      <c r="E12908" s="271"/>
      <c r="F12908" s="271"/>
      <c r="G12908" s="273"/>
      <c r="H12908" s="29" t="str">
        <f>IF(A12908="","",VLOOKUP(A12908,AA_Cuadrillas,4,FALSE))</f>
        <v/>
      </c>
      <c r="I12908" s="394" t="str">
        <f>IF(A12908="","",VLOOKUP(A12908,AA_Cuadrillas,5,FALSE))</f>
        <v/>
      </c>
      <c r="J12908" s="273"/>
      <c r="K12908" s="9" t="str">
        <f>IF(A12908="","",F.P!$I$2)</f>
        <v/>
      </c>
      <c r="L12908" s="97"/>
      <c r="M12908" s="394" t="str">
        <f t="shared" si="1691"/>
        <v/>
      </c>
      <c r="N12908" s="273"/>
    </row>
    <row r="12909" spans="1:15" ht="12.75" customHeight="1" x14ac:dyDescent="0.25">
      <c r="A12909" s="393"/>
      <c r="B12909" s="271"/>
      <c r="C12909" s="271"/>
      <c r="D12909" s="271"/>
      <c r="E12909" s="271"/>
      <c r="F12909" s="271"/>
      <c r="G12909" s="273"/>
      <c r="H12909" s="29" t="str">
        <f>IF(A12909="","",VLOOKUP(A12909,AA_Cuadrillas,4,FALSE))</f>
        <v/>
      </c>
      <c r="I12909" s="394" t="str">
        <f>IF(A12909="","",VLOOKUP(A12909,AA_Cuadrillas,5,FALSE))</f>
        <v/>
      </c>
      <c r="J12909" s="273"/>
      <c r="K12909" s="9" t="str">
        <f>IF(A12909="","",F.P!$I$2)</f>
        <v/>
      </c>
      <c r="L12909" s="37"/>
      <c r="M12909" s="394" t="str">
        <f t="shared" si="1691"/>
        <v/>
      </c>
      <c r="N12909" s="273"/>
    </row>
    <row r="12910" spans="1:15" ht="12.75" customHeight="1" x14ac:dyDescent="0.25">
      <c r="A12910" s="4"/>
      <c r="B12910" s="4"/>
      <c r="C12910" s="4"/>
      <c r="D12910" s="4"/>
      <c r="E12910" s="4"/>
      <c r="F12910" s="4"/>
      <c r="G12910" s="4"/>
      <c r="H12910" s="4"/>
      <c r="I12910" s="4"/>
      <c r="J12910" s="4"/>
      <c r="K12910" s="396" t="s">
        <v>444</v>
      </c>
      <c r="L12910" s="273"/>
      <c r="M12910" s="394">
        <f>SUM(M12905:N12909)</f>
        <v>373650</v>
      </c>
      <c r="N12910" s="273"/>
    </row>
    <row r="12911" spans="1:15" ht="12.75" customHeight="1" x14ac:dyDescent="0.2"/>
    <row r="12912" spans="1:15" ht="12.75" customHeight="1" x14ac:dyDescent="0.2">
      <c r="A12912" s="397" t="s">
        <v>416</v>
      </c>
      <c r="B12912" s="275"/>
      <c r="C12912" s="275"/>
      <c r="D12912" s="275"/>
      <c r="E12912" s="275"/>
      <c r="F12912" s="275"/>
      <c r="G12912" s="275"/>
      <c r="H12912" s="275"/>
      <c r="I12912" s="275"/>
      <c r="J12912" s="275"/>
      <c r="K12912" s="275"/>
      <c r="L12912" s="275"/>
      <c r="M12912" s="275"/>
      <c r="N12912" s="276"/>
      <c r="O12912" s="166"/>
    </row>
    <row r="12913" spans="1:15" ht="12.75" customHeight="1" x14ac:dyDescent="0.2">
      <c r="A12913" s="277"/>
      <c r="B12913" s="278"/>
      <c r="C12913" s="278"/>
      <c r="D12913" s="278"/>
      <c r="E12913" s="278"/>
      <c r="F12913" s="278"/>
      <c r="G12913" s="278"/>
      <c r="H12913" s="278"/>
      <c r="I12913" s="278"/>
      <c r="J12913" s="278"/>
      <c r="K12913" s="278"/>
      <c r="L12913" s="278"/>
      <c r="M12913" s="278"/>
      <c r="N12913" s="279"/>
      <c r="O12913" s="166"/>
    </row>
    <row r="12914" spans="1:15" ht="12.75" customHeight="1" x14ac:dyDescent="0.2">
      <c r="A12914" s="75"/>
      <c r="B12914" s="75"/>
      <c r="C12914" s="75"/>
      <c r="D12914" s="75"/>
      <c r="E12914" s="75"/>
      <c r="F12914" s="75"/>
      <c r="G12914" s="75"/>
      <c r="H12914" s="75"/>
      <c r="I12914" s="75"/>
      <c r="J12914" s="75"/>
      <c r="K12914" s="75"/>
      <c r="L12914" s="75"/>
      <c r="M12914" s="75"/>
      <c r="N12914" s="75"/>
    </row>
    <row r="12915" spans="1:15" ht="12.75" customHeight="1" x14ac:dyDescent="0.3">
      <c r="A12915" s="79" t="s">
        <v>896</v>
      </c>
      <c r="B12915" s="80" t="str">
        <f>A12912</f>
        <v>TABLERO DE CONTROL DE MOTORES CON ARRANCADOR SUAVE SIEMENS 3RW4028-1BB14 PARA MOTOR 7HP 220V - 1 UN, PLC LOGO! 8 SIEMENS CON MÓDULO DE EXPANSIÓN, RELÉS DE INTERPOSICIÓN, PULSADORES, LUCES DE INDICACIÓN, GABINETE RESGUARDO DE EQUIPOS 900X700X300</v>
      </c>
      <c r="C12915" s="81" t="s">
        <v>916</v>
      </c>
      <c r="D12915" s="82" t="s">
        <v>999</v>
      </c>
      <c r="E12915" s="83" t="s">
        <v>445</v>
      </c>
      <c r="F12915" s="234">
        <f>(H12915+J12915+L12915+N12915)*1.3</f>
        <v>14414823.0655</v>
      </c>
      <c r="G12915" s="83" t="s">
        <v>607</v>
      </c>
      <c r="H12915" s="86">
        <f>M12934</f>
        <v>10311682</v>
      </c>
      <c r="I12915" s="83" t="s">
        <v>918</v>
      </c>
      <c r="J12915" s="86">
        <f>M12943</f>
        <v>18682.5</v>
      </c>
      <c r="K12915" s="83" t="s">
        <v>609</v>
      </c>
      <c r="L12915" s="86">
        <f>M12951</f>
        <v>384310.935</v>
      </c>
      <c r="M12915" s="83" t="s">
        <v>610</v>
      </c>
      <c r="N12915" s="86">
        <f>M12960</f>
        <v>373650</v>
      </c>
    </row>
    <row r="12916" spans="1:15" ht="12.75" customHeight="1" x14ac:dyDescent="0.25">
      <c r="A12916" s="87"/>
      <c r="B12916" s="87"/>
      <c r="C12916" s="87"/>
      <c r="D12916" s="87"/>
      <c r="E12916" s="87"/>
      <c r="F12916" s="87"/>
      <c r="G12916" s="87"/>
      <c r="H12916" s="12"/>
      <c r="I12916" s="12"/>
      <c r="J12916" s="87"/>
      <c r="K12916" s="215" t="s">
        <v>3217</v>
      </c>
      <c r="L12916" s="215">
        <f>+F12915*presup!$O$5</f>
        <v>18739269.985150002</v>
      </c>
      <c r="M12916" s="87"/>
      <c r="N12916" s="87"/>
    </row>
    <row r="12917" spans="1:15" ht="12.75" customHeight="1" x14ac:dyDescent="0.2">
      <c r="A12917" s="398" t="s">
        <v>919</v>
      </c>
      <c r="B12917" s="271"/>
      <c r="C12917" s="271"/>
      <c r="D12917" s="271"/>
      <c r="E12917" s="271"/>
      <c r="F12917" s="271"/>
      <c r="G12917" s="271"/>
      <c r="H12917" s="271"/>
      <c r="I12917" s="271"/>
      <c r="J12917" s="271"/>
      <c r="K12917" s="271"/>
      <c r="L12917" s="271"/>
      <c r="M12917" s="271"/>
      <c r="N12917" s="273"/>
    </row>
    <row r="12918" spans="1:15" ht="12.75" customHeight="1" x14ac:dyDescent="0.2">
      <c r="A12918" s="396" t="s">
        <v>76</v>
      </c>
      <c r="B12918" s="271"/>
      <c r="C12918" s="271"/>
      <c r="D12918" s="271"/>
      <c r="E12918" s="271"/>
      <c r="F12918" s="271"/>
      <c r="G12918" s="273"/>
      <c r="H12918" s="88" t="s">
        <v>77</v>
      </c>
      <c r="I12918" s="399" t="s">
        <v>920</v>
      </c>
      <c r="J12918" s="273"/>
      <c r="K12918" s="399" t="s">
        <v>453</v>
      </c>
      <c r="L12918" s="273"/>
      <c r="M12918" s="399" t="s">
        <v>921</v>
      </c>
      <c r="N12918" s="273"/>
    </row>
    <row r="12919" spans="1:15" ht="12.75" customHeight="1" x14ac:dyDescent="0.25">
      <c r="A12919" s="309" t="s">
        <v>1687</v>
      </c>
      <c r="B12919" s="271"/>
      <c r="C12919" s="271"/>
      <c r="D12919" s="271"/>
      <c r="E12919" s="271"/>
      <c r="F12919" s="271"/>
      <c r="G12919" s="273"/>
      <c r="H12919" s="29" t="str">
        <f t="shared" ref="H12919:H12933" si="1692">IF(A12919="","",VLOOKUP(A12919,AA_Materiales,7,FALSE))</f>
        <v>Unidad</v>
      </c>
      <c r="I12919" s="394">
        <f t="shared" ref="I12919:I12933" si="1693">IF(A12919="","",VLOOKUP(A12919,AA_Materiales,8,FALSE))</f>
        <v>6552000</v>
      </c>
      <c r="J12919" s="273"/>
      <c r="K12919" s="393">
        <v>1</v>
      </c>
      <c r="L12919" s="273"/>
      <c r="M12919" s="394">
        <f t="shared" ref="M12919:M12933" si="1694">IF(A12919="","",I12919*K12919)</f>
        <v>6552000</v>
      </c>
      <c r="N12919" s="273"/>
    </row>
    <row r="12920" spans="1:15" ht="12.75" customHeight="1" x14ac:dyDescent="0.25">
      <c r="A12920" s="309" t="s">
        <v>1688</v>
      </c>
      <c r="B12920" s="271"/>
      <c r="C12920" s="271"/>
      <c r="D12920" s="271"/>
      <c r="E12920" s="271"/>
      <c r="F12920" s="271"/>
      <c r="G12920" s="273"/>
      <c r="H12920" s="29" t="str">
        <f t="shared" si="1692"/>
        <v>Unidad</v>
      </c>
      <c r="I12920" s="394">
        <f t="shared" si="1693"/>
        <v>1719304</v>
      </c>
      <c r="J12920" s="273"/>
      <c r="K12920" s="393">
        <v>1</v>
      </c>
      <c r="L12920" s="273"/>
      <c r="M12920" s="394">
        <f t="shared" si="1694"/>
        <v>1719304</v>
      </c>
      <c r="N12920" s="273"/>
    </row>
    <row r="12921" spans="1:15" ht="12.75" customHeight="1" x14ac:dyDescent="0.25">
      <c r="A12921" s="309" t="s">
        <v>1652</v>
      </c>
      <c r="B12921" s="271"/>
      <c r="C12921" s="271"/>
      <c r="D12921" s="271"/>
      <c r="E12921" s="271"/>
      <c r="F12921" s="271"/>
      <c r="G12921" s="273"/>
      <c r="H12921" s="29" t="str">
        <f t="shared" si="1692"/>
        <v>Unidad</v>
      </c>
      <c r="I12921" s="394">
        <f t="shared" si="1693"/>
        <v>72965</v>
      </c>
      <c r="J12921" s="273"/>
      <c r="K12921" s="393">
        <v>2</v>
      </c>
      <c r="L12921" s="273"/>
      <c r="M12921" s="394">
        <f t="shared" si="1694"/>
        <v>145930</v>
      </c>
      <c r="N12921" s="273"/>
    </row>
    <row r="12922" spans="1:15" ht="12.75" customHeight="1" x14ac:dyDescent="0.25">
      <c r="A12922" s="309" t="s">
        <v>1653</v>
      </c>
      <c r="B12922" s="271"/>
      <c r="C12922" s="271"/>
      <c r="D12922" s="271"/>
      <c r="E12922" s="271"/>
      <c r="F12922" s="271"/>
      <c r="G12922" s="273"/>
      <c r="H12922" s="29" t="str">
        <f t="shared" si="1692"/>
        <v>Unidad</v>
      </c>
      <c r="I12922" s="394">
        <f t="shared" si="1693"/>
        <v>89106</v>
      </c>
      <c r="J12922" s="273"/>
      <c r="K12922" s="393">
        <v>2</v>
      </c>
      <c r="L12922" s="273"/>
      <c r="M12922" s="394">
        <f t="shared" si="1694"/>
        <v>178212</v>
      </c>
      <c r="N12922" s="273"/>
    </row>
    <row r="12923" spans="1:15" ht="12.75" customHeight="1" x14ac:dyDescent="0.25">
      <c r="A12923" s="309" t="s">
        <v>1654</v>
      </c>
      <c r="B12923" s="271"/>
      <c r="C12923" s="271"/>
      <c r="D12923" s="271"/>
      <c r="E12923" s="271"/>
      <c r="F12923" s="271"/>
      <c r="G12923" s="273"/>
      <c r="H12923" s="29" t="str">
        <f t="shared" si="1692"/>
        <v>Unidad</v>
      </c>
      <c r="I12923" s="394">
        <f t="shared" si="1693"/>
        <v>49576</v>
      </c>
      <c r="J12923" s="273"/>
      <c r="K12923" s="393">
        <v>2</v>
      </c>
      <c r="L12923" s="273"/>
      <c r="M12923" s="394">
        <f t="shared" si="1694"/>
        <v>99152</v>
      </c>
      <c r="N12923" s="273"/>
    </row>
    <row r="12924" spans="1:15" ht="12.75" customHeight="1" x14ac:dyDescent="0.25">
      <c r="A12924" s="309" t="s">
        <v>1655</v>
      </c>
      <c r="B12924" s="271"/>
      <c r="C12924" s="271"/>
      <c r="D12924" s="271"/>
      <c r="E12924" s="271"/>
      <c r="F12924" s="271"/>
      <c r="G12924" s="273"/>
      <c r="H12924" s="29" t="str">
        <f t="shared" si="1692"/>
        <v>ml</v>
      </c>
      <c r="I12924" s="394">
        <f t="shared" si="1693"/>
        <v>4118</v>
      </c>
      <c r="J12924" s="273"/>
      <c r="K12924" s="393">
        <v>5</v>
      </c>
      <c r="L12924" s="273"/>
      <c r="M12924" s="394">
        <f t="shared" si="1694"/>
        <v>20590</v>
      </c>
      <c r="N12924" s="273"/>
    </row>
    <row r="12925" spans="1:15" ht="12.75" customHeight="1" x14ac:dyDescent="0.25">
      <c r="A12925" s="309" t="s">
        <v>1686</v>
      </c>
      <c r="B12925" s="271"/>
      <c r="C12925" s="271"/>
      <c r="D12925" s="271"/>
      <c r="E12925" s="271"/>
      <c r="F12925" s="271"/>
      <c r="G12925" s="273"/>
      <c r="H12925" s="29" t="str">
        <f t="shared" si="1692"/>
        <v>Unidad</v>
      </c>
      <c r="I12925" s="394">
        <f t="shared" si="1693"/>
        <v>395294</v>
      </c>
      <c r="J12925" s="273"/>
      <c r="K12925" s="393">
        <v>1</v>
      </c>
      <c r="L12925" s="273"/>
      <c r="M12925" s="394">
        <f t="shared" si="1694"/>
        <v>395294</v>
      </c>
      <c r="N12925" s="273"/>
    </row>
    <row r="12926" spans="1:15" ht="12.75" customHeight="1" x14ac:dyDescent="0.25">
      <c r="A12926" s="309" t="s">
        <v>1657</v>
      </c>
      <c r="B12926" s="271"/>
      <c r="C12926" s="271"/>
      <c r="D12926" s="271"/>
      <c r="E12926" s="271"/>
      <c r="F12926" s="271"/>
      <c r="G12926" s="273"/>
      <c r="H12926" s="29" t="str">
        <f t="shared" si="1692"/>
        <v>Unidad</v>
      </c>
      <c r="I12926" s="394">
        <f t="shared" si="1693"/>
        <v>1201200</v>
      </c>
      <c r="J12926" s="273"/>
      <c r="K12926" s="393">
        <v>1</v>
      </c>
      <c r="L12926" s="273"/>
      <c r="M12926" s="394">
        <f t="shared" si="1694"/>
        <v>1201200</v>
      </c>
      <c r="N12926" s="273"/>
    </row>
    <row r="12927" spans="1:15" ht="12.75" customHeight="1" x14ac:dyDescent="0.25">
      <c r="A12927" s="309"/>
      <c r="B12927" s="271"/>
      <c r="C12927" s="271"/>
      <c r="D12927" s="271"/>
      <c r="E12927" s="271"/>
      <c r="F12927" s="271"/>
      <c r="G12927" s="273"/>
      <c r="H12927" s="29" t="str">
        <f t="shared" si="1692"/>
        <v/>
      </c>
      <c r="I12927" s="394" t="str">
        <f t="shared" si="1693"/>
        <v/>
      </c>
      <c r="J12927" s="273"/>
      <c r="K12927" s="393"/>
      <c r="L12927" s="273"/>
      <c r="M12927" s="394" t="str">
        <f t="shared" si="1694"/>
        <v/>
      </c>
      <c r="N12927" s="273"/>
    </row>
    <row r="12928" spans="1:15" ht="12.75" customHeight="1" x14ac:dyDescent="0.25">
      <c r="A12928" s="309"/>
      <c r="B12928" s="271"/>
      <c r="C12928" s="271"/>
      <c r="D12928" s="271"/>
      <c r="E12928" s="271"/>
      <c r="F12928" s="271"/>
      <c r="G12928" s="273"/>
      <c r="H12928" s="29" t="str">
        <f t="shared" si="1692"/>
        <v/>
      </c>
      <c r="I12928" s="394" t="str">
        <f t="shared" si="1693"/>
        <v/>
      </c>
      <c r="J12928" s="273"/>
      <c r="K12928" s="393"/>
      <c r="L12928" s="273"/>
      <c r="M12928" s="394" t="str">
        <f t="shared" si="1694"/>
        <v/>
      </c>
      <c r="N12928" s="273"/>
    </row>
    <row r="12929" spans="1:14" ht="12.75" customHeight="1" x14ac:dyDescent="0.25">
      <c r="A12929" s="309"/>
      <c r="B12929" s="271"/>
      <c r="C12929" s="271"/>
      <c r="D12929" s="271"/>
      <c r="E12929" s="271"/>
      <c r="F12929" s="271"/>
      <c r="G12929" s="273"/>
      <c r="H12929" s="29" t="str">
        <f t="shared" si="1692"/>
        <v/>
      </c>
      <c r="I12929" s="394" t="str">
        <f t="shared" si="1693"/>
        <v/>
      </c>
      <c r="J12929" s="273"/>
      <c r="K12929" s="393"/>
      <c r="L12929" s="273"/>
      <c r="M12929" s="394" t="str">
        <f t="shared" si="1694"/>
        <v/>
      </c>
      <c r="N12929" s="273"/>
    </row>
    <row r="12930" spans="1:14" ht="12.75" customHeight="1" x14ac:dyDescent="0.25">
      <c r="A12930" s="309"/>
      <c r="B12930" s="271"/>
      <c r="C12930" s="271"/>
      <c r="D12930" s="271"/>
      <c r="E12930" s="271"/>
      <c r="F12930" s="271"/>
      <c r="G12930" s="273"/>
      <c r="H12930" s="29" t="str">
        <f t="shared" si="1692"/>
        <v/>
      </c>
      <c r="I12930" s="394" t="str">
        <f t="shared" si="1693"/>
        <v/>
      </c>
      <c r="J12930" s="273"/>
      <c r="K12930" s="393"/>
      <c r="L12930" s="273"/>
      <c r="M12930" s="394" t="str">
        <f t="shared" si="1694"/>
        <v/>
      </c>
      <c r="N12930" s="273"/>
    </row>
    <row r="12931" spans="1:14" ht="12.75" customHeight="1" x14ac:dyDescent="0.25">
      <c r="A12931" s="309"/>
      <c r="B12931" s="271"/>
      <c r="C12931" s="271"/>
      <c r="D12931" s="271"/>
      <c r="E12931" s="271"/>
      <c r="F12931" s="271"/>
      <c r="G12931" s="273"/>
      <c r="H12931" s="29" t="str">
        <f t="shared" si="1692"/>
        <v/>
      </c>
      <c r="I12931" s="394" t="str">
        <f t="shared" si="1693"/>
        <v/>
      </c>
      <c r="J12931" s="273"/>
      <c r="K12931" s="393"/>
      <c r="L12931" s="273"/>
      <c r="M12931" s="394" t="str">
        <f t="shared" si="1694"/>
        <v/>
      </c>
      <c r="N12931" s="273"/>
    </row>
    <row r="12932" spans="1:14" ht="12.75" customHeight="1" x14ac:dyDescent="0.25">
      <c r="A12932" s="309"/>
      <c r="B12932" s="271"/>
      <c r="C12932" s="271"/>
      <c r="D12932" s="271"/>
      <c r="E12932" s="271"/>
      <c r="F12932" s="271"/>
      <c r="G12932" s="273"/>
      <c r="H12932" s="29" t="str">
        <f t="shared" si="1692"/>
        <v/>
      </c>
      <c r="I12932" s="394" t="str">
        <f t="shared" si="1693"/>
        <v/>
      </c>
      <c r="J12932" s="273"/>
      <c r="K12932" s="393"/>
      <c r="L12932" s="273"/>
      <c r="M12932" s="394" t="str">
        <f t="shared" si="1694"/>
        <v/>
      </c>
      <c r="N12932" s="273"/>
    </row>
    <row r="12933" spans="1:14" ht="12.75" customHeight="1" x14ac:dyDescent="0.25">
      <c r="A12933" s="309"/>
      <c r="B12933" s="271"/>
      <c r="C12933" s="271"/>
      <c r="D12933" s="271"/>
      <c r="E12933" s="271"/>
      <c r="F12933" s="271"/>
      <c r="G12933" s="273"/>
      <c r="H12933" s="29" t="str">
        <f t="shared" si="1692"/>
        <v/>
      </c>
      <c r="I12933" s="394" t="str">
        <f t="shared" si="1693"/>
        <v/>
      </c>
      <c r="J12933" s="273"/>
      <c r="K12933" s="393"/>
      <c r="L12933" s="273"/>
      <c r="M12933" s="394" t="str">
        <f t="shared" si="1694"/>
        <v/>
      </c>
      <c r="N12933" s="273"/>
    </row>
    <row r="12934" spans="1:14" ht="12.75" customHeight="1" x14ac:dyDescent="0.25">
      <c r="A12934" s="4"/>
      <c r="B12934" s="4"/>
      <c r="C12934" s="4"/>
      <c r="D12934" s="4"/>
      <c r="E12934" s="4"/>
      <c r="F12934" s="4"/>
      <c r="G12934" s="4"/>
      <c r="H12934" s="4"/>
      <c r="I12934" s="4"/>
      <c r="J12934" s="4"/>
      <c r="K12934" s="396" t="s">
        <v>444</v>
      </c>
      <c r="L12934" s="273"/>
      <c r="M12934" s="394">
        <f>SUM(M12919:N12933)</f>
        <v>10311682</v>
      </c>
      <c r="N12934" s="273"/>
    </row>
    <row r="12935" spans="1:14" ht="12.75" customHeight="1" x14ac:dyDescent="0.25">
      <c r="A12935" s="4"/>
      <c r="B12935" s="4"/>
      <c r="C12935" s="4"/>
      <c r="D12935" s="4"/>
      <c r="E12935" s="4"/>
      <c r="F12935" s="4"/>
      <c r="G12935" s="4"/>
      <c r="H12935" s="4"/>
      <c r="I12935" s="4"/>
      <c r="J12935" s="4"/>
      <c r="K12935" s="4"/>
      <c r="L12935" s="4"/>
      <c r="M12935" s="4"/>
      <c r="N12935" s="4"/>
    </row>
    <row r="12936" spans="1:14" ht="12.75" customHeight="1" x14ac:dyDescent="0.2">
      <c r="A12936" s="398" t="s">
        <v>926</v>
      </c>
      <c r="B12936" s="271"/>
      <c r="C12936" s="271"/>
      <c r="D12936" s="271"/>
      <c r="E12936" s="271"/>
      <c r="F12936" s="271"/>
      <c r="G12936" s="271"/>
      <c r="H12936" s="271"/>
      <c r="I12936" s="271"/>
      <c r="J12936" s="271"/>
      <c r="K12936" s="271"/>
      <c r="L12936" s="271"/>
      <c r="M12936" s="271"/>
      <c r="N12936" s="273"/>
    </row>
    <row r="12937" spans="1:14" ht="12.75" customHeight="1" x14ac:dyDescent="0.2">
      <c r="A12937" s="396" t="s">
        <v>76</v>
      </c>
      <c r="B12937" s="271"/>
      <c r="C12937" s="271"/>
      <c r="D12937" s="271"/>
      <c r="E12937" s="271"/>
      <c r="F12937" s="271"/>
      <c r="G12937" s="273"/>
      <c r="H12937" s="88" t="s">
        <v>77</v>
      </c>
      <c r="I12937" s="399" t="s">
        <v>920</v>
      </c>
      <c r="J12937" s="273"/>
      <c r="K12937" s="399" t="s">
        <v>453</v>
      </c>
      <c r="L12937" s="273"/>
      <c r="M12937" s="399" t="s">
        <v>921</v>
      </c>
      <c r="N12937" s="273"/>
    </row>
    <row r="12938" spans="1:14" ht="12.75" customHeight="1" x14ac:dyDescent="0.2">
      <c r="A12938" s="400" t="s">
        <v>927</v>
      </c>
      <c r="B12938" s="271"/>
      <c r="C12938" s="271"/>
      <c r="D12938" s="271"/>
      <c r="E12938" s="271"/>
      <c r="F12938" s="271"/>
      <c r="G12938" s="273"/>
      <c r="H12938" s="29" t="str">
        <f>IF(A12938="","",VLOOKUP(A12938,AA_Equipos,7,FALSE))</f>
        <v>% M.O.</v>
      </c>
      <c r="I12938" s="394">
        <f>+M12960</f>
        <v>373650</v>
      </c>
      <c r="J12938" s="273"/>
      <c r="K12938" s="404">
        <v>0.05</v>
      </c>
      <c r="L12938" s="273"/>
      <c r="M12938" s="394">
        <f t="shared" ref="M12938:M12942" si="1695">IF(A12938="","",I12938*K12938)</f>
        <v>18682.5</v>
      </c>
      <c r="N12938" s="273"/>
    </row>
    <row r="12939" spans="1:14" ht="12.75" customHeight="1" x14ac:dyDescent="0.2">
      <c r="A12939" s="403"/>
      <c r="B12939" s="271"/>
      <c r="C12939" s="271"/>
      <c r="D12939" s="271"/>
      <c r="E12939" s="271"/>
      <c r="F12939" s="271"/>
      <c r="G12939" s="273"/>
      <c r="H12939" s="29" t="str">
        <f>IF(A12939="","",VLOOKUP(A12939,AA_Equipos,7,FALSE))</f>
        <v/>
      </c>
      <c r="I12939" s="394" t="str">
        <f>IF(A12939="","",VLOOKUP(A12939,AA_Equipos,8,FALSE))</f>
        <v/>
      </c>
      <c r="J12939" s="273"/>
      <c r="K12939" s="402"/>
      <c r="L12939" s="273"/>
      <c r="M12939" s="394" t="str">
        <f t="shared" si="1695"/>
        <v/>
      </c>
      <c r="N12939" s="273"/>
    </row>
    <row r="12940" spans="1:14" ht="12.75" customHeight="1" x14ac:dyDescent="0.2">
      <c r="A12940" s="400"/>
      <c r="B12940" s="271"/>
      <c r="C12940" s="271"/>
      <c r="D12940" s="271"/>
      <c r="E12940" s="271"/>
      <c r="F12940" s="271"/>
      <c r="G12940" s="273"/>
      <c r="H12940" s="29" t="str">
        <f>IF(A12940="","",VLOOKUP(A12940,AA_Equipos,7,FALSE))</f>
        <v/>
      </c>
      <c r="I12940" s="394" t="str">
        <f>IF(A12940="","",VLOOKUP(A12940,AA_Equipos,8,FALSE))</f>
        <v/>
      </c>
      <c r="J12940" s="273"/>
      <c r="K12940" s="401"/>
      <c r="L12940" s="273"/>
      <c r="M12940" s="394" t="str">
        <f t="shared" si="1695"/>
        <v/>
      </c>
      <c r="N12940" s="273"/>
    </row>
    <row r="12941" spans="1:14" ht="12.75" customHeight="1" x14ac:dyDescent="0.2">
      <c r="A12941" s="400"/>
      <c r="B12941" s="271"/>
      <c r="C12941" s="271"/>
      <c r="D12941" s="271"/>
      <c r="E12941" s="271"/>
      <c r="F12941" s="271"/>
      <c r="G12941" s="273"/>
      <c r="H12941" s="29" t="str">
        <f>IF(A12941="","",VLOOKUP(A12941,AA_Equipos,7,FALSE))</f>
        <v/>
      </c>
      <c r="I12941" s="394" t="str">
        <f>IF(A12941="","",VLOOKUP(A12941,AA_Equipos,8,FALSE))</f>
        <v/>
      </c>
      <c r="J12941" s="273"/>
      <c r="K12941" s="395"/>
      <c r="L12941" s="273"/>
      <c r="M12941" s="394" t="str">
        <f t="shared" si="1695"/>
        <v/>
      </c>
      <c r="N12941" s="273"/>
    </row>
    <row r="12942" spans="1:14" ht="12.75" customHeight="1" x14ac:dyDescent="0.2">
      <c r="A12942" s="400"/>
      <c r="B12942" s="271"/>
      <c r="C12942" s="271"/>
      <c r="D12942" s="271"/>
      <c r="E12942" s="271"/>
      <c r="F12942" s="271"/>
      <c r="G12942" s="273"/>
      <c r="H12942" s="29" t="str">
        <f>IF(A12942="","",VLOOKUP(A12942,AA_Equipos,7,FALSE))</f>
        <v/>
      </c>
      <c r="I12942" s="394" t="str">
        <f>IF(A12942="","",VLOOKUP(A12942,AA_Equipos,8,FALSE))</f>
        <v/>
      </c>
      <c r="J12942" s="273"/>
      <c r="K12942" s="395"/>
      <c r="L12942" s="273"/>
      <c r="M12942" s="394" t="str">
        <f t="shared" si="1695"/>
        <v/>
      </c>
      <c r="N12942" s="273"/>
    </row>
    <row r="12943" spans="1:14" ht="12.75" customHeight="1" x14ac:dyDescent="0.25">
      <c r="A12943" s="4"/>
      <c r="B12943" s="4"/>
      <c r="C12943" s="4"/>
      <c r="D12943" s="4"/>
      <c r="E12943" s="4"/>
      <c r="F12943" s="4"/>
      <c r="G12943" s="4"/>
      <c r="H12943" s="4"/>
      <c r="I12943" s="4"/>
      <c r="J12943" s="4"/>
      <c r="K12943" s="396" t="s">
        <v>444</v>
      </c>
      <c r="L12943" s="273"/>
      <c r="M12943" s="394">
        <f>SUM(M12938:N12942)</f>
        <v>18682.5</v>
      </c>
      <c r="N12943" s="273"/>
    </row>
    <row r="12944" spans="1:14" ht="12.75" customHeight="1" x14ac:dyDescent="0.25">
      <c r="A12944" s="4"/>
      <c r="B12944" s="4"/>
      <c r="C12944" s="4"/>
      <c r="D12944" s="4"/>
      <c r="E12944" s="4"/>
      <c r="F12944" s="4"/>
      <c r="G12944" s="4"/>
      <c r="H12944" s="4"/>
      <c r="I12944" s="4"/>
      <c r="J12944" s="4"/>
      <c r="K12944" s="4"/>
      <c r="L12944" s="4"/>
      <c r="M12944" s="4"/>
      <c r="N12944" s="4"/>
    </row>
    <row r="12945" spans="1:14" ht="12.75" customHeight="1" x14ac:dyDescent="0.2">
      <c r="A12945" s="398" t="s">
        <v>929</v>
      </c>
      <c r="B12945" s="271"/>
      <c r="C12945" s="271"/>
      <c r="D12945" s="271"/>
      <c r="E12945" s="271"/>
      <c r="F12945" s="271"/>
      <c r="G12945" s="271"/>
      <c r="H12945" s="271"/>
      <c r="I12945" s="271"/>
      <c r="J12945" s="271"/>
      <c r="K12945" s="271"/>
      <c r="L12945" s="271"/>
      <c r="M12945" s="271"/>
      <c r="N12945" s="273"/>
    </row>
    <row r="12946" spans="1:14" ht="12.75" customHeight="1" x14ac:dyDescent="0.2">
      <c r="A12946" s="396" t="s">
        <v>76</v>
      </c>
      <c r="B12946" s="271"/>
      <c r="C12946" s="271"/>
      <c r="D12946" s="271"/>
      <c r="E12946" s="271"/>
      <c r="F12946" s="271"/>
      <c r="G12946" s="273"/>
      <c r="H12946" s="88" t="s">
        <v>77</v>
      </c>
      <c r="I12946" s="399" t="s">
        <v>920</v>
      </c>
      <c r="J12946" s="273"/>
      <c r="K12946" s="399" t="s">
        <v>453</v>
      </c>
      <c r="L12946" s="273"/>
      <c r="M12946" s="399" t="s">
        <v>921</v>
      </c>
      <c r="N12946" s="273"/>
    </row>
    <row r="12947" spans="1:14" ht="12.75" customHeight="1" x14ac:dyDescent="0.2">
      <c r="A12947" s="400" t="s">
        <v>1559</v>
      </c>
      <c r="B12947" s="271"/>
      <c r="C12947" s="271"/>
      <c r="D12947" s="271"/>
      <c r="E12947" s="271"/>
      <c r="F12947" s="271"/>
      <c r="G12947" s="273"/>
      <c r="H12947" s="29" t="str">
        <f>IF(A12947="","",VLOOKUP(A12947,AA_Equipos,7,FALSE))</f>
        <v>Día</v>
      </c>
      <c r="I12947" s="394">
        <f>IF(A12947="","",VLOOKUP(A12947,AA_Equipos,8,FALSE))</f>
        <v>74400</v>
      </c>
      <c r="J12947" s="273"/>
      <c r="K12947" s="395">
        <v>1</v>
      </c>
      <c r="L12947" s="273"/>
      <c r="M12947" s="394">
        <f t="shared" ref="M12947:M12950" si="1696">IF(A12947="","",I12947*K12947)</f>
        <v>74400</v>
      </c>
      <c r="N12947" s="273"/>
    </row>
    <row r="12948" spans="1:14" ht="12.75" customHeight="1" x14ac:dyDescent="0.2">
      <c r="A12948" s="400" t="s">
        <v>930</v>
      </c>
      <c r="B12948" s="271"/>
      <c r="C12948" s="271"/>
      <c r="D12948" s="271"/>
      <c r="E12948" s="271"/>
      <c r="F12948" s="271"/>
      <c r="G12948" s="273"/>
      <c r="H12948" s="29" t="s">
        <v>24</v>
      </c>
      <c r="I12948" s="394">
        <f>+M12934+M12943</f>
        <v>10330364.5</v>
      </c>
      <c r="J12948" s="273"/>
      <c r="K12948" s="405">
        <v>0.03</v>
      </c>
      <c r="L12948" s="406"/>
      <c r="M12948" s="394">
        <f t="shared" si="1696"/>
        <v>309910.935</v>
      </c>
      <c r="N12948" s="273"/>
    </row>
    <row r="12949" spans="1:14" ht="12.75" customHeight="1" x14ac:dyDescent="0.2">
      <c r="A12949" s="400"/>
      <c r="B12949" s="271"/>
      <c r="C12949" s="271"/>
      <c r="D12949" s="271"/>
      <c r="E12949" s="271"/>
      <c r="F12949" s="271"/>
      <c r="G12949" s="273"/>
      <c r="H12949" s="29"/>
      <c r="I12949" s="394"/>
      <c r="J12949" s="273"/>
      <c r="K12949" s="395"/>
      <c r="L12949" s="273"/>
      <c r="M12949" s="394" t="str">
        <f t="shared" si="1696"/>
        <v/>
      </c>
      <c r="N12949" s="273"/>
    </row>
    <row r="12950" spans="1:14" ht="12.75" customHeight="1" x14ac:dyDescent="0.2">
      <c r="A12950" s="400"/>
      <c r="B12950" s="271"/>
      <c r="C12950" s="271"/>
      <c r="D12950" s="271"/>
      <c r="E12950" s="271"/>
      <c r="F12950" s="271"/>
      <c r="G12950" s="273"/>
      <c r="H12950" s="29"/>
      <c r="I12950" s="394"/>
      <c r="J12950" s="273"/>
      <c r="K12950" s="395"/>
      <c r="L12950" s="273"/>
      <c r="M12950" s="394" t="str">
        <f t="shared" si="1696"/>
        <v/>
      </c>
      <c r="N12950" s="273"/>
    </row>
    <row r="12951" spans="1:14" ht="12.75" customHeight="1" x14ac:dyDescent="0.25">
      <c r="A12951" s="4"/>
      <c r="B12951" s="4"/>
      <c r="C12951" s="4"/>
      <c r="D12951" s="4"/>
      <c r="E12951" s="4"/>
      <c r="F12951" s="4"/>
      <c r="G12951" s="4"/>
      <c r="H12951" s="4"/>
      <c r="I12951" s="4"/>
      <c r="J12951" s="4"/>
      <c r="K12951" s="396" t="s">
        <v>444</v>
      </c>
      <c r="L12951" s="273"/>
      <c r="M12951" s="394">
        <f>SUM(M12947:N12950)</f>
        <v>384310.935</v>
      </c>
      <c r="N12951" s="273"/>
    </row>
    <row r="12952" spans="1:14" ht="12.75" customHeight="1" x14ac:dyDescent="0.25">
      <c r="A12952" s="4"/>
      <c r="B12952" s="4"/>
      <c r="C12952" s="4"/>
      <c r="D12952" s="4"/>
      <c r="E12952" s="4"/>
      <c r="F12952" s="4"/>
      <c r="G12952" s="4"/>
      <c r="H12952" s="4"/>
      <c r="I12952" s="4"/>
      <c r="J12952" s="4"/>
      <c r="K12952" s="4"/>
      <c r="L12952" s="4"/>
      <c r="M12952" s="4"/>
      <c r="N12952" s="4"/>
    </row>
    <row r="12953" spans="1:14" ht="12.75" customHeight="1" x14ac:dyDescent="0.2">
      <c r="A12953" s="398" t="s">
        <v>931</v>
      </c>
      <c r="B12953" s="271"/>
      <c r="C12953" s="271"/>
      <c r="D12953" s="271"/>
      <c r="E12953" s="271"/>
      <c r="F12953" s="271"/>
      <c r="G12953" s="271"/>
      <c r="H12953" s="271"/>
      <c r="I12953" s="271"/>
      <c r="J12953" s="271"/>
      <c r="K12953" s="271"/>
      <c r="L12953" s="271"/>
      <c r="M12953" s="271"/>
      <c r="N12953" s="273"/>
    </row>
    <row r="12954" spans="1:14" ht="12.75" customHeight="1" x14ac:dyDescent="0.2">
      <c r="A12954" s="396" t="s">
        <v>76</v>
      </c>
      <c r="B12954" s="271"/>
      <c r="C12954" s="271"/>
      <c r="D12954" s="271"/>
      <c r="E12954" s="271"/>
      <c r="F12954" s="271"/>
      <c r="G12954" s="273"/>
      <c r="H12954" s="88" t="s">
        <v>77</v>
      </c>
      <c r="I12954" s="399" t="s">
        <v>920</v>
      </c>
      <c r="J12954" s="273"/>
      <c r="K12954" s="90" t="s">
        <v>514</v>
      </c>
      <c r="L12954" s="91" t="s">
        <v>932</v>
      </c>
      <c r="M12954" s="399" t="s">
        <v>921</v>
      </c>
      <c r="N12954" s="273"/>
    </row>
    <row r="12955" spans="1:14" ht="12.75" customHeight="1" x14ac:dyDescent="0.25">
      <c r="A12955" s="393" t="s">
        <v>1301</v>
      </c>
      <c r="B12955" s="271"/>
      <c r="C12955" s="271"/>
      <c r="D12955" s="271"/>
      <c r="E12955" s="271"/>
      <c r="F12955" s="271"/>
      <c r="G12955" s="273"/>
      <c r="H12955" s="29" t="str">
        <f>IF(A12955="","",VLOOKUP(A12955,AA_Cuadrillas,4,FALSE))</f>
        <v>Cuadrilla</v>
      </c>
      <c r="I12955" s="394">
        <f>IF(A12955="","",VLOOKUP(A12955,AA_Cuadrillas,5,FALSE))</f>
        <v>132500</v>
      </c>
      <c r="J12955" s="273"/>
      <c r="K12955" s="9">
        <f>IF(A12955="","",F.P!$I$2)</f>
        <v>1.88</v>
      </c>
      <c r="L12955" s="97">
        <v>1.5</v>
      </c>
      <c r="M12955" s="394">
        <f t="shared" ref="M12955:M12959" si="1697">IF(A12955="","",I12955*K12955*L12955)</f>
        <v>373650</v>
      </c>
      <c r="N12955" s="273"/>
    </row>
    <row r="12956" spans="1:14" ht="12.75" customHeight="1" x14ac:dyDescent="0.25">
      <c r="A12956" s="393"/>
      <c r="B12956" s="271"/>
      <c r="C12956" s="271"/>
      <c r="D12956" s="271"/>
      <c r="E12956" s="271"/>
      <c r="F12956" s="271"/>
      <c r="G12956" s="273"/>
      <c r="H12956" s="29" t="str">
        <f>IF(A12956="","",VLOOKUP(A12956,AA_Cuadrillas,4,FALSE))</f>
        <v/>
      </c>
      <c r="I12956" s="394" t="str">
        <f>IF(A12956="","",VLOOKUP(A12956,AA_Cuadrillas,5,FALSE))</f>
        <v/>
      </c>
      <c r="J12956" s="273"/>
      <c r="K12956" s="9" t="str">
        <f>IF(A12956="","",F.P!$I$2)</f>
        <v/>
      </c>
      <c r="L12956" s="9"/>
      <c r="M12956" s="394" t="str">
        <f t="shared" si="1697"/>
        <v/>
      </c>
      <c r="N12956" s="273"/>
    </row>
    <row r="12957" spans="1:14" ht="12.75" customHeight="1" x14ac:dyDescent="0.25">
      <c r="A12957" s="393"/>
      <c r="B12957" s="271"/>
      <c r="C12957" s="271"/>
      <c r="D12957" s="271"/>
      <c r="E12957" s="271"/>
      <c r="F12957" s="271"/>
      <c r="G12957" s="273"/>
      <c r="H12957" s="29" t="str">
        <f>IF(A12957="","",VLOOKUP(A12957,AA_Cuadrillas,4,FALSE))</f>
        <v/>
      </c>
      <c r="I12957" s="394" t="str">
        <f>IF(A12957="","",VLOOKUP(A12957,AA_Cuadrillas,5,FALSE))</f>
        <v/>
      </c>
      <c r="J12957" s="273"/>
      <c r="K12957" s="9" t="str">
        <f>IF(A12957="","",F.P!$I$2)</f>
        <v/>
      </c>
      <c r="L12957" s="37"/>
      <c r="M12957" s="394" t="str">
        <f t="shared" si="1697"/>
        <v/>
      </c>
      <c r="N12957" s="273"/>
    </row>
    <row r="12958" spans="1:14" ht="12.75" customHeight="1" x14ac:dyDescent="0.25">
      <c r="A12958" s="393"/>
      <c r="B12958" s="271"/>
      <c r="C12958" s="271"/>
      <c r="D12958" s="271"/>
      <c r="E12958" s="271"/>
      <c r="F12958" s="271"/>
      <c r="G12958" s="273"/>
      <c r="H12958" s="29" t="str">
        <f>IF(A12958="","",VLOOKUP(A12958,AA_Cuadrillas,4,FALSE))</f>
        <v/>
      </c>
      <c r="I12958" s="394" t="str">
        <f>IF(A12958="","",VLOOKUP(A12958,AA_Cuadrillas,5,FALSE))</f>
        <v/>
      </c>
      <c r="J12958" s="273"/>
      <c r="K12958" s="9" t="str">
        <f>IF(A12958="","",F.P!$I$2)</f>
        <v/>
      </c>
      <c r="L12958" s="97"/>
      <c r="M12958" s="394" t="str">
        <f t="shared" si="1697"/>
        <v/>
      </c>
      <c r="N12958" s="273"/>
    </row>
    <row r="12959" spans="1:14" ht="12.75" customHeight="1" x14ac:dyDescent="0.25">
      <c r="A12959" s="393"/>
      <c r="B12959" s="271"/>
      <c r="C12959" s="271"/>
      <c r="D12959" s="271"/>
      <c r="E12959" s="271"/>
      <c r="F12959" s="271"/>
      <c r="G12959" s="273"/>
      <c r="H12959" s="29" t="str">
        <f>IF(A12959="","",VLOOKUP(A12959,AA_Cuadrillas,4,FALSE))</f>
        <v/>
      </c>
      <c r="I12959" s="394" t="str">
        <f>IF(A12959="","",VLOOKUP(A12959,AA_Cuadrillas,5,FALSE))</f>
        <v/>
      </c>
      <c r="J12959" s="273"/>
      <c r="K12959" s="9" t="str">
        <f>IF(A12959="","",F.P!$I$2)</f>
        <v/>
      </c>
      <c r="L12959" s="37"/>
      <c r="M12959" s="394" t="str">
        <f t="shared" si="1697"/>
        <v/>
      </c>
      <c r="N12959" s="273"/>
    </row>
    <row r="12960" spans="1:14" ht="12.75" customHeight="1" x14ac:dyDescent="0.25">
      <c r="A12960" s="4"/>
      <c r="B12960" s="4"/>
      <c r="C12960" s="4"/>
      <c r="D12960" s="4"/>
      <c r="E12960" s="4"/>
      <c r="F12960" s="4"/>
      <c r="G12960" s="4"/>
      <c r="H12960" s="4"/>
      <c r="I12960" s="4"/>
      <c r="J12960" s="4"/>
      <c r="K12960" s="396" t="s">
        <v>444</v>
      </c>
      <c r="L12960" s="273"/>
      <c r="M12960" s="394">
        <f>SUM(M12955:N12959)</f>
        <v>373650</v>
      </c>
      <c r="N12960" s="273"/>
    </row>
    <row r="12961" spans="1:14" ht="12.75" customHeight="1" x14ac:dyDescent="0.2"/>
    <row r="12962" spans="1:14" ht="12.75" customHeight="1" x14ac:dyDescent="0.2">
      <c r="A12962" s="397" t="s">
        <v>418</v>
      </c>
      <c r="B12962" s="275"/>
      <c r="C12962" s="275"/>
      <c r="D12962" s="275"/>
      <c r="E12962" s="275"/>
      <c r="F12962" s="275"/>
      <c r="G12962" s="275"/>
      <c r="H12962" s="275"/>
      <c r="I12962" s="275"/>
      <c r="J12962" s="275"/>
      <c r="K12962" s="275"/>
      <c r="L12962" s="275"/>
      <c r="M12962" s="275"/>
      <c r="N12962" s="276"/>
    </row>
    <row r="12963" spans="1:14" ht="12.75" customHeight="1" x14ac:dyDescent="0.2">
      <c r="A12963" s="277"/>
      <c r="B12963" s="278"/>
      <c r="C12963" s="278"/>
      <c r="D12963" s="278"/>
      <c r="E12963" s="278"/>
      <c r="F12963" s="278"/>
      <c r="G12963" s="278"/>
      <c r="H12963" s="278"/>
      <c r="I12963" s="278"/>
      <c r="J12963" s="278"/>
      <c r="K12963" s="278"/>
      <c r="L12963" s="278"/>
      <c r="M12963" s="278"/>
      <c r="N12963" s="279"/>
    </row>
    <row r="12964" spans="1:14" ht="12.75" customHeight="1" x14ac:dyDescent="0.2">
      <c r="A12964" s="75"/>
      <c r="B12964" s="75"/>
      <c r="C12964" s="75"/>
      <c r="D12964" s="75"/>
      <c r="E12964" s="75"/>
      <c r="F12964" s="75"/>
      <c r="G12964" s="75"/>
      <c r="H12964" s="75"/>
      <c r="I12964" s="75"/>
      <c r="J12964" s="75"/>
      <c r="K12964" s="75"/>
      <c r="L12964" s="75"/>
      <c r="M12964" s="75"/>
      <c r="N12964" s="75"/>
    </row>
    <row r="12965" spans="1:14" ht="12.75" customHeight="1" x14ac:dyDescent="0.3">
      <c r="A12965" s="79" t="s">
        <v>897</v>
      </c>
      <c r="B12965" s="80" t="str">
        <f>A12962</f>
        <v>TD: SUMINISTRO E INSTALACIÓN DE TABLERO TRIFÁSICO FABRICACIÓN ESPECIAL CON TOTALIZADOR 3X100A - 10KA, BARRAJE PRINCIPAL TRIFÁSICO, GUARDAMOTOR 56-80A - 1 UN, BREAKER TIPO RIEL 1X20A - 6 UN, INCLUYE ENCERRAMIENTO METÁLICO, PUERTA Y FRENTE MUERTO</v>
      </c>
      <c r="C12965" s="81" t="s">
        <v>916</v>
      </c>
      <c r="D12965" s="82" t="s">
        <v>999</v>
      </c>
      <c r="E12965" s="83" t="s">
        <v>445</v>
      </c>
      <c r="F12965" s="234">
        <f>(H12965+J12965+L12965+N12965)*1.3</f>
        <v>3908346.8774999999</v>
      </c>
      <c r="G12965" s="83" t="s">
        <v>607</v>
      </c>
      <c r="H12965" s="86">
        <f>M12984</f>
        <v>2417861</v>
      </c>
      <c r="I12965" s="83" t="s">
        <v>918</v>
      </c>
      <c r="J12965" s="86">
        <f>M12993</f>
        <v>18682.5</v>
      </c>
      <c r="K12965" s="83" t="s">
        <v>609</v>
      </c>
      <c r="L12965" s="86">
        <f>M13001</f>
        <v>196227.17499999999</v>
      </c>
      <c r="M12965" s="83" t="s">
        <v>610</v>
      </c>
      <c r="N12965" s="86">
        <f>M13010</f>
        <v>373650</v>
      </c>
    </row>
    <row r="12966" spans="1:14" ht="12.75" customHeight="1" x14ac:dyDescent="0.25">
      <c r="A12966" s="87"/>
      <c r="B12966" s="87"/>
      <c r="C12966" s="87"/>
      <c r="D12966" s="87"/>
      <c r="E12966" s="87"/>
      <c r="F12966" s="87"/>
      <c r="G12966" s="87"/>
      <c r="H12966" s="12"/>
      <c r="I12966" s="12"/>
      <c r="J12966" s="87"/>
      <c r="K12966" s="215" t="s">
        <v>3217</v>
      </c>
      <c r="L12966" s="215">
        <f>+F12965*presup!$O$5</f>
        <v>5080850.9407500001</v>
      </c>
      <c r="M12966" s="87"/>
      <c r="N12966" s="87"/>
    </row>
    <row r="12967" spans="1:14" ht="12.75" customHeight="1" x14ac:dyDescent="0.2">
      <c r="A12967" s="398" t="s">
        <v>919</v>
      </c>
      <c r="B12967" s="271"/>
      <c r="C12967" s="271"/>
      <c r="D12967" s="271"/>
      <c r="E12967" s="271"/>
      <c r="F12967" s="271"/>
      <c r="G12967" s="271"/>
      <c r="H12967" s="271"/>
      <c r="I12967" s="271"/>
      <c r="J12967" s="271"/>
      <c r="K12967" s="271"/>
      <c r="L12967" s="271"/>
      <c r="M12967" s="271"/>
      <c r="N12967" s="273"/>
    </row>
    <row r="12968" spans="1:14" ht="12.75" customHeight="1" x14ac:dyDescent="0.2">
      <c r="A12968" s="396" t="s">
        <v>76</v>
      </c>
      <c r="B12968" s="271"/>
      <c r="C12968" s="271"/>
      <c r="D12968" s="271"/>
      <c r="E12968" s="271"/>
      <c r="F12968" s="271"/>
      <c r="G12968" s="273"/>
      <c r="H12968" s="88" t="s">
        <v>77</v>
      </c>
      <c r="I12968" s="399" t="s">
        <v>920</v>
      </c>
      <c r="J12968" s="273"/>
      <c r="K12968" s="399" t="s">
        <v>453</v>
      </c>
      <c r="L12968" s="273"/>
      <c r="M12968" s="399" t="s">
        <v>921</v>
      </c>
      <c r="N12968" s="273"/>
    </row>
    <row r="12969" spans="1:14" ht="12.75" customHeight="1" x14ac:dyDescent="0.25">
      <c r="A12969" s="309" t="s">
        <v>1689</v>
      </c>
      <c r="B12969" s="271"/>
      <c r="C12969" s="271"/>
      <c r="D12969" s="271"/>
      <c r="E12969" s="271"/>
      <c r="F12969" s="271"/>
      <c r="G12969" s="273"/>
      <c r="H12969" s="29" t="str">
        <f t="shared" ref="H12969:H12983" si="1698">IF(A12969="","",VLOOKUP(A12969,AA_Materiales,7,FALSE))</f>
        <v>Unidad</v>
      </c>
      <c r="I12969" s="394">
        <f t="shared" ref="I12969:I12983" si="1699">IF(A12969="","",VLOOKUP(A12969,AA_Materiales,8,FALSE))</f>
        <v>1101940</v>
      </c>
      <c r="J12969" s="273"/>
      <c r="K12969" s="393">
        <v>1</v>
      </c>
      <c r="L12969" s="273"/>
      <c r="M12969" s="394">
        <f t="shared" ref="M12969:M12983" si="1700">IF(A12969="","",I12969*K12969)</f>
        <v>1101940</v>
      </c>
      <c r="N12969" s="273"/>
    </row>
    <row r="12970" spans="1:14" ht="12.75" customHeight="1" x14ac:dyDescent="0.25">
      <c r="A12970" s="309" t="s">
        <v>1690</v>
      </c>
      <c r="B12970" s="271"/>
      <c r="C12970" s="271"/>
      <c r="D12970" s="271"/>
      <c r="E12970" s="271"/>
      <c r="F12970" s="271"/>
      <c r="G12970" s="273"/>
      <c r="H12970" s="29" t="str">
        <f t="shared" si="1698"/>
        <v>Unidad</v>
      </c>
      <c r="I12970" s="394">
        <f t="shared" si="1699"/>
        <v>226576</v>
      </c>
      <c r="J12970" s="273"/>
      <c r="K12970" s="393">
        <v>1</v>
      </c>
      <c r="L12970" s="273"/>
      <c r="M12970" s="394">
        <f t="shared" si="1700"/>
        <v>226576</v>
      </c>
      <c r="N12970" s="273"/>
    </row>
    <row r="12971" spans="1:14" ht="12.75" customHeight="1" x14ac:dyDescent="0.25">
      <c r="A12971" s="309" t="s">
        <v>1691</v>
      </c>
      <c r="B12971" s="271"/>
      <c r="C12971" s="271"/>
      <c r="D12971" s="271"/>
      <c r="E12971" s="271"/>
      <c r="F12971" s="271"/>
      <c r="G12971" s="273"/>
      <c r="H12971" s="29" t="str">
        <f t="shared" si="1698"/>
        <v>Unidad</v>
      </c>
      <c r="I12971" s="394">
        <f t="shared" si="1699"/>
        <v>570370</v>
      </c>
      <c r="J12971" s="273"/>
      <c r="K12971" s="393">
        <v>1</v>
      </c>
      <c r="L12971" s="273"/>
      <c r="M12971" s="394">
        <f t="shared" si="1700"/>
        <v>570370</v>
      </c>
      <c r="N12971" s="273"/>
    </row>
    <row r="12972" spans="1:14" ht="12.75" customHeight="1" x14ac:dyDescent="0.25">
      <c r="A12972" s="309" t="s">
        <v>1692</v>
      </c>
      <c r="B12972" s="271"/>
      <c r="C12972" s="271"/>
      <c r="D12972" s="271"/>
      <c r="E12972" s="271"/>
      <c r="F12972" s="271"/>
      <c r="G12972" s="273"/>
      <c r="H12972" s="29" t="str">
        <f t="shared" si="1698"/>
        <v>Unidad</v>
      </c>
      <c r="I12972" s="394">
        <f t="shared" si="1699"/>
        <v>57117</v>
      </c>
      <c r="J12972" s="273"/>
      <c r="K12972" s="393">
        <v>6</v>
      </c>
      <c r="L12972" s="273"/>
      <c r="M12972" s="394">
        <f t="shared" si="1700"/>
        <v>342702</v>
      </c>
      <c r="N12972" s="273"/>
    </row>
    <row r="12973" spans="1:14" ht="12.75" customHeight="1" x14ac:dyDescent="0.25">
      <c r="A12973" s="309" t="s">
        <v>1693</v>
      </c>
      <c r="B12973" s="271"/>
      <c r="C12973" s="271"/>
      <c r="D12973" s="271"/>
      <c r="E12973" s="271"/>
      <c r="F12973" s="271"/>
      <c r="G12973" s="273"/>
      <c r="H12973" s="29" t="str">
        <f t="shared" si="1698"/>
        <v>Unidad</v>
      </c>
      <c r="I12973" s="394">
        <f t="shared" si="1699"/>
        <v>47523</v>
      </c>
      <c r="J12973" s="273"/>
      <c r="K12973" s="393">
        <v>1</v>
      </c>
      <c r="L12973" s="273"/>
      <c r="M12973" s="394">
        <f t="shared" si="1700"/>
        <v>47523</v>
      </c>
      <c r="N12973" s="273"/>
    </row>
    <row r="12974" spans="1:14" ht="12.75" customHeight="1" x14ac:dyDescent="0.25">
      <c r="A12974" s="309" t="s">
        <v>1694</v>
      </c>
      <c r="B12974" s="271"/>
      <c r="C12974" s="271"/>
      <c r="D12974" s="271"/>
      <c r="E12974" s="271"/>
      <c r="F12974" s="271"/>
      <c r="G12974" s="273"/>
      <c r="H12974" s="29" t="str">
        <f t="shared" si="1698"/>
        <v>Unidad</v>
      </c>
      <c r="I12974" s="394">
        <f t="shared" si="1699"/>
        <v>128750</v>
      </c>
      <c r="J12974" s="273"/>
      <c r="K12974" s="393">
        <v>1</v>
      </c>
      <c r="L12974" s="273"/>
      <c r="M12974" s="394">
        <f t="shared" si="1700"/>
        <v>128750</v>
      </c>
      <c r="N12974" s="273"/>
    </row>
    <row r="12975" spans="1:14" ht="12.75" customHeight="1" x14ac:dyDescent="0.25">
      <c r="A12975" s="309"/>
      <c r="B12975" s="271"/>
      <c r="C12975" s="271"/>
      <c r="D12975" s="271"/>
      <c r="E12975" s="271"/>
      <c r="F12975" s="271"/>
      <c r="G12975" s="273"/>
      <c r="H12975" s="29" t="str">
        <f t="shared" si="1698"/>
        <v/>
      </c>
      <c r="I12975" s="394" t="str">
        <f t="shared" si="1699"/>
        <v/>
      </c>
      <c r="J12975" s="273"/>
      <c r="K12975" s="393"/>
      <c r="L12975" s="273"/>
      <c r="M12975" s="394" t="str">
        <f t="shared" si="1700"/>
        <v/>
      </c>
      <c r="N12975" s="273"/>
    </row>
    <row r="12976" spans="1:14" ht="12.75" customHeight="1" x14ac:dyDescent="0.25">
      <c r="A12976" s="309"/>
      <c r="B12976" s="271"/>
      <c r="C12976" s="271"/>
      <c r="D12976" s="271"/>
      <c r="E12976" s="271"/>
      <c r="F12976" s="271"/>
      <c r="G12976" s="273"/>
      <c r="H12976" s="29" t="str">
        <f t="shared" si="1698"/>
        <v/>
      </c>
      <c r="I12976" s="394" t="str">
        <f t="shared" si="1699"/>
        <v/>
      </c>
      <c r="J12976" s="273"/>
      <c r="K12976" s="393"/>
      <c r="L12976" s="273"/>
      <c r="M12976" s="394" t="str">
        <f t="shared" si="1700"/>
        <v/>
      </c>
      <c r="N12976" s="273"/>
    </row>
    <row r="12977" spans="1:14" ht="12.75" customHeight="1" x14ac:dyDescent="0.25">
      <c r="A12977" s="309"/>
      <c r="B12977" s="271"/>
      <c r="C12977" s="271"/>
      <c r="D12977" s="271"/>
      <c r="E12977" s="271"/>
      <c r="F12977" s="271"/>
      <c r="G12977" s="273"/>
      <c r="H12977" s="29" t="str">
        <f t="shared" si="1698"/>
        <v/>
      </c>
      <c r="I12977" s="394" t="str">
        <f t="shared" si="1699"/>
        <v/>
      </c>
      <c r="J12977" s="273"/>
      <c r="K12977" s="393"/>
      <c r="L12977" s="273"/>
      <c r="M12977" s="394" t="str">
        <f t="shared" si="1700"/>
        <v/>
      </c>
      <c r="N12977" s="273"/>
    </row>
    <row r="12978" spans="1:14" ht="12.75" customHeight="1" x14ac:dyDescent="0.25">
      <c r="A12978" s="309"/>
      <c r="B12978" s="271"/>
      <c r="C12978" s="271"/>
      <c r="D12978" s="271"/>
      <c r="E12978" s="271"/>
      <c r="F12978" s="271"/>
      <c r="G12978" s="273"/>
      <c r="H12978" s="29" t="str">
        <f t="shared" si="1698"/>
        <v/>
      </c>
      <c r="I12978" s="394" t="str">
        <f t="shared" si="1699"/>
        <v/>
      </c>
      <c r="J12978" s="273"/>
      <c r="K12978" s="393"/>
      <c r="L12978" s="273"/>
      <c r="M12978" s="394" t="str">
        <f t="shared" si="1700"/>
        <v/>
      </c>
      <c r="N12978" s="273"/>
    </row>
    <row r="12979" spans="1:14" ht="12.75" customHeight="1" x14ac:dyDescent="0.25">
      <c r="A12979" s="309"/>
      <c r="B12979" s="271"/>
      <c r="C12979" s="271"/>
      <c r="D12979" s="271"/>
      <c r="E12979" s="271"/>
      <c r="F12979" s="271"/>
      <c r="G12979" s="273"/>
      <c r="H12979" s="29" t="str">
        <f t="shared" si="1698"/>
        <v/>
      </c>
      <c r="I12979" s="394" t="str">
        <f t="shared" si="1699"/>
        <v/>
      </c>
      <c r="J12979" s="273"/>
      <c r="K12979" s="393"/>
      <c r="L12979" s="273"/>
      <c r="M12979" s="394" t="str">
        <f t="shared" si="1700"/>
        <v/>
      </c>
      <c r="N12979" s="273"/>
    </row>
    <row r="12980" spans="1:14" ht="12.75" customHeight="1" x14ac:dyDescent="0.25">
      <c r="A12980" s="309"/>
      <c r="B12980" s="271"/>
      <c r="C12980" s="271"/>
      <c r="D12980" s="271"/>
      <c r="E12980" s="271"/>
      <c r="F12980" s="271"/>
      <c r="G12980" s="273"/>
      <c r="H12980" s="29" t="str">
        <f t="shared" si="1698"/>
        <v/>
      </c>
      <c r="I12980" s="394" t="str">
        <f t="shared" si="1699"/>
        <v/>
      </c>
      <c r="J12980" s="273"/>
      <c r="K12980" s="393"/>
      <c r="L12980" s="273"/>
      <c r="M12980" s="394" t="str">
        <f t="shared" si="1700"/>
        <v/>
      </c>
      <c r="N12980" s="273"/>
    </row>
    <row r="12981" spans="1:14" ht="12.75" customHeight="1" x14ac:dyDescent="0.25">
      <c r="A12981" s="309"/>
      <c r="B12981" s="271"/>
      <c r="C12981" s="271"/>
      <c r="D12981" s="271"/>
      <c r="E12981" s="271"/>
      <c r="F12981" s="271"/>
      <c r="G12981" s="273"/>
      <c r="H12981" s="29" t="str">
        <f t="shared" si="1698"/>
        <v/>
      </c>
      <c r="I12981" s="394" t="str">
        <f t="shared" si="1699"/>
        <v/>
      </c>
      <c r="J12981" s="273"/>
      <c r="K12981" s="393"/>
      <c r="L12981" s="273"/>
      <c r="M12981" s="394" t="str">
        <f t="shared" si="1700"/>
        <v/>
      </c>
      <c r="N12981" s="273"/>
    </row>
    <row r="12982" spans="1:14" ht="12.75" customHeight="1" x14ac:dyDescent="0.25">
      <c r="A12982" s="309"/>
      <c r="B12982" s="271"/>
      <c r="C12982" s="271"/>
      <c r="D12982" s="271"/>
      <c r="E12982" s="271"/>
      <c r="F12982" s="271"/>
      <c r="G12982" s="273"/>
      <c r="H12982" s="29" t="str">
        <f t="shared" si="1698"/>
        <v/>
      </c>
      <c r="I12982" s="394" t="str">
        <f t="shared" si="1699"/>
        <v/>
      </c>
      <c r="J12982" s="273"/>
      <c r="K12982" s="393"/>
      <c r="L12982" s="273"/>
      <c r="M12982" s="394" t="str">
        <f t="shared" si="1700"/>
        <v/>
      </c>
      <c r="N12982" s="273"/>
    </row>
    <row r="12983" spans="1:14" ht="12.75" customHeight="1" x14ac:dyDescent="0.25">
      <c r="A12983" s="309"/>
      <c r="B12983" s="271"/>
      <c r="C12983" s="271"/>
      <c r="D12983" s="271"/>
      <c r="E12983" s="271"/>
      <c r="F12983" s="271"/>
      <c r="G12983" s="273"/>
      <c r="H12983" s="29" t="str">
        <f t="shared" si="1698"/>
        <v/>
      </c>
      <c r="I12983" s="394" t="str">
        <f t="shared" si="1699"/>
        <v/>
      </c>
      <c r="J12983" s="273"/>
      <c r="K12983" s="393"/>
      <c r="L12983" s="273"/>
      <c r="M12983" s="394" t="str">
        <f t="shared" si="1700"/>
        <v/>
      </c>
      <c r="N12983" s="273"/>
    </row>
    <row r="12984" spans="1:14" ht="12.75" customHeight="1" x14ac:dyDescent="0.25">
      <c r="A12984" s="4"/>
      <c r="B12984" s="4"/>
      <c r="C12984" s="4"/>
      <c r="D12984" s="4"/>
      <c r="E12984" s="4"/>
      <c r="F12984" s="4"/>
      <c r="G12984" s="4"/>
      <c r="H12984" s="4"/>
      <c r="I12984" s="4"/>
      <c r="J12984" s="4"/>
      <c r="K12984" s="396" t="s">
        <v>444</v>
      </c>
      <c r="L12984" s="273"/>
      <c r="M12984" s="394">
        <f>SUM(M12969:N12983)</f>
        <v>2417861</v>
      </c>
      <c r="N12984" s="273"/>
    </row>
    <row r="12985" spans="1:14" ht="12.75" customHeight="1" x14ac:dyDescent="0.25">
      <c r="A12985" s="4"/>
      <c r="B12985" s="4"/>
      <c r="C12985" s="4"/>
      <c r="D12985" s="4"/>
      <c r="E12985" s="4"/>
      <c r="F12985" s="4"/>
      <c r="G12985" s="4"/>
      <c r="H12985" s="4"/>
      <c r="I12985" s="4"/>
      <c r="J12985" s="4"/>
      <c r="K12985" s="4"/>
      <c r="L12985" s="4"/>
      <c r="M12985" s="4"/>
      <c r="N12985" s="4"/>
    </row>
    <row r="12986" spans="1:14" ht="12.75" customHeight="1" x14ac:dyDescent="0.2">
      <c r="A12986" s="398" t="s">
        <v>926</v>
      </c>
      <c r="B12986" s="271"/>
      <c r="C12986" s="271"/>
      <c r="D12986" s="271"/>
      <c r="E12986" s="271"/>
      <c r="F12986" s="271"/>
      <c r="G12986" s="271"/>
      <c r="H12986" s="271"/>
      <c r="I12986" s="271"/>
      <c r="J12986" s="271"/>
      <c r="K12986" s="271"/>
      <c r="L12986" s="271"/>
      <c r="M12986" s="271"/>
      <c r="N12986" s="273"/>
    </row>
    <row r="12987" spans="1:14" ht="12.75" customHeight="1" x14ac:dyDescent="0.2">
      <c r="A12987" s="396" t="s">
        <v>76</v>
      </c>
      <c r="B12987" s="271"/>
      <c r="C12987" s="271"/>
      <c r="D12987" s="271"/>
      <c r="E12987" s="271"/>
      <c r="F12987" s="271"/>
      <c r="G12987" s="273"/>
      <c r="H12987" s="88" t="s">
        <v>77</v>
      </c>
      <c r="I12987" s="399" t="s">
        <v>920</v>
      </c>
      <c r="J12987" s="273"/>
      <c r="K12987" s="399" t="s">
        <v>453</v>
      </c>
      <c r="L12987" s="273"/>
      <c r="M12987" s="399" t="s">
        <v>921</v>
      </c>
      <c r="N12987" s="273"/>
    </row>
    <row r="12988" spans="1:14" ht="12.75" customHeight="1" x14ac:dyDescent="0.2">
      <c r="A12988" s="400" t="s">
        <v>927</v>
      </c>
      <c r="B12988" s="271"/>
      <c r="C12988" s="271"/>
      <c r="D12988" s="271"/>
      <c r="E12988" s="271"/>
      <c r="F12988" s="271"/>
      <c r="G12988" s="273"/>
      <c r="H12988" s="29" t="str">
        <f>IF(A12988="","",VLOOKUP(A12988,AA_Equipos,7,FALSE))</f>
        <v>% M.O.</v>
      </c>
      <c r="I12988" s="394">
        <f>+M13010</f>
        <v>373650</v>
      </c>
      <c r="J12988" s="273"/>
      <c r="K12988" s="404">
        <v>0.05</v>
      </c>
      <c r="L12988" s="273"/>
      <c r="M12988" s="394">
        <f t="shared" ref="M12988:M12992" si="1701">IF(A12988="","",I12988*K12988)</f>
        <v>18682.5</v>
      </c>
      <c r="N12988" s="273"/>
    </row>
    <row r="12989" spans="1:14" ht="12.75" customHeight="1" x14ac:dyDescent="0.2">
      <c r="A12989" s="403"/>
      <c r="B12989" s="271"/>
      <c r="C12989" s="271"/>
      <c r="D12989" s="271"/>
      <c r="E12989" s="271"/>
      <c r="F12989" s="271"/>
      <c r="G12989" s="273"/>
      <c r="H12989" s="29" t="str">
        <f>IF(A12989="","",VLOOKUP(A12989,AA_Equipos,7,FALSE))</f>
        <v/>
      </c>
      <c r="I12989" s="394" t="str">
        <f>IF(A12989="","",VLOOKUP(A12989,AA_Equipos,8,FALSE))</f>
        <v/>
      </c>
      <c r="J12989" s="273"/>
      <c r="K12989" s="402"/>
      <c r="L12989" s="273"/>
      <c r="M12989" s="394" t="str">
        <f t="shared" si="1701"/>
        <v/>
      </c>
      <c r="N12989" s="273"/>
    </row>
    <row r="12990" spans="1:14" ht="12.75" customHeight="1" x14ac:dyDescent="0.2">
      <c r="A12990" s="400"/>
      <c r="B12990" s="271"/>
      <c r="C12990" s="271"/>
      <c r="D12990" s="271"/>
      <c r="E12990" s="271"/>
      <c r="F12990" s="271"/>
      <c r="G12990" s="273"/>
      <c r="H12990" s="29" t="str">
        <f>IF(A12990="","",VLOOKUP(A12990,AA_Equipos,7,FALSE))</f>
        <v/>
      </c>
      <c r="I12990" s="394" t="str">
        <f>IF(A12990="","",VLOOKUP(A12990,AA_Equipos,8,FALSE))</f>
        <v/>
      </c>
      <c r="J12990" s="273"/>
      <c r="K12990" s="401"/>
      <c r="L12990" s="273"/>
      <c r="M12990" s="394" t="str">
        <f t="shared" si="1701"/>
        <v/>
      </c>
      <c r="N12990" s="273"/>
    </row>
    <row r="12991" spans="1:14" ht="12.75" customHeight="1" x14ac:dyDescent="0.2">
      <c r="A12991" s="400"/>
      <c r="B12991" s="271"/>
      <c r="C12991" s="271"/>
      <c r="D12991" s="271"/>
      <c r="E12991" s="271"/>
      <c r="F12991" s="271"/>
      <c r="G12991" s="273"/>
      <c r="H12991" s="29" t="str">
        <f>IF(A12991="","",VLOOKUP(A12991,AA_Equipos,7,FALSE))</f>
        <v/>
      </c>
      <c r="I12991" s="394" t="str">
        <f>IF(A12991="","",VLOOKUP(A12991,AA_Equipos,8,FALSE))</f>
        <v/>
      </c>
      <c r="J12991" s="273"/>
      <c r="K12991" s="395"/>
      <c r="L12991" s="273"/>
      <c r="M12991" s="394" t="str">
        <f t="shared" si="1701"/>
        <v/>
      </c>
      <c r="N12991" s="273"/>
    </row>
    <row r="12992" spans="1:14" ht="12.75" customHeight="1" x14ac:dyDescent="0.2">
      <c r="A12992" s="400"/>
      <c r="B12992" s="271"/>
      <c r="C12992" s="271"/>
      <c r="D12992" s="271"/>
      <c r="E12992" s="271"/>
      <c r="F12992" s="271"/>
      <c r="G12992" s="273"/>
      <c r="H12992" s="29" t="str">
        <f>IF(A12992="","",VLOOKUP(A12992,AA_Equipos,7,FALSE))</f>
        <v/>
      </c>
      <c r="I12992" s="394" t="str">
        <f>IF(A12992="","",VLOOKUP(A12992,AA_Equipos,8,FALSE))</f>
        <v/>
      </c>
      <c r="J12992" s="273"/>
      <c r="K12992" s="395"/>
      <c r="L12992" s="273"/>
      <c r="M12992" s="394" t="str">
        <f t="shared" si="1701"/>
        <v/>
      </c>
      <c r="N12992" s="273"/>
    </row>
    <row r="12993" spans="1:14" ht="12.75" customHeight="1" x14ac:dyDescent="0.25">
      <c r="A12993" s="4"/>
      <c r="B12993" s="4"/>
      <c r="C12993" s="4"/>
      <c r="D12993" s="4"/>
      <c r="E12993" s="4"/>
      <c r="F12993" s="4"/>
      <c r="G12993" s="4"/>
      <c r="H12993" s="4"/>
      <c r="I12993" s="4"/>
      <c r="J12993" s="4"/>
      <c r="K12993" s="396" t="s">
        <v>444</v>
      </c>
      <c r="L12993" s="273"/>
      <c r="M12993" s="394">
        <f>SUM(M12988:N12992)</f>
        <v>18682.5</v>
      </c>
      <c r="N12993" s="273"/>
    </row>
    <row r="12994" spans="1:14" ht="12.75" customHeight="1" x14ac:dyDescent="0.25">
      <c r="A12994" s="4"/>
      <c r="B12994" s="4"/>
      <c r="C12994" s="4"/>
      <c r="D12994" s="4"/>
      <c r="E12994" s="4"/>
      <c r="F12994" s="4"/>
      <c r="G12994" s="4"/>
      <c r="H12994" s="4"/>
      <c r="I12994" s="4"/>
      <c r="J12994" s="4"/>
      <c r="K12994" s="4"/>
      <c r="L12994" s="4"/>
      <c r="M12994" s="4"/>
      <c r="N12994" s="4"/>
    </row>
    <row r="12995" spans="1:14" ht="12.75" customHeight="1" x14ac:dyDescent="0.2">
      <c r="A12995" s="398" t="s">
        <v>929</v>
      </c>
      <c r="B12995" s="271"/>
      <c r="C12995" s="271"/>
      <c r="D12995" s="271"/>
      <c r="E12995" s="271"/>
      <c r="F12995" s="271"/>
      <c r="G12995" s="271"/>
      <c r="H12995" s="271"/>
      <c r="I12995" s="271"/>
      <c r="J12995" s="271"/>
      <c r="K12995" s="271"/>
      <c r="L12995" s="271"/>
      <c r="M12995" s="271"/>
      <c r="N12995" s="273"/>
    </row>
    <row r="12996" spans="1:14" ht="12.75" customHeight="1" x14ac:dyDescent="0.2">
      <c r="A12996" s="396" t="s">
        <v>76</v>
      </c>
      <c r="B12996" s="271"/>
      <c r="C12996" s="271"/>
      <c r="D12996" s="271"/>
      <c r="E12996" s="271"/>
      <c r="F12996" s="271"/>
      <c r="G12996" s="273"/>
      <c r="H12996" s="88" t="s">
        <v>77</v>
      </c>
      <c r="I12996" s="399" t="s">
        <v>920</v>
      </c>
      <c r="J12996" s="273"/>
      <c r="K12996" s="399" t="s">
        <v>453</v>
      </c>
      <c r="L12996" s="273"/>
      <c r="M12996" s="399" t="s">
        <v>921</v>
      </c>
      <c r="N12996" s="273"/>
    </row>
    <row r="12997" spans="1:14" ht="12.75" customHeight="1" x14ac:dyDescent="0.2">
      <c r="A12997" s="400" t="s">
        <v>1559</v>
      </c>
      <c r="B12997" s="271"/>
      <c r="C12997" s="271"/>
      <c r="D12997" s="271"/>
      <c r="E12997" s="271"/>
      <c r="F12997" s="271"/>
      <c r="G12997" s="273"/>
      <c r="H12997" s="29" t="str">
        <f>IF(A12997="","",VLOOKUP(A12997,AA_Equipos,7,FALSE))</f>
        <v>Día</v>
      </c>
      <c r="I12997" s="394">
        <f>IF(A12997="","",VLOOKUP(A12997,AA_Equipos,8,FALSE))</f>
        <v>74400</v>
      </c>
      <c r="J12997" s="273"/>
      <c r="K12997" s="395">
        <v>1</v>
      </c>
      <c r="L12997" s="273"/>
      <c r="M12997" s="394">
        <f t="shared" ref="M12997:M13000" si="1702">IF(A12997="","",I12997*K12997)</f>
        <v>74400</v>
      </c>
      <c r="N12997" s="273"/>
    </row>
    <row r="12998" spans="1:14" ht="12.75" customHeight="1" x14ac:dyDescent="0.2">
      <c r="A12998" s="400" t="s">
        <v>930</v>
      </c>
      <c r="B12998" s="271"/>
      <c r="C12998" s="271"/>
      <c r="D12998" s="271"/>
      <c r="E12998" s="271"/>
      <c r="F12998" s="271"/>
      <c r="G12998" s="273"/>
      <c r="H12998" s="29" t="s">
        <v>24</v>
      </c>
      <c r="I12998" s="394">
        <f>+M12984+M12993</f>
        <v>2436543.5</v>
      </c>
      <c r="J12998" s="273"/>
      <c r="K12998" s="405">
        <v>0.05</v>
      </c>
      <c r="L12998" s="406"/>
      <c r="M12998" s="394">
        <f t="shared" si="1702"/>
        <v>121827.175</v>
      </c>
      <c r="N12998" s="273"/>
    </row>
    <row r="12999" spans="1:14" ht="12.75" customHeight="1" x14ac:dyDescent="0.2">
      <c r="A12999" s="400"/>
      <c r="B12999" s="271"/>
      <c r="C12999" s="271"/>
      <c r="D12999" s="271"/>
      <c r="E12999" s="271"/>
      <c r="F12999" s="271"/>
      <c r="G12999" s="273"/>
      <c r="H12999" s="29"/>
      <c r="I12999" s="394"/>
      <c r="J12999" s="273"/>
      <c r="K12999" s="395"/>
      <c r="L12999" s="273"/>
      <c r="M12999" s="394" t="str">
        <f t="shared" si="1702"/>
        <v/>
      </c>
      <c r="N12999" s="273"/>
    </row>
    <row r="13000" spans="1:14" ht="12.75" customHeight="1" x14ac:dyDescent="0.2">
      <c r="A13000" s="400"/>
      <c r="B13000" s="271"/>
      <c r="C13000" s="271"/>
      <c r="D13000" s="271"/>
      <c r="E13000" s="271"/>
      <c r="F13000" s="271"/>
      <c r="G13000" s="273"/>
      <c r="H13000" s="29"/>
      <c r="I13000" s="394"/>
      <c r="J13000" s="273"/>
      <c r="K13000" s="395"/>
      <c r="L13000" s="273"/>
      <c r="M13000" s="394" t="str">
        <f t="shared" si="1702"/>
        <v/>
      </c>
      <c r="N13000" s="273"/>
    </row>
    <row r="13001" spans="1:14" ht="12.75" customHeight="1" x14ac:dyDescent="0.25">
      <c r="A13001" s="4"/>
      <c r="B13001" s="4"/>
      <c r="C13001" s="4"/>
      <c r="D13001" s="4"/>
      <c r="E13001" s="4"/>
      <c r="F13001" s="4"/>
      <c r="G13001" s="4"/>
      <c r="H13001" s="4"/>
      <c r="I13001" s="4"/>
      <c r="J13001" s="4"/>
      <c r="K13001" s="396" t="s">
        <v>444</v>
      </c>
      <c r="L13001" s="273"/>
      <c r="M13001" s="394">
        <f>SUM(M12997:N13000)</f>
        <v>196227.17499999999</v>
      </c>
      <c r="N13001" s="273"/>
    </row>
    <row r="13002" spans="1:14" ht="12.75" customHeight="1" x14ac:dyDescent="0.25">
      <c r="A13002" s="4"/>
      <c r="B13002" s="4"/>
      <c r="C13002" s="4"/>
      <c r="D13002" s="4"/>
      <c r="E13002" s="4"/>
      <c r="F13002" s="4"/>
      <c r="G13002" s="4"/>
      <c r="H13002" s="4"/>
      <c r="I13002" s="4"/>
      <c r="J13002" s="4"/>
      <c r="K13002" s="4"/>
      <c r="L13002" s="4"/>
      <c r="M13002" s="4"/>
      <c r="N13002" s="4"/>
    </row>
    <row r="13003" spans="1:14" ht="12.75" customHeight="1" x14ac:dyDescent="0.2">
      <c r="A13003" s="398" t="s">
        <v>931</v>
      </c>
      <c r="B13003" s="271"/>
      <c r="C13003" s="271"/>
      <c r="D13003" s="271"/>
      <c r="E13003" s="271"/>
      <c r="F13003" s="271"/>
      <c r="G13003" s="271"/>
      <c r="H13003" s="271"/>
      <c r="I13003" s="271"/>
      <c r="J13003" s="271"/>
      <c r="K13003" s="271"/>
      <c r="L13003" s="271"/>
      <c r="M13003" s="271"/>
      <c r="N13003" s="273"/>
    </row>
    <row r="13004" spans="1:14" ht="12.75" customHeight="1" x14ac:dyDescent="0.2">
      <c r="A13004" s="396" t="s">
        <v>76</v>
      </c>
      <c r="B13004" s="271"/>
      <c r="C13004" s="271"/>
      <c r="D13004" s="271"/>
      <c r="E13004" s="271"/>
      <c r="F13004" s="271"/>
      <c r="G13004" s="273"/>
      <c r="H13004" s="88" t="s">
        <v>77</v>
      </c>
      <c r="I13004" s="399" t="s">
        <v>920</v>
      </c>
      <c r="J13004" s="273"/>
      <c r="K13004" s="90" t="s">
        <v>514</v>
      </c>
      <c r="L13004" s="91" t="s">
        <v>932</v>
      </c>
      <c r="M13004" s="399" t="s">
        <v>921</v>
      </c>
      <c r="N13004" s="273"/>
    </row>
    <row r="13005" spans="1:14" ht="12.75" customHeight="1" x14ac:dyDescent="0.25">
      <c r="A13005" s="393" t="s">
        <v>1301</v>
      </c>
      <c r="B13005" s="271"/>
      <c r="C13005" s="271"/>
      <c r="D13005" s="271"/>
      <c r="E13005" s="271"/>
      <c r="F13005" s="271"/>
      <c r="G13005" s="273"/>
      <c r="H13005" s="29" t="str">
        <f>IF(A13005="","",VLOOKUP(A13005,AA_Cuadrillas,4,FALSE))</f>
        <v>Cuadrilla</v>
      </c>
      <c r="I13005" s="394">
        <f>IF(A13005="","",VLOOKUP(A13005,AA_Cuadrillas,5,FALSE))</f>
        <v>132500</v>
      </c>
      <c r="J13005" s="273"/>
      <c r="K13005" s="9">
        <f>IF(A13005="","",F.P!$I$2)</f>
        <v>1.88</v>
      </c>
      <c r="L13005" s="97">
        <v>1.5</v>
      </c>
      <c r="M13005" s="394">
        <f t="shared" ref="M13005:M13009" si="1703">IF(A13005="","",I13005*K13005*L13005)</f>
        <v>373650</v>
      </c>
      <c r="N13005" s="273"/>
    </row>
    <row r="13006" spans="1:14" ht="12.75" customHeight="1" x14ac:dyDescent="0.25">
      <c r="A13006" s="393"/>
      <c r="B13006" s="271"/>
      <c r="C13006" s="271"/>
      <c r="D13006" s="271"/>
      <c r="E13006" s="271"/>
      <c r="F13006" s="271"/>
      <c r="G13006" s="273"/>
      <c r="H13006" s="29" t="str">
        <f>IF(A13006="","",VLOOKUP(A13006,AA_Cuadrillas,4,FALSE))</f>
        <v/>
      </c>
      <c r="I13006" s="394" t="str">
        <f>IF(A13006="","",VLOOKUP(A13006,AA_Cuadrillas,5,FALSE))</f>
        <v/>
      </c>
      <c r="J13006" s="273"/>
      <c r="K13006" s="9" t="str">
        <f>IF(A13006="","",F.P!$I$2)</f>
        <v/>
      </c>
      <c r="L13006" s="9"/>
      <c r="M13006" s="394" t="str">
        <f t="shared" si="1703"/>
        <v/>
      </c>
      <c r="N13006" s="273"/>
    </row>
    <row r="13007" spans="1:14" ht="12.75" customHeight="1" x14ac:dyDescent="0.25">
      <c r="A13007" s="393"/>
      <c r="B13007" s="271"/>
      <c r="C13007" s="271"/>
      <c r="D13007" s="271"/>
      <c r="E13007" s="271"/>
      <c r="F13007" s="271"/>
      <c r="G13007" s="273"/>
      <c r="H13007" s="29" t="str">
        <f>IF(A13007="","",VLOOKUP(A13007,AA_Cuadrillas,4,FALSE))</f>
        <v/>
      </c>
      <c r="I13007" s="394" t="str">
        <f>IF(A13007="","",VLOOKUP(A13007,AA_Cuadrillas,5,FALSE))</f>
        <v/>
      </c>
      <c r="J13007" s="273"/>
      <c r="K13007" s="9" t="str">
        <f>IF(A13007="","",F.P!$I$2)</f>
        <v/>
      </c>
      <c r="L13007" s="37"/>
      <c r="M13007" s="394" t="str">
        <f t="shared" si="1703"/>
        <v/>
      </c>
      <c r="N13007" s="273"/>
    </row>
    <row r="13008" spans="1:14" ht="12.75" customHeight="1" x14ac:dyDescent="0.25">
      <c r="A13008" s="393"/>
      <c r="B13008" s="271"/>
      <c r="C13008" s="271"/>
      <c r="D13008" s="271"/>
      <c r="E13008" s="271"/>
      <c r="F13008" s="271"/>
      <c r="G13008" s="273"/>
      <c r="H13008" s="29" t="str">
        <f>IF(A13008="","",VLOOKUP(A13008,AA_Cuadrillas,4,FALSE))</f>
        <v/>
      </c>
      <c r="I13008" s="394" t="str">
        <f>IF(A13008="","",VLOOKUP(A13008,AA_Cuadrillas,5,FALSE))</f>
        <v/>
      </c>
      <c r="J13008" s="273"/>
      <c r="K13008" s="9" t="str">
        <f>IF(A13008="","",F.P!$I$2)</f>
        <v/>
      </c>
      <c r="L13008" s="97"/>
      <c r="M13008" s="394" t="str">
        <f t="shared" si="1703"/>
        <v/>
      </c>
      <c r="N13008" s="273"/>
    </row>
    <row r="13009" spans="1:14" ht="12.75" customHeight="1" x14ac:dyDescent="0.25">
      <c r="A13009" s="393"/>
      <c r="B13009" s="271"/>
      <c r="C13009" s="271"/>
      <c r="D13009" s="271"/>
      <c r="E13009" s="271"/>
      <c r="F13009" s="271"/>
      <c r="G13009" s="273"/>
      <c r="H13009" s="29" t="str">
        <f>IF(A13009="","",VLOOKUP(A13009,AA_Cuadrillas,4,FALSE))</f>
        <v/>
      </c>
      <c r="I13009" s="394" t="str">
        <f>IF(A13009="","",VLOOKUP(A13009,AA_Cuadrillas,5,FALSE))</f>
        <v/>
      </c>
      <c r="J13009" s="273"/>
      <c r="K13009" s="9" t="str">
        <f>IF(A13009="","",F.P!$I$2)</f>
        <v/>
      </c>
      <c r="L13009" s="37"/>
      <c r="M13009" s="394" t="str">
        <f t="shared" si="1703"/>
        <v/>
      </c>
      <c r="N13009" s="273"/>
    </row>
    <row r="13010" spans="1:14" ht="12.75" customHeight="1" x14ac:dyDescent="0.25">
      <c r="A13010" s="4"/>
      <c r="B13010" s="4"/>
      <c r="C13010" s="4"/>
      <c r="D13010" s="4"/>
      <c r="E13010" s="4"/>
      <c r="F13010" s="4"/>
      <c r="G13010" s="4"/>
      <c r="H13010" s="4"/>
      <c r="I13010" s="4"/>
      <c r="J13010" s="4"/>
      <c r="K13010" s="396" t="s">
        <v>444</v>
      </c>
      <c r="L13010" s="273"/>
      <c r="M13010" s="394">
        <f>SUM(M13005:N13009)</f>
        <v>373650</v>
      </c>
      <c r="N13010" s="273"/>
    </row>
    <row r="13011" spans="1:14" ht="12.75" customHeight="1" x14ac:dyDescent="0.2"/>
    <row r="13012" spans="1:14" ht="12.75" customHeight="1" x14ac:dyDescent="0.2">
      <c r="A13012" s="397" t="s">
        <v>419</v>
      </c>
      <c r="B13012" s="275"/>
      <c r="C13012" s="275"/>
      <c r="D13012" s="275"/>
      <c r="E13012" s="275"/>
      <c r="F13012" s="275"/>
      <c r="G13012" s="275"/>
      <c r="H13012" s="275"/>
      <c r="I13012" s="275"/>
      <c r="J13012" s="275"/>
      <c r="K13012" s="275"/>
      <c r="L13012" s="275"/>
      <c r="M13012" s="275"/>
      <c r="N13012" s="276"/>
    </row>
    <row r="13013" spans="1:14" ht="12.75" customHeight="1" x14ac:dyDescent="0.2">
      <c r="A13013" s="277"/>
      <c r="B13013" s="278"/>
      <c r="C13013" s="278"/>
      <c r="D13013" s="278"/>
      <c r="E13013" s="278"/>
      <c r="F13013" s="278"/>
      <c r="G13013" s="278"/>
      <c r="H13013" s="278"/>
      <c r="I13013" s="278"/>
      <c r="J13013" s="278"/>
      <c r="K13013" s="278"/>
      <c r="L13013" s="278"/>
      <c r="M13013" s="278"/>
      <c r="N13013" s="279"/>
    </row>
    <row r="13014" spans="1:14" ht="12.75" customHeight="1" x14ac:dyDescent="0.2">
      <c r="A13014" s="75"/>
      <c r="B13014" s="75"/>
      <c r="C13014" s="75"/>
      <c r="D13014" s="75"/>
      <c r="E13014" s="75"/>
      <c r="F13014" s="75"/>
      <c r="G13014" s="75"/>
      <c r="H13014" s="75"/>
      <c r="I13014" s="75"/>
      <c r="J13014" s="75"/>
      <c r="K13014" s="75"/>
      <c r="L13014" s="75"/>
      <c r="M13014" s="75"/>
      <c r="N13014" s="75"/>
    </row>
    <row r="13015" spans="1:14" ht="12.75" customHeight="1" x14ac:dyDescent="0.3">
      <c r="A13015" s="79" t="s">
        <v>898</v>
      </c>
      <c r="B13015" s="80" t="str">
        <f>A13012</f>
        <v>SALIDA PARA ELECTROBOMBA SUMERGIBLE TRIFÁSICA EN CABLE ENCAUCHETADO TIPO TERMOFLEX PROCABLES S 4X4AWG APTO PARA BOMBAS SUMERGIBLES - 90M, EN TUBERÍA EMT 2" - 6M Y TUBERÍA PVC 2" - 6M, INCLUYE FIJACIONES, HERRAJES, MARCACIÓN, BORNAS Y DEMÁS ACCESORIOS</v>
      </c>
      <c r="C13015" s="81" t="s">
        <v>916</v>
      </c>
      <c r="D13015" s="82" t="s">
        <v>999</v>
      </c>
      <c r="E13015" s="83" t="s">
        <v>445</v>
      </c>
      <c r="F13015" s="86">
        <f>H13015+J13015+L13015+N13015</f>
        <v>11689452.5</v>
      </c>
      <c r="G13015" s="83" t="s">
        <v>607</v>
      </c>
      <c r="H13015" s="86">
        <f>M13034</f>
        <v>11222720</v>
      </c>
      <c r="I13015" s="83" t="s">
        <v>918</v>
      </c>
      <c r="J13015" s="86">
        <f>M13043</f>
        <v>18682.5</v>
      </c>
      <c r="K13015" s="83" t="s">
        <v>609</v>
      </c>
      <c r="L13015" s="86">
        <f>M13051</f>
        <v>74400</v>
      </c>
      <c r="M13015" s="83" t="s">
        <v>610</v>
      </c>
      <c r="N13015" s="86">
        <f>M13060</f>
        <v>373650</v>
      </c>
    </row>
    <row r="13016" spans="1:14" ht="12.75" customHeight="1" x14ac:dyDescent="0.25">
      <c r="A13016" s="87"/>
      <c r="B13016" s="87"/>
      <c r="C13016" s="87"/>
      <c r="D13016" s="87"/>
      <c r="E13016" s="87"/>
      <c r="F13016" s="87"/>
      <c r="G13016" s="87"/>
      <c r="H13016" s="12"/>
      <c r="I13016" s="12"/>
      <c r="J13016" s="87"/>
      <c r="K13016" s="215" t="s">
        <v>3217</v>
      </c>
      <c r="L13016" s="215">
        <f>+F13015*presup!$O$5</f>
        <v>15196288.25</v>
      </c>
      <c r="M13016" s="87"/>
      <c r="N13016" s="87"/>
    </row>
    <row r="13017" spans="1:14" ht="12.75" customHeight="1" x14ac:dyDescent="0.2">
      <c r="A13017" s="398" t="s">
        <v>919</v>
      </c>
      <c r="B13017" s="271"/>
      <c r="C13017" s="271"/>
      <c r="D13017" s="271"/>
      <c r="E13017" s="271"/>
      <c r="F13017" s="271"/>
      <c r="G13017" s="271"/>
      <c r="H13017" s="271"/>
      <c r="I13017" s="271"/>
      <c r="J13017" s="271"/>
      <c r="K13017" s="271"/>
      <c r="L13017" s="271"/>
      <c r="M13017" s="271"/>
      <c r="N13017" s="273"/>
    </row>
    <row r="13018" spans="1:14" ht="12.75" customHeight="1" x14ac:dyDescent="0.2">
      <c r="A13018" s="396" t="s">
        <v>76</v>
      </c>
      <c r="B13018" s="271"/>
      <c r="C13018" s="271"/>
      <c r="D13018" s="271"/>
      <c r="E13018" s="271"/>
      <c r="F13018" s="271"/>
      <c r="G13018" s="273"/>
      <c r="H13018" s="88" t="s">
        <v>77</v>
      </c>
      <c r="I13018" s="399" t="s">
        <v>920</v>
      </c>
      <c r="J13018" s="273"/>
      <c r="K13018" s="399" t="s">
        <v>453</v>
      </c>
      <c r="L13018" s="273"/>
      <c r="M13018" s="399" t="s">
        <v>921</v>
      </c>
      <c r="N13018" s="273"/>
    </row>
    <row r="13019" spans="1:14" ht="12.75" customHeight="1" x14ac:dyDescent="0.25">
      <c r="A13019" s="309" t="s">
        <v>1695</v>
      </c>
      <c r="B13019" s="271"/>
      <c r="C13019" s="271"/>
      <c r="D13019" s="271"/>
      <c r="E13019" s="271"/>
      <c r="F13019" s="271"/>
      <c r="G13019" s="273"/>
      <c r="H13019" s="29" t="str">
        <f t="shared" ref="H13019:H13033" si="1704">IF(A13019="","",VLOOKUP(A13019,AA_Materiales,7,FALSE))</f>
        <v>m</v>
      </c>
      <c r="I13019" s="394">
        <f t="shared" ref="I13019:I13033" si="1705">IF(A13019="","",VLOOKUP(A13019,AA_Materiales,8,FALSE))</f>
        <v>52033</v>
      </c>
      <c r="J13019" s="273"/>
      <c r="K13019" s="393">
        <v>6</v>
      </c>
      <c r="L13019" s="273"/>
      <c r="M13019" s="394">
        <f t="shared" ref="M13019:M13033" si="1706">IF(A13019="","",I13019*K13019)</f>
        <v>312198</v>
      </c>
      <c r="N13019" s="273"/>
    </row>
    <row r="13020" spans="1:14" ht="12.75" customHeight="1" x14ac:dyDescent="0.25">
      <c r="A13020" s="309" t="s">
        <v>1696</v>
      </c>
      <c r="B13020" s="271"/>
      <c r="C13020" s="271"/>
      <c r="D13020" s="271"/>
      <c r="E13020" s="271"/>
      <c r="F13020" s="271"/>
      <c r="G13020" s="273"/>
      <c r="H13020" s="29" t="str">
        <f t="shared" si="1704"/>
        <v>Unidad</v>
      </c>
      <c r="I13020" s="394">
        <f t="shared" si="1705"/>
        <v>23100</v>
      </c>
      <c r="J13020" s="273"/>
      <c r="K13020" s="393">
        <v>3</v>
      </c>
      <c r="L13020" s="273"/>
      <c r="M13020" s="394">
        <f t="shared" si="1706"/>
        <v>69300</v>
      </c>
      <c r="N13020" s="273"/>
    </row>
    <row r="13021" spans="1:14" ht="12.75" customHeight="1" x14ac:dyDescent="0.25">
      <c r="A13021" s="309" t="s">
        <v>1697</v>
      </c>
      <c r="B13021" s="271"/>
      <c r="C13021" s="271"/>
      <c r="D13021" s="271"/>
      <c r="E13021" s="271"/>
      <c r="F13021" s="271"/>
      <c r="G13021" s="273"/>
      <c r="H13021" s="29" t="str">
        <f t="shared" si="1704"/>
        <v>Unidad</v>
      </c>
      <c r="I13021" s="394">
        <f t="shared" si="1705"/>
        <v>9940</v>
      </c>
      <c r="J13021" s="273"/>
      <c r="K13021" s="393">
        <v>4</v>
      </c>
      <c r="L13021" s="273"/>
      <c r="M13021" s="394">
        <f t="shared" si="1706"/>
        <v>39760</v>
      </c>
      <c r="N13021" s="273"/>
    </row>
    <row r="13022" spans="1:14" ht="12.75" customHeight="1" x14ac:dyDescent="0.25">
      <c r="A13022" s="309" t="s">
        <v>1698</v>
      </c>
      <c r="B13022" s="271"/>
      <c r="C13022" s="271"/>
      <c r="D13022" s="271"/>
      <c r="E13022" s="271"/>
      <c r="F13022" s="271"/>
      <c r="G13022" s="273"/>
      <c r="H13022" s="29" t="str">
        <f t="shared" si="1704"/>
        <v>m</v>
      </c>
      <c r="I13022" s="394">
        <f t="shared" si="1705"/>
        <v>20067</v>
      </c>
      <c r="J13022" s="273"/>
      <c r="K13022" s="393">
        <v>6</v>
      </c>
      <c r="L13022" s="273"/>
      <c r="M13022" s="394">
        <f t="shared" si="1706"/>
        <v>120402</v>
      </c>
      <c r="N13022" s="273"/>
    </row>
    <row r="13023" spans="1:14" ht="12.75" customHeight="1" x14ac:dyDescent="0.25">
      <c r="A13023" s="309" t="s">
        <v>1699</v>
      </c>
      <c r="B13023" s="271"/>
      <c r="C13023" s="271"/>
      <c r="D13023" s="271"/>
      <c r="E13023" s="271"/>
      <c r="F13023" s="271"/>
      <c r="G13023" s="273"/>
      <c r="H13023" s="29" t="str">
        <f t="shared" si="1704"/>
        <v>Unidad</v>
      </c>
      <c r="I13023" s="394">
        <f t="shared" si="1705"/>
        <v>6650</v>
      </c>
      <c r="J13023" s="273"/>
      <c r="K13023" s="393">
        <v>4</v>
      </c>
      <c r="L13023" s="273"/>
      <c r="M13023" s="394">
        <f t="shared" si="1706"/>
        <v>26600</v>
      </c>
      <c r="N13023" s="273"/>
    </row>
    <row r="13024" spans="1:14" ht="12.75" customHeight="1" x14ac:dyDescent="0.25">
      <c r="A13024" s="309" t="s">
        <v>1700</v>
      </c>
      <c r="B13024" s="271"/>
      <c r="C13024" s="271"/>
      <c r="D13024" s="271"/>
      <c r="E13024" s="271"/>
      <c r="F13024" s="271"/>
      <c r="G13024" s="273"/>
      <c r="H13024" s="29" t="str">
        <f t="shared" si="1704"/>
        <v>m</v>
      </c>
      <c r="I13024" s="394">
        <f t="shared" si="1705"/>
        <v>114387</v>
      </c>
      <c r="J13024" s="273"/>
      <c r="K13024" s="393">
        <v>90</v>
      </c>
      <c r="L13024" s="273"/>
      <c r="M13024" s="394">
        <f t="shared" si="1706"/>
        <v>10294830</v>
      </c>
      <c r="N13024" s="273"/>
    </row>
    <row r="13025" spans="1:14" ht="12.75" customHeight="1" x14ac:dyDescent="0.25">
      <c r="A13025" s="309" t="s">
        <v>1701</v>
      </c>
      <c r="B13025" s="271"/>
      <c r="C13025" s="271"/>
      <c r="D13025" s="271"/>
      <c r="E13025" s="271"/>
      <c r="F13025" s="271"/>
      <c r="G13025" s="273"/>
      <c r="H13025" s="29" t="str">
        <f t="shared" si="1704"/>
        <v>Unidad</v>
      </c>
      <c r="I13025" s="394">
        <f t="shared" si="1705"/>
        <v>2520</v>
      </c>
      <c r="J13025" s="273"/>
      <c r="K13025" s="393">
        <v>8</v>
      </c>
      <c r="L13025" s="273"/>
      <c r="M13025" s="394">
        <f t="shared" si="1706"/>
        <v>20160</v>
      </c>
      <c r="N13025" s="273"/>
    </row>
    <row r="13026" spans="1:14" ht="12.75" customHeight="1" x14ac:dyDescent="0.25">
      <c r="A13026" s="309" t="s">
        <v>1683</v>
      </c>
      <c r="B13026" s="271"/>
      <c r="C13026" s="271"/>
      <c r="D13026" s="271"/>
      <c r="E13026" s="271"/>
      <c r="F13026" s="271"/>
      <c r="G13026" s="273"/>
      <c r="H13026" s="29" t="str">
        <f t="shared" si="1704"/>
        <v>Unidad</v>
      </c>
      <c r="I13026" s="394">
        <f t="shared" si="1705"/>
        <v>14070</v>
      </c>
      <c r="J13026" s="273"/>
      <c r="K13026" s="393">
        <v>1</v>
      </c>
      <c r="L13026" s="273"/>
      <c r="M13026" s="394">
        <f t="shared" si="1706"/>
        <v>14070</v>
      </c>
      <c r="N13026" s="273"/>
    </row>
    <row r="13027" spans="1:14" ht="12.75" customHeight="1" x14ac:dyDescent="0.25">
      <c r="A13027" s="309" t="s">
        <v>1702</v>
      </c>
      <c r="B13027" s="271"/>
      <c r="C13027" s="271"/>
      <c r="D13027" s="271"/>
      <c r="E13027" s="271"/>
      <c r="F13027" s="271"/>
      <c r="G13027" s="273"/>
      <c r="H13027" s="29" t="str">
        <f t="shared" si="1704"/>
        <v>Unidad</v>
      </c>
      <c r="I13027" s="394">
        <f t="shared" si="1705"/>
        <v>16270</v>
      </c>
      <c r="J13027" s="273"/>
      <c r="K13027" s="393">
        <v>20</v>
      </c>
      <c r="L13027" s="273"/>
      <c r="M13027" s="394">
        <f t="shared" si="1706"/>
        <v>325400</v>
      </c>
      <c r="N13027" s="273"/>
    </row>
    <row r="13028" spans="1:14" ht="12.75" customHeight="1" x14ac:dyDescent="0.25">
      <c r="A13028" s="309"/>
      <c r="B13028" s="271"/>
      <c r="C13028" s="271"/>
      <c r="D13028" s="271"/>
      <c r="E13028" s="271"/>
      <c r="F13028" s="271"/>
      <c r="G13028" s="273"/>
      <c r="H13028" s="29" t="str">
        <f t="shared" si="1704"/>
        <v/>
      </c>
      <c r="I13028" s="394" t="str">
        <f t="shared" si="1705"/>
        <v/>
      </c>
      <c r="J13028" s="273"/>
      <c r="K13028" s="393"/>
      <c r="L13028" s="273"/>
      <c r="M13028" s="394" t="str">
        <f t="shared" si="1706"/>
        <v/>
      </c>
      <c r="N13028" s="273"/>
    </row>
    <row r="13029" spans="1:14" ht="12.75" customHeight="1" x14ac:dyDescent="0.25">
      <c r="A13029" s="309"/>
      <c r="B13029" s="271"/>
      <c r="C13029" s="271"/>
      <c r="D13029" s="271"/>
      <c r="E13029" s="271"/>
      <c r="F13029" s="271"/>
      <c r="G13029" s="273"/>
      <c r="H13029" s="29" t="str">
        <f t="shared" si="1704"/>
        <v/>
      </c>
      <c r="I13029" s="394" t="str">
        <f t="shared" si="1705"/>
        <v/>
      </c>
      <c r="J13029" s="273"/>
      <c r="K13029" s="393"/>
      <c r="L13029" s="273"/>
      <c r="M13029" s="394" t="str">
        <f t="shared" si="1706"/>
        <v/>
      </c>
      <c r="N13029" s="273"/>
    </row>
    <row r="13030" spans="1:14" ht="12.75" customHeight="1" x14ac:dyDescent="0.25">
      <c r="A13030" s="309"/>
      <c r="B13030" s="271"/>
      <c r="C13030" s="271"/>
      <c r="D13030" s="271"/>
      <c r="E13030" s="271"/>
      <c r="F13030" s="271"/>
      <c r="G13030" s="273"/>
      <c r="H13030" s="29" t="str">
        <f t="shared" si="1704"/>
        <v/>
      </c>
      <c r="I13030" s="394" t="str">
        <f t="shared" si="1705"/>
        <v/>
      </c>
      <c r="J13030" s="273"/>
      <c r="K13030" s="393"/>
      <c r="L13030" s="273"/>
      <c r="M13030" s="394" t="str">
        <f t="shared" si="1706"/>
        <v/>
      </c>
      <c r="N13030" s="273"/>
    </row>
    <row r="13031" spans="1:14" ht="12.75" customHeight="1" x14ac:dyDescent="0.25">
      <c r="A13031" s="309"/>
      <c r="B13031" s="271"/>
      <c r="C13031" s="271"/>
      <c r="D13031" s="271"/>
      <c r="E13031" s="271"/>
      <c r="F13031" s="271"/>
      <c r="G13031" s="273"/>
      <c r="H13031" s="29" t="str">
        <f t="shared" si="1704"/>
        <v/>
      </c>
      <c r="I13031" s="394" t="str">
        <f t="shared" si="1705"/>
        <v/>
      </c>
      <c r="J13031" s="273"/>
      <c r="K13031" s="393"/>
      <c r="L13031" s="273"/>
      <c r="M13031" s="394" t="str">
        <f t="shared" si="1706"/>
        <v/>
      </c>
      <c r="N13031" s="273"/>
    </row>
    <row r="13032" spans="1:14" ht="12.75" customHeight="1" x14ac:dyDescent="0.25">
      <c r="A13032" s="309"/>
      <c r="B13032" s="271"/>
      <c r="C13032" s="271"/>
      <c r="D13032" s="271"/>
      <c r="E13032" s="271"/>
      <c r="F13032" s="271"/>
      <c r="G13032" s="273"/>
      <c r="H13032" s="29" t="str">
        <f t="shared" si="1704"/>
        <v/>
      </c>
      <c r="I13032" s="394" t="str">
        <f t="shared" si="1705"/>
        <v/>
      </c>
      <c r="J13032" s="273"/>
      <c r="K13032" s="393"/>
      <c r="L13032" s="273"/>
      <c r="M13032" s="394" t="str">
        <f t="shared" si="1706"/>
        <v/>
      </c>
      <c r="N13032" s="273"/>
    </row>
    <row r="13033" spans="1:14" ht="12.75" customHeight="1" x14ac:dyDescent="0.25">
      <c r="A13033" s="309"/>
      <c r="B13033" s="271"/>
      <c r="C13033" s="271"/>
      <c r="D13033" s="271"/>
      <c r="E13033" s="271"/>
      <c r="F13033" s="271"/>
      <c r="G13033" s="273"/>
      <c r="H13033" s="29" t="str">
        <f t="shared" si="1704"/>
        <v/>
      </c>
      <c r="I13033" s="394" t="str">
        <f t="shared" si="1705"/>
        <v/>
      </c>
      <c r="J13033" s="273"/>
      <c r="K13033" s="393"/>
      <c r="L13033" s="273"/>
      <c r="M13033" s="394" t="str">
        <f t="shared" si="1706"/>
        <v/>
      </c>
      <c r="N13033" s="273"/>
    </row>
    <row r="13034" spans="1:14" ht="12.75" customHeight="1" x14ac:dyDescent="0.25">
      <c r="A13034" s="4"/>
      <c r="B13034" s="4"/>
      <c r="C13034" s="4"/>
      <c r="D13034" s="4"/>
      <c r="E13034" s="4"/>
      <c r="F13034" s="4"/>
      <c r="G13034" s="4"/>
      <c r="H13034" s="4"/>
      <c r="I13034" s="4"/>
      <c r="J13034" s="4"/>
      <c r="K13034" s="396" t="s">
        <v>444</v>
      </c>
      <c r="L13034" s="273"/>
      <c r="M13034" s="394">
        <f>SUM(M13019:N13033)</f>
        <v>11222720</v>
      </c>
      <c r="N13034" s="273"/>
    </row>
    <row r="13035" spans="1:14" ht="12.75" customHeight="1" x14ac:dyDescent="0.25">
      <c r="A13035" s="4"/>
      <c r="B13035" s="4"/>
      <c r="C13035" s="4"/>
      <c r="D13035" s="4"/>
      <c r="E13035" s="4"/>
      <c r="F13035" s="4"/>
      <c r="G13035" s="4"/>
      <c r="H13035" s="4"/>
      <c r="I13035" s="4"/>
      <c r="J13035" s="4"/>
      <c r="K13035" s="4"/>
      <c r="L13035" s="4"/>
      <c r="M13035" s="4"/>
      <c r="N13035" s="4"/>
    </row>
    <row r="13036" spans="1:14" ht="12.75" customHeight="1" x14ac:dyDescent="0.2">
      <c r="A13036" s="398" t="s">
        <v>926</v>
      </c>
      <c r="B13036" s="271"/>
      <c r="C13036" s="271"/>
      <c r="D13036" s="271"/>
      <c r="E13036" s="271"/>
      <c r="F13036" s="271"/>
      <c r="G13036" s="271"/>
      <c r="H13036" s="271"/>
      <c r="I13036" s="271"/>
      <c r="J13036" s="271"/>
      <c r="K13036" s="271"/>
      <c r="L13036" s="271"/>
      <c r="M13036" s="271"/>
      <c r="N13036" s="273"/>
    </row>
    <row r="13037" spans="1:14" ht="12.75" customHeight="1" x14ac:dyDescent="0.2">
      <c r="A13037" s="396" t="s">
        <v>76</v>
      </c>
      <c r="B13037" s="271"/>
      <c r="C13037" s="271"/>
      <c r="D13037" s="271"/>
      <c r="E13037" s="271"/>
      <c r="F13037" s="271"/>
      <c r="G13037" s="273"/>
      <c r="H13037" s="88" t="s">
        <v>77</v>
      </c>
      <c r="I13037" s="399" t="s">
        <v>920</v>
      </c>
      <c r="J13037" s="273"/>
      <c r="K13037" s="399" t="s">
        <v>453</v>
      </c>
      <c r="L13037" s="273"/>
      <c r="M13037" s="399" t="s">
        <v>921</v>
      </c>
      <c r="N13037" s="273"/>
    </row>
    <row r="13038" spans="1:14" ht="12.75" customHeight="1" x14ac:dyDescent="0.2">
      <c r="A13038" s="400" t="s">
        <v>927</v>
      </c>
      <c r="B13038" s="271"/>
      <c r="C13038" s="271"/>
      <c r="D13038" s="271"/>
      <c r="E13038" s="271"/>
      <c r="F13038" s="271"/>
      <c r="G13038" s="273"/>
      <c r="H13038" s="29" t="str">
        <f>IF(A13038="","",VLOOKUP(A13038,AA_Equipos,7,FALSE))</f>
        <v>% M.O.</v>
      </c>
      <c r="I13038" s="394">
        <f>+M13060</f>
        <v>373650</v>
      </c>
      <c r="J13038" s="273"/>
      <c r="K13038" s="404">
        <v>0.05</v>
      </c>
      <c r="L13038" s="273"/>
      <c r="M13038" s="394">
        <f t="shared" ref="M13038:M13042" si="1707">IF(A13038="","",I13038*K13038)</f>
        <v>18682.5</v>
      </c>
      <c r="N13038" s="273"/>
    </row>
    <row r="13039" spans="1:14" ht="12.75" customHeight="1" x14ac:dyDescent="0.2">
      <c r="A13039" s="403"/>
      <c r="B13039" s="271"/>
      <c r="C13039" s="271"/>
      <c r="D13039" s="271"/>
      <c r="E13039" s="271"/>
      <c r="F13039" s="271"/>
      <c r="G13039" s="273"/>
      <c r="H13039" s="29" t="str">
        <f>IF(A13039="","",VLOOKUP(A13039,AA_Equipos,7,FALSE))</f>
        <v/>
      </c>
      <c r="I13039" s="394" t="str">
        <f>IF(A13039="","",VLOOKUP(A13039,AA_Equipos,8,FALSE))</f>
        <v/>
      </c>
      <c r="J13039" s="273"/>
      <c r="K13039" s="402"/>
      <c r="L13039" s="273"/>
      <c r="M13039" s="394" t="str">
        <f t="shared" si="1707"/>
        <v/>
      </c>
      <c r="N13039" s="273"/>
    </row>
    <row r="13040" spans="1:14" ht="12.75" customHeight="1" x14ac:dyDescent="0.2">
      <c r="A13040" s="400"/>
      <c r="B13040" s="271"/>
      <c r="C13040" s="271"/>
      <c r="D13040" s="271"/>
      <c r="E13040" s="271"/>
      <c r="F13040" s="271"/>
      <c r="G13040" s="273"/>
      <c r="H13040" s="29" t="str">
        <f>IF(A13040="","",VLOOKUP(A13040,AA_Equipos,7,FALSE))</f>
        <v/>
      </c>
      <c r="I13040" s="394" t="str">
        <f>IF(A13040="","",VLOOKUP(A13040,AA_Equipos,8,FALSE))</f>
        <v/>
      </c>
      <c r="J13040" s="273"/>
      <c r="K13040" s="401"/>
      <c r="L13040" s="273"/>
      <c r="M13040" s="394" t="str">
        <f t="shared" si="1707"/>
        <v/>
      </c>
      <c r="N13040" s="273"/>
    </row>
    <row r="13041" spans="1:14" ht="12.75" customHeight="1" x14ac:dyDescent="0.2">
      <c r="A13041" s="400"/>
      <c r="B13041" s="271"/>
      <c r="C13041" s="271"/>
      <c r="D13041" s="271"/>
      <c r="E13041" s="271"/>
      <c r="F13041" s="271"/>
      <c r="G13041" s="273"/>
      <c r="H13041" s="29" t="str">
        <f>IF(A13041="","",VLOOKUP(A13041,AA_Equipos,7,FALSE))</f>
        <v/>
      </c>
      <c r="I13041" s="394" t="str">
        <f>IF(A13041="","",VLOOKUP(A13041,AA_Equipos,8,FALSE))</f>
        <v/>
      </c>
      <c r="J13041" s="273"/>
      <c r="K13041" s="395"/>
      <c r="L13041" s="273"/>
      <c r="M13041" s="394" t="str">
        <f t="shared" si="1707"/>
        <v/>
      </c>
      <c r="N13041" s="273"/>
    </row>
    <row r="13042" spans="1:14" ht="12.75" customHeight="1" x14ac:dyDescent="0.2">
      <c r="A13042" s="400"/>
      <c r="B13042" s="271"/>
      <c r="C13042" s="271"/>
      <c r="D13042" s="271"/>
      <c r="E13042" s="271"/>
      <c r="F13042" s="271"/>
      <c r="G13042" s="273"/>
      <c r="H13042" s="29" t="str">
        <f>IF(A13042="","",VLOOKUP(A13042,AA_Equipos,7,FALSE))</f>
        <v/>
      </c>
      <c r="I13042" s="394" t="str">
        <f>IF(A13042="","",VLOOKUP(A13042,AA_Equipos,8,FALSE))</f>
        <v/>
      </c>
      <c r="J13042" s="273"/>
      <c r="K13042" s="395"/>
      <c r="L13042" s="273"/>
      <c r="M13042" s="394" t="str">
        <f t="shared" si="1707"/>
        <v/>
      </c>
      <c r="N13042" s="273"/>
    </row>
    <row r="13043" spans="1:14" ht="12.75" customHeight="1" x14ac:dyDescent="0.25">
      <c r="A13043" s="4"/>
      <c r="B13043" s="4"/>
      <c r="C13043" s="4"/>
      <c r="D13043" s="4"/>
      <c r="E13043" s="4"/>
      <c r="F13043" s="4"/>
      <c r="G13043" s="4"/>
      <c r="H13043" s="4"/>
      <c r="I13043" s="4"/>
      <c r="J13043" s="4"/>
      <c r="K13043" s="396" t="s">
        <v>444</v>
      </c>
      <c r="L13043" s="273"/>
      <c r="M13043" s="394">
        <f>SUM(M13038:N13042)</f>
        <v>18682.5</v>
      </c>
      <c r="N13043" s="273"/>
    </row>
    <row r="13044" spans="1:14" ht="12.75" customHeight="1" x14ac:dyDescent="0.25">
      <c r="A13044" s="4"/>
      <c r="B13044" s="4"/>
      <c r="C13044" s="4"/>
      <c r="D13044" s="4"/>
      <c r="E13044" s="4"/>
      <c r="F13044" s="4"/>
      <c r="G13044" s="4"/>
      <c r="H13044" s="4"/>
      <c r="I13044" s="4"/>
      <c r="J13044" s="4"/>
      <c r="K13044" s="4"/>
      <c r="L13044" s="4"/>
      <c r="M13044" s="4"/>
      <c r="N13044" s="4"/>
    </row>
    <row r="13045" spans="1:14" ht="12.75" customHeight="1" x14ac:dyDescent="0.2">
      <c r="A13045" s="398" t="s">
        <v>929</v>
      </c>
      <c r="B13045" s="271"/>
      <c r="C13045" s="271"/>
      <c r="D13045" s="271"/>
      <c r="E13045" s="271"/>
      <c r="F13045" s="271"/>
      <c r="G13045" s="271"/>
      <c r="H13045" s="271"/>
      <c r="I13045" s="271"/>
      <c r="J13045" s="271"/>
      <c r="K13045" s="271"/>
      <c r="L13045" s="271"/>
      <c r="M13045" s="271"/>
      <c r="N13045" s="273"/>
    </row>
    <row r="13046" spans="1:14" ht="12.75" customHeight="1" x14ac:dyDescent="0.2">
      <c r="A13046" s="396" t="s">
        <v>76</v>
      </c>
      <c r="B13046" s="271"/>
      <c r="C13046" s="271"/>
      <c r="D13046" s="271"/>
      <c r="E13046" s="271"/>
      <c r="F13046" s="271"/>
      <c r="G13046" s="273"/>
      <c r="H13046" s="88" t="s">
        <v>77</v>
      </c>
      <c r="I13046" s="399" t="s">
        <v>920</v>
      </c>
      <c r="J13046" s="273"/>
      <c r="K13046" s="399" t="s">
        <v>453</v>
      </c>
      <c r="L13046" s="273"/>
      <c r="M13046" s="399" t="s">
        <v>921</v>
      </c>
      <c r="N13046" s="273"/>
    </row>
    <row r="13047" spans="1:14" ht="12.75" customHeight="1" x14ac:dyDescent="0.2">
      <c r="A13047" s="400" t="s">
        <v>1559</v>
      </c>
      <c r="B13047" s="271"/>
      <c r="C13047" s="271"/>
      <c r="D13047" s="271"/>
      <c r="E13047" s="271"/>
      <c r="F13047" s="271"/>
      <c r="G13047" s="273"/>
      <c r="H13047" s="29" t="str">
        <f>IF(A13047="","",VLOOKUP(A13047,AA_Equipos,7,FALSE))</f>
        <v>Día</v>
      </c>
      <c r="I13047" s="394">
        <f>IF(A13047="","",VLOOKUP(A13047,AA_Equipos,8,FALSE))</f>
        <v>74400</v>
      </c>
      <c r="J13047" s="273"/>
      <c r="K13047" s="395">
        <v>1</v>
      </c>
      <c r="L13047" s="273"/>
      <c r="M13047" s="394">
        <f t="shared" ref="M13047:M13050" si="1708">IF(A13047="","",I13047*K13047)</f>
        <v>74400</v>
      </c>
      <c r="N13047" s="273"/>
    </row>
    <row r="13048" spans="1:14" ht="12.75" customHeight="1" x14ac:dyDescent="0.2">
      <c r="A13048" s="400"/>
      <c r="B13048" s="271"/>
      <c r="C13048" s="271"/>
      <c r="D13048" s="271"/>
      <c r="E13048" s="271"/>
      <c r="F13048" s="271"/>
      <c r="G13048" s="273"/>
      <c r="H13048" s="29"/>
      <c r="I13048" s="394"/>
      <c r="J13048" s="273"/>
      <c r="K13048" s="395"/>
      <c r="L13048" s="273"/>
      <c r="M13048" s="394" t="str">
        <f t="shared" si="1708"/>
        <v/>
      </c>
      <c r="N13048" s="273"/>
    </row>
    <row r="13049" spans="1:14" ht="12.75" customHeight="1" x14ac:dyDescent="0.2">
      <c r="A13049" s="400"/>
      <c r="B13049" s="271"/>
      <c r="C13049" s="271"/>
      <c r="D13049" s="271"/>
      <c r="E13049" s="271"/>
      <c r="F13049" s="271"/>
      <c r="G13049" s="273"/>
      <c r="H13049" s="29"/>
      <c r="I13049" s="394"/>
      <c r="J13049" s="273"/>
      <c r="K13049" s="395"/>
      <c r="L13049" s="273"/>
      <c r="M13049" s="394" t="str">
        <f t="shared" si="1708"/>
        <v/>
      </c>
      <c r="N13049" s="273"/>
    </row>
    <row r="13050" spans="1:14" ht="12.75" customHeight="1" x14ac:dyDescent="0.2">
      <c r="A13050" s="400"/>
      <c r="B13050" s="271"/>
      <c r="C13050" s="271"/>
      <c r="D13050" s="271"/>
      <c r="E13050" s="271"/>
      <c r="F13050" s="271"/>
      <c r="G13050" s="273"/>
      <c r="H13050" s="29"/>
      <c r="I13050" s="394"/>
      <c r="J13050" s="273"/>
      <c r="K13050" s="395"/>
      <c r="L13050" s="273"/>
      <c r="M13050" s="394" t="str">
        <f t="shared" si="1708"/>
        <v/>
      </c>
      <c r="N13050" s="273"/>
    </row>
    <row r="13051" spans="1:14" ht="12.75" customHeight="1" x14ac:dyDescent="0.25">
      <c r="A13051" s="4"/>
      <c r="B13051" s="4"/>
      <c r="C13051" s="4"/>
      <c r="D13051" s="4"/>
      <c r="E13051" s="4"/>
      <c r="F13051" s="4"/>
      <c r="G13051" s="4"/>
      <c r="H13051" s="4"/>
      <c r="I13051" s="4"/>
      <c r="J13051" s="4"/>
      <c r="K13051" s="396" t="s">
        <v>444</v>
      </c>
      <c r="L13051" s="273"/>
      <c r="M13051" s="394">
        <f>SUM(M13047:N13050)</f>
        <v>74400</v>
      </c>
      <c r="N13051" s="273"/>
    </row>
    <row r="13052" spans="1:14" ht="12.75" customHeight="1" x14ac:dyDescent="0.25">
      <c r="A13052" s="4"/>
      <c r="B13052" s="4"/>
      <c r="C13052" s="4"/>
      <c r="D13052" s="4"/>
      <c r="E13052" s="4"/>
      <c r="F13052" s="4"/>
      <c r="G13052" s="4"/>
      <c r="H13052" s="4"/>
      <c r="I13052" s="4"/>
      <c r="J13052" s="4"/>
      <c r="K13052" s="4"/>
      <c r="L13052" s="4"/>
      <c r="M13052" s="4"/>
      <c r="N13052" s="4"/>
    </row>
    <row r="13053" spans="1:14" ht="12.75" customHeight="1" x14ac:dyDescent="0.2">
      <c r="A13053" s="398" t="s">
        <v>931</v>
      </c>
      <c r="B13053" s="271"/>
      <c r="C13053" s="271"/>
      <c r="D13053" s="271"/>
      <c r="E13053" s="271"/>
      <c r="F13053" s="271"/>
      <c r="G13053" s="271"/>
      <c r="H13053" s="271"/>
      <c r="I13053" s="271"/>
      <c r="J13053" s="271"/>
      <c r="K13053" s="271"/>
      <c r="L13053" s="271"/>
      <c r="M13053" s="271"/>
      <c r="N13053" s="273"/>
    </row>
    <row r="13054" spans="1:14" ht="12.75" customHeight="1" x14ac:dyDescent="0.2">
      <c r="A13054" s="396" t="s">
        <v>76</v>
      </c>
      <c r="B13054" s="271"/>
      <c r="C13054" s="271"/>
      <c r="D13054" s="271"/>
      <c r="E13054" s="271"/>
      <c r="F13054" s="271"/>
      <c r="G13054" s="273"/>
      <c r="H13054" s="88" t="s">
        <v>77</v>
      </c>
      <c r="I13054" s="399" t="s">
        <v>920</v>
      </c>
      <c r="J13054" s="273"/>
      <c r="K13054" s="90" t="s">
        <v>514</v>
      </c>
      <c r="L13054" s="91" t="s">
        <v>932</v>
      </c>
      <c r="M13054" s="399" t="s">
        <v>921</v>
      </c>
      <c r="N13054" s="273"/>
    </row>
    <row r="13055" spans="1:14" ht="12.75" customHeight="1" x14ac:dyDescent="0.25">
      <c r="A13055" s="393" t="s">
        <v>1301</v>
      </c>
      <c r="B13055" s="271"/>
      <c r="C13055" s="271"/>
      <c r="D13055" s="271"/>
      <c r="E13055" s="271"/>
      <c r="F13055" s="271"/>
      <c r="G13055" s="273"/>
      <c r="H13055" s="29" t="str">
        <f>IF(A13055="","",VLOOKUP(A13055,AA_Cuadrillas,4,FALSE))</f>
        <v>Cuadrilla</v>
      </c>
      <c r="I13055" s="394">
        <f>IF(A13055="","",VLOOKUP(A13055,AA_Cuadrillas,5,FALSE))</f>
        <v>132500</v>
      </c>
      <c r="J13055" s="273"/>
      <c r="K13055" s="9">
        <f>IF(A13055="","",F.P!$I$2)</f>
        <v>1.88</v>
      </c>
      <c r="L13055" s="97">
        <v>1.5</v>
      </c>
      <c r="M13055" s="394">
        <f t="shared" ref="M13055:M13059" si="1709">IF(A13055="","",I13055*K13055*L13055)</f>
        <v>373650</v>
      </c>
      <c r="N13055" s="273"/>
    </row>
    <row r="13056" spans="1:14" ht="12.75" customHeight="1" x14ac:dyDescent="0.25">
      <c r="A13056" s="393"/>
      <c r="B13056" s="271"/>
      <c r="C13056" s="271"/>
      <c r="D13056" s="271"/>
      <c r="E13056" s="271"/>
      <c r="F13056" s="271"/>
      <c r="G13056" s="273"/>
      <c r="H13056" s="29" t="str">
        <f>IF(A13056="","",VLOOKUP(A13056,AA_Cuadrillas,4,FALSE))</f>
        <v/>
      </c>
      <c r="I13056" s="394" t="str">
        <f>IF(A13056="","",VLOOKUP(A13056,AA_Cuadrillas,5,FALSE))</f>
        <v/>
      </c>
      <c r="J13056" s="273"/>
      <c r="K13056" s="9" t="str">
        <f>IF(A13056="","",F.P!$I$2)</f>
        <v/>
      </c>
      <c r="L13056" s="9"/>
      <c r="M13056" s="394" t="str">
        <f t="shared" si="1709"/>
        <v/>
      </c>
      <c r="N13056" s="273"/>
    </row>
    <row r="13057" spans="1:15" ht="12.75" customHeight="1" x14ac:dyDescent="0.25">
      <c r="A13057" s="393"/>
      <c r="B13057" s="271"/>
      <c r="C13057" s="271"/>
      <c r="D13057" s="271"/>
      <c r="E13057" s="271"/>
      <c r="F13057" s="271"/>
      <c r="G13057" s="273"/>
      <c r="H13057" s="29" t="str">
        <f>IF(A13057="","",VLOOKUP(A13057,AA_Cuadrillas,4,FALSE))</f>
        <v/>
      </c>
      <c r="I13057" s="394" t="str">
        <f>IF(A13057="","",VLOOKUP(A13057,AA_Cuadrillas,5,FALSE))</f>
        <v/>
      </c>
      <c r="J13057" s="273"/>
      <c r="K13057" s="9" t="str">
        <f>IF(A13057="","",F.P!$I$2)</f>
        <v/>
      </c>
      <c r="L13057" s="37"/>
      <c r="M13057" s="394" t="str">
        <f t="shared" si="1709"/>
        <v/>
      </c>
      <c r="N13057" s="273"/>
    </row>
    <row r="13058" spans="1:15" ht="12.75" customHeight="1" x14ac:dyDescent="0.25">
      <c r="A13058" s="393"/>
      <c r="B13058" s="271"/>
      <c r="C13058" s="271"/>
      <c r="D13058" s="271"/>
      <c r="E13058" s="271"/>
      <c r="F13058" s="271"/>
      <c r="G13058" s="273"/>
      <c r="H13058" s="29" t="str">
        <f>IF(A13058="","",VLOOKUP(A13058,AA_Cuadrillas,4,FALSE))</f>
        <v/>
      </c>
      <c r="I13058" s="394" t="str">
        <f>IF(A13058="","",VLOOKUP(A13058,AA_Cuadrillas,5,FALSE))</f>
        <v/>
      </c>
      <c r="J13058" s="273"/>
      <c r="K13058" s="9" t="str">
        <f>IF(A13058="","",F.P!$I$2)</f>
        <v/>
      </c>
      <c r="L13058" s="97"/>
      <c r="M13058" s="394" t="str">
        <f t="shared" si="1709"/>
        <v/>
      </c>
      <c r="N13058" s="273"/>
    </row>
    <row r="13059" spans="1:15" ht="12.75" customHeight="1" x14ac:dyDescent="0.25">
      <c r="A13059" s="393"/>
      <c r="B13059" s="271"/>
      <c r="C13059" s="271"/>
      <c r="D13059" s="271"/>
      <c r="E13059" s="271"/>
      <c r="F13059" s="271"/>
      <c r="G13059" s="273"/>
      <c r="H13059" s="29" t="str">
        <f>IF(A13059="","",VLOOKUP(A13059,AA_Cuadrillas,4,FALSE))</f>
        <v/>
      </c>
      <c r="I13059" s="394" t="str">
        <f>IF(A13059="","",VLOOKUP(A13059,AA_Cuadrillas,5,FALSE))</f>
        <v/>
      </c>
      <c r="J13059" s="273"/>
      <c r="K13059" s="9" t="str">
        <f>IF(A13059="","",F.P!$I$2)</f>
        <v/>
      </c>
      <c r="L13059" s="37"/>
      <c r="M13059" s="394" t="str">
        <f t="shared" si="1709"/>
        <v/>
      </c>
      <c r="N13059" s="273"/>
    </row>
    <row r="13060" spans="1:15" ht="12.75" customHeight="1" x14ac:dyDescent="0.25">
      <c r="A13060" s="4"/>
      <c r="B13060" s="4"/>
      <c r="C13060" s="4"/>
      <c r="D13060" s="4"/>
      <c r="E13060" s="4"/>
      <c r="F13060" s="4"/>
      <c r="G13060" s="4"/>
      <c r="H13060" s="4"/>
      <c r="I13060" s="4"/>
      <c r="J13060" s="4"/>
      <c r="K13060" s="396" t="s">
        <v>444</v>
      </c>
      <c r="L13060" s="273"/>
      <c r="M13060" s="394">
        <f>SUM(M13055:N13059)</f>
        <v>373650</v>
      </c>
      <c r="N13060" s="273"/>
    </row>
    <row r="13061" spans="1:15" ht="12.75" customHeight="1" x14ac:dyDescent="0.2"/>
    <row r="13062" spans="1:15" ht="12.75" customHeight="1" x14ac:dyDescent="0.2">
      <c r="A13062" s="397" t="s">
        <v>421</v>
      </c>
      <c r="B13062" s="275"/>
      <c r="C13062" s="275"/>
      <c r="D13062" s="275"/>
      <c r="E13062" s="275"/>
      <c r="F13062" s="275"/>
      <c r="G13062" s="275"/>
      <c r="H13062" s="275"/>
      <c r="I13062" s="275"/>
      <c r="J13062" s="275"/>
      <c r="K13062" s="275"/>
      <c r="L13062" s="275"/>
      <c r="M13062" s="275"/>
      <c r="N13062" s="276"/>
      <c r="O13062" s="166"/>
    </row>
    <row r="13063" spans="1:15" ht="12.75" customHeight="1" x14ac:dyDescent="0.2">
      <c r="A13063" s="277"/>
      <c r="B13063" s="278"/>
      <c r="C13063" s="278"/>
      <c r="D13063" s="278"/>
      <c r="E13063" s="278"/>
      <c r="F13063" s="278"/>
      <c r="G13063" s="278"/>
      <c r="H13063" s="278"/>
      <c r="I13063" s="278"/>
      <c r="J13063" s="278"/>
      <c r="K13063" s="278"/>
      <c r="L13063" s="278"/>
      <c r="M13063" s="278"/>
      <c r="N13063" s="279"/>
      <c r="O13063" s="166"/>
    </row>
    <row r="13064" spans="1:15" ht="12.75" customHeight="1" x14ac:dyDescent="0.2">
      <c r="A13064" s="75"/>
      <c r="B13064" s="75"/>
      <c r="C13064" s="75"/>
      <c r="D13064" s="75"/>
      <c r="E13064" s="75"/>
      <c r="F13064" s="75"/>
      <c r="G13064" s="75"/>
      <c r="H13064" s="75"/>
      <c r="I13064" s="75"/>
      <c r="J13064" s="75"/>
      <c r="K13064" s="75"/>
      <c r="L13064" s="75"/>
      <c r="M13064" s="75"/>
      <c r="N13064" s="75"/>
    </row>
    <row r="13065" spans="1:15" ht="12.75" customHeight="1" x14ac:dyDescent="0.3">
      <c r="A13065" s="79" t="s">
        <v>899</v>
      </c>
      <c r="B13065" s="80" t="str">
        <f>A13062</f>
        <v>SUMINISTRO E INSTALACIÓN DE POSTE DE CONCRETO PRETENSADO 510KGF, INCLUYE BRAZO PARA LUMINARIA 140MM, HICADA Y PLOMADA</v>
      </c>
      <c r="C13065" s="81" t="s">
        <v>916</v>
      </c>
      <c r="D13065" s="82" t="s">
        <v>999</v>
      </c>
      <c r="E13065" s="83" t="s">
        <v>445</v>
      </c>
      <c r="F13065" s="234">
        <f>(H13065+J13065+L13065+N13065)*1.3</f>
        <v>2656251.1300000004</v>
      </c>
      <c r="G13065" s="83" t="s">
        <v>607</v>
      </c>
      <c r="H13065" s="86">
        <f>M13084</f>
        <v>1483707</v>
      </c>
      <c r="I13065" s="83" t="s">
        <v>918</v>
      </c>
      <c r="J13065" s="86">
        <f>M13093</f>
        <v>12455</v>
      </c>
      <c r="K13065" s="83" t="s">
        <v>609</v>
      </c>
      <c r="L13065" s="86">
        <f>M13101</f>
        <v>298008.09999999998</v>
      </c>
      <c r="M13065" s="83" t="s">
        <v>610</v>
      </c>
      <c r="N13065" s="86">
        <f>M13110</f>
        <v>249100</v>
      </c>
    </row>
    <row r="13066" spans="1:15" ht="12.75" customHeight="1" x14ac:dyDescent="0.25">
      <c r="A13066" s="87"/>
      <c r="B13066" s="87"/>
      <c r="C13066" s="87"/>
      <c r="D13066" s="87"/>
      <c r="E13066" s="87"/>
      <c r="F13066" s="87"/>
      <c r="G13066" s="87"/>
      <c r="H13066" s="12"/>
      <c r="I13066" s="12"/>
      <c r="J13066" s="87"/>
      <c r="K13066" s="215" t="s">
        <v>3217</v>
      </c>
      <c r="L13066" s="215">
        <f>+F13065*presup!$O$5</f>
        <v>3453126.4690000005</v>
      </c>
      <c r="M13066" s="87"/>
      <c r="N13066" s="87"/>
    </row>
    <row r="13067" spans="1:15" ht="12.75" customHeight="1" x14ac:dyDescent="0.2">
      <c r="A13067" s="398" t="s">
        <v>919</v>
      </c>
      <c r="B13067" s="271"/>
      <c r="C13067" s="271"/>
      <c r="D13067" s="271"/>
      <c r="E13067" s="271"/>
      <c r="F13067" s="271"/>
      <c r="G13067" s="271"/>
      <c r="H13067" s="271"/>
      <c r="I13067" s="271"/>
      <c r="J13067" s="271"/>
      <c r="K13067" s="271"/>
      <c r="L13067" s="271"/>
      <c r="M13067" s="271"/>
      <c r="N13067" s="273"/>
    </row>
    <row r="13068" spans="1:15" ht="12.75" customHeight="1" x14ac:dyDescent="0.2">
      <c r="A13068" s="396" t="s">
        <v>76</v>
      </c>
      <c r="B13068" s="271"/>
      <c r="C13068" s="271"/>
      <c r="D13068" s="271"/>
      <c r="E13068" s="271"/>
      <c r="F13068" s="271"/>
      <c r="G13068" s="273"/>
      <c r="H13068" s="88" t="s">
        <v>77</v>
      </c>
      <c r="I13068" s="399" t="s">
        <v>920</v>
      </c>
      <c r="J13068" s="273"/>
      <c r="K13068" s="399" t="s">
        <v>453</v>
      </c>
      <c r="L13068" s="273"/>
      <c r="M13068" s="399" t="s">
        <v>921</v>
      </c>
      <c r="N13068" s="273"/>
    </row>
    <row r="13069" spans="1:15" ht="12.75" customHeight="1" x14ac:dyDescent="0.25">
      <c r="A13069" s="309" t="s">
        <v>1703</v>
      </c>
      <c r="B13069" s="271"/>
      <c r="C13069" s="271"/>
      <c r="D13069" s="271"/>
      <c r="E13069" s="271"/>
      <c r="F13069" s="271"/>
      <c r="G13069" s="273"/>
      <c r="H13069" s="29" t="str">
        <f t="shared" ref="H13069:H13083" si="1710">IF(A13069="","",VLOOKUP(A13069,AA_Materiales,7,FALSE))</f>
        <v>Unidad</v>
      </c>
      <c r="I13069" s="394">
        <f t="shared" ref="I13069:I13083" si="1711">IF(A13069="","",VLOOKUP(A13069,AA_Materiales,8,FALSE))</f>
        <v>1157459</v>
      </c>
      <c r="J13069" s="273"/>
      <c r="K13069" s="393">
        <v>1</v>
      </c>
      <c r="L13069" s="273"/>
      <c r="M13069" s="394">
        <f t="shared" ref="M13069:M13083" si="1712">IF(A13069="","",I13069*K13069)</f>
        <v>1157459</v>
      </c>
      <c r="N13069" s="273"/>
    </row>
    <row r="13070" spans="1:15" ht="12.75" customHeight="1" x14ac:dyDescent="0.25">
      <c r="A13070" s="309" t="s">
        <v>1704</v>
      </c>
      <c r="B13070" s="271"/>
      <c r="C13070" s="271"/>
      <c r="D13070" s="271"/>
      <c r="E13070" s="271"/>
      <c r="F13070" s="271"/>
      <c r="G13070" s="273"/>
      <c r="H13070" s="29" t="str">
        <f t="shared" si="1710"/>
        <v>Unidad</v>
      </c>
      <c r="I13070" s="394">
        <f t="shared" si="1711"/>
        <v>138212</v>
      </c>
      <c r="J13070" s="273"/>
      <c r="K13070" s="393">
        <v>2</v>
      </c>
      <c r="L13070" s="273"/>
      <c r="M13070" s="394">
        <f t="shared" si="1712"/>
        <v>276424</v>
      </c>
      <c r="N13070" s="273"/>
    </row>
    <row r="13071" spans="1:15" ht="12.75" customHeight="1" x14ac:dyDescent="0.25">
      <c r="A13071" s="309" t="s">
        <v>1705</v>
      </c>
      <c r="B13071" s="271"/>
      <c r="C13071" s="271"/>
      <c r="D13071" s="271"/>
      <c r="E13071" s="271"/>
      <c r="F13071" s="271"/>
      <c r="G13071" s="273"/>
      <c r="H13071" s="29" t="str">
        <f t="shared" si="1710"/>
        <v>Unidad</v>
      </c>
      <c r="I13071" s="394">
        <f t="shared" si="1711"/>
        <v>24912</v>
      </c>
      <c r="J13071" s="273"/>
      <c r="K13071" s="393">
        <v>2</v>
      </c>
      <c r="L13071" s="273"/>
      <c r="M13071" s="394">
        <f t="shared" si="1712"/>
        <v>49824</v>
      </c>
      <c r="N13071" s="273"/>
    </row>
    <row r="13072" spans="1:15" ht="12.75" customHeight="1" x14ac:dyDescent="0.25">
      <c r="A13072" s="309"/>
      <c r="B13072" s="271"/>
      <c r="C13072" s="271"/>
      <c r="D13072" s="271"/>
      <c r="E13072" s="271"/>
      <c r="F13072" s="271"/>
      <c r="G13072" s="273"/>
      <c r="H13072" s="29" t="str">
        <f t="shared" si="1710"/>
        <v/>
      </c>
      <c r="I13072" s="394" t="str">
        <f t="shared" si="1711"/>
        <v/>
      </c>
      <c r="J13072" s="273"/>
      <c r="K13072" s="393"/>
      <c r="L13072" s="273"/>
      <c r="M13072" s="394" t="str">
        <f t="shared" si="1712"/>
        <v/>
      </c>
      <c r="N13072" s="273"/>
    </row>
    <row r="13073" spans="1:14" ht="12.75" customHeight="1" x14ac:dyDescent="0.25">
      <c r="A13073" s="309"/>
      <c r="B13073" s="271"/>
      <c r="C13073" s="271"/>
      <c r="D13073" s="271"/>
      <c r="E13073" s="271"/>
      <c r="F13073" s="271"/>
      <c r="G13073" s="273"/>
      <c r="H13073" s="29" t="str">
        <f t="shared" si="1710"/>
        <v/>
      </c>
      <c r="I13073" s="394" t="str">
        <f t="shared" si="1711"/>
        <v/>
      </c>
      <c r="J13073" s="273"/>
      <c r="K13073" s="393"/>
      <c r="L13073" s="273"/>
      <c r="M13073" s="394" t="str">
        <f t="shared" si="1712"/>
        <v/>
      </c>
      <c r="N13073" s="273"/>
    </row>
    <row r="13074" spans="1:14" ht="12.75" customHeight="1" x14ac:dyDescent="0.25">
      <c r="A13074" s="309"/>
      <c r="B13074" s="271"/>
      <c r="C13074" s="271"/>
      <c r="D13074" s="271"/>
      <c r="E13074" s="271"/>
      <c r="F13074" s="271"/>
      <c r="G13074" s="273"/>
      <c r="H13074" s="29" t="str">
        <f t="shared" si="1710"/>
        <v/>
      </c>
      <c r="I13074" s="394" t="str">
        <f t="shared" si="1711"/>
        <v/>
      </c>
      <c r="J13074" s="273"/>
      <c r="K13074" s="393"/>
      <c r="L13074" s="273"/>
      <c r="M13074" s="394" t="str">
        <f t="shared" si="1712"/>
        <v/>
      </c>
      <c r="N13074" s="273"/>
    </row>
    <row r="13075" spans="1:14" ht="12.75" customHeight="1" x14ac:dyDescent="0.25">
      <c r="A13075" s="309"/>
      <c r="B13075" s="271"/>
      <c r="C13075" s="271"/>
      <c r="D13075" s="271"/>
      <c r="E13075" s="271"/>
      <c r="F13075" s="271"/>
      <c r="G13075" s="273"/>
      <c r="H13075" s="29" t="str">
        <f t="shared" si="1710"/>
        <v/>
      </c>
      <c r="I13075" s="394" t="str">
        <f t="shared" si="1711"/>
        <v/>
      </c>
      <c r="J13075" s="273"/>
      <c r="K13075" s="393"/>
      <c r="L13075" s="273"/>
      <c r="M13075" s="394" t="str">
        <f t="shared" si="1712"/>
        <v/>
      </c>
      <c r="N13075" s="273"/>
    </row>
    <row r="13076" spans="1:14" ht="12.75" customHeight="1" x14ac:dyDescent="0.25">
      <c r="A13076" s="309"/>
      <c r="B13076" s="271"/>
      <c r="C13076" s="271"/>
      <c r="D13076" s="271"/>
      <c r="E13076" s="271"/>
      <c r="F13076" s="271"/>
      <c r="G13076" s="273"/>
      <c r="H13076" s="29" t="str">
        <f t="shared" si="1710"/>
        <v/>
      </c>
      <c r="I13076" s="394" t="str">
        <f t="shared" si="1711"/>
        <v/>
      </c>
      <c r="J13076" s="273"/>
      <c r="K13076" s="393"/>
      <c r="L13076" s="273"/>
      <c r="M13076" s="394" t="str">
        <f t="shared" si="1712"/>
        <v/>
      </c>
      <c r="N13076" s="273"/>
    </row>
    <row r="13077" spans="1:14" ht="12.75" customHeight="1" x14ac:dyDescent="0.25">
      <c r="A13077" s="309"/>
      <c r="B13077" s="271"/>
      <c r="C13077" s="271"/>
      <c r="D13077" s="271"/>
      <c r="E13077" s="271"/>
      <c r="F13077" s="271"/>
      <c r="G13077" s="273"/>
      <c r="H13077" s="29" t="str">
        <f t="shared" si="1710"/>
        <v/>
      </c>
      <c r="I13077" s="394" t="str">
        <f t="shared" si="1711"/>
        <v/>
      </c>
      <c r="J13077" s="273"/>
      <c r="K13077" s="393"/>
      <c r="L13077" s="273"/>
      <c r="M13077" s="394" t="str">
        <f t="shared" si="1712"/>
        <v/>
      </c>
      <c r="N13077" s="273"/>
    </row>
    <row r="13078" spans="1:14" ht="12.75" customHeight="1" x14ac:dyDescent="0.25">
      <c r="A13078" s="309"/>
      <c r="B13078" s="271"/>
      <c r="C13078" s="271"/>
      <c r="D13078" s="271"/>
      <c r="E13078" s="271"/>
      <c r="F13078" s="271"/>
      <c r="G13078" s="273"/>
      <c r="H13078" s="29" t="str">
        <f t="shared" si="1710"/>
        <v/>
      </c>
      <c r="I13078" s="394" t="str">
        <f t="shared" si="1711"/>
        <v/>
      </c>
      <c r="J13078" s="273"/>
      <c r="K13078" s="393"/>
      <c r="L13078" s="273"/>
      <c r="M13078" s="394" t="str">
        <f t="shared" si="1712"/>
        <v/>
      </c>
      <c r="N13078" s="273"/>
    </row>
    <row r="13079" spans="1:14" ht="12.75" customHeight="1" x14ac:dyDescent="0.25">
      <c r="A13079" s="309"/>
      <c r="B13079" s="271"/>
      <c r="C13079" s="271"/>
      <c r="D13079" s="271"/>
      <c r="E13079" s="271"/>
      <c r="F13079" s="271"/>
      <c r="G13079" s="273"/>
      <c r="H13079" s="29" t="str">
        <f t="shared" si="1710"/>
        <v/>
      </c>
      <c r="I13079" s="394" t="str">
        <f t="shared" si="1711"/>
        <v/>
      </c>
      <c r="J13079" s="273"/>
      <c r="K13079" s="393"/>
      <c r="L13079" s="273"/>
      <c r="M13079" s="394" t="str">
        <f t="shared" si="1712"/>
        <v/>
      </c>
      <c r="N13079" s="273"/>
    </row>
    <row r="13080" spans="1:14" ht="12.75" customHeight="1" x14ac:dyDescent="0.25">
      <c r="A13080" s="309"/>
      <c r="B13080" s="271"/>
      <c r="C13080" s="271"/>
      <c r="D13080" s="271"/>
      <c r="E13080" s="271"/>
      <c r="F13080" s="271"/>
      <c r="G13080" s="273"/>
      <c r="H13080" s="29" t="str">
        <f t="shared" si="1710"/>
        <v/>
      </c>
      <c r="I13080" s="394" t="str">
        <f t="shared" si="1711"/>
        <v/>
      </c>
      <c r="J13080" s="273"/>
      <c r="K13080" s="393"/>
      <c r="L13080" s="273"/>
      <c r="M13080" s="394" t="str">
        <f t="shared" si="1712"/>
        <v/>
      </c>
      <c r="N13080" s="273"/>
    </row>
    <row r="13081" spans="1:14" ht="12.75" customHeight="1" x14ac:dyDescent="0.25">
      <c r="A13081" s="309"/>
      <c r="B13081" s="271"/>
      <c r="C13081" s="271"/>
      <c r="D13081" s="271"/>
      <c r="E13081" s="271"/>
      <c r="F13081" s="271"/>
      <c r="G13081" s="273"/>
      <c r="H13081" s="29" t="str">
        <f t="shared" si="1710"/>
        <v/>
      </c>
      <c r="I13081" s="394" t="str">
        <f t="shared" si="1711"/>
        <v/>
      </c>
      <c r="J13081" s="273"/>
      <c r="K13081" s="393"/>
      <c r="L13081" s="273"/>
      <c r="M13081" s="394" t="str">
        <f t="shared" si="1712"/>
        <v/>
      </c>
      <c r="N13081" s="273"/>
    </row>
    <row r="13082" spans="1:14" ht="12.75" customHeight="1" x14ac:dyDescent="0.25">
      <c r="A13082" s="309"/>
      <c r="B13082" s="271"/>
      <c r="C13082" s="271"/>
      <c r="D13082" s="271"/>
      <c r="E13082" s="271"/>
      <c r="F13082" s="271"/>
      <c r="G13082" s="273"/>
      <c r="H13082" s="29" t="str">
        <f t="shared" si="1710"/>
        <v/>
      </c>
      <c r="I13082" s="394" t="str">
        <f t="shared" si="1711"/>
        <v/>
      </c>
      <c r="J13082" s="273"/>
      <c r="K13082" s="393"/>
      <c r="L13082" s="273"/>
      <c r="M13082" s="394" t="str">
        <f t="shared" si="1712"/>
        <v/>
      </c>
      <c r="N13082" s="273"/>
    </row>
    <row r="13083" spans="1:14" ht="12.75" customHeight="1" x14ac:dyDescent="0.25">
      <c r="A13083" s="309"/>
      <c r="B13083" s="271"/>
      <c r="C13083" s="271"/>
      <c r="D13083" s="271"/>
      <c r="E13083" s="271"/>
      <c r="F13083" s="271"/>
      <c r="G13083" s="273"/>
      <c r="H13083" s="29" t="str">
        <f t="shared" si="1710"/>
        <v/>
      </c>
      <c r="I13083" s="394" t="str">
        <f t="shared" si="1711"/>
        <v/>
      </c>
      <c r="J13083" s="273"/>
      <c r="K13083" s="393"/>
      <c r="L13083" s="273"/>
      <c r="M13083" s="394" t="str">
        <f t="shared" si="1712"/>
        <v/>
      </c>
      <c r="N13083" s="273"/>
    </row>
    <row r="13084" spans="1:14" ht="12.75" customHeight="1" x14ac:dyDescent="0.25">
      <c r="A13084" s="4"/>
      <c r="B13084" s="4"/>
      <c r="C13084" s="4"/>
      <c r="D13084" s="4"/>
      <c r="E13084" s="4"/>
      <c r="F13084" s="4"/>
      <c r="G13084" s="4"/>
      <c r="H13084" s="4"/>
      <c r="I13084" s="4"/>
      <c r="J13084" s="4"/>
      <c r="K13084" s="396" t="s">
        <v>444</v>
      </c>
      <c r="L13084" s="273"/>
      <c r="M13084" s="394">
        <f>SUM(M13069:N13083)</f>
        <v>1483707</v>
      </c>
      <c r="N13084" s="273"/>
    </row>
    <row r="13085" spans="1:14" ht="12.75" customHeight="1" x14ac:dyDescent="0.25">
      <c r="A13085" s="4"/>
      <c r="B13085" s="4"/>
      <c r="C13085" s="4"/>
      <c r="D13085" s="4"/>
      <c r="E13085" s="4"/>
      <c r="F13085" s="4"/>
      <c r="G13085" s="4"/>
      <c r="H13085" s="4"/>
      <c r="I13085" s="4"/>
      <c r="J13085" s="4"/>
      <c r="K13085" s="4"/>
      <c r="L13085" s="4"/>
      <c r="M13085" s="4"/>
      <c r="N13085" s="4"/>
    </row>
    <row r="13086" spans="1:14" ht="12.75" customHeight="1" x14ac:dyDescent="0.2">
      <c r="A13086" s="398" t="s">
        <v>926</v>
      </c>
      <c r="B13086" s="271"/>
      <c r="C13086" s="271"/>
      <c r="D13086" s="271"/>
      <c r="E13086" s="271"/>
      <c r="F13086" s="271"/>
      <c r="G13086" s="271"/>
      <c r="H13086" s="271"/>
      <c r="I13086" s="271"/>
      <c r="J13086" s="271"/>
      <c r="K13086" s="271"/>
      <c r="L13086" s="271"/>
      <c r="M13086" s="271"/>
      <c r="N13086" s="273"/>
    </row>
    <row r="13087" spans="1:14" ht="12.75" customHeight="1" x14ac:dyDescent="0.2">
      <c r="A13087" s="396" t="s">
        <v>76</v>
      </c>
      <c r="B13087" s="271"/>
      <c r="C13087" s="271"/>
      <c r="D13087" s="271"/>
      <c r="E13087" s="271"/>
      <c r="F13087" s="271"/>
      <c r="G13087" s="273"/>
      <c r="H13087" s="88" t="s">
        <v>77</v>
      </c>
      <c r="I13087" s="399" t="s">
        <v>920</v>
      </c>
      <c r="J13087" s="273"/>
      <c r="K13087" s="399" t="s">
        <v>453</v>
      </c>
      <c r="L13087" s="273"/>
      <c r="M13087" s="399" t="s">
        <v>921</v>
      </c>
      <c r="N13087" s="273"/>
    </row>
    <row r="13088" spans="1:14" ht="12.75" customHeight="1" x14ac:dyDescent="0.2">
      <c r="A13088" s="400" t="s">
        <v>927</v>
      </c>
      <c r="B13088" s="271"/>
      <c r="C13088" s="271"/>
      <c r="D13088" s="271"/>
      <c r="E13088" s="271"/>
      <c r="F13088" s="271"/>
      <c r="G13088" s="273"/>
      <c r="H13088" s="29" t="str">
        <f>IF(A13088="","",VLOOKUP(A13088,AA_Equipos,7,FALSE))</f>
        <v>% M.O.</v>
      </c>
      <c r="I13088" s="394">
        <f>+M13110</f>
        <v>249100</v>
      </c>
      <c r="J13088" s="273"/>
      <c r="K13088" s="404">
        <v>0.05</v>
      </c>
      <c r="L13088" s="273"/>
      <c r="M13088" s="394">
        <f t="shared" ref="M13088:M13092" si="1713">IF(A13088="","",I13088*K13088)</f>
        <v>12455</v>
      </c>
      <c r="N13088" s="273"/>
    </row>
    <row r="13089" spans="1:14" ht="12.75" customHeight="1" x14ac:dyDescent="0.2">
      <c r="A13089" s="403"/>
      <c r="B13089" s="271"/>
      <c r="C13089" s="271"/>
      <c r="D13089" s="271"/>
      <c r="E13089" s="271"/>
      <c r="F13089" s="271"/>
      <c r="G13089" s="273"/>
      <c r="H13089" s="29" t="str">
        <f>IF(A13089="","",VLOOKUP(A13089,AA_Equipos,7,FALSE))</f>
        <v/>
      </c>
      <c r="I13089" s="394" t="str">
        <f>IF(A13089="","",VLOOKUP(A13089,AA_Equipos,8,FALSE))</f>
        <v/>
      </c>
      <c r="J13089" s="273"/>
      <c r="K13089" s="402"/>
      <c r="L13089" s="273"/>
      <c r="M13089" s="394" t="str">
        <f t="shared" si="1713"/>
        <v/>
      </c>
      <c r="N13089" s="273"/>
    </row>
    <row r="13090" spans="1:14" ht="12.75" customHeight="1" x14ac:dyDescent="0.2">
      <c r="A13090" s="400"/>
      <c r="B13090" s="271"/>
      <c r="C13090" s="271"/>
      <c r="D13090" s="271"/>
      <c r="E13090" s="271"/>
      <c r="F13090" s="271"/>
      <c r="G13090" s="273"/>
      <c r="H13090" s="29" t="str">
        <f>IF(A13090="","",VLOOKUP(A13090,AA_Equipos,7,FALSE))</f>
        <v/>
      </c>
      <c r="I13090" s="394" t="str">
        <f>IF(A13090="","",VLOOKUP(A13090,AA_Equipos,8,FALSE))</f>
        <v/>
      </c>
      <c r="J13090" s="273"/>
      <c r="K13090" s="401"/>
      <c r="L13090" s="273"/>
      <c r="M13090" s="394" t="str">
        <f t="shared" si="1713"/>
        <v/>
      </c>
      <c r="N13090" s="273"/>
    </row>
    <row r="13091" spans="1:14" ht="12.75" customHeight="1" x14ac:dyDescent="0.2">
      <c r="A13091" s="400"/>
      <c r="B13091" s="271"/>
      <c r="C13091" s="271"/>
      <c r="D13091" s="271"/>
      <c r="E13091" s="271"/>
      <c r="F13091" s="271"/>
      <c r="G13091" s="273"/>
      <c r="H13091" s="29" t="str">
        <f>IF(A13091="","",VLOOKUP(A13091,AA_Equipos,7,FALSE))</f>
        <v/>
      </c>
      <c r="I13091" s="394" t="str">
        <f>IF(A13091="","",VLOOKUP(A13091,AA_Equipos,8,FALSE))</f>
        <v/>
      </c>
      <c r="J13091" s="273"/>
      <c r="K13091" s="395"/>
      <c r="L13091" s="273"/>
      <c r="M13091" s="394" t="str">
        <f t="shared" si="1713"/>
        <v/>
      </c>
      <c r="N13091" s="273"/>
    </row>
    <row r="13092" spans="1:14" ht="12.75" customHeight="1" x14ac:dyDescent="0.2">
      <c r="A13092" s="400"/>
      <c r="B13092" s="271"/>
      <c r="C13092" s="271"/>
      <c r="D13092" s="271"/>
      <c r="E13092" s="271"/>
      <c r="F13092" s="271"/>
      <c r="G13092" s="273"/>
      <c r="H13092" s="29" t="str">
        <f>IF(A13092="","",VLOOKUP(A13092,AA_Equipos,7,FALSE))</f>
        <v/>
      </c>
      <c r="I13092" s="394" t="str">
        <f>IF(A13092="","",VLOOKUP(A13092,AA_Equipos,8,FALSE))</f>
        <v/>
      </c>
      <c r="J13092" s="273"/>
      <c r="K13092" s="395"/>
      <c r="L13092" s="273"/>
      <c r="M13092" s="394" t="str">
        <f t="shared" si="1713"/>
        <v/>
      </c>
      <c r="N13092" s="273"/>
    </row>
    <row r="13093" spans="1:14" ht="12.75" customHeight="1" x14ac:dyDescent="0.25">
      <c r="A13093" s="4"/>
      <c r="B13093" s="4"/>
      <c r="C13093" s="4"/>
      <c r="D13093" s="4"/>
      <c r="E13093" s="4"/>
      <c r="F13093" s="4"/>
      <c r="G13093" s="4"/>
      <c r="H13093" s="4"/>
      <c r="I13093" s="4"/>
      <c r="J13093" s="4"/>
      <c r="K13093" s="396" t="s">
        <v>444</v>
      </c>
      <c r="L13093" s="273"/>
      <c r="M13093" s="394">
        <f>SUM(M13088:N13092)</f>
        <v>12455</v>
      </c>
      <c r="N13093" s="273"/>
    </row>
    <row r="13094" spans="1:14" ht="12.75" customHeight="1" x14ac:dyDescent="0.25">
      <c r="A13094" s="4"/>
      <c r="B13094" s="4"/>
      <c r="C13094" s="4"/>
      <c r="D13094" s="4"/>
      <c r="E13094" s="4"/>
      <c r="F13094" s="4"/>
      <c r="G13094" s="4"/>
      <c r="H13094" s="4"/>
      <c r="I13094" s="4"/>
      <c r="J13094" s="4"/>
      <c r="K13094" s="4"/>
      <c r="L13094" s="4"/>
      <c r="M13094" s="4"/>
      <c r="N13094" s="4"/>
    </row>
    <row r="13095" spans="1:14" ht="12.75" customHeight="1" x14ac:dyDescent="0.2">
      <c r="A13095" s="398" t="s">
        <v>929</v>
      </c>
      <c r="B13095" s="271"/>
      <c r="C13095" s="271"/>
      <c r="D13095" s="271"/>
      <c r="E13095" s="271"/>
      <c r="F13095" s="271"/>
      <c r="G13095" s="271"/>
      <c r="H13095" s="271"/>
      <c r="I13095" s="271"/>
      <c r="J13095" s="271"/>
      <c r="K13095" s="271"/>
      <c r="L13095" s="271"/>
      <c r="M13095" s="271"/>
      <c r="N13095" s="273"/>
    </row>
    <row r="13096" spans="1:14" ht="12.75" customHeight="1" x14ac:dyDescent="0.2">
      <c r="A13096" s="396" t="s">
        <v>76</v>
      </c>
      <c r="B13096" s="271"/>
      <c r="C13096" s="271"/>
      <c r="D13096" s="271"/>
      <c r="E13096" s="271"/>
      <c r="F13096" s="271"/>
      <c r="G13096" s="273"/>
      <c r="H13096" s="88" t="s">
        <v>77</v>
      </c>
      <c r="I13096" s="399" t="s">
        <v>920</v>
      </c>
      <c r="J13096" s="273"/>
      <c r="K13096" s="399" t="s">
        <v>453</v>
      </c>
      <c r="L13096" s="273"/>
      <c r="M13096" s="399" t="s">
        <v>921</v>
      </c>
      <c r="N13096" s="273"/>
    </row>
    <row r="13097" spans="1:14" ht="12.75" customHeight="1" x14ac:dyDescent="0.2">
      <c r="A13097" s="400" t="s">
        <v>1559</v>
      </c>
      <c r="B13097" s="271"/>
      <c r="C13097" s="271"/>
      <c r="D13097" s="271"/>
      <c r="E13097" s="271"/>
      <c r="F13097" s="271"/>
      <c r="G13097" s="273"/>
      <c r="H13097" s="29" t="str">
        <f>IF(A13097="","",VLOOKUP(A13097,AA_Equipos,7,FALSE))</f>
        <v>Día</v>
      </c>
      <c r="I13097" s="394">
        <f>IF(A13097="","",VLOOKUP(A13097,AA_Equipos,8,FALSE))</f>
        <v>74400</v>
      </c>
      <c r="J13097" s="273"/>
      <c r="K13097" s="395">
        <v>3</v>
      </c>
      <c r="L13097" s="273"/>
      <c r="M13097" s="394">
        <f t="shared" ref="M13097:M13100" si="1714">IF(A13097="","",I13097*K13097)</f>
        <v>223200</v>
      </c>
      <c r="N13097" s="273"/>
    </row>
    <row r="13098" spans="1:14" ht="12.75" customHeight="1" x14ac:dyDescent="0.2">
      <c r="A13098" s="400" t="s">
        <v>930</v>
      </c>
      <c r="B13098" s="271"/>
      <c r="C13098" s="271"/>
      <c r="D13098" s="271"/>
      <c r="E13098" s="271"/>
      <c r="F13098" s="271"/>
      <c r="G13098" s="273"/>
      <c r="H13098" s="29" t="s">
        <v>24</v>
      </c>
      <c r="I13098" s="394">
        <f>+M13084+M13093</f>
        <v>1496162</v>
      </c>
      <c r="J13098" s="273"/>
      <c r="K13098" s="405">
        <v>0.05</v>
      </c>
      <c r="L13098" s="406"/>
      <c r="M13098" s="394">
        <f t="shared" si="1714"/>
        <v>74808.100000000006</v>
      </c>
      <c r="N13098" s="273"/>
    </row>
    <row r="13099" spans="1:14" ht="12.75" customHeight="1" x14ac:dyDescent="0.2">
      <c r="A13099" s="400"/>
      <c r="B13099" s="271"/>
      <c r="C13099" s="271"/>
      <c r="D13099" s="271"/>
      <c r="E13099" s="271"/>
      <c r="F13099" s="271"/>
      <c r="G13099" s="273"/>
      <c r="H13099" s="29"/>
      <c r="I13099" s="394"/>
      <c r="J13099" s="273"/>
      <c r="K13099" s="395"/>
      <c r="L13099" s="273"/>
      <c r="M13099" s="394" t="str">
        <f t="shared" si="1714"/>
        <v/>
      </c>
      <c r="N13099" s="273"/>
    </row>
    <row r="13100" spans="1:14" ht="12.75" customHeight="1" x14ac:dyDescent="0.2">
      <c r="A13100" s="400"/>
      <c r="B13100" s="271"/>
      <c r="C13100" s="271"/>
      <c r="D13100" s="271"/>
      <c r="E13100" s="271"/>
      <c r="F13100" s="271"/>
      <c r="G13100" s="273"/>
      <c r="H13100" s="29"/>
      <c r="I13100" s="394"/>
      <c r="J13100" s="273"/>
      <c r="K13100" s="395"/>
      <c r="L13100" s="273"/>
      <c r="M13100" s="394" t="str">
        <f t="shared" si="1714"/>
        <v/>
      </c>
      <c r="N13100" s="273"/>
    </row>
    <row r="13101" spans="1:14" ht="12.75" customHeight="1" x14ac:dyDescent="0.25">
      <c r="A13101" s="4"/>
      <c r="B13101" s="4"/>
      <c r="C13101" s="4"/>
      <c r="D13101" s="4"/>
      <c r="E13101" s="4"/>
      <c r="F13101" s="4"/>
      <c r="G13101" s="4"/>
      <c r="H13101" s="4"/>
      <c r="I13101" s="4"/>
      <c r="J13101" s="4"/>
      <c r="K13101" s="396" t="s">
        <v>444</v>
      </c>
      <c r="L13101" s="273"/>
      <c r="M13101" s="394">
        <f>SUM(M13097:N13100)</f>
        <v>298008.09999999998</v>
      </c>
      <c r="N13101" s="273"/>
    </row>
    <row r="13102" spans="1:14" ht="12.75" customHeight="1" x14ac:dyDescent="0.25">
      <c r="A13102" s="4"/>
      <c r="B13102" s="4"/>
      <c r="C13102" s="4"/>
      <c r="D13102" s="4"/>
      <c r="E13102" s="4"/>
      <c r="F13102" s="4"/>
      <c r="G13102" s="4"/>
      <c r="H13102" s="4"/>
      <c r="I13102" s="4"/>
      <c r="J13102" s="4"/>
      <c r="K13102" s="4"/>
      <c r="L13102" s="4"/>
      <c r="M13102" s="4"/>
      <c r="N13102" s="4"/>
    </row>
    <row r="13103" spans="1:14" ht="12.75" customHeight="1" x14ac:dyDescent="0.2">
      <c r="A13103" s="398" t="s">
        <v>931</v>
      </c>
      <c r="B13103" s="271"/>
      <c r="C13103" s="271"/>
      <c r="D13103" s="271"/>
      <c r="E13103" s="271"/>
      <c r="F13103" s="271"/>
      <c r="G13103" s="271"/>
      <c r="H13103" s="271"/>
      <c r="I13103" s="271"/>
      <c r="J13103" s="271"/>
      <c r="K13103" s="271"/>
      <c r="L13103" s="271"/>
      <c r="M13103" s="271"/>
      <c r="N13103" s="273"/>
    </row>
    <row r="13104" spans="1:14" ht="12.75" customHeight="1" x14ac:dyDescent="0.2">
      <c r="A13104" s="396" t="s">
        <v>76</v>
      </c>
      <c r="B13104" s="271"/>
      <c r="C13104" s="271"/>
      <c r="D13104" s="271"/>
      <c r="E13104" s="271"/>
      <c r="F13104" s="271"/>
      <c r="G13104" s="273"/>
      <c r="H13104" s="88" t="s">
        <v>77</v>
      </c>
      <c r="I13104" s="399" t="s">
        <v>920</v>
      </c>
      <c r="J13104" s="273"/>
      <c r="K13104" s="90" t="s">
        <v>514</v>
      </c>
      <c r="L13104" s="91" t="s">
        <v>932</v>
      </c>
      <c r="M13104" s="399" t="s">
        <v>921</v>
      </c>
      <c r="N13104" s="273"/>
    </row>
    <row r="13105" spans="1:15" ht="12.75" customHeight="1" x14ac:dyDescent="0.25">
      <c r="A13105" s="393" t="s">
        <v>1301</v>
      </c>
      <c r="B13105" s="271"/>
      <c r="C13105" s="271"/>
      <c r="D13105" s="271"/>
      <c r="E13105" s="271"/>
      <c r="F13105" s="271"/>
      <c r="G13105" s="273"/>
      <c r="H13105" s="29" t="str">
        <f>IF(A13105="","",VLOOKUP(A13105,AA_Cuadrillas,4,FALSE))</f>
        <v>Cuadrilla</v>
      </c>
      <c r="I13105" s="394">
        <f>IF(A13105="","",VLOOKUP(A13105,AA_Cuadrillas,5,FALSE))</f>
        <v>132500</v>
      </c>
      <c r="J13105" s="273"/>
      <c r="K13105" s="9">
        <f>IF(A13105="","",F.P!$I$2)</f>
        <v>1.88</v>
      </c>
      <c r="L13105" s="97">
        <v>1</v>
      </c>
      <c r="M13105" s="394">
        <f t="shared" ref="M13105:M13109" si="1715">IF(A13105="","",I13105*K13105*L13105)</f>
        <v>249100</v>
      </c>
      <c r="N13105" s="273"/>
    </row>
    <row r="13106" spans="1:15" ht="12.75" customHeight="1" x14ac:dyDescent="0.25">
      <c r="A13106" s="393"/>
      <c r="B13106" s="271"/>
      <c r="C13106" s="271"/>
      <c r="D13106" s="271"/>
      <c r="E13106" s="271"/>
      <c r="F13106" s="271"/>
      <c r="G13106" s="273"/>
      <c r="H13106" s="29" t="str">
        <f>IF(A13106="","",VLOOKUP(A13106,AA_Cuadrillas,4,FALSE))</f>
        <v/>
      </c>
      <c r="I13106" s="394" t="str">
        <f>IF(A13106="","",VLOOKUP(A13106,AA_Cuadrillas,5,FALSE))</f>
        <v/>
      </c>
      <c r="J13106" s="273"/>
      <c r="K13106" s="9" t="str">
        <f>IF(A13106="","",F.P!$I$2)</f>
        <v/>
      </c>
      <c r="L13106" s="9"/>
      <c r="M13106" s="394" t="str">
        <f t="shared" si="1715"/>
        <v/>
      </c>
      <c r="N13106" s="273"/>
    </row>
    <row r="13107" spans="1:15" ht="12.75" customHeight="1" x14ac:dyDescent="0.25">
      <c r="A13107" s="393"/>
      <c r="B13107" s="271"/>
      <c r="C13107" s="271"/>
      <c r="D13107" s="271"/>
      <c r="E13107" s="271"/>
      <c r="F13107" s="271"/>
      <c r="G13107" s="273"/>
      <c r="H13107" s="29" t="str">
        <f>IF(A13107="","",VLOOKUP(A13107,AA_Cuadrillas,4,FALSE))</f>
        <v/>
      </c>
      <c r="I13107" s="394" t="str">
        <f>IF(A13107="","",VLOOKUP(A13107,AA_Cuadrillas,5,FALSE))</f>
        <v/>
      </c>
      <c r="J13107" s="273"/>
      <c r="K13107" s="9" t="str">
        <f>IF(A13107="","",F.P!$I$2)</f>
        <v/>
      </c>
      <c r="L13107" s="37"/>
      <c r="M13107" s="394" t="str">
        <f t="shared" si="1715"/>
        <v/>
      </c>
      <c r="N13107" s="273"/>
    </row>
    <row r="13108" spans="1:15" ht="12.75" customHeight="1" x14ac:dyDescent="0.25">
      <c r="A13108" s="393"/>
      <c r="B13108" s="271"/>
      <c r="C13108" s="271"/>
      <c r="D13108" s="271"/>
      <c r="E13108" s="271"/>
      <c r="F13108" s="271"/>
      <c r="G13108" s="273"/>
      <c r="H13108" s="29" t="str">
        <f>IF(A13108="","",VLOOKUP(A13108,AA_Cuadrillas,4,FALSE))</f>
        <v/>
      </c>
      <c r="I13108" s="394" t="str">
        <f>IF(A13108="","",VLOOKUP(A13108,AA_Cuadrillas,5,FALSE))</f>
        <v/>
      </c>
      <c r="J13108" s="273"/>
      <c r="K13108" s="9" t="str">
        <f>IF(A13108="","",F.P!$I$2)</f>
        <v/>
      </c>
      <c r="L13108" s="97"/>
      <c r="M13108" s="394" t="str">
        <f t="shared" si="1715"/>
        <v/>
      </c>
      <c r="N13108" s="273"/>
    </row>
    <row r="13109" spans="1:15" ht="12.75" customHeight="1" x14ac:dyDescent="0.25">
      <c r="A13109" s="393"/>
      <c r="B13109" s="271"/>
      <c r="C13109" s="271"/>
      <c r="D13109" s="271"/>
      <c r="E13109" s="271"/>
      <c r="F13109" s="271"/>
      <c r="G13109" s="273"/>
      <c r="H13109" s="29" t="str">
        <f>IF(A13109="","",VLOOKUP(A13109,AA_Cuadrillas,4,FALSE))</f>
        <v/>
      </c>
      <c r="I13109" s="394" t="str">
        <f>IF(A13109="","",VLOOKUP(A13109,AA_Cuadrillas,5,FALSE))</f>
        <v/>
      </c>
      <c r="J13109" s="273"/>
      <c r="K13109" s="9" t="str">
        <f>IF(A13109="","",F.P!$I$2)</f>
        <v/>
      </c>
      <c r="L13109" s="37"/>
      <c r="M13109" s="394" t="str">
        <f t="shared" si="1715"/>
        <v/>
      </c>
      <c r="N13109" s="273"/>
    </row>
    <row r="13110" spans="1:15" ht="12.75" customHeight="1" x14ac:dyDescent="0.25">
      <c r="A13110" s="4"/>
      <c r="B13110" s="4"/>
      <c r="C13110" s="4"/>
      <c r="D13110" s="4"/>
      <c r="E13110" s="4"/>
      <c r="F13110" s="4"/>
      <c r="G13110" s="4"/>
      <c r="H13110" s="4"/>
      <c r="I13110" s="4"/>
      <c r="J13110" s="4"/>
      <c r="K13110" s="396" t="s">
        <v>444</v>
      </c>
      <c r="L13110" s="273"/>
      <c r="M13110" s="394">
        <f>SUM(M13105:N13109)</f>
        <v>249100</v>
      </c>
      <c r="N13110" s="273"/>
    </row>
    <row r="13111" spans="1:15" ht="12.75" customHeight="1" x14ac:dyDescent="0.2"/>
    <row r="13112" spans="1:15" ht="12.75" customHeight="1" x14ac:dyDescent="0.2">
      <c r="A13112" s="397" t="s">
        <v>423</v>
      </c>
      <c r="B13112" s="275"/>
      <c r="C13112" s="275"/>
      <c r="D13112" s="275"/>
      <c r="E13112" s="275"/>
      <c r="F13112" s="275"/>
      <c r="G13112" s="275"/>
      <c r="H13112" s="275"/>
      <c r="I13112" s="275"/>
      <c r="J13112" s="275"/>
      <c r="K13112" s="275"/>
      <c r="L13112" s="275"/>
      <c r="M13112" s="275"/>
      <c r="N13112" s="276"/>
      <c r="O13112" s="166"/>
    </row>
    <row r="13113" spans="1:15" ht="12.75" customHeight="1" x14ac:dyDescent="0.2">
      <c r="A13113" s="277"/>
      <c r="B13113" s="278"/>
      <c r="C13113" s="278"/>
      <c r="D13113" s="278"/>
      <c r="E13113" s="278"/>
      <c r="F13113" s="278"/>
      <c r="G13113" s="278"/>
      <c r="H13113" s="278"/>
      <c r="I13113" s="278"/>
      <c r="J13113" s="278"/>
      <c r="K13113" s="278"/>
      <c r="L13113" s="278"/>
      <c r="M13113" s="278"/>
      <c r="N13113" s="279"/>
      <c r="O13113" s="166"/>
    </row>
    <row r="13114" spans="1:15" ht="12.75" customHeight="1" x14ac:dyDescent="0.2">
      <c r="A13114" s="75"/>
      <c r="B13114" s="75"/>
      <c r="C13114" s="75"/>
      <c r="D13114" s="75"/>
      <c r="E13114" s="75"/>
      <c r="F13114" s="75"/>
      <c r="G13114" s="75"/>
      <c r="H13114" s="75"/>
      <c r="I13114" s="75"/>
      <c r="J13114" s="75"/>
      <c r="K13114" s="75"/>
      <c r="L13114" s="75"/>
      <c r="M13114" s="75"/>
      <c r="N13114" s="75"/>
    </row>
    <row r="13115" spans="1:15" ht="12.75" customHeight="1" x14ac:dyDescent="0.3">
      <c r="A13115" s="79" t="s">
        <v>900</v>
      </c>
      <c r="B13115" s="80" t="str">
        <f>A13112</f>
        <v>SUMINISTRO E INSTALACIÓN DE REFLECTOR LED AUTÓNOMO CON PANEL SOLAR Y BATERÍA LED SOLAR INTEGRADA S40 6K SILVANYA, 50000 HORAS</v>
      </c>
      <c r="C13115" s="81" t="s">
        <v>916</v>
      </c>
      <c r="D13115" s="82" t="s">
        <v>999</v>
      </c>
      <c r="E13115" s="83" t="s">
        <v>445</v>
      </c>
      <c r="F13115" s="234">
        <f>(H13115+J13115+L13115+N13115)*1.3</f>
        <v>1981380.5375000001</v>
      </c>
      <c r="G13115" s="83" t="s">
        <v>607</v>
      </c>
      <c r="H13115" s="86">
        <f>M13134</f>
        <v>1309000</v>
      </c>
      <c r="I13115" s="83" t="s">
        <v>918</v>
      </c>
      <c r="J13115" s="86">
        <f>M13143</f>
        <v>6227.5</v>
      </c>
      <c r="K13115" s="83" t="s">
        <v>609</v>
      </c>
      <c r="L13115" s="86">
        <f>M13151</f>
        <v>84361.375</v>
      </c>
      <c r="M13115" s="83" t="s">
        <v>610</v>
      </c>
      <c r="N13115" s="86">
        <f>M13160</f>
        <v>124550</v>
      </c>
    </row>
    <row r="13116" spans="1:15" ht="12.75" customHeight="1" x14ac:dyDescent="0.25">
      <c r="A13116" s="87"/>
      <c r="B13116" s="87"/>
      <c r="C13116" s="87"/>
      <c r="D13116" s="87"/>
      <c r="E13116" s="87"/>
      <c r="F13116" s="87"/>
      <c r="G13116" s="87"/>
      <c r="H13116" s="12"/>
      <c r="I13116" s="12"/>
      <c r="J13116" s="87"/>
      <c r="K13116" s="215" t="s">
        <v>3217</v>
      </c>
      <c r="L13116" s="215">
        <f>+F13115*presup!$O$5</f>
        <v>2575794.69875</v>
      </c>
      <c r="M13116" s="87"/>
      <c r="N13116" s="87"/>
    </row>
    <row r="13117" spans="1:15" ht="12.75" customHeight="1" x14ac:dyDescent="0.2">
      <c r="A13117" s="398" t="s">
        <v>919</v>
      </c>
      <c r="B13117" s="271"/>
      <c r="C13117" s="271"/>
      <c r="D13117" s="271"/>
      <c r="E13117" s="271"/>
      <c r="F13117" s="271"/>
      <c r="G13117" s="271"/>
      <c r="H13117" s="271"/>
      <c r="I13117" s="271"/>
      <c r="J13117" s="271"/>
      <c r="K13117" s="271"/>
      <c r="L13117" s="271"/>
      <c r="M13117" s="271"/>
      <c r="N13117" s="273"/>
    </row>
    <row r="13118" spans="1:15" ht="12.75" customHeight="1" x14ac:dyDescent="0.2">
      <c r="A13118" s="396" t="s">
        <v>76</v>
      </c>
      <c r="B13118" s="271"/>
      <c r="C13118" s="271"/>
      <c r="D13118" s="271"/>
      <c r="E13118" s="271"/>
      <c r="F13118" s="271"/>
      <c r="G13118" s="273"/>
      <c r="H13118" s="88" t="s">
        <v>77</v>
      </c>
      <c r="I13118" s="399" t="s">
        <v>920</v>
      </c>
      <c r="J13118" s="273"/>
      <c r="K13118" s="399" t="s">
        <v>453</v>
      </c>
      <c r="L13118" s="273"/>
      <c r="M13118" s="399" t="s">
        <v>921</v>
      </c>
      <c r="N13118" s="273"/>
    </row>
    <row r="13119" spans="1:15" ht="12.75" customHeight="1" x14ac:dyDescent="0.25">
      <c r="A13119" s="309" t="s">
        <v>1706</v>
      </c>
      <c r="B13119" s="271"/>
      <c r="C13119" s="271"/>
      <c r="D13119" s="271"/>
      <c r="E13119" s="271"/>
      <c r="F13119" s="271"/>
      <c r="G13119" s="273"/>
      <c r="H13119" s="29" t="str">
        <f t="shared" ref="H13119:H13133" si="1716">IF(A13119="","",VLOOKUP(A13119,AA_Materiales,7,FALSE))</f>
        <v>Unidad</v>
      </c>
      <c r="I13119" s="394">
        <f t="shared" ref="I13119:I13133" si="1717">IF(A13119="","",VLOOKUP(A13119,AA_Materiales,8,FALSE))</f>
        <v>1309000</v>
      </c>
      <c r="J13119" s="273"/>
      <c r="K13119" s="393">
        <v>1</v>
      </c>
      <c r="L13119" s="273"/>
      <c r="M13119" s="394">
        <f t="shared" ref="M13119:M13133" si="1718">IF(A13119="","",I13119*K13119)</f>
        <v>1309000</v>
      </c>
      <c r="N13119" s="273"/>
    </row>
    <row r="13120" spans="1:15" ht="12.75" customHeight="1" x14ac:dyDescent="0.25">
      <c r="A13120" s="309"/>
      <c r="B13120" s="271"/>
      <c r="C13120" s="271"/>
      <c r="D13120" s="271"/>
      <c r="E13120" s="271"/>
      <c r="F13120" s="271"/>
      <c r="G13120" s="273"/>
      <c r="H13120" s="29" t="str">
        <f t="shared" si="1716"/>
        <v/>
      </c>
      <c r="I13120" s="394" t="str">
        <f t="shared" si="1717"/>
        <v/>
      </c>
      <c r="J13120" s="273"/>
      <c r="K13120" s="393"/>
      <c r="L13120" s="273"/>
      <c r="M13120" s="394" t="str">
        <f t="shared" si="1718"/>
        <v/>
      </c>
      <c r="N13120" s="273"/>
    </row>
    <row r="13121" spans="1:14" ht="12.75" customHeight="1" x14ac:dyDescent="0.25">
      <c r="A13121" s="309"/>
      <c r="B13121" s="271"/>
      <c r="C13121" s="271"/>
      <c r="D13121" s="271"/>
      <c r="E13121" s="271"/>
      <c r="F13121" s="271"/>
      <c r="G13121" s="273"/>
      <c r="H13121" s="29" t="str">
        <f t="shared" si="1716"/>
        <v/>
      </c>
      <c r="I13121" s="394" t="str">
        <f t="shared" si="1717"/>
        <v/>
      </c>
      <c r="J13121" s="273"/>
      <c r="K13121" s="393"/>
      <c r="L13121" s="273"/>
      <c r="M13121" s="394" t="str">
        <f t="shared" si="1718"/>
        <v/>
      </c>
      <c r="N13121" s="273"/>
    </row>
    <row r="13122" spans="1:14" ht="12.75" customHeight="1" x14ac:dyDescent="0.25">
      <c r="A13122" s="309"/>
      <c r="B13122" s="271"/>
      <c r="C13122" s="271"/>
      <c r="D13122" s="271"/>
      <c r="E13122" s="271"/>
      <c r="F13122" s="271"/>
      <c r="G13122" s="273"/>
      <c r="H13122" s="29" t="str">
        <f t="shared" si="1716"/>
        <v/>
      </c>
      <c r="I13122" s="394" t="str">
        <f t="shared" si="1717"/>
        <v/>
      </c>
      <c r="J13122" s="273"/>
      <c r="K13122" s="393"/>
      <c r="L13122" s="273"/>
      <c r="M13122" s="394" t="str">
        <f t="shared" si="1718"/>
        <v/>
      </c>
      <c r="N13122" s="273"/>
    </row>
    <row r="13123" spans="1:14" ht="12.75" customHeight="1" x14ac:dyDescent="0.25">
      <c r="A13123" s="309"/>
      <c r="B13123" s="271"/>
      <c r="C13123" s="271"/>
      <c r="D13123" s="271"/>
      <c r="E13123" s="271"/>
      <c r="F13123" s="271"/>
      <c r="G13123" s="273"/>
      <c r="H13123" s="29" t="str">
        <f t="shared" si="1716"/>
        <v/>
      </c>
      <c r="I13123" s="394" t="str">
        <f t="shared" si="1717"/>
        <v/>
      </c>
      <c r="J13123" s="273"/>
      <c r="K13123" s="393"/>
      <c r="L13123" s="273"/>
      <c r="M13123" s="394" t="str">
        <f t="shared" si="1718"/>
        <v/>
      </c>
      <c r="N13123" s="273"/>
    </row>
    <row r="13124" spans="1:14" ht="12.75" customHeight="1" x14ac:dyDescent="0.25">
      <c r="A13124" s="309"/>
      <c r="B13124" s="271"/>
      <c r="C13124" s="271"/>
      <c r="D13124" s="271"/>
      <c r="E13124" s="271"/>
      <c r="F13124" s="271"/>
      <c r="G13124" s="273"/>
      <c r="H13124" s="29" t="str">
        <f t="shared" si="1716"/>
        <v/>
      </c>
      <c r="I13124" s="394" t="str">
        <f t="shared" si="1717"/>
        <v/>
      </c>
      <c r="J13124" s="273"/>
      <c r="K13124" s="393"/>
      <c r="L13124" s="273"/>
      <c r="M13124" s="394" t="str">
        <f t="shared" si="1718"/>
        <v/>
      </c>
      <c r="N13124" s="273"/>
    </row>
    <row r="13125" spans="1:14" ht="12.75" customHeight="1" x14ac:dyDescent="0.25">
      <c r="A13125" s="309"/>
      <c r="B13125" s="271"/>
      <c r="C13125" s="271"/>
      <c r="D13125" s="271"/>
      <c r="E13125" s="271"/>
      <c r="F13125" s="271"/>
      <c r="G13125" s="273"/>
      <c r="H13125" s="29" t="str">
        <f t="shared" si="1716"/>
        <v/>
      </c>
      <c r="I13125" s="394" t="str">
        <f t="shared" si="1717"/>
        <v/>
      </c>
      <c r="J13125" s="273"/>
      <c r="K13125" s="393"/>
      <c r="L13125" s="273"/>
      <c r="M13125" s="394" t="str">
        <f t="shared" si="1718"/>
        <v/>
      </c>
      <c r="N13125" s="273"/>
    </row>
    <row r="13126" spans="1:14" ht="12.75" customHeight="1" x14ac:dyDescent="0.25">
      <c r="A13126" s="309"/>
      <c r="B13126" s="271"/>
      <c r="C13126" s="271"/>
      <c r="D13126" s="271"/>
      <c r="E13126" s="271"/>
      <c r="F13126" s="271"/>
      <c r="G13126" s="273"/>
      <c r="H13126" s="29" t="str">
        <f t="shared" si="1716"/>
        <v/>
      </c>
      <c r="I13126" s="394" t="str">
        <f t="shared" si="1717"/>
        <v/>
      </c>
      <c r="J13126" s="273"/>
      <c r="K13126" s="393"/>
      <c r="L13126" s="273"/>
      <c r="M13126" s="394" t="str">
        <f t="shared" si="1718"/>
        <v/>
      </c>
      <c r="N13126" s="273"/>
    </row>
    <row r="13127" spans="1:14" ht="12.75" customHeight="1" x14ac:dyDescent="0.25">
      <c r="A13127" s="309"/>
      <c r="B13127" s="271"/>
      <c r="C13127" s="271"/>
      <c r="D13127" s="271"/>
      <c r="E13127" s="271"/>
      <c r="F13127" s="271"/>
      <c r="G13127" s="273"/>
      <c r="H13127" s="29" t="str">
        <f t="shared" si="1716"/>
        <v/>
      </c>
      <c r="I13127" s="394" t="str">
        <f t="shared" si="1717"/>
        <v/>
      </c>
      <c r="J13127" s="273"/>
      <c r="K13127" s="393"/>
      <c r="L13127" s="273"/>
      <c r="M13127" s="394" t="str">
        <f t="shared" si="1718"/>
        <v/>
      </c>
      <c r="N13127" s="273"/>
    </row>
    <row r="13128" spans="1:14" ht="12.75" customHeight="1" x14ac:dyDescent="0.25">
      <c r="A13128" s="309"/>
      <c r="B13128" s="271"/>
      <c r="C13128" s="271"/>
      <c r="D13128" s="271"/>
      <c r="E13128" s="271"/>
      <c r="F13128" s="271"/>
      <c r="G13128" s="273"/>
      <c r="H13128" s="29" t="str">
        <f t="shared" si="1716"/>
        <v/>
      </c>
      <c r="I13128" s="394" t="str">
        <f t="shared" si="1717"/>
        <v/>
      </c>
      <c r="J13128" s="273"/>
      <c r="K13128" s="393"/>
      <c r="L13128" s="273"/>
      <c r="M13128" s="394" t="str">
        <f t="shared" si="1718"/>
        <v/>
      </c>
      <c r="N13128" s="273"/>
    </row>
    <row r="13129" spans="1:14" ht="12.75" customHeight="1" x14ac:dyDescent="0.25">
      <c r="A13129" s="309"/>
      <c r="B13129" s="271"/>
      <c r="C13129" s="271"/>
      <c r="D13129" s="271"/>
      <c r="E13129" s="271"/>
      <c r="F13129" s="271"/>
      <c r="G13129" s="273"/>
      <c r="H13129" s="29" t="str">
        <f t="shared" si="1716"/>
        <v/>
      </c>
      <c r="I13129" s="394" t="str">
        <f t="shared" si="1717"/>
        <v/>
      </c>
      <c r="J13129" s="273"/>
      <c r="K13129" s="393"/>
      <c r="L13129" s="273"/>
      <c r="M13129" s="394" t="str">
        <f t="shared" si="1718"/>
        <v/>
      </c>
      <c r="N13129" s="273"/>
    </row>
    <row r="13130" spans="1:14" ht="12.75" customHeight="1" x14ac:dyDescent="0.25">
      <c r="A13130" s="309"/>
      <c r="B13130" s="271"/>
      <c r="C13130" s="271"/>
      <c r="D13130" s="271"/>
      <c r="E13130" s="271"/>
      <c r="F13130" s="271"/>
      <c r="G13130" s="273"/>
      <c r="H13130" s="29" t="str">
        <f t="shared" si="1716"/>
        <v/>
      </c>
      <c r="I13130" s="394" t="str">
        <f t="shared" si="1717"/>
        <v/>
      </c>
      <c r="J13130" s="273"/>
      <c r="K13130" s="393"/>
      <c r="L13130" s="273"/>
      <c r="M13130" s="394" t="str">
        <f t="shared" si="1718"/>
        <v/>
      </c>
      <c r="N13130" s="273"/>
    </row>
    <row r="13131" spans="1:14" ht="12.75" customHeight="1" x14ac:dyDescent="0.25">
      <c r="A13131" s="309"/>
      <c r="B13131" s="271"/>
      <c r="C13131" s="271"/>
      <c r="D13131" s="271"/>
      <c r="E13131" s="271"/>
      <c r="F13131" s="271"/>
      <c r="G13131" s="273"/>
      <c r="H13131" s="29" t="str">
        <f t="shared" si="1716"/>
        <v/>
      </c>
      <c r="I13131" s="394" t="str">
        <f t="shared" si="1717"/>
        <v/>
      </c>
      <c r="J13131" s="273"/>
      <c r="K13131" s="393"/>
      <c r="L13131" s="273"/>
      <c r="M13131" s="394" t="str">
        <f t="shared" si="1718"/>
        <v/>
      </c>
      <c r="N13131" s="273"/>
    </row>
    <row r="13132" spans="1:14" ht="12.75" customHeight="1" x14ac:dyDescent="0.25">
      <c r="A13132" s="309"/>
      <c r="B13132" s="271"/>
      <c r="C13132" s="271"/>
      <c r="D13132" s="271"/>
      <c r="E13132" s="271"/>
      <c r="F13132" s="271"/>
      <c r="G13132" s="273"/>
      <c r="H13132" s="29" t="str">
        <f t="shared" si="1716"/>
        <v/>
      </c>
      <c r="I13132" s="394" t="str">
        <f t="shared" si="1717"/>
        <v/>
      </c>
      <c r="J13132" s="273"/>
      <c r="K13132" s="393"/>
      <c r="L13132" s="273"/>
      <c r="M13132" s="394" t="str">
        <f t="shared" si="1718"/>
        <v/>
      </c>
      <c r="N13132" s="273"/>
    </row>
    <row r="13133" spans="1:14" ht="12.75" customHeight="1" x14ac:dyDescent="0.25">
      <c r="A13133" s="309"/>
      <c r="B13133" s="271"/>
      <c r="C13133" s="271"/>
      <c r="D13133" s="271"/>
      <c r="E13133" s="271"/>
      <c r="F13133" s="271"/>
      <c r="G13133" s="273"/>
      <c r="H13133" s="29" t="str">
        <f t="shared" si="1716"/>
        <v/>
      </c>
      <c r="I13133" s="394" t="str">
        <f t="shared" si="1717"/>
        <v/>
      </c>
      <c r="J13133" s="273"/>
      <c r="K13133" s="393"/>
      <c r="L13133" s="273"/>
      <c r="M13133" s="394" t="str">
        <f t="shared" si="1718"/>
        <v/>
      </c>
      <c r="N13133" s="273"/>
    </row>
    <row r="13134" spans="1:14" ht="12.75" customHeight="1" x14ac:dyDescent="0.25">
      <c r="A13134" s="4"/>
      <c r="B13134" s="4"/>
      <c r="C13134" s="4"/>
      <c r="D13134" s="4"/>
      <c r="E13134" s="4"/>
      <c r="F13134" s="4"/>
      <c r="G13134" s="4"/>
      <c r="H13134" s="4"/>
      <c r="I13134" s="4"/>
      <c r="J13134" s="4"/>
      <c r="K13134" s="396" t="s">
        <v>444</v>
      </c>
      <c r="L13134" s="273"/>
      <c r="M13134" s="394">
        <f>SUM(M13119:N13133)</f>
        <v>1309000</v>
      </c>
      <c r="N13134" s="273"/>
    </row>
    <row r="13135" spans="1:14" ht="12.75" customHeight="1" x14ac:dyDescent="0.25">
      <c r="A13135" s="4"/>
      <c r="B13135" s="4"/>
      <c r="C13135" s="4"/>
      <c r="D13135" s="4"/>
      <c r="E13135" s="4"/>
      <c r="F13135" s="4"/>
      <c r="G13135" s="4"/>
      <c r="H13135" s="4"/>
      <c r="I13135" s="4"/>
      <c r="J13135" s="4"/>
      <c r="K13135" s="4"/>
      <c r="L13135" s="4"/>
      <c r="M13135" s="4"/>
      <c r="N13135" s="4"/>
    </row>
    <row r="13136" spans="1:14" ht="12.75" customHeight="1" x14ac:dyDescent="0.2">
      <c r="A13136" s="398" t="s">
        <v>926</v>
      </c>
      <c r="B13136" s="271"/>
      <c r="C13136" s="271"/>
      <c r="D13136" s="271"/>
      <c r="E13136" s="271"/>
      <c r="F13136" s="271"/>
      <c r="G13136" s="271"/>
      <c r="H13136" s="271"/>
      <c r="I13136" s="271"/>
      <c r="J13136" s="271"/>
      <c r="K13136" s="271"/>
      <c r="L13136" s="271"/>
      <c r="M13136" s="271"/>
      <c r="N13136" s="273"/>
    </row>
    <row r="13137" spans="1:14" ht="12.75" customHeight="1" x14ac:dyDescent="0.2">
      <c r="A13137" s="396" t="s">
        <v>76</v>
      </c>
      <c r="B13137" s="271"/>
      <c r="C13137" s="271"/>
      <c r="D13137" s="271"/>
      <c r="E13137" s="271"/>
      <c r="F13137" s="271"/>
      <c r="G13137" s="273"/>
      <c r="H13137" s="88" t="s">
        <v>77</v>
      </c>
      <c r="I13137" s="399" t="s">
        <v>920</v>
      </c>
      <c r="J13137" s="273"/>
      <c r="K13137" s="399" t="s">
        <v>453</v>
      </c>
      <c r="L13137" s="273"/>
      <c r="M13137" s="399" t="s">
        <v>921</v>
      </c>
      <c r="N13137" s="273"/>
    </row>
    <row r="13138" spans="1:14" ht="12.75" customHeight="1" x14ac:dyDescent="0.2">
      <c r="A13138" s="400" t="s">
        <v>927</v>
      </c>
      <c r="B13138" s="271"/>
      <c r="C13138" s="271"/>
      <c r="D13138" s="271"/>
      <c r="E13138" s="271"/>
      <c r="F13138" s="271"/>
      <c r="G13138" s="273"/>
      <c r="H13138" s="29" t="str">
        <f>IF(A13138="","",VLOOKUP(A13138,AA_Equipos,7,FALSE))</f>
        <v>% M.O.</v>
      </c>
      <c r="I13138" s="394">
        <f>+M13160</f>
        <v>124550</v>
      </c>
      <c r="J13138" s="273"/>
      <c r="K13138" s="404">
        <v>0.05</v>
      </c>
      <c r="L13138" s="273"/>
      <c r="M13138" s="394">
        <f t="shared" ref="M13138:M13142" si="1719">IF(A13138="","",I13138*K13138)</f>
        <v>6227.5</v>
      </c>
      <c r="N13138" s="273"/>
    </row>
    <row r="13139" spans="1:14" ht="12.75" customHeight="1" x14ac:dyDescent="0.2">
      <c r="A13139" s="403"/>
      <c r="B13139" s="271"/>
      <c r="C13139" s="271"/>
      <c r="D13139" s="271"/>
      <c r="E13139" s="271"/>
      <c r="F13139" s="271"/>
      <c r="G13139" s="273"/>
      <c r="H13139" s="29" t="str">
        <f>IF(A13139="","",VLOOKUP(A13139,AA_Equipos,7,FALSE))</f>
        <v/>
      </c>
      <c r="I13139" s="394" t="str">
        <f>IF(A13139="","",VLOOKUP(A13139,AA_Equipos,8,FALSE))</f>
        <v/>
      </c>
      <c r="J13139" s="273"/>
      <c r="K13139" s="402"/>
      <c r="L13139" s="273"/>
      <c r="M13139" s="394" t="str">
        <f t="shared" si="1719"/>
        <v/>
      </c>
      <c r="N13139" s="273"/>
    </row>
    <row r="13140" spans="1:14" ht="12.75" customHeight="1" x14ac:dyDescent="0.2">
      <c r="A13140" s="400"/>
      <c r="B13140" s="271"/>
      <c r="C13140" s="271"/>
      <c r="D13140" s="271"/>
      <c r="E13140" s="271"/>
      <c r="F13140" s="271"/>
      <c r="G13140" s="273"/>
      <c r="H13140" s="29" t="str">
        <f>IF(A13140="","",VLOOKUP(A13140,AA_Equipos,7,FALSE))</f>
        <v/>
      </c>
      <c r="I13140" s="394" t="str">
        <f>IF(A13140="","",VLOOKUP(A13140,AA_Equipos,8,FALSE))</f>
        <v/>
      </c>
      <c r="J13140" s="273"/>
      <c r="K13140" s="401"/>
      <c r="L13140" s="273"/>
      <c r="M13140" s="394" t="str">
        <f t="shared" si="1719"/>
        <v/>
      </c>
      <c r="N13140" s="273"/>
    </row>
    <row r="13141" spans="1:14" ht="12.75" customHeight="1" x14ac:dyDescent="0.2">
      <c r="A13141" s="400"/>
      <c r="B13141" s="271"/>
      <c r="C13141" s="271"/>
      <c r="D13141" s="271"/>
      <c r="E13141" s="271"/>
      <c r="F13141" s="271"/>
      <c r="G13141" s="273"/>
      <c r="H13141" s="29" t="str">
        <f>IF(A13141="","",VLOOKUP(A13141,AA_Equipos,7,FALSE))</f>
        <v/>
      </c>
      <c r="I13141" s="394" t="str">
        <f>IF(A13141="","",VLOOKUP(A13141,AA_Equipos,8,FALSE))</f>
        <v/>
      </c>
      <c r="J13141" s="273"/>
      <c r="K13141" s="395"/>
      <c r="L13141" s="273"/>
      <c r="M13141" s="394" t="str">
        <f t="shared" si="1719"/>
        <v/>
      </c>
      <c r="N13141" s="273"/>
    </row>
    <row r="13142" spans="1:14" ht="12.75" customHeight="1" x14ac:dyDescent="0.2">
      <c r="A13142" s="400"/>
      <c r="B13142" s="271"/>
      <c r="C13142" s="271"/>
      <c r="D13142" s="271"/>
      <c r="E13142" s="271"/>
      <c r="F13142" s="271"/>
      <c r="G13142" s="273"/>
      <c r="H13142" s="29" t="str">
        <f>IF(A13142="","",VLOOKUP(A13142,AA_Equipos,7,FALSE))</f>
        <v/>
      </c>
      <c r="I13142" s="394" t="str">
        <f>IF(A13142="","",VLOOKUP(A13142,AA_Equipos,8,FALSE))</f>
        <v/>
      </c>
      <c r="J13142" s="273"/>
      <c r="K13142" s="395"/>
      <c r="L13142" s="273"/>
      <c r="M13142" s="394" t="str">
        <f t="shared" si="1719"/>
        <v/>
      </c>
      <c r="N13142" s="273"/>
    </row>
    <row r="13143" spans="1:14" ht="12.75" customHeight="1" x14ac:dyDescent="0.25">
      <c r="A13143" s="4"/>
      <c r="B13143" s="4"/>
      <c r="C13143" s="4"/>
      <c r="D13143" s="4"/>
      <c r="E13143" s="4"/>
      <c r="F13143" s="4"/>
      <c r="G13143" s="4"/>
      <c r="H13143" s="4"/>
      <c r="I13143" s="4"/>
      <c r="J13143" s="4"/>
      <c r="K13143" s="396" t="s">
        <v>444</v>
      </c>
      <c r="L13143" s="273"/>
      <c r="M13143" s="394">
        <f>SUM(M13138:N13142)</f>
        <v>6227.5</v>
      </c>
      <c r="N13143" s="273"/>
    </row>
    <row r="13144" spans="1:14" ht="12.75" customHeight="1" x14ac:dyDescent="0.25">
      <c r="A13144" s="4"/>
      <c r="B13144" s="4"/>
      <c r="C13144" s="4"/>
      <c r="D13144" s="4"/>
      <c r="E13144" s="4"/>
      <c r="F13144" s="4"/>
      <c r="G13144" s="4"/>
      <c r="H13144" s="4"/>
      <c r="I13144" s="4"/>
      <c r="J13144" s="4"/>
      <c r="K13144" s="4"/>
      <c r="L13144" s="4"/>
      <c r="M13144" s="4"/>
      <c r="N13144" s="4"/>
    </row>
    <row r="13145" spans="1:14" ht="12.75" customHeight="1" x14ac:dyDescent="0.2">
      <c r="A13145" s="398" t="s">
        <v>929</v>
      </c>
      <c r="B13145" s="271"/>
      <c r="C13145" s="271"/>
      <c r="D13145" s="271"/>
      <c r="E13145" s="271"/>
      <c r="F13145" s="271"/>
      <c r="G13145" s="271"/>
      <c r="H13145" s="271"/>
      <c r="I13145" s="271"/>
      <c r="J13145" s="271"/>
      <c r="K13145" s="271"/>
      <c r="L13145" s="271"/>
      <c r="M13145" s="271"/>
      <c r="N13145" s="273"/>
    </row>
    <row r="13146" spans="1:14" ht="12.75" customHeight="1" x14ac:dyDescent="0.2">
      <c r="A13146" s="396" t="s">
        <v>76</v>
      </c>
      <c r="B13146" s="271"/>
      <c r="C13146" s="271"/>
      <c r="D13146" s="271"/>
      <c r="E13146" s="271"/>
      <c r="F13146" s="271"/>
      <c r="G13146" s="273"/>
      <c r="H13146" s="88" t="s">
        <v>77</v>
      </c>
      <c r="I13146" s="399" t="s">
        <v>920</v>
      </c>
      <c r="J13146" s="273"/>
      <c r="K13146" s="399" t="s">
        <v>453</v>
      </c>
      <c r="L13146" s="273"/>
      <c r="M13146" s="399" t="s">
        <v>921</v>
      </c>
      <c r="N13146" s="273"/>
    </row>
    <row r="13147" spans="1:14" ht="12.75" customHeight="1" x14ac:dyDescent="0.2">
      <c r="A13147" s="400" t="s">
        <v>1559</v>
      </c>
      <c r="B13147" s="271"/>
      <c r="C13147" s="271"/>
      <c r="D13147" s="271"/>
      <c r="E13147" s="271"/>
      <c r="F13147" s="271"/>
      <c r="G13147" s="273"/>
      <c r="H13147" s="29" t="str">
        <f>IF(A13147="","",VLOOKUP(A13147,AA_Equipos,7,FALSE))</f>
        <v>Día</v>
      </c>
      <c r="I13147" s="394">
        <f>IF(A13147="","",VLOOKUP(A13147,AA_Equipos,8,FALSE))</f>
        <v>74400</v>
      </c>
      <c r="J13147" s="273"/>
      <c r="K13147" s="395">
        <v>0.25</v>
      </c>
      <c r="L13147" s="273"/>
      <c r="M13147" s="394">
        <f t="shared" ref="M13147:M13150" si="1720">IF(A13147="","",I13147*K13147)</f>
        <v>18600</v>
      </c>
      <c r="N13147" s="273"/>
    </row>
    <row r="13148" spans="1:14" ht="12.75" customHeight="1" x14ac:dyDescent="0.2">
      <c r="A13148" s="400" t="s">
        <v>930</v>
      </c>
      <c r="B13148" s="271"/>
      <c r="C13148" s="271"/>
      <c r="D13148" s="271"/>
      <c r="E13148" s="271"/>
      <c r="F13148" s="271"/>
      <c r="G13148" s="273"/>
      <c r="H13148" s="29" t="s">
        <v>24</v>
      </c>
      <c r="I13148" s="394">
        <f>+M13134+M13143</f>
        <v>1315227.5</v>
      </c>
      <c r="J13148" s="273"/>
      <c r="K13148" s="405">
        <v>0.05</v>
      </c>
      <c r="L13148" s="406"/>
      <c r="M13148" s="394">
        <f t="shared" si="1720"/>
        <v>65761.375</v>
      </c>
      <c r="N13148" s="273"/>
    </row>
    <row r="13149" spans="1:14" ht="12.75" customHeight="1" x14ac:dyDescent="0.2">
      <c r="A13149" s="400"/>
      <c r="B13149" s="271"/>
      <c r="C13149" s="271"/>
      <c r="D13149" s="271"/>
      <c r="E13149" s="271"/>
      <c r="F13149" s="271"/>
      <c r="G13149" s="273"/>
      <c r="H13149" s="29"/>
      <c r="I13149" s="394"/>
      <c r="J13149" s="273"/>
      <c r="K13149" s="395"/>
      <c r="L13149" s="273"/>
      <c r="M13149" s="394" t="str">
        <f t="shared" si="1720"/>
        <v/>
      </c>
      <c r="N13149" s="273"/>
    </row>
    <row r="13150" spans="1:14" ht="12.75" customHeight="1" x14ac:dyDescent="0.2">
      <c r="A13150" s="400"/>
      <c r="B13150" s="271"/>
      <c r="C13150" s="271"/>
      <c r="D13150" s="271"/>
      <c r="E13150" s="271"/>
      <c r="F13150" s="271"/>
      <c r="G13150" s="273"/>
      <c r="H13150" s="29"/>
      <c r="I13150" s="394"/>
      <c r="J13150" s="273"/>
      <c r="K13150" s="395"/>
      <c r="L13150" s="273"/>
      <c r="M13150" s="394" t="str">
        <f t="shared" si="1720"/>
        <v/>
      </c>
      <c r="N13150" s="273"/>
    </row>
    <row r="13151" spans="1:14" ht="12.75" customHeight="1" x14ac:dyDescent="0.25">
      <c r="A13151" s="4"/>
      <c r="B13151" s="4"/>
      <c r="C13151" s="4"/>
      <c r="D13151" s="4"/>
      <c r="E13151" s="4"/>
      <c r="F13151" s="4"/>
      <c r="G13151" s="4"/>
      <c r="H13151" s="4"/>
      <c r="I13151" s="4"/>
      <c r="J13151" s="4"/>
      <c r="K13151" s="396" t="s">
        <v>444</v>
      </c>
      <c r="L13151" s="273"/>
      <c r="M13151" s="394">
        <f>SUM(M13147:N13150)</f>
        <v>84361.375</v>
      </c>
      <c r="N13151" s="273"/>
    </row>
    <row r="13152" spans="1:14" ht="12.75" customHeight="1" x14ac:dyDescent="0.25">
      <c r="A13152" s="4"/>
      <c r="B13152" s="4"/>
      <c r="C13152" s="4"/>
      <c r="D13152" s="4"/>
      <c r="E13152" s="4"/>
      <c r="F13152" s="4"/>
      <c r="G13152" s="4"/>
      <c r="H13152" s="4"/>
      <c r="I13152" s="4"/>
      <c r="J13152" s="4"/>
      <c r="K13152" s="4"/>
      <c r="L13152" s="4"/>
      <c r="M13152" s="4"/>
      <c r="N13152" s="4"/>
    </row>
    <row r="13153" spans="1:15" ht="12.75" customHeight="1" x14ac:dyDescent="0.2">
      <c r="A13153" s="398" t="s">
        <v>931</v>
      </c>
      <c r="B13153" s="271"/>
      <c r="C13153" s="271"/>
      <c r="D13153" s="271"/>
      <c r="E13153" s="271"/>
      <c r="F13153" s="271"/>
      <c r="G13153" s="271"/>
      <c r="H13153" s="271"/>
      <c r="I13153" s="271"/>
      <c r="J13153" s="271"/>
      <c r="K13153" s="271"/>
      <c r="L13153" s="271"/>
      <c r="M13153" s="271"/>
      <c r="N13153" s="273"/>
    </row>
    <row r="13154" spans="1:15" ht="12.75" customHeight="1" x14ac:dyDescent="0.2">
      <c r="A13154" s="396" t="s">
        <v>76</v>
      </c>
      <c r="B13154" s="271"/>
      <c r="C13154" s="271"/>
      <c r="D13154" s="271"/>
      <c r="E13154" s="271"/>
      <c r="F13154" s="271"/>
      <c r="G13154" s="273"/>
      <c r="H13154" s="88" t="s">
        <v>77</v>
      </c>
      <c r="I13154" s="399" t="s">
        <v>920</v>
      </c>
      <c r="J13154" s="273"/>
      <c r="K13154" s="90" t="s">
        <v>514</v>
      </c>
      <c r="L13154" s="91" t="s">
        <v>932</v>
      </c>
      <c r="M13154" s="399" t="s">
        <v>921</v>
      </c>
      <c r="N13154" s="273"/>
    </row>
    <row r="13155" spans="1:15" ht="12.75" customHeight="1" x14ac:dyDescent="0.25">
      <c r="A13155" s="393" t="s">
        <v>1301</v>
      </c>
      <c r="B13155" s="271"/>
      <c r="C13155" s="271"/>
      <c r="D13155" s="271"/>
      <c r="E13155" s="271"/>
      <c r="F13155" s="271"/>
      <c r="G13155" s="273"/>
      <c r="H13155" s="29" t="str">
        <f>IF(A13155="","",VLOOKUP(A13155,AA_Cuadrillas,4,FALSE))</f>
        <v>Cuadrilla</v>
      </c>
      <c r="I13155" s="394">
        <f>IF(A13155="","",VLOOKUP(A13155,AA_Cuadrillas,5,FALSE))</f>
        <v>132500</v>
      </c>
      <c r="J13155" s="273"/>
      <c r="K13155" s="9">
        <f>IF(A13155="","",F.P!$I$2)</f>
        <v>1.88</v>
      </c>
      <c r="L13155" s="97">
        <v>0.5</v>
      </c>
      <c r="M13155" s="394">
        <f t="shared" ref="M13155:M13159" si="1721">IF(A13155="","",I13155*K13155*L13155)</f>
        <v>124550</v>
      </c>
      <c r="N13155" s="273"/>
    </row>
    <row r="13156" spans="1:15" ht="12.75" customHeight="1" x14ac:dyDescent="0.25">
      <c r="A13156" s="393"/>
      <c r="B13156" s="271"/>
      <c r="C13156" s="271"/>
      <c r="D13156" s="271"/>
      <c r="E13156" s="271"/>
      <c r="F13156" s="271"/>
      <c r="G13156" s="273"/>
      <c r="H13156" s="29" t="str">
        <f>IF(A13156="","",VLOOKUP(A13156,AA_Cuadrillas,4,FALSE))</f>
        <v/>
      </c>
      <c r="I13156" s="394" t="str">
        <f>IF(A13156="","",VLOOKUP(A13156,AA_Cuadrillas,5,FALSE))</f>
        <v/>
      </c>
      <c r="J13156" s="273"/>
      <c r="K13156" s="9" t="str">
        <f>IF(A13156="","",F.P!$I$2)</f>
        <v/>
      </c>
      <c r="L13156" s="9"/>
      <c r="M13156" s="394" t="str">
        <f t="shared" si="1721"/>
        <v/>
      </c>
      <c r="N13156" s="273"/>
    </row>
    <row r="13157" spans="1:15" ht="12.75" customHeight="1" x14ac:dyDescent="0.25">
      <c r="A13157" s="393"/>
      <c r="B13157" s="271"/>
      <c r="C13157" s="271"/>
      <c r="D13157" s="271"/>
      <c r="E13157" s="271"/>
      <c r="F13157" s="271"/>
      <c r="G13157" s="273"/>
      <c r="H13157" s="29" t="str">
        <f>IF(A13157="","",VLOOKUP(A13157,AA_Cuadrillas,4,FALSE))</f>
        <v/>
      </c>
      <c r="I13157" s="394" t="str">
        <f>IF(A13157="","",VLOOKUP(A13157,AA_Cuadrillas,5,FALSE))</f>
        <v/>
      </c>
      <c r="J13157" s="273"/>
      <c r="K13157" s="9" t="str">
        <f>IF(A13157="","",F.P!$I$2)</f>
        <v/>
      </c>
      <c r="L13157" s="37"/>
      <c r="M13157" s="394" t="str">
        <f t="shared" si="1721"/>
        <v/>
      </c>
      <c r="N13157" s="273"/>
    </row>
    <row r="13158" spans="1:15" ht="12.75" customHeight="1" x14ac:dyDescent="0.25">
      <c r="A13158" s="393"/>
      <c r="B13158" s="271"/>
      <c r="C13158" s="271"/>
      <c r="D13158" s="271"/>
      <c r="E13158" s="271"/>
      <c r="F13158" s="271"/>
      <c r="G13158" s="273"/>
      <c r="H13158" s="29" t="str">
        <f>IF(A13158="","",VLOOKUP(A13158,AA_Cuadrillas,4,FALSE))</f>
        <v/>
      </c>
      <c r="I13158" s="394" t="str">
        <f>IF(A13158="","",VLOOKUP(A13158,AA_Cuadrillas,5,FALSE))</f>
        <v/>
      </c>
      <c r="J13158" s="273"/>
      <c r="K13158" s="9" t="str">
        <f>IF(A13158="","",F.P!$I$2)</f>
        <v/>
      </c>
      <c r="L13158" s="97"/>
      <c r="M13158" s="394" t="str">
        <f t="shared" si="1721"/>
        <v/>
      </c>
      <c r="N13158" s="273"/>
    </row>
    <row r="13159" spans="1:15" ht="12.75" customHeight="1" x14ac:dyDescent="0.25">
      <c r="A13159" s="393"/>
      <c r="B13159" s="271"/>
      <c r="C13159" s="271"/>
      <c r="D13159" s="271"/>
      <c r="E13159" s="271"/>
      <c r="F13159" s="271"/>
      <c r="G13159" s="273"/>
      <c r="H13159" s="29" t="str">
        <f>IF(A13159="","",VLOOKUP(A13159,AA_Cuadrillas,4,FALSE))</f>
        <v/>
      </c>
      <c r="I13159" s="394" t="str">
        <f>IF(A13159="","",VLOOKUP(A13159,AA_Cuadrillas,5,FALSE))</f>
        <v/>
      </c>
      <c r="J13159" s="273"/>
      <c r="K13159" s="9" t="str">
        <f>IF(A13159="","",F.P!$I$2)</f>
        <v/>
      </c>
      <c r="L13159" s="37"/>
      <c r="M13159" s="394" t="str">
        <f t="shared" si="1721"/>
        <v/>
      </c>
      <c r="N13159" s="273"/>
    </row>
    <row r="13160" spans="1:15" ht="12.75" customHeight="1" x14ac:dyDescent="0.25">
      <c r="A13160" s="4"/>
      <c r="B13160" s="4"/>
      <c r="C13160" s="4"/>
      <c r="D13160" s="4"/>
      <c r="E13160" s="4"/>
      <c r="F13160" s="4"/>
      <c r="G13160" s="4"/>
      <c r="H13160" s="4"/>
      <c r="I13160" s="4"/>
      <c r="J13160" s="4"/>
      <c r="K13160" s="396" t="s">
        <v>444</v>
      </c>
      <c r="L13160" s="273"/>
      <c r="M13160" s="394">
        <f>SUM(M13155:N13159)</f>
        <v>124550</v>
      </c>
      <c r="N13160" s="273"/>
    </row>
    <row r="13161" spans="1:15" ht="12.75" customHeight="1" x14ac:dyDescent="0.2"/>
    <row r="13162" spans="1:15" ht="12.75" customHeight="1" x14ac:dyDescent="0.2">
      <c r="A13162" s="397" t="s">
        <v>425</v>
      </c>
      <c r="B13162" s="275"/>
      <c r="C13162" s="275"/>
      <c r="D13162" s="275"/>
      <c r="E13162" s="275"/>
      <c r="F13162" s="275"/>
      <c r="G13162" s="275"/>
      <c r="H13162" s="275"/>
      <c r="I13162" s="275"/>
      <c r="J13162" s="275"/>
      <c r="K13162" s="275"/>
      <c r="L13162" s="275"/>
      <c r="M13162" s="275"/>
      <c r="N13162" s="276"/>
      <c r="O13162" s="166"/>
    </row>
    <row r="13163" spans="1:15" ht="12.75" customHeight="1" x14ac:dyDescent="0.2">
      <c r="A13163" s="277"/>
      <c r="B13163" s="278"/>
      <c r="C13163" s="278"/>
      <c r="D13163" s="278"/>
      <c r="E13163" s="278"/>
      <c r="F13163" s="278"/>
      <c r="G13163" s="278"/>
      <c r="H13163" s="278"/>
      <c r="I13163" s="278"/>
      <c r="J13163" s="278"/>
      <c r="K13163" s="278"/>
      <c r="L13163" s="278"/>
      <c r="M13163" s="278"/>
      <c r="N13163" s="279"/>
      <c r="O13163" s="166"/>
    </row>
    <row r="13164" spans="1:15" ht="12.75" customHeight="1" x14ac:dyDescent="0.2">
      <c r="A13164" s="75"/>
      <c r="B13164" s="75"/>
      <c r="C13164" s="75"/>
      <c r="D13164" s="75"/>
      <c r="E13164" s="75"/>
      <c r="F13164" s="75"/>
      <c r="G13164" s="75"/>
      <c r="H13164" s="75"/>
      <c r="I13164" s="75"/>
      <c r="J13164" s="75"/>
      <c r="K13164" s="75"/>
      <c r="L13164" s="75"/>
      <c r="M13164" s="75"/>
      <c r="N13164" s="75"/>
    </row>
    <row r="13165" spans="1:15" ht="12.75" customHeight="1" x14ac:dyDescent="0.3">
      <c r="A13165" s="79" t="s">
        <v>901</v>
      </c>
      <c r="B13165" s="80" t="str">
        <f>A13162</f>
        <v>SALIDA PARA MOTOR MONOFÁSICO EN CABLE 2X10F + 1X10T THHN/THWN, EN TUBERÍA EMT 3/4" - 4M Y CORAZA LIQUID THIGHT 3/4" - 2 M, INCLUYE CAJA DE PASO 10X10CM, FIJACIONES, HERRAJES, MARCACION, BORNAS Y DEMÁS ACCESORIOS</v>
      </c>
      <c r="C13165" s="81" t="s">
        <v>916</v>
      </c>
      <c r="D13165" s="82" t="s">
        <v>999</v>
      </c>
      <c r="E13165" s="83" t="s">
        <v>445</v>
      </c>
      <c r="F13165" s="234">
        <f>(H13165+J13165+L13165+N13165)*1.3</f>
        <v>553558.16749999998</v>
      </c>
      <c r="G13165" s="83" t="s">
        <v>607</v>
      </c>
      <c r="H13165" s="86">
        <f>M13184</f>
        <v>245262</v>
      </c>
      <c r="I13165" s="83" t="s">
        <v>918</v>
      </c>
      <c r="J13165" s="86">
        <f>M13193</f>
        <v>6227.5</v>
      </c>
      <c r="K13165" s="83" t="s">
        <v>609</v>
      </c>
      <c r="L13165" s="86">
        <f>M13201</f>
        <v>49774.474999999999</v>
      </c>
      <c r="M13165" s="83" t="s">
        <v>610</v>
      </c>
      <c r="N13165" s="86">
        <f>M13210</f>
        <v>124550</v>
      </c>
    </row>
    <row r="13166" spans="1:15" ht="12.75" customHeight="1" x14ac:dyDescent="0.25">
      <c r="A13166" s="87"/>
      <c r="B13166" s="87"/>
      <c r="C13166" s="87"/>
      <c r="D13166" s="87"/>
      <c r="E13166" s="87"/>
      <c r="F13166" s="87"/>
      <c r="G13166" s="87"/>
      <c r="H13166" s="12"/>
      <c r="I13166" s="12"/>
      <c r="J13166" s="87"/>
      <c r="K13166" s="215" t="s">
        <v>3217</v>
      </c>
      <c r="L13166" s="215">
        <f>+F13165*presup!$O$5</f>
        <v>719625.61774999998</v>
      </c>
      <c r="M13166" s="87"/>
      <c r="N13166" s="87"/>
    </row>
    <row r="13167" spans="1:15" ht="12.75" customHeight="1" x14ac:dyDescent="0.2">
      <c r="A13167" s="398" t="s">
        <v>919</v>
      </c>
      <c r="B13167" s="271"/>
      <c r="C13167" s="271"/>
      <c r="D13167" s="271"/>
      <c r="E13167" s="271"/>
      <c r="F13167" s="271"/>
      <c r="G13167" s="271"/>
      <c r="H13167" s="271"/>
      <c r="I13167" s="271"/>
      <c r="J13167" s="271"/>
      <c r="K13167" s="271"/>
      <c r="L13167" s="271"/>
      <c r="M13167" s="271"/>
      <c r="N13167" s="273"/>
    </row>
    <row r="13168" spans="1:15" ht="12.75" customHeight="1" x14ac:dyDescent="0.2">
      <c r="A13168" s="396" t="s">
        <v>76</v>
      </c>
      <c r="B13168" s="271"/>
      <c r="C13168" s="271"/>
      <c r="D13168" s="271"/>
      <c r="E13168" s="271"/>
      <c r="F13168" s="271"/>
      <c r="G13168" s="273"/>
      <c r="H13168" s="88" t="s">
        <v>77</v>
      </c>
      <c r="I13168" s="399" t="s">
        <v>920</v>
      </c>
      <c r="J13168" s="273"/>
      <c r="K13168" s="399" t="s">
        <v>453</v>
      </c>
      <c r="L13168" s="273"/>
      <c r="M13168" s="399" t="s">
        <v>921</v>
      </c>
      <c r="N13168" s="273"/>
    </row>
    <row r="13169" spans="1:14" ht="12.75" customHeight="1" x14ac:dyDescent="0.25">
      <c r="A13169" s="309" t="s">
        <v>1707</v>
      </c>
      <c r="B13169" s="271"/>
      <c r="C13169" s="271"/>
      <c r="D13169" s="271"/>
      <c r="E13169" s="271"/>
      <c r="F13169" s="271"/>
      <c r="G13169" s="273"/>
      <c r="H13169" s="29" t="str">
        <f t="shared" ref="H13169:H13183" si="1722">IF(A13169="","",VLOOKUP(A13169,AA_Materiales,7,FALSE))</f>
        <v>Unidad</v>
      </c>
      <c r="I13169" s="394">
        <f t="shared" ref="I13169:I13183" si="1723">IF(A13169="","",VLOOKUP(A13169,AA_Materiales,8,FALSE))</f>
        <v>9660</v>
      </c>
      <c r="J13169" s="273"/>
      <c r="K13169" s="393">
        <v>1</v>
      </c>
      <c r="L13169" s="273"/>
      <c r="M13169" s="394">
        <f t="shared" ref="M13169:M13183" si="1724">IF(A13169="","",I13169*K13169)</f>
        <v>9660</v>
      </c>
      <c r="N13169" s="273"/>
    </row>
    <row r="13170" spans="1:14" ht="12.75" customHeight="1" x14ac:dyDescent="0.25">
      <c r="A13170" s="309" t="s">
        <v>1708</v>
      </c>
      <c r="B13170" s="271"/>
      <c r="C13170" s="271"/>
      <c r="D13170" s="271"/>
      <c r="E13170" s="271"/>
      <c r="F13170" s="271"/>
      <c r="G13170" s="273"/>
      <c r="H13170" s="29" t="str">
        <f t="shared" si="1722"/>
        <v>Unidad</v>
      </c>
      <c r="I13170" s="394">
        <f t="shared" si="1723"/>
        <v>780</v>
      </c>
      <c r="J13170" s="273"/>
      <c r="K13170" s="393">
        <v>6</v>
      </c>
      <c r="L13170" s="273"/>
      <c r="M13170" s="394">
        <f t="shared" si="1724"/>
        <v>4680</v>
      </c>
      <c r="N13170" s="273"/>
    </row>
    <row r="13171" spans="1:14" ht="12.75" customHeight="1" x14ac:dyDescent="0.25">
      <c r="A13171" s="309" t="s">
        <v>1709</v>
      </c>
      <c r="B13171" s="271"/>
      <c r="C13171" s="271"/>
      <c r="D13171" s="271"/>
      <c r="E13171" s="271"/>
      <c r="F13171" s="271"/>
      <c r="G13171" s="273"/>
      <c r="H13171" s="29" t="str">
        <f t="shared" si="1722"/>
        <v>m</v>
      </c>
      <c r="I13171" s="394">
        <f t="shared" si="1723"/>
        <v>4620</v>
      </c>
      <c r="J13171" s="273"/>
      <c r="K13171" s="393">
        <v>24</v>
      </c>
      <c r="L13171" s="273"/>
      <c r="M13171" s="394">
        <f t="shared" si="1724"/>
        <v>110880</v>
      </c>
      <c r="N13171" s="273"/>
    </row>
    <row r="13172" spans="1:14" ht="12.75" customHeight="1" x14ac:dyDescent="0.25">
      <c r="A13172" s="309" t="s">
        <v>1710</v>
      </c>
      <c r="B13172" s="271"/>
      <c r="C13172" s="271"/>
      <c r="D13172" s="271"/>
      <c r="E13172" s="271"/>
      <c r="F13172" s="271"/>
      <c r="G13172" s="273"/>
      <c r="H13172" s="29" t="str">
        <f t="shared" si="1722"/>
        <v>Unidad</v>
      </c>
      <c r="I13172" s="394">
        <f t="shared" si="1723"/>
        <v>2240</v>
      </c>
      <c r="J13172" s="273"/>
      <c r="K13172" s="393">
        <v>4</v>
      </c>
      <c r="L13172" s="273"/>
      <c r="M13172" s="394">
        <f t="shared" si="1724"/>
        <v>8960</v>
      </c>
      <c r="N13172" s="273"/>
    </row>
    <row r="13173" spans="1:14" ht="12.75" customHeight="1" x14ac:dyDescent="0.25">
      <c r="A13173" s="309" t="s">
        <v>1711</v>
      </c>
      <c r="B13173" s="271"/>
      <c r="C13173" s="271"/>
      <c r="D13173" s="271"/>
      <c r="E13173" s="271"/>
      <c r="F13173" s="271"/>
      <c r="G13173" s="273"/>
      <c r="H13173" s="29" t="str">
        <f t="shared" si="1722"/>
        <v>m</v>
      </c>
      <c r="I13173" s="394">
        <f t="shared" si="1723"/>
        <v>13333</v>
      </c>
      <c r="J13173" s="273"/>
      <c r="K13173" s="393">
        <v>4</v>
      </c>
      <c r="L13173" s="273"/>
      <c r="M13173" s="394">
        <f t="shared" si="1724"/>
        <v>53332</v>
      </c>
      <c r="N13173" s="273"/>
    </row>
    <row r="13174" spans="1:14" ht="12.75" customHeight="1" x14ac:dyDescent="0.25">
      <c r="A13174" s="309" t="s">
        <v>1712</v>
      </c>
      <c r="B13174" s="271"/>
      <c r="C13174" s="271"/>
      <c r="D13174" s="271"/>
      <c r="E13174" s="271"/>
      <c r="F13174" s="271"/>
      <c r="G13174" s="273"/>
      <c r="H13174" s="29" t="str">
        <f t="shared" si="1722"/>
        <v>m</v>
      </c>
      <c r="I13174" s="394">
        <f t="shared" si="1723"/>
        <v>12600</v>
      </c>
      <c r="J13174" s="273"/>
      <c r="K13174" s="393">
        <v>2</v>
      </c>
      <c r="L13174" s="273"/>
      <c r="M13174" s="394">
        <f t="shared" si="1724"/>
        <v>25200</v>
      </c>
      <c r="N13174" s="273"/>
    </row>
    <row r="13175" spans="1:14" ht="12.75" customHeight="1" x14ac:dyDescent="0.25">
      <c r="A13175" s="309" t="s">
        <v>1713</v>
      </c>
      <c r="B13175" s="271"/>
      <c r="C13175" s="271"/>
      <c r="D13175" s="271"/>
      <c r="E13175" s="271"/>
      <c r="F13175" s="271"/>
      <c r="G13175" s="273"/>
      <c r="H13175" s="29" t="str">
        <f t="shared" si="1722"/>
        <v>Unidad</v>
      </c>
      <c r="I13175" s="394">
        <f t="shared" si="1723"/>
        <v>9240</v>
      </c>
      <c r="J13175" s="273"/>
      <c r="K13175" s="393">
        <v>2</v>
      </c>
      <c r="L13175" s="273"/>
      <c r="M13175" s="394">
        <f t="shared" si="1724"/>
        <v>18480</v>
      </c>
      <c r="N13175" s="273"/>
    </row>
    <row r="13176" spans="1:14" ht="12.75" customHeight="1" x14ac:dyDescent="0.25">
      <c r="A13176" s="309" t="s">
        <v>1683</v>
      </c>
      <c r="B13176" s="271"/>
      <c r="C13176" s="271"/>
      <c r="D13176" s="271"/>
      <c r="E13176" s="271"/>
      <c r="F13176" s="271"/>
      <c r="G13176" s="273"/>
      <c r="H13176" s="29" t="str">
        <f t="shared" si="1722"/>
        <v>Unidad</v>
      </c>
      <c r="I13176" s="394">
        <f t="shared" si="1723"/>
        <v>14070</v>
      </c>
      <c r="J13176" s="273"/>
      <c r="K13176" s="393">
        <v>1</v>
      </c>
      <c r="L13176" s="273"/>
      <c r="M13176" s="394">
        <f t="shared" si="1724"/>
        <v>14070</v>
      </c>
      <c r="N13176" s="273"/>
    </row>
    <row r="13177" spans="1:14" ht="12.75" customHeight="1" x14ac:dyDescent="0.25">
      <c r="A13177" s="309"/>
      <c r="B13177" s="271"/>
      <c r="C13177" s="271"/>
      <c r="D13177" s="271"/>
      <c r="E13177" s="271"/>
      <c r="F13177" s="271"/>
      <c r="G13177" s="273"/>
      <c r="H13177" s="29" t="str">
        <f t="shared" si="1722"/>
        <v/>
      </c>
      <c r="I13177" s="394" t="str">
        <f t="shared" si="1723"/>
        <v/>
      </c>
      <c r="J13177" s="273"/>
      <c r="K13177" s="393"/>
      <c r="L13177" s="273"/>
      <c r="M13177" s="394" t="str">
        <f t="shared" si="1724"/>
        <v/>
      </c>
      <c r="N13177" s="273"/>
    </row>
    <row r="13178" spans="1:14" ht="12.75" customHeight="1" x14ac:dyDescent="0.25">
      <c r="A13178" s="309"/>
      <c r="B13178" s="271"/>
      <c r="C13178" s="271"/>
      <c r="D13178" s="271"/>
      <c r="E13178" s="271"/>
      <c r="F13178" s="271"/>
      <c r="G13178" s="273"/>
      <c r="H13178" s="29" t="str">
        <f t="shared" si="1722"/>
        <v/>
      </c>
      <c r="I13178" s="394" t="str">
        <f t="shared" si="1723"/>
        <v/>
      </c>
      <c r="J13178" s="273"/>
      <c r="K13178" s="393"/>
      <c r="L13178" s="273"/>
      <c r="M13178" s="394" t="str">
        <f t="shared" si="1724"/>
        <v/>
      </c>
      <c r="N13178" s="273"/>
    </row>
    <row r="13179" spans="1:14" ht="12.75" customHeight="1" x14ac:dyDescent="0.25">
      <c r="A13179" s="309"/>
      <c r="B13179" s="271"/>
      <c r="C13179" s="271"/>
      <c r="D13179" s="271"/>
      <c r="E13179" s="271"/>
      <c r="F13179" s="271"/>
      <c r="G13179" s="273"/>
      <c r="H13179" s="29" t="str">
        <f t="shared" si="1722"/>
        <v/>
      </c>
      <c r="I13179" s="394" t="str">
        <f t="shared" si="1723"/>
        <v/>
      </c>
      <c r="J13179" s="273"/>
      <c r="K13179" s="393"/>
      <c r="L13179" s="273"/>
      <c r="M13179" s="394" t="str">
        <f t="shared" si="1724"/>
        <v/>
      </c>
      <c r="N13179" s="273"/>
    </row>
    <row r="13180" spans="1:14" ht="12.75" customHeight="1" x14ac:dyDescent="0.25">
      <c r="A13180" s="309"/>
      <c r="B13180" s="271"/>
      <c r="C13180" s="271"/>
      <c r="D13180" s="271"/>
      <c r="E13180" s="271"/>
      <c r="F13180" s="271"/>
      <c r="G13180" s="273"/>
      <c r="H13180" s="29" t="str">
        <f t="shared" si="1722"/>
        <v/>
      </c>
      <c r="I13180" s="394" t="str">
        <f t="shared" si="1723"/>
        <v/>
      </c>
      <c r="J13180" s="273"/>
      <c r="K13180" s="393"/>
      <c r="L13180" s="273"/>
      <c r="M13180" s="394" t="str">
        <f t="shared" si="1724"/>
        <v/>
      </c>
      <c r="N13180" s="273"/>
    </row>
    <row r="13181" spans="1:14" ht="12.75" customHeight="1" x14ac:dyDescent="0.25">
      <c r="A13181" s="309"/>
      <c r="B13181" s="271"/>
      <c r="C13181" s="271"/>
      <c r="D13181" s="271"/>
      <c r="E13181" s="271"/>
      <c r="F13181" s="271"/>
      <c r="G13181" s="273"/>
      <c r="H13181" s="29" t="str">
        <f t="shared" si="1722"/>
        <v/>
      </c>
      <c r="I13181" s="394" t="str">
        <f t="shared" si="1723"/>
        <v/>
      </c>
      <c r="J13181" s="273"/>
      <c r="K13181" s="393"/>
      <c r="L13181" s="273"/>
      <c r="M13181" s="394" t="str">
        <f t="shared" si="1724"/>
        <v/>
      </c>
      <c r="N13181" s="273"/>
    </row>
    <row r="13182" spans="1:14" ht="12.75" customHeight="1" x14ac:dyDescent="0.25">
      <c r="A13182" s="309"/>
      <c r="B13182" s="271"/>
      <c r="C13182" s="271"/>
      <c r="D13182" s="271"/>
      <c r="E13182" s="271"/>
      <c r="F13182" s="271"/>
      <c r="G13182" s="273"/>
      <c r="H13182" s="29" t="str">
        <f t="shared" si="1722"/>
        <v/>
      </c>
      <c r="I13182" s="394" t="str">
        <f t="shared" si="1723"/>
        <v/>
      </c>
      <c r="J13182" s="273"/>
      <c r="K13182" s="393"/>
      <c r="L13182" s="273"/>
      <c r="M13182" s="394" t="str">
        <f t="shared" si="1724"/>
        <v/>
      </c>
      <c r="N13182" s="273"/>
    </row>
    <row r="13183" spans="1:14" ht="12.75" customHeight="1" x14ac:dyDescent="0.25">
      <c r="A13183" s="309"/>
      <c r="B13183" s="271"/>
      <c r="C13183" s="271"/>
      <c r="D13183" s="271"/>
      <c r="E13183" s="271"/>
      <c r="F13183" s="271"/>
      <c r="G13183" s="273"/>
      <c r="H13183" s="29" t="str">
        <f t="shared" si="1722"/>
        <v/>
      </c>
      <c r="I13183" s="394" t="str">
        <f t="shared" si="1723"/>
        <v/>
      </c>
      <c r="J13183" s="273"/>
      <c r="K13183" s="393"/>
      <c r="L13183" s="273"/>
      <c r="M13183" s="394" t="str">
        <f t="shared" si="1724"/>
        <v/>
      </c>
      <c r="N13183" s="273"/>
    </row>
    <row r="13184" spans="1:14" ht="12.75" customHeight="1" x14ac:dyDescent="0.25">
      <c r="A13184" s="4"/>
      <c r="B13184" s="4"/>
      <c r="C13184" s="4"/>
      <c r="D13184" s="4"/>
      <c r="E13184" s="4"/>
      <c r="F13184" s="4"/>
      <c r="G13184" s="4"/>
      <c r="H13184" s="4"/>
      <c r="I13184" s="4"/>
      <c r="J13184" s="4"/>
      <c r="K13184" s="396" t="s">
        <v>444</v>
      </c>
      <c r="L13184" s="273"/>
      <c r="M13184" s="394">
        <f>SUM(M13169:N13183)</f>
        <v>245262</v>
      </c>
      <c r="N13184" s="273"/>
    </row>
    <row r="13185" spans="1:14" ht="12.75" customHeight="1" x14ac:dyDescent="0.25">
      <c r="A13185" s="4"/>
      <c r="B13185" s="4"/>
      <c r="C13185" s="4"/>
      <c r="D13185" s="4"/>
      <c r="E13185" s="4"/>
      <c r="F13185" s="4"/>
      <c r="G13185" s="4"/>
      <c r="H13185" s="4"/>
      <c r="I13185" s="4"/>
      <c r="J13185" s="4"/>
      <c r="K13185" s="4"/>
      <c r="L13185" s="4"/>
      <c r="M13185" s="4"/>
      <c r="N13185" s="4"/>
    </row>
    <row r="13186" spans="1:14" ht="12.75" customHeight="1" x14ac:dyDescent="0.2">
      <c r="A13186" s="398" t="s">
        <v>926</v>
      </c>
      <c r="B13186" s="271"/>
      <c r="C13186" s="271"/>
      <c r="D13186" s="271"/>
      <c r="E13186" s="271"/>
      <c r="F13186" s="271"/>
      <c r="G13186" s="271"/>
      <c r="H13186" s="271"/>
      <c r="I13186" s="271"/>
      <c r="J13186" s="271"/>
      <c r="K13186" s="271"/>
      <c r="L13186" s="271"/>
      <c r="M13186" s="271"/>
      <c r="N13186" s="273"/>
    </row>
    <row r="13187" spans="1:14" ht="12.75" customHeight="1" x14ac:dyDescent="0.2">
      <c r="A13187" s="396" t="s">
        <v>76</v>
      </c>
      <c r="B13187" s="271"/>
      <c r="C13187" s="271"/>
      <c r="D13187" s="271"/>
      <c r="E13187" s="271"/>
      <c r="F13187" s="271"/>
      <c r="G13187" s="273"/>
      <c r="H13187" s="88" t="s">
        <v>77</v>
      </c>
      <c r="I13187" s="399" t="s">
        <v>920</v>
      </c>
      <c r="J13187" s="273"/>
      <c r="K13187" s="399" t="s">
        <v>453</v>
      </c>
      <c r="L13187" s="273"/>
      <c r="M13187" s="399" t="s">
        <v>921</v>
      </c>
      <c r="N13187" s="273"/>
    </row>
    <row r="13188" spans="1:14" ht="12.75" customHeight="1" x14ac:dyDescent="0.2">
      <c r="A13188" s="400" t="s">
        <v>927</v>
      </c>
      <c r="B13188" s="271"/>
      <c r="C13188" s="271"/>
      <c r="D13188" s="271"/>
      <c r="E13188" s="271"/>
      <c r="F13188" s="271"/>
      <c r="G13188" s="273"/>
      <c r="H13188" s="29" t="str">
        <f>IF(A13188="","",VLOOKUP(A13188,AA_Equipos,7,FALSE))</f>
        <v>% M.O.</v>
      </c>
      <c r="I13188" s="394">
        <f>+M13210</f>
        <v>124550</v>
      </c>
      <c r="J13188" s="273"/>
      <c r="K13188" s="404">
        <v>0.05</v>
      </c>
      <c r="L13188" s="273"/>
      <c r="M13188" s="394">
        <f t="shared" ref="M13188:M13192" si="1725">IF(A13188="","",I13188*K13188)</f>
        <v>6227.5</v>
      </c>
      <c r="N13188" s="273"/>
    </row>
    <row r="13189" spans="1:14" ht="12.75" customHeight="1" x14ac:dyDescent="0.2">
      <c r="A13189" s="403"/>
      <c r="B13189" s="271"/>
      <c r="C13189" s="271"/>
      <c r="D13189" s="271"/>
      <c r="E13189" s="271"/>
      <c r="F13189" s="271"/>
      <c r="G13189" s="273"/>
      <c r="H13189" s="29" t="str">
        <f>IF(A13189="","",VLOOKUP(A13189,AA_Equipos,7,FALSE))</f>
        <v/>
      </c>
      <c r="I13189" s="394" t="str">
        <f>IF(A13189="","",VLOOKUP(A13189,AA_Equipos,8,FALSE))</f>
        <v/>
      </c>
      <c r="J13189" s="273"/>
      <c r="K13189" s="402"/>
      <c r="L13189" s="273"/>
      <c r="M13189" s="394" t="str">
        <f t="shared" si="1725"/>
        <v/>
      </c>
      <c r="N13189" s="273"/>
    </row>
    <row r="13190" spans="1:14" ht="12.75" customHeight="1" x14ac:dyDescent="0.2">
      <c r="A13190" s="400"/>
      <c r="B13190" s="271"/>
      <c r="C13190" s="271"/>
      <c r="D13190" s="271"/>
      <c r="E13190" s="271"/>
      <c r="F13190" s="271"/>
      <c r="G13190" s="273"/>
      <c r="H13190" s="29" t="str">
        <f>IF(A13190="","",VLOOKUP(A13190,AA_Equipos,7,FALSE))</f>
        <v/>
      </c>
      <c r="I13190" s="394" t="str">
        <f>IF(A13190="","",VLOOKUP(A13190,AA_Equipos,8,FALSE))</f>
        <v/>
      </c>
      <c r="J13190" s="273"/>
      <c r="K13190" s="401"/>
      <c r="L13190" s="273"/>
      <c r="M13190" s="394" t="str">
        <f t="shared" si="1725"/>
        <v/>
      </c>
      <c r="N13190" s="273"/>
    </row>
    <row r="13191" spans="1:14" ht="12.75" customHeight="1" x14ac:dyDescent="0.2">
      <c r="A13191" s="400"/>
      <c r="B13191" s="271"/>
      <c r="C13191" s="271"/>
      <c r="D13191" s="271"/>
      <c r="E13191" s="271"/>
      <c r="F13191" s="271"/>
      <c r="G13191" s="273"/>
      <c r="H13191" s="29" t="str">
        <f>IF(A13191="","",VLOOKUP(A13191,AA_Equipos,7,FALSE))</f>
        <v/>
      </c>
      <c r="I13191" s="394" t="str">
        <f>IF(A13191="","",VLOOKUP(A13191,AA_Equipos,8,FALSE))</f>
        <v/>
      </c>
      <c r="J13191" s="273"/>
      <c r="K13191" s="395"/>
      <c r="L13191" s="273"/>
      <c r="M13191" s="394" t="str">
        <f t="shared" si="1725"/>
        <v/>
      </c>
      <c r="N13191" s="273"/>
    </row>
    <row r="13192" spans="1:14" ht="12.75" customHeight="1" x14ac:dyDescent="0.2">
      <c r="A13192" s="400"/>
      <c r="B13192" s="271"/>
      <c r="C13192" s="271"/>
      <c r="D13192" s="271"/>
      <c r="E13192" s="271"/>
      <c r="F13192" s="271"/>
      <c r="G13192" s="273"/>
      <c r="H13192" s="29" t="str">
        <f>IF(A13192="","",VLOOKUP(A13192,AA_Equipos,7,FALSE))</f>
        <v/>
      </c>
      <c r="I13192" s="394" t="str">
        <f>IF(A13192="","",VLOOKUP(A13192,AA_Equipos,8,FALSE))</f>
        <v/>
      </c>
      <c r="J13192" s="273"/>
      <c r="K13192" s="395"/>
      <c r="L13192" s="273"/>
      <c r="M13192" s="394" t="str">
        <f t="shared" si="1725"/>
        <v/>
      </c>
      <c r="N13192" s="273"/>
    </row>
    <row r="13193" spans="1:14" ht="12.75" customHeight="1" x14ac:dyDescent="0.25">
      <c r="A13193" s="4"/>
      <c r="B13193" s="4"/>
      <c r="C13193" s="4"/>
      <c r="D13193" s="4"/>
      <c r="E13193" s="4"/>
      <c r="F13193" s="4"/>
      <c r="G13193" s="4"/>
      <c r="H13193" s="4"/>
      <c r="I13193" s="4"/>
      <c r="J13193" s="4"/>
      <c r="K13193" s="396" t="s">
        <v>444</v>
      </c>
      <c r="L13193" s="273"/>
      <c r="M13193" s="394">
        <f>SUM(M13188:N13192)</f>
        <v>6227.5</v>
      </c>
      <c r="N13193" s="273"/>
    </row>
    <row r="13194" spans="1:14" ht="12.75" customHeight="1" x14ac:dyDescent="0.25">
      <c r="A13194" s="4"/>
      <c r="B13194" s="4"/>
      <c r="C13194" s="4"/>
      <c r="D13194" s="4"/>
      <c r="E13194" s="4"/>
      <c r="F13194" s="4"/>
      <c r="G13194" s="4"/>
      <c r="H13194" s="4"/>
      <c r="I13194" s="4"/>
      <c r="J13194" s="4"/>
      <c r="K13194" s="4"/>
      <c r="L13194" s="4"/>
      <c r="M13194" s="4"/>
      <c r="N13194" s="4"/>
    </row>
    <row r="13195" spans="1:14" ht="12.75" customHeight="1" x14ac:dyDescent="0.2">
      <c r="A13195" s="398" t="s">
        <v>929</v>
      </c>
      <c r="B13195" s="271"/>
      <c r="C13195" s="271"/>
      <c r="D13195" s="271"/>
      <c r="E13195" s="271"/>
      <c r="F13195" s="271"/>
      <c r="G13195" s="271"/>
      <c r="H13195" s="271"/>
      <c r="I13195" s="271"/>
      <c r="J13195" s="271"/>
      <c r="K13195" s="271"/>
      <c r="L13195" s="271"/>
      <c r="M13195" s="271"/>
      <c r="N13195" s="273"/>
    </row>
    <row r="13196" spans="1:14" ht="12.75" customHeight="1" x14ac:dyDescent="0.2">
      <c r="A13196" s="396" t="s">
        <v>76</v>
      </c>
      <c r="B13196" s="271"/>
      <c r="C13196" s="271"/>
      <c r="D13196" s="271"/>
      <c r="E13196" s="271"/>
      <c r="F13196" s="271"/>
      <c r="G13196" s="273"/>
      <c r="H13196" s="88" t="s">
        <v>77</v>
      </c>
      <c r="I13196" s="399" t="s">
        <v>920</v>
      </c>
      <c r="J13196" s="273"/>
      <c r="K13196" s="399" t="s">
        <v>453</v>
      </c>
      <c r="L13196" s="273"/>
      <c r="M13196" s="399" t="s">
        <v>921</v>
      </c>
      <c r="N13196" s="273"/>
    </row>
    <row r="13197" spans="1:14" ht="12.75" customHeight="1" x14ac:dyDescent="0.2">
      <c r="A13197" s="400" t="s">
        <v>1559</v>
      </c>
      <c r="B13197" s="271"/>
      <c r="C13197" s="271"/>
      <c r="D13197" s="271"/>
      <c r="E13197" s="271"/>
      <c r="F13197" s="271"/>
      <c r="G13197" s="273"/>
      <c r="H13197" s="29" t="str">
        <f>IF(A13197="","",VLOOKUP(A13197,AA_Equipos,7,FALSE))</f>
        <v>Día</v>
      </c>
      <c r="I13197" s="394">
        <f>IF(A13197="","",VLOOKUP(A13197,AA_Equipos,8,FALSE))</f>
        <v>74400</v>
      </c>
      <c r="J13197" s="273"/>
      <c r="K13197" s="395">
        <v>0.5</v>
      </c>
      <c r="L13197" s="273"/>
      <c r="M13197" s="394">
        <f t="shared" ref="M13197:M13200" si="1726">IF(A13197="","",I13197*K13197)</f>
        <v>37200</v>
      </c>
      <c r="N13197" s="273"/>
    </row>
    <row r="13198" spans="1:14" ht="12.75" customHeight="1" x14ac:dyDescent="0.2">
      <c r="A13198" s="400" t="s">
        <v>930</v>
      </c>
      <c r="B13198" s="271"/>
      <c r="C13198" s="271"/>
      <c r="D13198" s="271"/>
      <c r="E13198" s="271"/>
      <c r="F13198" s="271"/>
      <c r="G13198" s="273"/>
      <c r="H13198" s="29" t="s">
        <v>24</v>
      </c>
      <c r="I13198" s="394">
        <f>+M13184+M13193</f>
        <v>251489.5</v>
      </c>
      <c r="J13198" s="273"/>
      <c r="K13198" s="405">
        <v>0.05</v>
      </c>
      <c r="L13198" s="406"/>
      <c r="M13198" s="394">
        <f t="shared" si="1726"/>
        <v>12574.475</v>
      </c>
      <c r="N13198" s="273"/>
    </row>
    <row r="13199" spans="1:14" ht="12.75" customHeight="1" x14ac:dyDescent="0.2">
      <c r="A13199" s="400"/>
      <c r="B13199" s="271"/>
      <c r="C13199" s="271"/>
      <c r="D13199" s="271"/>
      <c r="E13199" s="271"/>
      <c r="F13199" s="271"/>
      <c r="G13199" s="273"/>
      <c r="H13199" s="29"/>
      <c r="I13199" s="394"/>
      <c r="J13199" s="273"/>
      <c r="K13199" s="395"/>
      <c r="L13199" s="273"/>
      <c r="M13199" s="394" t="str">
        <f t="shared" si="1726"/>
        <v/>
      </c>
      <c r="N13199" s="273"/>
    </row>
    <row r="13200" spans="1:14" ht="12.75" customHeight="1" x14ac:dyDescent="0.2">
      <c r="A13200" s="400"/>
      <c r="B13200" s="271"/>
      <c r="C13200" s="271"/>
      <c r="D13200" s="271"/>
      <c r="E13200" s="271"/>
      <c r="F13200" s="271"/>
      <c r="G13200" s="273"/>
      <c r="H13200" s="29"/>
      <c r="I13200" s="394"/>
      <c r="J13200" s="273"/>
      <c r="K13200" s="395"/>
      <c r="L13200" s="273"/>
      <c r="M13200" s="394" t="str">
        <f t="shared" si="1726"/>
        <v/>
      </c>
      <c r="N13200" s="273"/>
    </row>
    <row r="13201" spans="1:14" ht="12.75" customHeight="1" x14ac:dyDescent="0.25">
      <c r="A13201" s="4"/>
      <c r="B13201" s="4"/>
      <c r="C13201" s="4"/>
      <c r="D13201" s="4"/>
      <c r="E13201" s="4"/>
      <c r="F13201" s="4"/>
      <c r="G13201" s="4"/>
      <c r="H13201" s="4"/>
      <c r="I13201" s="4"/>
      <c r="J13201" s="4"/>
      <c r="K13201" s="396" t="s">
        <v>444</v>
      </c>
      <c r="L13201" s="273"/>
      <c r="M13201" s="394">
        <f>SUM(M13197:N13200)</f>
        <v>49774.474999999999</v>
      </c>
      <c r="N13201" s="273"/>
    </row>
    <row r="13202" spans="1:14" ht="12.75" customHeight="1" x14ac:dyDescent="0.25">
      <c r="A13202" s="4"/>
      <c r="B13202" s="4"/>
      <c r="C13202" s="4"/>
      <c r="D13202" s="4"/>
      <c r="E13202" s="4"/>
      <c r="F13202" s="4"/>
      <c r="G13202" s="4"/>
      <c r="H13202" s="4"/>
      <c r="I13202" s="4"/>
      <c r="J13202" s="4"/>
      <c r="K13202" s="4"/>
      <c r="L13202" s="4"/>
      <c r="M13202" s="4"/>
      <c r="N13202" s="4"/>
    </row>
    <row r="13203" spans="1:14" ht="12.75" customHeight="1" x14ac:dyDescent="0.2">
      <c r="A13203" s="398" t="s">
        <v>931</v>
      </c>
      <c r="B13203" s="271"/>
      <c r="C13203" s="271"/>
      <c r="D13203" s="271"/>
      <c r="E13203" s="271"/>
      <c r="F13203" s="271"/>
      <c r="G13203" s="271"/>
      <c r="H13203" s="271"/>
      <c r="I13203" s="271"/>
      <c r="J13203" s="271"/>
      <c r="K13203" s="271"/>
      <c r="L13203" s="271"/>
      <c r="M13203" s="271"/>
      <c r="N13203" s="273"/>
    </row>
    <row r="13204" spans="1:14" ht="12.75" customHeight="1" x14ac:dyDescent="0.2">
      <c r="A13204" s="396" t="s">
        <v>76</v>
      </c>
      <c r="B13204" s="271"/>
      <c r="C13204" s="271"/>
      <c r="D13204" s="271"/>
      <c r="E13204" s="271"/>
      <c r="F13204" s="271"/>
      <c r="G13204" s="273"/>
      <c r="H13204" s="88" t="s">
        <v>77</v>
      </c>
      <c r="I13204" s="399" t="s">
        <v>920</v>
      </c>
      <c r="J13204" s="273"/>
      <c r="K13204" s="90" t="s">
        <v>514</v>
      </c>
      <c r="L13204" s="91" t="s">
        <v>932</v>
      </c>
      <c r="M13204" s="399" t="s">
        <v>921</v>
      </c>
      <c r="N13204" s="273"/>
    </row>
    <row r="13205" spans="1:14" ht="12.75" customHeight="1" x14ac:dyDescent="0.25">
      <c r="A13205" s="393" t="s">
        <v>1301</v>
      </c>
      <c r="B13205" s="271"/>
      <c r="C13205" s="271"/>
      <c r="D13205" s="271"/>
      <c r="E13205" s="271"/>
      <c r="F13205" s="271"/>
      <c r="G13205" s="273"/>
      <c r="H13205" s="29" t="str">
        <f>IF(A13205="","",VLOOKUP(A13205,AA_Cuadrillas,4,FALSE))</f>
        <v>Cuadrilla</v>
      </c>
      <c r="I13205" s="394">
        <f>IF(A13205="","",VLOOKUP(A13205,AA_Cuadrillas,5,FALSE))</f>
        <v>132500</v>
      </c>
      <c r="J13205" s="273"/>
      <c r="K13205" s="9">
        <f>IF(A13205="","",F.P!$I$2)</f>
        <v>1.88</v>
      </c>
      <c r="L13205" s="97">
        <v>0.5</v>
      </c>
      <c r="M13205" s="394">
        <f t="shared" ref="M13205:M13209" si="1727">IF(A13205="","",I13205*K13205*L13205)</f>
        <v>124550</v>
      </c>
      <c r="N13205" s="273"/>
    </row>
    <row r="13206" spans="1:14" ht="12.75" customHeight="1" x14ac:dyDescent="0.25">
      <c r="A13206" s="393"/>
      <c r="B13206" s="271"/>
      <c r="C13206" s="271"/>
      <c r="D13206" s="271"/>
      <c r="E13206" s="271"/>
      <c r="F13206" s="271"/>
      <c r="G13206" s="273"/>
      <c r="H13206" s="29" t="str">
        <f>IF(A13206="","",VLOOKUP(A13206,AA_Cuadrillas,4,FALSE))</f>
        <v/>
      </c>
      <c r="I13206" s="394" t="str">
        <f>IF(A13206="","",VLOOKUP(A13206,AA_Cuadrillas,5,FALSE))</f>
        <v/>
      </c>
      <c r="J13206" s="273"/>
      <c r="K13206" s="9" t="str">
        <f>IF(A13206="","",F.P!$I$2)</f>
        <v/>
      </c>
      <c r="L13206" s="9"/>
      <c r="M13206" s="394" t="str">
        <f t="shared" si="1727"/>
        <v/>
      </c>
      <c r="N13206" s="273"/>
    </row>
    <row r="13207" spans="1:14" ht="12.75" customHeight="1" x14ac:dyDescent="0.25">
      <c r="A13207" s="393"/>
      <c r="B13207" s="271"/>
      <c r="C13207" s="271"/>
      <c r="D13207" s="271"/>
      <c r="E13207" s="271"/>
      <c r="F13207" s="271"/>
      <c r="G13207" s="273"/>
      <c r="H13207" s="29" t="str">
        <f>IF(A13207="","",VLOOKUP(A13207,AA_Cuadrillas,4,FALSE))</f>
        <v/>
      </c>
      <c r="I13207" s="394" t="str">
        <f>IF(A13207="","",VLOOKUP(A13207,AA_Cuadrillas,5,FALSE))</f>
        <v/>
      </c>
      <c r="J13207" s="273"/>
      <c r="K13207" s="9" t="str">
        <f>IF(A13207="","",F.P!$I$2)</f>
        <v/>
      </c>
      <c r="L13207" s="37"/>
      <c r="M13207" s="394" t="str">
        <f t="shared" si="1727"/>
        <v/>
      </c>
      <c r="N13207" s="273"/>
    </row>
    <row r="13208" spans="1:14" ht="12.75" customHeight="1" x14ac:dyDescent="0.25">
      <c r="A13208" s="393"/>
      <c r="B13208" s="271"/>
      <c r="C13208" s="271"/>
      <c r="D13208" s="271"/>
      <c r="E13208" s="271"/>
      <c r="F13208" s="271"/>
      <c r="G13208" s="273"/>
      <c r="H13208" s="29" t="str">
        <f>IF(A13208="","",VLOOKUP(A13208,AA_Cuadrillas,4,FALSE))</f>
        <v/>
      </c>
      <c r="I13208" s="394" t="str">
        <f>IF(A13208="","",VLOOKUP(A13208,AA_Cuadrillas,5,FALSE))</f>
        <v/>
      </c>
      <c r="J13208" s="273"/>
      <c r="K13208" s="9" t="str">
        <f>IF(A13208="","",F.P!$I$2)</f>
        <v/>
      </c>
      <c r="L13208" s="97"/>
      <c r="M13208" s="394" t="str">
        <f t="shared" si="1727"/>
        <v/>
      </c>
      <c r="N13208" s="273"/>
    </row>
    <row r="13209" spans="1:14" ht="12.75" customHeight="1" x14ac:dyDescent="0.25">
      <c r="A13209" s="393"/>
      <c r="B13209" s="271"/>
      <c r="C13209" s="271"/>
      <c r="D13209" s="271"/>
      <c r="E13209" s="271"/>
      <c r="F13209" s="271"/>
      <c r="G13209" s="273"/>
      <c r="H13209" s="29" t="str">
        <f>IF(A13209="","",VLOOKUP(A13209,AA_Cuadrillas,4,FALSE))</f>
        <v/>
      </c>
      <c r="I13209" s="394" t="str">
        <f>IF(A13209="","",VLOOKUP(A13209,AA_Cuadrillas,5,FALSE))</f>
        <v/>
      </c>
      <c r="J13209" s="273"/>
      <c r="K13209" s="9" t="str">
        <f>IF(A13209="","",F.P!$I$2)</f>
        <v/>
      </c>
      <c r="L13209" s="37"/>
      <c r="M13209" s="394" t="str">
        <f t="shared" si="1727"/>
        <v/>
      </c>
      <c r="N13209" s="273"/>
    </row>
    <row r="13210" spans="1:14" ht="12.75" customHeight="1" x14ac:dyDescent="0.25">
      <c r="A13210" s="4"/>
      <c r="B13210" s="4"/>
      <c r="C13210" s="4"/>
      <c r="D13210" s="4"/>
      <c r="E13210" s="4"/>
      <c r="F13210" s="4"/>
      <c r="G13210" s="4"/>
      <c r="H13210" s="4"/>
      <c r="I13210" s="4"/>
      <c r="J13210" s="4"/>
      <c r="K13210" s="396" t="s">
        <v>444</v>
      </c>
      <c r="L13210" s="273"/>
      <c r="M13210" s="394">
        <f>SUM(M13205:N13209)</f>
        <v>124550</v>
      </c>
      <c r="N13210" s="273"/>
    </row>
    <row r="13211" spans="1:14" ht="12.75" customHeight="1" x14ac:dyDescent="0.2"/>
    <row r="13212" spans="1:14" ht="12.75" customHeight="1" x14ac:dyDescent="0.2">
      <c r="A13212" s="397" t="s">
        <v>426</v>
      </c>
      <c r="B13212" s="275"/>
      <c r="C13212" s="275"/>
      <c r="D13212" s="275"/>
      <c r="E13212" s="275"/>
      <c r="F13212" s="275"/>
      <c r="G13212" s="275"/>
      <c r="H13212" s="275"/>
      <c r="I13212" s="275"/>
      <c r="J13212" s="275"/>
      <c r="K13212" s="275"/>
      <c r="L13212" s="275"/>
      <c r="M13212" s="275"/>
      <c r="N13212" s="276"/>
    </row>
    <row r="13213" spans="1:14" ht="12.75" customHeight="1" x14ac:dyDescent="0.2">
      <c r="A13213" s="277"/>
      <c r="B13213" s="278"/>
      <c r="C13213" s="278"/>
      <c r="D13213" s="278"/>
      <c r="E13213" s="278"/>
      <c r="F13213" s="278"/>
      <c r="G13213" s="278"/>
      <c r="H13213" s="278"/>
      <c r="I13213" s="278"/>
      <c r="J13213" s="278"/>
      <c r="K13213" s="278"/>
      <c r="L13213" s="278"/>
      <c r="M13213" s="278"/>
      <c r="N13213" s="279"/>
    </row>
    <row r="13214" spans="1:14" ht="12.75" customHeight="1" x14ac:dyDescent="0.2">
      <c r="A13214" s="75"/>
      <c r="B13214" s="75"/>
      <c r="C13214" s="75"/>
      <c r="D13214" s="75"/>
      <c r="E13214" s="75"/>
      <c r="F13214" s="75"/>
      <c r="G13214" s="75"/>
      <c r="H13214" s="75"/>
      <c r="I13214" s="75"/>
      <c r="J13214" s="75"/>
      <c r="K13214" s="75"/>
      <c r="L13214" s="75"/>
      <c r="M13214" s="75"/>
      <c r="N13214" s="75"/>
    </row>
    <row r="13215" spans="1:14" ht="12.75" customHeight="1" x14ac:dyDescent="0.3">
      <c r="A13215" s="79" t="s">
        <v>902</v>
      </c>
      <c r="B13215" s="80" t="str">
        <f>A13212</f>
        <v>TABLERO DE CONTROL DE MOTORES CON ARRANCADOR SUAVE SIEMENS 3RW4027-1BB14 PARA MOTOR 4HP 220V - 1 UN, PLC LOGO! 8 SIEMENS CON MÓDULO DE EXPANSIÓN, RELÉS DE INTERPOSICIÓN, PULSADORES, LUCES DE INDICACIÓN, GABINETE RESGUARDO DE EQUIPOS 1200X700X300</v>
      </c>
      <c r="C13215" s="81" t="s">
        <v>916</v>
      </c>
      <c r="D13215" s="82" t="s">
        <v>999</v>
      </c>
      <c r="E13215" s="83" t="s">
        <v>445</v>
      </c>
      <c r="F13215" s="86">
        <f>H13215+J13215+L13215+N13215</f>
        <v>9648106.5</v>
      </c>
      <c r="G13215" s="83" t="s">
        <v>607</v>
      </c>
      <c r="H13215" s="86">
        <f>M13234</f>
        <v>9181374</v>
      </c>
      <c r="I13215" s="83" t="s">
        <v>918</v>
      </c>
      <c r="J13215" s="86">
        <f>M13243</f>
        <v>18682.5</v>
      </c>
      <c r="K13215" s="83" t="s">
        <v>609</v>
      </c>
      <c r="L13215" s="86">
        <f>M13251</f>
        <v>74400</v>
      </c>
      <c r="M13215" s="83" t="s">
        <v>610</v>
      </c>
      <c r="N13215" s="86">
        <f>M13260</f>
        <v>373650</v>
      </c>
    </row>
    <row r="13216" spans="1:14" ht="12.75" customHeight="1" x14ac:dyDescent="0.25">
      <c r="A13216" s="87"/>
      <c r="B13216" s="87"/>
      <c r="C13216" s="87"/>
      <c r="D13216" s="87"/>
      <c r="E13216" s="87"/>
      <c r="F13216" s="87"/>
      <c r="G13216" s="87"/>
      <c r="H13216" s="12"/>
      <c r="I13216" s="12"/>
      <c r="J13216" s="87"/>
      <c r="K13216" s="215" t="s">
        <v>3217</v>
      </c>
      <c r="L13216" s="215">
        <f>+F13215*presup!$O$5</f>
        <v>12542538.450000001</v>
      </c>
      <c r="M13216" s="87"/>
      <c r="N13216" s="87"/>
    </row>
    <row r="13217" spans="1:14" ht="12.75" customHeight="1" x14ac:dyDescent="0.2">
      <c r="A13217" s="398" t="s">
        <v>919</v>
      </c>
      <c r="B13217" s="271"/>
      <c r="C13217" s="271"/>
      <c r="D13217" s="271"/>
      <c r="E13217" s="271"/>
      <c r="F13217" s="271"/>
      <c r="G13217" s="271"/>
      <c r="H13217" s="271"/>
      <c r="I13217" s="271"/>
      <c r="J13217" s="271"/>
      <c r="K13217" s="271"/>
      <c r="L13217" s="271"/>
      <c r="M13217" s="271"/>
      <c r="N13217" s="273"/>
    </row>
    <row r="13218" spans="1:14" ht="12.75" customHeight="1" x14ac:dyDescent="0.2">
      <c r="A13218" s="396" t="s">
        <v>76</v>
      </c>
      <c r="B13218" s="271"/>
      <c r="C13218" s="271"/>
      <c r="D13218" s="271"/>
      <c r="E13218" s="271"/>
      <c r="F13218" s="271"/>
      <c r="G13218" s="273"/>
      <c r="H13218" s="88" t="s">
        <v>77</v>
      </c>
      <c r="I13218" s="399" t="s">
        <v>920</v>
      </c>
      <c r="J13218" s="273"/>
      <c r="K13218" s="399" t="s">
        <v>453</v>
      </c>
      <c r="L13218" s="273"/>
      <c r="M13218" s="399" t="s">
        <v>921</v>
      </c>
      <c r="N13218" s="273"/>
    </row>
    <row r="13219" spans="1:14" ht="12.75" customHeight="1" x14ac:dyDescent="0.25">
      <c r="A13219" s="309" t="s">
        <v>1714</v>
      </c>
      <c r="B13219" s="271"/>
      <c r="C13219" s="271"/>
      <c r="D13219" s="271"/>
      <c r="E13219" s="271"/>
      <c r="F13219" s="271"/>
      <c r="G13219" s="273"/>
      <c r="H13219" s="29" t="str">
        <f t="shared" ref="H13219:H13233" si="1728">IF(A13219="","",VLOOKUP(A13219,AA_Materiales,7,FALSE))</f>
        <v>Unidad</v>
      </c>
      <c r="I13219" s="394">
        <f t="shared" ref="I13219:I13233" si="1729">IF(A13219="","",VLOOKUP(A13219,AA_Materiales,8,FALSE))</f>
        <v>5076960</v>
      </c>
      <c r="J13219" s="273"/>
      <c r="K13219" s="393">
        <v>1</v>
      </c>
      <c r="L13219" s="273"/>
      <c r="M13219" s="394">
        <f t="shared" ref="M13219:M13233" si="1730">IF(A13219="","",I13219*K13219)</f>
        <v>5076960</v>
      </c>
      <c r="N13219" s="273"/>
    </row>
    <row r="13220" spans="1:14" ht="12.75" customHeight="1" x14ac:dyDescent="0.25">
      <c r="A13220" s="309" t="s">
        <v>1657</v>
      </c>
      <c r="B13220" s="271"/>
      <c r="C13220" s="271"/>
      <c r="D13220" s="271"/>
      <c r="E13220" s="271"/>
      <c r="F13220" s="271"/>
      <c r="G13220" s="273"/>
      <c r="H13220" s="29" t="str">
        <f t="shared" si="1728"/>
        <v>Unidad</v>
      </c>
      <c r="I13220" s="394">
        <f t="shared" si="1729"/>
        <v>1201200</v>
      </c>
      <c r="J13220" s="273"/>
      <c r="K13220" s="393">
        <v>1</v>
      </c>
      <c r="L13220" s="273"/>
      <c r="M13220" s="394">
        <f t="shared" si="1730"/>
        <v>1201200</v>
      </c>
      <c r="N13220" s="273"/>
    </row>
    <row r="13221" spans="1:14" ht="12.75" customHeight="1" x14ac:dyDescent="0.25">
      <c r="A13221" s="309" t="s">
        <v>1715</v>
      </c>
      <c r="B13221" s="271"/>
      <c r="C13221" s="271"/>
      <c r="D13221" s="271"/>
      <c r="E13221" s="271"/>
      <c r="F13221" s="271"/>
      <c r="G13221" s="273"/>
      <c r="H13221" s="29" t="str">
        <f t="shared" si="1728"/>
        <v>Unidad</v>
      </c>
      <c r="I13221" s="394">
        <f t="shared" si="1729"/>
        <v>1719304</v>
      </c>
      <c r="J13221" s="273"/>
      <c r="K13221" s="393">
        <v>1</v>
      </c>
      <c r="L13221" s="273"/>
      <c r="M13221" s="394">
        <f t="shared" si="1730"/>
        <v>1719304</v>
      </c>
      <c r="N13221" s="273"/>
    </row>
    <row r="13222" spans="1:14" ht="12.75" customHeight="1" x14ac:dyDescent="0.25">
      <c r="A13222" s="309" t="s">
        <v>1652</v>
      </c>
      <c r="B13222" s="271"/>
      <c r="C13222" s="271"/>
      <c r="D13222" s="271"/>
      <c r="E13222" s="271"/>
      <c r="F13222" s="271"/>
      <c r="G13222" s="273"/>
      <c r="H13222" s="29" t="str">
        <f t="shared" si="1728"/>
        <v>Unidad</v>
      </c>
      <c r="I13222" s="394">
        <f t="shared" si="1729"/>
        <v>72965</v>
      </c>
      <c r="J13222" s="273"/>
      <c r="K13222" s="393">
        <v>4</v>
      </c>
      <c r="L13222" s="273"/>
      <c r="M13222" s="394">
        <f t="shared" si="1730"/>
        <v>291860</v>
      </c>
      <c r="N13222" s="273"/>
    </row>
    <row r="13223" spans="1:14" ht="12.75" customHeight="1" x14ac:dyDescent="0.25">
      <c r="A13223" s="309" t="s">
        <v>1716</v>
      </c>
      <c r="B13223" s="271"/>
      <c r="C13223" s="271"/>
      <c r="D13223" s="271"/>
      <c r="E13223" s="271"/>
      <c r="F13223" s="271"/>
      <c r="G13223" s="273"/>
      <c r="H13223" s="29" t="str">
        <f t="shared" si="1728"/>
        <v>Unidad</v>
      </c>
      <c r="I13223" s="394">
        <f t="shared" si="1729"/>
        <v>89106</v>
      </c>
      <c r="J13223" s="273"/>
      <c r="K13223" s="393">
        <v>4</v>
      </c>
      <c r="L13223" s="273"/>
      <c r="M13223" s="394">
        <f t="shared" si="1730"/>
        <v>356424</v>
      </c>
      <c r="N13223" s="273"/>
    </row>
    <row r="13224" spans="1:14" ht="12.75" customHeight="1" x14ac:dyDescent="0.25">
      <c r="A13224" s="309" t="s">
        <v>1654</v>
      </c>
      <c r="B13224" s="271"/>
      <c r="C13224" s="271"/>
      <c r="D13224" s="271"/>
      <c r="E13224" s="271"/>
      <c r="F13224" s="271"/>
      <c r="G13224" s="273"/>
      <c r="H13224" s="29" t="str">
        <f t="shared" si="1728"/>
        <v>Unidad</v>
      </c>
      <c r="I13224" s="394">
        <f t="shared" si="1729"/>
        <v>49576</v>
      </c>
      <c r="J13224" s="273"/>
      <c r="K13224" s="393">
        <v>2</v>
      </c>
      <c r="L13224" s="273"/>
      <c r="M13224" s="394">
        <f t="shared" si="1730"/>
        <v>99152</v>
      </c>
      <c r="N13224" s="273"/>
    </row>
    <row r="13225" spans="1:14" ht="12.75" customHeight="1" x14ac:dyDescent="0.25">
      <c r="A13225" s="309" t="s">
        <v>1655</v>
      </c>
      <c r="B13225" s="271"/>
      <c r="C13225" s="271"/>
      <c r="D13225" s="271"/>
      <c r="E13225" s="271"/>
      <c r="F13225" s="271"/>
      <c r="G13225" s="273"/>
      <c r="H13225" s="29" t="str">
        <f t="shared" si="1728"/>
        <v>ml</v>
      </c>
      <c r="I13225" s="394">
        <f t="shared" si="1729"/>
        <v>4118</v>
      </c>
      <c r="J13225" s="273"/>
      <c r="K13225" s="393">
        <v>10</v>
      </c>
      <c r="L13225" s="273"/>
      <c r="M13225" s="394">
        <f t="shared" si="1730"/>
        <v>41180</v>
      </c>
      <c r="N13225" s="273"/>
    </row>
    <row r="13226" spans="1:14" ht="12.75" customHeight="1" x14ac:dyDescent="0.25">
      <c r="A13226" s="309" t="s">
        <v>1656</v>
      </c>
      <c r="B13226" s="271"/>
      <c r="C13226" s="271"/>
      <c r="D13226" s="271"/>
      <c r="E13226" s="271"/>
      <c r="F13226" s="271"/>
      <c r="G13226" s="273"/>
      <c r="H13226" s="29" t="str">
        <f t="shared" si="1728"/>
        <v>Unidad</v>
      </c>
      <c r="I13226" s="394">
        <f t="shared" si="1729"/>
        <v>395294</v>
      </c>
      <c r="J13226" s="273"/>
      <c r="K13226" s="393">
        <v>1</v>
      </c>
      <c r="L13226" s="273"/>
      <c r="M13226" s="394">
        <f t="shared" si="1730"/>
        <v>395294</v>
      </c>
      <c r="N13226" s="273"/>
    </row>
    <row r="13227" spans="1:14" ht="12.75" customHeight="1" x14ac:dyDescent="0.25">
      <c r="A13227" s="309"/>
      <c r="B13227" s="271"/>
      <c r="C13227" s="271"/>
      <c r="D13227" s="271"/>
      <c r="E13227" s="271"/>
      <c r="F13227" s="271"/>
      <c r="G13227" s="273"/>
      <c r="H13227" s="29" t="str">
        <f t="shared" si="1728"/>
        <v/>
      </c>
      <c r="I13227" s="394" t="str">
        <f t="shared" si="1729"/>
        <v/>
      </c>
      <c r="J13227" s="273"/>
      <c r="K13227" s="393"/>
      <c r="L13227" s="273"/>
      <c r="M13227" s="394" t="str">
        <f t="shared" si="1730"/>
        <v/>
      </c>
      <c r="N13227" s="273"/>
    </row>
    <row r="13228" spans="1:14" ht="12.75" customHeight="1" x14ac:dyDescent="0.25">
      <c r="A13228" s="309"/>
      <c r="B13228" s="271"/>
      <c r="C13228" s="271"/>
      <c r="D13228" s="271"/>
      <c r="E13228" s="271"/>
      <c r="F13228" s="271"/>
      <c r="G13228" s="273"/>
      <c r="H13228" s="29" t="str">
        <f t="shared" si="1728"/>
        <v/>
      </c>
      <c r="I13228" s="394" t="str">
        <f t="shared" si="1729"/>
        <v/>
      </c>
      <c r="J13228" s="273"/>
      <c r="K13228" s="393"/>
      <c r="L13228" s="273"/>
      <c r="M13228" s="394" t="str">
        <f t="shared" si="1730"/>
        <v/>
      </c>
      <c r="N13228" s="273"/>
    </row>
    <row r="13229" spans="1:14" ht="12.75" customHeight="1" x14ac:dyDescent="0.25">
      <c r="A13229" s="309"/>
      <c r="B13229" s="271"/>
      <c r="C13229" s="271"/>
      <c r="D13229" s="271"/>
      <c r="E13229" s="271"/>
      <c r="F13229" s="271"/>
      <c r="G13229" s="273"/>
      <c r="H13229" s="29" t="str">
        <f t="shared" si="1728"/>
        <v/>
      </c>
      <c r="I13229" s="394" t="str">
        <f t="shared" si="1729"/>
        <v/>
      </c>
      <c r="J13229" s="273"/>
      <c r="K13229" s="393"/>
      <c r="L13229" s="273"/>
      <c r="M13229" s="394" t="str">
        <f t="shared" si="1730"/>
        <v/>
      </c>
      <c r="N13229" s="273"/>
    </row>
    <row r="13230" spans="1:14" ht="12.75" customHeight="1" x14ac:dyDescent="0.25">
      <c r="A13230" s="309"/>
      <c r="B13230" s="271"/>
      <c r="C13230" s="271"/>
      <c r="D13230" s="271"/>
      <c r="E13230" s="271"/>
      <c r="F13230" s="271"/>
      <c r="G13230" s="273"/>
      <c r="H13230" s="29" t="str">
        <f t="shared" si="1728"/>
        <v/>
      </c>
      <c r="I13230" s="394" t="str">
        <f t="shared" si="1729"/>
        <v/>
      </c>
      <c r="J13230" s="273"/>
      <c r="K13230" s="393"/>
      <c r="L13230" s="273"/>
      <c r="M13230" s="394" t="str">
        <f t="shared" si="1730"/>
        <v/>
      </c>
      <c r="N13230" s="273"/>
    </row>
    <row r="13231" spans="1:14" ht="12.75" customHeight="1" x14ac:dyDescent="0.25">
      <c r="A13231" s="309"/>
      <c r="B13231" s="271"/>
      <c r="C13231" s="271"/>
      <c r="D13231" s="271"/>
      <c r="E13231" s="271"/>
      <c r="F13231" s="271"/>
      <c r="G13231" s="273"/>
      <c r="H13231" s="29" t="str">
        <f t="shared" si="1728"/>
        <v/>
      </c>
      <c r="I13231" s="394" t="str">
        <f t="shared" si="1729"/>
        <v/>
      </c>
      <c r="J13231" s="273"/>
      <c r="K13231" s="393"/>
      <c r="L13231" s="273"/>
      <c r="M13231" s="394" t="str">
        <f t="shared" si="1730"/>
        <v/>
      </c>
      <c r="N13231" s="273"/>
    </row>
    <row r="13232" spans="1:14" ht="12.75" customHeight="1" x14ac:dyDescent="0.25">
      <c r="A13232" s="309"/>
      <c r="B13232" s="271"/>
      <c r="C13232" s="271"/>
      <c r="D13232" s="271"/>
      <c r="E13232" s="271"/>
      <c r="F13232" s="271"/>
      <c r="G13232" s="273"/>
      <c r="H13232" s="29" t="str">
        <f t="shared" si="1728"/>
        <v/>
      </c>
      <c r="I13232" s="394" t="str">
        <f t="shared" si="1729"/>
        <v/>
      </c>
      <c r="J13232" s="273"/>
      <c r="K13232" s="393"/>
      <c r="L13232" s="273"/>
      <c r="M13232" s="394" t="str">
        <f t="shared" si="1730"/>
        <v/>
      </c>
      <c r="N13232" s="273"/>
    </row>
    <row r="13233" spans="1:14" ht="12.75" customHeight="1" x14ac:dyDescent="0.25">
      <c r="A13233" s="309"/>
      <c r="B13233" s="271"/>
      <c r="C13233" s="271"/>
      <c r="D13233" s="271"/>
      <c r="E13233" s="271"/>
      <c r="F13233" s="271"/>
      <c r="G13233" s="273"/>
      <c r="H13233" s="29" t="str">
        <f t="shared" si="1728"/>
        <v/>
      </c>
      <c r="I13233" s="394" t="str">
        <f t="shared" si="1729"/>
        <v/>
      </c>
      <c r="J13233" s="273"/>
      <c r="K13233" s="393"/>
      <c r="L13233" s="273"/>
      <c r="M13233" s="394" t="str">
        <f t="shared" si="1730"/>
        <v/>
      </c>
      <c r="N13233" s="273"/>
    </row>
    <row r="13234" spans="1:14" ht="12.75" customHeight="1" x14ac:dyDescent="0.25">
      <c r="A13234" s="4"/>
      <c r="B13234" s="4"/>
      <c r="C13234" s="4"/>
      <c r="D13234" s="4"/>
      <c r="E13234" s="4"/>
      <c r="F13234" s="4"/>
      <c r="G13234" s="4"/>
      <c r="H13234" s="4"/>
      <c r="I13234" s="4"/>
      <c r="J13234" s="4"/>
      <c r="K13234" s="396" t="s">
        <v>444</v>
      </c>
      <c r="L13234" s="273"/>
      <c r="M13234" s="394">
        <f>SUM(M13219:N13233)</f>
        <v>9181374</v>
      </c>
      <c r="N13234" s="273"/>
    </row>
    <row r="13235" spans="1:14" ht="12.75" customHeight="1" x14ac:dyDescent="0.25">
      <c r="A13235" s="4"/>
      <c r="B13235" s="4"/>
      <c r="C13235" s="4"/>
      <c r="D13235" s="4"/>
      <c r="E13235" s="4"/>
      <c r="F13235" s="4"/>
      <c r="G13235" s="4"/>
      <c r="H13235" s="4"/>
      <c r="I13235" s="4"/>
      <c r="J13235" s="4"/>
      <c r="K13235" s="4"/>
      <c r="L13235" s="4"/>
      <c r="M13235" s="4"/>
      <c r="N13235" s="4"/>
    </row>
    <row r="13236" spans="1:14" ht="12.75" customHeight="1" x14ac:dyDescent="0.2">
      <c r="A13236" s="398" t="s">
        <v>926</v>
      </c>
      <c r="B13236" s="271"/>
      <c r="C13236" s="271"/>
      <c r="D13236" s="271"/>
      <c r="E13236" s="271"/>
      <c r="F13236" s="271"/>
      <c r="G13236" s="271"/>
      <c r="H13236" s="271"/>
      <c r="I13236" s="271"/>
      <c r="J13236" s="271"/>
      <c r="K13236" s="271"/>
      <c r="L13236" s="271"/>
      <c r="M13236" s="271"/>
      <c r="N13236" s="273"/>
    </row>
    <row r="13237" spans="1:14" ht="12.75" customHeight="1" x14ac:dyDescent="0.2">
      <c r="A13237" s="396" t="s">
        <v>76</v>
      </c>
      <c r="B13237" s="271"/>
      <c r="C13237" s="271"/>
      <c r="D13237" s="271"/>
      <c r="E13237" s="271"/>
      <c r="F13237" s="271"/>
      <c r="G13237" s="273"/>
      <c r="H13237" s="88" t="s">
        <v>77</v>
      </c>
      <c r="I13237" s="399" t="s">
        <v>920</v>
      </c>
      <c r="J13237" s="273"/>
      <c r="K13237" s="399" t="s">
        <v>453</v>
      </c>
      <c r="L13237" s="273"/>
      <c r="M13237" s="399" t="s">
        <v>921</v>
      </c>
      <c r="N13237" s="273"/>
    </row>
    <row r="13238" spans="1:14" ht="12.75" customHeight="1" x14ac:dyDescent="0.2">
      <c r="A13238" s="400" t="s">
        <v>927</v>
      </c>
      <c r="B13238" s="271"/>
      <c r="C13238" s="271"/>
      <c r="D13238" s="271"/>
      <c r="E13238" s="271"/>
      <c r="F13238" s="271"/>
      <c r="G13238" s="273"/>
      <c r="H13238" s="29" t="str">
        <f>IF(A13238="","",VLOOKUP(A13238,AA_Equipos,7,FALSE))</f>
        <v>% M.O.</v>
      </c>
      <c r="I13238" s="394">
        <f>+M13260</f>
        <v>373650</v>
      </c>
      <c r="J13238" s="273"/>
      <c r="K13238" s="404">
        <v>0.05</v>
      </c>
      <c r="L13238" s="273"/>
      <c r="M13238" s="394">
        <f t="shared" ref="M13238:M13242" si="1731">IF(A13238="","",I13238*K13238)</f>
        <v>18682.5</v>
      </c>
      <c r="N13238" s="273"/>
    </row>
    <row r="13239" spans="1:14" ht="12.75" customHeight="1" x14ac:dyDescent="0.2">
      <c r="A13239" s="403"/>
      <c r="B13239" s="271"/>
      <c r="C13239" s="271"/>
      <c r="D13239" s="271"/>
      <c r="E13239" s="271"/>
      <c r="F13239" s="271"/>
      <c r="G13239" s="273"/>
      <c r="H13239" s="29" t="str">
        <f>IF(A13239="","",VLOOKUP(A13239,AA_Equipos,7,FALSE))</f>
        <v/>
      </c>
      <c r="I13239" s="394" t="str">
        <f>IF(A13239="","",VLOOKUP(A13239,AA_Equipos,8,FALSE))</f>
        <v/>
      </c>
      <c r="J13239" s="273"/>
      <c r="K13239" s="402"/>
      <c r="L13239" s="273"/>
      <c r="M13239" s="394" t="str">
        <f t="shared" si="1731"/>
        <v/>
      </c>
      <c r="N13239" s="273"/>
    </row>
    <row r="13240" spans="1:14" ht="12.75" customHeight="1" x14ac:dyDescent="0.2">
      <c r="A13240" s="400"/>
      <c r="B13240" s="271"/>
      <c r="C13240" s="271"/>
      <c r="D13240" s="271"/>
      <c r="E13240" s="271"/>
      <c r="F13240" s="271"/>
      <c r="G13240" s="273"/>
      <c r="H13240" s="29" t="str">
        <f>IF(A13240="","",VLOOKUP(A13240,AA_Equipos,7,FALSE))</f>
        <v/>
      </c>
      <c r="I13240" s="394" t="str">
        <f>IF(A13240="","",VLOOKUP(A13240,AA_Equipos,8,FALSE))</f>
        <v/>
      </c>
      <c r="J13240" s="273"/>
      <c r="K13240" s="401"/>
      <c r="L13240" s="273"/>
      <c r="M13240" s="394" t="str">
        <f t="shared" si="1731"/>
        <v/>
      </c>
      <c r="N13240" s="273"/>
    </row>
    <row r="13241" spans="1:14" ht="12.75" customHeight="1" x14ac:dyDescent="0.2">
      <c r="A13241" s="400"/>
      <c r="B13241" s="271"/>
      <c r="C13241" s="271"/>
      <c r="D13241" s="271"/>
      <c r="E13241" s="271"/>
      <c r="F13241" s="271"/>
      <c r="G13241" s="273"/>
      <c r="H13241" s="29" t="str">
        <f>IF(A13241="","",VLOOKUP(A13241,AA_Equipos,7,FALSE))</f>
        <v/>
      </c>
      <c r="I13241" s="394" t="str">
        <f>IF(A13241="","",VLOOKUP(A13241,AA_Equipos,8,FALSE))</f>
        <v/>
      </c>
      <c r="J13241" s="273"/>
      <c r="K13241" s="395"/>
      <c r="L13241" s="273"/>
      <c r="M13241" s="394" t="str">
        <f t="shared" si="1731"/>
        <v/>
      </c>
      <c r="N13241" s="273"/>
    </row>
    <row r="13242" spans="1:14" ht="12.75" customHeight="1" x14ac:dyDescent="0.2">
      <c r="A13242" s="400"/>
      <c r="B13242" s="271"/>
      <c r="C13242" s="271"/>
      <c r="D13242" s="271"/>
      <c r="E13242" s="271"/>
      <c r="F13242" s="271"/>
      <c r="G13242" s="273"/>
      <c r="H13242" s="29" t="str">
        <f>IF(A13242="","",VLOOKUP(A13242,AA_Equipos,7,FALSE))</f>
        <v/>
      </c>
      <c r="I13242" s="394" t="str">
        <f>IF(A13242="","",VLOOKUP(A13242,AA_Equipos,8,FALSE))</f>
        <v/>
      </c>
      <c r="J13242" s="273"/>
      <c r="K13242" s="395"/>
      <c r="L13242" s="273"/>
      <c r="M13242" s="394" t="str">
        <f t="shared" si="1731"/>
        <v/>
      </c>
      <c r="N13242" s="273"/>
    </row>
    <row r="13243" spans="1:14" ht="12.75" customHeight="1" x14ac:dyDescent="0.25">
      <c r="A13243" s="4"/>
      <c r="B13243" s="4"/>
      <c r="C13243" s="4"/>
      <c r="D13243" s="4"/>
      <c r="E13243" s="4"/>
      <c r="F13243" s="4"/>
      <c r="G13243" s="4"/>
      <c r="H13243" s="4"/>
      <c r="I13243" s="4"/>
      <c r="J13243" s="4"/>
      <c r="K13243" s="396" t="s">
        <v>444</v>
      </c>
      <c r="L13243" s="273"/>
      <c r="M13243" s="394">
        <f>SUM(M13238:N13242)</f>
        <v>18682.5</v>
      </c>
      <c r="N13243" s="273"/>
    </row>
    <row r="13244" spans="1:14" ht="12.75" customHeight="1" x14ac:dyDescent="0.25">
      <c r="A13244" s="4"/>
      <c r="B13244" s="4"/>
      <c r="C13244" s="4"/>
      <c r="D13244" s="4"/>
      <c r="E13244" s="4"/>
      <c r="F13244" s="4"/>
      <c r="G13244" s="4"/>
      <c r="H13244" s="4"/>
      <c r="I13244" s="4"/>
      <c r="J13244" s="4"/>
      <c r="K13244" s="4"/>
      <c r="L13244" s="4"/>
      <c r="M13244" s="4"/>
      <c r="N13244" s="4"/>
    </row>
    <row r="13245" spans="1:14" ht="12.75" customHeight="1" x14ac:dyDescent="0.2">
      <c r="A13245" s="398" t="s">
        <v>929</v>
      </c>
      <c r="B13245" s="271"/>
      <c r="C13245" s="271"/>
      <c r="D13245" s="271"/>
      <c r="E13245" s="271"/>
      <c r="F13245" s="271"/>
      <c r="G13245" s="271"/>
      <c r="H13245" s="271"/>
      <c r="I13245" s="271"/>
      <c r="J13245" s="271"/>
      <c r="K13245" s="271"/>
      <c r="L13245" s="271"/>
      <c r="M13245" s="271"/>
      <c r="N13245" s="273"/>
    </row>
    <row r="13246" spans="1:14" ht="12.75" customHeight="1" x14ac:dyDescent="0.2">
      <c r="A13246" s="396" t="s">
        <v>76</v>
      </c>
      <c r="B13246" s="271"/>
      <c r="C13246" s="271"/>
      <c r="D13246" s="271"/>
      <c r="E13246" s="271"/>
      <c r="F13246" s="271"/>
      <c r="G13246" s="273"/>
      <c r="H13246" s="88" t="s">
        <v>77</v>
      </c>
      <c r="I13246" s="399" t="s">
        <v>920</v>
      </c>
      <c r="J13246" s="273"/>
      <c r="K13246" s="399" t="s">
        <v>453</v>
      </c>
      <c r="L13246" s="273"/>
      <c r="M13246" s="399" t="s">
        <v>921</v>
      </c>
      <c r="N13246" s="273"/>
    </row>
    <row r="13247" spans="1:14" ht="12.75" customHeight="1" x14ac:dyDescent="0.2">
      <c r="A13247" s="400" t="s">
        <v>1559</v>
      </c>
      <c r="B13247" s="271"/>
      <c r="C13247" s="271"/>
      <c r="D13247" s="271"/>
      <c r="E13247" s="271"/>
      <c r="F13247" s="271"/>
      <c r="G13247" s="273"/>
      <c r="H13247" s="29" t="str">
        <f>IF(A13247="","",VLOOKUP(A13247,AA_Equipos,7,FALSE))</f>
        <v>Día</v>
      </c>
      <c r="I13247" s="394">
        <f>IF(A13247="","",VLOOKUP(A13247,AA_Equipos,8,FALSE))</f>
        <v>74400</v>
      </c>
      <c r="J13247" s="273"/>
      <c r="K13247" s="395">
        <v>1</v>
      </c>
      <c r="L13247" s="273"/>
      <c r="M13247" s="394">
        <f t="shared" ref="M13247:M13250" si="1732">IF(A13247="","",I13247*K13247)</f>
        <v>74400</v>
      </c>
      <c r="N13247" s="273"/>
    </row>
    <row r="13248" spans="1:14" ht="12.75" customHeight="1" x14ac:dyDescent="0.2">
      <c r="A13248" s="400"/>
      <c r="B13248" s="271"/>
      <c r="C13248" s="271"/>
      <c r="D13248" s="271"/>
      <c r="E13248" s="271"/>
      <c r="F13248" s="271"/>
      <c r="G13248" s="273"/>
      <c r="H13248" s="29"/>
      <c r="I13248" s="394"/>
      <c r="J13248" s="273"/>
      <c r="K13248" s="395"/>
      <c r="L13248" s="273"/>
      <c r="M13248" s="394" t="str">
        <f t="shared" si="1732"/>
        <v/>
      </c>
      <c r="N13248" s="273"/>
    </row>
    <row r="13249" spans="1:15" ht="12.75" customHeight="1" x14ac:dyDescent="0.2">
      <c r="A13249" s="400"/>
      <c r="B13249" s="271"/>
      <c r="C13249" s="271"/>
      <c r="D13249" s="271"/>
      <c r="E13249" s="271"/>
      <c r="F13249" s="271"/>
      <c r="G13249" s="273"/>
      <c r="H13249" s="29"/>
      <c r="I13249" s="394"/>
      <c r="J13249" s="273"/>
      <c r="K13249" s="395"/>
      <c r="L13249" s="273"/>
      <c r="M13249" s="394" t="str">
        <f t="shared" si="1732"/>
        <v/>
      </c>
      <c r="N13249" s="273"/>
    </row>
    <row r="13250" spans="1:15" ht="12.75" customHeight="1" x14ac:dyDescent="0.2">
      <c r="A13250" s="400"/>
      <c r="B13250" s="271"/>
      <c r="C13250" s="271"/>
      <c r="D13250" s="271"/>
      <c r="E13250" s="271"/>
      <c r="F13250" s="271"/>
      <c r="G13250" s="273"/>
      <c r="H13250" s="29"/>
      <c r="I13250" s="394"/>
      <c r="J13250" s="273"/>
      <c r="K13250" s="395"/>
      <c r="L13250" s="273"/>
      <c r="M13250" s="394" t="str">
        <f t="shared" si="1732"/>
        <v/>
      </c>
      <c r="N13250" s="273"/>
    </row>
    <row r="13251" spans="1:15" ht="12.75" customHeight="1" x14ac:dyDescent="0.25">
      <c r="A13251" s="4"/>
      <c r="B13251" s="4"/>
      <c r="C13251" s="4"/>
      <c r="D13251" s="4"/>
      <c r="E13251" s="4"/>
      <c r="F13251" s="4"/>
      <c r="G13251" s="4"/>
      <c r="H13251" s="4"/>
      <c r="I13251" s="4"/>
      <c r="J13251" s="4"/>
      <c r="K13251" s="396" t="s">
        <v>444</v>
      </c>
      <c r="L13251" s="273"/>
      <c r="M13251" s="394">
        <f>SUM(M13247:N13250)</f>
        <v>74400</v>
      </c>
      <c r="N13251" s="273"/>
    </row>
    <row r="13252" spans="1:15" ht="12.75" customHeight="1" x14ac:dyDescent="0.25">
      <c r="A13252" s="4"/>
      <c r="B13252" s="4"/>
      <c r="C13252" s="4"/>
      <c r="D13252" s="4"/>
      <c r="E13252" s="4"/>
      <c r="F13252" s="4"/>
      <c r="G13252" s="4"/>
      <c r="H13252" s="4"/>
      <c r="I13252" s="4"/>
      <c r="J13252" s="4"/>
      <c r="K13252" s="4"/>
      <c r="L13252" s="4"/>
      <c r="M13252" s="4"/>
      <c r="N13252" s="4"/>
    </row>
    <row r="13253" spans="1:15" ht="12.75" customHeight="1" x14ac:dyDescent="0.2">
      <c r="A13253" s="398" t="s">
        <v>931</v>
      </c>
      <c r="B13253" s="271"/>
      <c r="C13253" s="271"/>
      <c r="D13253" s="271"/>
      <c r="E13253" s="271"/>
      <c r="F13253" s="271"/>
      <c r="G13253" s="271"/>
      <c r="H13253" s="271"/>
      <c r="I13253" s="271"/>
      <c r="J13253" s="271"/>
      <c r="K13253" s="271"/>
      <c r="L13253" s="271"/>
      <c r="M13253" s="271"/>
      <c r="N13253" s="273"/>
    </row>
    <row r="13254" spans="1:15" ht="12.75" customHeight="1" x14ac:dyDescent="0.2">
      <c r="A13254" s="396" t="s">
        <v>76</v>
      </c>
      <c r="B13254" s="271"/>
      <c r="C13254" s="271"/>
      <c r="D13254" s="271"/>
      <c r="E13254" s="271"/>
      <c r="F13254" s="271"/>
      <c r="G13254" s="273"/>
      <c r="H13254" s="88" t="s">
        <v>77</v>
      </c>
      <c r="I13254" s="399" t="s">
        <v>920</v>
      </c>
      <c r="J13254" s="273"/>
      <c r="K13254" s="90" t="s">
        <v>514</v>
      </c>
      <c r="L13254" s="91" t="s">
        <v>932</v>
      </c>
      <c r="M13254" s="399" t="s">
        <v>921</v>
      </c>
      <c r="N13254" s="273"/>
    </row>
    <row r="13255" spans="1:15" ht="12.75" customHeight="1" x14ac:dyDescent="0.25">
      <c r="A13255" s="393" t="s">
        <v>1301</v>
      </c>
      <c r="B13255" s="271"/>
      <c r="C13255" s="271"/>
      <c r="D13255" s="271"/>
      <c r="E13255" s="271"/>
      <c r="F13255" s="271"/>
      <c r="G13255" s="273"/>
      <c r="H13255" s="29" t="str">
        <f>IF(A13255="","",VLOOKUP(A13255,AA_Cuadrillas,4,FALSE))</f>
        <v>Cuadrilla</v>
      </c>
      <c r="I13255" s="394">
        <f>IF(A13255="","",VLOOKUP(A13255,AA_Cuadrillas,5,FALSE))</f>
        <v>132500</v>
      </c>
      <c r="J13255" s="273"/>
      <c r="K13255" s="9">
        <f>IF(A13255="","",F.P!$I$2)</f>
        <v>1.88</v>
      </c>
      <c r="L13255" s="97">
        <v>1.5</v>
      </c>
      <c r="M13255" s="394">
        <f t="shared" ref="M13255:M13259" si="1733">IF(A13255="","",I13255*K13255*L13255)</f>
        <v>373650</v>
      </c>
      <c r="N13255" s="273"/>
    </row>
    <row r="13256" spans="1:15" ht="12.75" customHeight="1" x14ac:dyDescent="0.25">
      <c r="A13256" s="393"/>
      <c r="B13256" s="271"/>
      <c r="C13256" s="271"/>
      <c r="D13256" s="271"/>
      <c r="E13256" s="271"/>
      <c r="F13256" s="271"/>
      <c r="G13256" s="273"/>
      <c r="H13256" s="29" t="str">
        <f>IF(A13256="","",VLOOKUP(A13256,AA_Cuadrillas,4,FALSE))</f>
        <v/>
      </c>
      <c r="I13256" s="394" t="str">
        <f>IF(A13256="","",VLOOKUP(A13256,AA_Cuadrillas,5,FALSE))</f>
        <v/>
      </c>
      <c r="J13256" s="273"/>
      <c r="K13256" s="9" t="str">
        <f>IF(A13256="","",F.P!$I$2)</f>
        <v/>
      </c>
      <c r="L13256" s="9"/>
      <c r="M13256" s="394" t="str">
        <f t="shared" si="1733"/>
        <v/>
      </c>
      <c r="N13256" s="273"/>
    </row>
    <row r="13257" spans="1:15" ht="12.75" customHeight="1" x14ac:dyDescent="0.25">
      <c r="A13257" s="393"/>
      <c r="B13257" s="271"/>
      <c r="C13257" s="271"/>
      <c r="D13257" s="271"/>
      <c r="E13257" s="271"/>
      <c r="F13257" s="271"/>
      <c r="G13257" s="273"/>
      <c r="H13257" s="29" t="str">
        <f>IF(A13257="","",VLOOKUP(A13257,AA_Cuadrillas,4,FALSE))</f>
        <v/>
      </c>
      <c r="I13257" s="394" t="str">
        <f>IF(A13257="","",VLOOKUP(A13257,AA_Cuadrillas,5,FALSE))</f>
        <v/>
      </c>
      <c r="J13257" s="273"/>
      <c r="K13257" s="9" t="str">
        <f>IF(A13257="","",F.P!$I$2)</f>
        <v/>
      </c>
      <c r="L13257" s="37"/>
      <c r="M13257" s="394" t="str">
        <f t="shared" si="1733"/>
        <v/>
      </c>
      <c r="N13257" s="273"/>
    </row>
    <row r="13258" spans="1:15" ht="12.75" customHeight="1" x14ac:dyDescent="0.25">
      <c r="A13258" s="393"/>
      <c r="B13258" s="271"/>
      <c r="C13258" s="271"/>
      <c r="D13258" s="271"/>
      <c r="E13258" s="271"/>
      <c r="F13258" s="271"/>
      <c r="G13258" s="273"/>
      <c r="H13258" s="29" t="str">
        <f>IF(A13258="","",VLOOKUP(A13258,AA_Cuadrillas,4,FALSE))</f>
        <v/>
      </c>
      <c r="I13258" s="394" t="str">
        <f>IF(A13258="","",VLOOKUP(A13258,AA_Cuadrillas,5,FALSE))</f>
        <v/>
      </c>
      <c r="J13258" s="273"/>
      <c r="K13258" s="9" t="str">
        <f>IF(A13258="","",F.P!$I$2)</f>
        <v/>
      </c>
      <c r="L13258" s="97"/>
      <c r="M13258" s="394" t="str">
        <f t="shared" si="1733"/>
        <v/>
      </c>
      <c r="N13258" s="273"/>
    </row>
    <row r="13259" spans="1:15" ht="12.75" customHeight="1" x14ac:dyDescent="0.25">
      <c r="A13259" s="393"/>
      <c r="B13259" s="271"/>
      <c r="C13259" s="271"/>
      <c r="D13259" s="271"/>
      <c r="E13259" s="271"/>
      <c r="F13259" s="271"/>
      <c r="G13259" s="273"/>
      <c r="H13259" s="29" t="str">
        <f>IF(A13259="","",VLOOKUP(A13259,AA_Cuadrillas,4,FALSE))</f>
        <v/>
      </c>
      <c r="I13259" s="394" t="str">
        <f>IF(A13259="","",VLOOKUP(A13259,AA_Cuadrillas,5,FALSE))</f>
        <v/>
      </c>
      <c r="J13259" s="273"/>
      <c r="K13259" s="9" t="str">
        <f>IF(A13259="","",F.P!$I$2)</f>
        <v/>
      </c>
      <c r="L13259" s="37"/>
      <c r="M13259" s="394" t="str">
        <f t="shared" si="1733"/>
        <v/>
      </c>
      <c r="N13259" s="273"/>
    </row>
    <row r="13260" spans="1:15" ht="12.75" customHeight="1" x14ac:dyDescent="0.25">
      <c r="A13260" s="4"/>
      <c r="B13260" s="4"/>
      <c r="C13260" s="4"/>
      <c r="D13260" s="4"/>
      <c r="E13260" s="4"/>
      <c r="F13260" s="4"/>
      <c r="G13260" s="4"/>
      <c r="H13260" s="4"/>
      <c r="I13260" s="4"/>
      <c r="J13260" s="4"/>
      <c r="K13260" s="396" t="s">
        <v>444</v>
      </c>
      <c r="L13260" s="273"/>
      <c r="M13260" s="394">
        <f>SUM(M13255:N13259)</f>
        <v>373650</v>
      </c>
      <c r="N13260" s="273"/>
    </row>
    <row r="13261" spans="1:15" ht="12.75" customHeight="1" x14ac:dyDescent="0.2"/>
    <row r="13262" spans="1:15" ht="12.75" customHeight="1" x14ac:dyDescent="0.2">
      <c r="A13262" s="397" t="s">
        <v>428</v>
      </c>
      <c r="B13262" s="275"/>
      <c r="C13262" s="275"/>
      <c r="D13262" s="275"/>
      <c r="E13262" s="275"/>
      <c r="F13262" s="275"/>
      <c r="G13262" s="275"/>
      <c r="H13262" s="275"/>
      <c r="I13262" s="275"/>
      <c r="J13262" s="275"/>
      <c r="K13262" s="275"/>
      <c r="L13262" s="275"/>
      <c r="M13262" s="275"/>
      <c r="N13262" s="276"/>
      <c r="O13262" s="166"/>
    </row>
    <row r="13263" spans="1:15" ht="12.75" customHeight="1" x14ac:dyDescent="0.2">
      <c r="A13263" s="277"/>
      <c r="B13263" s="278"/>
      <c r="C13263" s="278"/>
      <c r="D13263" s="278"/>
      <c r="E13263" s="278"/>
      <c r="F13263" s="278"/>
      <c r="G13263" s="278"/>
      <c r="H13263" s="278"/>
      <c r="I13263" s="278"/>
      <c r="J13263" s="278"/>
      <c r="K13263" s="278"/>
      <c r="L13263" s="278"/>
      <c r="M13263" s="278"/>
      <c r="N13263" s="279"/>
      <c r="O13263" s="166"/>
    </row>
    <row r="13264" spans="1:15" ht="12.75" customHeight="1" x14ac:dyDescent="0.2">
      <c r="A13264" s="75"/>
      <c r="B13264" s="75"/>
      <c r="C13264" s="75"/>
      <c r="D13264" s="75"/>
      <c r="E13264" s="75"/>
      <c r="F13264" s="75"/>
      <c r="G13264" s="75"/>
      <c r="H13264" s="75"/>
      <c r="I13264" s="75"/>
      <c r="J13264" s="75"/>
      <c r="K13264" s="75"/>
      <c r="L13264" s="75"/>
      <c r="M13264" s="75"/>
      <c r="N13264" s="75"/>
    </row>
    <row r="13265" spans="1:14" ht="12.75" customHeight="1" x14ac:dyDescent="0.3">
      <c r="A13265" s="79" t="s">
        <v>903</v>
      </c>
      <c r="B13265" s="80" t="str">
        <f>A13262</f>
        <v>SUMINISTRO E INSTALACIÓN DE TABLERO BIFÁSICO TIPO LUMINEX 12 CIRCUITOS DE INCRUSTAR O SOBREPONER, CON ESPACIO PARA TOTALIZADOR, INCLUYE BREAKER TIPO ENCHUFABLE 1X20A - 6 UN, BREAKER TIPO ENCHUFABLE 2X30A - 1 UN</v>
      </c>
      <c r="C13265" s="81" t="s">
        <v>916</v>
      </c>
      <c r="D13265" s="82" t="s">
        <v>999</v>
      </c>
      <c r="E13265" s="83" t="s">
        <v>445</v>
      </c>
      <c r="F13265" s="234">
        <f>(H13265+J13265+L13265+N13265)*1.3</f>
        <v>1152052.72</v>
      </c>
      <c r="G13265" s="83" t="s">
        <v>607</v>
      </c>
      <c r="H13265" s="86">
        <f>M13284</f>
        <v>558873</v>
      </c>
      <c r="I13265" s="83" t="s">
        <v>918</v>
      </c>
      <c r="J13265" s="86">
        <f>M13293</f>
        <v>12455</v>
      </c>
      <c r="K13265" s="83" t="s">
        <v>609</v>
      </c>
      <c r="L13265" s="86">
        <f>M13301</f>
        <v>65766.399999999994</v>
      </c>
      <c r="M13265" s="83" t="s">
        <v>610</v>
      </c>
      <c r="N13265" s="86">
        <f>M13310</f>
        <v>249100</v>
      </c>
    </row>
    <row r="13266" spans="1:14" ht="12.75" customHeight="1" x14ac:dyDescent="0.25">
      <c r="A13266" s="87"/>
      <c r="B13266" s="87"/>
      <c r="C13266" s="87"/>
      <c r="D13266" s="87"/>
      <c r="E13266" s="87"/>
      <c r="F13266" s="87"/>
      <c r="G13266" s="87"/>
      <c r="H13266" s="12"/>
      <c r="I13266" s="12"/>
      <c r="J13266" s="87"/>
      <c r="K13266" s="215" t="s">
        <v>3217</v>
      </c>
      <c r="L13266" s="215">
        <f>+F13265*presup!$O$5</f>
        <v>1497668.5360000001</v>
      </c>
      <c r="M13266" s="87"/>
      <c r="N13266" s="87"/>
    </row>
    <row r="13267" spans="1:14" ht="12.75" customHeight="1" x14ac:dyDescent="0.2">
      <c r="A13267" s="398" t="s">
        <v>919</v>
      </c>
      <c r="B13267" s="271"/>
      <c r="C13267" s="271"/>
      <c r="D13267" s="271"/>
      <c r="E13267" s="271"/>
      <c r="F13267" s="271"/>
      <c r="G13267" s="271"/>
      <c r="H13267" s="271"/>
      <c r="I13267" s="271"/>
      <c r="J13267" s="271"/>
      <c r="K13267" s="271"/>
      <c r="L13267" s="271"/>
      <c r="M13267" s="271"/>
      <c r="N13267" s="273"/>
    </row>
    <row r="13268" spans="1:14" ht="12.75" customHeight="1" x14ac:dyDescent="0.2">
      <c r="A13268" s="396" t="s">
        <v>76</v>
      </c>
      <c r="B13268" s="271"/>
      <c r="C13268" s="271"/>
      <c r="D13268" s="271"/>
      <c r="E13268" s="271"/>
      <c r="F13268" s="271"/>
      <c r="G13268" s="273"/>
      <c r="H13268" s="88" t="s">
        <v>77</v>
      </c>
      <c r="I13268" s="399" t="s">
        <v>920</v>
      </c>
      <c r="J13268" s="273"/>
      <c r="K13268" s="399" t="s">
        <v>453</v>
      </c>
      <c r="L13268" s="273"/>
      <c r="M13268" s="399" t="s">
        <v>921</v>
      </c>
      <c r="N13268" s="273"/>
    </row>
    <row r="13269" spans="1:14" ht="12.75" customHeight="1" x14ac:dyDescent="0.25">
      <c r="A13269" s="309" t="s">
        <v>1717</v>
      </c>
      <c r="B13269" s="271"/>
      <c r="C13269" s="271"/>
      <c r="D13269" s="271"/>
      <c r="E13269" s="271"/>
      <c r="F13269" s="271"/>
      <c r="G13269" s="273"/>
      <c r="H13269" s="29" t="str">
        <f t="shared" ref="H13269:H13283" si="1734">IF(A13269="","",VLOOKUP(A13269,AA_Materiales,7,FALSE))</f>
        <v>Unidad</v>
      </c>
      <c r="I13269" s="394">
        <f t="shared" ref="I13269:I13283" si="1735">IF(A13269="","",VLOOKUP(A13269,AA_Materiales,8,FALSE))</f>
        <v>211400</v>
      </c>
      <c r="J13269" s="273"/>
      <c r="K13269" s="393">
        <v>1</v>
      </c>
      <c r="L13269" s="273"/>
      <c r="M13269" s="394">
        <f t="shared" ref="M13269:M13283" si="1736">IF(A13269="","",I13269*K13269)</f>
        <v>211400</v>
      </c>
      <c r="N13269" s="273"/>
    </row>
    <row r="13270" spans="1:14" ht="12.75" customHeight="1" x14ac:dyDescent="0.25">
      <c r="A13270" s="309" t="s">
        <v>1590</v>
      </c>
      <c r="B13270" s="271"/>
      <c r="C13270" s="271"/>
      <c r="D13270" s="271"/>
      <c r="E13270" s="271"/>
      <c r="F13270" s="271"/>
      <c r="G13270" s="273"/>
      <c r="H13270" s="29" t="str">
        <f t="shared" si="1734"/>
        <v>Unidad</v>
      </c>
      <c r="I13270" s="394">
        <f t="shared" si="1735"/>
        <v>19600</v>
      </c>
      <c r="J13270" s="273"/>
      <c r="K13270" s="393">
        <v>6</v>
      </c>
      <c r="L13270" s="273"/>
      <c r="M13270" s="394">
        <f t="shared" si="1736"/>
        <v>117600</v>
      </c>
      <c r="N13270" s="273"/>
    </row>
    <row r="13271" spans="1:14" ht="12.75" customHeight="1" x14ac:dyDescent="0.25">
      <c r="A13271" s="309" t="s">
        <v>1591</v>
      </c>
      <c r="B13271" s="271"/>
      <c r="C13271" s="271"/>
      <c r="D13271" s="271"/>
      <c r="E13271" s="271"/>
      <c r="F13271" s="271"/>
      <c r="G13271" s="273"/>
      <c r="H13271" s="29" t="str">
        <f t="shared" si="1734"/>
        <v>Unidad</v>
      </c>
      <c r="I13271" s="394">
        <f t="shared" si="1735"/>
        <v>33600</v>
      </c>
      <c r="J13271" s="273"/>
      <c r="K13271" s="393">
        <v>1</v>
      </c>
      <c r="L13271" s="273"/>
      <c r="M13271" s="394">
        <f t="shared" si="1736"/>
        <v>33600</v>
      </c>
      <c r="N13271" s="273"/>
    </row>
    <row r="13272" spans="1:14" ht="12.75" customHeight="1" x14ac:dyDescent="0.25">
      <c r="A13272" s="309" t="s">
        <v>1693</v>
      </c>
      <c r="B13272" s="271"/>
      <c r="C13272" s="271"/>
      <c r="D13272" s="271"/>
      <c r="E13272" s="271"/>
      <c r="F13272" s="271"/>
      <c r="G13272" s="273"/>
      <c r="H13272" s="29" t="str">
        <f t="shared" si="1734"/>
        <v>Unidad</v>
      </c>
      <c r="I13272" s="394">
        <f t="shared" si="1735"/>
        <v>47523</v>
      </c>
      <c r="J13272" s="273"/>
      <c r="K13272" s="393">
        <v>1</v>
      </c>
      <c r="L13272" s="273"/>
      <c r="M13272" s="394">
        <f t="shared" si="1736"/>
        <v>47523</v>
      </c>
      <c r="N13272" s="273"/>
    </row>
    <row r="13273" spans="1:14" ht="12.75" customHeight="1" x14ac:dyDescent="0.25">
      <c r="A13273" s="309" t="s">
        <v>1593</v>
      </c>
      <c r="B13273" s="271"/>
      <c r="C13273" s="271"/>
      <c r="D13273" s="271"/>
      <c r="E13273" s="271"/>
      <c r="F13273" s="271"/>
      <c r="G13273" s="273"/>
      <c r="H13273" s="29" t="str">
        <f t="shared" si="1734"/>
        <v>Unidad</v>
      </c>
      <c r="I13273" s="394">
        <f t="shared" si="1735"/>
        <v>148750</v>
      </c>
      <c r="J13273" s="273"/>
      <c r="K13273" s="393">
        <v>1</v>
      </c>
      <c r="L13273" s="273"/>
      <c r="M13273" s="394">
        <f t="shared" si="1736"/>
        <v>148750</v>
      </c>
      <c r="N13273" s="273"/>
    </row>
    <row r="13274" spans="1:14" ht="12.75" customHeight="1" x14ac:dyDescent="0.25">
      <c r="A13274" s="309"/>
      <c r="B13274" s="271"/>
      <c r="C13274" s="271"/>
      <c r="D13274" s="271"/>
      <c r="E13274" s="271"/>
      <c r="F13274" s="271"/>
      <c r="G13274" s="273"/>
      <c r="H13274" s="29" t="str">
        <f t="shared" si="1734"/>
        <v/>
      </c>
      <c r="I13274" s="394" t="str">
        <f t="shared" si="1735"/>
        <v/>
      </c>
      <c r="J13274" s="273"/>
      <c r="K13274" s="393"/>
      <c r="L13274" s="273"/>
      <c r="M13274" s="394" t="str">
        <f t="shared" si="1736"/>
        <v/>
      </c>
      <c r="N13274" s="273"/>
    </row>
    <row r="13275" spans="1:14" ht="12.75" customHeight="1" x14ac:dyDescent="0.25">
      <c r="A13275" s="309"/>
      <c r="B13275" s="271"/>
      <c r="C13275" s="271"/>
      <c r="D13275" s="271"/>
      <c r="E13275" s="271"/>
      <c r="F13275" s="271"/>
      <c r="G13275" s="273"/>
      <c r="H13275" s="29" t="str">
        <f t="shared" si="1734"/>
        <v/>
      </c>
      <c r="I13275" s="394" t="str">
        <f t="shared" si="1735"/>
        <v/>
      </c>
      <c r="J13275" s="273"/>
      <c r="K13275" s="393"/>
      <c r="L13275" s="273"/>
      <c r="M13275" s="394" t="str">
        <f t="shared" si="1736"/>
        <v/>
      </c>
      <c r="N13275" s="273"/>
    </row>
    <row r="13276" spans="1:14" ht="12.75" customHeight="1" x14ac:dyDescent="0.25">
      <c r="A13276" s="309"/>
      <c r="B13276" s="271"/>
      <c r="C13276" s="271"/>
      <c r="D13276" s="271"/>
      <c r="E13276" s="271"/>
      <c r="F13276" s="271"/>
      <c r="G13276" s="273"/>
      <c r="H13276" s="29" t="str">
        <f t="shared" si="1734"/>
        <v/>
      </c>
      <c r="I13276" s="394" t="str">
        <f t="shared" si="1735"/>
        <v/>
      </c>
      <c r="J13276" s="273"/>
      <c r="K13276" s="393"/>
      <c r="L13276" s="273"/>
      <c r="M13276" s="394" t="str">
        <f t="shared" si="1736"/>
        <v/>
      </c>
      <c r="N13276" s="273"/>
    </row>
    <row r="13277" spans="1:14" ht="12.75" customHeight="1" x14ac:dyDescent="0.25">
      <c r="A13277" s="309"/>
      <c r="B13277" s="271"/>
      <c r="C13277" s="271"/>
      <c r="D13277" s="271"/>
      <c r="E13277" s="271"/>
      <c r="F13277" s="271"/>
      <c r="G13277" s="273"/>
      <c r="H13277" s="29" t="str">
        <f t="shared" si="1734"/>
        <v/>
      </c>
      <c r="I13277" s="394" t="str">
        <f t="shared" si="1735"/>
        <v/>
      </c>
      <c r="J13277" s="273"/>
      <c r="K13277" s="393"/>
      <c r="L13277" s="273"/>
      <c r="M13277" s="394" t="str">
        <f t="shared" si="1736"/>
        <v/>
      </c>
      <c r="N13277" s="273"/>
    </row>
    <row r="13278" spans="1:14" ht="12.75" customHeight="1" x14ac:dyDescent="0.25">
      <c r="A13278" s="309"/>
      <c r="B13278" s="271"/>
      <c r="C13278" s="271"/>
      <c r="D13278" s="271"/>
      <c r="E13278" s="271"/>
      <c r="F13278" s="271"/>
      <c r="G13278" s="273"/>
      <c r="H13278" s="29" t="str">
        <f t="shared" si="1734"/>
        <v/>
      </c>
      <c r="I13278" s="394" t="str">
        <f t="shared" si="1735"/>
        <v/>
      </c>
      <c r="J13278" s="273"/>
      <c r="K13278" s="393"/>
      <c r="L13278" s="273"/>
      <c r="M13278" s="394" t="str">
        <f t="shared" si="1736"/>
        <v/>
      </c>
      <c r="N13278" s="273"/>
    </row>
    <row r="13279" spans="1:14" ht="12.75" customHeight="1" x14ac:dyDescent="0.25">
      <c r="A13279" s="309"/>
      <c r="B13279" s="271"/>
      <c r="C13279" s="271"/>
      <c r="D13279" s="271"/>
      <c r="E13279" s="271"/>
      <c r="F13279" s="271"/>
      <c r="G13279" s="273"/>
      <c r="H13279" s="29" t="str">
        <f t="shared" si="1734"/>
        <v/>
      </c>
      <c r="I13279" s="394" t="str">
        <f t="shared" si="1735"/>
        <v/>
      </c>
      <c r="J13279" s="273"/>
      <c r="K13279" s="393"/>
      <c r="L13279" s="273"/>
      <c r="M13279" s="394" t="str">
        <f t="shared" si="1736"/>
        <v/>
      </c>
      <c r="N13279" s="273"/>
    </row>
    <row r="13280" spans="1:14" ht="12.75" customHeight="1" x14ac:dyDescent="0.25">
      <c r="A13280" s="309"/>
      <c r="B13280" s="271"/>
      <c r="C13280" s="271"/>
      <c r="D13280" s="271"/>
      <c r="E13280" s="271"/>
      <c r="F13280" s="271"/>
      <c r="G13280" s="273"/>
      <c r="H13280" s="29" t="str">
        <f t="shared" si="1734"/>
        <v/>
      </c>
      <c r="I13280" s="394" t="str">
        <f t="shared" si="1735"/>
        <v/>
      </c>
      <c r="J13280" s="273"/>
      <c r="K13280" s="393"/>
      <c r="L13280" s="273"/>
      <c r="M13280" s="394" t="str">
        <f t="shared" si="1736"/>
        <v/>
      </c>
      <c r="N13280" s="273"/>
    </row>
    <row r="13281" spans="1:14" ht="12.75" customHeight="1" x14ac:dyDescent="0.25">
      <c r="A13281" s="309"/>
      <c r="B13281" s="271"/>
      <c r="C13281" s="271"/>
      <c r="D13281" s="271"/>
      <c r="E13281" s="271"/>
      <c r="F13281" s="271"/>
      <c r="G13281" s="273"/>
      <c r="H13281" s="29" t="str">
        <f t="shared" si="1734"/>
        <v/>
      </c>
      <c r="I13281" s="394" t="str">
        <f t="shared" si="1735"/>
        <v/>
      </c>
      <c r="J13281" s="273"/>
      <c r="K13281" s="393"/>
      <c r="L13281" s="273"/>
      <c r="M13281" s="394" t="str">
        <f t="shared" si="1736"/>
        <v/>
      </c>
      <c r="N13281" s="273"/>
    </row>
    <row r="13282" spans="1:14" ht="12.75" customHeight="1" x14ac:dyDescent="0.25">
      <c r="A13282" s="309"/>
      <c r="B13282" s="271"/>
      <c r="C13282" s="271"/>
      <c r="D13282" s="271"/>
      <c r="E13282" s="271"/>
      <c r="F13282" s="271"/>
      <c r="G13282" s="273"/>
      <c r="H13282" s="29" t="str">
        <f t="shared" si="1734"/>
        <v/>
      </c>
      <c r="I13282" s="394" t="str">
        <f t="shared" si="1735"/>
        <v/>
      </c>
      <c r="J13282" s="273"/>
      <c r="K13282" s="393"/>
      <c r="L13282" s="273"/>
      <c r="M13282" s="394" t="str">
        <f t="shared" si="1736"/>
        <v/>
      </c>
      <c r="N13282" s="273"/>
    </row>
    <row r="13283" spans="1:14" ht="12.75" customHeight="1" x14ac:dyDescent="0.25">
      <c r="A13283" s="309"/>
      <c r="B13283" s="271"/>
      <c r="C13283" s="271"/>
      <c r="D13283" s="271"/>
      <c r="E13283" s="271"/>
      <c r="F13283" s="271"/>
      <c r="G13283" s="273"/>
      <c r="H13283" s="29" t="str">
        <f t="shared" si="1734"/>
        <v/>
      </c>
      <c r="I13283" s="394" t="str">
        <f t="shared" si="1735"/>
        <v/>
      </c>
      <c r="J13283" s="273"/>
      <c r="K13283" s="393"/>
      <c r="L13283" s="273"/>
      <c r="M13283" s="394" t="str">
        <f t="shared" si="1736"/>
        <v/>
      </c>
      <c r="N13283" s="273"/>
    </row>
    <row r="13284" spans="1:14" ht="12.75" customHeight="1" x14ac:dyDescent="0.25">
      <c r="A13284" s="4"/>
      <c r="B13284" s="4"/>
      <c r="C13284" s="4"/>
      <c r="D13284" s="4"/>
      <c r="E13284" s="4"/>
      <c r="F13284" s="4"/>
      <c r="G13284" s="4"/>
      <c r="H13284" s="4"/>
      <c r="I13284" s="4"/>
      <c r="J13284" s="4"/>
      <c r="K13284" s="396" t="s">
        <v>444</v>
      </c>
      <c r="L13284" s="273"/>
      <c r="M13284" s="394">
        <f>SUM(M13269:N13283)</f>
        <v>558873</v>
      </c>
      <c r="N13284" s="273"/>
    </row>
    <row r="13285" spans="1:14" ht="12.75" customHeight="1" x14ac:dyDescent="0.25">
      <c r="A13285" s="4"/>
      <c r="B13285" s="4"/>
      <c r="C13285" s="4"/>
      <c r="D13285" s="4"/>
      <c r="E13285" s="4"/>
      <c r="F13285" s="4"/>
      <c r="G13285" s="4"/>
      <c r="H13285" s="4"/>
      <c r="I13285" s="4"/>
      <c r="J13285" s="4"/>
      <c r="K13285" s="4"/>
      <c r="L13285" s="4"/>
      <c r="M13285" s="4"/>
      <c r="N13285" s="4"/>
    </row>
    <row r="13286" spans="1:14" ht="12.75" customHeight="1" x14ac:dyDescent="0.2">
      <c r="A13286" s="398" t="s">
        <v>926</v>
      </c>
      <c r="B13286" s="271"/>
      <c r="C13286" s="271"/>
      <c r="D13286" s="271"/>
      <c r="E13286" s="271"/>
      <c r="F13286" s="271"/>
      <c r="G13286" s="271"/>
      <c r="H13286" s="271"/>
      <c r="I13286" s="271"/>
      <c r="J13286" s="271"/>
      <c r="K13286" s="271"/>
      <c r="L13286" s="271"/>
      <c r="M13286" s="271"/>
      <c r="N13286" s="273"/>
    </row>
    <row r="13287" spans="1:14" ht="12.75" customHeight="1" x14ac:dyDescent="0.2">
      <c r="A13287" s="396" t="s">
        <v>76</v>
      </c>
      <c r="B13287" s="271"/>
      <c r="C13287" s="271"/>
      <c r="D13287" s="271"/>
      <c r="E13287" s="271"/>
      <c r="F13287" s="271"/>
      <c r="G13287" s="273"/>
      <c r="H13287" s="88" t="s">
        <v>77</v>
      </c>
      <c r="I13287" s="399" t="s">
        <v>920</v>
      </c>
      <c r="J13287" s="273"/>
      <c r="K13287" s="399" t="s">
        <v>453</v>
      </c>
      <c r="L13287" s="273"/>
      <c r="M13287" s="399" t="s">
        <v>921</v>
      </c>
      <c r="N13287" s="273"/>
    </row>
    <row r="13288" spans="1:14" ht="12.75" customHeight="1" x14ac:dyDescent="0.2">
      <c r="A13288" s="400" t="s">
        <v>927</v>
      </c>
      <c r="B13288" s="271"/>
      <c r="C13288" s="271"/>
      <c r="D13288" s="271"/>
      <c r="E13288" s="271"/>
      <c r="F13288" s="271"/>
      <c r="G13288" s="273"/>
      <c r="H13288" s="29" t="str">
        <f>IF(A13288="","",VLOOKUP(A13288,AA_Equipos,7,FALSE))</f>
        <v>% M.O.</v>
      </c>
      <c r="I13288" s="394">
        <f>+M13310</f>
        <v>249100</v>
      </c>
      <c r="J13288" s="273"/>
      <c r="K13288" s="404">
        <v>0.05</v>
      </c>
      <c r="L13288" s="273"/>
      <c r="M13288" s="394">
        <f t="shared" ref="M13288:M13292" si="1737">IF(A13288="","",I13288*K13288)</f>
        <v>12455</v>
      </c>
      <c r="N13288" s="273"/>
    </row>
    <row r="13289" spans="1:14" ht="12.75" customHeight="1" x14ac:dyDescent="0.2">
      <c r="A13289" s="403"/>
      <c r="B13289" s="271"/>
      <c r="C13289" s="271"/>
      <c r="D13289" s="271"/>
      <c r="E13289" s="271"/>
      <c r="F13289" s="271"/>
      <c r="G13289" s="273"/>
      <c r="H13289" s="29" t="str">
        <f>IF(A13289="","",VLOOKUP(A13289,AA_Equipos,7,FALSE))</f>
        <v/>
      </c>
      <c r="I13289" s="394" t="str">
        <f>IF(A13289="","",VLOOKUP(A13289,AA_Equipos,8,FALSE))</f>
        <v/>
      </c>
      <c r="J13289" s="273"/>
      <c r="K13289" s="402"/>
      <c r="L13289" s="273"/>
      <c r="M13289" s="394" t="str">
        <f t="shared" si="1737"/>
        <v/>
      </c>
      <c r="N13289" s="273"/>
    </row>
    <row r="13290" spans="1:14" ht="12.75" customHeight="1" x14ac:dyDescent="0.2">
      <c r="A13290" s="400"/>
      <c r="B13290" s="271"/>
      <c r="C13290" s="271"/>
      <c r="D13290" s="271"/>
      <c r="E13290" s="271"/>
      <c r="F13290" s="271"/>
      <c r="G13290" s="273"/>
      <c r="H13290" s="29" t="str">
        <f>IF(A13290="","",VLOOKUP(A13290,AA_Equipos,7,FALSE))</f>
        <v/>
      </c>
      <c r="I13290" s="394" t="str">
        <f>IF(A13290="","",VLOOKUP(A13290,AA_Equipos,8,FALSE))</f>
        <v/>
      </c>
      <c r="J13290" s="273"/>
      <c r="K13290" s="401"/>
      <c r="L13290" s="273"/>
      <c r="M13290" s="394" t="str">
        <f t="shared" si="1737"/>
        <v/>
      </c>
      <c r="N13290" s="273"/>
    </row>
    <row r="13291" spans="1:14" ht="12.75" customHeight="1" x14ac:dyDescent="0.2">
      <c r="A13291" s="400"/>
      <c r="B13291" s="271"/>
      <c r="C13291" s="271"/>
      <c r="D13291" s="271"/>
      <c r="E13291" s="271"/>
      <c r="F13291" s="271"/>
      <c r="G13291" s="273"/>
      <c r="H13291" s="29" t="str">
        <f>IF(A13291="","",VLOOKUP(A13291,AA_Equipos,7,FALSE))</f>
        <v/>
      </c>
      <c r="I13291" s="394" t="str">
        <f>IF(A13291="","",VLOOKUP(A13291,AA_Equipos,8,FALSE))</f>
        <v/>
      </c>
      <c r="J13291" s="273"/>
      <c r="K13291" s="395"/>
      <c r="L13291" s="273"/>
      <c r="M13291" s="394" t="str">
        <f t="shared" si="1737"/>
        <v/>
      </c>
      <c r="N13291" s="273"/>
    </row>
    <row r="13292" spans="1:14" ht="12.75" customHeight="1" x14ac:dyDescent="0.2">
      <c r="A13292" s="400"/>
      <c r="B13292" s="271"/>
      <c r="C13292" s="271"/>
      <c r="D13292" s="271"/>
      <c r="E13292" s="271"/>
      <c r="F13292" s="271"/>
      <c r="G13292" s="273"/>
      <c r="H13292" s="29" t="str">
        <f>IF(A13292="","",VLOOKUP(A13292,AA_Equipos,7,FALSE))</f>
        <v/>
      </c>
      <c r="I13292" s="394" t="str">
        <f>IF(A13292="","",VLOOKUP(A13292,AA_Equipos,8,FALSE))</f>
        <v/>
      </c>
      <c r="J13292" s="273"/>
      <c r="K13292" s="395"/>
      <c r="L13292" s="273"/>
      <c r="M13292" s="394" t="str">
        <f t="shared" si="1737"/>
        <v/>
      </c>
      <c r="N13292" s="273"/>
    </row>
    <row r="13293" spans="1:14" ht="12.75" customHeight="1" x14ac:dyDescent="0.25">
      <c r="A13293" s="4"/>
      <c r="B13293" s="4"/>
      <c r="C13293" s="4"/>
      <c r="D13293" s="4"/>
      <c r="E13293" s="4"/>
      <c r="F13293" s="4"/>
      <c r="G13293" s="4"/>
      <c r="H13293" s="4"/>
      <c r="I13293" s="4"/>
      <c r="J13293" s="4"/>
      <c r="K13293" s="396" t="s">
        <v>444</v>
      </c>
      <c r="L13293" s="273"/>
      <c r="M13293" s="394">
        <f>SUM(M13288:N13292)</f>
        <v>12455</v>
      </c>
      <c r="N13293" s="273"/>
    </row>
    <row r="13294" spans="1:14" ht="12.75" customHeight="1" x14ac:dyDescent="0.25">
      <c r="A13294" s="4"/>
      <c r="B13294" s="4"/>
      <c r="C13294" s="4"/>
      <c r="D13294" s="4"/>
      <c r="E13294" s="4"/>
      <c r="F13294" s="4"/>
      <c r="G13294" s="4"/>
      <c r="H13294" s="4"/>
      <c r="I13294" s="4"/>
      <c r="J13294" s="4"/>
      <c r="K13294" s="4"/>
      <c r="L13294" s="4"/>
      <c r="M13294" s="4"/>
      <c r="N13294" s="4"/>
    </row>
    <row r="13295" spans="1:14" ht="12.75" customHeight="1" x14ac:dyDescent="0.2">
      <c r="A13295" s="398" t="s">
        <v>929</v>
      </c>
      <c r="B13295" s="271"/>
      <c r="C13295" s="271"/>
      <c r="D13295" s="271"/>
      <c r="E13295" s="271"/>
      <c r="F13295" s="271"/>
      <c r="G13295" s="271"/>
      <c r="H13295" s="271"/>
      <c r="I13295" s="271"/>
      <c r="J13295" s="271"/>
      <c r="K13295" s="271"/>
      <c r="L13295" s="271"/>
      <c r="M13295" s="271"/>
      <c r="N13295" s="273"/>
    </row>
    <row r="13296" spans="1:14" ht="12.75" customHeight="1" x14ac:dyDescent="0.2">
      <c r="A13296" s="396" t="s">
        <v>76</v>
      </c>
      <c r="B13296" s="271"/>
      <c r="C13296" s="271"/>
      <c r="D13296" s="271"/>
      <c r="E13296" s="271"/>
      <c r="F13296" s="271"/>
      <c r="G13296" s="273"/>
      <c r="H13296" s="88" t="s">
        <v>77</v>
      </c>
      <c r="I13296" s="399" t="s">
        <v>920</v>
      </c>
      <c r="J13296" s="273"/>
      <c r="K13296" s="399" t="s">
        <v>453</v>
      </c>
      <c r="L13296" s="273"/>
      <c r="M13296" s="399" t="s">
        <v>921</v>
      </c>
      <c r="N13296" s="273"/>
    </row>
    <row r="13297" spans="1:15" ht="12.75" customHeight="1" x14ac:dyDescent="0.2">
      <c r="A13297" s="400" t="s">
        <v>1559</v>
      </c>
      <c r="B13297" s="271"/>
      <c r="C13297" s="271"/>
      <c r="D13297" s="271"/>
      <c r="E13297" s="271"/>
      <c r="F13297" s="271"/>
      <c r="G13297" s="273"/>
      <c r="H13297" s="29" t="str">
        <f>IF(A13297="","",VLOOKUP(A13297,AA_Equipos,7,FALSE))</f>
        <v>Día</v>
      </c>
      <c r="I13297" s="394">
        <f>IF(A13297="","",VLOOKUP(A13297,AA_Equipos,8,FALSE))</f>
        <v>74400</v>
      </c>
      <c r="J13297" s="273"/>
      <c r="K13297" s="395">
        <v>0.5</v>
      </c>
      <c r="L13297" s="273"/>
      <c r="M13297" s="394">
        <f t="shared" ref="M13297:M13300" si="1738">IF(A13297="","",I13297*K13297)</f>
        <v>37200</v>
      </c>
      <c r="N13297" s="273"/>
    </row>
    <row r="13298" spans="1:15" ht="12.75" customHeight="1" x14ac:dyDescent="0.2">
      <c r="A13298" s="400" t="s">
        <v>930</v>
      </c>
      <c r="B13298" s="271"/>
      <c r="C13298" s="271"/>
      <c r="D13298" s="271"/>
      <c r="E13298" s="271"/>
      <c r="F13298" s="271"/>
      <c r="G13298" s="273"/>
      <c r="H13298" s="29" t="s">
        <v>24</v>
      </c>
      <c r="I13298" s="394">
        <f>+M13284+M13293</f>
        <v>571328</v>
      </c>
      <c r="J13298" s="273"/>
      <c r="K13298" s="405">
        <v>0.05</v>
      </c>
      <c r="L13298" s="406"/>
      <c r="M13298" s="394">
        <f t="shared" si="1738"/>
        <v>28566.400000000001</v>
      </c>
      <c r="N13298" s="273"/>
    </row>
    <row r="13299" spans="1:15" ht="12.75" customHeight="1" x14ac:dyDescent="0.2">
      <c r="A13299" s="400"/>
      <c r="B13299" s="271"/>
      <c r="C13299" s="271"/>
      <c r="D13299" s="271"/>
      <c r="E13299" s="271"/>
      <c r="F13299" s="271"/>
      <c r="G13299" s="273"/>
      <c r="H13299" s="29"/>
      <c r="I13299" s="394"/>
      <c r="J13299" s="273"/>
      <c r="K13299" s="395"/>
      <c r="L13299" s="273"/>
      <c r="M13299" s="394" t="str">
        <f t="shared" si="1738"/>
        <v/>
      </c>
      <c r="N13299" s="273"/>
    </row>
    <row r="13300" spans="1:15" ht="12.75" customHeight="1" x14ac:dyDescent="0.2">
      <c r="A13300" s="400"/>
      <c r="B13300" s="271"/>
      <c r="C13300" s="271"/>
      <c r="D13300" s="271"/>
      <c r="E13300" s="271"/>
      <c r="F13300" s="271"/>
      <c r="G13300" s="273"/>
      <c r="H13300" s="29"/>
      <c r="I13300" s="394"/>
      <c r="J13300" s="273"/>
      <c r="K13300" s="395"/>
      <c r="L13300" s="273"/>
      <c r="M13300" s="394" t="str">
        <f t="shared" si="1738"/>
        <v/>
      </c>
      <c r="N13300" s="273"/>
    </row>
    <row r="13301" spans="1:15" ht="12.75" customHeight="1" x14ac:dyDescent="0.25">
      <c r="A13301" s="4"/>
      <c r="B13301" s="4"/>
      <c r="C13301" s="4"/>
      <c r="D13301" s="4"/>
      <c r="E13301" s="4"/>
      <c r="F13301" s="4"/>
      <c r="G13301" s="4"/>
      <c r="H13301" s="4"/>
      <c r="I13301" s="4"/>
      <c r="J13301" s="4"/>
      <c r="K13301" s="396" t="s">
        <v>444</v>
      </c>
      <c r="L13301" s="273"/>
      <c r="M13301" s="394">
        <f>SUM(M13297:N13300)</f>
        <v>65766.399999999994</v>
      </c>
      <c r="N13301" s="273"/>
    </row>
    <row r="13302" spans="1:15" ht="12.75" customHeight="1" x14ac:dyDescent="0.25">
      <c r="A13302" s="4"/>
      <c r="B13302" s="4"/>
      <c r="C13302" s="4"/>
      <c r="D13302" s="4"/>
      <c r="E13302" s="4"/>
      <c r="F13302" s="4"/>
      <c r="G13302" s="4"/>
      <c r="H13302" s="4"/>
      <c r="I13302" s="4"/>
      <c r="J13302" s="4"/>
      <c r="K13302" s="4"/>
      <c r="L13302" s="4"/>
      <c r="M13302" s="4"/>
      <c r="N13302" s="4"/>
    </row>
    <row r="13303" spans="1:15" ht="12.75" customHeight="1" x14ac:dyDescent="0.2">
      <c r="A13303" s="398" t="s">
        <v>931</v>
      </c>
      <c r="B13303" s="271"/>
      <c r="C13303" s="271"/>
      <c r="D13303" s="271"/>
      <c r="E13303" s="271"/>
      <c r="F13303" s="271"/>
      <c r="G13303" s="271"/>
      <c r="H13303" s="271"/>
      <c r="I13303" s="271"/>
      <c r="J13303" s="271"/>
      <c r="K13303" s="271"/>
      <c r="L13303" s="271"/>
      <c r="M13303" s="271"/>
      <c r="N13303" s="273"/>
    </row>
    <row r="13304" spans="1:15" ht="12.75" customHeight="1" x14ac:dyDescent="0.2">
      <c r="A13304" s="396" t="s">
        <v>76</v>
      </c>
      <c r="B13304" s="271"/>
      <c r="C13304" s="271"/>
      <c r="D13304" s="271"/>
      <c r="E13304" s="271"/>
      <c r="F13304" s="271"/>
      <c r="G13304" s="273"/>
      <c r="H13304" s="88" t="s">
        <v>77</v>
      </c>
      <c r="I13304" s="399" t="s">
        <v>920</v>
      </c>
      <c r="J13304" s="273"/>
      <c r="K13304" s="90" t="s">
        <v>514</v>
      </c>
      <c r="L13304" s="91" t="s">
        <v>932</v>
      </c>
      <c r="M13304" s="399" t="s">
        <v>921</v>
      </c>
      <c r="N13304" s="273"/>
    </row>
    <row r="13305" spans="1:15" ht="12.75" customHeight="1" x14ac:dyDescent="0.25">
      <c r="A13305" s="393" t="s">
        <v>1301</v>
      </c>
      <c r="B13305" s="271"/>
      <c r="C13305" s="271"/>
      <c r="D13305" s="271"/>
      <c r="E13305" s="271"/>
      <c r="F13305" s="271"/>
      <c r="G13305" s="273"/>
      <c r="H13305" s="29" t="str">
        <f>IF(A13305="","",VLOOKUP(A13305,AA_Cuadrillas,4,FALSE))</f>
        <v>Cuadrilla</v>
      </c>
      <c r="I13305" s="394">
        <f>IF(A13305="","",VLOOKUP(A13305,AA_Cuadrillas,5,FALSE))</f>
        <v>132500</v>
      </c>
      <c r="J13305" s="273"/>
      <c r="K13305" s="9">
        <f>IF(A13305="","",F.P!$I$2)</f>
        <v>1.88</v>
      </c>
      <c r="L13305" s="97">
        <v>1</v>
      </c>
      <c r="M13305" s="394">
        <f t="shared" ref="M13305:M13309" si="1739">IF(A13305="","",I13305*K13305*L13305)</f>
        <v>249100</v>
      </c>
      <c r="N13305" s="273"/>
    </row>
    <row r="13306" spans="1:15" ht="12.75" customHeight="1" x14ac:dyDescent="0.25">
      <c r="A13306" s="393"/>
      <c r="B13306" s="271"/>
      <c r="C13306" s="271"/>
      <c r="D13306" s="271"/>
      <c r="E13306" s="271"/>
      <c r="F13306" s="271"/>
      <c r="G13306" s="273"/>
      <c r="H13306" s="29" t="str">
        <f>IF(A13306="","",VLOOKUP(A13306,AA_Cuadrillas,4,FALSE))</f>
        <v/>
      </c>
      <c r="I13306" s="394" t="str">
        <f>IF(A13306="","",VLOOKUP(A13306,AA_Cuadrillas,5,FALSE))</f>
        <v/>
      </c>
      <c r="J13306" s="273"/>
      <c r="K13306" s="9" t="str">
        <f>IF(A13306="","",F.P!$I$2)</f>
        <v/>
      </c>
      <c r="L13306" s="9"/>
      <c r="M13306" s="394" t="str">
        <f t="shared" si="1739"/>
        <v/>
      </c>
      <c r="N13306" s="273"/>
    </row>
    <row r="13307" spans="1:15" ht="12.75" customHeight="1" x14ac:dyDescent="0.25">
      <c r="A13307" s="393"/>
      <c r="B13307" s="271"/>
      <c r="C13307" s="271"/>
      <c r="D13307" s="271"/>
      <c r="E13307" s="271"/>
      <c r="F13307" s="271"/>
      <c r="G13307" s="273"/>
      <c r="H13307" s="29" t="str">
        <f>IF(A13307="","",VLOOKUP(A13307,AA_Cuadrillas,4,FALSE))</f>
        <v/>
      </c>
      <c r="I13307" s="394" t="str">
        <f>IF(A13307="","",VLOOKUP(A13307,AA_Cuadrillas,5,FALSE))</f>
        <v/>
      </c>
      <c r="J13307" s="273"/>
      <c r="K13307" s="9" t="str">
        <f>IF(A13307="","",F.P!$I$2)</f>
        <v/>
      </c>
      <c r="L13307" s="37"/>
      <c r="M13307" s="394" t="str">
        <f t="shared" si="1739"/>
        <v/>
      </c>
      <c r="N13307" s="273"/>
    </row>
    <row r="13308" spans="1:15" ht="12.75" customHeight="1" x14ac:dyDescent="0.25">
      <c r="A13308" s="393"/>
      <c r="B13308" s="271"/>
      <c r="C13308" s="271"/>
      <c r="D13308" s="271"/>
      <c r="E13308" s="271"/>
      <c r="F13308" s="271"/>
      <c r="G13308" s="273"/>
      <c r="H13308" s="29" t="str">
        <f>IF(A13308="","",VLOOKUP(A13308,AA_Cuadrillas,4,FALSE))</f>
        <v/>
      </c>
      <c r="I13308" s="394" t="str">
        <f>IF(A13308="","",VLOOKUP(A13308,AA_Cuadrillas,5,FALSE))</f>
        <v/>
      </c>
      <c r="J13308" s="273"/>
      <c r="K13308" s="9" t="str">
        <f>IF(A13308="","",F.P!$I$2)</f>
        <v/>
      </c>
      <c r="L13308" s="97"/>
      <c r="M13308" s="394" t="str">
        <f t="shared" si="1739"/>
        <v/>
      </c>
      <c r="N13308" s="273"/>
    </row>
    <row r="13309" spans="1:15" ht="12.75" customHeight="1" x14ac:dyDescent="0.25">
      <c r="A13309" s="393"/>
      <c r="B13309" s="271"/>
      <c r="C13309" s="271"/>
      <c r="D13309" s="271"/>
      <c r="E13309" s="271"/>
      <c r="F13309" s="271"/>
      <c r="G13309" s="273"/>
      <c r="H13309" s="29" t="str">
        <f>IF(A13309="","",VLOOKUP(A13309,AA_Cuadrillas,4,FALSE))</f>
        <v/>
      </c>
      <c r="I13309" s="394" t="str">
        <f>IF(A13309="","",VLOOKUP(A13309,AA_Cuadrillas,5,FALSE))</f>
        <v/>
      </c>
      <c r="J13309" s="273"/>
      <c r="K13309" s="9" t="str">
        <f>IF(A13309="","",F.P!$I$2)</f>
        <v/>
      </c>
      <c r="L13309" s="37"/>
      <c r="M13309" s="394" t="str">
        <f t="shared" si="1739"/>
        <v/>
      </c>
      <c r="N13309" s="273"/>
    </row>
    <row r="13310" spans="1:15" ht="12.75" customHeight="1" x14ac:dyDescent="0.25">
      <c r="A13310" s="4"/>
      <c r="B13310" s="4"/>
      <c r="C13310" s="4"/>
      <c r="D13310" s="4"/>
      <c r="E13310" s="4"/>
      <c r="F13310" s="4"/>
      <c r="G13310" s="4"/>
      <c r="H13310" s="4"/>
      <c r="I13310" s="4"/>
      <c r="J13310" s="4"/>
      <c r="K13310" s="396" t="s">
        <v>444</v>
      </c>
      <c r="L13310" s="273"/>
      <c r="M13310" s="394">
        <f>SUM(M13305:N13309)</f>
        <v>249100</v>
      </c>
      <c r="N13310" s="273"/>
    </row>
    <row r="13311" spans="1:15" ht="12.75" customHeight="1" x14ac:dyDescent="0.2"/>
    <row r="13312" spans="1:15" ht="12.75" customHeight="1" x14ac:dyDescent="0.2">
      <c r="A13312" s="397" t="s">
        <v>430</v>
      </c>
      <c r="B13312" s="275"/>
      <c r="C13312" s="275"/>
      <c r="D13312" s="275"/>
      <c r="E13312" s="275"/>
      <c r="F13312" s="275"/>
      <c r="G13312" s="275"/>
      <c r="H13312" s="275"/>
      <c r="I13312" s="275"/>
      <c r="J13312" s="275"/>
      <c r="K13312" s="275"/>
      <c r="L13312" s="275"/>
      <c r="M13312" s="275"/>
      <c r="N13312" s="276"/>
      <c r="O13312" s="166"/>
    </row>
    <row r="13313" spans="1:15" ht="12.75" customHeight="1" x14ac:dyDescent="0.2">
      <c r="A13313" s="277"/>
      <c r="B13313" s="278"/>
      <c r="C13313" s="278"/>
      <c r="D13313" s="278"/>
      <c r="E13313" s="278"/>
      <c r="F13313" s="278"/>
      <c r="G13313" s="278"/>
      <c r="H13313" s="278"/>
      <c r="I13313" s="278"/>
      <c r="J13313" s="278"/>
      <c r="K13313" s="278"/>
      <c r="L13313" s="278"/>
      <c r="M13313" s="278"/>
      <c r="N13313" s="279"/>
      <c r="O13313" s="166"/>
    </row>
    <row r="13314" spans="1:15" ht="12.75" customHeight="1" x14ac:dyDescent="0.2">
      <c r="A13314" s="75"/>
      <c r="B13314" s="75"/>
      <c r="C13314" s="75"/>
      <c r="D13314" s="75"/>
      <c r="E13314" s="75"/>
      <c r="F13314" s="75"/>
      <c r="G13314" s="75"/>
      <c r="H13314" s="75"/>
      <c r="I13314" s="75"/>
      <c r="J13314" s="75"/>
      <c r="K13314" s="75"/>
      <c r="L13314" s="75"/>
      <c r="M13314" s="75"/>
      <c r="N13314" s="75"/>
    </row>
    <row r="13315" spans="1:15" ht="12.75" customHeight="1" x14ac:dyDescent="0.3">
      <c r="A13315" s="79" t="s">
        <v>904</v>
      </c>
      <c r="B13315" s="80" t="str">
        <f>A13312</f>
        <v>TD: SUMINISTRO E INSTALACIÓN DE TABLERO TRIFÁSICO FABRICACIÓN ESPECIAL CON TOTALIZADOR 3X80A - 10KA, BARRAJE PRINCIPAL, BREAKER 3X75A, RIEL 2X20A (INCLUYE ENCERRAMIENTO METÁLICO, PUERTA Y FRENTE MUERTO)</v>
      </c>
      <c r="C13315" s="81" t="s">
        <v>916</v>
      </c>
      <c r="D13315" s="82" t="s">
        <v>999</v>
      </c>
      <c r="E13315" s="83" t="s">
        <v>445</v>
      </c>
      <c r="F13315" s="234">
        <f>(H13315+J13315+L13315+N13315)*1.3</f>
        <v>3444717.8024999998</v>
      </c>
      <c r="G13315" s="83" t="s">
        <v>607</v>
      </c>
      <c r="H13315" s="86">
        <f>M13334</f>
        <v>2078206</v>
      </c>
      <c r="I13315" s="83" t="s">
        <v>918</v>
      </c>
      <c r="J13315" s="86">
        <f>M13343</f>
        <v>18682.5</v>
      </c>
      <c r="K13315" s="83" t="s">
        <v>609</v>
      </c>
      <c r="L13315" s="86">
        <f>M13351</f>
        <v>179244.42499999999</v>
      </c>
      <c r="M13315" s="83" t="s">
        <v>610</v>
      </c>
      <c r="N13315" s="86">
        <f>M13360</f>
        <v>373650</v>
      </c>
    </row>
    <row r="13316" spans="1:15" ht="12.75" customHeight="1" x14ac:dyDescent="0.25">
      <c r="A13316" s="87"/>
      <c r="B13316" s="87"/>
      <c r="C13316" s="87"/>
      <c r="D13316" s="87"/>
      <c r="E13316" s="87"/>
      <c r="F13316" s="87"/>
      <c r="G13316" s="87"/>
      <c r="H13316" s="12"/>
      <c r="I13316" s="12"/>
      <c r="J13316" s="87"/>
      <c r="K13316" s="215" t="s">
        <v>3217</v>
      </c>
      <c r="L13316" s="215">
        <f>+F13315*presup!$O$5</f>
        <v>4478133.1432499997</v>
      </c>
      <c r="M13316" s="87"/>
      <c r="N13316" s="87"/>
    </row>
    <row r="13317" spans="1:15" ht="12.75" customHeight="1" x14ac:dyDescent="0.2">
      <c r="A13317" s="398" t="s">
        <v>919</v>
      </c>
      <c r="B13317" s="271"/>
      <c r="C13317" s="271"/>
      <c r="D13317" s="271"/>
      <c r="E13317" s="271"/>
      <c r="F13317" s="271"/>
      <c r="G13317" s="271"/>
      <c r="H13317" s="271"/>
      <c r="I13317" s="271"/>
      <c r="J13317" s="271"/>
      <c r="K13317" s="271"/>
      <c r="L13317" s="271"/>
      <c r="M13317" s="271"/>
      <c r="N13317" s="273"/>
    </row>
    <row r="13318" spans="1:15" ht="12.75" customHeight="1" x14ac:dyDescent="0.2">
      <c r="A13318" s="396" t="s">
        <v>76</v>
      </c>
      <c r="B13318" s="271"/>
      <c r="C13318" s="271"/>
      <c r="D13318" s="271"/>
      <c r="E13318" s="271"/>
      <c r="F13318" s="271"/>
      <c r="G13318" s="273"/>
      <c r="H13318" s="88" t="s">
        <v>77</v>
      </c>
      <c r="I13318" s="399" t="s">
        <v>920</v>
      </c>
      <c r="J13318" s="273"/>
      <c r="K13318" s="399" t="s">
        <v>453</v>
      </c>
      <c r="L13318" s="273"/>
      <c r="M13318" s="399" t="s">
        <v>921</v>
      </c>
      <c r="N13318" s="273"/>
    </row>
    <row r="13319" spans="1:15" ht="12.75" customHeight="1" x14ac:dyDescent="0.25">
      <c r="A13319" s="309" t="s">
        <v>1718</v>
      </c>
      <c r="B13319" s="271"/>
      <c r="C13319" s="271"/>
      <c r="D13319" s="271"/>
      <c r="E13319" s="271"/>
      <c r="F13319" s="271"/>
      <c r="G13319" s="273"/>
      <c r="H13319" s="29" t="str">
        <f t="shared" ref="H13319:H13333" si="1740">IF(A13319="","",VLOOKUP(A13319,AA_Materiales,7,FALSE))</f>
        <v>Unidad</v>
      </c>
      <c r="I13319" s="394">
        <f t="shared" ref="I13319:I13333" si="1741">IF(A13319="","",VLOOKUP(A13319,AA_Materiales,8,FALSE))</f>
        <v>1101940</v>
      </c>
      <c r="J13319" s="273"/>
      <c r="K13319" s="393">
        <v>1</v>
      </c>
      <c r="L13319" s="273"/>
      <c r="M13319" s="394">
        <f t="shared" ref="M13319:M13333" si="1742">IF(A13319="","",I13319*K13319)</f>
        <v>1101940</v>
      </c>
      <c r="N13319" s="273"/>
    </row>
    <row r="13320" spans="1:15" ht="12.75" customHeight="1" x14ac:dyDescent="0.25">
      <c r="A13320" s="309" t="s">
        <v>1719</v>
      </c>
      <c r="B13320" s="271"/>
      <c r="C13320" s="271"/>
      <c r="D13320" s="271"/>
      <c r="E13320" s="271"/>
      <c r="F13320" s="271"/>
      <c r="G13320" s="273"/>
      <c r="H13320" s="29" t="str">
        <f t="shared" si="1740"/>
        <v>Unidad</v>
      </c>
      <c r="I13320" s="394">
        <f t="shared" si="1741"/>
        <v>361438</v>
      </c>
      <c r="J13320" s="273"/>
      <c r="K13320" s="393">
        <v>1</v>
      </c>
      <c r="L13320" s="273"/>
      <c r="M13320" s="394">
        <f t="shared" si="1742"/>
        <v>361438</v>
      </c>
      <c r="N13320" s="273"/>
    </row>
    <row r="13321" spans="1:15" ht="12.75" customHeight="1" x14ac:dyDescent="0.25">
      <c r="A13321" s="309" t="s">
        <v>1720</v>
      </c>
      <c r="B13321" s="271"/>
      <c r="C13321" s="271"/>
      <c r="D13321" s="271"/>
      <c r="E13321" s="271"/>
      <c r="F13321" s="271"/>
      <c r="G13321" s="273"/>
      <c r="H13321" s="29" t="str">
        <f t="shared" si="1740"/>
        <v>Unidad</v>
      </c>
      <c r="I13321" s="394">
        <f t="shared" si="1741"/>
        <v>361438</v>
      </c>
      <c r="J13321" s="273"/>
      <c r="K13321" s="393">
        <v>1</v>
      </c>
      <c r="L13321" s="273"/>
      <c r="M13321" s="394">
        <f t="shared" si="1742"/>
        <v>361438</v>
      </c>
      <c r="N13321" s="273"/>
    </row>
    <row r="13322" spans="1:15" ht="12.75" customHeight="1" x14ac:dyDescent="0.25">
      <c r="A13322" s="309" t="s">
        <v>1692</v>
      </c>
      <c r="B13322" s="271"/>
      <c r="C13322" s="271"/>
      <c r="D13322" s="271"/>
      <c r="E13322" s="271"/>
      <c r="F13322" s="271"/>
      <c r="G13322" s="273"/>
      <c r="H13322" s="29" t="str">
        <f t="shared" si="1740"/>
        <v>Unidad</v>
      </c>
      <c r="I13322" s="394">
        <f t="shared" si="1741"/>
        <v>57117</v>
      </c>
      <c r="J13322" s="273"/>
      <c r="K13322" s="393">
        <v>1</v>
      </c>
      <c r="L13322" s="273"/>
      <c r="M13322" s="394">
        <f t="shared" si="1742"/>
        <v>57117</v>
      </c>
      <c r="N13322" s="273"/>
    </row>
    <row r="13323" spans="1:15" ht="12.75" customHeight="1" x14ac:dyDescent="0.25">
      <c r="A13323" s="309" t="s">
        <v>1693</v>
      </c>
      <c r="B13323" s="271"/>
      <c r="C13323" s="271"/>
      <c r="D13323" s="271"/>
      <c r="E13323" s="271"/>
      <c r="F13323" s="271"/>
      <c r="G13323" s="273"/>
      <c r="H13323" s="29" t="str">
        <f t="shared" si="1740"/>
        <v>Unidad</v>
      </c>
      <c r="I13323" s="394">
        <f t="shared" si="1741"/>
        <v>47523</v>
      </c>
      <c r="J13323" s="273"/>
      <c r="K13323" s="393">
        <v>1</v>
      </c>
      <c r="L13323" s="273"/>
      <c r="M13323" s="394">
        <f t="shared" si="1742"/>
        <v>47523</v>
      </c>
      <c r="N13323" s="273"/>
    </row>
    <row r="13324" spans="1:15" ht="12.75" customHeight="1" x14ac:dyDescent="0.25">
      <c r="A13324" s="309" t="s">
        <v>1593</v>
      </c>
      <c r="B13324" s="271"/>
      <c r="C13324" s="271"/>
      <c r="D13324" s="271"/>
      <c r="E13324" s="271"/>
      <c r="F13324" s="271"/>
      <c r="G13324" s="273"/>
      <c r="H13324" s="29" t="str">
        <f t="shared" si="1740"/>
        <v>Unidad</v>
      </c>
      <c r="I13324" s="394">
        <f t="shared" si="1741"/>
        <v>148750</v>
      </c>
      <c r="J13324" s="273"/>
      <c r="K13324" s="393">
        <v>1</v>
      </c>
      <c r="L13324" s="273"/>
      <c r="M13324" s="394">
        <f t="shared" si="1742"/>
        <v>148750</v>
      </c>
      <c r="N13324" s="273"/>
    </row>
    <row r="13325" spans="1:15" ht="12.75" customHeight="1" x14ac:dyDescent="0.25">
      <c r="A13325" s="309"/>
      <c r="B13325" s="271"/>
      <c r="C13325" s="271"/>
      <c r="D13325" s="271"/>
      <c r="E13325" s="271"/>
      <c r="F13325" s="271"/>
      <c r="G13325" s="273"/>
      <c r="H13325" s="29" t="str">
        <f t="shared" si="1740"/>
        <v/>
      </c>
      <c r="I13325" s="394" t="str">
        <f t="shared" si="1741"/>
        <v/>
      </c>
      <c r="J13325" s="273"/>
      <c r="K13325" s="393"/>
      <c r="L13325" s="273"/>
      <c r="M13325" s="394" t="str">
        <f t="shared" si="1742"/>
        <v/>
      </c>
      <c r="N13325" s="273"/>
    </row>
    <row r="13326" spans="1:15" ht="12.75" customHeight="1" x14ac:dyDescent="0.25">
      <c r="A13326" s="309"/>
      <c r="B13326" s="271"/>
      <c r="C13326" s="271"/>
      <c r="D13326" s="271"/>
      <c r="E13326" s="271"/>
      <c r="F13326" s="271"/>
      <c r="G13326" s="273"/>
      <c r="H13326" s="29" t="str">
        <f t="shared" si="1740"/>
        <v/>
      </c>
      <c r="I13326" s="394" t="str">
        <f t="shared" si="1741"/>
        <v/>
      </c>
      <c r="J13326" s="273"/>
      <c r="K13326" s="393"/>
      <c r="L13326" s="273"/>
      <c r="M13326" s="394" t="str">
        <f t="shared" si="1742"/>
        <v/>
      </c>
      <c r="N13326" s="273"/>
    </row>
    <row r="13327" spans="1:15" ht="12.75" customHeight="1" x14ac:dyDescent="0.25">
      <c r="A13327" s="309"/>
      <c r="B13327" s="271"/>
      <c r="C13327" s="271"/>
      <c r="D13327" s="271"/>
      <c r="E13327" s="271"/>
      <c r="F13327" s="271"/>
      <c r="G13327" s="273"/>
      <c r="H13327" s="29" t="str">
        <f t="shared" si="1740"/>
        <v/>
      </c>
      <c r="I13327" s="394" t="str">
        <f t="shared" si="1741"/>
        <v/>
      </c>
      <c r="J13327" s="273"/>
      <c r="K13327" s="393"/>
      <c r="L13327" s="273"/>
      <c r="M13327" s="394" t="str">
        <f t="shared" si="1742"/>
        <v/>
      </c>
      <c r="N13327" s="273"/>
    </row>
    <row r="13328" spans="1:15" ht="12.75" customHeight="1" x14ac:dyDescent="0.25">
      <c r="A13328" s="309"/>
      <c r="B13328" s="271"/>
      <c r="C13328" s="271"/>
      <c r="D13328" s="271"/>
      <c r="E13328" s="271"/>
      <c r="F13328" s="271"/>
      <c r="G13328" s="273"/>
      <c r="H13328" s="29" t="str">
        <f t="shared" si="1740"/>
        <v/>
      </c>
      <c r="I13328" s="394" t="str">
        <f t="shared" si="1741"/>
        <v/>
      </c>
      <c r="J13328" s="273"/>
      <c r="K13328" s="393"/>
      <c r="L13328" s="273"/>
      <c r="M13328" s="394" t="str">
        <f t="shared" si="1742"/>
        <v/>
      </c>
      <c r="N13328" s="273"/>
    </row>
    <row r="13329" spans="1:14" ht="12.75" customHeight="1" x14ac:dyDescent="0.25">
      <c r="A13329" s="309"/>
      <c r="B13329" s="271"/>
      <c r="C13329" s="271"/>
      <c r="D13329" s="271"/>
      <c r="E13329" s="271"/>
      <c r="F13329" s="271"/>
      <c r="G13329" s="273"/>
      <c r="H13329" s="29" t="str">
        <f t="shared" si="1740"/>
        <v/>
      </c>
      <c r="I13329" s="394" t="str">
        <f t="shared" si="1741"/>
        <v/>
      </c>
      <c r="J13329" s="273"/>
      <c r="K13329" s="393"/>
      <c r="L13329" s="273"/>
      <c r="M13329" s="394" t="str">
        <f t="shared" si="1742"/>
        <v/>
      </c>
      <c r="N13329" s="273"/>
    </row>
    <row r="13330" spans="1:14" ht="12.75" customHeight="1" x14ac:dyDescent="0.25">
      <c r="A13330" s="309"/>
      <c r="B13330" s="271"/>
      <c r="C13330" s="271"/>
      <c r="D13330" s="271"/>
      <c r="E13330" s="271"/>
      <c r="F13330" s="271"/>
      <c r="G13330" s="273"/>
      <c r="H13330" s="29" t="str">
        <f t="shared" si="1740"/>
        <v/>
      </c>
      <c r="I13330" s="394" t="str">
        <f t="shared" si="1741"/>
        <v/>
      </c>
      <c r="J13330" s="273"/>
      <c r="K13330" s="393"/>
      <c r="L13330" s="273"/>
      <c r="M13330" s="394" t="str">
        <f t="shared" si="1742"/>
        <v/>
      </c>
      <c r="N13330" s="273"/>
    </row>
    <row r="13331" spans="1:14" ht="12.75" customHeight="1" x14ac:dyDescent="0.25">
      <c r="A13331" s="309"/>
      <c r="B13331" s="271"/>
      <c r="C13331" s="271"/>
      <c r="D13331" s="271"/>
      <c r="E13331" s="271"/>
      <c r="F13331" s="271"/>
      <c r="G13331" s="273"/>
      <c r="H13331" s="29" t="str">
        <f t="shared" si="1740"/>
        <v/>
      </c>
      <c r="I13331" s="394" t="str">
        <f t="shared" si="1741"/>
        <v/>
      </c>
      <c r="J13331" s="273"/>
      <c r="K13331" s="393"/>
      <c r="L13331" s="273"/>
      <c r="M13331" s="394" t="str">
        <f t="shared" si="1742"/>
        <v/>
      </c>
      <c r="N13331" s="273"/>
    </row>
    <row r="13332" spans="1:14" ht="12.75" customHeight="1" x14ac:dyDescent="0.25">
      <c r="A13332" s="309"/>
      <c r="B13332" s="271"/>
      <c r="C13332" s="271"/>
      <c r="D13332" s="271"/>
      <c r="E13332" s="271"/>
      <c r="F13332" s="271"/>
      <c r="G13332" s="273"/>
      <c r="H13332" s="29" t="str">
        <f t="shared" si="1740"/>
        <v/>
      </c>
      <c r="I13332" s="394" t="str">
        <f t="shared" si="1741"/>
        <v/>
      </c>
      <c r="J13332" s="273"/>
      <c r="K13332" s="393"/>
      <c r="L13332" s="273"/>
      <c r="M13332" s="394" t="str">
        <f t="shared" si="1742"/>
        <v/>
      </c>
      <c r="N13332" s="273"/>
    </row>
    <row r="13333" spans="1:14" ht="12.75" customHeight="1" x14ac:dyDescent="0.25">
      <c r="A13333" s="309"/>
      <c r="B13333" s="271"/>
      <c r="C13333" s="271"/>
      <c r="D13333" s="271"/>
      <c r="E13333" s="271"/>
      <c r="F13333" s="271"/>
      <c r="G13333" s="273"/>
      <c r="H13333" s="29" t="str">
        <f t="shared" si="1740"/>
        <v/>
      </c>
      <c r="I13333" s="394" t="str">
        <f t="shared" si="1741"/>
        <v/>
      </c>
      <c r="J13333" s="273"/>
      <c r="K13333" s="393"/>
      <c r="L13333" s="273"/>
      <c r="M13333" s="394" t="str">
        <f t="shared" si="1742"/>
        <v/>
      </c>
      <c r="N13333" s="273"/>
    </row>
    <row r="13334" spans="1:14" ht="12.75" customHeight="1" x14ac:dyDescent="0.25">
      <c r="A13334" s="4"/>
      <c r="B13334" s="4"/>
      <c r="C13334" s="4"/>
      <c r="D13334" s="4"/>
      <c r="E13334" s="4"/>
      <c r="F13334" s="4"/>
      <c r="G13334" s="4"/>
      <c r="H13334" s="4"/>
      <c r="I13334" s="4"/>
      <c r="J13334" s="4"/>
      <c r="K13334" s="396" t="s">
        <v>444</v>
      </c>
      <c r="L13334" s="273"/>
      <c r="M13334" s="394">
        <f>SUM(M13319:N13333)</f>
        <v>2078206</v>
      </c>
      <c r="N13334" s="273"/>
    </row>
    <row r="13335" spans="1:14" ht="12.75" customHeight="1" x14ac:dyDescent="0.25">
      <c r="A13335" s="4"/>
      <c r="B13335" s="4"/>
      <c r="C13335" s="4"/>
      <c r="D13335" s="4"/>
      <c r="E13335" s="4"/>
      <c r="F13335" s="4"/>
      <c r="G13335" s="4"/>
      <c r="H13335" s="4"/>
      <c r="I13335" s="4"/>
      <c r="J13335" s="4"/>
      <c r="K13335" s="4"/>
      <c r="L13335" s="4"/>
      <c r="M13335" s="4"/>
      <c r="N13335" s="4"/>
    </row>
    <row r="13336" spans="1:14" ht="12.75" customHeight="1" x14ac:dyDescent="0.2">
      <c r="A13336" s="398" t="s">
        <v>926</v>
      </c>
      <c r="B13336" s="271"/>
      <c r="C13336" s="271"/>
      <c r="D13336" s="271"/>
      <c r="E13336" s="271"/>
      <c r="F13336" s="271"/>
      <c r="G13336" s="271"/>
      <c r="H13336" s="271"/>
      <c r="I13336" s="271"/>
      <c r="J13336" s="271"/>
      <c r="K13336" s="271"/>
      <c r="L13336" s="271"/>
      <c r="M13336" s="271"/>
      <c r="N13336" s="273"/>
    </row>
    <row r="13337" spans="1:14" ht="12.75" customHeight="1" x14ac:dyDescent="0.2">
      <c r="A13337" s="396" t="s">
        <v>76</v>
      </c>
      <c r="B13337" s="271"/>
      <c r="C13337" s="271"/>
      <c r="D13337" s="271"/>
      <c r="E13337" s="271"/>
      <c r="F13337" s="271"/>
      <c r="G13337" s="273"/>
      <c r="H13337" s="88" t="s">
        <v>77</v>
      </c>
      <c r="I13337" s="399" t="s">
        <v>920</v>
      </c>
      <c r="J13337" s="273"/>
      <c r="K13337" s="399" t="s">
        <v>453</v>
      </c>
      <c r="L13337" s="273"/>
      <c r="M13337" s="399" t="s">
        <v>921</v>
      </c>
      <c r="N13337" s="273"/>
    </row>
    <row r="13338" spans="1:14" ht="12.75" customHeight="1" x14ac:dyDescent="0.2">
      <c r="A13338" s="400" t="s">
        <v>927</v>
      </c>
      <c r="B13338" s="271"/>
      <c r="C13338" s="271"/>
      <c r="D13338" s="271"/>
      <c r="E13338" s="271"/>
      <c r="F13338" s="271"/>
      <c r="G13338" s="273"/>
      <c r="H13338" s="29" t="str">
        <f>IF(A13338="","",VLOOKUP(A13338,AA_Equipos,7,FALSE))</f>
        <v>% M.O.</v>
      </c>
      <c r="I13338" s="394">
        <f>+M13360</f>
        <v>373650</v>
      </c>
      <c r="J13338" s="273"/>
      <c r="K13338" s="404">
        <v>0.05</v>
      </c>
      <c r="L13338" s="273"/>
      <c r="M13338" s="394">
        <f t="shared" ref="M13338:M13342" si="1743">IF(A13338="","",I13338*K13338)</f>
        <v>18682.5</v>
      </c>
      <c r="N13338" s="273"/>
    </row>
    <row r="13339" spans="1:14" ht="12.75" customHeight="1" x14ac:dyDescent="0.2">
      <c r="A13339" s="403"/>
      <c r="B13339" s="271"/>
      <c r="C13339" s="271"/>
      <c r="D13339" s="271"/>
      <c r="E13339" s="271"/>
      <c r="F13339" s="271"/>
      <c r="G13339" s="273"/>
      <c r="H13339" s="29" t="str">
        <f>IF(A13339="","",VLOOKUP(A13339,AA_Equipos,7,FALSE))</f>
        <v/>
      </c>
      <c r="I13339" s="394" t="str">
        <f>IF(A13339="","",VLOOKUP(A13339,AA_Equipos,8,FALSE))</f>
        <v/>
      </c>
      <c r="J13339" s="273"/>
      <c r="K13339" s="402"/>
      <c r="L13339" s="273"/>
      <c r="M13339" s="394" t="str">
        <f t="shared" si="1743"/>
        <v/>
      </c>
      <c r="N13339" s="273"/>
    </row>
    <row r="13340" spans="1:14" ht="12.75" customHeight="1" x14ac:dyDescent="0.2">
      <c r="A13340" s="400"/>
      <c r="B13340" s="271"/>
      <c r="C13340" s="271"/>
      <c r="D13340" s="271"/>
      <c r="E13340" s="271"/>
      <c r="F13340" s="271"/>
      <c r="G13340" s="273"/>
      <c r="H13340" s="29" t="str">
        <f>IF(A13340="","",VLOOKUP(A13340,AA_Equipos,7,FALSE))</f>
        <v/>
      </c>
      <c r="I13340" s="394" t="str">
        <f>IF(A13340="","",VLOOKUP(A13340,AA_Equipos,8,FALSE))</f>
        <v/>
      </c>
      <c r="J13340" s="273"/>
      <c r="K13340" s="401"/>
      <c r="L13340" s="273"/>
      <c r="M13340" s="394" t="str">
        <f t="shared" si="1743"/>
        <v/>
      </c>
      <c r="N13340" s="273"/>
    </row>
    <row r="13341" spans="1:14" ht="12.75" customHeight="1" x14ac:dyDescent="0.2">
      <c r="A13341" s="400"/>
      <c r="B13341" s="271"/>
      <c r="C13341" s="271"/>
      <c r="D13341" s="271"/>
      <c r="E13341" s="271"/>
      <c r="F13341" s="271"/>
      <c r="G13341" s="273"/>
      <c r="H13341" s="29" t="str">
        <f>IF(A13341="","",VLOOKUP(A13341,AA_Equipos,7,FALSE))</f>
        <v/>
      </c>
      <c r="I13341" s="394" t="str">
        <f>IF(A13341="","",VLOOKUP(A13341,AA_Equipos,8,FALSE))</f>
        <v/>
      </c>
      <c r="J13341" s="273"/>
      <c r="K13341" s="395"/>
      <c r="L13341" s="273"/>
      <c r="M13341" s="394" t="str">
        <f t="shared" si="1743"/>
        <v/>
      </c>
      <c r="N13341" s="273"/>
    </row>
    <row r="13342" spans="1:14" ht="12.75" customHeight="1" x14ac:dyDescent="0.2">
      <c r="A13342" s="400"/>
      <c r="B13342" s="271"/>
      <c r="C13342" s="271"/>
      <c r="D13342" s="271"/>
      <c r="E13342" s="271"/>
      <c r="F13342" s="271"/>
      <c r="G13342" s="273"/>
      <c r="H13342" s="29" t="str">
        <f>IF(A13342="","",VLOOKUP(A13342,AA_Equipos,7,FALSE))</f>
        <v/>
      </c>
      <c r="I13342" s="394" t="str">
        <f>IF(A13342="","",VLOOKUP(A13342,AA_Equipos,8,FALSE))</f>
        <v/>
      </c>
      <c r="J13342" s="273"/>
      <c r="K13342" s="395"/>
      <c r="L13342" s="273"/>
      <c r="M13342" s="394" t="str">
        <f t="shared" si="1743"/>
        <v/>
      </c>
      <c r="N13342" s="273"/>
    </row>
    <row r="13343" spans="1:14" ht="12.75" customHeight="1" x14ac:dyDescent="0.25">
      <c r="A13343" s="4"/>
      <c r="B13343" s="4"/>
      <c r="C13343" s="4"/>
      <c r="D13343" s="4"/>
      <c r="E13343" s="4"/>
      <c r="F13343" s="4"/>
      <c r="G13343" s="4"/>
      <c r="H13343" s="4"/>
      <c r="I13343" s="4"/>
      <c r="J13343" s="4"/>
      <c r="K13343" s="396" t="s">
        <v>444</v>
      </c>
      <c r="L13343" s="273"/>
      <c r="M13343" s="394">
        <f>SUM(M13338:N13342)</f>
        <v>18682.5</v>
      </c>
      <c r="N13343" s="273"/>
    </row>
    <row r="13344" spans="1:14" ht="12.75" customHeight="1" x14ac:dyDescent="0.25">
      <c r="A13344" s="4"/>
      <c r="B13344" s="4"/>
      <c r="C13344" s="4"/>
      <c r="D13344" s="4"/>
      <c r="E13344" s="4"/>
      <c r="F13344" s="4"/>
      <c r="G13344" s="4"/>
      <c r="H13344" s="4"/>
      <c r="I13344" s="4"/>
      <c r="J13344" s="4"/>
      <c r="K13344" s="4"/>
      <c r="L13344" s="4"/>
      <c r="M13344" s="4"/>
      <c r="N13344" s="4"/>
    </row>
    <row r="13345" spans="1:14" ht="12.75" customHeight="1" x14ac:dyDescent="0.2">
      <c r="A13345" s="398" t="s">
        <v>929</v>
      </c>
      <c r="B13345" s="271"/>
      <c r="C13345" s="271"/>
      <c r="D13345" s="271"/>
      <c r="E13345" s="271"/>
      <c r="F13345" s="271"/>
      <c r="G13345" s="271"/>
      <c r="H13345" s="271"/>
      <c r="I13345" s="271"/>
      <c r="J13345" s="271"/>
      <c r="K13345" s="271"/>
      <c r="L13345" s="271"/>
      <c r="M13345" s="271"/>
      <c r="N13345" s="273"/>
    </row>
    <row r="13346" spans="1:14" ht="12.75" customHeight="1" x14ac:dyDescent="0.2">
      <c r="A13346" s="396" t="s">
        <v>76</v>
      </c>
      <c r="B13346" s="271"/>
      <c r="C13346" s="271"/>
      <c r="D13346" s="271"/>
      <c r="E13346" s="271"/>
      <c r="F13346" s="271"/>
      <c r="G13346" s="273"/>
      <c r="H13346" s="88" t="s">
        <v>77</v>
      </c>
      <c r="I13346" s="399" t="s">
        <v>920</v>
      </c>
      <c r="J13346" s="273"/>
      <c r="K13346" s="399" t="s">
        <v>453</v>
      </c>
      <c r="L13346" s="273"/>
      <c r="M13346" s="399" t="s">
        <v>921</v>
      </c>
      <c r="N13346" s="273"/>
    </row>
    <row r="13347" spans="1:14" ht="12.75" customHeight="1" x14ac:dyDescent="0.2">
      <c r="A13347" s="400" t="s">
        <v>1559</v>
      </c>
      <c r="B13347" s="271"/>
      <c r="C13347" s="271"/>
      <c r="D13347" s="271"/>
      <c r="E13347" s="271"/>
      <c r="F13347" s="271"/>
      <c r="G13347" s="273"/>
      <c r="H13347" s="29" t="str">
        <f>IF(A13347="","",VLOOKUP(A13347,AA_Equipos,7,FALSE))</f>
        <v>Día</v>
      </c>
      <c r="I13347" s="394">
        <f>IF(A13347="","",VLOOKUP(A13347,AA_Equipos,8,FALSE))</f>
        <v>74400</v>
      </c>
      <c r="J13347" s="273"/>
      <c r="K13347" s="395">
        <v>1</v>
      </c>
      <c r="L13347" s="273"/>
      <c r="M13347" s="394">
        <f t="shared" ref="M13347:M13350" si="1744">IF(A13347="","",I13347*K13347)</f>
        <v>74400</v>
      </c>
      <c r="N13347" s="273"/>
    </row>
    <row r="13348" spans="1:14" ht="12.75" customHeight="1" x14ac:dyDescent="0.2">
      <c r="A13348" s="400" t="s">
        <v>930</v>
      </c>
      <c r="B13348" s="271"/>
      <c r="C13348" s="271"/>
      <c r="D13348" s="271"/>
      <c r="E13348" s="271"/>
      <c r="F13348" s="271"/>
      <c r="G13348" s="273"/>
      <c r="H13348" s="29" t="s">
        <v>24</v>
      </c>
      <c r="I13348" s="394">
        <f>+M13334+M13343</f>
        <v>2096888.5</v>
      </c>
      <c r="J13348" s="273"/>
      <c r="K13348" s="405">
        <v>0.05</v>
      </c>
      <c r="L13348" s="406"/>
      <c r="M13348" s="394">
        <f t="shared" si="1744"/>
        <v>104844.425</v>
      </c>
      <c r="N13348" s="273"/>
    </row>
    <row r="13349" spans="1:14" ht="12.75" customHeight="1" x14ac:dyDescent="0.2">
      <c r="A13349" s="400"/>
      <c r="B13349" s="271"/>
      <c r="C13349" s="271"/>
      <c r="D13349" s="271"/>
      <c r="E13349" s="271"/>
      <c r="F13349" s="271"/>
      <c r="G13349" s="273"/>
      <c r="H13349" s="29"/>
      <c r="I13349" s="394"/>
      <c r="J13349" s="273"/>
      <c r="K13349" s="395"/>
      <c r="L13349" s="273"/>
      <c r="M13349" s="394" t="str">
        <f t="shared" si="1744"/>
        <v/>
      </c>
      <c r="N13349" s="273"/>
    </row>
    <row r="13350" spans="1:14" ht="12.75" customHeight="1" x14ac:dyDescent="0.2">
      <c r="A13350" s="400"/>
      <c r="B13350" s="271"/>
      <c r="C13350" s="271"/>
      <c r="D13350" s="271"/>
      <c r="E13350" s="271"/>
      <c r="F13350" s="271"/>
      <c r="G13350" s="273"/>
      <c r="H13350" s="29"/>
      <c r="I13350" s="394"/>
      <c r="J13350" s="273"/>
      <c r="K13350" s="395"/>
      <c r="L13350" s="273"/>
      <c r="M13350" s="394" t="str">
        <f t="shared" si="1744"/>
        <v/>
      </c>
      <c r="N13350" s="273"/>
    </row>
    <row r="13351" spans="1:14" ht="12.75" customHeight="1" x14ac:dyDescent="0.25">
      <c r="A13351" s="4"/>
      <c r="B13351" s="4"/>
      <c r="C13351" s="4"/>
      <c r="D13351" s="4"/>
      <c r="E13351" s="4"/>
      <c r="F13351" s="4"/>
      <c r="G13351" s="4"/>
      <c r="H13351" s="4"/>
      <c r="I13351" s="4"/>
      <c r="J13351" s="4"/>
      <c r="K13351" s="396" t="s">
        <v>444</v>
      </c>
      <c r="L13351" s="273"/>
      <c r="M13351" s="394">
        <f>SUM(M13347:N13350)</f>
        <v>179244.42499999999</v>
      </c>
      <c r="N13351" s="273"/>
    </row>
    <row r="13352" spans="1:14" ht="12.75" customHeight="1" x14ac:dyDescent="0.25">
      <c r="A13352" s="4"/>
      <c r="B13352" s="4"/>
      <c r="C13352" s="4"/>
      <c r="D13352" s="4"/>
      <c r="E13352" s="4"/>
      <c r="F13352" s="4"/>
      <c r="G13352" s="4"/>
      <c r="H13352" s="4"/>
      <c r="I13352" s="4"/>
      <c r="J13352" s="4"/>
      <c r="K13352" s="4"/>
      <c r="L13352" s="4"/>
      <c r="M13352" s="4"/>
      <c r="N13352" s="4"/>
    </row>
    <row r="13353" spans="1:14" ht="12.75" customHeight="1" x14ac:dyDescent="0.2">
      <c r="A13353" s="398" t="s">
        <v>931</v>
      </c>
      <c r="B13353" s="271"/>
      <c r="C13353" s="271"/>
      <c r="D13353" s="271"/>
      <c r="E13353" s="271"/>
      <c r="F13353" s="271"/>
      <c r="G13353" s="271"/>
      <c r="H13353" s="271"/>
      <c r="I13353" s="271"/>
      <c r="J13353" s="271"/>
      <c r="K13353" s="271"/>
      <c r="L13353" s="271"/>
      <c r="M13353" s="271"/>
      <c r="N13353" s="273"/>
    </row>
    <row r="13354" spans="1:14" ht="12.75" customHeight="1" x14ac:dyDescent="0.2">
      <c r="A13354" s="396" t="s">
        <v>76</v>
      </c>
      <c r="B13354" s="271"/>
      <c r="C13354" s="271"/>
      <c r="D13354" s="271"/>
      <c r="E13354" s="271"/>
      <c r="F13354" s="271"/>
      <c r="G13354" s="273"/>
      <c r="H13354" s="88" t="s">
        <v>77</v>
      </c>
      <c r="I13354" s="399" t="s">
        <v>920</v>
      </c>
      <c r="J13354" s="273"/>
      <c r="K13354" s="90" t="s">
        <v>514</v>
      </c>
      <c r="L13354" s="91" t="s">
        <v>932</v>
      </c>
      <c r="M13354" s="399" t="s">
        <v>921</v>
      </c>
      <c r="N13354" s="273"/>
    </row>
    <row r="13355" spans="1:14" ht="12.75" customHeight="1" x14ac:dyDescent="0.25">
      <c r="A13355" s="393" t="s">
        <v>1301</v>
      </c>
      <c r="B13355" s="271"/>
      <c r="C13355" s="271"/>
      <c r="D13355" s="271"/>
      <c r="E13355" s="271"/>
      <c r="F13355" s="271"/>
      <c r="G13355" s="273"/>
      <c r="H13355" s="29" t="str">
        <f>IF(A13355="","",VLOOKUP(A13355,AA_Cuadrillas,4,FALSE))</f>
        <v>Cuadrilla</v>
      </c>
      <c r="I13355" s="394">
        <f>IF(A13355="","",VLOOKUP(A13355,AA_Cuadrillas,5,FALSE))</f>
        <v>132500</v>
      </c>
      <c r="J13355" s="273"/>
      <c r="K13355" s="9">
        <f>IF(A13355="","",F.P!$I$2)</f>
        <v>1.88</v>
      </c>
      <c r="L13355" s="97">
        <v>1.5</v>
      </c>
      <c r="M13355" s="394">
        <f t="shared" ref="M13355:M13359" si="1745">IF(A13355="","",I13355*K13355*L13355)</f>
        <v>373650</v>
      </c>
      <c r="N13355" s="273"/>
    </row>
    <row r="13356" spans="1:14" ht="12.75" customHeight="1" x14ac:dyDescent="0.25">
      <c r="A13356" s="393"/>
      <c r="B13356" s="271"/>
      <c r="C13356" s="271"/>
      <c r="D13356" s="271"/>
      <c r="E13356" s="271"/>
      <c r="F13356" s="271"/>
      <c r="G13356" s="273"/>
      <c r="H13356" s="29" t="str">
        <f>IF(A13356="","",VLOOKUP(A13356,AA_Cuadrillas,4,FALSE))</f>
        <v/>
      </c>
      <c r="I13356" s="394" t="str">
        <f>IF(A13356="","",VLOOKUP(A13356,AA_Cuadrillas,5,FALSE))</f>
        <v/>
      </c>
      <c r="J13356" s="273"/>
      <c r="K13356" s="9" t="str">
        <f>IF(A13356="","",F.P!$I$2)</f>
        <v/>
      </c>
      <c r="L13356" s="9"/>
      <c r="M13356" s="394" t="str">
        <f t="shared" si="1745"/>
        <v/>
      </c>
      <c r="N13356" s="273"/>
    </row>
    <row r="13357" spans="1:14" ht="12.75" customHeight="1" x14ac:dyDescent="0.25">
      <c r="A13357" s="393"/>
      <c r="B13357" s="271"/>
      <c r="C13357" s="271"/>
      <c r="D13357" s="271"/>
      <c r="E13357" s="271"/>
      <c r="F13357" s="271"/>
      <c r="G13357" s="273"/>
      <c r="H13357" s="29" t="str">
        <f>IF(A13357="","",VLOOKUP(A13357,AA_Cuadrillas,4,FALSE))</f>
        <v/>
      </c>
      <c r="I13357" s="394" t="str">
        <f>IF(A13357="","",VLOOKUP(A13357,AA_Cuadrillas,5,FALSE))</f>
        <v/>
      </c>
      <c r="J13357" s="273"/>
      <c r="K13357" s="9" t="str">
        <f>IF(A13357="","",F.P!$I$2)</f>
        <v/>
      </c>
      <c r="L13357" s="37"/>
      <c r="M13357" s="394" t="str">
        <f t="shared" si="1745"/>
        <v/>
      </c>
      <c r="N13357" s="273"/>
    </row>
    <row r="13358" spans="1:14" ht="12.75" customHeight="1" x14ac:dyDescent="0.25">
      <c r="A13358" s="393"/>
      <c r="B13358" s="271"/>
      <c r="C13358" s="271"/>
      <c r="D13358" s="271"/>
      <c r="E13358" s="271"/>
      <c r="F13358" s="271"/>
      <c r="G13358" s="273"/>
      <c r="H13358" s="29" t="str">
        <f>IF(A13358="","",VLOOKUP(A13358,AA_Cuadrillas,4,FALSE))</f>
        <v/>
      </c>
      <c r="I13358" s="394" t="str">
        <f>IF(A13358="","",VLOOKUP(A13358,AA_Cuadrillas,5,FALSE))</f>
        <v/>
      </c>
      <c r="J13358" s="273"/>
      <c r="K13358" s="9" t="str">
        <f>IF(A13358="","",F.P!$I$2)</f>
        <v/>
      </c>
      <c r="L13358" s="97"/>
      <c r="M13358" s="394" t="str">
        <f t="shared" si="1745"/>
        <v/>
      </c>
      <c r="N13358" s="273"/>
    </row>
    <row r="13359" spans="1:14" ht="12.75" customHeight="1" x14ac:dyDescent="0.25">
      <c r="A13359" s="393"/>
      <c r="B13359" s="271"/>
      <c r="C13359" s="271"/>
      <c r="D13359" s="271"/>
      <c r="E13359" s="271"/>
      <c r="F13359" s="271"/>
      <c r="G13359" s="273"/>
      <c r="H13359" s="29" t="str">
        <f>IF(A13359="","",VLOOKUP(A13359,AA_Cuadrillas,4,FALSE))</f>
        <v/>
      </c>
      <c r="I13359" s="394" t="str">
        <f>IF(A13359="","",VLOOKUP(A13359,AA_Cuadrillas,5,FALSE))</f>
        <v/>
      </c>
      <c r="J13359" s="273"/>
      <c r="K13359" s="9" t="str">
        <f>IF(A13359="","",F.P!$I$2)</f>
        <v/>
      </c>
      <c r="L13359" s="37"/>
      <c r="M13359" s="394" t="str">
        <f t="shared" si="1745"/>
        <v/>
      </c>
      <c r="N13359" s="273"/>
    </row>
    <row r="13360" spans="1:14" ht="12.75" customHeight="1" x14ac:dyDescent="0.25">
      <c r="A13360" s="4"/>
      <c r="B13360" s="4"/>
      <c r="C13360" s="4"/>
      <c r="D13360" s="4"/>
      <c r="E13360" s="4"/>
      <c r="F13360" s="4"/>
      <c r="G13360" s="4"/>
      <c r="H13360" s="4"/>
      <c r="I13360" s="4"/>
      <c r="J13360" s="4"/>
      <c r="K13360" s="396" t="s">
        <v>444</v>
      </c>
      <c r="L13360" s="273"/>
      <c r="M13360" s="394">
        <f>SUM(M13355:N13359)</f>
        <v>373650</v>
      </c>
      <c r="N13360" s="273"/>
    </row>
    <row r="13361" spans="1:15" ht="12.75" customHeight="1" x14ac:dyDescent="0.2"/>
    <row r="13362" spans="1:15" ht="12.75" customHeight="1" x14ac:dyDescent="0.2">
      <c r="A13362" s="397" t="s">
        <v>432</v>
      </c>
      <c r="B13362" s="275"/>
      <c r="C13362" s="275"/>
      <c r="D13362" s="275"/>
      <c r="E13362" s="275"/>
      <c r="F13362" s="275"/>
      <c r="G13362" s="275"/>
      <c r="H13362" s="275"/>
      <c r="I13362" s="275"/>
      <c r="J13362" s="275"/>
      <c r="K13362" s="275"/>
      <c r="L13362" s="275"/>
      <c r="M13362" s="275"/>
      <c r="N13362" s="276"/>
      <c r="O13362" s="166"/>
    </row>
    <row r="13363" spans="1:15" ht="12.75" customHeight="1" x14ac:dyDescent="0.2">
      <c r="A13363" s="277"/>
      <c r="B13363" s="278"/>
      <c r="C13363" s="278"/>
      <c r="D13363" s="278"/>
      <c r="E13363" s="278"/>
      <c r="F13363" s="278"/>
      <c r="G13363" s="278"/>
      <c r="H13363" s="278"/>
      <c r="I13363" s="278"/>
      <c r="J13363" s="278"/>
      <c r="K13363" s="278"/>
      <c r="L13363" s="278"/>
      <c r="M13363" s="278"/>
      <c r="N13363" s="279"/>
      <c r="O13363" s="166"/>
    </row>
    <row r="13364" spans="1:15" ht="12.75" customHeight="1" x14ac:dyDescent="0.2">
      <c r="A13364" s="75"/>
      <c r="B13364" s="75"/>
      <c r="C13364" s="75"/>
      <c r="D13364" s="75"/>
      <c r="E13364" s="75"/>
      <c r="F13364" s="75"/>
      <c r="G13364" s="75"/>
      <c r="H13364" s="75"/>
      <c r="I13364" s="75"/>
      <c r="J13364" s="75"/>
      <c r="K13364" s="75"/>
      <c r="L13364" s="75"/>
      <c r="M13364" s="75"/>
      <c r="N13364" s="75"/>
    </row>
    <row r="13365" spans="1:15" ht="12.75" customHeight="1" x14ac:dyDescent="0.3">
      <c r="A13365" s="79" t="s">
        <v>905</v>
      </c>
      <c r="B13365" s="80" t="str">
        <f>A13362</f>
        <v xml:space="preserve">SUMINISTRO E INSTALACIÓN DE CABLEADO DE ACOMETIDA AÉREA TIPO TRÉBOL 3X8 + 10 AWG CU CENTELSA 75° 600V, INCLUYE TEMPLES, ACCESORIOS DEL TRANSFORMADOR AL CONTADOR, CON CAPACETE ROSCADO 2" PARA RECEPCIÓN DE ACOMETIDA Y BORNAS </v>
      </c>
      <c r="C13365" s="81" t="s">
        <v>916</v>
      </c>
      <c r="D13365" s="82" t="s">
        <v>917</v>
      </c>
      <c r="E13365" s="83" t="s">
        <v>445</v>
      </c>
      <c r="F13365" s="234">
        <f>(H13365+J13365+L13365+N13365)*1.3</f>
        <v>105029.44465</v>
      </c>
      <c r="G13365" s="83" t="s">
        <v>607</v>
      </c>
      <c r="H13365" s="86">
        <f>M13384</f>
        <v>48837.56</v>
      </c>
      <c r="I13365" s="83" t="s">
        <v>918</v>
      </c>
      <c r="J13365" s="86">
        <f>M13393</f>
        <v>871.85</v>
      </c>
      <c r="K13365" s="83" t="s">
        <v>609</v>
      </c>
      <c r="L13365" s="86">
        <f>M13401</f>
        <v>13645.470499999999</v>
      </c>
      <c r="M13365" s="83" t="s">
        <v>610</v>
      </c>
      <c r="N13365" s="86">
        <f>M13410</f>
        <v>17437</v>
      </c>
    </row>
    <row r="13366" spans="1:15" ht="12.75" customHeight="1" x14ac:dyDescent="0.25">
      <c r="A13366" s="87"/>
      <c r="B13366" s="87"/>
      <c r="C13366" s="87"/>
      <c r="D13366" s="87"/>
      <c r="E13366" s="87"/>
      <c r="F13366" s="87"/>
      <c r="G13366" s="87"/>
      <c r="H13366" s="12"/>
      <c r="I13366" s="12"/>
      <c r="J13366" s="87"/>
      <c r="K13366" s="215" t="s">
        <v>3217</v>
      </c>
      <c r="L13366" s="215">
        <f>+F13365*presup!$O$5</f>
        <v>136538.27804500001</v>
      </c>
      <c r="M13366" s="87"/>
      <c r="N13366" s="87"/>
    </row>
    <row r="13367" spans="1:15" ht="12.75" customHeight="1" x14ac:dyDescent="0.2">
      <c r="A13367" s="398" t="s">
        <v>919</v>
      </c>
      <c r="B13367" s="271"/>
      <c r="C13367" s="271"/>
      <c r="D13367" s="271"/>
      <c r="E13367" s="271"/>
      <c r="F13367" s="271"/>
      <c r="G13367" s="271"/>
      <c r="H13367" s="271"/>
      <c r="I13367" s="271"/>
      <c r="J13367" s="271"/>
      <c r="K13367" s="271"/>
      <c r="L13367" s="271"/>
      <c r="M13367" s="271"/>
      <c r="N13367" s="273"/>
    </row>
    <row r="13368" spans="1:15" ht="12.75" customHeight="1" x14ac:dyDescent="0.2">
      <c r="A13368" s="396" t="s">
        <v>76</v>
      </c>
      <c r="B13368" s="271"/>
      <c r="C13368" s="271"/>
      <c r="D13368" s="271"/>
      <c r="E13368" s="271"/>
      <c r="F13368" s="271"/>
      <c r="G13368" s="273"/>
      <c r="H13368" s="88" t="s">
        <v>77</v>
      </c>
      <c r="I13368" s="399" t="s">
        <v>920</v>
      </c>
      <c r="J13368" s="273"/>
      <c r="K13368" s="399" t="s">
        <v>453</v>
      </c>
      <c r="L13368" s="273"/>
      <c r="M13368" s="399" t="s">
        <v>921</v>
      </c>
      <c r="N13368" s="273"/>
    </row>
    <row r="13369" spans="1:15" ht="12.75" customHeight="1" x14ac:dyDescent="0.25">
      <c r="A13369" s="309" t="s">
        <v>1721</v>
      </c>
      <c r="B13369" s="271"/>
      <c r="C13369" s="271"/>
      <c r="D13369" s="271"/>
      <c r="E13369" s="271"/>
      <c r="F13369" s="271"/>
      <c r="G13369" s="273"/>
      <c r="H13369" s="29" t="str">
        <f t="shared" ref="H13369:H13383" si="1746">IF(A13369="","",VLOOKUP(A13369,AA_Materiales,7,FALSE))</f>
        <v>m</v>
      </c>
      <c r="I13369" s="394">
        <f t="shared" ref="I13369:I13383" si="1747">IF(A13369="","",VLOOKUP(A13369,AA_Materiales,8,FALSE))</f>
        <v>60392</v>
      </c>
      <c r="J13369" s="273"/>
      <c r="K13369" s="393">
        <v>0.03</v>
      </c>
      <c r="L13369" s="273"/>
      <c r="M13369" s="394">
        <f t="shared" ref="M13369:M13383" si="1748">IF(A13369="","",I13369*K13369)</f>
        <v>1811.76</v>
      </c>
      <c r="N13369" s="273"/>
    </row>
    <row r="13370" spans="1:15" ht="12.75" customHeight="1" x14ac:dyDescent="0.25">
      <c r="A13370" s="309" t="s">
        <v>1722</v>
      </c>
      <c r="B13370" s="271"/>
      <c r="C13370" s="271"/>
      <c r="D13370" s="271"/>
      <c r="E13370" s="271"/>
      <c r="F13370" s="271"/>
      <c r="G13370" s="273"/>
      <c r="H13370" s="29" t="str">
        <f t="shared" si="1746"/>
        <v>Unidad</v>
      </c>
      <c r="I13370" s="394">
        <f t="shared" si="1747"/>
        <v>17150</v>
      </c>
      <c r="J13370" s="273"/>
      <c r="K13370" s="393">
        <v>0.03</v>
      </c>
      <c r="L13370" s="273"/>
      <c r="M13370" s="394">
        <f t="shared" si="1748"/>
        <v>514.5</v>
      </c>
      <c r="N13370" s="273"/>
    </row>
    <row r="13371" spans="1:15" ht="12.75" customHeight="1" x14ac:dyDescent="0.25">
      <c r="A13371" s="309" t="s">
        <v>1723</v>
      </c>
      <c r="B13371" s="271"/>
      <c r="C13371" s="271"/>
      <c r="D13371" s="271"/>
      <c r="E13371" s="271"/>
      <c r="F13371" s="271"/>
      <c r="G13371" s="273"/>
      <c r="H13371" s="29" t="str">
        <f t="shared" si="1746"/>
        <v>m</v>
      </c>
      <c r="I13371" s="394">
        <f t="shared" si="1747"/>
        <v>45353</v>
      </c>
      <c r="J13371" s="273"/>
      <c r="K13371" s="393">
        <v>1</v>
      </c>
      <c r="L13371" s="273"/>
      <c r="M13371" s="394">
        <f t="shared" si="1748"/>
        <v>45353</v>
      </c>
      <c r="N13371" s="273"/>
    </row>
    <row r="13372" spans="1:15" ht="12.75" customHeight="1" x14ac:dyDescent="0.25">
      <c r="A13372" s="309" t="s">
        <v>1724</v>
      </c>
      <c r="B13372" s="271"/>
      <c r="C13372" s="271"/>
      <c r="D13372" s="271"/>
      <c r="E13372" s="271"/>
      <c r="F13372" s="271"/>
      <c r="G13372" s="273"/>
      <c r="H13372" s="29" t="str">
        <f t="shared" si="1746"/>
        <v>Unidad</v>
      </c>
      <c r="I13372" s="394">
        <f t="shared" si="1747"/>
        <v>3346</v>
      </c>
      <c r="J13372" s="273"/>
      <c r="K13372" s="393">
        <v>0.2</v>
      </c>
      <c r="L13372" s="273"/>
      <c r="M13372" s="394">
        <f t="shared" si="1748"/>
        <v>669.2</v>
      </c>
      <c r="N13372" s="273"/>
    </row>
    <row r="13373" spans="1:15" ht="12.75" customHeight="1" x14ac:dyDescent="0.25">
      <c r="A13373" s="309" t="s">
        <v>1587</v>
      </c>
      <c r="B13373" s="271"/>
      <c r="C13373" s="271"/>
      <c r="D13373" s="271"/>
      <c r="E13373" s="271"/>
      <c r="F13373" s="271"/>
      <c r="G13373" s="273"/>
      <c r="H13373" s="29" t="str">
        <f t="shared" si="1746"/>
        <v>Unidad</v>
      </c>
      <c r="I13373" s="394">
        <f t="shared" si="1747"/>
        <v>1750</v>
      </c>
      <c r="J13373" s="273"/>
      <c r="K13373" s="393">
        <v>0.05</v>
      </c>
      <c r="L13373" s="273"/>
      <c r="M13373" s="394">
        <f t="shared" si="1748"/>
        <v>87.5</v>
      </c>
      <c r="N13373" s="273"/>
    </row>
    <row r="13374" spans="1:15" ht="12.75" customHeight="1" x14ac:dyDescent="0.25">
      <c r="A13374" s="309" t="s">
        <v>1588</v>
      </c>
      <c r="B13374" s="271"/>
      <c r="C13374" s="271"/>
      <c r="D13374" s="271"/>
      <c r="E13374" s="271"/>
      <c r="F13374" s="271"/>
      <c r="G13374" s="273"/>
      <c r="H13374" s="29" t="str">
        <f t="shared" si="1746"/>
        <v>Unidad</v>
      </c>
      <c r="I13374" s="394">
        <f t="shared" si="1747"/>
        <v>400</v>
      </c>
      <c r="J13374" s="273"/>
      <c r="K13374" s="393">
        <v>0.08</v>
      </c>
      <c r="L13374" s="273"/>
      <c r="M13374" s="394">
        <f t="shared" si="1748"/>
        <v>32</v>
      </c>
      <c r="N13374" s="273"/>
    </row>
    <row r="13375" spans="1:15" ht="12.75" customHeight="1" x14ac:dyDescent="0.25">
      <c r="A13375" s="309" t="s">
        <v>1725</v>
      </c>
      <c r="B13375" s="271"/>
      <c r="C13375" s="271"/>
      <c r="D13375" s="271"/>
      <c r="E13375" s="271"/>
      <c r="F13375" s="271"/>
      <c r="G13375" s="273"/>
      <c r="H13375" s="29" t="str">
        <f t="shared" si="1746"/>
        <v>Unidad</v>
      </c>
      <c r="I13375" s="394">
        <f t="shared" si="1747"/>
        <v>4620</v>
      </c>
      <c r="J13375" s="273"/>
      <c r="K13375" s="393">
        <v>0.08</v>
      </c>
      <c r="L13375" s="273"/>
      <c r="M13375" s="394">
        <f t="shared" si="1748"/>
        <v>369.6</v>
      </c>
      <c r="N13375" s="273"/>
    </row>
    <row r="13376" spans="1:15" ht="12.75" customHeight="1" x14ac:dyDescent="0.25">
      <c r="A13376" s="309"/>
      <c r="B13376" s="271"/>
      <c r="C13376" s="271"/>
      <c r="D13376" s="271"/>
      <c r="E13376" s="271"/>
      <c r="F13376" s="271"/>
      <c r="G13376" s="273"/>
      <c r="H13376" s="29" t="str">
        <f t="shared" si="1746"/>
        <v/>
      </c>
      <c r="I13376" s="394" t="str">
        <f t="shared" si="1747"/>
        <v/>
      </c>
      <c r="J13376" s="273"/>
      <c r="K13376" s="393"/>
      <c r="L13376" s="273"/>
      <c r="M13376" s="394" t="str">
        <f t="shared" si="1748"/>
        <v/>
      </c>
      <c r="N13376" s="273"/>
    </row>
    <row r="13377" spans="1:14" ht="12.75" customHeight="1" x14ac:dyDescent="0.25">
      <c r="A13377" s="309"/>
      <c r="B13377" s="271"/>
      <c r="C13377" s="271"/>
      <c r="D13377" s="271"/>
      <c r="E13377" s="271"/>
      <c r="F13377" s="271"/>
      <c r="G13377" s="273"/>
      <c r="H13377" s="29" t="str">
        <f t="shared" si="1746"/>
        <v/>
      </c>
      <c r="I13377" s="394" t="str">
        <f t="shared" si="1747"/>
        <v/>
      </c>
      <c r="J13377" s="273"/>
      <c r="K13377" s="393"/>
      <c r="L13377" s="273"/>
      <c r="M13377" s="394" t="str">
        <f t="shared" si="1748"/>
        <v/>
      </c>
      <c r="N13377" s="273"/>
    </row>
    <row r="13378" spans="1:14" ht="12.75" customHeight="1" x14ac:dyDescent="0.25">
      <c r="A13378" s="309"/>
      <c r="B13378" s="271"/>
      <c r="C13378" s="271"/>
      <c r="D13378" s="271"/>
      <c r="E13378" s="271"/>
      <c r="F13378" s="271"/>
      <c r="G13378" s="273"/>
      <c r="H13378" s="29" t="str">
        <f t="shared" si="1746"/>
        <v/>
      </c>
      <c r="I13378" s="394" t="str">
        <f t="shared" si="1747"/>
        <v/>
      </c>
      <c r="J13378" s="273"/>
      <c r="K13378" s="393"/>
      <c r="L13378" s="273"/>
      <c r="M13378" s="394" t="str">
        <f t="shared" si="1748"/>
        <v/>
      </c>
      <c r="N13378" s="273"/>
    </row>
    <row r="13379" spans="1:14" ht="12.75" customHeight="1" x14ac:dyDescent="0.25">
      <c r="A13379" s="309"/>
      <c r="B13379" s="271"/>
      <c r="C13379" s="271"/>
      <c r="D13379" s="271"/>
      <c r="E13379" s="271"/>
      <c r="F13379" s="271"/>
      <c r="G13379" s="273"/>
      <c r="H13379" s="29" t="str">
        <f t="shared" si="1746"/>
        <v/>
      </c>
      <c r="I13379" s="394" t="str">
        <f t="shared" si="1747"/>
        <v/>
      </c>
      <c r="J13379" s="273"/>
      <c r="K13379" s="393"/>
      <c r="L13379" s="273"/>
      <c r="M13379" s="394" t="str">
        <f t="shared" si="1748"/>
        <v/>
      </c>
      <c r="N13379" s="273"/>
    </row>
    <row r="13380" spans="1:14" ht="12.75" customHeight="1" x14ac:dyDescent="0.25">
      <c r="A13380" s="309"/>
      <c r="B13380" s="271"/>
      <c r="C13380" s="271"/>
      <c r="D13380" s="271"/>
      <c r="E13380" s="271"/>
      <c r="F13380" s="271"/>
      <c r="G13380" s="273"/>
      <c r="H13380" s="29" t="str">
        <f t="shared" si="1746"/>
        <v/>
      </c>
      <c r="I13380" s="394" t="str">
        <f t="shared" si="1747"/>
        <v/>
      </c>
      <c r="J13380" s="273"/>
      <c r="K13380" s="393"/>
      <c r="L13380" s="273"/>
      <c r="M13380" s="394" t="str">
        <f t="shared" si="1748"/>
        <v/>
      </c>
      <c r="N13380" s="273"/>
    </row>
    <row r="13381" spans="1:14" ht="12.75" customHeight="1" x14ac:dyDescent="0.25">
      <c r="A13381" s="309"/>
      <c r="B13381" s="271"/>
      <c r="C13381" s="271"/>
      <c r="D13381" s="271"/>
      <c r="E13381" s="271"/>
      <c r="F13381" s="271"/>
      <c r="G13381" s="273"/>
      <c r="H13381" s="29" t="str">
        <f t="shared" si="1746"/>
        <v/>
      </c>
      <c r="I13381" s="394" t="str">
        <f t="shared" si="1747"/>
        <v/>
      </c>
      <c r="J13381" s="273"/>
      <c r="K13381" s="393"/>
      <c r="L13381" s="273"/>
      <c r="M13381" s="394" t="str">
        <f t="shared" si="1748"/>
        <v/>
      </c>
      <c r="N13381" s="273"/>
    </row>
    <row r="13382" spans="1:14" ht="12.75" customHeight="1" x14ac:dyDescent="0.25">
      <c r="A13382" s="309"/>
      <c r="B13382" s="271"/>
      <c r="C13382" s="271"/>
      <c r="D13382" s="271"/>
      <c r="E13382" s="271"/>
      <c r="F13382" s="271"/>
      <c r="G13382" s="273"/>
      <c r="H13382" s="29" t="str">
        <f t="shared" si="1746"/>
        <v/>
      </c>
      <c r="I13382" s="394" t="str">
        <f t="shared" si="1747"/>
        <v/>
      </c>
      <c r="J13382" s="273"/>
      <c r="K13382" s="393"/>
      <c r="L13382" s="273"/>
      <c r="M13382" s="394" t="str">
        <f t="shared" si="1748"/>
        <v/>
      </c>
      <c r="N13382" s="273"/>
    </row>
    <row r="13383" spans="1:14" ht="12.75" customHeight="1" x14ac:dyDescent="0.25">
      <c r="A13383" s="309"/>
      <c r="B13383" s="271"/>
      <c r="C13383" s="271"/>
      <c r="D13383" s="271"/>
      <c r="E13383" s="271"/>
      <c r="F13383" s="271"/>
      <c r="G13383" s="273"/>
      <c r="H13383" s="29" t="str">
        <f t="shared" si="1746"/>
        <v/>
      </c>
      <c r="I13383" s="394" t="str">
        <f t="shared" si="1747"/>
        <v/>
      </c>
      <c r="J13383" s="273"/>
      <c r="K13383" s="393"/>
      <c r="L13383" s="273"/>
      <c r="M13383" s="394" t="str">
        <f t="shared" si="1748"/>
        <v/>
      </c>
      <c r="N13383" s="273"/>
    </row>
    <row r="13384" spans="1:14" ht="12.75" customHeight="1" x14ac:dyDescent="0.25">
      <c r="A13384" s="4"/>
      <c r="B13384" s="4"/>
      <c r="C13384" s="4"/>
      <c r="D13384" s="4"/>
      <c r="E13384" s="4"/>
      <c r="F13384" s="4"/>
      <c r="G13384" s="4"/>
      <c r="H13384" s="4"/>
      <c r="I13384" s="4"/>
      <c r="J13384" s="4"/>
      <c r="K13384" s="396" t="s">
        <v>444</v>
      </c>
      <c r="L13384" s="273"/>
      <c r="M13384" s="394">
        <f>SUM(M13369:N13383)</f>
        <v>48837.56</v>
      </c>
      <c r="N13384" s="273"/>
    </row>
    <row r="13385" spans="1:14" ht="12.75" customHeight="1" x14ac:dyDescent="0.25">
      <c r="A13385" s="4"/>
      <c r="B13385" s="4"/>
      <c r="C13385" s="4"/>
      <c r="D13385" s="4"/>
      <c r="E13385" s="4"/>
      <c r="F13385" s="4"/>
      <c r="G13385" s="4"/>
      <c r="H13385" s="4"/>
      <c r="I13385" s="4"/>
      <c r="J13385" s="4"/>
      <c r="K13385" s="4"/>
      <c r="L13385" s="4"/>
      <c r="M13385" s="4"/>
      <c r="N13385" s="4"/>
    </row>
    <row r="13386" spans="1:14" ht="12.75" customHeight="1" x14ac:dyDescent="0.2">
      <c r="A13386" s="398" t="s">
        <v>926</v>
      </c>
      <c r="B13386" s="271"/>
      <c r="C13386" s="271"/>
      <c r="D13386" s="271"/>
      <c r="E13386" s="271"/>
      <c r="F13386" s="271"/>
      <c r="G13386" s="271"/>
      <c r="H13386" s="271"/>
      <c r="I13386" s="271"/>
      <c r="J13386" s="271"/>
      <c r="K13386" s="271"/>
      <c r="L13386" s="271"/>
      <c r="M13386" s="271"/>
      <c r="N13386" s="273"/>
    </row>
    <row r="13387" spans="1:14" ht="12.75" customHeight="1" x14ac:dyDescent="0.2">
      <c r="A13387" s="396" t="s">
        <v>76</v>
      </c>
      <c r="B13387" s="271"/>
      <c r="C13387" s="271"/>
      <c r="D13387" s="271"/>
      <c r="E13387" s="271"/>
      <c r="F13387" s="271"/>
      <c r="G13387" s="273"/>
      <c r="H13387" s="88" t="s">
        <v>77</v>
      </c>
      <c r="I13387" s="399" t="s">
        <v>920</v>
      </c>
      <c r="J13387" s="273"/>
      <c r="K13387" s="399" t="s">
        <v>453</v>
      </c>
      <c r="L13387" s="273"/>
      <c r="M13387" s="399" t="s">
        <v>921</v>
      </c>
      <c r="N13387" s="273"/>
    </row>
    <row r="13388" spans="1:14" ht="12.75" customHeight="1" x14ac:dyDescent="0.2">
      <c r="A13388" s="400" t="s">
        <v>927</v>
      </c>
      <c r="B13388" s="271"/>
      <c r="C13388" s="271"/>
      <c r="D13388" s="271"/>
      <c r="E13388" s="271"/>
      <c r="F13388" s="271"/>
      <c r="G13388" s="273"/>
      <c r="H13388" s="29" t="str">
        <f>IF(A13388="","",VLOOKUP(A13388,AA_Equipos,7,FALSE))</f>
        <v>% M.O.</v>
      </c>
      <c r="I13388" s="394">
        <f>+M13410</f>
        <v>17437</v>
      </c>
      <c r="J13388" s="273"/>
      <c r="K13388" s="404">
        <v>0.05</v>
      </c>
      <c r="L13388" s="273"/>
      <c r="M13388" s="394">
        <f t="shared" ref="M13388:M13392" si="1749">IF(A13388="","",I13388*K13388)</f>
        <v>871.85</v>
      </c>
      <c r="N13388" s="273"/>
    </row>
    <row r="13389" spans="1:14" ht="12.75" customHeight="1" x14ac:dyDescent="0.2">
      <c r="A13389" s="403"/>
      <c r="B13389" s="271"/>
      <c r="C13389" s="271"/>
      <c r="D13389" s="271"/>
      <c r="E13389" s="271"/>
      <c r="F13389" s="271"/>
      <c r="G13389" s="273"/>
      <c r="H13389" s="29" t="str">
        <f>IF(A13389="","",VLOOKUP(A13389,AA_Equipos,7,FALSE))</f>
        <v/>
      </c>
      <c r="I13389" s="394" t="str">
        <f>IF(A13389="","",VLOOKUP(A13389,AA_Equipos,8,FALSE))</f>
        <v/>
      </c>
      <c r="J13389" s="273"/>
      <c r="K13389" s="402"/>
      <c r="L13389" s="273"/>
      <c r="M13389" s="394" t="str">
        <f t="shared" si="1749"/>
        <v/>
      </c>
      <c r="N13389" s="273"/>
    </row>
    <row r="13390" spans="1:14" ht="12.75" customHeight="1" x14ac:dyDescent="0.2">
      <c r="A13390" s="400"/>
      <c r="B13390" s="271"/>
      <c r="C13390" s="271"/>
      <c r="D13390" s="271"/>
      <c r="E13390" s="271"/>
      <c r="F13390" s="271"/>
      <c r="G13390" s="273"/>
      <c r="H13390" s="29" t="str">
        <f>IF(A13390="","",VLOOKUP(A13390,AA_Equipos,7,FALSE))</f>
        <v/>
      </c>
      <c r="I13390" s="394" t="str">
        <f>IF(A13390="","",VLOOKUP(A13390,AA_Equipos,8,FALSE))</f>
        <v/>
      </c>
      <c r="J13390" s="273"/>
      <c r="K13390" s="401"/>
      <c r="L13390" s="273"/>
      <c r="M13390" s="394" t="str">
        <f t="shared" si="1749"/>
        <v/>
      </c>
      <c r="N13390" s="273"/>
    </row>
    <row r="13391" spans="1:14" ht="12.75" customHeight="1" x14ac:dyDescent="0.2">
      <c r="A13391" s="400"/>
      <c r="B13391" s="271"/>
      <c r="C13391" s="271"/>
      <c r="D13391" s="271"/>
      <c r="E13391" s="271"/>
      <c r="F13391" s="271"/>
      <c r="G13391" s="273"/>
      <c r="H13391" s="29" t="str">
        <f>IF(A13391="","",VLOOKUP(A13391,AA_Equipos,7,FALSE))</f>
        <v/>
      </c>
      <c r="I13391" s="394" t="str">
        <f>IF(A13391="","",VLOOKUP(A13391,AA_Equipos,8,FALSE))</f>
        <v/>
      </c>
      <c r="J13391" s="273"/>
      <c r="K13391" s="395"/>
      <c r="L13391" s="273"/>
      <c r="M13391" s="394" t="str">
        <f t="shared" si="1749"/>
        <v/>
      </c>
      <c r="N13391" s="273"/>
    </row>
    <row r="13392" spans="1:14" ht="12.75" customHeight="1" x14ac:dyDescent="0.2">
      <c r="A13392" s="400"/>
      <c r="B13392" s="271"/>
      <c r="C13392" s="271"/>
      <c r="D13392" s="271"/>
      <c r="E13392" s="271"/>
      <c r="F13392" s="271"/>
      <c r="G13392" s="273"/>
      <c r="H13392" s="29" t="str">
        <f>IF(A13392="","",VLOOKUP(A13392,AA_Equipos,7,FALSE))</f>
        <v/>
      </c>
      <c r="I13392" s="394" t="str">
        <f>IF(A13392="","",VLOOKUP(A13392,AA_Equipos,8,FALSE))</f>
        <v/>
      </c>
      <c r="J13392" s="273"/>
      <c r="K13392" s="395"/>
      <c r="L13392" s="273"/>
      <c r="M13392" s="394" t="str">
        <f t="shared" si="1749"/>
        <v/>
      </c>
      <c r="N13392" s="273"/>
    </row>
    <row r="13393" spans="1:14" ht="12.75" customHeight="1" x14ac:dyDescent="0.25">
      <c r="A13393" s="4"/>
      <c r="B13393" s="4"/>
      <c r="C13393" s="4"/>
      <c r="D13393" s="4"/>
      <c r="E13393" s="4"/>
      <c r="F13393" s="4"/>
      <c r="G13393" s="4"/>
      <c r="H13393" s="4"/>
      <c r="I13393" s="4"/>
      <c r="J13393" s="4"/>
      <c r="K13393" s="396" t="s">
        <v>444</v>
      </c>
      <c r="L13393" s="273"/>
      <c r="M13393" s="394">
        <f>SUM(M13388:N13392)</f>
        <v>871.85</v>
      </c>
      <c r="N13393" s="273"/>
    </row>
    <row r="13394" spans="1:14" ht="12.75" customHeight="1" x14ac:dyDescent="0.25">
      <c r="A13394" s="4"/>
      <c r="B13394" s="4"/>
      <c r="C13394" s="4"/>
      <c r="D13394" s="4"/>
      <c r="E13394" s="4"/>
      <c r="F13394" s="4"/>
      <c r="G13394" s="4"/>
      <c r="H13394" s="4"/>
      <c r="I13394" s="4"/>
      <c r="J13394" s="4"/>
      <c r="K13394" s="4"/>
      <c r="L13394" s="4"/>
      <c r="M13394" s="4"/>
      <c r="N13394" s="4"/>
    </row>
    <row r="13395" spans="1:14" ht="12.75" customHeight="1" x14ac:dyDescent="0.2">
      <c r="A13395" s="398" t="s">
        <v>929</v>
      </c>
      <c r="B13395" s="271"/>
      <c r="C13395" s="271"/>
      <c r="D13395" s="271"/>
      <c r="E13395" s="271"/>
      <c r="F13395" s="271"/>
      <c r="G13395" s="271"/>
      <c r="H13395" s="271"/>
      <c r="I13395" s="271"/>
      <c r="J13395" s="271"/>
      <c r="K13395" s="271"/>
      <c r="L13395" s="271"/>
      <c r="M13395" s="271"/>
      <c r="N13395" s="273"/>
    </row>
    <row r="13396" spans="1:14" ht="12.75" customHeight="1" x14ac:dyDescent="0.2">
      <c r="A13396" s="396" t="s">
        <v>76</v>
      </c>
      <c r="B13396" s="271"/>
      <c r="C13396" s="271"/>
      <c r="D13396" s="271"/>
      <c r="E13396" s="271"/>
      <c r="F13396" s="271"/>
      <c r="G13396" s="273"/>
      <c r="H13396" s="88" t="s">
        <v>77</v>
      </c>
      <c r="I13396" s="399" t="s">
        <v>920</v>
      </c>
      <c r="J13396" s="273"/>
      <c r="K13396" s="399" t="s">
        <v>453</v>
      </c>
      <c r="L13396" s="273"/>
      <c r="M13396" s="399" t="s">
        <v>921</v>
      </c>
      <c r="N13396" s="273"/>
    </row>
    <row r="13397" spans="1:14" ht="12.75" customHeight="1" x14ac:dyDescent="0.2">
      <c r="A13397" s="400" t="s">
        <v>1559</v>
      </c>
      <c r="B13397" s="271"/>
      <c r="C13397" s="271"/>
      <c r="D13397" s="271"/>
      <c r="E13397" s="271"/>
      <c r="F13397" s="271"/>
      <c r="G13397" s="273"/>
      <c r="H13397" s="29" t="str">
        <f>IF(A13397="","",VLOOKUP(A13397,AA_Equipos,7,FALSE))</f>
        <v>Día</v>
      </c>
      <c r="I13397" s="394">
        <f>IF(A13397="","",VLOOKUP(A13397,AA_Equipos,8,FALSE))</f>
        <v>74400</v>
      </c>
      <c r="J13397" s="273"/>
      <c r="K13397" s="395">
        <v>0.15</v>
      </c>
      <c r="L13397" s="273"/>
      <c r="M13397" s="394">
        <f t="shared" ref="M13397:M13400" si="1750">IF(A13397="","",I13397*K13397)</f>
        <v>11160</v>
      </c>
      <c r="N13397" s="273"/>
    </row>
    <row r="13398" spans="1:14" ht="12.75" customHeight="1" x14ac:dyDescent="0.2">
      <c r="A13398" s="400" t="s">
        <v>930</v>
      </c>
      <c r="B13398" s="271"/>
      <c r="C13398" s="271"/>
      <c r="D13398" s="271"/>
      <c r="E13398" s="271"/>
      <c r="F13398" s="271"/>
      <c r="G13398" s="273"/>
      <c r="H13398" s="29" t="s">
        <v>24</v>
      </c>
      <c r="I13398" s="394">
        <f>+M13384+M13393</f>
        <v>49709.409999999996</v>
      </c>
      <c r="J13398" s="273"/>
      <c r="K13398" s="405">
        <v>0.05</v>
      </c>
      <c r="L13398" s="406"/>
      <c r="M13398" s="394">
        <f t="shared" si="1750"/>
        <v>2485.4704999999999</v>
      </c>
      <c r="N13398" s="273"/>
    </row>
    <row r="13399" spans="1:14" ht="12.75" customHeight="1" x14ac:dyDescent="0.2">
      <c r="A13399" s="400"/>
      <c r="B13399" s="271"/>
      <c r="C13399" s="271"/>
      <c r="D13399" s="271"/>
      <c r="E13399" s="271"/>
      <c r="F13399" s="271"/>
      <c r="G13399" s="273"/>
      <c r="H13399" s="29"/>
      <c r="I13399" s="394"/>
      <c r="J13399" s="273"/>
      <c r="K13399" s="395"/>
      <c r="L13399" s="273"/>
      <c r="M13399" s="394" t="str">
        <f t="shared" si="1750"/>
        <v/>
      </c>
      <c r="N13399" s="273"/>
    </row>
    <row r="13400" spans="1:14" ht="12.75" customHeight="1" x14ac:dyDescent="0.2">
      <c r="A13400" s="400"/>
      <c r="B13400" s="271"/>
      <c r="C13400" s="271"/>
      <c r="D13400" s="271"/>
      <c r="E13400" s="271"/>
      <c r="F13400" s="271"/>
      <c r="G13400" s="273"/>
      <c r="H13400" s="29"/>
      <c r="I13400" s="394"/>
      <c r="J13400" s="273"/>
      <c r="K13400" s="395"/>
      <c r="L13400" s="273"/>
      <c r="M13400" s="394" t="str">
        <f t="shared" si="1750"/>
        <v/>
      </c>
      <c r="N13400" s="273"/>
    </row>
    <row r="13401" spans="1:14" ht="12.75" customHeight="1" x14ac:dyDescent="0.25">
      <c r="A13401" s="4"/>
      <c r="B13401" s="4"/>
      <c r="C13401" s="4"/>
      <c r="D13401" s="4"/>
      <c r="E13401" s="4"/>
      <c r="F13401" s="4"/>
      <c r="G13401" s="4"/>
      <c r="H13401" s="4"/>
      <c r="I13401" s="4"/>
      <c r="J13401" s="4"/>
      <c r="K13401" s="396" t="s">
        <v>444</v>
      </c>
      <c r="L13401" s="273"/>
      <c r="M13401" s="394">
        <f>SUM(M13397:N13400)</f>
        <v>13645.470499999999</v>
      </c>
      <c r="N13401" s="273"/>
    </row>
    <row r="13402" spans="1:14" ht="12.75" customHeight="1" x14ac:dyDescent="0.25">
      <c r="A13402" s="4"/>
      <c r="B13402" s="4"/>
      <c r="C13402" s="4"/>
      <c r="D13402" s="4"/>
      <c r="E13402" s="4"/>
      <c r="F13402" s="4"/>
      <c r="G13402" s="4"/>
      <c r="H13402" s="4"/>
      <c r="I13402" s="4"/>
      <c r="J13402" s="4"/>
      <c r="K13402" s="4"/>
      <c r="L13402" s="4"/>
      <c r="M13402" s="4"/>
      <c r="N13402" s="4"/>
    </row>
    <row r="13403" spans="1:14" ht="12.75" customHeight="1" x14ac:dyDescent="0.2">
      <c r="A13403" s="398" t="s">
        <v>931</v>
      </c>
      <c r="B13403" s="271"/>
      <c r="C13403" s="271"/>
      <c r="D13403" s="271"/>
      <c r="E13403" s="271"/>
      <c r="F13403" s="271"/>
      <c r="G13403" s="271"/>
      <c r="H13403" s="271"/>
      <c r="I13403" s="271"/>
      <c r="J13403" s="271"/>
      <c r="K13403" s="271"/>
      <c r="L13403" s="271"/>
      <c r="M13403" s="271"/>
      <c r="N13403" s="273"/>
    </row>
    <row r="13404" spans="1:14" ht="12.75" customHeight="1" x14ac:dyDescent="0.2">
      <c r="A13404" s="396" t="s">
        <v>76</v>
      </c>
      <c r="B13404" s="271"/>
      <c r="C13404" s="271"/>
      <c r="D13404" s="271"/>
      <c r="E13404" s="271"/>
      <c r="F13404" s="271"/>
      <c r="G13404" s="273"/>
      <c r="H13404" s="88" t="s">
        <v>77</v>
      </c>
      <c r="I13404" s="399" t="s">
        <v>920</v>
      </c>
      <c r="J13404" s="273"/>
      <c r="K13404" s="90" t="s">
        <v>514</v>
      </c>
      <c r="L13404" s="91" t="s">
        <v>932</v>
      </c>
      <c r="M13404" s="399" t="s">
        <v>921</v>
      </c>
      <c r="N13404" s="273"/>
    </row>
    <row r="13405" spans="1:14" ht="12.75" customHeight="1" x14ac:dyDescent="0.25">
      <c r="A13405" s="393" t="s">
        <v>1301</v>
      </c>
      <c r="B13405" s="271"/>
      <c r="C13405" s="271"/>
      <c r="D13405" s="271"/>
      <c r="E13405" s="271"/>
      <c r="F13405" s="271"/>
      <c r="G13405" s="273"/>
      <c r="H13405" s="29" t="str">
        <f>IF(A13405="","",VLOOKUP(A13405,AA_Cuadrillas,4,FALSE))</f>
        <v>Cuadrilla</v>
      </c>
      <c r="I13405" s="394">
        <f>IF(A13405="","",VLOOKUP(A13405,AA_Cuadrillas,5,FALSE))</f>
        <v>132500</v>
      </c>
      <c r="J13405" s="273"/>
      <c r="K13405" s="9">
        <f>IF(A13405="","",F.P!$I$2)</f>
        <v>1.88</v>
      </c>
      <c r="L13405" s="97">
        <v>7.0000000000000007E-2</v>
      </c>
      <c r="M13405" s="394">
        <f t="shared" ref="M13405:M13409" si="1751">IF(A13405="","",I13405*K13405*L13405)</f>
        <v>17437</v>
      </c>
      <c r="N13405" s="273"/>
    </row>
    <row r="13406" spans="1:14" ht="12.75" customHeight="1" x14ac:dyDescent="0.25">
      <c r="A13406" s="393"/>
      <c r="B13406" s="271"/>
      <c r="C13406" s="271"/>
      <c r="D13406" s="271"/>
      <c r="E13406" s="271"/>
      <c r="F13406" s="271"/>
      <c r="G13406" s="273"/>
      <c r="H13406" s="29" t="str">
        <f>IF(A13406="","",VLOOKUP(A13406,AA_Cuadrillas,4,FALSE))</f>
        <v/>
      </c>
      <c r="I13406" s="394" t="str">
        <f>IF(A13406="","",VLOOKUP(A13406,AA_Cuadrillas,5,FALSE))</f>
        <v/>
      </c>
      <c r="J13406" s="273"/>
      <c r="K13406" s="9" t="str">
        <f>IF(A13406="","",F.P!$I$2)</f>
        <v/>
      </c>
      <c r="L13406" s="9"/>
      <c r="M13406" s="394" t="str">
        <f t="shared" si="1751"/>
        <v/>
      </c>
      <c r="N13406" s="273"/>
    </row>
    <row r="13407" spans="1:14" ht="12.75" customHeight="1" x14ac:dyDescent="0.25">
      <c r="A13407" s="393"/>
      <c r="B13407" s="271"/>
      <c r="C13407" s="271"/>
      <c r="D13407" s="271"/>
      <c r="E13407" s="271"/>
      <c r="F13407" s="271"/>
      <c r="G13407" s="273"/>
      <c r="H13407" s="29" t="str">
        <f>IF(A13407="","",VLOOKUP(A13407,AA_Cuadrillas,4,FALSE))</f>
        <v/>
      </c>
      <c r="I13407" s="394" t="str">
        <f>IF(A13407="","",VLOOKUP(A13407,AA_Cuadrillas,5,FALSE))</f>
        <v/>
      </c>
      <c r="J13407" s="273"/>
      <c r="K13407" s="9" t="str">
        <f>IF(A13407="","",F.P!$I$2)</f>
        <v/>
      </c>
      <c r="L13407" s="37"/>
      <c r="M13407" s="394" t="str">
        <f t="shared" si="1751"/>
        <v/>
      </c>
      <c r="N13407" s="273"/>
    </row>
    <row r="13408" spans="1:14" ht="12.75" customHeight="1" x14ac:dyDescent="0.25">
      <c r="A13408" s="393"/>
      <c r="B13408" s="271"/>
      <c r="C13408" s="271"/>
      <c r="D13408" s="271"/>
      <c r="E13408" s="271"/>
      <c r="F13408" s="271"/>
      <c r="G13408" s="273"/>
      <c r="H13408" s="29" t="str">
        <f>IF(A13408="","",VLOOKUP(A13408,AA_Cuadrillas,4,FALSE))</f>
        <v/>
      </c>
      <c r="I13408" s="394" t="str">
        <f>IF(A13408="","",VLOOKUP(A13408,AA_Cuadrillas,5,FALSE))</f>
        <v/>
      </c>
      <c r="J13408" s="273"/>
      <c r="K13408" s="9" t="str">
        <f>IF(A13408="","",F.P!$I$2)</f>
        <v/>
      </c>
      <c r="L13408" s="97"/>
      <c r="M13408" s="394" t="str">
        <f t="shared" si="1751"/>
        <v/>
      </c>
      <c r="N13408" s="273"/>
    </row>
    <row r="13409" spans="1:15" ht="12.75" customHeight="1" x14ac:dyDescent="0.25">
      <c r="A13409" s="393"/>
      <c r="B13409" s="271"/>
      <c r="C13409" s="271"/>
      <c r="D13409" s="271"/>
      <c r="E13409" s="271"/>
      <c r="F13409" s="271"/>
      <c r="G13409" s="273"/>
      <c r="H13409" s="29" t="str">
        <f>IF(A13409="","",VLOOKUP(A13409,AA_Cuadrillas,4,FALSE))</f>
        <v/>
      </c>
      <c r="I13409" s="394" t="str">
        <f>IF(A13409="","",VLOOKUP(A13409,AA_Cuadrillas,5,FALSE))</f>
        <v/>
      </c>
      <c r="J13409" s="273"/>
      <c r="K13409" s="9" t="str">
        <f>IF(A13409="","",F.P!$I$2)</f>
        <v/>
      </c>
      <c r="L13409" s="37"/>
      <c r="M13409" s="394" t="str">
        <f t="shared" si="1751"/>
        <v/>
      </c>
      <c r="N13409" s="273"/>
    </row>
    <row r="13410" spans="1:15" ht="12.75" customHeight="1" x14ac:dyDescent="0.25">
      <c r="A13410" s="4"/>
      <c r="B13410" s="4"/>
      <c r="C13410" s="4"/>
      <c r="D13410" s="4"/>
      <c r="E13410" s="4"/>
      <c r="F13410" s="4"/>
      <c r="G13410" s="4"/>
      <c r="H13410" s="4"/>
      <c r="I13410" s="4"/>
      <c r="J13410" s="4"/>
      <c r="K13410" s="396" t="s">
        <v>444</v>
      </c>
      <c r="L13410" s="273"/>
      <c r="M13410" s="394">
        <f>SUM(M13405:N13409)</f>
        <v>17437</v>
      </c>
      <c r="N13410" s="273"/>
    </row>
    <row r="13411" spans="1:15" ht="12.75" customHeight="1" x14ac:dyDescent="0.2"/>
    <row r="13412" spans="1:15" ht="12.75" customHeight="1" x14ac:dyDescent="0.2">
      <c r="A13412" s="397" t="s">
        <v>434</v>
      </c>
      <c r="B13412" s="275"/>
      <c r="C13412" s="275"/>
      <c r="D13412" s="275"/>
      <c r="E13412" s="275"/>
      <c r="F13412" s="275"/>
      <c r="G13412" s="275"/>
      <c r="H13412" s="275"/>
      <c r="I13412" s="275"/>
      <c r="J13412" s="275"/>
      <c r="K13412" s="275"/>
      <c r="L13412" s="275"/>
      <c r="M13412" s="275"/>
      <c r="N13412" s="276"/>
      <c r="O13412" s="166"/>
    </row>
    <row r="13413" spans="1:15" ht="12.75" customHeight="1" x14ac:dyDescent="0.2">
      <c r="A13413" s="277"/>
      <c r="B13413" s="278"/>
      <c r="C13413" s="278"/>
      <c r="D13413" s="278"/>
      <c r="E13413" s="278"/>
      <c r="F13413" s="278"/>
      <c r="G13413" s="278"/>
      <c r="H13413" s="278"/>
      <c r="I13413" s="278"/>
      <c r="J13413" s="278"/>
      <c r="K13413" s="278"/>
      <c r="L13413" s="278"/>
      <c r="M13413" s="278"/>
      <c r="N13413" s="279"/>
      <c r="O13413" s="166"/>
    </row>
    <row r="13414" spans="1:15" ht="12.75" customHeight="1" x14ac:dyDescent="0.2">
      <c r="A13414" s="75"/>
      <c r="B13414" s="75"/>
      <c r="C13414" s="75"/>
      <c r="D13414" s="75"/>
      <c r="E13414" s="75"/>
      <c r="F13414" s="75"/>
      <c r="G13414" s="75"/>
      <c r="H13414" s="75"/>
      <c r="I13414" s="75"/>
      <c r="J13414" s="75"/>
      <c r="K13414" s="75"/>
      <c r="L13414" s="75"/>
      <c r="M13414" s="75"/>
      <c r="N13414" s="75"/>
    </row>
    <row r="13415" spans="1:15" ht="12.75" customHeight="1" x14ac:dyDescent="0.3">
      <c r="A13415" s="79" t="s">
        <v>906</v>
      </c>
      <c r="B13415" s="80" t="str">
        <f>A13412</f>
        <v>TD: SUMINISTRO E INSTALACIÓN DE TABLERO TRIFÁSICO FABRICACIÓN ESPECIAL CON TOTALIZADOR 3X40A - 10KA, BARRAJE PRINCIPAL TRIFÁSICO, BREAKER INDUSTRIAL 3X25A - 1 UN, BREAKER TIPO RIEL 1X20A - 6 UN, INCLUYE ENCERRAMIENTO METÁLICO, PUERTA Y FRENTE MUERTO</v>
      </c>
      <c r="C13415" s="81" t="s">
        <v>916</v>
      </c>
      <c r="D13415" s="82" t="s">
        <v>999</v>
      </c>
      <c r="E13415" s="83" t="s">
        <v>445</v>
      </c>
      <c r="F13415" s="234">
        <f>(H13415+J13415+L13415+N13415)*1.3</f>
        <v>4784332.1500000004</v>
      </c>
      <c r="G13415" s="83" t="s">
        <v>607</v>
      </c>
      <c r="H13415" s="86">
        <f>M13434</f>
        <v>3213523</v>
      </c>
      <c r="I13415" s="83" t="s">
        <v>918</v>
      </c>
      <c r="J13415" s="86">
        <f>M13443</f>
        <v>18682.5</v>
      </c>
      <c r="K13415" s="83" t="s">
        <v>609</v>
      </c>
      <c r="L13415" s="86">
        <f>M13451</f>
        <v>74400</v>
      </c>
      <c r="M13415" s="83" t="s">
        <v>610</v>
      </c>
      <c r="N13415" s="86">
        <f>M13460</f>
        <v>373650</v>
      </c>
    </row>
    <row r="13416" spans="1:15" ht="12.75" customHeight="1" x14ac:dyDescent="0.25">
      <c r="A13416" s="87"/>
      <c r="B13416" s="87"/>
      <c r="C13416" s="87"/>
      <c r="D13416" s="87"/>
      <c r="E13416" s="87"/>
      <c r="F13416" s="87"/>
      <c r="G13416" s="87"/>
      <c r="H13416" s="12"/>
      <c r="I13416" s="12"/>
      <c r="J13416" s="87"/>
      <c r="K13416" s="215" t="s">
        <v>3217</v>
      </c>
      <c r="L13416" s="215">
        <f>+F13415*presup!$O$5</f>
        <v>6219631.7950000009</v>
      </c>
      <c r="M13416" s="87"/>
      <c r="N13416" s="87"/>
    </row>
    <row r="13417" spans="1:15" ht="12.75" customHeight="1" x14ac:dyDescent="0.2">
      <c r="A13417" s="398" t="s">
        <v>919</v>
      </c>
      <c r="B13417" s="271"/>
      <c r="C13417" s="271"/>
      <c r="D13417" s="271"/>
      <c r="E13417" s="271"/>
      <c r="F13417" s="271"/>
      <c r="G13417" s="271"/>
      <c r="H13417" s="271"/>
      <c r="I13417" s="271"/>
      <c r="J13417" s="271"/>
      <c r="K13417" s="271"/>
      <c r="L13417" s="271"/>
      <c r="M13417" s="271"/>
      <c r="N13417" s="273"/>
    </row>
    <row r="13418" spans="1:15" ht="12.75" customHeight="1" x14ac:dyDescent="0.2">
      <c r="A13418" s="396" t="s">
        <v>76</v>
      </c>
      <c r="B13418" s="271"/>
      <c r="C13418" s="271"/>
      <c r="D13418" s="271"/>
      <c r="E13418" s="271"/>
      <c r="F13418" s="271"/>
      <c r="G13418" s="273"/>
      <c r="H13418" s="88" t="s">
        <v>77</v>
      </c>
      <c r="I13418" s="399" t="s">
        <v>920</v>
      </c>
      <c r="J13418" s="273"/>
      <c r="K13418" s="399" t="s">
        <v>453</v>
      </c>
      <c r="L13418" s="273"/>
      <c r="M13418" s="399" t="s">
        <v>921</v>
      </c>
      <c r="N13418" s="273"/>
    </row>
    <row r="13419" spans="1:15" ht="12.75" customHeight="1" x14ac:dyDescent="0.25">
      <c r="A13419" s="309" t="s">
        <v>1726</v>
      </c>
      <c r="B13419" s="271"/>
      <c r="C13419" s="271"/>
      <c r="D13419" s="271"/>
      <c r="E13419" s="271"/>
      <c r="F13419" s="271"/>
      <c r="G13419" s="273"/>
      <c r="H13419" s="29" t="str">
        <f t="shared" ref="H13419:H13433" si="1752">IF(A13419="","",VLOOKUP(A13419,AA_Materiales,7,FALSE))</f>
        <v>Unidad</v>
      </c>
      <c r="I13419" s="394">
        <f t="shared" ref="I13419:I13433" si="1753">IF(A13419="","",VLOOKUP(A13419,AA_Materiales,8,FALSE))</f>
        <v>1101940</v>
      </c>
      <c r="J13419" s="273"/>
      <c r="K13419" s="393">
        <v>1</v>
      </c>
      <c r="L13419" s="273"/>
      <c r="M13419" s="394">
        <f t="shared" ref="M13419:M13433" si="1754">IF(A13419="","",I13419*K13419)</f>
        <v>1101940</v>
      </c>
      <c r="N13419" s="273"/>
    </row>
    <row r="13420" spans="1:15" ht="12.75" customHeight="1" x14ac:dyDescent="0.25">
      <c r="A13420" s="309" t="s">
        <v>1727</v>
      </c>
      <c r="B13420" s="271"/>
      <c r="C13420" s="271"/>
      <c r="D13420" s="271"/>
      <c r="E13420" s="271"/>
      <c r="F13420" s="271"/>
      <c r="G13420" s="273"/>
      <c r="H13420" s="29" t="str">
        <f t="shared" si="1752"/>
        <v>Unidad</v>
      </c>
      <c r="I13420" s="394">
        <f t="shared" si="1753"/>
        <v>486090</v>
      </c>
      <c r="J13420" s="273"/>
      <c r="K13420" s="393">
        <v>1</v>
      </c>
      <c r="L13420" s="273"/>
      <c r="M13420" s="394">
        <f t="shared" si="1754"/>
        <v>486090</v>
      </c>
      <c r="N13420" s="273"/>
    </row>
    <row r="13421" spans="1:15" ht="12.75" customHeight="1" x14ac:dyDescent="0.25">
      <c r="A13421" s="309" t="s">
        <v>1728</v>
      </c>
      <c r="B13421" s="271"/>
      <c r="C13421" s="271"/>
      <c r="D13421" s="271"/>
      <c r="E13421" s="271"/>
      <c r="F13421" s="271"/>
      <c r="G13421" s="273"/>
      <c r="H13421" s="29" t="str">
        <f t="shared" si="1752"/>
        <v>Unidad</v>
      </c>
      <c r="I13421" s="394">
        <f t="shared" si="1753"/>
        <v>295100</v>
      </c>
      <c r="J13421" s="273"/>
      <c r="K13421" s="393">
        <v>1</v>
      </c>
      <c r="L13421" s="273"/>
      <c r="M13421" s="394">
        <f t="shared" si="1754"/>
        <v>295100</v>
      </c>
      <c r="N13421" s="273"/>
    </row>
    <row r="13422" spans="1:15" ht="12.75" customHeight="1" x14ac:dyDescent="0.25">
      <c r="A13422" s="309" t="s">
        <v>1729</v>
      </c>
      <c r="B13422" s="271"/>
      <c r="C13422" s="271"/>
      <c r="D13422" s="271"/>
      <c r="E13422" s="271"/>
      <c r="F13422" s="271"/>
      <c r="G13422" s="273"/>
      <c r="H13422" s="29" t="str">
        <f t="shared" si="1752"/>
        <v>Unidad</v>
      </c>
      <c r="I13422" s="394">
        <f t="shared" si="1753"/>
        <v>49400</v>
      </c>
      <c r="J13422" s="273"/>
      <c r="K13422" s="393">
        <v>1</v>
      </c>
      <c r="L13422" s="273"/>
      <c r="M13422" s="394">
        <f t="shared" si="1754"/>
        <v>49400</v>
      </c>
      <c r="N13422" s="273"/>
    </row>
    <row r="13423" spans="1:15" ht="12.75" customHeight="1" x14ac:dyDescent="0.25">
      <c r="A13423" s="309" t="s">
        <v>1730</v>
      </c>
      <c r="B13423" s="271"/>
      <c r="C13423" s="271"/>
      <c r="D13423" s="271"/>
      <c r="E13423" s="271"/>
      <c r="F13423" s="271"/>
      <c r="G13423" s="273"/>
      <c r="H13423" s="29" t="str">
        <f t="shared" si="1752"/>
        <v>Unidad</v>
      </c>
      <c r="I13423" s="394">
        <f t="shared" si="1753"/>
        <v>47523</v>
      </c>
      <c r="J13423" s="273"/>
      <c r="K13423" s="393">
        <v>1</v>
      </c>
      <c r="L13423" s="273"/>
      <c r="M13423" s="394">
        <f t="shared" si="1754"/>
        <v>47523</v>
      </c>
      <c r="N13423" s="273"/>
    </row>
    <row r="13424" spans="1:15" ht="12.75" customHeight="1" x14ac:dyDescent="0.25">
      <c r="A13424" s="309" t="s">
        <v>1593</v>
      </c>
      <c r="B13424" s="271"/>
      <c r="C13424" s="271"/>
      <c r="D13424" s="271"/>
      <c r="E13424" s="271"/>
      <c r="F13424" s="271"/>
      <c r="G13424" s="273"/>
      <c r="H13424" s="29" t="str">
        <f t="shared" si="1752"/>
        <v>Unidad</v>
      </c>
      <c r="I13424" s="394">
        <f t="shared" si="1753"/>
        <v>148750</v>
      </c>
      <c r="J13424" s="273"/>
      <c r="K13424" s="393">
        <v>1</v>
      </c>
      <c r="L13424" s="273"/>
      <c r="M13424" s="394">
        <f t="shared" si="1754"/>
        <v>148750</v>
      </c>
      <c r="N13424" s="273"/>
    </row>
    <row r="13425" spans="1:14" ht="12.75" customHeight="1" x14ac:dyDescent="0.25">
      <c r="A13425" s="309" t="s">
        <v>1731</v>
      </c>
      <c r="B13425" s="271"/>
      <c r="C13425" s="271"/>
      <c r="D13425" s="271"/>
      <c r="E13425" s="271"/>
      <c r="F13425" s="271"/>
      <c r="G13425" s="273"/>
      <c r="H13425" s="29" t="str">
        <f t="shared" si="1752"/>
        <v>Unidad</v>
      </c>
      <c r="I13425" s="394">
        <f t="shared" si="1753"/>
        <v>1084720</v>
      </c>
      <c r="J13425" s="273"/>
      <c r="K13425" s="393">
        <v>1</v>
      </c>
      <c r="L13425" s="273"/>
      <c r="M13425" s="394">
        <f t="shared" si="1754"/>
        <v>1084720</v>
      </c>
      <c r="N13425" s="273"/>
    </row>
    <row r="13426" spans="1:14" ht="12.75" customHeight="1" x14ac:dyDescent="0.25">
      <c r="A13426" s="309"/>
      <c r="B13426" s="271"/>
      <c r="C13426" s="271"/>
      <c r="D13426" s="271"/>
      <c r="E13426" s="271"/>
      <c r="F13426" s="271"/>
      <c r="G13426" s="273"/>
      <c r="H13426" s="29" t="str">
        <f t="shared" si="1752"/>
        <v/>
      </c>
      <c r="I13426" s="394" t="str">
        <f t="shared" si="1753"/>
        <v/>
      </c>
      <c r="J13426" s="273"/>
      <c r="K13426" s="393"/>
      <c r="L13426" s="273"/>
      <c r="M13426" s="394" t="str">
        <f t="shared" si="1754"/>
        <v/>
      </c>
      <c r="N13426" s="273"/>
    </row>
    <row r="13427" spans="1:14" ht="12.75" customHeight="1" x14ac:dyDescent="0.25">
      <c r="A13427" s="309"/>
      <c r="B13427" s="271"/>
      <c r="C13427" s="271"/>
      <c r="D13427" s="271"/>
      <c r="E13427" s="271"/>
      <c r="F13427" s="271"/>
      <c r="G13427" s="273"/>
      <c r="H13427" s="29" t="str">
        <f t="shared" si="1752"/>
        <v/>
      </c>
      <c r="I13427" s="394" t="str">
        <f t="shared" si="1753"/>
        <v/>
      </c>
      <c r="J13427" s="273"/>
      <c r="K13427" s="393"/>
      <c r="L13427" s="273"/>
      <c r="M13427" s="394" t="str">
        <f t="shared" si="1754"/>
        <v/>
      </c>
      <c r="N13427" s="273"/>
    </row>
    <row r="13428" spans="1:14" ht="12.75" customHeight="1" x14ac:dyDescent="0.25">
      <c r="A13428" s="309"/>
      <c r="B13428" s="271"/>
      <c r="C13428" s="271"/>
      <c r="D13428" s="271"/>
      <c r="E13428" s="271"/>
      <c r="F13428" s="271"/>
      <c r="G13428" s="273"/>
      <c r="H13428" s="29" t="str">
        <f t="shared" si="1752"/>
        <v/>
      </c>
      <c r="I13428" s="394" t="str">
        <f t="shared" si="1753"/>
        <v/>
      </c>
      <c r="J13428" s="273"/>
      <c r="K13428" s="393"/>
      <c r="L13428" s="273"/>
      <c r="M13428" s="394" t="str">
        <f t="shared" si="1754"/>
        <v/>
      </c>
      <c r="N13428" s="273"/>
    </row>
    <row r="13429" spans="1:14" ht="12.75" customHeight="1" x14ac:dyDescent="0.25">
      <c r="A13429" s="309"/>
      <c r="B13429" s="271"/>
      <c r="C13429" s="271"/>
      <c r="D13429" s="271"/>
      <c r="E13429" s="271"/>
      <c r="F13429" s="271"/>
      <c r="G13429" s="273"/>
      <c r="H13429" s="29" t="str">
        <f t="shared" si="1752"/>
        <v/>
      </c>
      <c r="I13429" s="394" t="str">
        <f t="shared" si="1753"/>
        <v/>
      </c>
      <c r="J13429" s="273"/>
      <c r="K13429" s="393"/>
      <c r="L13429" s="273"/>
      <c r="M13429" s="394" t="str">
        <f t="shared" si="1754"/>
        <v/>
      </c>
      <c r="N13429" s="273"/>
    </row>
    <row r="13430" spans="1:14" ht="12.75" customHeight="1" x14ac:dyDescent="0.25">
      <c r="A13430" s="309"/>
      <c r="B13430" s="271"/>
      <c r="C13430" s="271"/>
      <c r="D13430" s="271"/>
      <c r="E13430" s="271"/>
      <c r="F13430" s="271"/>
      <c r="G13430" s="273"/>
      <c r="H13430" s="29" t="str">
        <f t="shared" si="1752"/>
        <v/>
      </c>
      <c r="I13430" s="394" t="str">
        <f t="shared" si="1753"/>
        <v/>
      </c>
      <c r="J13430" s="273"/>
      <c r="K13430" s="393"/>
      <c r="L13430" s="273"/>
      <c r="M13430" s="394" t="str">
        <f t="shared" si="1754"/>
        <v/>
      </c>
      <c r="N13430" s="273"/>
    </row>
    <row r="13431" spans="1:14" ht="12.75" customHeight="1" x14ac:dyDescent="0.25">
      <c r="A13431" s="309"/>
      <c r="B13431" s="271"/>
      <c r="C13431" s="271"/>
      <c r="D13431" s="271"/>
      <c r="E13431" s="271"/>
      <c r="F13431" s="271"/>
      <c r="G13431" s="273"/>
      <c r="H13431" s="29" t="str">
        <f t="shared" si="1752"/>
        <v/>
      </c>
      <c r="I13431" s="394" t="str">
        <f t="shared" si="1753"/>
        <v/>
      </c>
      <c r="J13431" s="273"/>
      <c r="K13431" s="393"/>
      <c r="L13431" s="273"/>
      <c r="M13431" s="394" t="str">
        <f t="shared" si="1754"/>
        <v/>
      </c>
      <c r="N13431" s="273"/>
    </row>
    <row r="13432" spans="1:14" ht="12.75" customHeight="1" x14ac:dyDescent="0.25">
      <c r="A13432" s="309"/>
      <c r="B13432" s="271"/>
      <c r="C13432" s="271"/>
      <c r="D13432" s="271"/>
      <c r="E13432" s="271"/>
      <c r="F13432" s="271"/>
      <c r="G13432" s="273"/>
      <c r="H13432" s="29" t="str">
        <f t="shared" si="1752"/>
        <v/>
      </c>
      <c r="I13432" s="394" t="str">
        <f t="shared" si="1753"/>
        <v/>
      </c>
      <c r="J13432" s="273"/>
      <c r="K13432" s="393"/>
      <c r="L13432" s="273"/>
      <c r="M13432" s="394" t="str">
        <f t="shared" si="1754"/>
        <v/>
      </c>
      <c r="N13432" s="273"/>
    </row>
    <row r="13433" spans="1:14" ht="12.75" customHeight="1" x14ac:dyDescent="0.25">
      <c r="A13433" s="309"/>
      <c r="B13433" s="271"/>
      <c r="C13433" s="271"/>
      <c r="D13433" s="271"/>
      <c r="E13433" s="271"/>
      <c r="F13433" s="271"/>
      <c r="G13433" s="273"/>
      <c r="H13433" s="29" t="str">
        <f t="shared" si="1752"/>
        <v/>
      </c>
      <c r="I13433" s="394" t="str">
        <f t="shared" si="1753"/>
        <v/>
      </c>
      <c r="J13433" s="273"/>
      <c r="K13433" s="393"/>
      <c r="L13433" s="273"/>
      <c r="M13433" s="394" t="str">
        <f t="shared" si="1754"/>
        <v/>
      </c>
      <c r="N13433" s="273"/>
    </row>
    <row r="13434" spans="1:14" ht="12.75" customHeight="1" x14ac:dyDescent="0.25">
      <c r="A13434" s="4"/>
      <c r="B13434" s="4"/>
      <c r="C13434" s="4"/>
      <c r="D13434" s="4"/>
      <c r="E13434" s="4"/>
      <c r="F13434" s="4"/>
      <c r="G13434" s="4"/>
      <c r="H13434" s="4"/>
      <c r="I13434" s="4"/>
      <c r="J13434" s="4"/>
      <c r="K13434" s="396" t="s">
        <v>444</v>
      </c>
      <c r="L13434" s="273"/>
      <c r="M13434" s="394">
        <f>SUM(M13419:N13433)</f>
        <v>3213523</v>
      </c>
      <c r="N13434" s="273"/>
    </row>
    <row r="13435" spans="1:14" ht="12.75" customHeight="1" x14ac:dyDescent="0.25">
      <c r="A13435" s="4"/>
      <c r="B13435" s="4"/>
      <c r="C13435" s="4"/>
      <c r="D13435" s="4"/>
      <c r="E13435" s="4"/>
      <c r="F13435" s="4"/>
      <c r="G13435" s="4"/>
      <c r="H13435" s="4"/>
      <c r="I13435" s="4"/>
      <c r="J13435" s="4"/>
      <c r="K13435" s="4"/>
      <c r="L13435" s="4"/>
      <c r="M13435" s="4"/>
      <c r="N13435" s="4"/>
    </row>
    <row r="13436" spans="1:14" ht="12.75" customHeight="1" x14ac:dyDescent="0.2">
      <c r="A13436" s="398" t="s">
        <v>926</v>
      </c>
      <c r="B13436" s="271"/>
      <c r="C13436" s="271"/>
      <c r="D13436" s="271"/>
      <c r="E13436" s="271"/>
      <c r="F13436" s="271"/>
      <c r="G13436" s="271"/>
      <c r="H13436" s="271"/>
      <c r="I13436" s="271"/>
      <c r="J13436" s="271"/>
      <c r="K13436" s="271"/>
      <c r="L13436" s="271"/>
      <c r="M13436" s="271"/>
      <c r="N13436" s="273"/>
    </row>
    <row r="13437" spans="1:14" ht="12.75" customHeight="1" x14ac:dyDescent="0.2">
      <c r="A13437" s="396" t="s">
        <v>76</v>
      </c>
      <c r="B13437" s="271"/>
      <c r="C13437" s="271"/>
      <c r="D13437" s="271"/>
      <c r="E13437" s="271"/>
      <c r="F13437" s="271"/>
      <c r="G13437" s="273"/>
      <c r="H13437" s="88" t="s">
        <v>77</v>
      </c>
      <c r="I13437" s="399" t="s">
        <v>920</v>
      </c>
      <c r="J13437" s="273"/>
      <c r="K13437" s="399" t="s">
        <v>453</v>
      </c>
      <c r="L13437" s="273"/>
      <c r="M13437" s="399" t="s">
        <v>921</v>
      </c>
      <c r="N13437" s="273"/>
    </row>
    <row r="13438" spans="1:14" ht="12.75" customHeight="1" x14ac:dyDescent="0.2">
      <c r="A13438" s="400" t="s">
        <v>927</v>
      </c>
      <c r="B13438" s="271"/>
      <c r="C13438" s="271"/>
      <c r="D13438" s="271"/>
      <c r="E13438" s="271"/>
      <c r="F13438" s="271"/>
      <c r="G13438" s="273"/>
      <c r="H13438" s="29" t="str">
        <f>IF(A13438="","",VLOOKUP(A13438,AA_Equipos,7,FALSE))</f>
        <v>% M.O.</v>
      </c>
      <c r="I13438" s="394">
        <f>+M13460</f>
        <v>373650</v>
      </c>
      <c r="J13438" s="273"/>
      <c r="K13438" s="404">
        <v>0.05</v>
      </c>
      <c r="L13438" s="273"/>
      <c r="M13438" s="394">
        <f t="shared" ref="M13438:M13442" si="1755">IF(A13438="","",I13438*K13438)</f>
        <v>18682.5</v>
      </c>
      <c r="N13438" s="273"/>
    </row>
    <row r="13439" spans="1:14" ht="12.75" customHeight="1" x14ac:dyDescent="0.2">
      <c r="A13439" s="403"/>
      <c r="B13439" s="271"/>
      <c r="C13439" s="271"/>
      <c r="D13439" s="271"/>
      <c r="E13439" s="271"/>
      <c r="F13439" s="271"/>
      <c r="G13439" s="273"/>
      <c r="H13439" s="29" t="str">
        <f>IF(A13439="","",VLOOKUP(A13439,AA_Equipos,7,FALSE))</f>
        <v/>
      </c>
      <c r="I13439" s="394" t="str">
        <f>IF(A13439="","",VLOOKUP(A13439,AA_Equipos,8,FALSE))</f>
        <v/>
      </c>
      <c r="J13439" s="273"/>
      <c r="K13439" s="402"/>
      <c r="L13439" s="273"/>
      <c r="M13439" s="394" t="str">
        <f t="shared" si="1755"/>
        <v/>
      </c>
      <c r="N13439" s="273"/>
    </row>
    <row r="13440" spans="1:14" ht="12.75" customHeight="1" x14ac:dyDescent="0.2">
      <c r="A13440" s="400"/>
      <c r="B13440" s="271"/>
      <c r="C13440" s="271"/>
      <c r="D13440" s="271"/>
      <c r="E13440" s="271"/>
      <c r="F13440" s="271"/>
      <c r="G13440" s="273"/>
      <c r="H13440" s="29" t="str">
        <f>IF(A13440="","",VLOOKUP(A13440,AA_Equipos,7,FALSE))</f>
        <v/>
      </c>
      <c r="I13440" s="394" t="str">
        <f>IF(A13440="","",VLOOKUP(A13440,AA_Equipos,8,FALSE))</f>
        <v/>
      </c>
      <c r="J13440" s="273"/>
      <c r="K13440" s="401"/>
      <c r="L13440" s="273"/>
      <c r="M13440" s="394" t="str">
        <f t="shared" si="1755"/>
        <v/>
      </c>
      <c r="N13440" s="273"/>
    </row>
    <row r="13441" spans="1:14" ht="12.75" customHeight="1" x14ac:dyDescent="0.2">
      <c r="A13441" s="400"/>
      <c r="B13441" s="271"/>
      <c r="C13441" s="271"/>
      <c r="D13441" s="271"/>
      <c r="E13441" s="271"/>
      <c r="F13441" s="271"/>
      <c r="G13441" s="273"/>
      <c r="H13441" s="29" t="str">
        <f>IF(A13441="","",VLOOKUP(A13441,AA_Equipos,7,FALSE))</f>
        <v/>
      </c>
      <c r="I13441" s="394" t="str">
        <f>IF(A13441="","",VLOOKUP(A13441,AA_Equipos,8,FALSE))</f>
        <v/>
      </c>
      <c r="J13441" s="273"/>
      <c r="K13441" s="395"/>
      <c r="L13441" s="273"/>
      <c r="M13441" s="394" t="str">
        <f t="shared" si="1755"/>
        <v/>
      </c>
      <c r="N13441" s="273"/>
    </row>
    <row r="13442" spans="1:14" ht="12.75" customHeight="1" x14ac:dyDescent="0.2">
      <c r="A13442" s="400"/>
      <c r="B13442" s="271"/>
      <c r="C13442" s="271"/>
      <c r="D13442" s="271"/>
      <c r="E13442" s="271"/>
      <c r="F13442" s="271"/>
      <c r="G13442" s="273"/>
      <c r="H13442" s="29" t="str">
        <f>IF(A13442="","",VLOOKUP(A13442,AA_Equipos,7,FALSE))</f>
        <v/>
      </c>
      <c r="I13442" s="394" t="str">
        <f>IF(A13442="","",VLOOKUP(A13442,AA_Equipos,8,FALSE))</f>
        <v/>
      </c>
      <c r="J13442" s="273"/>
      <c r="K13442" s="395"/>
      <c r="L13442" s="273"/>
      <c r="M13442" s="394" t="str">
        <f t="shared" si="1755"/>
        <v/>
      </c>
      <c r="N13442" s="273"/>
    </row>
    <row r="13443" spans="1:14" ht="12.75" customHeight="1" x14ac:dyDescent="0.25">
      <c r="A13443" s="4"/>
      <c r="B13443" s="4"/>
      <c r="C13443" s="4"/>
      <c r="D13443" s="4"/>
      <c r="E13443" s="4"/>
      <c r="F13443" s="4"/>
      <c r="G13443" s="4"/>
      <c r="H13443" s="4"/>
      <c r="I13443" s="4"/>
      <c r="J13443" s="4"/>
      <c r="K13443" s="396" t="s">
        <v>444</v>
      </c>
      <c r="L13443" s="273"/>
      <c r="M13443" s="394">
        <f>SUM(M13438:N13442)</f>
        <v>18682.5</v>
      </c>
      <c r="N13443" s="273"/>
    </row>
    <row r="13444" spans="1:14" ht="12.75" customHeight="1" x14ac:dyDescent="0.25">
      <c r="A13444" s="4"/>
      <c r="B13444" s="4"/>
      <c r="C13444" s="4"/>
      <c r="D13444" s="4"/>
      <c r="E13444" s="4"/>
      <c r="F13444" s="4"/>
      <c r="G13444" s="4"/>
      <c r="H13444" s="4"/>
      <c r="I13444" s="4"/>
      <c r="J13444" s="4"/>
      <c r="K13444" s="4"/>
      <c r="L13444" s="4"/>
      <c r="M13444" s="4"/>
      <c r="N13444" s="4"/>
    </row>
    <row r="13445" spans="1:14" ht="12.75" customHeight="1" x14ac:dyDescent="0.2">
      <c r="A13445" s="398" t="s">
        <v>929</v>
      </c>
      <c r="B13445" s="271"/>
      <c r="C13445" s="271"/>
      <c r="D13445" s="271"/>
      <c r="E13445" s="271"/>
      <c r="F13445" s="271"/>
      <c r="G13445" s="271"/>
      <c r="H13445" s="271"/>
      <c r="I13445" s="271"/>
      <c r="J13445" s="271"/>
      <c r="K13445" s="271"/>
      <c r="L13445" s="271"/>
      <c r="M13445" s="271"/>
      <c r="N13445" s="273"/>
    </row>
    <row r="13446" spans="1:14" ht="12.75" customHeight="1" x14ac:dyDescent="0.2">
      <c r="A13446" s="396" t="s">
        <v>76</v>
      </c>
      <c r="B13446" s="271"/>
      <c r="C13446" s="271"/>
      <c r="D13446" s="271"/>
      <c r="E13446" s="271"/>
      <c r="F13446" s="271"/>
      <c r="G13446" s="273"/>
      <c r="H13446" s="88" t="s">
        <v>77</v>
      </c>
      <c r="I13446" s="399" t="s">
        <v>920</v>
      </c>
      <c r="J13446" s="273"/>
      <c r="K13446" s="399" t="s">
        <v>453</v>
      </c>
      <c r="L13446" s="273"/>
      <c r="M13446" s="399" t="s">
        <v>921</v>
      </c>
      <c r="N13446" s="273"/>
    </row>
    <row r="13447" spans="1:14" ht="12.75" customHeight="1" x14ac:dyDescent="0.2">
      <c r="A13447" s="400" t="s">
        <v>1559</v>
      </c>
      <c r="B13447" s="271"/>
      <c r="C13447" s="271"/>
      <c r="D13447" s="271"/>
      <c r="E13447" s="271"/>
      <c r="F13447" s="271"/>
      <c r="G13447" s="273"/>
      <c r="H13447" s="29" t="str">
        <f>IF(A13447="","",VLOOKUP(A13447,AA_Equipos,7,FALSE))</f>
        <v>Día</v>
      </c>
      <c r="I13447" s="394">
        <f>IF(A13447="","",VLOOKUP(A13447,AA_Equipos,8,FALSE))</f>
        <v>74400</v>
      </c>
      <c r="J13447" s="273"/>
      <c r="K13447" s="395">
        <v>1</v>
      </c>
      <c r="L13447" s="273"/>
      <c r="M13447" s="394">
        <f t="shared" ref="M13447:M13450" si="1756">IF(A13447="","",I13447*K13447)</f>
        <v>74400</v>
      </c>
      <c r="N13447" s="273"/>
    </row>
    <row r="13448" spans="1:14" ht="12.75" customHeight="1" x14ac:dyDescent="0.2">
      <c r="A13448" s="400"/>
      <c r="B13448" s="271"/>
      <c r="C13448" s="271"/>
      <c r="D13448" s="271"/>
      <c r="E13448" s="271"/>
      <c r="F13448" s="271"/>
      <c r="G13448" s="273"/>
      <c r="H13448" s="29"/>
      <c r="I13448" s="394"/>
      <c r="J13448" s="273"/>
      <c r="K13448" s="395"/>
      <c r="L13448" s="273"/>
      <c r="M13448" s="394" t="str">
        <f t="shared" si="1756"/>
        <v/>
      </c>
      <c r="N13448" s="273"/>
    </row>
    <row r="13449" spans="1:14" ht="12.75" customHeight="1" x14ac:dyDescent="0.2">
      <c r="A13449" s="400"/>
      <c r="B13449" s="271"/>
      <c r="C13449" s="271"/>
      <c r="D13449" s="271"/>
      <c r="E13449" s="271"/>
      <c r="F13449" s="271"/>
      <c r="G13449" s="273"/>
      <c r="H13449" s="29"/>
      <c r="I13449" s="394"/>
      <c r="J13449" s="273"/>
      <c r="K13449" s="395"/>
      <c r="L13449" s="273"/>
      <c r="M13449" s="394" t="str">
        <f t="shared" si="1756"/>
        <v/>
      </c>
      <c r="N13449" s="273"/>
    </row>
    <row r="13450" spans="1:14" ht="12.75" customHeight="1" x14ac:dyDescent="0.2">
      <c r="A13450" s="400"/>
      <c r="B13450" s="271"/>
      <c r="C13450" s="271"/>
      <c r="D13450" s="271"/>
      <c r="E13450" s="271"/>
      <c r="F13450" s="271"/>
      <c r="G13450" s="273"/>
      <c r="H13450" s="29"/>
      <c r="I13450" s="394"/>
      <c r="J13450" s="273"/>
      <c r="K13450" s="395"/>
      <c r="L13450" s="273"/>
      <c r="M13450" s="394" t="str">
        <f t="shared" si="1756"/>
        <v/>
      </c>
      <c r="N13450" s="273"/>
    </row>
    <row r="13451" spans="1:14" ht="12.75" customHeight="1" x14ac:dyDescent="0.25">
      <c r="A13451" s="4"/>
      <c r="B13451" s="4"/>
      <c r="C13451" s="4"/>
      <c r="D13451" s="4"/>
      <c r="E13451" s="4"/>
      <c r="F13451" s="4"/>
      <c r="G13451" s="4"/>
      <c r="H13451" s="4"/>
      <c r="I13451" s="4"/>
      <c r="J13451" s="4"/>
      <c r="K13451" s="396" t="s">
        <v>444</v>
      </c>
      <c r="L13451" s="273"/>
      <c r="M13451" s="394">
        <f>SUM(M13447:N13450)</f>
        <v>74400</v>
      </c>
      <c r="N13451" s="273"/>
    </row>
    <row r="13452" spans="1:14" ht="12.75" customHeight="1" x14ac:dyDescent="0.25">
      <c r="A13452" s="4"/>
      <c r="B13452" s="4"/>
      <c r="C13452" s="4"/>
      <c r="D13452" s="4"/>
      <c r="E13452" s="4"/>
      <c r="F13452" s="4"/>
      <c r="G13452" s="4"/>
      <c r="H13452" s="4"/>
      <c r="I13452" s="4"/>
      <c r="J13452" s="4"/>
      <c r="K13452" s="4"/>
      <c r="L13452" s="4"/>
      <c r="M13452" s="4"/>
      <c r="N13452" s="4"/>
    </row>
    <row r="13453" spans="1:14" ht="12.75" customHeight="1" x14ac:dyDescent="0.2">
      <c r="A13453" s="398" t="s">
        <v>931</v>
      </c>
      <c r="B13453" s="271"/>
      <c r="C13453" s="271"/>
      <c r="D13453" s="271"/>
      <c r="E13453" s="271"/>
      <c r="F13453" s="271"/>
      <c r="G13453" s="271"/>
      <c r="H13453" s="271"/>
      <c r="I13453" s="271"/>
      <c r="J13453" s="271"/>
      <c r="K13453" s="271"/>
      <c r="L13453" s="271"/>
      <c r="M13453" s="271"/>
      <c r="N13453" s="273"/>
    </row>
    <row r="13454" spans="1:14" ht="12.75" customHeight="1" x14ac:dyDescent="0.2">
      <c r="A13454" s="396" t="s">
        <v>76</v>
      </c>
      <c r="B13454" s="271"/>
      <c r="C13454" s="271"/>
      <c r="D13454" s="271"/>
      <c r="E13454" s="271"/>
      <c r="F13454" s="271"/>
      <c r="G13454" s="273"/>
      <c r="H13454" s="88" t="s">
        <v>77</v>
      </c>
      <c r="I13454" s="399" t="s">
        <v>920</v>
      </c>
      <c r="J13454" s="273"/>
      <c r="K13454" s="90" t="s">
        <v>514</v>
      </c>
      <c r="L13454" s="91" t="s">
        <v>932</v>
      </c>
      <c r="M13454" s="399" t="s">
        <v>921</v>
      </c>
      <c r="N13454" s="273"/>
    </row>
    <row r="13455" spans="1:14" ht="12.75" customHeight="1" x14ac:dyDescent="0.25">
      <c r="A13455" s="393" t="s">
        <v>1301</v>
      </c>
      <c r="B13455" s="271"/>
      <c r="C13455" s="271"/>
      <c r="D13455" s="271"/>
      <c r="E13455" s="271"/>
      <c r="F13455" s="271"/>
      <c r="G13455" s="273"/>
      <c r="H13455" s="29" t="str">
        <f>IF(A13455="","",VLOOKUP(A13455,AA_Cuadrillas,4,FALSE))</f>
        <v>Cuadrilla</v>
      </c>
      <c r="I13455" s="394">
        <f>IF(A13455="","",VLOOKUP(A13455,AA_Cuadrillas,5,FALSE))</f>
        <v>132500</v>
      </c>
      <c r="J13455" s="273"/>
      <c r="K13455" s="9">
        <f>IF(A13455="","",F.P!$I$2)</f>
        <v>1.88</v>
      </c>
      <c r="L13455" s="97">
        <v>1.5</v>
      </c>
      <c r="M13455" s="394">
        <f t="shared" ref="M13455:M13459" si="1757">IF(A13455="","",I13455*K13455*L13455)</f>
        <v>373650</v>
      </c>
      <c r="N13455" s="273"/>
    </row>
    <row r="13456" spans="1:14" ht="12.75" customHeight="1" x14ac:dyDescent="0.25">
      <c r="A13456" s="393"/>
      <c r="B13456" s="271"/>
      <c r="C13456" s="271"/>
      <c r="D13456" s="271"/>
      <c r="E13456" s="271"/>
      <c r="F13456" s="271"/>
      <c r="G13456" s="273"/>
      <c r="H13456" s="29" t="str">
        <f>IF(A13456="","",VLOOKUP(A13456,AA_Cuadrillas,4,FALSE))</f>
        <v/>
      </c>
      <c r="I13456" s="394" t="str">
        <f>IF(A13456="","",VLOOKUP(A13456,AA_Cuadrillas,5,FALSE))</f>
        <v/>
      </c>
      <c r="J13456" s="273"/>
      <c r="K13456" s="9" t="str">
        <f>IF(A13456="","",F.P!$I$2)</f>
        <v/>
      </c>
      <c r="L13456" s="9"/>
      <c r="M13456" s="394" t="str">
        <f t="shared" si="1757"/>
        <v/>
      </c>
      <c r="N13456" s="273"/>
    </row>
    <row r="13457" spans="1:14" ht="12.75" customHeight="1" x14ac:dyDescent="0.25">
      <c r="A13457" s="393"/>
      <c r="B13457" s="271"/>
      <c r="C13457" s="271"/>
      <c r="D13457" s="271"/>
      <c r="E13457" s="271"/>
      <c r="F13457" s="271"/>
      <c r="G13457" s="273"/>
      <c r="H13457" s="29" t="str">
        <f>IF(A13457="","",VLOOKUP(A13457,AA_Cuadrillas,4,FALSE))</f>
        <v/>
      </c>
      <c r="I13457" s="394" t="str">
        <f>IF(A13457="","",VLOOKUP(A13457,AA_Cuadrillas,5,FALSE))</f>
        <v/>
      </c>
      <c r="J13457" s="273"/>
      <c r="K13457" s="9" t="str">
        <f>IF(A13457="","",F.P!$I$2)</f>
        <v/>
      </c>
      <c r="L13457" s="37"/>
      <c r="M13457" s="394" t="str">
        <f t="shared" si="1757"/>
        <v/>
      </c>
      <c r="N13457" s="273"/>
    </row>
    <row r="13458" spans="1:14" ht="12.75" customHeight="1" x14ac:dyDescent="0.25">
      <c r="A13458" s="393"/>
      <c r="B13458" s="271"/>
      <c r="C13458" s="271"/>
      <c r="D13458" s="271"/>
      <c r="E13458" s="271"/>
      <c r="F13458" s="271"/>
      <c r="G13458" s="273"/>
      <c r="H13458" s="29" t="str">
        <f>IF(A13458="","",VLOOKUP(A13458,AA_Cuadrillas,4,FALSE))</f>
        <v/>
      </c>
      <c r="I13458" s="394" t="str">
        <f>IF(A13458="","",VLOOKUP(A13458,AA_Cuadrillas,5,FALSE))</f>
        <v/>
      </c>
      <c r="J13458" s="273"/>
      <c r="K13458" s="9" t="str">
        <f>IF(A13458="","",F.P!$I$2)</f>
        <v/>
      </c>
      <c r="L13458" s="97"/>
      <c r="M13458" s="394" t="str">
        <f t="shared" si="1757"/>
        <v/>
      </c>
      <c r="N13458" s="273"/>
    </row>
    <row r="13459" spans="1:14" ht="12.75" customHeight="1" x14ac:dyDescent="0.25">
      <c r="A13459" s="393"/>
      <c r="B13459" s="271"/>
      <c r="C13459" s="271"/>
      <c r="D13459" s="271"/>
      <c r="E13459" s="271"/>
      <c r="F13459" s="271"/>
      <c r="G13459" s="273"/>
      <c r="H13459" s="29" t="str">
        <f>IF(A13459="","",VLOOKUP(A13459,AA_Cuadrillas,4,FALSE))</f>
        <v/>
      </c>
      <c r="I13459" s="394" t="str">
        <f>IF(A13459="","",VLOOKUP(A13459,AA_Cuadrillas,5,FALSE))</f>
        <v/>
      </c>
      <c r="J13459" s="273"/>
      <c r="K13459" s="9" t="str">
        <f>IF(A13459="","",F.P!$I$2)</f>
        <v/>
      </c>
      <c r="L13459" s="37"/>
      <c r="M13459" s="394" t="str">
        <f t="shared" si="1757"/>
        <v/>
      </c>
      <c r="N13459" s="273"/>
    </row>
    <row r="13460" spans="1:14" ht="12.75" customHeight="1" x14ac:dyDescent="0.25">
      <c r="A13460" s="4"/>
      <c r="B13460" s="4"/>
      <c r="C13460" s="4"/>
      <c r="D13460" s="4"/>
      <c r="E13460" s="4"/>
      <c r="F13460" s="4"/>
      <c r="G13460" s="4"/>
      <c r="H13460" s="4"/>
      <c r="I13460" s="4"/>
      <c r="J13460" s="4"/>
      <c r="K13460" s="396" t="s">
        <v>444</v>
      </c>
      <c r="L13460" s="273"/>
      <c r="M13460" s="394">
        <f>SUM(M13455:N13459)</f>
        <v>373650</v>
      </c>
      <c r="N13460" s="273"/>
    </row>
    <row r="13461" spans="1:14" ht="12.75" customHeight="1" x14ac:dyDescent="0.2"/>
    <row r="13462" spans="1:14" ht="12.75" customHeight="1" x14ac:dyDescent="0.2">
      <c r="A13462" s="397" t="s">
        <v>435</v>
      </c>
      <c r="B13462" s="275"/>
      <c r="C13462" s="275"/>
      <c r="D13462" s="275"/>
      <c r="E13462" s="275"/>
      <c r="F13462" s="275"/>
      <c r="G13462" s="275"/>
      <c r="H13462" s="275"/>
      <c r="I13462" s="275"/>
      <c r="J13462" s="275"/>
      <c r="K13462" s="275"/>
      <c r="L13462" s="275"/>
      <c r="M13462" s="275"/>
      <c r="N13462" s="276"/>
    </row>
    <row r="13463" spans="1:14" ht="12.75" customHeight="1" x14ac:dyDescent="0.2">
      <c r="A13463" s="277"/>
      <c r="B13463" s="278"/>
      <c r="C13463" s="278"/>
      <c r="D13463" s="278"/>
      <c r="E13463" s="278"/>
      <c r="F13463" s="278"/>
      <c r="G13463" s="278"/>
      <c r="H13463" s="278"/>
      <c r="I13463" s="278"/>
      <c r="J13463" s="278"/>
      <c r="K13463" s="278"/>
      <c r="L13463" s="278"/>
      <c r="M13463" s="278"/>
      <c r="N13463" s="279"/>
    </row>
    <row r="13464" spans="1:14" ht="12.75" customHeight="1" x14ac:dyDescent="0.2">
      <c r="A13464" s="75"/>
      <c r="B13464" s="75"/>
      <c r="C13464" s="75"/>
      <c r="D13464" s="75"/>
      <c r="E13464" s="75"/>
      <c r="F13464" s="75"/>
      <c r="G13464" s="75"/>
      <c r="H13464" s="75"/>
      <c r="I13464" s="75"/>
      <c r="J13464" s="75"/>
      <c r="K13464" s="75"/>
      <c r="L13464" s="75"/>
      <c r="M13464" s="75"/>
      <c r="N13464" s="75"/>
    </row>
    <row r="13465" spans="1:14" ht="12.75" customHeight="1" x14ac:dyDescent="0.3">
      <c r="A13465" s="79" t="s">
        <v>907</v>
      </c>
      <c r="B13465" s="80" t="str">
        <f>A13462</f>
        <v>TD: SUMINISTRO E INSTALACIÓN DE TABLERO TRIFÁSICO FABRICACIÓN ESPECIAL CON TOTALIZADOR 2X40A - 10KA, BARRAJE PRINCIPAL TRIFÁSICO, GUARDAMOTOR CHINT 9-14A - 2 UN, BREAKER TIPO RIEL 1X20A - 6 UN (INCLUYE ENCERRAMIENTO METÁLICO, PUERTA Y FRENTE MUERTO)</v>
      </c>
      <c r="C13465" s="81" t="s">
        <v>916</v>
      </c>
      <c r="D13465" s="82" t="s">
        <v>999</v>
      </c>
      <c r="E13465" s="83" t="s">
        <v>445</v>
      </c>
      <c r="F13465" s="86">
        <f>H13465+J13465+L13465+N13465</f>
        <v>2733137</v>
      </c>
      <c r="G13465" s="83" t="s">
        <v>607</v>
      </c>
      <c r="H13465" s="86">
        <f>M13484</f>
        <v>2061227</v>
      </c>
      <c r="I13465" s="83" t="s">
        <v>918</v>
      </c>
      <c r="J13465" s="86">
        <f>M13493</f>
        <v>24910</v>
      </c>
      <c r="K13465" s="83" t="s">
        <v>609</v>
      </c>
      <c r="L13465" s="86">
        <f>M13501</f>
        <v>148800</v>
      </c>
      <c r="M13465" s="83" t="s">
        <v>610</v>
      </c>
      <c r="N13465" s="86">
        <f>M13510</f>
        <v>498200</v>
      </c>
    </row>
    <row r="13466" spans="1:14" ht="12.75" customHeight="1" x14ac:dyDescent="0.25">
      <c r="A13466" s="87"/>
      <c r="B13466" s="87"/>
      <c r="C13466" s="87"/>
      <c r="D13466" s="87"/>
      <c r="E13466" s="87"/>
      <c r="F13466" s="87"/>
      <c r="G13466" s="87"/>
      <c r="H13466" s="12"/>
      <c r="I13466" s="12"/>
      <c r="J13466" s="87"/>
      <c r="K13466" s="215" t="s">
        <v>3217</v>
      </c>
      <c r="L13466" s="215">
        <f>+F13465*presup!$O$5</f>
        <v>3553078.1</v>
      </c>
      <c r="M13466" s="87"/>
      <c r="N13466" s="87"/>
    </row>
    <row r="13467" spans="1:14" ht="12.75" customHeight="1" x14ac:dyDescent="0.2">
      <c r="A13467" s="398" t="s">
        <v>919</v>
      </c>
      <c r="B13467" s="271"/>
      <c r="C13467" s="271"/>
      <c r="D13467" s="271"/>
      <c r="E13467" s="271"/>
      <c r="F13467" s="271"/>
      <c r="G13467" s="271"/>
      <c r="H13467" s="271"/>
      <c r="I13467" s="271"/>
      <c r="J13467" s="271"/>
      <c r="K13467" s="271"/>
      <c r="L13467" s="271"/>
      <c r="M13467" s="271"/>
      <c r="N13467" s="273"/>
    </row>
    <row r="13468" spans="1:14" ht="12.75" customHeight="1" x14ac:dyDescent="0.2">
      <c r="A13468" s="396" t="s">
        <v>76</v>
      </c>
      <c r="B13468" s="271"/>
      <c r="C13468" s="271"/>
      <c r="D13468" s="271"/>
      <c r="E13468" s="271"/>
      <c r="F13468" s="271"/>
      <c r="G13468" s="273"/>
      <c r="H13468" s="88" t="s">
        <v>77</v>
      </c>
      <c r="I13468" s="399" t="s">
        <v>920</v>
      </c>
      <c r="J13468" s="273"/>
      <c r="K13468" s="399" t="s">
        <v>453</v>
      </c>
      <c r="L13468" s="273"/>
      <c r="M13468" s="399" t="s">
        <v>921</v>
      </c>
      <c r="N13468" s="273"/>
    </row>
    <row r="13469" spans="1:14" ht="12.75" customHeight="1" x14ac:dyDescent="0.25">
      <c r="A13469" s="309" t="s">
        <v>1732</v>
      </c>
      <c r="B13469" s="271"/>
      <c r="C13469" s="271"/>
      <c r="D13469" s="271"/>
      <c r="E13469" s="271"/>
      <c r="F13469" s="271"/>
      <c r="G13469" s="273"/>
      <c r="H13469" s="29" t="str">
        <f t="shared" ref="H13469:H13483" si="1758">IF(A13469="","",VLOOKUP(A13469,AA_Materiales,7,FALSE))</f>
        <v>Unidad</v>
      </c>
      <c r="I13469" s="394">
        <f t="shared" ref="I13469:I13483" si="1759">IF(A13469="","",VLOOKUP(A13469,AA_Materiales,8,FALSE))</f>
        <v>1101940</v>
      </c>
      <c r="J13469" s="273"/>
      <c r="K13469" s="393">
        <v>1</v>
      </c>
      <c r="L13469" s="273"/>
      <c r="M13469" s="394">
        <f t="shared" ref="M13469:M13483" si="1760">IF(A13469="","",I13469*K13469)</f>
        <v>1101940</v>
      </c>
      <c r="N13469" s="273"/>
    </row>
    <row r="13470" spans="1:14" ht="12.75" customHeight="1" x14ac:dyDescent="0.25">
      <c r="A13470" s="309" t="s">
        <v>1733</v>
      </c>
      <c r="B13470" s="271"/>
      <c r="C13470" s="271"/>
      <c r="D13470" s="271"/>
      <c r="E13470" s="271"/>
      <c r="F13470" s="271"/>
      <c r="G13470" s="273"/>
      <c r="H13470" s="29" t="str">
        <f t="shared" si="1758"/>
        <v>Unidad</v>
      </c>
      <c r="I13470" s="394">
        <f t="shared" si="1759"/>
        <v>154000</v>
      </c>
      <c r="J13470" s="273"/>
      <c r="K13470" s="393">
        <v>2</v>
      </c>
      <c r="L13470" s="273"/>
      <c r="M13470" s="394">
        <f t="shared" si="1760"/>
        <v>308000</v>
      </c>
      <c r="N13470" s="273"/>
    </row>
    <row r="13471" spans="1:14" ht="12.75" customHeight="1" x14ac:dyDescent="0.25">
      <c r="A13471" s="309" t="s">
        <v>1734</v>
      </c>
      <c r="B13471" s="271"/>
      <c r="C13471" s="271"/>
      <c r="D13471" s="271"/>
      <c r="E13471" s="271"/>
      <c r="F13471" s="271"/>
      <c r="G13471" s="273"/>
      <c r="H13471" s="29" t="str">
        <f t="shared" si="1758"/>
        <v>Unidad</v>
      </c>
      <c r="I13471" s="394">
        <f t="shared" si="1759"/>
        <v>112312</v>
      </c>
      <c r="J13471" s="273"/>
      <c r="K13471" s="393">
        <v>1</v>
      </c>
      <c r="L13471" s="273"/>
      <c r="M13471" s="394">
        <f t="shared" si="1760"/>
        <v>112312</v>
      </c>
      <c r="N13471" s="273"/>
    </row>
    <row r="13472" spans="1:14" ht="12.75" customHeight="1" x14ac:dyDescent="0.25">
      <c r="A13472" s="309" t="s">
        <v>1735</v>
      </c>
      <c r="B13472" s="271"/>
      <c r="C13472" s="271"/>
      <c r="D13472" s="271"/>
      <c r="E13472" s="271"/>
      <c r="F13472" s="271"/>
      <c r="G13472" s="273"/>
      <c r="H13472" s="29" t="str">
        <f t="shared" si="1758"/>
        <v>Unidad</v>
      </c>
      <c r="I13472" s="394">
        <f t="shared" si="1759"/>
        <v>57117</v>
      </c>
      <c r="J13472" s="273"/>
      <c r="K13472" s="393">
        <v>6</v>
      </c>
      <c r="L13472" s="273"/>
      <c r="M13472" s="394">
        <f t="shared" si="1760"/>
        <v>342702</v>
      </c>
      <c r="N13472" s="273"/>
    </row>
    <row r="13473" spans="1:14" ht="12.75" customHeight="1" x14ac:dyDescent="0.25">
      <c r="A13473" s="309" t="s">
        <v>1730</v>
      </c>
      <c r="B13473" s="271"/>
      <c r="C13473" s="271"/>
      <c r="D13473" s="271"/>
      <c r="E13473" s="271"/>
      <c r="F13473" s="271"/>
      <c r="G13473" s="273"/>
      <c r="H13473" s="29" t="str">
        <f t="shared" si="1758"/>
        <v>Unidad</v>
      </c>
      <c r="I13473" s="394">
        <f t="shared" si="1759"/>
        <v>47523</v>
      </c>
      <c r="J13473" s="273"/>
      <c r="K13473" s="393">
        <v>1</v>
      </c>
      <c r="L13473" s="273"/>
      <c r="M13473" s="394">
        <f t="shared" si="1760"/>
        <v>47523</v>
      </c>
      <c r="N13473" s="273"/>
    </row>
    <row r="13474" spans="1:14" ht="12.75" customHeight="1" x14ac:dyDescent="0.25">
      <c r="A13474" s="309" t="s">
        <v>1593</v>
      </c>
      <c r="B13474" s="271"/>
      <c r="C13474" s="271"/>
      <c r="D13474" s="271"/>
      <c r="E13474" s="271"/>
      <c r="F13474" s="271"/>
      <c r="G13474" s="273"/>
      <c r="H13474" s="29" t="str">
        <f t="shared" si="1758"/>
        <v>Unidad</v>
      </c>
      <c r="I13474" s="394">
        <f t="shared" si="1759"/>
        <v>148750</v>
      </c>
      <c r="J13474" s="273"/>
      <c r="K13474" s="393">
        <v>1</v>
      </c>
      <c r="L13474" s="273"/>
      <c r="M13474" s="394">
        <f t="shared" si="1760"/>
        <v>148750</v>
      </c>
      <c r="N13474" s="273"/>
    </row>
    <row r="13475" spans="1:14" ht="12.75" customHeight="1" x14ac:dyDescent="0.25">
      <c r="A13475" s="309"/>
      <c r="B13475" s="271"/>
      <c r="C13475" s="271"/>
      <c r="D13475" s="271"/>
      <c r="E13475" s="271"/>
      <c r="F13475" s="271"/>
      <c r="G13475" s="273"/>
      <c r="H13475" s="29" t="str">
        <f t="shared" si="1758"/>
        <v/>
      </c>
      <c r="I13475" s="394" t="str">
        <f t="shared" si="1759"/>
        <v/>
      </c>
      <c r="J13475" s="273"/>
      <c r="K13475" s="393"/>
      <c r="L13475" s="273"/>
      <c r="M13475" s="394" t="str">
        <f t="shared" si="1760"/>
        <v/>
      </c>
      <c r="N13475" s="273"/>
    </row>
    <row r="13476" spans="1:14" ht="12.75" customHeight="1" x14ac:dyDescent="0.25">
      <c r="A13476" s="309"/>
      <c r="B13476" s="271"/>
      <c r="C13476" s="271"/>
      <c r="D13476" s="271"/>
      <c r="E13476" s="271"/>
      <c r="F13476" s="271"/>
      <c r="G13476" s="273"/>
      <c r="H13476" s="29" t="str">
        <f t="shared" si="1758"/>
        <v/>
      </c>
      <c r="I13476" s="394" t="str">
        <f t="shared" si="1759"/>
        <v/>
      </c>
      <c r="J13476" s="273"/>
      <c r="K13476" s="393"/>
      <c r="L13476" s="273"/>
      <c r="M13476" s="394" t="str">
        <f t="shared" si="1760"/>
        <v/>
      </c>
      <c r="N13476" s="273"/>
    </row>
    <row r="13477" spans="1:14" ht="12.75" customHeight="1" x14ac:dyDescent="0.25">
      <c r="A13477" s="309"/>
      <c r="B13477" s="271"/>
      <c r="C13477" s="271"/>
      <c r="D13477" s="271"/>
      <c r="E13477" s="271"/>
      <c r="F13477" s="271"/>
      <c r="G13477" s="273"/>
      <c r="H13477" s="29" t="str">
        <f t="shared" si="1758"/>
        <v/>
      </c>
      <c r="I13477" s="394" t="str">
        <f t="shared" si="1759"/>
        <v/>
      </c>
      <c r="J13477" s="273"/>
      <c r="K13477" s="393"/>
      <c r="L13477" s="273"/>
      <c r="M13477" s="394" t="str">
        <f t="shared" si="1760"/>
        <v/>
      </c>
      <c r="N13477" s="273"/>
    </row>
    <row r="13478" spans="1:14" ht="12.75" customHeight="1" x14ac:dyDescent="0.25">
      <c r="A13478" s="309"/>
      <c r="B13478" s="271"/>
      <c r="C13478" s="271"/>
      <c r="D13478" s="271"/>
      <c r="E13478" s="271"/>
      <c r="F13478" s="271"/>
      <c r="G13478" s="273"/>
      <c r="H13478" s="29" t="str">
        <f t="shared" si="1758"/>
        <v/>
      </c>
      <c r="I13478" s="394" t="str">
        <f t="shared" si="1759"/>
        <v/>
      </c>
      <c r="J13478" s="273"/>
      <c r="K13478" s="393"/>
      <c r="L13478" s="273"/>
      <c r="M13478" s="394" t="str">
        <f t="shared" si="1760"/>
        <v/>
      </c>
      <c r="N13478" s="273"/>
    </row>
    <row r="13479" spans="1:14" ht="12.75" customHeight="1" x14ac:dyDescent="0.25">
      <c r="A13479" s="309"/>
      <c r="B13479" s="271"/>
      <c r="C13479" s="271"/>
      <c r="D13479" s="271"/>
      <c r="E13479" s="271"/>
      <c r="F13479" s="271"/>
      <c r="G13479" s="273"/>
      <c r="H13479" s="29" t="str">
        <f t="shared" si="1758"/>
        <v/>
      </c>
      <c r="I13479" s="394" t="str">
        <f t="shared" si="1759"/>
        <v/>
      </c>
      <c r="J13479" s="273"/>
      <c r="K13479" s="393"/>
      <c r="L13479" s="273"/>
      <c r="M13479" s="394" t="str">
        <f t="shared" si="1760"/>
        <v/>
      </c>
      <c r="N13479" s="273"/>
    </row>
    <row r="13480" spans="1:14" ht="12.75" customHeight="1" x14ac:dyDescent="0.25">
      <c r="A13480" s="309"/>
      <c r="B13480" s="271"/>
      <c r="C13480" s="271"/>
      <c r="D13480" s="271"/>
      <c r="E13480" s="271"/>
      <c r="F13480" s="271"/>
      <c r="G13480" s="273"/>
      <c r="H13480" s="29" t="str">
        <f t="shared" si="1758"/>
        <v/>
      </c>
      <c r="I13480" s="394" t="str">
        <f t="shared" si="1759"/>
        <v/>
      </c>
      <c r="J13480" s="273"/>
      <c r="K13480" s="393"/>
      <c r="L13480" s="273"/>
      <c r="M13480" s="394" t="str">
        <f t="shared" si="1760"/>
        <v/>
      </c>
      <c r="N13480" s="273"/>
    </row>
    <row r="13481" spans="1:14" ht="12.75" customHeight="1" x14ac:dyDescent="0.25">
      <c r="A13481" s="309"/>
      <c r="B13481" s="271"/>
      <c r="C13481" s="271"/>
      <c r="D13481" s="271"/>
      <c r="E13481" s="271"/>
      <c r="F13481" s="271"/>
      <c r="G13481" s="273"/>
      <c r="H13481" s="29" t="str">
        <f t="shared" si="1758"/>
        <v/>
      </c>
      <c r="I13481" s="394" t="str">
        <f t="shared" si="1759"/>
        <v/>
      </c>
      <c r="J13481" s="273"/>
      <c r="K13481" s="393"/>
      <c r="L13481" s="273"/>
      <c r="M13481" s="394" t="str">
        <f t="shared" si="1760"/>
        <v/>
      </c>
      <c r="N13481" s="273"/>
    </row>
    <row r="13482" spans="1:14" ht="12.75" customHeight="1" x14ac:dyDescent="0.25">
      <c r="A13482" s="309"/>
      <c r="B13482" s="271"/>
      <c r="C13482" s="271"/>
      <c r="D13482" s="271"/>
      <c r="E13482" s="271"/>
      <c r="F13482" s="271"/>
      <c r="G13482" s="273"/>
      <c r="H13482" s="29" t="str">
        <f t="shared" si="1758"/>
        <v/>
      </c>
      <c r="I13482" s="394" t="str">
        <f t="shared" si="1759"/>
        <v/>
      </c>
      <c r="J13482" s="273"/>
      <c r="K13482" s="393"/>
      <c r="L13482" s="273"/>
      <c r="M13482" s="394" t="str">
        <f t="shared" si="1760"/>
        <v/>
      </c>
      <c r="N13482" s="273"/>
    </row>
    <row r="13483" spans="1:14" ht="12.75" customHeight="1" x14ac:dyDescent="0.25">
      <c r="A13483" s="309"/>
      <c r="B13483" s="271"/>
      <c r="C13483" s="271"/>
      <c r="D13483" s="271"/>
      <c r="E13483" s="271"/>
      <c r="F13483" s="271"/>
      <c r="G13483" s="273"/>
      <c r="H13483" s="29" t="str">
        <f t="shared" si="1758"/>
        <v/>
      </c>
      <c r="I13483" s="394" t="str">
        <f t="shared" si="1759"/>
        <v/>
      </c>
      <c r="J13483" s="273"/>
      <c r="K13483" s="393"/>
      <c r="L13483" s="273"/>
      <c r="M13483" s="394" t="str">
        <f t="shared" si="1760"/>
        <v/>
      </c>
      <c r="N13483" s="273"/>
    </row>
    <row r="13484" spans="1:14" ht="12.75" customHeight="1" x14ac:dyDescent="0.25">
      <c r="A13484" s="4"/>
      <c r="B13484" s="4"/>
      <c r="C13484" s="4"/>
      <c r="D13484" s="4"/>
      <c r="E13484" s="4"/>
      <c r="F13484" s="4"/>
      <c r="G13484" s="4"/>
      <c r="H13484" s="4"/>
      <c r="I13484" s="4"/>
      <c r="J13484" s="4"/>
      <c r="K13484" s="396" t="s">
        <v>444</v>
      </c>
      <c r="L13484" s="273"/>
      <c r="M13484" s="394">
        <f>SUM(M13469:N13483)</f>
        <v>2061227</v>
      </c>
      <c r="N13484" s="273"/>
    </row>
    <row r="13485" spans="1:14" ht="12.75" customHeight="1" x14ac:dyDescent="0.25">
      <c r="A13485" s="4"/>
      <c r="B13485" s="4"/>
      <c r="C13485" s="4"/>
      <c r="D13485" s="4"/>
      <c r="E13485" s="4"/>
      <c r="F13485" s="4"/>
      <c r="G13485" s="4"/>
      <c r="H13485" s="4"/>
      <c r="I13485" s="4"/>
      <c r="J13485" s="4"/>
      <c r="K13485" s="4"/>
      <c r="L13485" s="4"/>
      <c r="M13485" s="4"/>
      <c r="N13485" s="4"/>
    </row>
    <row r="13486" spans="1:14" ht="12.75" customHeight="1" x14ac:dyDescent="0.2">
      <c r="A13486" s="398" t="s">
        <v>926</v>
      </c>
      <c r="B13486" s="271"/>
      <c r="C13486" s="271"/>
      <c r="D13486" s="271"/>
      <c r="E13486" s="271"/>
      <c r="F13486" s="271"/>
      <c r="G13486" s="271"/>
      <c r="H13486" s="271"/>
      <c r="I13486" s="271"/>
      <c r="J13486" s="271"/>
      <c r="K13486" s="271"/>
      <c r="L13486" s="271"/>
      <c r="M13486" s="271"/>
      <c r="N13486" s="273"/>
    </row>
    <row r="13487" spans="1:14" ht="12.75" customHeight="1" x14ac:dyDescent="0.2">
      <c r="A13487" s="396" t="s">
        <v>76</v>
      </c>
      <c r="B13487" s="271"/>
      <c r="C13487" s="271"/>
      <c r="D13487" s="271"/>
      <c r="E13487" s="271"/>
      <c r="F13487" s="271"/>
      <c r="G13487" s="273"/>
      <c r="H13487" s="88" t="s">
        <v>77</v>
      </c>
      <c r="I13487" s="399" t="s">
        <v>920</v>
      </c>
      <c r="J13487" s="273"/>
      <c r="K13487" s="399" t="s">
        <v>453</v>
      </c>
      <c r="L13487" s="273"/>
      <c r="M13487" s="399" t="s">
        <v>921</v>
      </c>
      <c r="N13487" s="273"/>
    </row>
    <row r="13488" spans="1:14" ht="12.75" customHeight="1" x14ac:dyDescent="0.2">
      <c r="A13488" s="400" t="s">
        <v>927</v>
      </c>
      <c r="B13488" s="271"/>
      <c r="C13488" s="271"/>
      <c r="D13488" s="271"/>
      <c r="E13488" s="271"/>
      <c r="F13488" s="271"/>
      <c r="G13488" s="273"/>
      <c r="H13488" s="29" t="str">
        <f>IF(A13488="","",VLOOKUP(A13488,AA_Equipos,7,FALSE))</f>
        <v>% M.O.</v>
      </c>
      <c r="I13488" s="394">
        <f>+M13510</f>
        <v>498200</v>
      </c>
      <c r="J13488" s="273"/>
      <c r="K13488" s="404">
        <v>0.05</v>
      </c>
      <c r="L13488" s="273"/>
      <c r="M13488" s="394">
        <f t="shared" ref="M13488:M13492" si="1761">IF(A13488="","",I13488*K13488)</f>
        <v>24910</v>
      </c>
      <c r="N13488" s="273"/>
    </row>
    <row r="13489" spans="1:14" ht="12.75" customHeight="1" x14ac:dyDescent="0.2">
      <c r="A13489" s="403"/>
      <c r="B13489" s="271"/>
      <c r="C13489" s="271"/>
      <c r="D13489" s="271"/>
      <c r="E13489" s="271"/>
      <c r="F13489" s="271"/>
      <c r="G13489" s="273"/>
      <c r="H13489" s="29" t="str">
        <f>IF(A13489="","",VLOOKUP(A13489,AA_Equipos,7,FALSE))</f>
        <v/>
      </c>
      <c r="I13489" s="394" t="str">
        <f>IF(A13489="","",VLOOKUP(A13489,AA_Equipos,8,FALSE))</f>
        <v/>
      </c>
      <c r="J13489" s="273"/>
      <c r="K13489" s="402"/>
      <c r="L13489" s="273"/>
      <c r="M13489" s="394" t="str">
        <f t="shared" si="1761"/>
        <v/>
      </c>
      <c r="N13489" s="273"/>
    </row>
    <row r="13490" spans="1:14" ht="12.75" customHeight="1" x14ac:dyDescent="0.2">
      <c r="A13490" s="400"/>
      <c r="B13490" s="271"/>
      <c r="C13490" s="271"/>
      <c r="D13490" s="271"/>
      <c r="E13490" s="271"/>
      <c r="F13490" s="271"/>
      <c r="G13490" s="273"/>
      <c r="H13490" s="29" t="str">
        <f>IF(A13490="","",VLOOKUP(A13490,AA_Equipos,7,FALSE))</f>
        <v/>
      </c>
      <c r="I13490" s="394" t="str">
        <f>IF(A13490="","",VLOOKUP(A13490,AA_Equipos,8,FALSE))</f>
        <v/>
      </c>
      <c r="J13490" s="273"/>
      <c r="K13490" s="401"/>
      <c r="L13490" s="273"/>
      <c r="M13490" s="394" t="str">
        <f t="shared" si="1761"/>
        <v/>
      </c>
      <c r="N13490" s="273"/>
    </row>
    <row r="13491" spans="1:14" ht="12.75" customHeight="1" x14ac:dyDescent="0.2">
      <c r="A13491" s="400"/>
      <c r="B13491" s="271"/>
      <c r="C13491" s="271"/>
      <c r="D13491" s="271"/>
      <c r="E13491" s="271"/>
      <c r="F13491" s="271"/>
      <c r="G13491" s="273"/>
      <c r="H13491" s="29" t="str">
        <f>IF(A13491="","",VLOOKUP(A13491,AA_Equipos,7,FALSE))</f>
        <v/>
      </c>
      <c r="I13491" s="394" t="str">
        <f>IF(A13491="","",VLOOKUP(A13491,AA_Equipos,8,FALSE))</f>
        <v/>
      </c>
      <c r="J13491" s="273"/>
      <c r="K13491" s="395"/>
      <c r="L13491" s="273"/>
      <c r="M13491" s="394" t="str">
        <f t="shared" si="1761"/>
        <v/>
      </c>
      <c r="N13491" s="273"/>
    </row>
    <row r="13492" spans="1:14" ht="12.75" customHeight="1" x14ac:dyDescent="0.2">
      <c r="A13492" s="400"/>
      <c r="B13492" s="271"/>
      <c r="C13492" s="271"/>
      <c r="D13492" s="271"/>
      <c r="E13492" s="271"/>
      <c r="F13492" s="271"/>
      <c r="G13492" s="273"/>
      <c r="H13492" s="29" t="str">
        <f>IF(A13492="","",VLOOKUP(A13492,AA_Equipos,7,FALSE))</f>
        <v/>
      </c>
      <c r="I13492" s="394" t="str">
        <f>IF(A13492="","",VLOOKUP(A13492,AA_Equipos,8,FALSE))</f>
        <v/>
      </c>
      <c r="J13492" s="273"/>
      <c r="K13492" s="395"/>
      <c r="L13492" s="273"/>
      <c r="M13492" s="394" t="str">
        <f t="shared" si="1761"/>
        <v/>
      </c>
      <c r="N13492" s="273"/>
    </row>
    <row r="13493" spans="1:14" ht="12.75" customHeight="1" x14ac:dyDescent="0.25">
      <c r="A13493" s="4"/>
      <c r="B13493" s="4"/>
      <c r="C13493" s="4"/>
      <c r="D13493" s="4"/>
      <c r="E13493" s="4"/>
      <c r="F13493" s="4"/>
      <c r="G13493" s="4"/>
      <c r="H13493" s="4"/>
      <c r="I13493" s="4"/>
      <c r="J13493" s="4"/>
      <c r="K13493" s="396" t="s">
        <v>444</v>
      </c>
      <c r="L13493" s="273"/>
      <c r="M13493" s="394">
        <f>SUM(M13488:N13492)</f>
        <v>24910</v>
      </c>
      <c r="N13493" s="273"/>
    </row>
    <row r="13494" spans="1:14" ht="12.75" customHeight="1" x14ac:dyDescent="0.25">
      <c r="A13494" s="4"/>
      <c r="B13494" s="4"/>
      <c r="C13494" s="4"/>
      <c r="D13494" s="4"/>
      <c r="E13494" s="4"/>
      <c r="F13494" s="4"/>
      <c r="G13494" s="4"/>
      <c r="H13494" s="4"/>
      <c r="I13494" s="4"/>
      <c r="J13494" s="4"/>
      <c r="K13494" s="4"/>
      <c r="L13494" s="4"/>
      <c r="M13494" s="4"/>
      <c r="N13494" s="4"/>
    </row>
    <row r="13495" spans="1:14" ht="12.75" customHeight="1" x14ac:dyDescent="0.2">
      <c r="A13495" s="398" t="s">
        <v>929</v>
      </c>
      <c r="B13495" s="271"/>
      <c r="C13495" s="271"/>
      <c r="D13495" s="271"/>
      <c r="E13495" s="271"/>
      <c r="F13495" s="271"/>
      <c r="G13495" s="271"/>
      <c r="H13495" s="271"/>
      <c r="I13495" s="271"/>
      <c r="J13495" s="271"/>
      <c r="K13495" s="271"/>
      <c r="L13495" s="271"/>
      <c r="M13495" s="271"/>
      <c r="N13495" s="273"/>
    </row>
    <row r="13496" spans="1:14" ht="12.75" customHeight="1" x14ac:dyDescent="0.2">
      <c r="A13496" s="396" t="s">
        <v>76</v>
      </c>
      <c r="B13496" s="271"/>
      <c r="C13496" s="271"/>
      <c r="D13496" s="271"/>
      <c r="E13496" s="271"/>
      <c r="F13496" s="271"/>
      <c r="G13496" s="273"/>
      <c r="H13496" s="88" t="s">
        <v>77</v>
      </c>
      <c r="I13496" s="399" t="s">
        <v>920</v>
      </c>
      <c r="J13496" s="273"/>
      <c r="K13496" s="399" t="s">
        <v>453</v>
      </c>
      <c r="L13496" s="273"/>
      <c r="M13496" s="399" t="s">
        <v>921</v>
      </c>
      <c r="N13496" s="273"/>
    </row>
    <row r="13497" spans="1:14" ht="12.75" customHeight="1" x14ac:dyDescent="0.2">
      <c r="A13497" s="400" t="s">
        <v>1559</v>
      </c>
      <c r="B13497" s="271"/>
      <c r="C13497" s="271"/>
      <c r="D13497" s="271"/>
      <c r="E13497" s="271"/>
      <c r="F13497" s="271"/>
      <c r="G13497" s="273"/>
      <c r="H13497" s="29" t="str">
        <f>IF(A13497="","",VLOOKUP(A13497,AA_Equipos,7,FALSE))</f>
        <v>Día</v>
      </c>
      <c r="I13497" s="394">
        <f>IF(A13497="","",VLOOKUP(A13497,AA_Equipos,8,FALSE))</f>
        <v>74400</v>
      </c>
      <c r="J13497" s="273"/>
      <c r="K13497" s="395">
        <v>2</v>
      </c>
      <c r="L13497" s="273"/>
      <c r="M13497" s="394">
        <f t="shared" ref="M13497:M13500" si="1762">IF(A13497="","",I13497*K13497)</f>
        <v>148800</v>
      </c>
      <c r="N13497" s="273"/>
    </row>
    <row r="13498" spans="1:14" ht="12.75" customHeight="1" x14ac:dyDescent="0.2">
      <c r="A13498" s="400"/>
      <c r="B13498" s="271"/>
      <c r="C13498" s="271"/>
      <c r="D13498" s="271"/>
      <c r="E13498" s="271"/>
      <c r="F13498" s="271"/>
      <c r="G13498" s="273"/>
      <c r="H13498" s="29"/>
      <c r="I13498" s="394"/>
      <c r="J13498" s="273"/>
      <c r="K13498" s="395"/>
      <c r="L13498" s="273"/>
      <c r="M13498" s="394" t="str">
        <f t="shared" si="1762"/>
        <v/>
      </c>
      <c r="N13498" s="273"/>
    </row>
    <row r="13499" spans="1:14" ht="12.75" customHeight="1" x14ac:dyDescent="0.2">
      <c r="A13499" s="400"/>
      <c r="B13499" s="271"/>
      <c r="C13499" s="271"/>
      <c r="D13499" s="271"/>
      <c r="E13499" s="271"/>
      <c r="F13499" s="271"/>
      <c r="G13499" s="273"/>
      <c r="H13499" s="29"/>
      <c r="I13499" s="394"/>
      <c r="J13499" s="273"/>
      <c r="K13499" s="395"/>
      <c r="L13499" s="273"/>
      <c r="M13499" s="394" t="str">
        <f t="shared" si="1762"/>
        <v/>
      </c>
      <c r="N13499" s="273"/>
    </row>
    <row r="13500" spans="1:14" ht="12.75" customHeight="1" x14ac:dyDescent="0.2">
      <c r="A13500" s="400"/>
      <c r="B13500" s="271"/>
      <c r="C13500" s="271"/>
      <c r="D13500" s="271"/>
      <c r="E13500" s="271"/>
      <c r="F13500" s="271"/>
      <c r="G13500" s="273"/>
      <c r="H13500" s="29"/>
      <c r="I13500" s="394"/>
      <c r="J13500" s="273"/>
      <c r="K13500" s="395"/>
      <c r="L13500" s="273"/>
      <c r="M13500" s="394" t="str">
        <f t="shared" si="1762"/>
        <v/>
      </c>
      <c r="N13500" s="273"/>
    </row>
    <row r="13501" spans="1:14" ht="12.75" customHeight="1" x14ac:dyDescent="0.25">
      <c r="A13501" s="4"/>
      <c r="B13501" s="4"/>
      <c r="C13501" s="4"/>
      <c r="D13501" s="4"/>
      <c r="E13501" s="4"/>
      <c r="F13501" s="4"/>
      <c r="G13501" s="4"/>
      <c r="H13501" s="4"/>
      <c r="I13501" s="4"/>
      <c r="J13501" s="4"/>
      <c r="K13501" s="396" t="s">
        <v>444</v>
      </c>
      <c r="L13501" s="273"/>
      <c r="M13501" s="394">
        <f>SUM(M13497:N13500)</f>
        <v>148800</v>
      </c>
      <c r="N13501" s="273"/>
    </row>
    <row r="13502" spans="1:14" ht="12.75" customHeight="1" x14ac:dyDescent="0.25">
      <c r="A13502" s="4"/>
      <c r="B13502" s="4"/>
      <c r="C13502" s="4"/>
      <c r="D13502" s="4"/>
      <c r="E13502" s="4"/>
      <c r="F13502" s="4"/>
      <c r="G13502" s="4"/>
      <c r="H13502" s="4"/>
      <c r="I13502" s="4"/>
      <c r="J13502" s="4"/>
      <c r="K13502" s="4"/>
      <c r="L13502" s="4"/>
      <c r="M13502" s="4"/>
      <c r="N13502" s="4"/>
    </row>
    <row r="13503" spans="1:14" ht="12.75" customHeight="1" x14ac:dyDescent="0.2">
      <c r="A13503" s="398" t="s">
        <v>931</v>
      </c>
      <c r="B13503" s="271"/>
      <c r="C13503" s="271"/>
      <c r="D13503" s="271"/>
      <c r="E13503" s="271"/>
      <c r="F13503" s="271"/>
      <c r="G13503" s="271"/>
      <c r="H13503" s="271"/>
      <c r="I13503" s="271"/>
      <c r="J13503" s="271"/>
      <c r="K13503" s="271"/>
      <c r="L13503" s="271"/>
      <c r="M13503" s="271"/>
      <c r="N13503" s="273"/>
    </row>
    <row r="13504" spans="1:14" ht="12.75" customHeight="1" x14ac:dyDescent="0.2">
      <c r="A13504" s="396" t="s">
        <v>76</v>
      </c>
      <c r="B13504" s="271"/>
      <c r="C13504" s="271"/>
      <c r="D13504" s="271"/>
      <c r="E13504" s="271"/>
      <c r="F13504" s="271"/>
      <c r="G13504" s="273"/>
      <c r="H13504" s="88" t="s">
        <v>77</v>
      </c>
      <c r="I13504" s="399" t="s">
        <v>920</v>
      </c>
      <c r="J13504" s="273"/>
      <c r="K13504" s="90" t="s">
        <v>514</v>
      </c>
      <c r="L13504" s="91" t="s">
        <v>932</v>
      </c>
      <c r="M13504" s="399" t="s">
        <v>921</v>
      </c>
      <c r="N13504" s="273"/>
    </row>
    <row r="13505" spans="1:14" ht="12.75" customHeight="1" x14ac:dyDescent="0.25">
      <c r="A13505" s="393" t="s">
        <v>1301</v>
      </c>
      <c r="B13505" s="271"/>
      <c r="C13505" s="271"/>
      <c r="D13505" s="271"/>
      <c r="E13505" s="271"/>
      <c r="F13505" s="271"/>
      <c r="G13505" s="273"/>
      <c r="H13505" s="29" t="str">
        <f>IF(A13505="","",VLOOKUP(A13505,AA_Cuadrillas,4,FALSE))</f>
        <v>Cuadrilla</v>
      </c>
      <c r="I13505" s="394">
        <f>IF(A13505="","",VLOOKUP(A13505,AA_Cuadrillas,5,FALSE))</f>
        <v>132500</v>
      </c>
      <c r="J13505" s="273"/>
      <c r="K13505" s="9">
        <f>IF(A13505="","",F.P!$I$2)</f>
        <v>1.88</v>
      </c>
      <c r="L13505" s="97">
        <v>2</v>
      </c>
      <c r="M13505" s="394">
        <f t="shared" ref="M13505:M13509" si="1763">IF(A13505="","",I13505*K13505*L13505)</f>
        <v>498200</v>
      </c>
      <c r="N13505" s="273"/>
    </row>
    <row r="13506" spans="1:14" ht="12.75" customHeight="1" x14ac:dyDescent="0.25">
      <c r="A13506" s="393"/>
      <c r="B13506" s="271"/>
      <c r="C13506" s="271"/>
      <c r="D13506" s="271"/>
      <c r="E13506" s="271"/>
      <c r="F13506" s="271"/>
      <c r="G13506" s="273"/>
      <c r="H13506" s="29" t="str">
        <f>IF(A13506="","",VLOOKUP(A13506,AA_Cuadrillas,4,FALSE))</f>
        <v/>
      </c>
      <c r="I13506" s="394" t="str">
        <f>IF(A13506="","",VLOOKUP(A13506,AA_Cuadrillas,5,FALSE))</f>
        <v/>
      </c>
      <c r="J13506" s="273"/>
      <c r="K13506" s="9" t="str">
        <f>IF(A13506="","",F.P!$I$2)</f>
        <v/>
      </c>
      <c r="L13506" s="9"/>
      <c r="M13506" s="394" t="str">
        <f t="shared" si="1763"/>
        <v/>
      </c>
      <c r="N13506" s="273"/>
    </row>
    <row r="13507" spans="1:14" ht="12.75" customHeight="1" x14ac:dyDescent="0.25">
      <c r="A13507" s="393"/>
      <c r="B13507" s="271"/>
      <c r="C13507" s="271"/>
      <c r="D13507" s="271"/>
      <c r="E13507" s="271"/>
      <c r="F13507" s="271"/>
      <c r="G13507" s="273"/>
      <c r="H13507" s="29" t="str">
        <f>IF(A13507="","",VLOOKUP(A13507,AA_Cuadrillas,4,FALSE))</f>
        <v/>
      </c>
      <c r="I13507" s="394" t="str">
        <f>IF(A13507="","",VLOOKUP(A13507,AA_Cuadrillas,5,FALSE))</f>
        <v/>
      </c>
      <c r="J13507" s="273"/>
      <c r="K13507" s="9" t="str">
        <f>IF(A13507="","",F.P!$I$2)</f>
        <v/>
      </c>
      <c r="L13507" s="37"/>
      <c r="M13507" s="394" t="str">
        <f t="shared" si="1763"/>
        <v/>
      </c>
      <c r="N13507" s="273"/>
    </row>
    <row r="13508" spans="1:14" ht="12.75" customHeight="1" x14ac:dyDescent="0.25">
      <c r="A13508" s="393"/>
      <c r="B13508" s="271"/>
      <c r="C13508" s="271"/>
      <c r="D13508" s="271"/>
      <c r="E13508" s="271"/>
      <c r="F13508" s="271"/>
      <c r="G13508" s="273"/>
      <c r="H13508" s="29" t="str">
        <f>IF(A13508="","",VLOOKUP(A13508,AA_Cuadrillas,4,FALSE))</f>
        <v/>
      </c>
      <c r="I13508" s="394" t="str">
        <f>IF(A13508="","",VLOOKUP(A13508,AA_Cuadrillas,5,FALSE))</f>
        <v/>
      </c>
      <c r="J13508" s="273"/>
      <c r="K13508" s="9" t="str">
        <f>IF(A13508="","",F.P!$I$2)</f>
        <v/>
      </c>
      <c r="L13508" s="97"/>
      <c r="M13508" s="394" t="str">
        <f t="shared" si="1763"/>
        <v/>
      </c>
      <c r="N13508" s="273"/>
    </row>
    <row r="13509" spans="1:14" ht="12.75" customHeight="1" x14ac:dyDescent="0.25">
      <c r="A13509" s="393"/>
      <c r="B13509" s="271"/>
      <c r="C13509" s="271"/>
      <c r="D13509" s="271"/>
      <c r="E13509" s="271"/>
      <c r="F13509" s="271"/>
      <c r="G13509" s="273"/>
      <c r="H13509" s="29" t="str">
        <f>IF(A13509="","",VLOOKUP(A13509,AA_Cuadrillas,4,FALSE))</f>
        <v/>
      </c>
      <c r="I13509" s="394" t="str">
        <f>IF(A13509="","",VLOOKUP(A13509,AA_Cuadrillas,5,FALSE))</f>
        <v/>
      </c>
      <c r="J13509" s="273"/>
      <c r="K13509" s="9" t="str">
        <f>IF(A13509="","",F.P!$I$2)</f>
        <v/>
      </c>
      <c r="L13509" s="37"/>
      <c r="M13509" s="394" t="str">
        <f t="shared" si="1763"/>
        <v/>
      </c>
      <c r="N13509" s="273"/>
    </row>
    <row r="13510" spans="1:14" ht="12.75" customHeight="1" x14ac:dyDescent="0.25">
      <c r="A13510" s="4"/>
      <c r="B13510" s="4"/>
      <c r="C13510" s="4"/>
      <c r="D13510" s="4"/>
      <c r="E13510" s="4"/>
      <c r="F13510" s="4"/>
      <c r="G13510" s="4"/>
      <c r="H13510" s="4"/>
      <c r="I13510" s="4"/>
      <c r="J13510" s="4"/>
      <c r="K13510" s="396" t="s">
        <v>444</v>
      </c>
      <c r="L13510" s="273"/>
      <c r="M13510" s="394">
        <f>SUM(M13505:N13509)</f>
        <v>498200</v>
      </c>
      <c r="N13510" s="273"/>
    </row>
    <row r="13511" spans="1:14" ht="12.75" customHeight="1" x14ac:dyDescent="0.2"/>
    <row r="13512" spans="1:14" ht="12.75" customHeight="1" x14ac:dyDescent="0.2">
      <c r="A13512" s="397" t="s">
        <v>436</v>
      </c>
      <c r="B13512" s="275"/>
      <c r="C13512" s="275"/>
      <c r="D13512" s="275"/>
      <c r="E13512" s="275"/>
      <c r="F13512" s="275"/>
      <c r="G13512" s="275"/>
      <c r="H13512" s="275"/>
      <c r="I13512" s="275"/>
      <c r="J13512" s="275"/>
      <c r="K13512" s="275"/>
      <c r="L13512" s="275"/>
      <c r="M13512" s="275"/>
      <c r="N13512" s="276"/>
    </row>
    <row r="13513" spans="1:14" ht="12.75" customHeight="1" x14ac:dyDescent="0.2">
      <c r="A13513" s="277"/>
      <c r="B13513" s="278"/>
      <c r="C13513" s="278"/>
      <c r="D13513" s="278"/>
      <c r="E13513" s="278"/>
      <c r="F13513" s="278"/>
      <c r="G13513" s="278"/>
      <c r="H13513" s="278"/>
      <c r="I13513" s="278"/>
      <c r="J13513" s="278"/>
      <c r="K13513" s="278"/>
      <c r="L13513" s="278"/>
      <c r="M13513" s="278"/>
      <c r="N13513" s="279"/>
    </row>
    <row r="13514" spans="1:14" ht="12.75" customHeight="1" x14ac:dyDescent="0.2">
      <c r="A13514" s="75"/>
      <c r="B13514" s="75"/>
      <c r="C13514" s="75"/>
      <c r="D13514" s="75"/>
      <c r="E13514" s="75"/>
      <c r="F13514" s="75"/>
      <c r="G13514" s="75"/>
      <c r="H13514" s="75"/>
      <c r="I13514" s="75"/>
      <c r="J13514" s="75"/>
      <c r="K13514" s="75"/>
      <c r="L13514" s="75"/>
      <c r="M13514" s="75"/>
      <c r="N13514" s="75"/>
    </row>
    <row r="13515" spans="1:14" ht="12.75" customHeight="1" x14ac:dyDescent="0.3">
      <c r="A13515" s="79" t="s">
        <v>908</v>
      </c>
      <c r="B13515" s="80" t="str">
        <f>A13512</f>
        <v>TD: SUMINISTRO E INSTALACIÓN DE TABLERO CON BARRAJE PRINCIPAL TRIFÁSICO, GUARDAMOTOR CHINT 6-10A, BREAKER TIPO RIEL 1X20A - 6 UN, ENCERRAMIENTO METÁLICO, PUERTA Y FRENTE MUERTO</v>
      </c>
      <c r="C13515" s="81" t="s">
        <v>916</v>
      </c>
      <c r="D13515" s="82" t="s">
        <v>999</v>
      </c>
      <c r="E13515" s="83" t="s">
        <v>445</v>
      </c>
      <c r="F13515" s="86">
        <f>H13515+J13515+L13515+N13515</f>
        <v>1277044</v>
      </c>
      <c r="G13515" s="83" t="s">
        <v>607</v>
      </c>
      <c r="H13515" s="86">
        <f>M13534</f>
        <v>605134</v>
      </c>
      <c r="I13515" s="83" t="s">
        <v>918</v>
      </c>
      <c r="J13515" s="86">
        <f>M13543</f>
        <v>24910</v>
      </c>
      <c r="K13515" s="83" t="s">
        <v>609</v>
      </c>
      <c r="L13515" s="86">
        <f>M13551</f>
        <v>148800</v>
      </c>
      <c r="M13515" s="83" t="s">
        <v>610</v>
      </c>
      <c r="N13515" s="86">
        <f>M13560</f>
        <v>498200</v>
      </c>
    </row>
    <row r="13516" spans="1:14" ht="12.75" customHeight="1" x14ac:dyDescent="0.25">
      <c r="A13516" s="87"/>
      <c r="B13516" s="87"/>
      <c r="C13516" s="87"/>
      <c r="D13516" s="87"/>
      <c r="E13516" s="87"/>
      <c r="F13516" s="87"/>
      <c r="G13516" s="87"/>
      <c r="H13516" s="12"/>
      <c r="I13516" s="12"/>
      <c r="J13516" s="87"/>
      <c r="K13516" s="215" t="s">
        <v>3217</v>
      </c>
      <c r="L13516" s="215">
        <f>+F13515*presup!$O$5</f>
        <v>1660157.2</v>
      </c>
      <c r="M13516" s="87"/>
      <c r="N13516" s="87"/>
    </row>
    <row r="13517" spans="1:14" ht="12.75" customHeight="1" x14ac:dyDescent="0.2">
      <c r="A13517" s="398" t="s">
        <v>919</v>
      </c>
      <c r="B13517" s="271"/>
      <c r="C13517" s="271"/>
      <c r="D13517" s="271"/>
      <c r="E13517" s="271"/>
      <c r="F13517" s="271"/>
      <c r="G13517" s="271"/>
      <c r="H13517" s="271"/>
      <c r="I13517" s="271"/>
      <c r="J13517" s="271"/>
      <c r="K13517" s="271"/>
      <c r="L13517" s="271"/>
      <c r="M13517" s="271"/>
      <c r="N13517" s="273"/>
    </row>
    <row r="13518" spans="1:14" ht="12.75" customHeight="1" x14ac:dyDescent="0.2">
      <c r="A13518" s="396" t="s">
        <v>76</v>
      </c>
      <c r="B13518" s="271"/>
      <c r="C13518" s="271"/>
      <c r="D13518" s="271"/>
      <c r="E13518" s="271"/>
      <c r="F13518" s="271"/>
      <c r="G13518" s="273"/>
      <c r="H13518" s="88" t="s">
        <v>77</v>
      </c>
      <c r="I13518" s="399" t="s">
        <v>920</v>
      </c>
      <c r="J13518" s="273"/>
      <c r="K13518" s="399" t="s">
        <v>453</v>
      </c>
      <c r="L13518" s="273"/>
      <c r="M13518" s="399" t="s">
        <v>921</v>
      </c>
      <c r="N13518" s="273"/>
    </row>
    <row r="13519" spans="1:14" ht="12.75" customHeight="1" x14ac:dyDescent="0.25">
      <c r="A13519" s="309" t="s">
        <v>1736</v>
      </c>
      <c r="B13519" s="271"/>
      <c r="C13519" s="271"/>
      <c r="D13519" s="271"/>
      <c r="E13519" s="271"/>
      <c r="F13519" s="271"/>
      <c r="G13519" s="273"/>
      <c r="H13519" s="29" t="str">
        <f t="shared" ref="H13519:H13533" si="1764">IF(A13519="","",VLOOKUP(A13519,AA_Materiales,7,FALSE))</f>
        <v>Unidad</v>
      </c>
      <c r="I13519" s="394">
        <f t="shared" ref="I13519:I13533" si="1765">IF(A13519="","",VLOOKUP(A13519,AA_Materiales,8,FALSE))</f>
        <v>211344</v>
      </c>
      <c r="J13519" s="273"/>
      <c r="K13519" s="393">
        <v>1</v>
      </c>
      <c r="L13519" s="273"/>
      <c r="M13519" s="394">
        <f t="shared" ref="M13519:M13533" si="1766">IF(A13519="","",I13519*K13519)</f>
        <v>211344</v>
      </c>
      <c r="N13519" s="273"/>
    </row>
    <row r="13520" spans="1:14" ht="12.75" customHeight="1" x14ac:dyDescent="0.25">
      <c r="A13520" s="309" t="s">
        <v>1737</v>
      </c>
      <c r="B13520" s="271"/>
      <c r="C13520" s="271"/>
      <c r="D13520" s="271"/>
      <c r="E13520" s="271"/>
      <c r="F13520" s="271"/>
      <c r="G13520" s="273"/>
      <c r="H13520" s="29" t="str">
        <f t="shared" si="1764"/>
        <v>Unidad</v>
      </c>
      <c r="I13520" s="394">
        <f t="shared" si="1765"/>
        <v>140400</v>
      </c>
      <c r="J13520" s="273"/>
      <c r="K13520" s="393">
        <v>1</v>
      </c>
      <c r="L13520" s="273"/>
      <c r="M13520" s="394">
        <f t="shared" si="1766"/>
        <v>140400</v>
      </c>
      <c r="N13520" s="273"/>
    </row>
    <row r="13521" spans="1:14" ht="12.75" customHeight="1" x14ac:dyDescent="0.25">
      <c r="A13521" s="309" t="s">
        <v>1735</v>
      </c>
      <c r="B13521" s="271"/>
      <c r="C13521" s="271"/>
      <c r="D13521" s="271"/>
      <c r="E13521" s="271"/>
      <c r="F13521" s="271"/>
      <c r="G13521" s="273"/>
      <c r="H13521" s="29" t="str">
        <f t="shared" si="1764"/>
        <v>Unidad</v>
      </c>
      <c r="I13521" s="394">
        <f t="shared" si="1765"/>
        <v>57117</v>
      </c>
      <c r="J13521" s="273"/>
      <c r="K13521" s="393">
        <v>1</v>
      </c>
      <c r="L13521" s="273"/>
      <c r="M13521" s="394">
        <f t="shared" si="1766"/>
        <v>57117</v>
      </c>
      <c r="N13521" s="273"/>
    </row>
    <row r="13522" spans="1:14" ht="12.75" customHeight="1" x14ac:dyDescent="0.25">
      <c r="A13522" s="309" t="s">
        <v>1730</v>
      </c>
      <c r="B13522" s="271"/>
      <c r="C13522" s="271"/>
      <c r="D13522" s="271"/>
      <c r="E13522" s="271"/>
      <c r="F13522" s="271"/>
      <c r="G13522" s="273"/>
      <c r="H13522" s="29" t="str">
        <f t="shared" si="1764"/>
        <v>Unidad</v>
      </c>
      <c r="I13522" s="394">
        <f t="shared" si="1765"/>
        <v>47523</v>
      </c>
      <c r="J13522" s="273"/>
      <c r="K13522" s="393">
        <v>1</v>
      </c>
      <c r="L13522" s="273"/>
      <c r="M13522" s="394">
        <f t="shared" si="1766"/>
        <v>47523</v>
      </c>
      <c r="N13522" s="273"/>
    </row>
    <row r="13523" spans="1:14" ht="12.75" customHeight="1" x14ac:dyDescent="0.25">
      <c r="A13523" s="309" t="s">
        <v>1593</v>
      </c>
      <c r="B13523" s="271"/>
      <c r="C13523" s="271"/>
      <c r="D13523" s="271"/>
      <c r="E13523" s="271"/>
      <c r="F13523" s="271"/>
      <c r="G13523" s="273"/>
      <c r="H13523" s="29" t="str">
        <f t="shared" si="1764"/>
        <v>Unidad</v>
      </c>
      <c r="I13523" s="394">
        <f t="shared" si="1765"/>
        <v>148750</v>
      </c>
      <c r="J13523" s="273"/>
      <c r="K13523" s="393">
        <v>1</v>
      </c>
      <c r="L13523" s="273"/>
      <c r="M13523" s="394">
        <f t="shared" si="1766"/>
        <v>148750</v>
      </c>
      <c r="N13523" s="273"/>
    </row>
    <row r="13524" spans="1:14" ht="12.75" customHeight="1" x14ac:dyDescent="0.25">
      <c r="A13524" s="309"/>
      <c r="B13524" s="271"/>
      <c r="C13524" s="271"/>
      <c r="D13524" s="271"/>
      <c r="E13524" s="271"/>
      <c r="F13524" s="271"/>
      <c r="G13524" s="273"/>
      <c r="H13524" s="29" t="str">
        <f t="shared" si="1764"/>
        <v/>
      </c>
      <c r="I13524" s="394" t="str">
        <f t="shared" si="1765"/>
        <v/>
      </c>
      <c r="J13524" s="273"/>
      <c r="K13524" s="393"/>
      <c r="L13524" s="273"/>
      <c r="M13524" s="394" t="str">
        <f t="shared" si="1766"/>
        <v/>
      </c>
      <c r="N13524" s="273"/>
    </row>
    <row r="13525" spans="1:14" ht="12.75" customHeight="1" x14ac:dyDescent="0.25">
      <c r="A13525" s="309"/>
      <c r="B13525" s="271"/>
      <c r="C13525" s="271"/>
      <c r="D13525" s="271"/>
      <c r="E13525" s="271"/>
      <c r="F13525" s="271"/>
      <c r="G13525" s="273"/>
      <c r="H13525" s="29" t="str">
        <f t="shared" si="1764"/>
        <v/>
      </c>
      <c r="I13525" s="394" t="str">
        <f t="shared" si="1765"/>
        <v/>
      </c>
      <c r="J13525" s="273"/>
      <c r="K13525" s="393"/>
      <c r="L13525" s="273"/>
      <c r="M13525" s="394" t="str">
        <f t="shared" si="1766"/>
        <v/>
      </c>
      <c r="N13525" s="273"/>
    </row>
    <row r="13526" spans="1:14" ht="12.75" customHeight="1" x14ac:dyDescent="0.25">
      <c r="A13526" s="309"/>
      <c r="B13526" s="271"/>
      <c r="C13526" s="271"/>
      <c r="D13526" s="271"/>
      <c r="E13526" s="271"/>
      <c r="F13526" s="271"/>
      <c r="G13526" s="273"/>
      <c r="H13526" s="29" t="str">
        <f t="shared" si="1764"/>
        <v/>
      </c>
      <c r="I13526" s="394" t="str">
        <f t="shared" si="1765"/>
        <v/>
      </c>
      <c r="J13526" s="273"/>
      <c r="K13526" s="393"/>
      <c r="L13526" s="273"/>
      <c r="M13526" s="394" t="str">
        <f t="shared" si="1766"/>
        <v/>
      </c>
      <c r="N13526" s="273"/>
    </row>
    <row r="13527" spans="1:14" ht="12.75" customHeight="1" x14ac:dyDescent="0.25">
      <c r="A13527" s="309"/>
      <c r="B13527" s="271"/>
      <c r="C13527" s="271"/>
      <c r="D13527" s="271"/>
      <c r="E13527" s="271"/>
      <c r="F13527" s="271"/>
      <c r="G13527" s="273"/>
      <c r="H13527" s="29" t="str">
        <f t="shared" si="1764"/>
        <v/>
      </c>
      <c r="I13527" s="394" t="str">
        <f t="shared" si="1765"/>
        <v/>
      </c>
      <c r="J13527" s="273"/>
      <c r="K13527" s="393"/>
      <c r="L13527" s="273"/>
      <c r="M13527" s="394" t="str">
        <f t="shared" si="1766"/>
        <v/>
      </c>
      <c r="N13527" s="273"/>
    </row>
    <row r="13528" spans="1:14" ht="12.75" customHeight="1" x14ac:dyDescent="0.25">
      <c r="A13528" s="309"/>
      <c r="B13528" s="271"/>
      <c r="C13528" s="271"/>
      <c r="D13528" s="271"/>
      <c r="E13528" s="271"/>
      <c r="F13528" s="271"/>
      <c r="G13528" s="273"/>
      <c r="H13528" s="29" t="str">
        <f t="shared" si="1764"/>
        <v/>
      </c>
      <c r="I13528" s="394" t="str">
        <f t="shared" si="1765"/>
        <v/>
      </c>
      <c r="J13528" s="273"/>
      <c r="K13528" s="393"/>
      <c r="L13528" s="273"/>
      <c r="M13528" s="394" t="str">
        <f t="shared" si="1766"/>
        <v/>
      </c>
      <c r="N13528" s="273"/>
    </row>
    <row r="13529" spans="1:14" ht="12.75" customHeight="1" x14ac:dyDescent="0.25">
      <c r="A13529" s="309"/>
      <c r="B13529" s="271"/>
      <c r="C13529" s="271"/>
      <c r="D13529" s="271"/>
      <c r="E13529" s="271"/>
      <c r="F13529" s="271"/>
      <c r="G13529" s="273"/>
      <c r="H13529" s="29" t="str">
        <f t="shared" si="1764"/>
        <v/>
      </c>
      <c r="I13529" s="394" t="str">
        <f t="shared" si="1765"/>
        <v/>
      </c>
      <c r="J13529" s="273"/>
      <c r="K13529" s="393"/>
      <c r="L13529" s="273"/>
      <c r="M13529" s="394" t="str">
        <f t="shared" si="1766"/>
        <v/>
      </c>
      <c r="N13529" s="273"/>
    </row>
    <row r="13530" spans="1:14" ht="12.75" customHeight="1" x14ac:dyDescent="0.25">
      <c r="A13530" s="309"/>
      <c r="B13530" s="271"/>
      <c r="C13530" s="271"/>
      <c r="D13530" s="271"/>
      <c r="E13530" s="271"/>
      <c r="F13530" s="271"/>
      <c r="G13530" s="273"/>
      <c r="H13530" s="29" t="str">
        <f t="shared" si="1764"/>
        <v/>
      </c>
      <c r="I13530" s="394" t="str">
        <f t="shared" si="1765"/>
        <v/>
      </c>
      <c r="J13530" s="273"/>
      <c r="K13530" s="393"/>
      <c r="L13530" s="273"/>
      <c r="M13530" s="394" t="str">
        <f t="shared" si="1766"/>
        <v/>
      </c>
      <c r="N13530" s="273"/>
    </row>
    <row r="13531" spans="1:14" ht="12.75" customHeight="1" x14ac:dyDescent="0.25">
      <c r="A13531" s="309"/>
      <c r="B13531" s="271"/>
      <c r="C13531" s="271"/>
      <c r="D13531" s="271"/>
      <c r="E13531" s="271"/>
      <c r="F13531" s="271"/>
      <c r="G13531" s="273"/>
      <c r="H13531" s="29" t="str">
        <f t="shared" si="1764"/>
        <v/>
      </c>
      <c r="I13531" s="394" t="str">
        <f t="shared" si="1765"/>
        <v/>
      </c>
      <c r="J13531" s="273"/>
      <c r="K13531" s="393"/>
      <c r="L13531" s="273"/>
      <c r="M13531" s="394" t="str">
        <f t="shared" si="1766"/>
        <v/>
      </c>
      <c r="N13531" s="273"/>
    </row>
    <row r="13532" spans="1:14" ht="12.75" customHeight="1" x14ac:dyDescent="0.25">
      <c r="A13532" s="309"/>
      <c r="B13532" s="271"/>
      <c r="C13532" s="271"/>
      <c r="D13532" s="271"/>
      <c r="E13532" s="271"/>
      <c r="F13532" s="271"/>
      <c r="G13532" s="273"/>
      <c r="H13532" s="29" t="str">
        <f t="shared" si="1764"/>
        <v/>
      </c>
      <c r="I13532" s="394" t="str">
        <f t="shared" si="1765"/>
        <v/>
      </c>
      <c r="J13532" s="273"/>
      <c r="K13532" s="393"/>
      <c r="L13532" s="273"/>
      <c r="M13532" s="394" t="str">
        <f t="shared" si="1766"/>
        <v/>
      </c>
      <c r="N13532" s="273"/>
    </row>
    <row r="13533" spans="1:14" ht="12.75" customHeight="1" x14ac:dyDescent="0.25">
      <c r="A13533" s="309"/>
      <c r="B13533" s="271"/>
      <c r="C13533" s="271"/>
      <c r="D13533" s="271"/>
      <c r="E13533" s="271"/>
      <c r="F13533" s="271"/>
      <c r="G13533" s="273"/>
      <c r="H13533" s="29" t="str">
        <f t="shared" si="1764"/>
        <v/>
      </c>
      <c r="I13533" s="394" t="str">
        <f t="shared" si="1765"/>
        <v/>
      </c>
      <c r="J13533" s="273"/>
      <c r="K13533" s="393"/>
      <c r="L13533" s="273"/>
      <c r="M13533" s="394" t="str">
        <f t="shared" si="1766"/>
        <v/>
      </c>
      <c r="N13533" s="273"/>
    </row>
    <row r="13534" spans="1:14" ht="12.75" customHeight="1" x14ac:dyDescent="0.25">
      <c r="A13534" s="4"/>
      <c r="B13534" s="4"/>
      <c r="C13534" s="4"/>
      <c r="D13534" s="4"/>
      <c r="E13534" s="4"/>
      <c r="F13534" s="4"/>
      <c r="G13534" s="4"/>
      <c r="H13534" s="4"/>
      <c r="I13534" s="4"/>
      <c r="J13534" s="4"/>
      <c r="K13534" s="396" t="s">
        <v>444</v>
      </c>
      <c r="L13534" s="273"/>
      <c r="M13534" s="394">
        <f>SUM(M13519:N13533)</f>
        <v>605134</v>
      </c>
      <c r="N13534" s="273"/>
    </row>
    <row r="13535" spans="1:14" ht="12.75" customHeight="1" x14ac:dyDescent="0.25">
      <c r="A13535" s="4"/>
      <c r="B13535" s="4"/>
      <c r="C13535" s="4"/>
      <c r="D13535" s="4"/>
      <c r="E13535" s="4"/>
      <c r="F13535" s="4"/>
      <c r="G13535" s="4"/>
      <c r="H13535" s="4"/>
      <c r="I13535" s="4"/>
      <c r="J13535" s="4"/>
      <c r="K13535" s="4"/>
      <c r="L13535" s="4"/>
      <c r="M13535" s="4"/>
      <c r="N13535" s="4"/>
    </row>
    <row r="13536" spans="1:14" ht="12.75" customHeight="1" x14ac:dyDescent="0.2">
      <c r="A13536" s="398" t="s">
        <v>926</v>
      </c>
      <c r="B13536" s="271"/>
      <c r="C13536" s="271"/>
      <c r="D13536" s="271"/>
      <c r="E13536" s="271"/>
      <c r="F13536" s="271"/>
      <c r="G13536" s="271"/>
      <c r="H13536" s="271"/>
      <c r="I13536" s="271"/>
      <c r="J13536" s="271"/>
      <c r="K13536" s="271"/>
      <c r="L13536" s="271"/>
      <c r="M13536" s="271"/>
      <c r="N13536" s="273"/>
    </row>
    <row r="13537" spans="1:14" ht="12.75" customHeight="1" x14ac:dyDescent="0.2">
      <c r="A13537" s="396" t="s">
        <v>76</v>
      </c>
      <c r="B13537" s="271"/>
      <c r="C13537" s="271"/>
      <c r="D13537" s="271"/>
      <c r="E13537" s="271"/>
      <c r="F13537" s="271"/>
      <c r="G13537" s="273"/>
      <c r="H13537" s="88" t="s">
        <v>77</v>
      </c>
      <c r="I13537" s="399" t="s">
        <v>920</v>
      </c>
      <c r="J13537" s="273"/>
      <c r="K13537" s="399" t="s">
        <v>453</v>
      </c>
      <c r="L13537" s="273"/>
      <c r="M13537" s="399" t="s">
        <v>921</v>
      </c>
      <c r="N13537" s="273"/>
    </row>
    <row r="13538" spans="1:14" ht="12.75" customHeight="1" x14ac:dyDescent="0.2">
      <c r="A13538" s="400" t="s">
        <v>927</v>
      </c>
      <c r="B13538" s="271"/>
      <c r="C13538" s="271"/>
      <c r="D13538" s="271"/>
      <c r="E13538" s="271"/>
      <c r="F13538" s="271"/>
      <c r="G13538" s="273"/>
      <c r="H13538" s="29" t="str">
        <f>IF(A13538="","",VLOOKUP(A13538,AA_Equipos,7,FALSE))</f>
        <v>% M.O.</v>
      </c>
      <c r="I13538" s="394">
        <f>+M13560</f>
        <v>498200</v>
      </c>
      <c r="J13538" s="273"/>
      <c r="K13538" s="404">
        <v>0.05</v>
      </c>
      <c r="L13538" s="273"/>
      <c r="M13538" s="394">
        <f t="shared" ref="M13538:M13542" si="1767">IF(A13538="","",I13538*K13538)</f>
        <v>24910</v>
      </c>
      <c r="N13538" s="273"/>
    </row>
    <row r="13539" spans="1:14" ht="12.75" customHeight="1" x14ac:dyDescent="0.2">
      <c r="A13539" s="403"/>
      <c r="B13539" s="271"/>
      <c r="C13539" s="271"/>
      <c r="D13539" s="271"/>
      <c r="E13539" s="271"/>
      <c r="F13539" s="271"/>
      <c r="G13539" s="273"/>
      <c r="H13539" s="29" t="str">
        <f>IF(A13539="","",VLOOKUP(A13539,AA_Equipos,7,FALSE))</f>
        <v/>
      </c>
      <c r="I13539" s="394" t="str">
        <f>IF(A13539="","",VLOOKUP(A13539,AA_Equipos,8,FALSE))</f>
        <v/>
      </c>
      <c r="J13539" s="273"/>
      <c r="K13539" s="402"/>
      <c r="L13539" s="273"/>
      <c r="M13539" s="394" t="str">
        <f t="shared" si="1767"/>
        <v/>
      </c>
      <c r="N13539" s="273"/>
    </row>
    <row r="13540" spans="1:14" ht="12.75" customHeight="1" x14ac:dyDescent="0.2">
      <c r="A13540" s="400"/>
      <c r="B13540" s="271"/>
      <c r="C13540" s="271"/>
      <c r="D13540" s="271"/>
      <c r="E13540" s="271"/>
      <c r="F13540" s="271"/>
      <c r="G13540" s="273"/>
      <c r="H13540" s="29" t="str">
        <f>IF(A13540="","",VLOOKUP(A13540,AA_Equipos,7,FALSE))</f>
        <v/>
      </c>
      <c r="I13540" s="394" t="str">
        <f>IF(A13540="","",VLOOKUP(A13540,AA_Equipos,8,FALSE))</f>
        <v/>
      </c>
      <c r="J13540" s="273"/>
      <c r="K13540" s="401"/>
      <c r="L13540" s="273"/>
      <c r="M13540" s="394" t="str">
        <f t="shared" si="1767"/>
        <v/>
      </c>
      <c r="N13540" s="273"/>
    </row>
    <row r="13541" spans="1:14" ht="12.75" customHeight="1" x14ac:dyDescent="0.2">
      <c r="A13541" s="400"/>
      <c r="B13541" s="271"/>
      <c r="C13541" s="271"/>
      <c r="D13541" s="271"/>
      <c r="E13541" s="271"/>
      <c r="F13541" s="271"/>
      <c r="G13541" s="273"/>
      <c r="H13541" s="29" t="str">
        <f>IF(A13541="","",VLOOKUP(A13541,AA_Equipos,7,FALSE))</f>
        <v/>
      </c>
      <c r="I13541" s="394" t="str">
        <f>IF(A13541="","",VLOOKUP(A13541,AA_Equipos,8,FALSE))</f>
        <v/>
      </c>
      <c r="J13541" s="273"/>
      <c r="K13541" s="395"/>
      <c r="L13541" s="273"/>
      <c r="M13541" s="394" t="str">
        <f t="shared" si="1767"/>
        <v/>
      </c>
      <c r="N13541" s="273"/>
    </row>
    <row r="13542" spans="1:14" ht="12.75" customHeight="1" x14ac:dyDescent="0.2">
      <c r="A13542" s="400"/>
      <c r="B13542" s="271"/>
      <c r="C13542" s="271"/>
      <c r="D13542" s="271"/>
      <c r="E13542" s="271"/>
      <c r="F13542" s="271"/>
      <c r="G13542" s="273"/>
      <c r="H13542" s="29" t="str">
        <f>IF(A13542="","",VLOOKUP(A13542,AA_Equipos,7,FALSE))</f>
        <v/>
      </c>
      <c r="I13542" s="394" t="str">
        <f>IF(A13542="","",VLOOKUP(A13542,AA_Equipos,8,FALSE))</f>
        <v/>
      </c>
      <c r="J13542" s="273"/>
      <c r="K13542" s="395"/>
      <c r="L13542" s="273"/>
      <c r="M13542" s="394" t="str">
        <f t="shared" si="1767"/>
        <v/>
      </c>
      <c r="N13542" s="273"/>
    </row>
    <row r="13543" spans="1:14" ht="12.75" customHeight="1" x14ac:dyDescent="0.25">
      <c r="A13543" s="4"/>
      <c r="B13543" s="4"/>
      <c r="C13543" s="4"/>
      <c r="D13543" s="4"/>
      <c r="E13543" s="4"/>
      <c r="F13543" s="4"/>
      <c r="G13543" s="4"/>
      <c r="H13543" s="4"/>
      <c r="I13543" s="4"/>
      <c r="J13543" s="4"/>
      <c r="K13543" s="396" t="s">
        <v>444</v>
      </c>
      <c r="L13543" s="273"/>
      <c r="M13543" s="394">
        <f>SUM(M13538:N13542)</f>
        <v>24910</v>
      </c>
      <c r="N13543" s="273"/>
    </row>
    <row r="13544" spans="1:14" ht="12.75" customHeight="1" x14ac:dyDescent="0.25">
      <c r="A13544" s="4"/>
      <c r="B13544" s="4"/>
      <c r="C13544" s="4"/>
      <c r="D13544" s="4"/>
      <c r="E13544" s="4"/>
      <c r="F13544" s="4"/>
      <c r="G13544" s="4"/>
      <c r="H13544" s="4"/>
      <c r="I13544" s="4"/>
      <c r="J13544" s="4"/>
      <c r="K13544" s="4"/>
      <c r="L13544" s="4"/>
      <c r="M13544" s="4"/>
      <c r="N13544" s="4"/>
    </row>
    <row r="13545" spans="1:14" ht="12.75" customHeight="1" x14ac:dyDescent="0.2">
      <c r="A13545" s="398" t="s">
        <v>929</v>
      </c>
      <c r="B13545" s="271"/>
      <c r="C13545" s="271"/>
      <c r="D13545" s="271"/>
      <c r="E13545" s="271"/>
      <c r="F13545" s="271"/>
      <c r="G13545" s="271"/>
      <c r="H13545" s="271"/>
      <c r="I13545" s="271"/>
      <c r="J13545" s="271"/>
      <c r="K13545" s="271"/>
      <c r="L13545" s="271"/>
      <c r="M13545" s="271"/>
      <c r="N13545" s="273"/>
    </row>
    <row r="13546" spans="1:14" ht="12.75" customHeight="1" x14ac:dyDescent="0.2">
      <c r="A13546" s="396" t="s">
        <v>76</v>
      </c>
      <c r="B13546" s="271"/>
      <c r="C13546" s="271"/>
      <c r="D13546" s="271"/>
      <c r="E13546" s="271"/>
      <c r="F13546" s="271"/>
      <c r="G13546" s="273"/>
      <c r="H13546" s="88" t="s">
        <v>77</v>
      </c>
      <c r="I13546" s="399" t="s">
        <v>920</v>
      </c>
      <c r="J13546" s="273"/>
      <c r="K13546" s="399" t="s">
        <v>453</v>
      </c>
      <c r="L13546" s="273"/>
      <c r="M13546" s="399" t="s">
        <v>921</v>
      </c>
      <c r="N13546" s="273"/>
    </row>
    <row r="13547" spans="1:14" ht="12.75" customHeight="1" x14ac:dyDescent="0.2">
      <c r="A13547" s="400" t="s">
        <v>1559</v>
      </c>
      <c r="B13547" s="271"/>
      <c r="C13547" s="271"/>
      <c r="D13547" s="271"/>
      <c r="E13547" s="271"/>
      <c r="F13547" s="271"/>
      <c r="G13547" s="273"/>
      <c r="H13547" s="29" t="str">
        <f>IF(A13547="","",VLOOKUP(A13547,AA_Equipos,7,FALSE))</f>
        <v>Día</v>
      </c>
      <c r="I13547" s="394">
        <f>IF(A13547="","",VLOOKUP(A13547,AA_Equipos,8,FALSE))</f>
        <v>74400</v>
      </c>
      <c r="J13547" s="273"/>
      <c r="K13547" s="395">
        <v>2</v>
      </c>
      <c r="L13547" s="273"/>
      <c r="M13547" s="394">
        <f t="shared" ref="M13547:M13550" si="1768">IF(A13547="","",I13547*K13547)</f>
        <v>148800</v>
      </c>
      <c r="N13547" s="273"/>
    </row>
    <row r="13548" spans="1:14" ht="12.75" customHeight="1" x14ac:dyDescent="0.2">
      <c r="A13548" s="400"/>
      <c r="B13548" s="271"/>
      <c r="C13548" s="271"/>
      <c r="D13548" s="271"/>
      <c r="E13548" s="271"/>
      <c r="F13548" s="271"/>
      <c r="G13548" s="273"/>
      <c r="H13548" s="29"/>
      <c r="I13548" s="394"/>
      <c r="J13548" s="273"/>
      <c r="K13548" s="395"/>
      <c r="L13548" s="273"/>
      <c r="M13548" s="394" t="str">
        <f t="shared" si="1768"/>
        <v/>
      </c>
      <c r="N13548" s="273"/>
    </row>
    <row r="13549" spans="1:14" ht="12.75" customHeight="1" x14ac:dyDescent="0.2">
      <c r="A13549" s="400"/>
      <c r="B13549" s="271"/>
      <c r="C13549" s="271"/>
      <c r="D13549" s="271"/>
      <c r="E13549" s="271"/>
      <c r="F13549" s="271"/>
      <c r="G13549" s="273"/>
      <c r="H13549" s="29"/>
      <c r="I13549" s="394"/>
      <c r="J13549" s="273"/>
      <c r="K13549" s="395"/>
      <c r="L13549" s="273"/>
      <c r="M13549" s="394" t="str">
        <f t="shared" si="1768"/>
        <v/>
      </c>
      <c r="N13549" s="273"/>
    </row>
    <row r="13550" spans="1:14" ht="12.75" customHeight="1" x14ac:dyDescent="0.2">
      <c r="A13550" s="400"/>
      <c r="B13550" s="271"/>
      <c r="C13550" s="271"/>
      <c r="D13550" s="271"/>
      <c r="E13550" s="271"/>
      <c r="F13550" s="271"/>
      <c r="G13550" s="273"/>
      <c r="H13550" s="29"/>
      <c r="I13550" s="394"/>
      <c r="J13550" s="273"/>
      <c r="K13550" s="395"/>
      <c r="L13550" s="273"/>
      <c r="M13550" s="394" t="str">
        <f t="shared" si="1768"/>
        <v/>
      </c>
      <c r="N13550" s="273"/>
    </row>
    <row r="13551" spans="1:14" ht="12.75" customHeight="1" x14ac:dyDescent="0.25">
      <c r="A13551" s="4"/>
      <c r="B13551" s="4"/>
      <c r="C13551" s="4"/>
      <c r="D13551" s="4"/>
      <c r="E13551" s="4"/>
      <c r="F13551" s="4"/>
      <c r="G13551" s="4"/>
      <c r="H13551" s="4"/>
      <c r="I13551" s="4"/>
      <c r="J13551" s="4"/>
      <c r="K13551" s="396" t="s">
        <v>444</v>
      </c>
      <c r="L13551" s="273"/>
      <c r="M13551" s="394">
        <f>SUM(M13547:N13550)</f>
        <v>148800</v>
      </c>
      <c r="N13551" s="273"/>
    </row>
    <row r="13552" spans="1:14" ht="12.75" customHeight="1" x14ac:dyDescent="0.25">
      <c r="A13552" s="4"/>
      <c r="B13552" s="4"/>
      <c r="C13552" s="4"/>
      <c r="D13552" s="4"/>
      <c r="E13552" s="4"/>
      <c r="F13552" s="4"/>
      <c r="G13552" s="4"/>
      <c r="H13552" s="4"/>
      <c r="I13552" s="4"/>
      <c r="J13552" s="4"/>
      <c r="K13552" s="4"/>
      <c r="L13552" s="4"/>
      <c r="M13552" s="4"/>
      <c r="N13552" s="4"/>
    </row>
    <row r="13553" spans="1:15" ht="12.75" customHeight="1" x14ac:dyDescent="0.2">
      <c r="A13553" s="398" t="s">
        <v>931</v>
      </c>
      <c r="B13553" s="271"/>
      <c r="C13553" s="271"/>
      <c r="D13553" s="271"/>
      <c r="E13553" s="271"/>
      <c r="F13553" s="271"/>
      <c r="G13553" s="271"/>
      <c r="H13553" s="271"/>
      <c r="I13553" s="271"/>
      <c r="J13553" s="271"/>
      <c r="K13553" s="271"/>
      <c r="L13553" s="271"/>
      <c r="M13553" s="271"/>
      <c r="N13553" s="273"/>
    </row>
    <row r="13554" spans="1:15" ht="12.75" customHeight="1" x14ac:dyDescent="0.2">
      <c r="A13554" s="396" t="s">
        <v>76</v>
      </c>
      <c r="B13554" s="271"/>
      <c r="C13554" s="271"/>
      <c r="D13554" s="271"/>
      <c r="E13554" s="271"/>
      <c r="F13554" s="271"/>
      <c r="G13554" s="273"/>
      <c r="H13554" s="88" t="s">
        <v>77</v>
      </c>
      <c r="I13554" s="399" t="s">
        <v>920</v>
      </c>
      <c r="J13554" s="273"/>
      <c r="K13554" s="90" t="s">
        <v>514</v>
      </c>
      <c r="L13554" s="91" t="s">
        <v>932</v>
      </c>
      <c r="M13554" s="399" t="s">
        <v>921</v>
      </c>
      <c r="N13554" s="273"/>
    </row>
    <row r="13555" spans="1:15" ht="12.75" customHeight="1" x14ac:dyDescent="0.25">
      <c r="A13555" s="393" t="s">
        <v>1301</v>
      </c>
      <c r="B13555" s="271"/>
      <c r="C13555" s="271"/>
      <c r="D13555" s="271"/>
      <c r="E13555" s="271"/>
      <c r="F13555" s="271"/>
      <c r="G13555" s="273"/>
      <c r="H13555" s="29" t="str">
        <f>IF(A13555="","",VLOOKUP(A13555,AA_Cuadrillas,4,FALSE))</f>
        <v>Cuadrilla</v>
      </c>
      <c r="I13555" s="394">
        <f>IF(A13555="","",VLOOKUP(A13555,AA_Cuadrillas,5,FALSE))</f>
        <v>132500</v>
      </c>
      <c r="J13555" s="273"/>
      <c r="K13555" s="9">
        <f>IF(A13555="","",F.P!$I$2)</f>
        <v>1.88</v>
      </c>
      <c r="L13555" s="97">
        <v>2</v>
      </c>
      <c r="M13555" s="394">
        <f t="shared" ref="M13555:M13559" si="1769">IF(A13555="","",I13555*K13555*L13555)</f>
        <v>498200</v>
      </c>
      <c r="N13555" s="273"/>
    </row>
    <row r="13556" spans="1:15" ht="12.75" customHeight="1" x14ac:dyDescent="0.25">
      <c r="A13556" s="393"/>
      <c r="B13556" s="271"/>
      <c r="C13556" s="271"/>
      <c r="D13556" s="271"/>
      <c r="E13556" s="271"/>
      <c r="F13556" s="271"/>
      <c r="G13556" s="273"/>
      <c r="H13556" s="29" t="str">
        <f>IF(A13556="","",VLOOKUP(A13556,AA_Cuadrillas,4,FALSE))</f>
        <v/>
      </c>
      <c r="I13556" s="394" t="str">
        <f>IF(A13556="","",VLOOKUP(A13556,AA_Cuadrillas,5,FALSE))</f>
        <v/>
      </c>
      <c r="J13556" s="273"/>
      <c r="K13556" s="9" t="str">
        <f>IF(A13556="","",F.P!$I$2)</f>
        <v/>
      </c>
      <c r="L13556" s="9"/>
      <c r="M13556" s="394" t="str">
        <f t="shared" si="1769"/>
        <v/>
      </c>
      <c r="N13556" s="273"/>
    </row>
    <row r="13557" spans="1:15" ht="12.75" customHeight="1" x14ac:dyDescent="0.25">
      <c r="A13557" s="393"/>
      <c r="B13557" s="271"/>
      <c r="C13557" s="271"/>
      <c r="D13557" s="271"/>
      <c r="E13557" s="271"/>
      <c r="F13557" s="271"/>
      <c r="G13557" s="273"/>
      <c r="H13557" s="29" t="str">
        <f>IF(A13557="","",VLOOKUP(A13557,AA_Cuadrillas,4,FALSE))</f>
        <v/>
      </c>
      <c r="I13557" s="394" t="str">
        <f>IF(A13557="","",VLOOKUP(A13557,AA_Cuadrillas,5,FALSE))</f>
        <v/>
      </c>
      <c r="J13557" s="273"/>
      <c r="K13557" s="9" t="str">
        <f>IF(A13557="","",F.P!$I$2)</f>
        <v/>
      </c>
      <c r="L13557" s="37"/>
      <c r="M13557" s="394" t="str">
        <f t="shared" si="1769"/>
        <v/>
      </c>
      <c r="N13557" s="273"/>
    </row>
    <row r="13558" spans="1:15" ht="12.75" customHeight="1" x14ac:dyDescent="0.25">
      <c r="A13558" s="393"/>
      <c r="B13558" s="271"/>
      <c r="C13558" s="271"/>
      <c r="D13558" s="271"/>
      <c r="E13558" s="271"/>
      <c r="F13558" s="271"/>
      <c r="G13558" s="273"/>
      <c r="H13558" s="29" t="str">
        <f>IF(A13558="","",VLOOKUP(A13558,AA_Cuadrillas,4,FALSE))</f>
        <v/>
      </c>
      <c r="I13558" s="394" t="str">
        <f>IF(A13558="","",VLOOKUP(A13558,AA_Cuadrillas,5,FALSE))</f>
        <v/>
      </c>
      <c r="J13558" s="273"/>
      <c r="K13558" s="9" t="str">
        <f>IF(A13558="","",F.P!$I$2)</f>
        <v/>
      </c>
      <c r="L13558" s="97"/>
      <c r="M13558" s="394" t="str">
        <f t="shared" si="1769"/>
        <v/>
      </c>
      <c r="N13558" s="273"/>
    </row>
    <row r="13559" spans="1:15" ht="12.75" customHeight="1" x14ac:dyDescent="0.25">
      <c r="A13559" s="393"/>
      <c r="B13559" s="271"/>
      <c r="C13559" s="271"/>
      <c r="D13559" s="271"/>
      <c r="E13559" s="271"/>
      <c r="F13559" s="271"/>
      <c r="G13559" s="273"/>
      <c r="H13559" s="29" t="str">
        <f>IF(A13559="","",VLOOKUP(A13559,AA_Cuadrillas,4,FALSE))</f>
        <v/>
      </c>
      <c r="I13559" s="394" t="str">
        <f>IF(A13559="","",VLOOKUP(A13559,AA_Cuadrillas,5,FALSE))</f>
        <v/>
      </c>
      <c r="J13559" s="273"/>
      <c r="K13559" s="9" t="str">
        <f>IF(A13559="","",F.P!$I$2)</f>
        <v/>
      </c>
      <c r="L13559" s="37"/>
      <c r="M13559" s="394" t="str">
        <f t="shared" si="1769"/>
        <v/>
      </c>
      <c r="N13559" s="273"/>
    </row>
    <row r="13560" spans="1:15" ht="12.75" customHeight="1" x14ac:dyDescent="0.25">
      <c r="A13560" s="4"/>
      <c r="B13560" s="4"/>
      <c r="C13560" s="4"/>
      <c r="D13560" s="4"/>
      <c r="E13560" s="4"/>
      <c r="F13560" s="4"/>
      <c r="G13560" s="4"/>
      <c r="H13560" s="4"/>
      <c r="I13560" s="4"/>
      <c r="J13560" s="4"/>
      <c r="K13560" s="396" t="s">
        <v>444</v>
      </c>
      <c r="L13560" s="273"/>
      <c r="M13560" s="394">
        <f>SUM(M13555:N13559)</f>
        <v>498200</v>
      </c>
      <c r="N13560" s="273"/>
    </row>
    <row r="13561" spans="1:15" ht="12.75" customHeight="1" x14ac:dyDescent="0.2"/>
    <row r="13562" spans="1:15" ht="12.75" customHeight="1" x14ac:dyDescent="0.2">
      <c r="A13562" s="397" t="s">
        <v>268</v>
      </c>
      <c r="B13562" s="275"/>
      <c r="C13562" s="275"/>
      <c r="D13562" s="275"/>
      <c r="E13562" s="275"/>
      <c r="F13562" s="275"/>
      <c r="G13562" s="275"/>
      <c r="H13562" s="275"/>
      <c r="I13562" s="275"/>
      <c r="J13562" s="275"/>
      <c r="K13562" s="275"/>
      <c r="L13562" s="275"/>
      <c r="M13562" s="275"/>
      <c r="N13562" s="276"/>
      <c r="O13562" s="166"/>
    </row>
    <row r="13563" spans="1:15" ht="12.75" customHeight="1" x14ac:dyDescent="0.2">
      <c r="A13563" s="277"/>
      <c r="B13563" s="278"/>
      <c r="C13563" s="278"/>
      <c r="D13563" s="278"/>
      <c r="E13563" s="278"/>
      <c r="F13563" s="278"/>
      <c r="G13563" s="278"/>
      <c r="H13563" s="278"/>
      <c r="I13563" s="278"/>
      <c r="J13563" s="278"/>
      <c r="K13563" s="278"/>
      <c r="L13563" s="278"/>
      <c r="M13563" s="278"/>
      <c r="N13563" s="279"/>
      <c r="O13563" s="166"/>
    </row>
    <row r="13564" spans="1:15" ht="12.75" customHeight="1" x14ac:dyDescent="0.2">
      <c r="A13564" s="75"/>
      <c r="B13564" s="75"/>
      <c r="C13564" s="75"/>
      <c r="D13564" s="75"/>
      <c r="E13564" s="75"/>
      <c r="F13564" s="75"/>
      <c r="G13564" s="75"/>
      <c r="H13564" s="75"/>
      <c r="I13564" s="75"/>
      <c r="J13564" s="75"/>
      <c r="K13564" s="75"/>
      <c r="L13564" s="75"/>
      <c r="M13564" s="75"/>
      <c r="N13564" s="75"/>
    </row>
    <row r="13565" spans="1:15" ht="12.75" customHeight="1" x14ac:dyDescent="0.3">
      <c r="A13565" s="79" t="s">
        <v>909</v>
      </c>
      <c r="B13565" s="80" t="str">
        <f>A13562</f>
        <v>ESTRUCTURA DE VIGA METÁLICA EN ACERO (INCLUYE, PERFIL EN C, SOLDADURA, PITURA, PERNOS DE ANCLAJE, PLACA DE ANCLAJE, MATERIALES, EQUIPO, HERRAMIENTA MENOR Y MANO DE OBRA)</v>
      </c>
      <c r="C13565" s="81" t="s">
        <v>916</v>
      </c>
      <c r="D13565" s="82" t="s">
        <v>981</v>
      </c>
      <c r="E13565" s="83" t="s">
        <v>445</v>
      </c>
      <c r="F13565" s="234">
        <f>(H13565+J13565+L13565+N13565)*1.3</f>
        <v>1520733.3538971602</v>
      </c>
      <c r="G13565" s="83" t="s">
        <v>607</v>
      </c>
      <c r="H13565" s="86">
        <f>M13585</f>
        <v>34730.46875</v>
      </c>
      <c r="I13565" s="83" t="s">
        <v>918</v>
      </c>
      <c r="J13565" s="86">
        <f>M13576</f>
        <v>894017.63850066671</v>
      </c>
      <c r="K13565" s="83" t="s">
        <v>609</v>
      </c>
      <c r="L13565" s="86">
        <f>M13594</f>
        <v>46437.40536253334</v>
      </c>
      <c r="M13565" s="83" t="s">
        <v>610</v>
      </c>
      <c r="N13565" s="86">
        <f>M13603</f>
        <v>194609.375</v>
      </c>
    </row>
    <row r="13566" spans="1:15" ht="12.75" customHeight="1" x14ac:dyDescent="0.25">
      <c r="A13566" s="87"/>
      <c r="B13566" s="87"/>
      <c r="C13566" s="87"/>
      <c r="D13566" s="87"/>
      <c r="E13566" s="87"/>
      <c r="F13566" s="87"/>
      <c r="G13566" s="87"/>
      <c r="H13566" s="12"/>
      <c r="I13566" s="12"/>
      <c r="J13566" s="87"/>
      <c r="K13566" s="215" t="s">
        <v>3217</v>
      </c>
      <c r="L13566" s="215">
        <f>+F13565*presup!$O$5</f>
        <v>1976953.3600663082</v>
      </c>
      <c r="M13566" s="87"/>
      <c r="N13566" s="87"/>
    </row>
    <row r="13567" spans="1:15" ht="12.75" customHeight="1" x14ac:dyDescent="0.2">
      <c r="A13567" s="398" t="s">
        <v>919</v>
      </c>
      <c r="B13567" s="271"/>
      <c r="C13567" s="271"/>
      <c r="D13567" s="271"/>
      <c r="E13567" s="271"/>
      <c r="F13567" s="271"/>
      <c r="G13567" s="271"/>
      <c r="H13567" s="271"/>
      <c r="I13567" s="271"/>
      <c r="J13567" s="271"/>
      <c r="K13567" s="271"/>
      <c r="L13567" s="271"/>
      <c r="M13567" s="271"/>
      <c r="N13567" s="273"/>
    </row>
    <row r="13568" spans="1:15" ht="12.75" customHeight="1" x14ac:dyDescent="0.2">
      <c r="A13568" s="396" t="s">
        <v>76</v>
      </c>
      <c r="B13568" s="271"/>
      <c r="C13568" s="271"/>
      <c r="D13568" s="271"/>
      <c r="E13568" s="271"/>
      <c r="F13568" s="271"/>
      <c r="G13568" s="273"/>
      <c r="H13568" s="88" t="s">
        <v>77</v>
      </c>
      <c r="I13568" s="399" t="s">
        <v>920</v>
      </c>
      <c r="J13568" s="273"/>
      <c r="K13568" s="399" t="s">
        <v>453</v>
      </c>
      <c r="L13568" s="273"/>
      <c r="M13568" s="399" t="s">
        <v>921</v>
      </c>
      <c r="N13568" s="273"/>
    </row>
    <row r="13569" spans="1:14" ht="12.75" customHeight="1" x14ac:dyDescent="0.2">
      <c r="A13569" s="403" t="s">
        <v>1505</v>
      </c>
      <c r="B13569" s="271"/>
      <c r="C13569" s="271"/>
      <c r="D13569" s="271"/>
      <c r="E13569" s="271"/>
      <c r="F13569" s="271"/>
      <c r="G13569" s="273"/>
      <c r="H13569" s="29" t="str">
        <f t="shared" ref="H13569:H13575" si="1770">IF(A13569="","",VLOOKUP(A13569,AA_Materiales,7,FALSE))</f>
        <v>ml</v>
      </c>
      <c r="I13569" s="394">
        <f t="shared" ref="I13569:I13575" si="1771">IF(A13569="","",VLOOKUP(A13569,AA_Materiales,8,FALSE))</f>
        <v>32350</v>
      </c>
      <c r="J13569" s="273"/>
      <c r="K13569" s="395">
        <v>2</v>
      </c>
      <c r="L13569" s="273"/>
      <c r="M13569" s="394">
        <f t="shared" ref="M13569:M13575" si="1772">IF(A13569="","",I13569*K13569)</f>
        <v>64700</v>
      </c>
      <c r="N13569" s="273"/>
    </row>
    <row r="13570" spans="1:14" ht="12.75" customHeight="1" x14ac:dyDescent="0.2">
      <c r="A13570" s="403" t="s">
        <v>1355</v>
      </c>
      <c r="B13570" s="271"/>
      <c r="C13570" s="271"/>
      <c r="D13570" s="271"/>
      <c r="E13570" s="271"/>
      <c r="F13570" s="271"/>
      <c r="G13570" s="273"/>
      <c r="H13570" s="29" t="str">
        <f t="shared" si="1770"/>
        <v>Unidad</v>
      </c>
      <c r="I13570" s="394">
        <f t="shared" si="1771"/>
        <v>31952</v>
      </c>
      <c r="J13570" s="273"/>
      <c r="K13570" s="395">
        <v>8</v>
      </c>
      <c r="L13570" s="273"/>
      <c r="M13570" s="394">
        <f t="shared" si="1772"/>
        <v>255616</v>
      </c>
      <c r="N13570" s="273"/>
    </row>
    <row r="13571" spans="1:14" ht="12.75" customHeight="1" x14ac:dyDescent="0.2">
      <c r="A13571" s="403" t="s">
        <v>995</v>
      </c>
      <c r="B13571" s="271"/>
      <c r="C13571" s="271"/>
      <c r="D13571" s="271"/>
      <c r="E13571" s="271"/>
      <c r="F13571" s="271"/>
      <c r="G13571" s="273"/>
      <c r="H13571" s="29" t="str">
        <f t="shared" si="1770"/>
        <v>Galón</v>
      </c>
      <c r="I13571" s="394">
        <f t="shared" si="1771"/>
        <v>95900</v>
      </c>
      <c r="J13571" s="273"/>
      <c r="K13571" s="395">
        <v>0.1</v>
      </c>
      <c r="L13571" s="273"/>
      <c r="M13571" s="394">
        <f t="shared" si="1772"/>
        <v>9590</v>
      </c>
      <c r="N13571" s="273"/>
    </row>
    <row r="13572" spans="1:14" ht="12.75" customHeight="1" x14ac:dyDescent="0.2">
      <c r="A13572" s="403" t="s">
        <v>1349</v>
      </c>
      <c r="B13572" s="271"/>
      <c r="C13572" s="271"/>
      <c r="D13572" s="271"/>
      <c r="E13572" s="271"/>
      <c r="F13572" s="271"/>
      <c r="G13572" s="273"/>
      <c r="H13572" s="29" t="str">
        <f t="shared" si="1770"/>
        <v>Kg</v>
      </c>
      <c r="I13572" s="394">
        <f t="shared" si="1771"/>
        <v>28758.641138999999</v>
      </c>
      <c r="J13572" s="273"/>
      <c r="K13572" s="395">
        <v>6</v>
      </c>
      <c r="L13572" s="273"/>
      <c r="M13572" s="394">
        <f t="shared" si="1772"/>
        <v>172551.846834</v>
      </c>
      <c r="N13572" s="273"/>
    </row>
    <row r="13573" spans="1:14" ht="12.75" customHeight="1" x14ac:dyDescent="0.2">
      <c r="A13573" s="403" t="s">
        <v>1353</v>
      </c>
      <c r="B13573" s="271"/>
      <c r="C13573" s="271"/>
      <c r="D13573" s="271"/>
      <c r="E13573" s="271"/>
      <c r="F13573" s="271"/>
      <c r="G13573" s="273"/>
      <c r="H13573" s="29" t="str">
        <f t="shared" si="1770"/>
        <v>Unidad</v>
      </c>
      <c r="I13573" s="394">
        <f t="shared" si="1771"/>
        <v>24472.486979166668</v>
      </c>
      <c r="J13573" s="273"/>
      <c r="K13573" s="395">
        <v>16</v>
      </c>
      <c r="L13573" s="273"/>
      <c r="M13573" s="394">
        <f t="shared" si="1772"/>
        <v>391559.79166666669</v>
      </c>
      <c r="N13573" s="273"/>
    </row>
    <row r="13574" spans="1:14" ht="12.75" customHeight="1" x14ac:dyDescent="0.2">
      <c r="A13574" s="403"/>
      <c r="B13574" s="271"/>
      <c r="C13574" s="271"/>
      <c r="D13574" s="271"/>
      <c r="E13574" s="271"/>
      <c r="F13574" s="271"/>
      <c r="G13574" s="273"/>
      <c r="H13574" s="29" t="str">
        <f t="shared" si="1770"/>
        <v/>
      </c>
      <c r="I13574" s="394" t="str">
        <f t="shared" si="1771"/>
        <v/>
      </c>
      <c r="J13574" s="273"/>
      <c r="K13574" s="395"/>
      <c r="L13574" s="273"/>
      <c r="M13574" s="394" t="str">
        <f t="shared" si="1772"/>
        <v/>
      </c>
      <c r="N13574" s="273"/>
    </row>
    <row r="13575" spans="1:14" ht="12.75" customHeight="1" x14ac:dyDescent="0.2">
      <c r="A13575" s="403"/>
      <c r="B13575" s="271"/>
      <c r="C13575" s="271"/>
      <c r="D13575" s="271"/>
      <c r="E13575" s="271"/>
      <c r="F13575" s="271"/>
      <c r="G13575" s="273"/>
      <c r="H13575" s="29" t="str">
        <f t="shared" si="1770"/>
        <v/>
      </c>
      <c r="I13575" s="394" t="str">
        <f t="shared" si="1771"/>
        <v/>
      </c>
      <c r="J13575" s="273"/>
      <c r="K13575" s="395"/>
      <c r="L13575" s="273"/>
      <c r="M13575" s="394" t="str">
        <f t="shared" si="1772"/>
        <v/>
      </c>
      <c r="N13575" s="273"/>
    </row>
    <row r="13576" spans="1:14" ht="12.75" customHeight="1" x14ac:dyDescent="0.25">
      <c r="A13576" s="4"/>
      <c r="B13576" s="4"/>
      <c r="C13576" s="4"/>
      <c r="D13576" s="4"/>
      <c r="E13576" s="4"/>
      <c r="F13576" s="4"/>
      <c r="G13576" s="4"/>
      <c r="H13576" s="4"/>
      <c r="I13576" s="4"/>
      <c r="J13576" s="4"/>
      <c r="K13576" s="396" t="s">
        <v>444</v>
      </c>
      <c r="L13576" s="273"/>
      <c r="M13576" s="394">
        <f>SUM(M13569:N13575)</f>
        <v>894017.63850066671</v>
      </c>
      <c r="N13576" s="273"/>
    </row>
    <row r="13577" spans="1:14" ht="12.75" customHeight="1" x14ac:dyDescent="0.25">
      <c r="A13577" s="4"/>
      <c r="B13577" s="4"/>
      <c r="C13577" s="4"/>
      <c r="D13577" s="4"/>
      <c r="E13577" s="4"/>
      <c r="F13577" s="4"/>
      <c r="G13577" s="4"/>
      <c r="H13577" s="4"/>
      <c r="I13577" s="4"/>
      <c r="J13577" s="4"/>
      <c r="K13577" s="4"/>
      <c r="L13577" s="4"/>
      <c r="M13577" s="4"/>
      <c r="N13577" s="4"/>
    </row>
    <row r="13578" spans="1:14" ht="12.75" customHeight="1" x14ac:dyDescent="0.2">
      <c r="A13578" s="398" t="s">
        <v>926</v>
      </c>
      <c r="B13578" s="271"/>
      <c r="C13578" s="271"/>
      <c r="D13578" s="271"/>
      <c r="E13578" s="271"/>
      <c r="F13578" s="271"/>
      <c r="G13578" s="271"/>
      <c r="H13578" s="271"/>
      <c r="I13578" s="271"/>
      <c r="J13578" s="271"/>
      <c r="K13578" s="271"/>
      <c r="L13578" s="271"/>
      <c r="M13578" s="271"/>
      <c r="N13578" s="273"/>
    </row>
    <row r="13579" spans="1:14" ht="12.75" customHeight="1" x14ac:dyDescent="0.2">
      <c r="A13579" s="396" t="s">
        <v>76</v>
      </c>
      <c r="B13579" s="271"/>
      <c r="C13579" s="271"/>
      <c r="D13579" s="271"/>
      <c r="E13579" s="271"/>
      <c r="F13579" s="271"/>
      <c r="G13579" s="273"/>
      <c r="H13579" s="88" t="s">
        <v>77</v>
      </c>
      <c r="I13579" s="399" t="s">
        <v>920</v>
      </c>
      <c r="J13579" s="273"/>
      <c r="K13579" s="399" t="s">
        <v>453</v>
      </c>
      <c r="L13579" s="273"/>
      <c r="M13579" s="399" t="s">
        <v>921</v>
      </c>
      <c r="N13579" s="273"/>
    </row>
    <row r="13580" spans="1:14" ht="12.75" customHeight="1" x14ac:dyDescent="0.2">
      <c r="A13580" s="400" t="s">
        <v>927</v>
      </c>
      <c r="B13580" s="271"/>
      <c r="C13580" s="271"/>
      <c r="D13580" s="271"/>
      <c r="E13580" s="271"/>
      <c r="F13580" s="271"/>
      <c r="G13580" s="273"/>
      <c r="H13580" s="29" t="str">
        <f>IF(A13580="","",VLOOKUP(A13580,AA_Equipos,7,FALSE))</f>
        <v>% M.O.</v>
      </c>
      <c r="I13580" s="394">
        <f>+M13603</f>
        <v>194609.375</v>
      </c>
      <c r="J13580" s="273"/>
      <c r="K13580" s="404">
        <v>0.05</v>
      </c>
      <c r="L13580" s="273"/>
      <c r="M13580" s="394">
        <f t="shared" ref="M13580:M13584" si="1773">IF(A13580="","",I13580*K13580)</f>
        <v>9730.46875</v>
      </c>
      <c r="N13580" s="273"/>
    </row>
    <row r="13581" spans="1:14" ht="12.75" customHeight="1" x14ac:dyDescent="0.2">
      <c r="A13581" s="403" t="s">
        <v>1032</v>
      </c>
      <c r="B13581" s="271"/>
      <c r="C13581" s="271"/>
      <c r="D13581" s="271"/>
      <c r="E13581" s="271"/>
      <c r="F13581" s="271"/>
      <c r="G13581" s="273"/>
      <c r="H13581" s="29" t="str">
        <f>IF(A13581="","",VLOOKUP(A13581,AA_Equipos,7,FALSE))</f>
        <v>Dia</v>
      </c>
      <c r="I13581" s="394">
        <f>IF(A13581="","",VLOOKUP(A13581,AA_Equipos,8,FALSE))</f>
        <v>50000</v>
      </c>
      <c r="J13581" s="273"/>
      <c r="K13581" s="402">
        <v>0.5</v>
      </c>
      <c r="L13581" s="273"/>
      <c r="M13581" s="394">
        <f t="shared" si="1773"/>
        <v>25000</v>
      </c>
      <c r="N13581" s="273"/>
    </row>
    <row r="13582" spans="1:14" ht="12.75" customHeight="1" x14ac:dyDescent="0.2">
      <c r="A13582" s="400"/>
      <c r="B13582" s="271"/>
      <c r="C13582" s="271"/>
      <c r="D13582" s="271"/>
      <c r="E13582" s="271"/>
      <c r="F13582" s="271"/>
      <c r="G13582" s="273"/>
      <c r="H13582" s="29" t="str">
        <f>IF(A13582="","",VLOOKUP(A13582,AA_Equipos,7,FALSE))</f>
        <v/>
      </c>
      <c r="I13582" s="394" t="str">
        <f>IF(A13582="","",VLOOKUP(A13582,AA_Equipos,8,FALSE))</f>
        <v/>
      </c>
      <c r="J13582" s="273"/>
      <c r="K13582" s="401"/>
      <c r="L13582" s="273"/>
      <c r="M13582" s="394" t="str">
        <f t="shared" si="1773"/>
        <v/>
      </c>
      <c r="N13582" s="273"/>
    </row>
    <row r="13583" spans="1:14" ht="12.75" customHeight="1" x14ac:dyDescent="0.2">
      <c r="A13583" s="400"/>
      <c r="B13583" s="271"/>
      <c r="C13583" s="271"/>
      <c r="D13583" s="271"/>
      <c r="E13583" s="271"/>
      <c r="F13583" s="271"/>
      <c r="G13583" s="273"/>
      <c r="H13583" s="29" t="str">
        <f>IF(A13583="","",VLOOKUP(A13583,AA_Equipos,7,FALSE))</f>
        <v/>
      </c>
      <c r="I13583" s="394" t="str">
        <f>IF(A13583="","",VLOOKUP(A13583,AA_Equipos,8,FALSE))</f>
        <v/>
      </c>
      <c r="J13583" s="273"/>
      <c r="K13583" s="395"/>
      <c r="L13583" s="273"/>
      <c r="M13583" s="394" t="str">
        <f t="shared" si="1773"/>
        <v/>
      </c>
      <c r="N13583" s="273"/>
    </row>
    <row r="13584" spans="1:14" ht="12.75" customHeight="1" x14ac:dyDescent="0.2">
      <c r="A13584" s="400"/>
      <c r="B13584" s="271"/>
      <c r="C13584" s="271"/>
      <c r="D13584" s="271"/>
      <c r="E13584" s="271"/>
      <c r="F13584" s="271"/>
      <c r="G13584" s="273"/>
      <c r="H13584" s="29" t="str">
        <f>IF(A13584="","",VLOOKUP(A13584,AA_Equipos,7,FALSE))</f>
        <v/>
      </c>
      <c r="I13584" s="394" t="str">
        <f>IF(A13584="","",VLOOKUP(A13584,AA_Equipos,8,FALSE))</f>
        <v/>
      </c>
      <c r="J13584" s="273"/>
      <c r="K13584" s="395"/>
      <c r="L13584" s="273"/>
      <c r="M13584" s="394" t="str">
        <f t="shared" si="1773"/>
        <v/>
      </c>
      <c r="N13584" s="273"/>
    </row>
    <row r="13585" spans="1:14" ht="12.75" customHeight="1" x14ac:dyDescent="0.25">
      <c r="A13585" s="4"/>
      <c r="B13585" s="4"/>
      <c r="C13585" s="4"/>
      <c r="D13585" s="4"/>
      <c r="E13585" s="4"/>
      <c r="F13585" s="4"/>
      <c r="G13585" s="4"/>
      <c r="H13585" s="4"/>
      <c r="I13585" s="4"/>
      <c r="J13585" s="4"/>
      <c r="K13585" s="396" t="s">
        <v>444</v>
      </c>
      <c r="L13585" s="273"/>
      <c r="M13585" s="394">
        <f>SUM(M13580:N13584)</f>
        <v>34730.46875</v>
      </c>
      <c r="N13585" s="273"/>
    </row>
    <row r="13586" spans="1:14" ht="12.75" customHeight="1" x14ac:dyDescent="0.25">
      <c r="A13586" s="4"/>
      <c r="B13586" s="4"/>
      <c r="C13586" s="4"/>
      <c r="D13586" s="4"/>
      <c r="E13586" s="4"/>
      <c r="F13586" s="4"/>
      <c r="G13586" s="4"/>
      <c r="H13586" s="4"/>
      <c r="I13586" s="4"/>
      <c r="J13586" s="4"/>
      <c r="K13586" s="4"/>
      <c r="L13586" s="4"/>
      <c r="M13586" s="4"/>
      <c r="N13586" s="4"/>
    </row>
    <row r="13587" spans="1:14" ht="12.75" customHeight="1" x14ac:dyDescent="0.2">
      <c r="A13587" s="398" t="s">
        <v>929</v>
      </c>
      <c r="B13587" s="271"/>
      <c r="C13587" s="271"/>
      <c r="D13587" s="271"/>
      <c r="E13587" s="271"/>
      <c r="F13587" s="271"/>
      <c r="G13587" s="271"/>
      <c r="H13587" s="271"/>
      <c r="I13587" s="271"/>
      <c r="J13587" s="271"/>
      <c r="K13587" s="271"/>
      <c r="L13587" s="271"/>
      <c r="M13587" s="271"/>
      <c r="N13587" s="273"/>
    </row>
    <row r="13588" spans="1:14" ht="12.75" customHeight="1" x14ac:dyDescent="0.2">
      <c r="A13588" s="396" t="s">
        <v>76</v>
      </c>
      <c r="B13588" s="271"/>
      <c r="C13588" s="271"/>
      <c r="D13588" s="271"/>
      <c r="E13588" s="271"/>
      <c r="F13588" s="271"/>
      <c r="G13588" s="273"/>
      <c r="H13588" s="88" t="s">
        <v>77</v>
      </c>
      <c r="I13588" s="399" t="s">
        <v>920</v>
      </c>
      <c r="J13588" s="273"/>
      <c r="K13588" s="399" t="s">
        <v>453</v>
      </c>
      <c r="L13588" s="273"/>
      <c r="M13588" s="399" t="s">
        <v>921</v>
      </c>
      <c r="N13588" s="273"/>
    </row>
    <row r="13589" spans="1:14" ht="12.75" customHeight="1" x14ac:dyDescent="0.2">
      <c r="A13589" s="400" t="s">
        <v>960</v>
      </c>
      <c r="B13589" s="271"/>
      <c r="C13589" s="271"/>
      <c r="D13589" s="271"/>
      <c r="E13589" s="271"/>
      <c r="F13589" s="271"/>
      <c r="G13589" s="273"/>
      <c r="H13589" s="29" t="s">
        <v>950</v>
      </c>
      <c r="I13589" s="394">
        <f>+M13576</f>
        <v>894017.63850066671</v>
      </c>
      <c r="J13589" s="273"/>
      <c r="K13589" s="404">
        <v>0.05</v>
      </c>
      <c r="L13589" s="273"/>
      <c r="M13589" s="394">
        <f t="shared" ref="M13589:M13593" si="1774">IF(A13589="","",I13589*K13589)</f>
        <v>44700.88192503334</v>
      </c>
      <c r="N13589" s="273"/>
    </row>
    <row r="13590" spans="1:14" ht="12.75" customHeight="1" x14ac:dyDescent="0.2">
      <c r="A13590" s="403" t="s">
        <v>3174</v>
      </c>
      <c r="B13590" s="271"/>
      <c r="C13590" s="271"/>
      <c r="D13590" s="271"/>
      <c r="E13590" s="271"/>
      <c r="F13590" s="271"/>
      <c r="G13590" s="273"/>
      <c r="H13590" s="29" t="s">
        <v>24</v>
      </c>
      <c r="I13590" s="394">
        <f>+M13585</f>
        <v>34730.46875</v>
      </c>
      <c r="J13590" s="273"/>
      <c r="K13590" s="404">
        <v>0.05</v>
      </c>
      <c r="L13590" s="273"/>
      <c r="M13590" s="394">
        <f t="shared" si="1774"/>
        <v>1736.5234375</v>
      </c>
      <c r="N13590" s="273"/>
    </row>
    <row r="13591" spans="1:14" ht="12.75" customHeight="1" x14ac:dyDescent="0.2">
      <c r="A13591" s="400"/>
      <c r="B13591" s="271"/>
      <c r="C13591" s="271"/>
      <c r="D13591" s="271"/>
      <c r="E13591" s="271"/>
      <c r="F13591" s="271"/>
      <c r="G13591" s="273"/>
      <c r="H13591" s="29"/>
      <c r="I13591" s="394"/>
      <c r="J13591" s="273"/>
      <c r="K13591" s="395"/>
      <c r="L13591" s="273"/>
      <c r="M13591" s="394" t="str">
        <f t="shared" si="1774"/>
        <v/>
      </c>
      <c r="N13591" s="273"/>
    </row>
    <row r="13592" spans="1:14" ht="12.75" customHeight="1" x14ac:dyDescent="0.2">
      <c r="A13592" s="400"/>
      <c r="B13592" s="271"/>
      <c r="C13592" s="271"/>
      <c r="D13592" s="271"/>
      <c r="E13592" s="271"/>
      <c r="F13592" s="271"/>
      <c r="G13592" s="273"/>
      <c r="H13592" s="29"/>
      <c r="I13592" s="394"/>
      <c r="J13592" s="273"/>
      <c r="K13592" s="395"/>
      <c r="L13592" s="273"/>
      <c r="M13592" s="394" t="str">
        <f t="shared" si="1774"/>
        <v/>
      </c>
      <c r="N13592" s="273"/>
    </row>
    <row r="13593" spans="1:14" ht="12.75" customHeight="1" x14ac:dyDescent="0.2">
      <c r="A13593" s="400"/>
      <c r="B13593" s="271"/>
      <c r="C13593" s="271"/>
      <c r="D13593" s="271"/>
      <c r="E13593" s="271"/>
      <c r="F13593" s="271"/>
      <c r="G13593" s="273"/>
      <c r="H13593" s="29"/>
      <c r="I13593" s="394"/>
      <c r="J13593" s="273"/>
      <c r="K13593" s="395"/>
      <c r="L13593" s="273"/>
      <c r="M13593" s="394" t="str">
        <f t="shared" si="1774"/>
        <v/>
      </c>
      <c r="N13593" s="273"/>
    </row>
    <row r="13594" spans="1:14" ht="12.75" customHeight="1" x14ac:dyDescent="0.25">
      <c r="A13594" s="4"/>
      <c r="B13594" s="4"/>
      <c r="C13594" s="4"/>
      <c r="D13594" s="4"/>
      <c r="E13594" s="4"/>
      <c r="F13594" s="4"/>
      <c r="G13594" s="4"/>
      <c r="H13594" s="4"/>
      <c r="I13594" s="4"/>
      <c r="J13594" s="4"/>
      <c r="K13594" s="396" t="s">
        <v>444</v>
      </c>
      <c r="L13594" s="273"/>
      <c r="M13594" s="394">
        <f>SUM(M13589:N13593)</f>
        <v>46437.40536253334</v>
      </c>
      <c r="N13594" s="273"/>
    </row>
    <row r="13595" spans="1:14" ht="12.75" customHeight="1" x14ac:dyDescent="0.25">
      <c r="A13595" s="4"/>
      <c r="B13595" s="4"/>
      <c r="C13595" s="4"/>
      <c r="D13595" s="4"/>
      <c r="E13595" s="4"/>
      <c r="F13595" s="4"/>
      <c r="G13595" s="4"/>
      <c r="H13595" s="4"/>
      <c r="I13595" s="4"/>
      <c r="J13595" s="4"/>
      <c r="K13595" s="4"/>
      <c r="L13595" s="4"/>
      <c r="M13595" s="4"/>
      <c r="N13595" s="4"/>
    </row>
    <row r="13596" spans="1:14" ht="12.75" customHeight="1" x14ac:dyDescent="0.2">
      <c r="A13596" s="398" t="s">
        <v>931</v>
      </c>
      <c r="B13596" s="271"/>
      <c r="C13596" s="271"/>
      <c r="D13596" s="271"/>
      <c r="E13596" s="271"/>
      <c r="F13596" s="271"/>
      <c r="G13596" s="271"/>
      <c r="H13596" s="271"/>
      <c r="I13596" s="271"/>
      <c r="J13596" s="271"/>
      <c r="K13596" s="271"/>
      <c r="L13596" s="271"/>
      <c r="M13596" s="271"/>
      <c r="N13596" s="273"/>
    </row>
    <row r="13597" spans="1:14" ht="12.75" customHeight="1" x14ac:dyDescent="0.2">
      <c r="A13597" s="396" t="s">
        <v>76</v>
      </c>
      <c r="B13597" s="271"/>
      <c r="C13597" s="271"/>
      <c r="D13597" s="271"/>
      <c r="E13597" s="271"/>
      <c r="F13597" s="271"/>
      <c r="G13597" s="273"/>
      <c r="H13597" s="88" t="s">
        <v>77</v>
      </c>
      <c r="I13597" s="399" t="s">
        <v>920</v>
      </c>
      <c r="J13597" s="273"/>
      <c r="K13597" s="90" t="s">
        <v>514</v>
      </c>
      <c r="L13597" s="91" t="s">
        <v>932</v>
      </c>
      <c r="M13597" s="399" t="s">
        <v>921</v>
      </c>
      <c r="N13597" s="273"/>
    </row>
    <row r="13598" spans="1:14" ht="12.75" customHeight="1" x14ac:dyDescent="0.25">
      <c r="A13598" s="393" t="s">
        <v>1034</v>
      </c>
      <c r="B13598" s="271"/>
      <c r="C13598" s="271"/>
      <c r="D13598" s="271"/>
      <c r="E13598" s="271"/>
      <c r="F13598" s="271"/>
      <c r="G13598" s="273"/>
      <c r="H13598" s="29" t="str">
        <f>IF(A13598="","",VLOOKUP(A13598,AA_Cuadrillas,4,FALSE))</f>
        <v>Cuadrilla</v>
      </c>
      <c r="I13598" s="394">
        <f>IF(A13598="","",VLOOKUP(A13598,AA_Cuadrillas,5,FALSE))</f>
        <v>207031.25</v>
      </c>
      <c r="J13598" s="273"/>
      <c r="K13598" s="9">
        <f>IF(A13598="","",F.P!$I$2)</f>
        <v>1.88</v>
      </c>
      <c r="L13598" s="97">
        <v>0.5</v>
      </c>
      <c r="M13598" s="394">
        <f t="shared" ref="M13598:M13602" si="1775">IF(A13598="","",I13598*K13598*L13598)</f>
        <v>194609.375</v>
      </c>
      <c r="N13598" s="273"/>
    </row>
    <row r="13599" spans="1:14" ht="12.75" customHeight="1" x14ac:dyDescent="0.25">
      <c r="A13599" s="393"/>
      <c r="B13599" s="271"/>
      <c r="C13599" s="271"/>
      <c r="D13599" s="271"/>
      <c r="E13599" s="271"/>
      <c r="F13599" s="271"/>
      <c r="G13599" s="273"/>
      <c r="H13599" s="29" t="str">
        <f>IF(A13599="","",VLOOKUP(A13599,AA_Cuadrillas,4,FALSE))</f>
        <v/>
      </c>
      <c r="I13599" s="394" t="str">
        <f>IF(A13599="","",VLOOKUP(A13599,AA_Cuadrillas,5,FALSE))</f>
        <v/>
      </c>
      <c r="J13599" s="273"/>
      <c r="K13599" s="9" t="str">
        <f>IF(A13599="","",F.P!$I$2)</f>
        <v/>
      </c>
      <c r="L13599" s="9"/>
      <c r="M13599" s="394" t="str">
        <f t="shared" si="1775"/>
        <v/>
      </c>
      <c r="N13599" s="273"/>
    </row>
    <row r="13600" spans="1:14" ht="12.75" customHeight="1" x14ac:dyDescent="0.25">
      <c r="A13600" s="393"/>
      <c r="B13600" s="271"/>
      <c r="C13600" s="271"/>
      <c r="D13600" s="271"/>
      <c r="E13600" s="271"/>
      <c r="F13600" s="271"/>
      <c r="G13600" s="273"/>
      <c r="H13600" s="29" t="str">
        <f>IF(A13600="","",VLOOKUP(A13600,AA_Cuadrillas,4,FALSE))</f>
        <v/>
      </c>
      <c r="I13600" s="394" t="str">
        <f>IF(A13600="","",VLOOKUP(A13600,AA_Cuadrillas,5,FALSE))</f>
        <v/>
      </c>
      <c r="J13600" s="273"/>
      <c r="K13600" s="9" t="str">
        <f>IF(A13600="","",F.P!$I$2)</f>
        <v/>
      </c>
      <c r="L13600" s="37"/>
      <c r="M13600" s="394" t="str">
        <f t="shared" si="1775"/>
        <v/>
      </c>
      <c r="N13600" s="273"/>
    </row>
    <row r="13601" spans="1:14" ht="12.75" customHeight="1" x14ac:dyDescent="0.25">
      <c r="A13601" s="393"/>
      <c r="B13601" s="271"/>
      <c r="C13601" s="271"/>
      <c r="D13601" s="271"/>
      <c r="E13601" s="271"/>
      <c r="F13601" s="271"/>
      <c r="G13601" s="273"/>
      <c r="H13601" s="29" t="str">
        <f>IF(A13601="","",VLOOKUP(A13601,AA_Cuadrillas,4,FALSE))</f>
        <v/>
      </c>
      <c r="I13601" s="394" t="str">
        <f>IF(A13601="","",VLOOKUP(A13601,AA_Cuadrillas,5,FALSE))</f>
        <v/>
      </c>
      <c r="J13601" s="273"/>
      <c r="K13601" s="9" t="str">
        <f>IF(A13601="","",F.P!$I$2)</f>
        <v/>
      </c>
      <c r="L13601" s="37"/>
      <c r="M13601" s="394" t="str">
        <f t="shared" si="1775"/>
        <v/>
      </c>
      <c r="N13601" s="273"/>
    </row>
    <row r="13602" spans="1:14" ht="12.75" customHeight="1" x14ac:dyDescent="0.25">
      <c r="A13602" s="393"/>
      <c r="B13602" s="271"/>
      <c r="C13602" s="271"/>
      <c r="D13602" s="271"/>
      <c r="E13602" s="271"/>
      <c r="F13602" s="271"/>
      <c r="G13602" s="273"/>
      <c r="H13602" s="29" t="str">
        <f>IF(A13602="","",VLOOKUP(A13602,AA_Cuadrillas,4,FALSE))</f>
        <v/>
      </c>
      <c r="I13602" s="394" t="str">
        <f>IF(A13602="","",VLOOKUP(A13602,AA_Cuadrillas,5,FALSE))</f>
        <v/>
      </c>
      <c r="J13602" s="273"/>
      <c r="K13602" s="9" t="str">
        <f>IF(A13602="","",F.P!$I$2)</f>
        <v/>
      </c>
      <c r="L13602" s="37"/>
      <c r="M13602" s="394" t="str">
        <f t="shared" si="1775"/>
        <v/>
      </c>
      <c r="N13602" s="273"/>
    </row>
    <row r="13603" spans="1:14" ht="12.75" customHeight="1" x14ac:dyDescent="0.25">
      <c r="A13603" s="4"/>
      <c r="B13603" s="4"/>
      <c r="C13603" s="4"/>
      <c r="D13603" s="4"/>
      <c r="E13603" s="4"/>
      <c r="F13603" s="4"/>
      <c r="G13603" s="4"/>
      <c r="H13603" s="4"/>
      <c r="I13603" s="4"/>
      <c r="J13603" s="4"/>
      <c r="K13603" s="396" t="s">
        <v>444</v>
      </c>
      <c r="L13603" s="273"/>
      <c r="M13603" s="394">
        <f>SUM(M13598:N13602)</f>
        <v>194609.375</v>
      </c>
      <c r="N13603" s="273"/>
    </row>
    <row r="13604" spans="1:14" ht="12.75" customHeight="1" x14ac:dyDescent="0.2"/>
    <row r="13605" spans="1:14" ht="12.75" customHeight="1" x14ac:dyDescent="0.2">
      <c r="A13605" s="397" t="s">
        <v>214</v>
      </c>
      <c r="B13605" s="275"/>
      <c r="C13605" s="275"/>
      <c r="D13605" s="275"/>
      <c r="E13605" s="275"/>
      <c r="F13605" s="275"/>
      <c r="G13605" s="275"/>
      <c r="H13605" s="275"/>
      <c r="I13605" s="275"/>
      <c r="J13605" s="275"/>
      <c r="K13605" s="275"/>
      <c r="L13605" s="275"/>
      <c r="M13605" s="275"/>
      <c r="N13605" s="276"/>
    </row>
    <row r="13606" spans="1:14" ht="12.75" customHeight="1" x14ac:dyDescent="0.2">
      <c r="A13606" s="277"/>
      <c r="B13606" s="278"/>
      <c r="C13606" s="278"/>
      <c r="D13606" s="278"/>
      <c r="E13606" s="278"/>
      <c r="F13606" s="278"/>
      <c r="G13606" s="278"/>
      <c r="H13606" s="278"/>
      <c r="I13606" s="278"/>
      <c r="J13606" s="278"/>
      <c r="K13606" s="278"/>
      <c r="L13606" s="278"/>
      <c r="M13606" s="278"/>
      <c r="N13606" s="279"/>
    </row>
    <row r="13607" spans="1:14" ht="12.75" customHeight="1" x14ac:dyDescent="0.2">
      <c r="A13607" s="75"/>
      <c r="B13607" s="75"/>
      <c r="C13607" s="75"/>
      <c r="D13607" s="75"/>
      <c r="E13607" s="75"/>
      <c r="F13607" s="75"/>
      <c r="G13607" s="75"/>
      <c r="H13607" s="75"/>
      <c r="I13607" s="75"/>
      <c r="J13607" s="75"/>
      <c r="K13607" s="75"/>
      <c r="L13607" s="75"/>
      <c r="M13607" s="75"/>
      <c r="N13607" s="75"/>
    </row>
    <row r="13608" spans="1:14" ht="12.75" customHeight="1" x14ac:dyDescent="0.3">
      <c r="A13608" s="79" t="s">
        <v>910</v>
      </c>
      <c r="B13608" s="80" t="str">
        <f>A13605</f>
        <v>KIT DE ENTRADA PARA RECOLECCIÓN DE LODOS DESDE LA PTAP MÓDULAR TIPO 1 (INCLUYE VÁLVULA, CODO, TEE, HERRAMIENTA MENOR Y MANO DE OBRA)</v>
      </c>
      <c r="C13608" s="81" t="s">
        <v>916</v>
      </c>
      <c r="D13608" s="82" t="s">
        <v>999</v>
      </c>
      <c r="E13608" s="83" t="s">
        <v>445</v>
      </c>
      <c r="F13608" s="86">
        <f>H13608+J13608+L13608+N13608</f>
        <v>516032.18099999998</v>
      </c>
      <c r="G13608" s="83" t="s">
        <v>607</v>
      </c>
      <c r="H13608" s="86">
        <f>M13628</f>
        <v>8777.8610000000008</v>
      </c>
      <c r="I13608" s="83" t="s">
        <v>918</v>
      </c>
      <c r="J13608" s="86">
        <f>M13619</f>
        <v>315902</v>
      </c>
      <c r="K13608" s="83" t="s">
        <v>609</v>
      </c>
      <c r="L13608" s="86">
        <f>M13637</f>
        <v>15795.1</v>
      </c>
      <c r="M13608" s="83" t="s">
        <v>610</v>
      </c>
      <c r="N13608" s="86">
        <f>M13646</f>
        <v>175557.22</v>
      </c>
    </row>
    <row r="13609" spans="1:14" ht="12.75" customHeight="1" x14ac:dyDescent="0.25">
      <c r="A13609" s="87"/>
      <c r="B13609" s="87"/>
      <c r="C13609" s="87"/>
      <c r="D13609" s="87"/>
      <c r="E13609" s="87"/>
      <c r="F13609" s="87"/>
      <c r="G13609" s="87"/>
      <c r="H13609" s="12"/>
      <c r="I13609" s="12"/>
      <c r="J13609" s="87"/>
      <c r="K13609" s="215" t="s">
        <v>3217</v>
      </c>
      <c r="L13609" s="215">
        <f>+F13608*presup!$O$5</f>
        <v>670841.83530000004</v>
      </c>
      <c r="M13609" s="87"/>
      <c r="N13609" s="87"/>
    </row>
    <row r="13610" spans="1:14" ht="12.75" customHeight="1" x14ac:dyDescent="0.2">
      <c r="A13610" s="398" t="s">
        <v>919</v>
      </c>
      <c r="B13610" s="271"/>
      <c r="C13610" s="271"/>
      <c r="D13610" s="271"/>
      <c r="E13610" s="271"/>
      <c r="F13610" s="271"/>
      <c r="G13610" s="271"/>
      <c r="H13610" s="271"/>
      <c r="I13610" s="271"/>
      <c r="J13610" s="271"/>
      <c r="K13610" s="271"/>
      <c r="L13610" s="271"/>
      <c r="M13610" s="271"/>
      <c r="N13610" s="273"/>
    </row>
    <row r="13611" spans="1:14" ht="12.75" customHeight="1" x14ac:dyDescent="0.2">
      <c r="A13611" s="396" t="s">
        <v>76</v>
      </c>
      <c r="B13611" s="271"/>
      <c r="C13611" s="271"/>
      <c r="D13611" s="271"/>
      <c r="E13611" s="271"/>
      <c r="F13611" s="271"/>
      <c r="G13611" s="273"/>
      <c r="H13611" s="88" t="s">
        <v>77</v>
      </c>
      <c r="I13611" s="399" t="s">
        <v>920</v>
      </c>
      <c r="J13611" s="273"/>
      <c r="K13611" s="399" t="s">
        <v>453</v>
      </c>
      <c r="L13611" s="273"/>
      <c r="M13611" s="399" t="s">
        <v>921</v>
      </c>
      <c r="N13611" s="273"/>
    </row>
    <row r="13612" spans="1:14" ht="12.75" customHeight="1" x14ac:dyDescent="0.2">
      <c r="A13612" s="403" t="s">
        <v>1523</v>
      </c>
      <c r="B13612" s="271"/>
      <c r="C13612" s="271"/>
      <c r="D13612" s="271"/>
      <c r="E13612" s="271"/>
      <c r="F13612" s="271"/>
      <c r="G13612" s="273"/>
      <c r="H13612" s="29" t="str">
        <f t="shared" ref="H13612:H13618" si="1776">IF(A13612="","",VLOOKUP(A13612,AA_Materiales,7,FALSE))</f>
        <v>ml</v>
      </c>
      <c r="I13612" s="394">
        <f t="shared" ref="I13612:I13618" si="1777">IF(A13612="","",VLOOKUP(A13612,AA_Materiales,8,FALSE))</f>
        <v>30500</v>
      </c>
      <c r="J13612" s="273"/>
      <c r="K13612" s="395">
        <v>2.7</v>
      </c>
      <c r="L13612" s="273"/>
      <c r="M13612" s="394">
        <f t="shared" ref="M13612:M13618" si="1778">IF(A13612="","",I13612*K13612)</f>
        <v>82350</v>
      </c>
      <c r="N13612" s="273"/>
    </row>
    <row r="13613" spans="1:14" ht="12.75" customHeight="1" x14ac:dyDescent="0.2">
      <c r="A13613" s="403" t="s">
        <v>1524</v>
      </c>
      <c r="B13613" s="271"/>
      <c r="C13613" s="271"/>
      <c r="D13613" s="271"/>
      <c r="E13613" s="271"/>
      <c r="F13613" s="271"/>
      <c r="G13613" s="273"/>
      <c r="H13613" s="29" t="str">
        <f t="shared" si="1776"/>
        <v>Unidad</v>
      </c>
      <c r="I13613" s="394">
        <f t="shared" si="1777"/>
        <v>6200</v>
      </c>
      <c r="J13613" s="273"/>
      <c r="K13613" s="395">
        <v>2</v>
      </c>
      <c r="L13613" s="273"/>
      <c r="M13613" s="394">
        <f t="shared" si="1778"/>
        <v>12400</v>
      </c>
      <c r="N13613" s="273"/>
    </row>
    <row r="13614" spans="1:14" ht="12.75" customHeight="1" x14ac:dyDescent="0.2">
      <c r="A13614" s="403" t="s">
        <v>1525</v>
      </c>
      <c r="B13614" s="271"/>
      <c r="C13614" s="271"/>
      <c r="D13614" s="271"/>
      <c r="E13614" s="271"/>
      <c r="F13614" s="271"/>
      <c r="G13614" s="273"/>
      <c r="H13614" s="29" t="str">
        <f t="shared" si="1776"/>
        <v>Unidad</v>
      </c>
      <c r="I13614" s="394">
        <f t="shared" si="1777"/>
        <v>191352</v>
      </c>
      <c r="J13614" s="273"/>
      <c r="K13614" s="395">
        <v>1</v>
      </c>
      <c r="L13614" s="273"/>
      <c r="M13614" s="394">
        <f t="shared" si="1778"/>
        <v>191352</v>
      </c>
      <c r="N13614" s="273"/>
    </row>
    <row r="13615" spans="1:14" ht="12.75" customHeight="1" x14ac:dyDescent="0.2">
      <c r="A13615" s="403" t="s">
        <v>984</v>
      </c>
      <c r="B13615" s="271"/>
      <c r="C13615" s="271"/>
      <c r="D13615" s="271"/>
      <c r="E13615" s="271"/>
      <c r="F13615" s="271"/>
      <c r="G13615" s="273"/>
      <c r="H13615" s="29" t="str">
        <f t="shared" si="1776"/>
        <v>Galón</v>
      </c>
      <c r="I13615" s="394">
        <f t="shared" si="1777"/>
        <v>80900</v>
      </c>
      <c r="J13615" s="273"/>
      <c r="K13615" s="395">
        <v>0.2</v>
      </c>
      <c r="L13615" s="273"/>
      <c r="M13615" s="394">
        <f t="shared" si="1778"/>
        <v>16180</v>
      </c>
      <c r="N13615" s="273"/>
    </row>
    <row r="13616" spans="1:14" ht="12.75" customHeight="1" x14ac:dyDescent="0.2">
      <c r="A13616" s="403" t="s">
        <v>985</v>
      </c>
      <c r="B13616" s="271"/>
      <c r="C13616" s="271"/>
      <c r="D13616" s="271"/>
      <c r="E13616" s="271"/>
      <c r="F13616" s="271"/>
      <c r="G13616" s="273"/>
      <c r="H13616" s="29" t="str">
        <f t="shared" si="1776"/>
        <v>Galón</v>
      </c>
      <c r="I13616" s="394">
        <f t="shared" si="1777"/>
        <v>47200</v>
      </c>
      <c r="J13616" s="273"/>
      <c r="K13616" s="395">
        <v>0.1</v>
      </c>
      <c r="L13616" s="273"/>
      <c r="M13616" s="394">
        <f t="shared" si="1778"/>
        <v>4720</v>
      </c>
      <c r="N13616" s="273"/>
    </row>
    <row r="13617" spans="1:14" ht="12.75" customHeight="1" x14ac:dyDescent="0.2">
      <c r="A13617" s="403" t="s">
        <v>1538</v>
      </c>
      <c r="B13617" s="271"/>
      <c r="C13617" s="271"/>
      <c r="D13617" s="271"/>
      <c r="E13617" s="271"/>
      <c r="F13617" s="271"/>
      <c r="G13617" s="273"/>
      <c r="H13617" s="29" t="str">
        <f t="shared" si="1776"/>
        <v>Unidad</v>
      </c>
      <c r="I13617" s="394">
        <f t="shared" si="1777"/>
        <v>8900</v>
      </c>
      <c r="J13617" s="273"/>
      <c r="K13617" s="395">
        <v>1</v>
      </c>
      <c r="L13617" s="273"/>
      <c r="M13617" s="394">
        <f t="shared" si="1778"/>
        <v>8900</v>
      </c>
      <c r="N13617" s="273"/>
    </row>
    <row r="13618" spans="1:14" ht="12.75" customHeight="1" x14ac:dyDescent="0.2">
      <c r="A13618" s="403"/>
      <c r="B13618" s="271"/>
      <c r="C13618" s="271"/>
      <c r="D13618" s="271"/>
      <c r="E13618" s="271"/>
      <c r="F13618" s="271"/>
      <c r="G13618" s="273"/>
      <c r="H13618" s="29" t="str">
        <f t="shared" si="1776"/>
        <v/>
      </c>
      <c r="I13618" s="394" t="str">
        <f t="shared" si="1777"/>
        <v/>
      </c>
      <c r="J13618" s="273"/>
      <c r="K13618" s="395"/>
      <c r="L13618" s="273"/>
      <c r="M13618" s="394" t="str">
        <f t="shared" si="1778"/>
        <v/>
      </c>
      <c r="N13618" s="273"/>
    </row>
    <row r="13619" spans="1:14" ht="12.75" customHeight="1" x14ac:dyDescent="0.25">
      <c r="A13619" s="4"/>
      <c r="B13619" s="4"/>
      <c r="C13619" s="4"/>
      <c r="D13619" s="4"/>
      <c r="E13619" s="4"/>
      <c r="F13619" s="4"/>
      <c r="G13619" s="4"/>
      <c r="H13619" s="4"/>
      <c r="I13619" s="4"/>
      <c r="J13619" s="4"/>
      <c r="K13619" s="396" t="s">
        <v>444</v>
      </c>
      <c r="L13619" s="273"/>
      <c r="M13619" s="394">
        <f>SUM(M13612:N13618)</f>
        <v>315902</v>
      </c>
      <c r="N13619" s="273"/>
    </row>
    <row r="13620" spans="1:14" ht="12.75" customHeight="1" x14ac:dyDescent="0.25">
      <c r="A13620" s="4"/>
      <c r="B13620" s="4"/>
      <c r="C13620" s="4"/>
      <c r="D13620" s="4"/>
      <c r="E13620" s="4"/>
      <c r="F13620" s="4"/>
      <c r="G13620" s="4"/>
      <c r="H13620" s="4"/>
      <c r="I13620" s="4"/>
      <c r="J13620" s="4"/>
      <c r="K13620" s="4"/>
      <c r="L13620" s="4"/>
      <c r="M13620" s="4"/>
      <c r="N13620" s="4"/>
    </row>
    <row r="13621" spans="1:14" ht="12.75" customHeight="1" x14ac:dyDescent="0.2">
      <c r="A13621" s="398" t="s">
        <v>926</v>
      </c>
      <c r="B13621" s="271"/>
      <c r="C13621" s="271"/>
      <c r="D13621" s="271"/>
      <c r="E13621" s="271"/>
      <c r="F13621" s="271"/>
      <c r="G13621" s="271"/>
      <c r="H13621" s="271"/>
      <c r="I13621" s="271"/>
      <c r="J13621" s="271"/>
      <c r="K13621" s="271"/>
      <c r="L13621" s="271"/>
      <c r="M13621" s="271"/>
      <c r="N13621" s="273"/>
    </row>
    <row r="13622" spans="1:14" ht="12.75" customHeight="1" x14ac:dyDescent="0.2">
      <c r="A13622" s="396" t="s">
        <v>76</v>
      </c>
      <c r="B13622" s="271"/>
      <c r="C13622" s="271"/>
      <c r="D13622" s="271"/>
      <c r="E13622" s="271"/>
      <c r="F13622" s="271"/>
      <c r="G13622" s="273"/>
      <c r="H13622" s="88" t="s">
        <v>77</v>
      </c>
      <c r="I13622" s="399" t="s">
        <v>920</v>
      </c>
      <c r="J13622" s="273"/>
      <c r="K13622" s="399" t="s">
        <v>453</v>
      </c>
      <c r="L13622" s="273"/>
      <c r="M13622" s="399" t="s">
        <v>921</v>
      </c>
      <c r="N13622" s="273"/>
    </row>
    <row r="13623" spans="1:14" ht="12.75" customHeight="1" x14ac:dyDescent="0.2">
      <c r="A13623" s="400" t="s">
        <v>927</v>
      </c>
      <c r="B13623" s="271"/>
      <c r="C13623" s="271"/>
      <c r="D13623" s="271"/>
      <c r="E13623" s="271"/>
      <c r="F13623" s="271"/>
      <c r="G13623" s="273"/>
      <c r="H13623" s="29" t="str">
        <f>IF(A13623="","",VLOOKUP(A13623,AA_Equipos,7,FALSE))</f>
        <v>% M.O.</v>
      </c>
      <c r="I13623" s="394">
        <f>+M13646</f>
        <v>175557.22</v>
      </c>
      <c r="J13623" s="273"/>
      <c r="K13623" s="404">
        <v>0.05</v>
      </c>
      <c r="L13623" s="273"/>
      <c r="M13623" s="394">
        <f t="shared" ref="M13623:M13627" si="1779">IF(A13623="","",I13623*K13623)</f>
        <v>8777.8610000000008</v>
      </c>
      <c r="N13623" s="273"/>
    </row>
    <row r="13624" spans="1:14" ht="12.75" customHeight="1" x14ac:dyDescent="0.2">
      <c r="A13624" s="403"/>
      <c r="B13624" s="271"/>
      <c r="C13624" s="271"/>
      <c r="D13624" s="271"/>
      <c r="E13624" s="271"/>
      <c r="F13624" s="271"/>
      <c r="G13624" s="273"/>
      <c r="H13624" s="29" t="str">
        <f>IF(A13624="","",VLOOKUP(A13624,AA_Equipos,7,FALSE))</f>
        <v/>
      </c>
      <c r="I13624" s="394" t="str">
        <f>IF(A13624="","",VLOOKUP(A13624,AA_Equipos,8,FALSE))</f>
        <v/>
      </c>
      <c r="J13624" s="273"/>
      <c r="K13624" s="402"/>
      <c r="L13624" s="273"/>
      <c r="M13624" s="394" t="str">
        <f t="shared" si="1779"/>
        <v/>
      </c>
      <c r="N13624" s="273"/>
    </row>
    <row r="13625" spans="1:14" ht="12.75" customHeight="1" x14ac:dyDescent="0.2">
      <c r="A13625" s="400"/>
      <c r="B13625" s="271"/>
      <c r="C13625" s="271"/>
      <c r="D13625" s="271"/>
      <c r="E13625" s="271"/>
      <c r="F13625" s="271"/>
      <c r="G13625" s="273"/>
      <c r="H13625" s="29" t="str">
        <f>IF(A13625="","",VLOOKUP(A13625,AA_Equipos,7,FALSE))</f>
        <v/>
      </c>
      <c r="I13625" s="394" t="str">
        <f>IF(A13625="","",VLOOKUP(A13625,AA_Equipos,8,FALSE))</f>
        <v/>
      </c>
      <c r="J13625" s="273"/>
      <c r="K13625" s="401"/>
      <c r="L13625" s="273"/>
      <c r="M13625" s="394" t="str">
        <f t="shared" si="1779"/>
        <v/>
      </c>
      <c r="N13625" s="273"/>
    </row>
    <row r="13626" spans="1:14" ht="12.75" customHeight="1" x14ac:dyDescent="0.2">
      <c r="A13626" s="400"/>
      <c r="B13626" s="271"/>
      <c r="C13626" s="271"/>
      <c r="D13626" s="271"/>
      <c r="E13626" s="271"/>
      <c r="F13626" s="271"/>
      <c r="G13626" s="273"/>
      <c r="H13626" s="29" t="str">
        <f>IF(A13626="","",VLOOKUP(A13626,AA_Equipos,7,FALSE))</f>
        <v/>
      </c>
      <c r="I13626" s="394" t="str">
        <f>IF(A13626="","",VLOOKUP(A13626,AA_Equipos,8,FALSE))</f>
        <v/>
      </c>
      <c r="J13626" s="273"/>
      <c r="K13626" s="395"/>
      <c r="L13626" s="273"/>
      <c r="M13626" s="394" t="str">
        <f t="shared" si="1779"/>
        <v/>
      </c>
      <c r="N13626" s="273"/>
    </row>
    <row r="13627" spans="1:14" ht="12.75" customHeight="1" x14ac:dyDescent="0.2">
      <c r="A13627" s="400"/>
      <c r="B13627" s="271"/>
      <c r="C13627" s="271"/>
      <c r="D13627" s="271"/>
      <c r="E13627" s="271"/>
      <c r="F13627" s="271"/>
      <c r="G13627" s="273"/>
      <c r="H13627" s="29" t="str">
        <f>IF(A13627="","",VLOOKUP(A13627,AA_Equipos,7,FALSE))</f>
        <v/>
      </c>
      <c r="I13627" s="394" t="str">
        <f>IF(A13627="","",VLOOKUP(A13627,AA_Equipos,8,FALSE))</f>
        <v/>
      </c>
      <c r="J13627" s="273"/>
      <c r="K13627" s="395"/>
      <c r="L13627" s="273"/>
      <c r="M13627" s="394" t="str">
        <f t="shared" si="1779"/>
        <v/>
      </c>
      <c r="N13627" s="273"/>
    </row>
    <row r="13628" spans="1:14" ht="12.75" customHeight="1" x14ac:dyDescent="0.25">
      <c r="A13628" s="4"/>
      <c r="B13628" s="4"/>
      <c r="C13628" s="4"/>
      <c r="D13628" s="4"/>
      <c r="E13628" s="4"/>
      <c r="F13628" s="4"/>
      <c r="G13628" s="4"/>
      <c r="H13628" s="4"/>
      <c r="I13628" s="4"/>
      <c r="J13628" s="4"/>
      <c r="K13628" s="396" t="s">
        <v>444</v>
      </c>
      <c r="L13628" s="273"/>
      <c r="M13628" s="394">
        <f>SUM(M13623:N13627)</f>
        <v>8777.8610000000008</v>
      </c>
      <c r="N13628" s="273"/>
    </row>
    <row r="13629" spans="1:14" ht="12.75" customHeight="1" x14ac:dyDescent="0.25">
      <c r="A13629" s="4"/>
      <c r="B13629" s="4"/>
      <c r="C13629" s="4"/>
      <c r="D13629" s="4"/>
      <c r="E13629" s="4"/>
      <c r="F13629" s="4"/>
      <c r="G13629" s="4"/>
      <c r="H13629" s="4"/>
      <c r="I13629" s="4"/>
      <c r="J13629" s="4"/>
      <c r="K13629" s="4"/>
      <c r="L13629" s="4"/>
      <c r="M13629" s="4"/>
      <c r="N13629" s="4"/>
    </row>
    <row r="13630" spans="1:14" ht="12.75" customHeight="1" x14ac:dyDescent="0.2">
      <c r="A13630" s="398" t="s">
        <v>929</v>
      </c>
      <c r="B13630" s="271"/>
      <c r="C13630" s="271"/>
      <c r="D13630" s="271"/>
      <c r="E13630" s="271"/>
      <c r="F13630" s="271"/>
      <c r="G13630" s="271"/>
      <c r="H13630" s="271"/>
      <c r="I13630" s="271"/>
      <c r="J13630" s="271"/>
      <c r="K13630" s="271"/>
      <c r="L13630" s="271"/>
      <c r="M13630" s="271"/>
      <c r="N13630" s="273"/>
    </row>
    <row r="13631" spans="1:14" ht="12.75" customHeight="1" x14ac:dyDescent="0.2">
      <c r="A13631" s="396" t="s">
        <v>76</v>
      </c>
      <c r="B13631" s="271"/>
      <c r="C13631" s="271"/>
      <c r="D13631" s="271"/>
      <c r="E13631" s="271"/>
      <c r="F13631" s="271"/>
      <c r="G13631" s="273"/>
      <c r="H13631" s="88" t="s">
        <v>77</v>
      </c>
      <c r="I13631" s="399" t="s">
        <v>920</v>
      </c>
      <c r="J13631" s="273"/>
      <c r="K13631" s="399" t="s">
        <v>453</v>
      </c>
      <c r="L13631" s="273"/>
      <c r="M13631" s="399" t="s">
        <v>921</v>
      </c>
      <c r="N13631" s="273"/>
    </row>
    <row r="13632" spans="1:14" ht="12.75" customHeight="1" x14ac:dyDescent="0.2">
      <c r="A13632" s="400" t="s">
        <v>960</v>
      </c>
      <c r="B13632" s="271"/>
      <c r="C13632" s="271"/>
      <c r="D13632" s="271"/>
      <c r="E13632" s="271"/>
      <c r="F13632" s="271"/>
      <c r="G13632" s="273"/>
      <c r="H13632" s="29" t="s">
        <v>950</v>
      </c>
      <c r="I13632" s="394">
        <f>+M13619</f>
        <v>315902</v>
      </c>
      <c r="J13632" s="273"/>
      <c r="K13632" s="404">
        <v>0.05</v>
      </c>
      <c r="L13632" s="273"/>
      <c r="M13632" s="394">
        <f t="shared" ref="M13632:M13636" si="1780">IF(A13632="","",I13632*K13632)</f>
        <v>15795.1</v>
      </c>
      <c r="N13632" s="273"/>
    </row>
    <row r="13633" spans="1:14" ht="12.75" customHeight="1" x14ac:dyDescent="0.2">
      <c r="A13633" s="403"/>
      <c r="B13633" s="271"/>
      <c r="C13633" s="271"/>
      <c r="D13633" s="271"/>
      <c r="E13633" s="271"/>
      <c r="F13633" s="271"/>
      <c r="G13633" s="273"/>
      <c r="H13633" s="29"/>
      <c r="I13633" s="394"/>
      <c r="J13633" s="273"/>
      <c r="K13633" s="404"/>
      <c r="L13633" s="273"/>
      <c r="M13633" s="394" t="str">
        <f t="shared" si="1780"/>
        <v/>
      </c>
      <c r="N13633" s="273"/>
    </row>
    <row r="13634" spans="1:14" ht="12.75" customHeight="1" x14ac:dyDescent="0.2">
      <c r="A13634" s="400"/>
      <c r="B13634" s="271"/>
      <c r="C13634" s="271"/>
      <c r="D13634" s="271"/>
      <c r="E13634" s="271"/>
      <c r="F13634" s="271"/>
      <c r="G13634" s="273"/>
      <c r="H13634" s="29"/>
      <c r="I13634" s="394"/>
      <c r="J13634" s="273"/>
      <c r="K13634" s="395"/>
      <c r="L13634" s="273"/>
      <c r="M13634" s="394" t="str">
        <f t="shared" si="1780"/>
        <v/>
      </c>
      <c r="N13634" s="273"/>
    </row>
    <row r="13635" spans="1:14" ht="12.75" customHeight="1" x14ac:dyDescent="0.2">
      <c r="A13635" s="400"/>
      <c r="B13635" s="271"/>
      <c r="C13635" s="271"/>
      <c r="D13635" s="271"/>
      <c r="E13635" s="271"/>
      <c r="F13635" s="271"/>
      <c r="G13635" s="273"/>
      <c r="H13635" s="29"/>
      <c r="I13635" s="394"/>
      <c r="J13635" s="273"/>
      <c r="K13635" s="395"/>
      <c r="L13635" s="273"/>
      <c r="M13635" s="394" t="str">
        <f t="shared" si="1780"/>
        <v/>
      </c>
      <c r="N13635" s="273"/>
    </row>
    <row r="13636" spans="1:14" ht="12.75" customHeight="1" x14ac:dyDescent="0.2">
      <c r="A13636" s="400"/>
      <c r="B13636" s="271"/>
      <c r="C13636" s="271"/>
      <c r="D13636" s="271"/>
      <c r="E13636" s="271"/>
      <c r="F13636" s="271"/>
      <c r="G13636" s="273"/>
      <c r="H13636" s="29"/>
      <c r="I13636" s="394"/>
      <c r="J13636" s="273"/>
      <c r="K13636" s="395"/>
      <c r="L13636" s="273"/>
      <c r="M13636" s="394" t="str">
        <f t="shared" si="1780"/>
        <v/>
      </c>
      <c r="N13636" s="273"/>
    </row>
    <row r="13637" spans="1:14" ht="12.75" customHeight="1" x14ac:dyDescent="0.25">
      <c r="A13637" s="4"/>
      <c r="B13637" s="4"/>
      <c r="C13637" s="4"/>
      <c r="D13637" s="4"/>
      <c r="E13637" s="4"/>
      <c r="F13637" s="4"/>
      <c r="G13637" s="4"/>
      <c r="H13637" s="4"/>
      <c r="I13637" s="4"/>
      <c r="J13637" s="4"/>
      <c r="K13637" s="396" t="s">
        <v>444</v>
      </c>
      <c r="L13637" s="273"/>
      <c r="M13637" s="394">
        <f>SUM(M13632:N13636)</f>
        <v>15795.1</v>
      </c>
      <c r="N13637" s="273"/>
    </row>
    <row r="13638" spans="1:14" ht="12.75" customHeight="1" x14ac:dyDescent="0.25">
      <c r="A13638" s="4"/>
      <c r="B13638" s="4"/>
      <c r="C13638" s="4"/>
      <c r="D13638" s="4"/>
      <c r="E13638" s="4"/>
      <c r="F13638" s="4"/>
      <c r="G13638" s="4"/>
      <c r="H13638" s="4"/>
      <c r="I13638" s="4"/>
      <c r="J13638" s="4"/>
      <c r="K13638" s="4"/>
      <c r="L13638" s="4"/>
      <c r="M13638" s="4"/>
      <c r="N13638" s="4"/>
    </row>
    <row r="13639" spans="1:14" ht="12.75" customHeight="1" x14ac:dyDescent="0.2">
      <c r="A13639" s="398" t="s">
        <v>931</v>
      </c>
      <c r="B13639" s="271"/>
      <c r="C13639" s="271"/>
      <c r="D13639" s="271"/>
      <c r="E13639" s="271"/>
      <c r="F13639" s="271"/>
      <c r="G13639" s="271"/>
      <c r="H13639" s="271"/>
      <c r="I13639" s="271"/>
      <c r="J13639" s="271"/>
      <c r="K13639" s="271"/>
      <c r="L13639" s="271"/>
      <c r="M13639" s="271"/>
      <c r="N13639" s="273"/>
    </row>
    <row r="13640" spans="1:14" ht="12.75" customHeight="1" x14ac:dyDescent="0.2">
      <c r="A13640" s="396" t="s">
        <v>76</v>
      </c>
      <c r="B13640" s="271"/>
      <c r="C13640" s="271"/>
      <c r="D13640" s="271"/>
      <c r="E13640" s="271"/>
      <c r="F13640" s="271"/>
      <c r="G13640" s="273"/>
      <c r="H13640" s="88" t="s">
        <v>77</v>
      </c>
      <c r="I13640" s="399" t="s">
        <v>920</v>
      </c>
      <c r="J13640" s="273"/>
      <c r="K13640" s="90" t="s">
        <v>514</v>
      </c>
      <c r="L13640" s="91" t="s">
        <v>932</v>
      </c>
      <c r="M13640" s="399" t="s">
        <v>921</v>
      </c>
      <c r="N13640" s="273"/>
    </row>
    <row r="13641" spans="1:14" ht="12.75" customHeight="1" x14ac:dyDescent="0.25">
      <c r="A13641" s="393" t="s">
        <v>986</v>
      </c>
      <c r="B13641" s="271"/>
      <c r="C13641" s="271"/>
      <c r="D13641" s="271"/>
      <c r="E13641" s="271"/>
      <c r="F13641" s="271"/>
      <c r="G13641" s="273"/>
      <c r="H13641" s="29" t="str">
        <f>IF(A13641="","",VLOOKUP(A13641,AA_Cuadrillas,4,FALSE))</f>
        <v>Cuadrilla</v>
      </c>
      <c r="I13641" s="394">
        <f>IF(A13641="","",VLOOKUP(A13641,AA_Cuadrillas,5,FALSE))</f>
        <v>186763</v>
      </c>
      <c r="J13641" s="273"/>
      <c r="K13641" s="9">
        <f>IF(A13641="","",F.P!$I$2)</f>
        <v>1.88</v>
      </c>
      <c r="L13641" s="97">
        <v>0.5</v>
      </c>
      <c r="M13641" s="394">
        <f t="shared" ref="M13641:M13645" si="1781">IF(A13641="","",I13641*K13641*L13641)</f>
        <v>175557.22</v>
      </c>
      <c r="N13641" s="273"/>
    </row>
    <row r="13642" spans="1:14" ht="12.75" customHeight="1" x14ac:dyDescent="0.25">
      <c r="A13642" s="393"/>
      <c r="B13642" s="271"/>
      <c r="C13642" s="271"/>
      <c r="D13642" s="271"/>
      <c r="E13642" s="271"/>
      <c r="F13642" s="271"/>
      <c r="G13642" s="273"/>
      <c r="H13642" s="29" t="str">
        <f>IF(A13642="","",VLOOKUP(A13642,AA_Cuadrillas,4,FALSE))</f>
        <v/>
      </c>
      <c r="I13642" s="394" t="str">
        <f>IF(A13642="","",VLOOKUP(A13642,AA_Cuadrillas,5,FALSE))</f>
        <v/>
      </c>
      <c r="J13642" s="273"/>
      <c r="K13642" s="9" t="str">
        <f>IF(A13642="","",F.P!$I$2)</f>
        <v/>
      </c>
      <c r="L13642" s="9"/>
      <c r="M13642" s="394" t="str">
        <f t="shared" si="1781"/>
        <v/>
      </c>
      <c r="N13642" s="273"/>
    </row>
    <row r="13643" spans="1:14" ht="12.75" customHeight="1" x14ac:dyDescent="0.25">
      <c r="A13643" s="393"/>
      <c r="B13643" s="271"/>
      <c r="C13643" s="271"/>
      <c r="D13643" s="271"/>
      <c r="E13643" s="271"/>
      <c r="F13643" s="271"/>
      <c r="G13643" s="273"/>
      <c r="H13643" s="29" t="str">
        <f>IF(A13643="","",VLOOKUP(A13643,AA_Cuadrillas,4,FALSE))</f>
        <v/>
      </c>
      <c r="I13643" s="394" t="str">
        <f>IF(A13643="","",VLOOKUP(A13643,AA_Cuadrillas,5,FALSE))</f>
        <v/>
      </c>
      <c r="J13643" s="273"/>
      <c r="K13643" s="9" t="str">
        <f>IF(A13643="","",F.P!$I$2)</f>
        <v/>
      </c>
      <c r="L13643" s="37"/>
      <c r="M13643" s="394" t="str">
        <f t="shared" si="1781"/>
        <v/>
      </c>
      <c r="N13643" s="273"/>
    </row>
    <row r="13644" spans="1:14" ht="12.75" customHeight="1" x14ac:dyDescent="0.25">
      <c r="A13644" s="393"/>
      <c r="B13644" s="271"/>
      <c r="C13644" s="271"/>
      <c r="D13644" s="271"/>
      <c r="E13644" s="271"/>
      <c r="F13644" s="271"/>
      <c r="G13644" s="273"/>
      <c r="H13644" s="29" t="str">
        <f>IF(A13644="","",VLOOKUP(A13644,AA_Cuadrillas,4,FALSE))</f>
        <v/>
      </c>
      <c r="I13644" s="394" t="str">
        <f>IF(A13644="","",VLOOKUP(A13644,AA_Cuadrillas,5,FALSE))</f>
        <v/>
      </c>
      <c r="J13644" s="273"/>
      <c r="K13644" s="9" t="str">
        <f>IF(A13644="","",F.P!$I$2)</f>
        <v/>
      </c>
      <c r="L13644" s="37"/>
      <c r="M13644" s="394" t="str">
        <f t="shared" si="1781"/>
        <v/>
      </c>
      <c r="N13644" s="273"/>
    </row>
    <row r="13645" spans="1:14" ht="12.75" customHeight="1" x14ac:dyDescent="0.25">
      <c r="A13645" s="393"/>
      <c r="B13645" s="271"/>
      <c r="C13645" s="271"/>
      <c r="D13645" s="271"/>
      <c r="E13645" s="271"/>
      <c r="F13645" s="271"/>
      <c r="G13645" s="273"/>
      <c r="H13645" s="29" t="str">
        <f>IF(A13645="","",VLOOKUP(A13645,AA_Cuadrillas,4,FALSE))</f>
        <v/>
      </c>
      <c r="I13645" s="394" t="str">
        <f>IF(A13645="","",VLOOKUP(A13645,AA_Cuadrillas,5,FALSE))</f>
        <v/>
      </c>
      <c r="J13645" s="273"/>
      <c r="K13645" s="9" t="str">
        <f>IF(A13645="","",F.P!$I$2)</f>
        <v/>
      </c>
      <c r="L13645" s="37"/>
      <c r="M13645" s="394" t="str">
        <f t="shared" si="1781"/>
        <v/>
      </c>
      <c r="N13645" s="273"/>
    </row>
    <row r="13646" spans="1:14" ht="12.75" customHeight="1" x14ac:dyDescent="0.25">
      <c r="A13646" s="4"/>
      <c r="B13646" s="4"/>
      <c r="C13646" s="4"/>
      <c r="D13646" s="4"/>
      <c r="E13646" s="4"/>
      <c r="F13646" s="4"/>
      <c r="G13646" s="4"/>
      <c r="H13646" s="4"/>
      <c r="I13646" s="4"/>
      <c r="J13646" s="4"/>
      <c r="K13646" s="396" t="s">
        <v>444</v>
      </c>
      <c r="L13646" s="273"/>
      <c r="M13646" s="394">
        <f>SUM(M13641:N13645)</f>
        <v>175557.22</v>
      </c>
      <c r="N13646" s="273"/>
    </row>
    <row r="13647" spans="1:14" ht="12.75" customHeight="1" x14ac:dyDescent="0.2"/>
    <row r="13648" spans="1:14" ht="12.75" customHeight="1" x14ac:dyDescent="0.2">
      <c r="A13648" s="397" t="s">
        <v>1738</v>
      </c>
      <c r="B13648" s="275"/>
      <c r="C13648" s="275"/>
      <c r="D13648" s="275"/>
      <c r="E13648" s="275"/>
      <c r="F13648" s="275"/>
      <c r="G13648" s="275"/>
      <c r="H13648" s="275"/>
      <c r="I13648" s="275"/>
      <c r="J13648" s="275"/>
      <c r="K13648" s="275"/>
      <c r="L13648" s="275"/>
      <c r="M13648" s="275"/>
      <c r="N13648" s="276"/>
    </row>
    <row r="13649" spans="1:14" ht="12.75" customHeight="1" x14ac:dyDescent="0.2">
      <c r="A13649" s="277"/>
      <c r="B13649" s="278"/>
      <c r="C13649" s="278"/>
      <c r="D13649" s="278"/>
      <c r="E13649" s="278"/>
      <c r="F13649" s="278"/>
      <c r="G13649" s="278"/>
      <c r="H13649" s="278"/>
      <c r="I13649" s="278"/>
      <c r="J13649" s="278"/>
      <c r="K13649" s="278"/>
      <c r="L13649" s="278"/>
      <c r="M13649" s="278"/>
      <c r="N13649" s="279"/>
    </row>
    <row r="13650" spans="1:14" ht="12.75" customHeight="1" x14ac:dyDescent="0.2">
      <c r="A13650" s="75"/>
      <c r="B13650" s="75"/>
      <c r="C13650" s="75"/>
      <c r="D13650" s="75"/>
      <c r="E13650" s="75"/>
      <c r="F13650" s="75"/>
      <c r="G13650" s="75"/>
      <c r="H13650" s="75"/>
      <c r="I13650" s="75"/>
      <c r="J13650" s="75"/>
      <c r="K13650" s="75"/>
      <c r="L13650" s="75"/>
      <c r="M13650" s="75"/>
      <c r="N13650" s="75"/>
    </row>
    <row r="13651" spans="1:14" ht="12.75" customHeight="1" x14ac:dyDescent="0.3">
      <c r="A13651" s="79" t="s">
        <v>911</v>
      </c>
      <c r="B13651" s="80" t="str">
        <f>A13648</f>
        <v>KIT DE ENTRADA PARA RECOLECCIÓN DE LODOS DESDE LA PTAP MÓDULAR TIPO 2 (INCLUYE VÁLVULA, CODO, TEE, HERRAMIENTA MENOR Y MANO DE OBRA)</v>
      </c>
      <c r="C13651" s="81" t="s">
        <v>916</v>
      </c>
      <c r="D13651" s="82" t="s">
        <v>999</v>
      </c>
      <c r="E13651" s="83" t="s">
        <v>445</v>
      </c>
      <c r="F13651" s="86">
        <f>H13651+J13651+L13651+N13651</f>
        <v>0</v>
      </c>
      <c r="G13651" s="83" t="s">
        <v>607</v>
      </c>
      <c r="H13651" s="86">
        <f>M13662</f>
        <v>0</v>
      </c>
      <c r="I13651" s="83" t="s">
        <v>918</v>
      </c>
      <c r="J13651" s="86">
        <f>M13671</f>
        <v>0</v>
      </c>
      <c r="K13651" s="83" t="s">
        <v>609</v>
      </c>
      <c r="L13651" s="86">
        <f>M13680</f>
        <v>0</v>
      </c>
      <c r="M13651" s="83" t="s">
        <v>610</v>
      </c>
      <c r="N13651" s="86">
        <f>M13689</f>
        <v>0</v>
      </c>
    </row>
    <row r="13652" spans="1:14" ht="12.75" customHeight="1" x14ac:dyDescent="0.25">
      <c r="A13652" s="87"/>
      <c r="B13652" s="87"/>
      <c r="C13652" s="87"/>
      <c r="D13652" s="87"/>
      <c r="E13652" s="87"/>
      <c r="F13652" s="87"/>
      <c r="G13652" s="87"/>
      <c r="H13652" s="12"/>
      <c r="I13652" s="12"/>
      <c r="J13652" s="87"/>
      <c r="K13652" s="215" t="s">
        <v>3217</v>
      </c>
      <c r="L13652" s="215">
        <f>+F13651*presup!$O$5</f>
        <v>0</v>
      </c>
      <c r="M13652" s="87"/>
      <c r="N13652" s="87"/>
    </row>
    <row r="13653" spans="1:14" ht="12.75" customHeight="1" x14ac:dyDescent="0.2">
      <c r="A13653" s="398" t="s">
        <v>919</v>
      </c>
      <c r="B13653" s="271"/>
      <c r="C13653" s="271"/>
      <c r="D13653" s="271"/>
      <c r="E13653" s="271"/>
      <c r="F13653" s="271"/>
      <c r="G13653" s="271"/>
      <c r="H13653" s="271"/>
      <c r="I13653" s="271"/>
      <c r="J13653" s="271"/>
      <c r="K13653" s="271"/>
      <c r="L13653" s="271"/>
      <c r="M13653" s="271"/>
      <c r="N13653" s="273"/>
    </row>
    <row r="13654" spans="1:14" ht="12.75" customHeight="1" x14ac:dyDescent="0.2">
      <c r="A13654" s="396" t="s">
        <v>76</v>
      </c>
      <c r="B13654" s="271"/>
      <c r="C13654" s="271"/>
      <c r="D13654" s="271"/>
      <c r="E13654" s="271"/>
      <c r="F13654" s="271"/>
      <c r="G13654" s="273"/>
      <c r="H13654" s="88" t="s">
        <v>77</v>
      </c>
      <c r="I13654" s="399" t="s">
        <v>920</v>
      </c>
      <c r="J13654" s="273"/>
      <c r="K13654" s="399" t="s">
        <v>453</v>
      </c>
      <c r="L13654" s="273"/>
      <c r="M13654" s="399" t="s">
        <v>921</v>
      </c>
      <c r="N13654" s="273"/>
    </row>
    <row r="13655" spans="1:14" ht="12.75" customHeight="1" x14ac:dyDescent="0.2">
      <c r="A13655" s="403"/>
      <c r="B13655" s="271"/>
      <c r="C13655" s="271"/>
      <c r="D13655" s="271"/>
      <c r="E13655" s="271"/>
      <c r="F13655" s="271"/>
      <c r="G13655" s="273"/>
      <c r="H13655" s="29" t="str">
        <f t="shared" ref="H13655:H13661" si="1782">IF(A13655="","",VLOOKUP(A13655,AA_Materiales,7,FALSE))</f>
        <v/>
      </c>
      <c r="I13655" s="394" t="str">
        <f t="shared" ref="I13655:I13661" si="1783">IF(A13655="","",VLOOKUP(A13655,AA_Materiales,8,FALSE))</f>
        <v/>
      </c>
      <c r="J13655" s="273"/>
      <c r="K13655" s="395"/>
      <c r="L13655" s="273"/>
      <c r="M13655" s="394" t="str">
        <f t="shared" ref="M13655:M13661" si="1784">IF(A13655="","",I13655*K13655)</f>
        <v/>
      </c>
      <c r="N13655" s="273"/>
    </row>
    <row r="13656" spans="1:14" ht="12.75" customHeight="1" x14ac:dyDescent="0.2">
      <c r="A13656" s="403"/>
      <c r="B13656" s="271"/>
      <c r="C13656" s="271"/>
      <c r="D13656" s="271"/>
      <c r="E13656" s="271"/>
      <c r="F13656" s="271"/>
      <c r="G13656" s="273"/>
      <c r="H13656" s="29" t="str">
        <f t="shared" si="1782"/>
        <v/>
      </c>
      <c r="I13656" s="394" t="str">
        <f t="shared" si="1783"/>
        <v/>
      </c>
      <c r="J13656" s="273"/>
      <c r="K13656" s="395"/>
      <c r="L13656" s="273"/>
      <c r="M13656" s="394" t="str">
        <f t="shared" si="1784"/>
        <v/>
      </c>
      <c r="N13656" s="273"/>
    </row>
    <row r="13657" spans="1:14" ht="12.75" customHeight="1" x14ac:dyDescent="0.2">
      <c r="A13657" s="403"/>
      <c r="B13657" s="271"/>
      <c r="C13657" s="271"/>
      <c r="D13657" s="271"/>
      <c r="E13657" s="271"/>
      <c r="F13657" s="271"/>
      <c r="G13657" s="273"/>
      <c r="H13657" s="29" t="str">
        <f t="shared" si="1782"/>
        <v/>
      </c>
      <c r="I13657" s="394" t="str">
        <f t="shared" si="1783"/>
        <v/>
      </c>
      <c r="J13657" s="273"/>
      <c r="K13657" s="395"/>
      <c r="L13657" s="273"/>
      <c r="M13657" s="394" t="str">
        <f t="shared" si="1784"/>
        <v/>
      </c>
      <c r="N13657" s="273"/>
    </row>
    <row r="13658" spans="1:14" ht="12.75" customHeight="1" x14ac:dyDescent="0.2">
      <c r="A13658" s="403"/>
      <c r="B13658" s="271"/>
      <c r="C13658" s="271"/>
      <c r="D13658" s="271"/>
      <c r="E13658" s="271"/>
      <c r="F13658" s="271"/>
      <c r="G13658" s="273"/>
      <c r="H13658" s="29" t="str">
        <f t="shared" si="1782"/>
        <v/>
      </c>
      <c r="I13658" s="394" t="str">
        <f t="shared" si="1783"/>
        <v/>
      </c>
      <c r="J13658" s="273"/>
      <c r="K13658" s="395"/>
      <c r="L13658" s="273"/>
      <c r="M13658" s="394" t="str">
        <f t="shared" si="1784"/>
        <v/>
      </c>
      <c r="N13658" s="273"/>
    </row>
    <row r="13659" spans="1:14" ht="12.75" customHeight="1" x14ac:dyDescent="0.2">
      <c r="A13659" s="403"/>
      <c r="B13659" s="271"/>
      <c r="C13659" s="271"/>
      <c r="D13659" s="271"/>
      <c r="E13659" s="271"/>
      <c r="F13659" s="271"/>
      <c r="G13659" s="273"/>
      <c r="H13659" s="29" t="str">
        <f t="shared" si="1782"/>
        <v/>
      </c>
      <c r="I13659" s="394" t="str">
        <f t="shared" si="1783"/>
        <v/>
      </c>
      <c r="J13659" s="273"/>
      <c r="K13659" s="395"/>
      <c r="L13659" s="273"/>
      <c r="M13659" s="394" t="str">
        <f t="shared" si="1784"/>
        <v/>
      </c>
      <c r="N13659" s="273"/>
    </row>
    <row r="13660" spans="1:14" ht="12.75" customHeight="1" x14ac:dyDescent="0.2">
      <c r="A13660" s="403"/>
      <c r="B13660" s="271"/>
      <c r="C13660" s="271"/>
      <c r="D13660" s="271"/>
      <c r="E13660" s="271"/>
      <c r="F13660" s="271"/>
      <c r="G13660" s="273"/>
      <c r="H13660" s="29" t="str">
        <f t="shared" si="1782"/>
        <v/>
      </c>
      <c r="I13660" s="394" t="str">
        <f t="shared" si="1783"/>
        <v/>
      </c>
      <c r="J13660" s="273"/>
      <c r="K13660" s="395"/>
      <c r="L13660" s="273"/>
      <c r="M13660" s="394" t="str">
        <f t="shared" si="1784"/>
        <v/>
      </c>
      <c r="N13660" s="273"/>
    </row>
    <row r="13661" spans="1:14" ht="12.75" customHeight="1" x14ac:dyDescent="0.2">
      <c r="A13661" s="403"/>
      <c r="B13661" s="271"/>
      <c r="C13661" s="271"/>
      <c r="D13661" s="271"/>
      <c r="E13661" s="271"/>
      <c r="F13661" s="271"/>
      <c r="G13661" s="273"/>
      <c r="H13661" s="29" t="str">
        <f t="shared" si="1782"/>
        <v/>
      </c>
      <c r="I13661" s="394" t="str">
        <f t="shared" si="1783"/>
        <v/>
      </c>
      <c r="J13661" s="273"/>
      <c r="K13661" s="395"/>
      <c r="L13661" s="273"/>
      <c r="M13661" s="394" t="str">
        <f t="shared" si="1784"/>
        <v/>
      </c>
      <c r="N13661" s="273"/>
    </row>
    <row r="13662" spans="1:14" ht="12.75" customHeight="1" x14ac:dyDescent="0.25">
      <c r="A13662" s="4"/>
      <c r="B13662" s="4"/>
      <c r="C13662" s="4"/>
      <c r="D13662" s="4"/>
      <c r="E13662" s="4"/>
      <c r="F13662" s="4"/>
      <c r="G13662" s="4"/>
      <c r="H13662" s="4"/>
      <c r="I13662" s="4"/>
      <c r="J13662" s="4"/>
      <c r="K13662" s="396" t="s">
        <v>444</v>
      </c>
      <c r="L13662" s="273"/>
      <c r="M13662" s="394">
        <f>SUM(M13655:N13661)</f>
        <v>0</v>
      </c>
      <c r="N13662" s="273"/>
    </row>
    <row r="13663" spans="1:14" ht="12.75" customHeight="1" x14ac:dyDescent="0.25">
      <c r="A13663" s="4"/>
      <c r="B13663" s="4"/>
      <c r="C13663" s="4"/>
      <c r="D13663" s="4"/>
      <c r="E13663" s="4"/>
      <c r="F13663" s="4"/>
      <c r="G13663" s="4"/>
      <c r="H13663" s="4"/>
      <c r="I13663" s="4"/>
      <c r="J13663" s="4"/>
      <c r="K13663" s="4"/>
      <c r="L13663" s="4"/>
      <c r="M13663" s="4"/>
      <c r="N13663" s="4"/>
    </row>
    <row r="13664" spans="1:14" ht="12.75" customHeight="1" x14ac:dyDescent="0.2">
      <c r="A13664" s="398" t="s">
        <v>926</v>
      </c>
      <c r="B13664" s="271"/>
      <c r="C13664" s="271"/>
      <c r="D13664" s="271"/>
      <c r="E13664" s="271"/>
      <c r="F13664" s="271"/>
      <c r="G13664" s="271"/>
      <c r="H13664" s="271"/>
      <c r="I13664" s="271"/>
      <c r="J13664" s="271"/>
      <c r="K13664" s="271"/>
      <c r="L13664" s="271"/>
      <c r="M13664" s="271"/>
      <c r="N13664" s="273"/>
    </row>
    <row r="13665" spans="1:14" ht="12.75" customHeight="1" x14ac:dyDescent="0.2">
      <c r="A13665" s="396" t="s">
        <v>76</v>
      </c>
      <c r="B13665" s="271"/>
      <c r="C13665" s="271"/>
      <c r="D13665" s="271"/>
      <c r="E13665" s="271"/>
      <c r="F13665" s="271"/>
      <c r="G13665" s="273"/>
      <c r="H13665" s="88" t="s">
        <v>77</v>
      </c>
      <c r="I13665" s="399" t="s">
        <v>920</v>
      </c>
      <c r="J13665" s="273"/>
      <c r="K13665" s="399" t="s">
        <v>453</v>
      </c>
      <c r="L13665" s="273"/>
      <c r="M13665" s="399" t="s">
        <v>921</v>
      </c>
      <c r="N13665" s="273"/>
    </row>
    <row r="13666" spans="1:14" ht="12.75" customHeight="1" x14ac:dyDescent="0.2">
      <c r="A13666" s="400" t="s">
        <v>927</v>
      </c>
      <c r="B13666" s="271"/>
      <c r="C13666" s="271"/>
      <c r="D13666" s="271"/>
      <c r="E13666" s="271"/>
      <c r="F13666" s="271"/>
      <c r="G13666" s="273"/>
      <c r="H13666" s="29" t="str">
        <f>IF(A13666="","",VLOOKUP(A13666,AA_Equipos,7,FALSE))</f>
        <v>% M.O.</v>
      </c>
      <c r="I13666" s="394">
        <f>+M13689</f>
        <v>0</v>
      </c>
      <c r="J13666" s="273"/>
      <c r="K13666" s="404"/>
      <c r="L13666" s="273"/>
      <c r="M13666" s="394">
        <f t="shared" ref="M13666:M13670" si="1785">IF(A13666="","",I13666*K13666)</f>
        <v>0</v>
      </c>
      <c r="N13666" s="273"/>
    </row>
    <row r="13667" spans="1:14" ht="12.75" customHeight="1" x14ac:dyDescent="0.2">
      <c r="A13667" s="403"/>
      <c r="B13667" s="271"/>
      <c r="C13667" s="271"/>
      <c r="D13667" s="271"/>
      <c r="E13667" s="271"/>
      <c r="F13667" s="271"/>
      <c r="G13667" s="273"/>
      <c r="H13667" s="29" t="str">
        <f>IF(A13667="","",VLOOKUP(A13667,AA_Equipos,7,FALSE))</f>
        <v/>
      </c>
      <c r="I13667" s="394" t="str">
        <f>IF(A13667="","",VLOOKUP(A13667,AA_Equipos,8,FALSE))</f>
        <v/>
      </c>
      <c r="J13667" s="273"/>
      <c r="K13667" s="402"/>
      <c r="L13667" s="273"/>
      <c r="M13667" s="394" t="str">
        <f t="shared" si="1785"/>
        <v/>
      </c>
      <c r="N13667" s="273"/>
    </row>
    <row r="13668" spans="1:14" ht="12.75" customHeight="1" x14ac:dyDescent="0.2">
      <c r="A13668" s="400"/>
      <c r="B13668" s="271"/>
      <c r="C13668" s="271"/>
      <c r="D13668" s="271"/>
      <c r="E13668" s="271"/>
      <c r="F13668" s="271"/>
      <c r="G13668" s="273"/>
      <c r="H13668" s="29" t="str">
        <f>IF(A13668="","",VLOOKUP(A13668,AA_Equipos,7,FALSE))</f>
        <v/>
      </c>
      <c r="I13668" s="394" t="str">
        <f>IF(A13668="","",VLOOKUP(A13668,AA_Equipos,8,FALSE))</f>
        <v/>
      </c>
      <c r="J13668" s="273"/>
      <c r="K13668" s="401"/>
      <c r="L13668" s="273"/>
      <c r="M13668" s="394" t="str">
        <f t="shared" si="1785"/>
        <v/>
      </c>
      <c r="N13668" s="273"/>
    </row>
    <row r="13669" spans="1:14" ht="12.75" customHeight="1" x14ac:dyDescent="0.2">
      <c r="A13669" s="400"/>
      <c r="B13669" s="271"/>
      <c r="C13669" s="271"/>
      <c r="D13669" s="271"/>
      <c r="E13669" s="271"/>
      <c r="F13669" s="271"/>
      <c r="G13669" s="273"/>
      <c r="H13669" s="29" t="str">
        <f>IF(A13669="","",VLOOKUP(A13669,AA_Equipos,7,FALSE))</f>
        <v/>
      </c>
      <c r="I13669" s="394" t="str">
        <f>IF(A13669="","",VLOOKUP(A13669,AA_Equipos,8,FALSE))</f>
        <v/>
      </c>
      <c r="J13669" s="273"/>
      <c r="K13669" s="395"/>
      <c r="L13669" s="273"/>
      <c r="M13669" s="394" t="str">
        <f t="shared" si="1785"/>
        <v/>
      </c>
      <c r="N13669" s="273"/>
    </row>
    <row r="13670" spans="1:14" ht="12.75" customHeight="1" x14ac:dyDescent="0.2">
      <c r="A13670" s="400"/>
      <c r="B13670" s="271"/>
      <c r="C13670" s="271"/>
      <c r="D13670" s="271"/>
      <c r="E13670" s="271"/>
      <c r="F13670" s="271"/>
      <c r="G13670" s="273"/>
      <c r="H13670" s="29" t="str">
        <f>IF(A13670="","",VLOOKUP(A13670,AA_Equipos,7,FALSE))</f>
        <v/>
      </c>
      <c r="I13670" s="394" t="str">
        <f>IF(A13670="","",VLOOKUP(A13670,AA_Equipos,8,FALSE))</f>
        <v/>
      </c>
      <c r="J13670" s="273"/>
      <c r="K13670" s="395"/>
      <c r="L13670" s="273"/>
      <c r="M13670" s="394" t="str">
        <f t="shared" si="1785"/>
        <v/>
      </c>
      <c r="N13670" s="273"/>
    </row>
    <row r="13671" spans="1:14" ht="12.75" customHeight="1" x14ac:dyDescent="0.25">
      <c r="A13671" s="4"/>
      <c r="B13671" s="4"/>
      <c r="C13671" s="4"/>
      <c r="D13671" s="4"/>
      <c r="E13671" s="4"/>
      <c r="F13671" s="4"/>
      <c r="G13671" s="4"/>
      <c r="H13671" s="4"/>
      <c r="I13671" s="4"/>
      <c r="J13671" s="4"/>
      <c r="K13671" s="396" t="s">
        <v>444</v>
      </c>
      <c r="L13671" s="273"/>
      <c r="M13671" s="394">
        <f>SUM(M13666:N13670)</f>
        <v>0</v>
      </c>
      <c r="N13671" s="273"/>
    </row>
    <row r="13672" spans="1:14" ht="12.75" customHeight="1" x14ac:dyDescent="0.25">
      <c r="A13672" s="4"/>
      <c r="B13672" s="4"/>
      <c r="C13672" s="4"/>
      <c r="D13672" s="4"/>
      <c r="E13672" s="4"/>
      <c r="F13672" s="4"/>
      <c r="G13672" s="4"/>
      <c r="H13672" s="4"/>
      <c r="I13672" s="4"/>
      <c r="J13672" s="4"/>
      <c r="K13672" s="4"/>
      <c r="L13672" s="4"/>
      <c r="M13672" s="4"/>
      <c r="N13672" s="4"/>
    </row>
    <row r="13673" spans="1:14" ht="12.75" customHeight="1" x14ac:dyDescent="0.2">
      <c r="A13673" s="398" t="s">
        <v>929</v>
      </c>
      <c r="B13673" s="271"/>
      <c r="C13673" s="271"/>
      <c r="D13673" s="271"/>
      <c r="E13673" s="271"/>
      <c r="F13673" s="271"/>
      <c r="G13673" s="271"/>
      <c r="H13673" s="271"/>
      <c r="I13673" s="271"/>
      <c r="J13673" s="271"/>
      <c r="K13673" s="271"/>
      <c r="L13673" s="271"/>
      <c r="M13673" s="271"/>
      <c r="N13673" s="273"/>
    </row>
    <row r="13674" spans="1:14" ht="12.75" customHeight="1" x14ac:dyDescent="0.2">
      <c r="A13674" s="396" t="s">
        <v>76</v>
      </c>
      <c r="B13674" s="271"/>
      <c r="C13674" s="271"/>
      <c r="D13674" s="271"/>
      <c r="E13674" s="271"/>
      <c r="F13674" s="271"/>
      <c r="G13674" s="273"/>
      <c r="H13674" s="88" t="s">
        <v>77</v>
      </c>
      <c r="I13674" s="399" t="s">
        <v>920</v>
      </c>
      <c r="J13674" s="273"/>
      <c r="K13674" s="399" t="s">
        <v>453</v>
      </c>
      <c r="L13674" s="273"/>
      <c r="M13674" s="399" t="s">
        <v>921</v>
      </c>
      <c r="N13674" s="273"/>
    </row>
    <row r="13675" spans="1:14" ht="12.75" customHeight="1" x14ac:dyDescent="0.2">
      <c r="A13675" s="400" t="s">
        <v>960</v>
      </c>
      <c r="B13675" s="271"/>
      <c r="C13675" s="271"/>
      <c r="D13675" s="271"/>
      <c r="E13675" s="271"/>
      <c r="F13675" s="271"/>
      <c r="G13675" s="273"/>
      <c r="H13675" s="29" t="s">
        <v>950</v>
      </c>
      <c r="I13675" s="394">
        <f>+M13662</f>
        <v>0</v>
      </c>
      <c r="J13675" s="273"/>
      <c r="K13675" s="404"/>
      <c r="L13675" s="273"/>
      <c r="M13675" s="394">
        <f t="shared" ref="M13675:M13679" si="1786">IF(A13675="","",I13675*K13675)</f>
        <v>0</v>
      </c>
      <c r="N13675" s="273"/>
    </row>
    <row r="13676" spans="1:14" ht="12.75" customHeight="1" x14ac:dyDescent="0.2">
      <c r="A13676" s="403"/>
      <c r="B13676" s="271"/>
      <c r="C13676" s="271"/>
      <c r="D13676" s="271"/>
      <c r="E13676" s="271"/>
      <c r="F13676" s="271"/>
      <c r="G13676" s="273"/>
      <c r="H13676" s="29"/>
      <c r="I13676" s="394"/>
      <c r="J13676" s="273"/>
      <c r="K13676" s="404"/>
      <c r="L13676" s="273"/>
      <c r="M13676" s="394" t="str">
        <f t="shared" si="1786"/>
        <v/>
      </c>
      <c r="N13676" s="273"/>
    </row>
    <row r="13677" spans="1:14" ht="12.75" customHeight="1" x14ac:dyDescent="0.2">
      <c r="A13677" s="400"/>
      <c r="B13677" s="271"/>
      <c r="C13677" s="271"/>
      <c r="D13677" s="271"/>
      <c r="E13677" s="271"/>
      <c r="F13677" s="271"/>
      <c r="G13677" s="273"/>
      <c r="H13677" s="29"/>
      <c r="I13677" s="394"/>
      <c r="J13677" s="273"/>
      <c r="K13677" s="395"/>
      <c r="L13677" s="273"/>
      <c r="M13677" s="394" t="str">
        <f t="shared" si="1786"/>
        <v/>
      </c>
      <c r="N13677" s="273"/>
    </row>
    <row r="13678" spans="1:14" ht="12.75" customHeight="1" x14ac:dyDescent="0.2">
      <c r="A13678" s="400"/>
      <c r="B13678" s="271"/>
      <c r="C13678" s="271"/>
      <c r="D13678" s="271"/>
      <c r="E13678" s="271"/>
      <c r="F13678" s="271"/>
      <c r="G13678" s="273"/>
      <c r="H13678" s="29"/>
      <c r="I13678" s="394"/>
      <c r="J13678" s="273"/>
      <c r="K13678" s="395"/>
      <c r="L13678" s="273"/>
      <c r="M13678" s="394" t="str">
        <f t="shared" si="1786"/>
        <v/>
      </c>
      <c r="N13678" s="273"/>
    </row>
    <row r="13679" spans="1:14" ht="12.75" customHeight="1" x14ac:dyDescent="0.2">
      <c r="A13679" s="400"/>
      <c r="B13679" s="271"/>
      <c r="C13679" s="271"/>
      <c r="D13679" s="271"/>
      <c r="E13679" s="271"/>
      <c r="F13679" s="271"/>
      <c r="G13679" s="273"/>
      <c r="H13679" s="29"/>
      <c r="I13679" s="394"/>
      <c r="J13679" s="273"/>
      <c r="K13679" s="395"/>
      <c r="L13679" s="273"/>
      <c r="M13679" s="394" t="str">
        <f t="shared" si="1786"/>
        <v/>
      </c>
      <c r="N13679" s="273"/>
    </row>
    <row r="13680" spans="1:14" ht="12.75" customHeight="1" x14ac:dyDescent="0.25">
      <c r="A13680" s="4"/>
      <c r="B13680" s="4"/>
      <c r="C13680" s="4"/>
      <c r="D13680" s="4"/>
      <c r="E13680" s="4"/>
      <c r="F13680" s="4"/>
      <c r="G13680" s="4"/>
      <c r="H13680" s="4"/>
      <c r="I13680" s="4"/>
      <c r="J13680" s="4"/>
      <c r="K13680" s="396" t="s">
        <v>444</v>
      </c>
      <c r="L13680" s="273"/>
      <c r="M13680" s="394">
        <f>SUM(M13675:N13679)</f>
        <v>0</v>
      </c>
      <c r="N13680" s="273"/>
    </row>
    <row r="13681" spans="1:14" ht="12.75" customHeight="1" x14ac:dyDescent="0.25">
      <c r="A13681" s="4"/>
      <c r="B13681" s="4"/>
      <c r="C13681" s="4"/>
      <c r="D13681" s="4"/>
      <c r="E13681" s="4"/>
      <c r="F13681" s="4"/>
      <c r="G13681" s="4"/>
      <c r="H13681" s="4"/>
      <c r="I13681" s="4"/>
      <c r="J13681" s="4"/>
      <c r="K13681" s="4"/>
      <c r="L13681" s="4"/>
      <c r="M13681" s="4"/>
      <c r="N13681" s="4"/>
    </row>
    <row r="13682" spans="1:14" ht="12.75" customHeight="1" x14ac:dyDescent="0.2">
      <c r="A13682" s="398" t="s">
        <v>931</v>
      </c>
      <c r="B13682" s="271"/>
      <c r="C13682" s="271"/>
      <c r="D13682" s="271"/>
      <c r="E13682" s="271"/>
      <c r="F13682" s="271"/>
      <c r="G13682" s="271"/>
      <c r="H13682" s="271"/>
      <c r="I13682" s="271"/>
      <c r="J13682" s="271"/>
      <c r="K13682" s="271"/>
      <c r="L13682" s="271"/>
      <c r="M13682" s="271"/>
      <c r="N13682" s="273"/>
    </row>
    <row r="13683" spans="1:14" ht="12.75" customHeight="1" x14ac:dyDescent="0.2">
      <c r="A13683" s="396" t="s">
        <v>76</v>
      </c>
      <c r="B13683" s="271"/>
      <c r="C13683" s="271"/>
      <c r="D13683" s="271"/>
      <c r="E13683" s="271"/>
      <c r="F13683" s="271"/>
      <c r="G13683" s="273"/>
      <c r="H13683" s="88" t="s">
        <v>77</v>
      </c>
      <c r="I13683" s="399" t="s">
        <v>920</v>
      </c>
      <c r="J13683" s="273"/>
      <c r="K13683" s="90" t="s">
        <v>514</v>
      </c>
      <c r="L13683" s="91" t="s">
        <v>932</v>
      </c>
      <c r="M13683" s="399" t="s">
        <v>921</v>
      </c>
      <c r="N13683" s="273"/>
    </row>
    <row r="13684" spans="1:14" ht="12.75" customHeight="1" x14ac:dyDescent="0.25">
      <c r="A13684" s="393" t="s">
        <v>986</v>
      </c>
      <c r="B13684" s="271"/>
      <c r="C13684" s="271"/>
      <c r="D13684" s="271"/>
      <c r="E13684" s="271"/>
      <c r="F13684" s="271"/>
      <c r="G13684" s="273"/>
      <c r="H13684" s="29" t="str">
        <f>IF(A13684="","",VLOOKUP(A13684,AA_Cuadrillas,4,FALSE))</f>
        <v>Cuadrilla</v>
      </c>
      <c r="I13684" s="394">
        <f>IF(A13684="","",VLOOKUP(A13684,AA_Cuadrillas,5,FALSE))</f>
        <v>186763</v>
      </c>
      <c r="J13684" s="273"/>
      <c r="K13684" s="9">
        <f>IF(A13684="","",F.P!$I$2)</f>
        <v>1.88</v>
      </c>
      <c r="L13684" s="97"/>
      <c r="M13684" s="394">
        <f t="shared" ref="M13684:M13688" si="1787">IF(A13684="","",I13684*K13684*L13684)</f>
        <v>0</v>
      </c>
      <c r="N13684" s="273"/>
    </row>
    <row r="13685" spans="1:14" ht="12.75" customHeight="1" x14ac:dyDescent="0.25">
      <c r="A13685" s="393"/>
      <c r="B13685" s="271"/>
      <c r="C13685" s="271"/>
      <c r="D13685" s="271"/>
      <c r="E13685" s="271"/>
      <c r="F13685" s="271"/>
      <c r="G13685" s="273"/>
      <c r="H13685" s="29" t="str">
        <f>IF(A13685="","",VLOOKUP(A13685,AA_Cuadrillas,4,FALSE))</f>
        <v/>
      </c>
      <c r="I13685" s="394" t="str">
        <f>IF(A13685="","",VLOOKUP(A13685,AA_Cuadrillas,5,FALSE))</f>
        <v/>
      </c>
      <c r="J13685" s="273"/>
      <c r="K13685" s="9" t="str">
        <f>IF(A13685="","",F.P!$I$2)</f>
        <v/>
      </c>
      <c r="L13685" s="9"/>
      <c r="M13685" s="394" t="str">
        <f t="shared" si="1787"/>
        <v/>
      </c>
      <c r="N13685" s="273"/>
    </row>
    <row r="13686" spans="1:14" ht="12.75" customHeight="1" x14ac:dyDescent="0.25">
      <c r="A13686" s="393"/>
      <c r="B13686" s="271"/>
      <c r="C13686" s="271"/>
      <c r="D13686" s="271"/>
      <c r="E13686" s="271"/>
      <c r="F13686" s="271"/>
      <c r="G13686" s="273"/>
      <c r="H13686" s="29" t="str">
        <f>IF(A13686="","",VLOOKUP(A13686,AA_Cuadrillas,4,FALSE))</f>
        <v/>
      </c>
      <c r="I13686" s="394" t="str">
        <f>IF(A13686="","",VLOOKUP(A13686,AA_Cuadrillas,5,FALSE))</f>
        <v/>
      </c>
      <c r="J13686" s="273"/>
      <c r="K13686" s="9" t="str">
        <f>IF(A13686="","",F.P!$I$2)</f>
        <v/>
      </c>
      <c r="L13686" s="37"/>
      <c r="M13686" s="394" t="str">
        <f t="shared" si="1787"/>
        <v/>
      </c>
      <c r="N13686" s="273"/>
    </row>
    <row r="13687" spans="1:14" ht="12.75" customHeight="1" x14ac:dyDescent="0.25">
      <c r="A13687" s="393"/>
      <c r="B13687" s="271"/>
      <c r="C13687" s="271"/>
      <c r="D13687" s="271"/>
      <c r="E13687" s="271"/>
      <c r="F13687" s="271"/>
      <c r="G13687" s="273"/>
      <c r="H13687" s="29" t="str">
        <f>IF(A13687="","",VLOOKUP(A13687,AA_Cuadrillas,4,FALSE))</f>
        <v/>
      </c>
      <c r="I13687" s="394" t="str">
        <f>IF(A13687="","",VLOOKUP(A13687,AA_Cuadrillas,5,FALSE))</f>
        <v/>
      </c>
      <c r="J13687" s="273"/>
      <c r="K13687" s="9" t="str">
        <f>IF(A13687="","",F.P!$I$2)</f>
        <v/>
      </c>
      <c r="L13687" s="37"/>
      <c r="M13687" s="394" t="str">
        <f t="shared" si="1787"/>
        <v/>
      </c>
      <c r="N13687" s="273"/>
    </row>
    <row r="13688" spans="1:14" ht="12.75" customHeight="1" x14ac:dyDescent="0.25">
      <c r="A13688" s="393"/>
      <c r="B13688" s="271"/>
      <c r="C13688" s="271"/>
      <c r="D13688" s="271"/>
      <c r="E13688" s="271"/>
      <c r="F13688" s="271"/>
      <c r="G13688" s="273"/>
      <c r="H13688" s="29" t="str">
        <f>IF(A13688="","",VLOOKUP(A13688,AA_Cuadrillas,4,FALSE))</f>
        <v/>
      </c>
      <c r="I13688" s="394" t="str">
        <f>IF(A13688="","",VLOOKUP(A13688,AA_Cuadrillas,5,FALSE))</f>
        <v/>
      </c>
      <c r="J13688" s="273"/>
      <c r="K13688" s="9" t="str">
        <f>IF(A13688="","",F.P!$I$2)</f>
        <v/>
      </c>
      <c r="L13688" s="37"/>
      <c r="M13688" s="394" t="str">
        <f t="shared" si="1787"/>
        <v/>
      </c>
      <c r="N13688" s="273"/>
    </row>
    <row r="13689" spans="1:14" ht="12.75" customHeight="1" x14ac:dyDescent="0.25">
      <c r="A13689" s="4"/>
      <c r="B13689" s="4"/>
      <c r="C13689" s="4"/>
      <c r="D13689" s="4"/>
      <c r="E13689" s="4"/>
      <c r="F13689" s="4"/>
      <c r="G13689" s="4"/>
      <c r="H13689" s="4"/>
      <c r="I13689" s="4"/>
      <c r="J13689" s="4"/>
      <c r="K13689" s="396" t="s">
        <v>444</v>
      </c>
      <c r="L13689" s="273"/>
      <c r="M13689" s="394">
        <f>SUM(M13684:N13688)</f>
        <v>0</v>
      </c>
      <c r="N13689" s="273"/>
    </row>
    <row r="13690" spans="1:14" ht="12.75" customHeight="1" x14ac:dyDescent="0.2"/>
    <row r="13691" spans="1:14" ht="12.75" customHeight="1" x14ac:dyDescent="0.2">
      <c r="A13691" s="397" t="s">
        <v>216</v>
      </c>
      <c r="B13691" s="275"/>
      <c r="C13691" s="275"/>
      <c r="D13691" s="275"/>
      <c r="E13691" s="275"/>
      <c r="F13691" s="275"/>
      <c r="G13691" s="275"/>
      <c r="H13691" s="275"/>
      <c r="I13691" s="275"/>
      <c r="J13691" s="275"/>
      <c r="K13691" s="275"/>
      <c r="L13691" s="275"/>
      <c r="M13691" s="275"/>
      <c r="N13691" s="276"/>
    </row>
    <row r="13692" spans="1:14" ht="12.75" customHeight="1" x14ac:dyDescent="0.2">
      <c r="A13692" s="277"/>
      <c r="B13692" s="278"/>
      <c r="C13692" s="278"/>
      <c r="D13692" s="278"/>
      <c r="E13692" s="278"/>
      <c r="F13692" s="278"/>
      <c r="G13692" s="278"/>
      <c r="H13692" s="278"/>
      <c r="I13692" s="278"/>
      <c r="J13692" s="278"/>
      <c r="K13692" s="278"/>
      <c r="L13692" s="278"/>
      <c r="M13692" s="278"/>
      <c r="N13692" s="279"/>
    </row>
    <row r="13693" spans="1:14" ht="12.75" customHeight="1" x14ac:dyDescent="0.2">
      <c r="A13693" s="75"/>
      <c r="B13693" s="75"/>
      <c r="C13693" s="75"/>
      <c r="D13693" s="75"/>
      <c r="E13693" s="75"/>
      <c r="F13693" s="75"/>
      <c r="G13693" s="75"/>
      <c r="H13693" s="75"/>
      <c r="I13693" s="75"/>
      <c r="J13693" s="75"/>
      <c r="K13693" s="75"/>
      <c r="L13693" s="75"/>
      <c r="M13693" s="75"/>
      <c r="N13693" s="75"/>
    </row>
    <row r="13694" spans="1:14" ht="12.75" customHeight="1" x14ac:dyDescent="0.3">
      <c r="A13694" s="79" t="s">
        <v>912</v>
      </c>
      <c r="B13694" s="80" t="str">
        <f>A13691</f>
        <v>KIT DE TUBERIA DE SALIDA PARA RECOLECCIÓN DE AGUA FILTRADA PROVENIENTE DE LOS LECOS DE SECADO (INCLUYE CODO, TUBERÍA NOVAFORT PARA DESAGÜE, HERRAMIENTA MENOR, MATERIALES Y MANO DE OBRA)</v>
      </c>
      <c r="C13694" s="81" t="s">
        <v>916</v>
      </c>
      <c r="D13694" s="82" t="s">
        <v>999</v>
      </c>
      <c r="E13694" s="83" t="s">
        <v>445</v>
      </c>
      <c r="F13694" s="86">
        <f>H13694+J13694+L13694+N13694</f>
        <v>984836.18099999998</v>
      </c>
      <c r="G13694" s="83" t="s">
        <v>607</v>
      </c>
      <c r="H13694" s="86">
        <f>M13713</f>
        <v>8777.8610000000008</v>
      </c>
      <c r="I13694" s="83" t="s">
        <v>918</v>
      </c>
      <c r="J13694" s="86">
        <f>M13704</f>
        <v>762382</v>
      </c>
      <c r="K13694" s="83" t="s">
        <v>609</v>
      </c>
      <c r="L13694" s="86">
        <f>M13722</f>
        <v>38119.1</v>
      </c>
      <c r="M13694" s="83" t="s">
        <v>610</v>
      </c>
      <c r="N13694" s="86">
        <f>M13731</f>
        <v>175557.22</v>
      </c>
    </row>
    <row r="13695" spans="1:14" ht="12.75" customHeight="1" x14ac:dyDescent="0.25">
      <c r="A13695" s="87"/>
      <c r="B13695" s="87"/>
      <c r="C13695" s="87"/>
      <c r="D13695" s="87"/>
      <c r="E13695" s="87"/>
      <c r="F13695" s="87"/>
      <c r="G13695" s="87"/>
      <c r="H13695" s="12"/>
      <c r="I13695" s="12"/>
      <c r="J13695" s="87"/>
      <c r="K13695" s="215" t="s">
        <v>3217</v>
      </c>
      <c r="L13695" s="215">
        <f>+F13694*presup!$O$5</f>
        <v>1280287.0353000001</v>
      </c>
      <c r="M13695" s="87"/>
      <c r="N13695" s="87"/>
    </row>
    <row r="13696" spans="1:14" ht="12.75" customHeight="1" x14ac:dyDescent="0.2">
      <c r="A13696" s="398" t="s">
        <v>919</v>
      </c>
      <c r="B13696" s="271"/>
      <c r="C13696" s="271"/>
      <c r="D13696" s="271"/>
      <c r="E13696" s="271"/>
      <c r="F13696" s="271"/>
      <c r="G13696" s="271"/>
      <c r="H13696" s="271"/>
      <c r="I13696" s="271"/>
      <c r="J13696" s="271"/>
      <c r="K13696" s="271"/>
      <c r="L13696" s="271"/>
      <c r="M13696" s="271"/>
      <c r="N13696" s="273"/>
    </row>
    <row r="13697" spans="1:14" ht="12.75" customHeight="1" x14ac:dyDescent="0.2">
      <c r="A13697" s="396" t="s">
        <v>76</v>
      </c>
      <c r="B13697" s="271"/>
      <c r="C13697" s="271"/>
      <c r="D13697" s="271"/>
      <c r="E13697" s="271"/>
      <c r="F13697" s="271"/>
      <c r="G13697" s="273"/>
      <c r="H13697" s="88" t="s">
        <v>77</v>
      </c>
      <c r="I13697" s="399" t="s">
        <v>920</v>
      </c>
      <c r="J13697" s="273"/>
      <c r="K13697" s="399" t="s">
        <v>453</v>
      </c>
      <c r="L13697" s="273"/>
      <c r="M13697" s="399" t="s">
        <v>921</v>
      </c>
      <c r="N13697" s="273"/>
    </row>
    <row r="13698" spans="1:14" ht="12.75" customHeight="1" x14ac:dyDescent="0.2">
      <c r="A13698" s="403" t="s">
        <v>1228</v>
      </c>
      <c r="B13698" s="271"/>
      <c r="C13698" s="271"/>
      <c r="D13698" s="271"/>
      <c r="E13698" s="271"/>
      <c r="F13698" s="271"/>
      <c r="G13698" s="273"/>
      <c r="H13698" s="29" t="str">
        <f t="shared" ref="H13698:H13703" si="1788">IF(A13698="","",VLOOKUP(A13698,AA_Materiales,7,FALSE))</f>
        <v>Unidad</v>
      </c>
      <c r="I13698" s="394">
        <f t="shared" ref="I13698:I13703" si="1789">IF(A13698="","",VLOOKUP(A13698,AA_Materiales,8,FALSE))</f>
        <v>195397</v>
      </c>
      <c r="J13698" s="273"/>
      <c r="K13698" s="395">
        <v>1</v>
      </c>
      <c r="L13698" s="273"/>
      <c r="M13698" s="394">
        <f t="shared" ref="M13698:M13703" si="1790">IF(A13698="","",I13698*K13698)</f>
        <v>195397</v>
      </c>
      <c r="N13698" s="273"/>
    </row>
    <row r="13699" spans="1:14" ht="12.75" customHeight="1" x14ac:dyDescent="0.2">
      <c r="A13699" s="403" t="s">
        <v>1347</v>
      </c>
      <c r="B13699" s="271"/>
      <c r="C13699" s="271"/>
      <c r="D13699" s="271"/>
      <c r="E13699" s="271"/>
      <c r="F13699" s="271"/>
      <c r="G13699" s="273"/>
      <c r="H13699" s="29" t="str">
        <f t="shared" si="1788"/>
        <v>ml</v>
      </c>
      <c r="I13699" s="394">
        <f t="shared" si="1789"/>
        <v>26984</v>
      </c>
      <c r="J13699" s="273"/>
      <c r="K13699" s="395">
        <v>20</v>
      </c>
      <c r="L13699" s="273"/>
      <c r="M13699" s="394">
        <f t="shared" si="1790"/>
        <v>539680</v>
      </c>
      <c r="N13699" s="273"/>
    </row>
    <row r="13700" spans="1:14" ht="12.75" customHeight="1" x14ac:dyDescent="0.2">
      <c r="A13700" s="403" t="s">
        <v>984</v>
      </c>
      <c r="B13700" s="271"/>
      <c r="C13700" s="271"/>
      <c r="D13700" s="271"/>
      <c r="E13700" s="271"/>
      <c r="F13700" s="271"/>
      <c r="G13700" s="273"/>
      <c r="H13700" s="29" t="str">
        <f t="shared" si="1788"/>
        <v>Galón</v>
      </c>
      <c r="I13700" s="394">
        <f t="shared" si="1789"/>
        <v>80900</v>
      </c>
      <c r="J13700" s="273"/>
      <c r="K13700" s="395">
        <v>0.25</v>
      </c>
      <c r="L13700" s="273"/>
      <c r="M13700" s="394">
        <f t="shared" si="1790"/>
        <v>20225</v>
      </c>
      <c r="N13700" s="273"/>
    </row>
    <row r="13701" spans="1:14" ht="12.75" customHeight="1" x14ac:dyDescent="0.2">
      <c r="A13701" s="403" t="s">
        <v>985</v>
      </c>
      <c r="B13701" s="271"/>
      <c r="C13701" s="271"/>
      <c r="D13701" s="271"/>
      <c r="E13701" s="271"/>
      <c r="F13701" s="271"/>
      <c r="G13701" s="273"/>
      <c r="H13701" s="29" t="str">
        <f t="shared" si="1788"/>
        <v>Galón</v>
      </c>
      <c r="I13701" s="394">
        <f t="shared" si="1789"/>
        <v>47200</v>
      </c>
      <c r="J13701" s="273"/>
      <c r="K13701" s="395">
        <v>0.15</v>
      </c>
      <c r="L13701" s="273"/>
      <c r="M13701" s="394">
        <f t="shared" si="1790"/>
        <v>7080</v>
      </c>
      <c r="N13701" s="273"/>
    </row>
    <row r="13702" spans="1:14" ht="12.75" customHeight="1" x14ac:dyDescent="0.2">
      <c r="A13702" s="403"/>
      <c r="B13702" s="271"/>
      <c r="C13702" s="271"/>
      <c r="D13702" s="271"/>
      <c r="E13702" s="271"/>
      <c r="F13702" s="271"/>
      <c r="G13702" s="273"/>
      <c r="H13702" s="29" t="str">
        <f t="shared" si="1788"/>
        <v/>
      </c>
      <c r="I13702" s="394" t="str">
        <f t="shared" si="1789"/>
        <v/>
      </c>
      <c r="J13702" s="273"/>
      <c r="K13702" s="395"/>
      <c r="L13702" s="273"/>
      <c r="M13702" s="394" t="str">
        <f t="shared" si="1790"/>
        <v/>
      </c>
      <c r="N13702" s="273"/>
    </row>
    <row r="13703" spans="1:14" ht="12.75" customHeight="1" x14ac:dyDescent="0.2">
      <c r="A13703" s="403"/>
      <c r="B13703" s="271"/>
      <c r="C13703" s="271"/>
      <c r="D13703" s="271"/>
      <c r="E13703" s="271"/>
      <c r="F13703" s="271"/>
      <c r="G13703" s="273"/>
      <c r="H13703" s="29" t="str">
        <f t="shared" si="1788"/>
        <v/>
      </c>
      <c r="I13703" s="394" t="str">
        <f t="shared" si="1789"/>
        <v/>
      </c>
      <c r="J13703" s="273"/>
      <c r="K13703" s="395"/>
      <c r="L13703" s="273"/>
      <c r="M13703" s="394" t="str">
        <f t="shared" si="1790"/>
        <v/>
      </c>
      <c r="N13703" s="273"/>
    </row>
    <row r="13704" spans="1:14" ht="12.75" customHeight="1" x14ac:dyDescent="0.25">
      <c r="A13704" s="4"/>
      <c r="B13704" s="4"/>
      <c r="C13704" s="4"/>
      <c r="D13704" s="4"/>
      <c r="E13704" s="4"/>
      <c r="F13704" s="4"/>
      <c r="G13704" s="4"/>
      <c r="H13704" s="4"/>
      <c r="I13704" s="4"/>
      <c r="J13704" s="4"/>
      <c r="K13704" s="396" t="s">
        <v>444</v>
      </c>
      <c r="L13704" s="273"/>
      <c r="M13704" s="394">
        <f>SUM(M13698:N13703)</f>
        <v>762382</v>
      </c>
      <c r="N13704" s="273"/>
    </row>
    <row r="13705" spans="1:14" ht="12.75" customHeight="1" x14ac:dyDescent="0.25">
      <c r="A13705" s="4"/>
      <c r="B13705" s="4"/>
      <c r="C13705" s="4"/>
      <c r="D13705" s="4"/>
      <c r="E13705" s="4"/>
      <c r="F13705" s="4"/>
      <c r="G13705" s="4"/>
      <c r="H13705" s="4"/>
      <c r="I13705" s="4"/>
      <c r="J13705" s="4"/>
      <c r="K13705" s="4"/>
      <c r="L13705" s="4"/>
      <c r="M13705" s="4"/>
      <c r="N13705" s="4"/>
    </row>
    <row r="13706" spans="1:14" ht="12.75" customHeight="1" x14ac:dyDescent="0.2">
      <c r="A13706" s="398" t="s">
        <v>926</v>
      </c>
      <c r="B13706" s="271"/>
      <c r="C13706" s="271"/>
      <c r="D13706" s="271"/>
      <c r="E13706" s="271"/>
      <c r="F13706" s="271"/>
      <c r="G13706" s="271"/>
      <c r="H13706" s="271"/>
      <c r="I13706" s="271"/>
      <c r="J13706" s="271"/>
      <c r="K13706" s="271"/>
      <c r="L13706" s="271"/>
      <c r="M13706" s="271"/>
      <c r="N13706" s="273"/>
    </row>
    <row r="13707" spans="1:14" ht="12.75" customHeight="1" x14ac:dyDescent="0.2">
      <c r="A13707" s="396" t="s">
        <v>76</v>
      </c>
      <c r="B13707" s="271"/>
      <c r="C13707" s="271"/>
      <c r="D13707" s="271"/>
      <c r="E13707" s="271"/>
      <c r="F13707" s="271"/>
      <c r="G13707" s="273"/>
      <c r="H13707" s="88" t="s">
        <v>77</v>
      </c>
      <c r="I13707" s="399" t="s">
        <v>920</v>
      </c>
      <c r="J13707" s="273"/>
      <c r="K13707" s="399" t="s">
        <v>453</v>
      </c>
      <c r="L13707" s="273"/>
      <c r="M13707" s="399" t="s">
        <v>921</v>
      </c>
      <c r="N13707" s="273"/>
    </row>
    <row r="13708" spans="1:14" ht="12.75" customHeight="1" x14ac:dyDescent="0.2">
      <c r="A13708" s="400" t="s">
        <v>927</v>
      </c>
      <c r="B13708" s="271"/>
      <c r="C13708" s="271"/>
      <c r="D13708" s="271"/>
      <c r="E13708" s="271"/>
      <c r="F13708" s="271"/>
      <c r="G13708" s="273"/>
      <c r="H13708" s="29" t="str">
        <f>IF(A13708="","",VLOOKUP(A13708,AA_Equipos,7,FALSE))</f>
        <v>% M.O.</v>
      </c>
      <c r="I13708" s="394">
        <f>+M13731</f>
        <v>175557.22</v>
      </c>
      <c r="J13708" s="273"/>
      <c r="K13708" s="404">
        <v>0.05</v>
      </c>
      <c r="L13708" s="273"/>
      <c r="M13708" s="394">
        <f t="shared" ref="M13708:M13712" si="1791">IF(A13708="","",I13708*K13708)</f>
        <v>8777.8610000000008</v>
      </c>
      <c r="N13708" s="273"/>
    </row>
    <row r="13709" spans="1:14" ht="12.75" customHeight="1" x14ac:dyDescent="0.2">
      <c r="A13709" s="403"/>
      <c r="B13709" s="271"/>
      <c r="C13709" s="271"/>
      <c r="D13709" s="271"/>
      <c r="E13709" s="271"/>
      <c r="F13709" s="271"/>
      <c r="G13709" s="273"/>
      <c r="H13709" s="29" t="str">
        <f>IF(A13709="","",VLOOKUP(A13709,AA_Equipos,7,FALSE))</f>
        <v/>
      </c>
      <c r="I13709" s="394" t="str">
        <f>IF(A13709="","",VLOOKUP(A13709,AA_Equipos,8,FALSE))</f>
        <v/>
      </c>
      <c r="J13709" s="273"/>
      <c r="K13709" s="402"/>
      <c r="L13709" s="273"/>
      <c r="M13709" s="394" t="str">
        <f t="shared" si="1791"/>
        <v/>
      </c>
      <c r="N13709" s="273"/>
    </row>
    <row r="13710" spans="1:14" ht="12.75" customHeight="1" x14ac:dyDescent="0.2">
      <c r="A13710" s="400"/>
      <c r="B13710" s="271"/>
      <c r="C13710" s="271"/>
      <c r="D13710" s="271"/>
      <c r="E13710" s="271"/>
      <c r="F13710" s="271"/>
      <c r="G13710" s="273"/>
      <c r="H13710" s="29" t="str">
        <f>IF(A13710="","",VLOOKUP(A13710,AA_Equipos,7,FALSE))</f>
        <v/>
      </c>
      <c r="I13710" s="394" t="str">
        <f>IF(A13710="","",VLOOKUP(A13710,AA_Equipos,8,FALSE))</f>
        <v/>
      </c>
      <c r="J13710" s="273"/>
      <c r="K13710" s="401"/>
      <c r="L13710" s="273"/>
      <c r="M13710" s="394" t="str">
        <f t="shared" si="1791"/>
        <v/>
      </c>
      <c r="N13710" s="273"/>
    </row>
    <row r="13711" spans="1:14" ht="12.75" customHeight="1" x14ac:dyDescent="0.2">
      <c r="A13711" s="400"/>
      <c r="B13711" s="271"/>
      <c r="C13711" s="271"/>
      <c r="D13711" s="271"/>
      <c r="E13711" s="271"/>
      <c r="F13711" s="271"/>
      <c r="G13711" s="273"/>
      <c r="H13711" s="29" t="str">
        <f>IF(A13711="","",VLOOKUP(A13711,AA_Equipos,7,FALSE))</f>
        <v/>
      </c>
      <c r="I13711" s="394" t="str">
        <f>IF(A13711="","",VLOOKUP(A13711,AA_Equipos,8,FALSE))</f>
        <v/>
      </c>
      <c r="J13711" s="273"/>
      <c r="K13711" s="395"/>
      <c r="L13711" s="273"/>
      <c r="M13711" s="394" t="str">
        <f t="shared" si="1791"/>
        <v/>
      </c>
      <c r="N13711" s="273"/>
    </row>
    <row r="13712" spans="1:14" ht="12.75" customHeight="1" x14ac:dyDescent="0.2">
      <c r="A13712" s="400"/>
      <c r="B13712" s="271"/>
      <c r="C13712" s="271"/>
      <c r="D13712" s="271"/>
      <c r="E13712" s="271"/>
      <c r="F13712" s="271"/>
      <c r="G13712" s="273"/>
      <c r="H13712" s="29" t="str">
        <f>IF(A13712="","",VLOOKUP(A13712,AA_Equipos,7,FALSE))</f>
        <v/>
      </c>
      <c r="I13712" s="394" t="str">
        <f>IF(A13712="","",VLOOKUP(A13712,AA_Equipos,8,FALSE))</f>
        <v/>
      </c>
      <c r="J13712" s="273"/>
      <c r="K13712" s="395"/>
      <c r="L13712" s="273"/>
      <c r="M13712" s="394" t="str">
        <f t="shared" si="1791"/>
        <v/>
      </c>
      <c r="N13712" s="273"/>
    </row>
    <row r="13713" spans="1:14" ht="12.75" customHeight="1" x14ac:dyDescent="0.25">
      <c r="A13713" s="4"/>
      <c r="B13713" s="4"/>
      <c r="C13713" s="4"/>
      <c r="D13713" s="4"/>
      <c r="E13713" s="4"/>
      <c r="F13713" s="4"/>
      <c r="G13713" s="4"/>
      <c r="H13713" s="4"/>
      <c r="I13713" s="4"/>
      <c r="J13713" s="4"/>
      <c r="K13713" s="396" t="s">
        <v>444</v>
      </c>
      <c r="L13713" s="273"/>
      <c r="M13713" s="394">
        <f>SUM(M13708:N13712)</f>
        <v>8777.8610000000008</v>
      </c>
      <c r="N13713" s="273"/>
    </row>
    <row r="13714" spans="1:14" ht="12.75" customHeight="1" x14ac:dyDescent="0.25">
      <c r="A13714" s="4"/>
      <c r="B13714" s="4"/>
      <c r="C13714" s="4"/>
      <c r="D13714" s="4"/>
      <c r="E13714" s="4"/>
      <c r="F13714" s="4"/>
      <c r="G13714" s="4"/>
      <c r="H13714" s="4"/>
      <c r="I13714" s="4"/>
      <c r="J13714" s="4"/>
      <c r="K13714" s="4"/>
      <c r="L13714" s="4"/>
      <c r="M13714" s="4"/>
      <c r="N13714" s="4"/>
    </row>
    <row r="13715" spans="1:14" ht="12.75" customHeight="1" x14ac:dyDescent="0.2">
      <c r="A13715" s="398" t="s">
        <v>929</v>
      </c>
      <c r="B13715" s="271"/>
      <c r="C13715" s="271"/>
      <c r="D13715" s="271"/>
      <c r="E13715" s="271"/>
      <c r="F13715" s="271"/>
      <c r="G13715" s="271"/>
      <c r="H13715" s="271"/>
      <c r="I13715" s="271"/>
      <c r="J13715" s="271"/>
      <c r="K13715" s="271"/>
      <c r="L13715" s="271"/>
      <c r="M13715" s="271"/>
      <c r="N13715" s="273"/>
    </row>
    <row r="13716" spans="1:14" ht="12.75" customHeight="1" x14ac:dyDescent="0.2">
      <c r="A13716" s="396" t="s">
        <v>76</v>
      </c>
      <c r="B13716" s="271"/>
      <c r="C13716" s="271"/>
      <c r="D13716" s="271"/>
      <c r="E13716" s="271"/>
      <c r="F13716" s="271"/>
      <c r="G13716" s="273"/>
      <c r="H13716" s="88" t="s">
        <v>77</v>
      </c>
      <c r="I13716" s="399" t="s">
        <v>920</v>
      </c>
      <c r="J13716" s="273"/>
      <c r="K13716" s="399" t="s">
        <v>453</v>
      </c>
      <c r="L13716" s="273"/>
      <c r="M13716" s="399" t="s">
        <v>921</v>
      </c>
      <c r="N13716" s="273"/>
    </row>
    <row r="13717" spans="1:14" ht="12.75" customHeight="1" x14ac:dyDescent="0.2">
      <c r="A13717" s="400" t="s">
        <v>960</v>
      </c>
      <c r="B13717" s="271"/>
      <c r="C13717" s="271"/>
      <c r="D13717" s="271"/>
      <c r="E13717" s="271"/>
      <c r="F13717" s="271"/>
      <c r="G13717" s="273"/>
      <c r="H13717" s="29" t="s">
        <v>950</v>
      </c>
      <c r="I13717" s="394">
        <f>+M13704</f>
        <v>762382</v>
      </c>
      <c r="J13717" s="273"/>
      <c r="K13717" s="404">
        <v>0.05</v>
      </c>
      <c r="L13717" s="273"/>
      <c r="M13717" s="394">
        <f t="shared" ref="M13717:M13721" si="1792">IF(A13717="","",I13717*K13717)</f>
        <v>38119.1</v>
      </c>
      <c r="N13717" s="273"/>
    </row>
    <row r="13718" spans="1:14" ht="12.75" customHeight="1" x14ac:dyDescent="0.2">
      <c r="A13718" s="403"/>
      <c r="B13718" s="271"/>
      <c r="C13718" s="271"/>
      <c r="D13718" s="271"/>
      <c r="E13718" s="271"/>
      <c r="F13718" s="271"/>
      <c r="G13718" s="273"/>
      <c r="H13718" s="29"/>
      <c r="I13718" s="394"/>
      <c r="J13718" s="273"/>
      <c r="K13718" s="404"/>
      <c r="L13718" s="273"/>
      <c r="M13718" s="394" t="str">
        <f t="shared" si="1792"/>
        <v/>
      </c>
      <c r="N13718" s="273"/>
    </row>
    <row r="13719" spans="1:14" ht="12.75" customHeight="1" x14ac:dyDescent="0.2">
      <c r="A13719" s="400"/>
      <c r="B13719" s="271"/>
      <c r="C13719" s="271"/>
      <c r="D13719" s="271"/>
      <c r="E13719" s="271"/>
      <c r="F13719" s="271"/>
      <c r="G13719" s="273"/>
      <c r="H13719" s="29"/>
      <c r="I13719" s="394"/>
      <c r="J13719" s="273"/>
      <c r="K13719" s="395"/>
      <c r="L13719" s="273"/>
      <c r="M13719" s="394" t="str">
        <f t="shared" si="1792"/>
        <v/>
      </c>
      <c r="N13719" s="273"/>
    </row>
    <row r="13720" spans="1:14" ht="12.75" customHeight="1" x14ac:dyDescent="0.2">
      <c r="A13720" s="400"/>
      <c r="B13720" s="271"/>
      <c r="C13720" s="271"/>
      <c r="D13720" s="271"/>
      <c r="E13720" s="271"/>
      <c r="F13720" s="271"/>
      <c r="G13720" s="273"/>
      <c r="H13720" s="29"/>
      <c r="I13720" s="394"/>
      <c r="J13720" s="273"/>
      <c r="K13720" s="395"/>
      <c r="L13720" s="273"/>
      <c r="M13720" s="394" t="str">
        <f t="shared" si="1792"/>
        <v/>
      </c>
      <c r="N13720" s="273"/>
    </row>
    <row r="13721" spans="1:14" ht="12.75" customHeight="1" x14ac:dyDescent="0.2">
      <c r="A13721" s="400"/>
      <c r="B13721" s="271"/>
      <c r="C13721" s="271"/>
      <c r="D13721" s="271"/>
      <c r="E13721" s="271"/>
      <c r="F13721" s="271"/>
      <c r="G13721" s="273"/>
      <c r="H13721" s="29"/>
      <c r="I13721" s="394"/>
      <c r="J13721" s="273"/>
      <c r="K13721" s="395"/>
      <c r="L13721" s="273"/>
      <c r="M13721" s="394" t="str">
        <f t="shared" si="1792"/>
        <v/>
      </c>
      <c r="N13721" s="273"/>
    </row>
    <row r="13722" spans="1:14" ht="12.75" customHeight="1" x14ac:dyDescent="0.25">
      <c r="A13722" s="4"/>
      <c r="B13722" s="4"/>
      <c r="C13722" s="4"/>
      <c r="D13722" s="4"/>
      <c r="E13722" s="4"/>
      <c r="F13722" s="4"/>
      <c r="G13722" s="4"/>
      <c r="H13722" s="4"/>
      <c r="I13722" s="4"/>
      <c r="J13722" s="4"/>
      <c r="K13722" s="396" t="s">
        <v>444</v>
      </c>
      <c r="L13722" s="273"/>
      <c r="M13722" s="394">
        <f>SUM(M13717:N13721)</f>
        <v>38119.1</v>
      </c>
      <c r="N13722" s="273"/>
    </row>
    <row r="13723" spans="1:14" ht="12.75" customHeight="1" x14ac:dyDescent="0.25">
      <c r="A13723" s="4"/>
      <c r="B13723" s="4"/>
      <c r="C13723" s="4"/>
      <c r="D13723" s="4"/>
      <c r="E13723" s="4"/>
      <c r="F13723" s="4"/>
      <c r="G13723" s="4"/>
      <c r="H13723" s="4"/>
      <c r="I13723" s="4"/>
      <c r="J13723" s="4"/>
      <c r="K13723" s="4"/>
      <c r="L13723" s="4"/>
      <c r="M13723" s="4"/>
      <c r="N13723" s="4"/>
    </row>
    <row r="13724" spans="1:14" ht="12.75" customHeight="1" x14ac:dyDescent="0.2">
      <c r="A13724" s="398" t="s">
        <v>931</v>
      </c>
      <c r="B13724" s="271"/>
      <c r="C13724" s="271"/>
      <c r="D13724" s="271"/>
      <c r="E13724" s="271"/>
      <c r="F13724" s="271"/>
      <c r="G13724" s="271"/>
      <c r="H13724" s="271"/>
      <c r="I13724" s="271"/>
      <c r="J13724" s="271"/>
      <c r="K13724" s="271"/>
      <c r="L13724" s="271"/>
      <c r="M13724" s="271"/>
      <c r="N13724" s="273"/>
    </row>
    <row r="13725" spans="1:14" ht="12.75" customHeight="1" x14ac:dyDescent="0.2">
      <c r="A13725" s="396" t="s">
        <v>76</v>
      </c>
      <c r="B13725" s="271"/>
      <c r="C13725" s="271"/>
      <c r="D13725" s="271"/>
      <c r="E13725" s="271"/>
      <c r="F13725" s="271"/>
      <c r="G13725" s="273"/>
      <c r="H13725" s="88" t="s">
        <v>77</v>
      </c>
      <c r="I13725" s="399" t="s">
        <v>920</v>
      </c>
      <c r="J13725" s="273"/>
      <c r="K13725" s="90" t="s">
        <v>514</v>
      </c>
      <c r="L13725" s="91" t="s">
        <v>932</v>
      </c>
      <c r="M13725" s="399" t="s">
        <v>921</v>
      </c>
      <c r="N13725" s="273"/>
    </row>
    <row r="13726" spans="1:14" ht="12.75" customHeight="1" x14ac:dyDescent="0.25">
      <c r="A13726" s="393" t="s">
        <v>986</v>
      </c>
      <c r="B13726" s="271"/>
      <c r="C13726" s="271"/>
      <c r="D13726" s="271"/>
      <c r="E13726" s="271"/>
      <c r="F13726" s="271"/>
      <c r="G13726" s="273"/>
      <c r="H13726" s="29" t="str">
        <f>IF(A13726="","",VLOOKUP(A13726,AA_Cuadrillas,4,FALSE))</f>
        <v>Cuadrilla</v>
      </c>
      <c r="I13726" s="394">
        <f>IF(A13726="","",VLOOKUP(A13726,AA_Cuadrillas,5,FALSE))</f>
        <v>186763</v>
      </c>
      <c r="J13726" s="273"/>
      <c r="K13726" s="9">
        <f>IF(A13726="","",F.P!$I$2)</f>
        <v>1.88</v>
      </c>
      <c r="L13726" s="97">
        <v>0.5</v>
      </c>
      <c r="M13726" s="394">
        <f t="shared" ref="M13726:M13730" si="1793">IF(A13726="","",I13726*K13726*L13726)</f>
        <v>175557.22</v>
      </c>
      <c r="N13726" s="273"/>
    </row>
    <row r="13727" spans="1:14" ht="12.75" customHeight="1" x14ac:dyDescent="0.25">
      <c r="A13727" s="393"/>
      <c r="B13727" s="271"/>
      <c r="C13727" s="271"/>
      <c r="D13727" s="271"/>
      <c r="E13727" s="271"/>
      <c r="F13727" s="271"/>
      <c r="G13727" s="273"/>
      <c r="H13727" s="29" t="str">
        <f>IF(A13727="","",VLOOKUP(A13727,AA_Cuadrillas,4,FALSE))</f>
        <v/>
      </c>
      <c r="I13727" s="394" t="str">
        <f>IF(A13727="","",VLOOKUP(A13727,AA_Cuadrillas,5,FALSE))</f>
        <v/>
      </c>
      <c r="J13727" s="273"/>
      <c r="K13727" s="9" t="str">
        <f>IF(A13727="","",F.P!$I$2)</f>
        <v/>
      </c>
      <c r="L13727" s="9"/>
      <c r="M13727" s="394" t="str">
        <f t="shared" si="1793"/>
        <v/>
      </c>
      <c r="N13727" s="273"/>
    </row>
    <row r="13728" spans="1:14" ht="12.75" customHeight="1" x14ac:dyDescent="0.25">
      <c r="A13728" s="393"/>
      <c r="B13728" s="271"/>
      <c r="C13728" s="271"/>
      <c r="D13728" s="271"/>
      <c r="E13728" s="271"/>
      <c r="F13728" s="271"/>
      <c r="G13728" s="273"/>
      <c r="H13728" s="29" t="str">
        <f>IF(A13728="","",VLOOKUP(A13728,AA_Cuadrillas,4,FALSE))</f>
        <v/>
      </c>
      <c r="I13728" s="394" t="str">
        <f>IF(A13728="","",VLOOKUP(A13728,AA_Cuadrillas,5,FALSE))</f>
        <v/>
      </c>
      <c r="J13728" s="273"/>
      <c r="K13728" s="9" t="str">
        <f>IF(A13728="","",F.P!$I$2)</f>
        <v/>
      </c>
      <c r="L13728" s="37"/>
      <c r="M13728" s="394" t="str">
        <f t="shared" si="1793"/>
        <v/>
      </c>
      <c r="N13728" s="273"/>
    </row>
    <row r="13729" spans="1:15" ht="12.75" customHeight="1" x14ac:dyDescent="0.25">
      <c r="A13729" s="393"/>
      <c r="B13729" s="271"/>
      <c r="C13729" s="271"/>
      <c r="D13729" s="271"/>
      <c r="E13729" s="271"/>
      <c r="F13729" s="271"/>
      <c r="G13729" s="273"/>
      <c r="H13729" s="29" t="str">
        <f>IF(A13729="","",VLOOKUP(A13729,AA_Cuadrillas,4,FALSE))</f>
        <v/>
      </c>
      <c r="I13729" s="394" t="str">
        <f>IF(A13729="","",VLOOKUP(A13729,AA_Cuadrillas,5,FALSE))</f>
        <v/>
      </c>
      <c r="J13729" s="273"/>
      <c r="K13729" s="9" t="str">
        <f>IF(A13729="","",F.P!$I$2)</f>
        <v/>
      </c>
      <c r="L13729" s="37"/>
      <c r="M13729" s="394" t="str">
        <f t="shared" si="1793"/>
        <v/>
      </c>
      <c r="N13729" s="273"/>
    </row>
    <row r="13730" spans="1:15" ht="12.75" customHeight="1" x14ac:dyDescent="0.25">
      <c r="A13730" s="393"/>
      <c r="B13730" s="271"/>
      <c r="C13730" s="271"/>
      <c r="D13730" s="271"/>
      <c r="E13730" s="271"/>
      <c r="F13730" s="271"/>
      <c r="G13730" s="273"/>
      <c r="H13730" s="29" t="str">
        <f>IF(A13730="","",VLOOKUP(A13730,AA_Cuadrillas,4,FALSE))</f>
        <v/>
      </c>
      <c r="I13730" s="394" t="str">
        <f>IF(A13730="","",VLOOKUP(A13730,AA_Cuadrillas,5,FALSE))</f>
        <v/>
      </c>
      <c r="J13730" s="273"/>
      <c r="K13730" s="9" t="str">
        <f>IF(A13730="","",F.P!$I$2)</f>
        <v/>
      </c>
      <c r="L13730" s="37"/>
      <c r="M13730" s="394" t="str">
        <f t="shared" si="1793"/>
        <v/>
      </c>
      <c r="N13730" s="273"/>
    </row>
    <row r="13731" spans="1:15" ht="12.75" customHeight="1" x14ac:dyDescent="0.25">
      <c r="A13731" s="4"/>
      <c r="B13731" s="4"/>
      <c r="C13731" s="4"/>
      <c r="D13731" s="4"/>
      <c r="E13731" s="4"/>
      <c r="F13731" s="4"/>
      <c r="G13731" s="4"/>
      <c r="H13731" s="4"/>
      <c r="I13731" s="4"/>
      <c r="J13731" s="4"/>
      <c r="K13731" s="396" t="s">
        <v>444</v>
      </c>
      <c r="L13731" s="273"/>
      <c r="M13731" s="394">
        <f>SUM(M13726:N13730)</f>
        <v>175557.22</v>
      </c>
      <c r="N13731" s="273"/>
    </row>
    <row r="13732" spans="1:15" ht="12.75" customHeight="1" x14ac:dyDescent="0.2"/>
    <row r="13733" spans="1:15" ht="12.75" customHeight="1" x14ac:dyDescent="0.2">
      <c r="A13733" s="397" t="s">
        <v>339</v>
      </c>
      <c r="B13733" s="275"/>
      <c r="C13733" s="275"/>
      <c r="D13733" s="275"/>
      <c r="E13733" s="275"/>
      <c r="F13733" s="275"/>
      <c r="G13733" s="275"/>
      <c r="H13733" s="275"/>
      <c r="I13733" s="275"/>
      <c r="J13733" s="275"/>
      <c r="K13733" s="275"/>
      <c r="L13733" s="275"/>
      <c r="M13733" s="275"/>
      <c r="N13733" s="276"/>
      <c r="O13733" s="166"/>
    </row>
    <row r="13734" spans="1:15" ht="12.75" customHeight="1" x14ac:dyDescent="0.2">
      <c r="A13734" s="277"/>
      <c r="B13734" s="278"/>
      <c r="C13734" s="278"/>
      <c r="D13734" s="278"/>
      <c r="E13734" s="278"/>
      <c r="F13734" s="278"/>
      <c r="G13734" s="278"/>
      <c r="H13734" s="278"/>
      <c r="I13734" s="278"/>
      <c r="J13734" s="278"/>
      <c r="K13734" s="278"/>
      <c r="L13734" s="278"/>
      <c r="M13734" s="278"/>
      <c r="N13734" s="279"/>
      <c r="O13734" s="166"/>
    </row>
    <row r="13735" spans="1:15" ht="12.75" customHeight="1" x14ac:dyDescent="0.2">
      <c r="A13735" s="75"/>
      <c r="B13735" s="75"/>
      <c r="C13735" s="75"/>
      <c r="D13735" s="75"/>
      <c r="E13735" s="75"/>
      <c r="F13735" s="75"/>
      <c r="G13735" s="75"/>
      <c r="H13735" s="75"/>
      <c r="I13735" s="75"/>
      <c r="J13735" s="75"/>
      <c r="K13735" s="75"/>
      <c r="L13735" s="75"/>
      <c r="M13735" s="75"/>
      <c r="N13735" s="75"/>
    </row>
    <row r="13736" spans="1:15" ht="12.75" customHeight="1" x14ac:dyDescent="0.3">
      <c r="A13736" s="79" t="s">
        <v>913</v>
      </c>
      <c r="B13736" s="80" t="str">
        <f>A13733</f>
        <v>SUMINISTRO E INSTALACIÓN DE VÁLVULA FLOTADOR DE Ø4" EN HIERRO DUCTIL (INCLUYE VÁLVULA, HERRAMIENTA MENOR, Y MANO DE OBRA)</v>
      </c>
      <c r="C13736" s="81" t="s">
        <v>916</v>
      </c>
      <c r="D13736" s="82" t="s">
        <v>999</v>
      </c>
      <c r="E13736" s="83" t="s">
        <v>445</v>
      </c>
      <c r="F13736" s="234">
        <f>(H13736+J13736+L13736+N13736)*1.3</f>
        <v>5442359.9707831256</v>
      </c>
      <c r="G13736" s="83" t="s">
        <v>607</v>
      </c>
      <c r="H13736" s="86">
        <f>M13755</f>
        <v>1097.2326250000001</v>
      </c>
      <c r="I13736" s="83" t="s">
        <v>918</v>
      </c>
      <c r="J13736" s="86">
        <f>M13746</f>
        <v>3965080</v>
      </c>
      <c r="K13736" s="83" t="s">
        <v>609</v>
      </c>
      <c r="L13736" s="86">
        <f>M13764</f>
        <v>198308.86163125001</v>
      </c>
      <c r="M13736" s="83" t="s">
        <v>610</v>
      </c>
      <c r="N13736" s="86">
        <f>M13773</f>
        <v>21944.6525</v>
      </c>
    </row>
    <row r="13737" spans="1:15" ht="12.75" customHeight="1" x14ac:dyDescent="0.25">
      <c r="A13737" s="87"/>
      <c r="B13737" s="87"/>
      <c r="C13737" s="87"/>
      <c r="D13737" s="87"/>
      <c r="E13737" s="87"/>
      <c r="F13737" s="87"/>
      <c r="G13737" s="87"/>
      <c r="H13737" s="12"/>
      <c r="I13737" s="12"/>
      <c r="J13737" s="87"/>
      <c r="K13737" s="215" t="s">
        <v>3217</v>
      </c>
      <c r="L13737" s="215">
        <f>+F13736*presup!$O$5</f>
        <v>7075067.9620180633</v>
      </c>
      <c r="M13737" s="87"/>
      <c r="N13737" s="87"/>
    </row>
    <row r="13738" spans="1:15" ht="12.75" customHeight="1" x14ac:dyDescent="0.2">
      <c r="A13738" s="398" t="s">
        <v>919</v>
      </c>
      <c r="B13738" s="271"/>
      <c r="C13738" s="271"/>
      <c r="D13738" s="271"/>
      <c r="E13738" s="271"/>
      <c r="F13738" s="271"/>
      <c r="G13738" s="271"/>
      <c r="H13738" s="271"/>
      <c r="I13738" s="271"/>
      <c r="J13738" s="271"/>
      <c r="K13738" s="271"/>
      <c r="L13738" s="271"/>
      <c r="M13738" s="271"/>
      <c r="N13738" s="273"/>
    </row>
    <row r="13739" spans="1:15" ht="12.75" customHeight="1" x14ac:dyDescent="0.2">
      <c r="A13739" s="396" t="s">
        <v>76</v>
      </c>
      <c r="B13739" s="271"/>
      <c r="C13739" s="271"/>
      <c r="D13739" s="271"/>
      <c r="E13739" s="271"/>
      <c r="F13739" s="271"/>
      <c r="G13739" s="273"/>
      <c r="H13739" s="88" t="s">
        <v>77</v>
      </c>
      <c r="I13739" s="399" t="s">
        <v>920</v>
      </c>
      <c r="J13739" s="273"/>
      <c r="K13739" s="399" t="s">
        <v>453</v>
      </c>
      <c r="L13739" s="273"/>
      <c r="M13739" s="399" t="s">
        <v>921</v>
      </c>
      <c r="N13739" s="273"/>
    </row>
    <row r="13740" spans="1:15" ht="12.75" customHeight="1" x14ac:dyDescent="0.2">
      <c r="A13740" s="403" t="s">
        <v>1739</v>
      </c>
      <c r="B13740" s="271"/>
      <c r="C13740" s="271"/>
      <c r="D13740" s="271"/>
      <c r="E13740" s="271"/>
      <c r="F13740" s="271"/>
      <c r="G13740" s="273"/>
      <c r="H13740" s="29" t="str">
        <f t="shared" ref="H13740:H13745" si="1794">IF(A13740="","",VLOOKUP(A13740,AA_Materiales,7,FALSE))</f>
        <v>Unidad</v>
      </c>
      <c r="I13740" s="394">
        <f t="shared" ref="I13740:I13745" si="1795">IF(A13740="","",VLOOKUP(A13740,AA_Materiales,8,FALSE))</f>
        <v>3965080</v>
      </c>
      <c r="J13740" s="273"/>
      <c r="K13740" s="395">
        <v>1</v>
      </c>
      <c r="L13740" s="273"/>
      <c r="M13740" s="394">
        <f t="shared" ref="M13740:M13745" si="1796">IF(A13740="","",I13740*K13740)</f>
        <v>3965080</v>
      </c>
      <c r="N13740" s="273"/>
    </row>
    <row r="13741" spans="1:15" ht="12.75" customHeight="1" x14ac:dyDescent="0.2">
      <c r="A13741" s="403"/>
      <c r="B13741" s="271"/>
      <c r="C13741" s="271"/>
      <c r="D13741" s="271"/>
      <c r="E13741" s="271"/>
      <c r="F13741" s="271"/>
      <c r="G13741" s="273"/>
      <c r="H13741" s="29" t="str">
        <f t="shared" si="1794"/>
        <v/>
      </c>
      <c r="I13741" s="394" t="str">
        <f t="shared" si="1795"/>
        <v/>
      </c>
      <c r="J13741" s="273"/>
      <c r="K13741" s="395"/>
      <c r="L13741" s="273"/>
      <c r="M13741" s="394" t="str">
        <f t="shared" si="1796"/>
        <v/>
      </c>
      <c r="N13741" s="273"/>
    </row>
    <row r="13742" spans="1:15" ht="12.75" customHeight="1" x14ac:dyDescent="0.2">
      <c r="A13742" s="403"/>
      <c r="B13742" s="271"/>
      <c r="C13742" s="271"/>
      <c r="D13742" s="271"/>
      <c r="E13742" s="271"/>
      <c r="F13742" s="271"/>
      <c r="G13742" s="273"/>
      <c r="H13742" s="29" t="str">
        <f t="shared" si="1794"/>
        <v/>
      </c>
      <c r="I13742" s="394" t="str">
        <f t="shared" si="1795"/>
        <v/>
      </c>
      <c r="J13742" s="273"/>
      <c r="K13742" s="395"/>
      <c r="L13742" s="273"/>
      <c r="M13742" s="394" t="str">
        <f t="shared" si="1796"/>
        <v/>
      </c>
      <c r="N13742" s="273"/>
    </row>
    <row r="13743" spans="1:15" ht="12.75" customHeight="1" x14ac:dyDescent="0.2">
      <c r="A13743" s="403"/>
      <c r="B13743" s="271"/>
      <c r="C13743" s="271"/>
      <c r="D13743" s="271"/>
      <c r="E13743" s="271"/>
      <c r="F13743" s="271"/>
      <c r="G13743" s="273"/>
      <c r="H13743" s="29" t="str">
        <f t="shared" si="1794"/>
        <v/>
      </c>
      <c r="I13743" s="394" t="str">
        <f t="shared" si="1795"/>
        <v/>
      </c>
      <c r="J13743" s="273"/>
      <c r="K13743" s="395"/>
      <c r="L13743" s="273"/>
      <c r="M13743" s="394" t="str">
        <f t="shared" si="1796"/>
        <v/>
      </c>
      <c r="N13743" s="273"/>
    </row>
    <row r="13744" spans="1:15" ht="12.75" customHeight="1" x14ac:dyDescent="0.2">
      <c r="A13744" s="403"/>
      <c r="B13744" s="271"/>
      <c r="C13744" s="271"/>
      <c r="D13744" s="271"/>
      <c r="E13744" s="271"/>
      <c r="F13744" s="271"/>
      <c r="G13744" s="273"/>
      <c r="H13744" s="29" t="str">
        <f t="shared" si="1794"/>
        <v/>
      </c>
      <c r="I13744" s="394" t="str">
        <f t="shared" si="1795"/>
        <v/>
      </c>
      <c r="J13744" s="273"/>
      <c r="K13744" s="395"/>
      <c r="L13744" s="273"/>
      <c r="M13744" s="394" t="str">
        <f t="shared" si="1796"/>
        <v/>
      </c>
      <c r="N13744" s="273"/>
    </row>
    <row r="13745" spans="1:14" ht="12.75" customHeight="1" x14ac:dyDescent="0.2">
      <c r="A13745" s="403"/>
      <c r="B13745" s="271"/>
      <c r="C13745" s="271"/>
      <c r="D13745" s="271"/>
      <c r="E13745" s="271"/>
      <c r="F13745" s="271"/>
      <c r="G13745" s="273"/>
      <c r="H13745" s="29" t="str">
        <f t="shared" si="1794"/>
        <v/>
      </c>
      <c r="I13745" s="394" t="str">
        <f t="shared" si="1795"/>
        <v/>
      </c>
      <c r="J13745" s="273"/>
      <c r="K13745" s="395"/>
      <c r="L13745" s="273"/>
      <c r="M13745" s="394" t="str">
        <f t="shared" si="1796"/>
        <v/>
      </c>
      <c r="N13745" s="273"/>
    </row>
    <row r="13746" spans="1:14" ht="12.75" customHeight="1" x14ac:dyDescent="0.25">
      <c r="A13746" s="4"/>
      <c r="B13746" s="4"/>
      <c r="C13746" s="4"/>
      <c r="D13746" s="4"/>
      <c r="E13746" s="4"/>
      <c r="F13746" s="4"/>
      <c r="G13746" s="4"/>
      <c r="H13746" s="4"/>
      <c r="I13746" s="4"/>
      <c r="J13746" s="4"/>
      <c r="K13746" s="396" t="s">
        <v>444</v>
      </c>
      <c r="L13746" s="273"/>
      <c r="M13746" s="394">
        <f>SUM(M13740:N13745)</f>
        <v>3965080</v>
      </c>
      <c r="N13746" s="273"/>
    </row>
    <row r="13747" spans="1:14" ht="12.75" customHeight="1" x14ac:dyDescent="0.25">
      <c r="A13747" s="4"/>
      <c r="B13747" s="4"/>
      <c r="C13747" s="4"/>
      <c r="D13747" s="4"/>
      <c r="E13747" s="4"/>
      <c r="F13747" s="4"/>
      <c r="G13747" s="4"/>
      <c r="H13747" s="4"/>
      <c r="I13747" s="4"/>
      <c r="J13747" s="4"/>
      <c r="K13747" s="4"/>
      <c r="L13747" s="4"/>
      <c r="M13747" s="4"/>
      <c r="N13747" s="4"/>
    </row>
    <row r="13748" spans="1:14" ht="12.75" customHeight="1" x14ac:dyDescent="0.2">
      <c r="A13748" s="398" t="s">
        <v>926</v>
      </c>
      <c r="B13748" s="271"/>
      <c r="C13748" s="271"/>
      <c r="D13748" s="271"/>
      <c r="E13748" s="271"/>
      <c r="F13748" s="271"/>
      <c r="G13748" s="271"/>
      <c r="H13748" s="271"/>
      <c r="I13748" s="271"/>
      <c r="J13748" s="271"/>
      <c r="K13748" s="271"/>
      <c r="L13748" s="271"/>
      <c r="M13748" s="271"/>
      <c r="N13748" s="273"/>
    </row>
    <row r="13749" spans="1:14" ht="12.75" customHeight="1" x14ac:dyDescent="0.2">
      <c r="A13749" s="396" t="s">
        <v>76</v>
      </c>
      <c r="B13749" s="271"/>
      <c r="C13749" s="271"/>
      <c r="D13749" s="271"/>
      <c r="E13749" s="271"/>
      <c r="F13749" s="271"/>
      <c r="G13749" s="273"/>
      <c r="H13749" s="88" t="s">
        <v>77</v>
      </c>
      <c r="I13749" s="399" t="s">
        <v>920</v>
      </c>
      <c r="J13749" s="273"/>
      <c r="K13749" s="399" t="s">
        <v>453</v>
      </c>
      <c r="L13749" s="273"/>
      <c r="M13749" s="399" t="s">
        <v>921</v>
      </c>
      <c r="N13749" s="273"/>
    </row>
    <row r="13750" spans="1:14" ht="12.75" customHeight="1" x14ac:dyDescent="0.2">
      <c r="A13750" s="400" t="s">
        <v>927</v>
      </c>
      <c r="B13750" s="271"/>
      <c r="C13750" s="271"/>
      <c r="D13750" s="271"/>
      <c r="E13750" s="271"/>
      <c r="F13750" s="271"/>
      <c r="G13750" s="273"/>
      <c r="H13750" s="29" t="str">
        <f>IF(A13750="","",VLOOKUP(A13750,AA_Equipos,7,FALSE))</f>
        <v>% M.O.</v>
      </c>
      <c r="I13750" s="394">
        <f>+M13773</f>
        <v>21944.6525</v>
      </c>
      <c r="J13750" s="273"/>
      <c r="K13750" s="404">
        <v>0.05</v>
      </c>
      <c r="L13750" s="273"/>
      <c r="M13750" s="394">
        <f t="shared" ref="M13750:M13754" si="1797">IF(A13750="","",I13750*K13750)</f>
        <v>1097.2326250000001</v>
      </c>
      <c r="N13750" s="273"/>
    </row>
    <row r="13751" spans="1:14" ht="12.75" customHeight="1" x14ac:dyDescent="0.2">
      <c r="A13751" s="403"/>
      <c r="B13751" s="271"/>
      <c r="C13751" s="271"/>
      <c r="D13751" s="271"/>
      <c r="E13751" s="271"/>
      <c r="F13751" s="271"/>
      <c r="G13751" s="273"/>
      <c r="H13751" s="29" t="str">
        <f>IF(A13751="","",VLOOKUP(A13751,AA_Equipos,7,FALSE))</f>
        <v/>
      </c>
      <c r="I13751" s="394" t="str">
        <f>IF(A13751="","",VLOOKUP(A13751,AA_Equipos,8,FALSE))</f>
        <v/>
      </c>
      <c r="J13751" s="273"/>
      <c r="K13751" s="402"/>
      <c r="L13751" s="273"/>
      <c r="M13751" s="394" t="str">
        <f t="shared" si="1797"/>
        <v/>
      </c>
      <c r="N13751" s="273"/>
    </row>
    <row r="13752" spans="1:14" ht="12.75" customHeight="1" x14ac:dyDescent="0.2">
      <c r="A13752" s="400"/>
      <c r="B13752" s="271"/>
      <c r="C13752" s="271"/>
      <c r="D13752" s="271"/>
      <c r="E13752" s="271"/>
      <c r="F13752" s="271"/>
      <c r="G13752" s="273"/>
      <c r="H13752" s="29" t="str">
        <f>IF(A13752="","",VLOOKUP(A13752,AA_Equipos,7,FALSE))</f>
        <v/>
      </c>
      <c r="I13752" s="394" t="str">
        <f>IF(A13752="","",VLOOKUP(A13752,AA_Equipos,8,FALSE))</f>
        <v/>
      </c>
      <c r="J13752" s="273"/>
      <c r="K13752" s="401"/>
      <c r="L13752" s="273"/>
      <c r="M13752" s="394" t="str">
        <f t="shared" si="1797"/>
        <v/>
      </c>
      <c r="N13752" s="273"/>
    </row>
    <row r="13753" spans="1:14" ht="12.75" customHeight="1" x14ac:dyDescent="0.2">
      <c r="A13753" s="400"/>
      <c r="B13753" s="271"/>
      <c r="C13753" s="271"/>
      <c r="D13753" s="271"/>
      <c r="E13753" s="271"/>
      <c r="F13753" s="271"/>
      <c r="G13753" s="273"/>
      <c r="H13753" s="29" t="str">
        <f>IF(A13753="","",VLOOKUP(A13753,AA_Equipos,7,FALSE))</f>
        <v/>
      </c>
      <c r="I13753" s="394" t="str">
        <f>IF(A13753="","",VLOOKUP(A13753,AA_Equipos,8,FALSE))</f>
        <v/>
      </c>
      <c r="J13753" s="273"/>
      <c r="K13753" s="395"/>
      <c r="L13753" s="273"/>
      <c r="M13753" s="394" t="str">
        <f t="shared" si="1797"/>
        <v/>
      </c>
      <c r="N13753" s="273"/>
    </row>
    <row r="13754" spans="1:14" ht="12.75" customHeight="1" x14ac:dyDescent="0.2">
      <c r="A13754" s="400"/>
      <c r="B13754" s="271"/>
      <c r="C13754" s="271"/>
      <c r="D13754" s="271"/>
      <c r="E13754" s="271"/>
      <c r="F13754" s="271"/>
      <c r="G13754" s="273"/>
      <c r="H13754" s="29" t="str">
        <f>IF(A13754="","",VLOOKUP(A13754,AA_Equipos,7,FALSE))</f>
        <v/>
      </c>
      <c r="I13754" s="394" t="str">
        <f>IF(A13754="","",VLOOKUP(A13754,AA_Equipos,8,FALSE))</f>
        <v/>
      </c>
      <c r="J13754" s="273"/>
      <c r="K13754" s="395"/>
      <c r="L13754" s="273"/>
      <c r="M13754" s="394" t="str">
        <f t="shared" si="1797"/>
        <v/>
      </c>
      <c r="N13754" s="273"/>
    </row>
    <row r="13755" spans="1:14" ht="12.75" customHeight="1" x14ac:dyDescent="0.25">
      <c r="A13755" s="4"/>
      <c r="B13755" s="4"/>
      <c r="C13755" s="4"/>
      <c r="D13755" s="4"/>
      <c r="E13755" s="4"/>
      <c r="F13755" s="4"/>
      <c r="G13755" s="4"/>
      <c r="H13755" s="4"/>
      <c r="I13755" s="4"/>
      <c r="J13755" s="4"/>
      <c r="K13755" s="396" t="s">
        <v>444</v>
      </c>
      <c r="L13755" s="273"/>
      <c r="M13755" s="394">
        <f>SUM(M13750:N13754)</f>
        <v>1097.2326250000001</v>
      </c>
      <c r="N13755" s="273"/>
    </row>
    <row r="13756" spans="1:14" ht="12.75" customHeight="1" x14ac:dyDescent="0.25">
      <c r="A13756" s="4"/>
      <c r="B13756" s="4"/>
      <c r="C13756" s="4"/>
      <c r="D13756" s="4"/>
      <c r="E13756" s="4"/>
      <c r="F13756" s="4"/>
      <c r="G13756" s="4"/>
      <c r="H13756" s="4"/>
      <c r="I13756" s="4"/>
      <c r="J13756" s="4"/>
      <c r="K13756" s="4"/>
      <c r="L13756" s="4"/>
      <c r="M13756" s="4"/>
      <c r="N13756" s="4"/>
    </row>
    <row r="13757" spans="1:14" ht="12.75" customHeight="1" x14ac:dyDescent="0.2">
      <c r="A13757" s="398" t="s">
        <v>929</v>
      </c>
      <c r="B13757" s="271"/>
      <c r="C13757" s="271"/>
      <c r="D13757" s="271"/>
      <c r="E13757" s="271"/>
      <c r="F13757" s="271"/>
      <c r="G13757" s="271"/>
      <c r="H13757" s="271"/>
      <c r="I13757" s="271"/>
      <c r="J13757" s="271"/>
      <c r="K13757" s="271"/>
      <c r="L13757" s="271"/>
      <c r="M13757" s="271"/>
      <c r="N13757" s="273"/>
    </row>
    <row r="13758" spans="1:14" ht="12.75" customHeight="1" x14ac:dyDescent="0.2">
      <c r="A13758" s="396" t="s">
        <v>76</v>
      </c>
      <c r="B13758" s="271"/>
      <c r="C13758" s="271"/>
      <c r="D13758" s="271"/>
      <c r="E13758" s="271"/>
      <c r="F13758" s="271"/>
      <c r="G13758" s="273"/>
      <c r="H13758" s="88" t="s">
        <v>77</v>
      </c>
      <c r="I13758" s="399" t="s">
        <v>920</v>
      </c>
      <c r="J13758" s="273"/>
      <c r="K13758" s="399" t="s">
        <v>453</v>
      </c>
      <c r="L13758" s="273"/>
      <c r="M13758" s="399" t="s">
        <v>921</v>
      </c>
      <c r="N13758" s="273"/>
    </row>
    <row r="13759" spans="1:14" ht="12.75" customHeight="1" x14ac:dyDescent="0.2">
      <c r="A13759" s="400" t="s">
        <v>960</v>
      </c>
      <c r="B13759" s="271"/>
      <c r="C13759" s="271"/>
      <c r="D13759" s="271"/>
      <c r="E13759" s="271"/>
      <c r="F13759" s="271"/>
      <c r="G13759" s="273"/>
      <c r="H13759" s="29" t="s">
        <v>950</v>
      </c>
      <c r="I13759" s="394">
        <f>+M13746</f>
        <v>3965080</v>
      </c>
      <c r="J13759" s="273"/>
      <c r="K13759" s="404">
        <v>0.05</v>
      </c>
      <c r="L13759" s="273"/>
      <c r="M13759" s="394">
        <f t="shared" ref="M13759:M13763" si="1798">IF(A13759="","",I13759*K13759)</f>
        <v>198254</v>
      </c>
      <c r="N13759" s="273"/>
    </row>
    <row r="13760" spans="1:14" ht="12.75" customHeight="1" x14ac:dyDescent="0.2">
      <c r="A13760" s="403" t="s">
        <v>3174</v>
      </c>
      <c r="B13760" s="271"/>
      <c r="C13760" s="271"/>
      <c r="D13760" s="271"/>
      <c r="E13760" s="271"/>
      <c r="F13760" s="271"/>
      <c r="G13760" s="273"/>
      <c r="H13760" s="29" t="s">
        <v>24</v>
      </c>
      <c r="I13760" s="394">
        <f>+M13755</f>
        <v>1097.2326250000001</v>
      </c>
      <c r="J13760" s="273"/>
      <c r="K13760" s="404">
        <v>0.05</v>
      </c>
      <c r="L13760" s="273"/>
      <c r="M13760" s="394">
        <f t="shared" si="1798"/>
        <v>54.861631250000009</v>
      </c>
      <c r="N13760" s="273"/>
    </row>
    <row r="13761" spans="1:15" ht="12.75" customHeight="1" x14ac:dyDescent="0.2">
      <c r="A13761" s="400"/>
      <c r="B13761" s="271"/>
      <c r="C13761" s="271"/>
      <c r="D13761" s="271"/>
      <c r="E13761" s="271"/>
      <c r="F13761" s="271"/>
      <c r="G13761" s="273"/>
      <c r="H13761" s="29"/>
      <c r="I13761" s="394"/>
      <c r="J13761" s="273"/>
      <c r="K13761" s="395"/>
      <c r="L13761" s="273"/>
      <c r="M13761" s="394" t="str">
        <f t="shared" si="1798"/>
        <v/>
      </c>
      <c r="N13761" s="273"/>
    </row>
    <row r="13762" spans="1:15" ht="12.75" customHeight="1" x14ac:dyDescent="0.2">
      <c r="A13762" s="400"/>
      <c r="B13762" s="271"/>
      <c r="C13762" s="271"/>
      <c r="D13762" s="271"/>
      <c r="E13762" s="271"/>
      <c r="F13762" s="271"/>
      <c r="G13762" s="273"/>
      <c r="H13762" s="29"/>
      <c r="I13762" s="394"/>
      <c r="J13762" s="273"/>
      <c r="K13762" s="395"/>
      <c r="L13762" s="273"/>
      <c r="M13762" s="394" t="str">
        <f t="shared" si="1798"/>
        <v/>
      </c>
      <c r="N13762" s="273"/>
    </row>
    <row r="13763" spans="1:15" ht="12.75" customHeight="1" x14ac:dyDescent="0.2">
      <c r="A13763" s="400"/>
      <c r="B13763" s="271"/>
      <c r="C13763" s="271"/>
      <c r="D13763" s="271"/>
      <c r="E13763" s="271"/>
      <c r="F13763" s="271"/>
      <c r="G13763" s="273"/>
      <c r="H13763" s="29"/>
      <c r="I13763" s="394"/>
      <c r="J13763" s="273"/>
      <c r="K13763" s="395"/>
      <c r="L13763" s="273"/>
      <c r="M13763" s="394" t="str">
        <f t="shared" si="1798"/>
        <v/>
      </c>
      <c r="N13763" s="273"/>
    </row>
    <row r="13764" spans="1:15" ht="12.75" customHeight="1" x14ac:dyDescent="0.25">
      <c r="A13764" s="4"/>
      <c r="B13764" s="4"/>
      <c r="C13764" s="4"/>
      <c r="D13764" s="4"/>
      <c r="E13764" s="4"/>
      <c r="F13764" s="4"/>
      <c r="G13764" s="4"/>
      <c r="H13764" s="4"/>
      <c r="I13764" s="4"/>
      <c r="J13764" s="4"/>
      <c r="K13764" s="396" t="s">
        <v>444</v>
      </c>
      <c r="L13764" s="273"/>
      <c r="M13764" s="394">
        <f>SUM(M13759:N13763)</f>
        <v>198308.86163125001</v>
      </c>
      <c r="N13764" s="273"/>
    </row>
    <row r="13765" spans="1:15" ht="12.75" customHeight="1" x14ac:dyDescent="0.25">
      <c r="A13765" s="4"/>
      <c r="B13765" s="4"/>
      <c r="C13765" s="4"/>
      <c r="D13765" s="4"/>
      <c r="E13765" s="4"/>
      <c r="F13765" s="4"/>
      <c r="G13765" s="4"/>
      <c r="H13765" s="4"/>
      <c r="I13765" s="4"/>
      <c r="J13765" s="4"/>
      <c r="K13765" s="4"/>
      <c r="L13765" s="4"/>
      <c r="M13765" s="4"/>
      <c r="N13765" s="4"/>
    </row>
    <row r="13766" spans="1:15" ht="12.75" customHeight="1" x14ac:dyDescent="0.2">
      <c r="A13766" s="398" t="s">
        <v>931</v>
      </c>
      <c r="B13766" s="271"/>
      <c r="C13766" s="271"/>
      <c r="D13766" s="271"/>
      <c r="E13766" s="271"/>
      <c r="F13766" s="271"/>
      <c r="G13766" s="271"/>
      <c r="H13766" s="271"/>
      <c r="I13766" s="271"/>
      <c r="J13766" s="271"/>
      <c r="K13766" s="271"/>
      <c r="L13766" s="271"/>
      <c r="M13766" s="271"/>
      <c r="N13766" s="273"/>
    </row>
    <row r="13767" spans="1:15" ht="12.75" customHeight="1" x14ac:dyDescent="0.2">
      <c r="A13767" s="396" t="s">
        <v>76</v>
      </c>
      <c r="B13767" s="271"/>
      <c r="C13767" s="271"/>
      <c r="D13767" s="271"/>
      <c r="E13767" s="271"/>
      <c r="F13767" s="271"/>
      <c r="G13767" s="273"/>
      <c r="H13767" s="88" t="s">
        <v>77</v>
      </c>
      <c r="I13767" s="399" t="s">
        <v>920</v>
      </c>
      <c r="J13767" s="273"/>
      <c r="K13767" s="90" t="s">
        <v>514</v>
      </c>
      <c r="L13767" s="91" t="s">
        <v>932</v>
      </c>
      <c r="M13767" s="399" t="s">
        <v>921</v>
      </c>
      <c r="N13767" s="273"/>
    </row>
    <row r="13768" spans="1:15" ht="12.75" customHeight="1" x14ac:dyDescent="0.25">
      <c r="A13768" s="393" t="s">
        <v>986</v>
      </c>
      <c r="B13768" s="271"/>
      <c r="C13768" s="271"/>
      <c r="D13768" s="271"/>
      <c r="E13768" s="271"/>
      <c r="F13768" s="271"/>
      <c r="G13768" s="273"/>
      <c r="H13768" s="29" t="str">
        <f>IF(A13768="","",VLOOKUP(A13768,AA_Cuadrillas,4,FALSE))</f>
        <v>Cuadrilla</v>
      </c>
      <c r="I13768" s="394">
        <f>IF(A13768="","",VLOOKUP(A13768,AA_Cuadrillas,5,FALSE))</f>
        <v>186763</v>
      </c>
      <c r="J13768" s="273"/>
      <c r="K13768" s="9">
        <f>IF(A13768="","",F.P!$I$2)</f>
        <v>1.88</v>
      </c>
      <c r="L13768" s="97">
        <v>6.25E-2</v>
      </c>
      <c r="M13768" s="394">
        <f t="shared" ref="M13768:M13772" si="1799">IF(A13768="","",I13768*K13768*L13768)</f>
        <v>21944.6525</v>
      </c>
      <c r="N13768" s="273"/>
    </row>
    <row r="13769" spans="1:15" ht="12.75" customHeight="1" x14ac:dyDescent="0.25">
      <c r="A13769" s="393"/>
      <c r="B13769" s="271"/>
      <c r="C13769" s="271"/>
      <c r="D13769" s="271"/>
      <c r="E13769" s="271"/>
      <c r="F13769" s="271"/>
      <c r="G13769" s="273"/>
      <c r="H13769" s="29" t="str">
        <f>IF(A13769="","",VLOOKUP(A13769,AA_Cuadrillas,4,FALSE))</f>
        <v/>
      </c>
      <c r="I13769" s="394" t="str">
        <f>IF(A13769="","",VLOOKUP(A13769,AA_Cuadrillas,5,FALSE))</f>
        <v/>
      </c>
      <c r="J13769" s="273"/>
      <c r="K13769" s="9" t="str">
        <f>IF(A13769="","",F.P!$I$2)</f>
        <v/>
      </c>
      <c r="L13769" s="9"/>
      <c r="M13769" s="394" t="str">
        <f t="shared" si="1799"/>
        <v/>
      </c>
      <c r="N13769" s="273"/>
    </row>
    <row r="13770" spans="1:15" ht="12.75" customHeight="1" x14ac:dyDescent="0.25">
      <c r="A13770" s="393"/>
      <c r="B13770" s="271"/>
      <c r="C13770" s="271"/>
      <c r="D13770" s="271"/>
      <c r="E13770" s="271"/>
      <c r="F13770" s="271"/>
      <c r="G13770" s="273"/>
      <c r="H13770" s="29" t="str">
        <f>IF(A13770="","",VLOOKUP(A13770,AA_Cuadrillas,4,FALSE))</f>
        <v/>
      </c>
      <c r="I13770" s="394" t="str">
        <f>IF(A13770="","",VLOOKUP(A13770,AA_Cuadrillas,5,FALSE))</f>
        <v/>
      </c>
      <c r="J13770" s="273"/>
      <c r="K13770" s="9" t="str">
        <f>IF(A13770="","",F.P!$I$2)</f>
        <v/>
      </c>
      <c r="L13770" s="37"/>
      <c r="M13770" s="394" t="str">
        <f t="shared" si="1799"/>
        <v/>
      </c>
      <c r="N13770" s="273"/>
    </row>
    <row r="13771" spans="1:15" ht="12.75" customHeight="1" x14ac:dyDescent="0.25">
      <c r="A13771" s="393"/>
      <c r="B13771" s="271"/>
      <c r="C13771" s="271"/>
      <c r="D13771" s="271"/>
      <c r="E13771" s="271"/>
      <c r="F13771" s="271"/>
      <c r="G13771" s="273"/>
      <c r="H13771" s="29" t="str">
        <f>IF(A13771="","",VLOOKUP(A13771,AA_Cuadrillas,4,FALSE))</f>
        <v/>
      </c>
      <c r="I13771" s="394" t="str">
        <f>IF(A13771="","",VLOOKUP(A13771,AA_Cuadrillas,5,FALSE))</f>
        <v/>
      </c>
      <c r="J13771" s="273"/>
      <c r="K13771" s="9" t="str">
        <f>IF(A13771="","",F.P!$I$2)</f>
        <v/>
      </c>
      <c r="L13771" s="37"/>
      <c r="M13771" s="394" t="str">
        <f t="shared" si="1799"/>
        <v/>
      </c>
      <c r="N13771" s="273"/>
    </row>
    <row r="13772" spans="1:15" ht="12.75" customHeight="1" x14ac:dyDescent="0.25">
      <c r="A13772" s="393"/>
      <c r="B13772" s="271"/>
      <c r="C13772" s="271"/>
      <c r="D13772" s="271"/>
      <c r="E13772" s="271"/>
      <c r="F13772" s="271"/>
      <c r="G13772" s="273"/>
      <c r="H13772" s="29" t="str">
        <f>IF(A13772="","",VLOOKUP(A13772,AA_Cuadrillas,4,FALSE))</f>
        <v/>
      </c>
      <c r="I13772" s="394" t="str">
        <f>IF(A13772="","",VLOOKUP(A13772,AA_Cuadrillas,5,FALSE))</f>
        <v/>
      </c>
      <c r="J13772" s="273"/>
      <c r="K13772" s="9" t="str">
        <f>IF(A13772="","",F.P!$I$2)</f>
        <v/>
      </c>
      <c r="L13772" s="37"/>
      <c r="M13772" s="394" t="str">
        <f t="shared" si="1799"/>
        <v/>
      </c>
      <c r="N13772" s="273"/>
    </row>
    <row r="13773" spans="1:15" ht="12.75" customHeight="1" x14ac:dyDescent="0.25">
      <c r="A13773" s="4"/>
      <c r="B13773" s="4"/>
      <c r="C13773" s="4"/>
      <c r="D13773" s="4"/>
      <c r="E13773" s="4"/>
      <c r="F13773" s="4"/>
      <c r="G13773" s="4"/>
      <c r="H13773" s="4"/>
      <c r="I13773" s="4"/>
      <c r="J13773" s="4"/>
      <c r="K13773" s="396" t="s">
        <v>444</v>
      </c>
      <c r="L13773" s="273"/>
      <c r="M13773" s="394">
        <f>SUM(M13768:N13772)</f>
        <v>21944.6525</v>
      </c>
      <c r="N13773" s="273"/>
    </row>
    <row r="13774" spans="1:15" ht="15.75" customHeight="1" x14ac:dyDescent="0.2"/>
    <row r="13775" spans="1:15" ht="15" customHeight="1" x14ac:dyDescent="0.2">
      <c r="A13775" s="407" t="s">
        <v>349</v>
      </c>
      <c r="B13775" s="275"/>
      <c r="C13775" s="275"/>
      <c r="D13775" s="275"/>
      <c r="E13775" s="275"/>
      <c r="F13775" s="275"/>
      <c r="G13775" s="275"/>
      <c r="H13775" s="275"/>
      <c r="I13775" s="275"/>
      <c r="J13775" s="275"/>
      <c r="K13775" s="275"/>
      <c r="L13775" s="275"/>
      <c r="M13775" s="275"/>
      <c r="N13775" s="276"/>
      <c r="O13775" s="166"/>
    </row>
    <row r="13776" spans="1:15" ht="15" customHeight="1" x14ac:dyDescent="0.2">
      <c r="A13776" s="277"/>
      <c r="B13776" s="278"/>
      <c r="C13776" s="278"/>
      <c r="D13776" s="278"/>
      <c r="E13776" s="278"/>
      <c r="F13776" s="278"/>
      <c r="G13776" s="278"/>
      <c r="H13776" s="278"/>
      <c r="I13776" s="278"/>
      <c r="J13776" s="278"/>
      <c r="K13776" s="278"/>
      <c r="L13776" s="278"/>
      <c r="M13776" s="278"/>
      <c r="N13776" s="279"/>
      <c r="O13776" s="166"/>
    </row>
    <row r="13777" spans="1:14" ht="15" customHeight="1" x14ac:dyDescent="0.2">
      <c r="A13777" s="75"/>
      <c r="B13777" s="75"/>
      <c r="C13777" s="75"/>
      <c r="D13777" s="75"/>
      <c r="E13777" s="75"/>
      <c r="F13777" s="75"/>
      <c r="G13777" s="75"/>
      <c r="H13777" s="75"/>
      <c r="I13777" s="75"/>
      <c r="J13777" s="75"/>
      <c r="K13777" s="75"/>
      <c r="L13777" s="75"/>
      <c r="M13777" s="75"/>
      <c r="N13777" s="75"/>
    </row>
    <row r="13778" spans="1:14" ht="15" customHeight="1" x14ac:dyDescent="0.3">
      <c r="A13778" s="79" t="s">
        <v>914</v>
      </c>
      <c r="B13778" s="80" t="str">
        <f>A13775</f>
        <v>CORTE DE PAVIMENTO FLEXIBLE (INCLUYE MATERIALES, EQUIPOS, HERRAMIENTAS Y MANO DE OBRA)</v>
      </c>
      <c r="C13778" s="81" t="s">
        <v>916</v>
      </c>
      <c r="D13778" s="82" t="s">
        <v>981</v>
      </c>
      <c r="E13778" s="83" t="s">
        <v>445</v>
      </c>
      <c r="F13778" s="234">
        <f>(H13778+J13778+L13778+N13778)*1.3</f>
        <v>13452.494726064277</v>
      </c>
      <c r="G13778" s="83" t="s">
        <v>607</v>
      </c>
      <c r="H13778" s="86">
        <f>M13797</f>
        <v>7327.461893881391</v>
      </c>
      <c r="I13778" s="83" t="s">
        <v>918</v>
      </c>
      <c r="J13778" s="86">
        <f>M13788</f>
        <v>100</v>
      </c>
      <c r="K13778" s="83" t="s">
        <v>609</v>
      </c>
      <c r="L13778" s="86">
        <f>M13806</f>
        <v>371.37309469406955</v>
      </c>
      <c r="M13778" s="83" t="s">
        <v>610</v>
      </c>
      <c r="N13778" s="86">
        <f>M13815</f>
        <v>2549.2378776278274</v>
      </c>
    </row>
    <row r="13779" spans="1:14" ht="15" customHeight="1" x14ac:dyDescent="0.25">
      <c r="A13779" s="87"/>
      <c r="B13779" s="87"/>
      <c r="C13779" s="87"/>
      <c r="D13779" s="87"/>
      <c r="E13779" s="87"/>
      <c r="F13779" s="87"/>
      <c r="G13779" s="87"/>
      <c r="H13779" s="1"/>
      <c r="I13779" s="1"/>
      <c r="J13779" s="87"/>
      <c r="K13779" s="215" t="s">
        <v>3217</v>
      </c>
      <c r="L13779" s="215">
        <f>+F13778*presup!$O$5</f>
        <v>17488.243143883559</v>
      </c>
      <c r="M13779" s="87"/>
      <c r="N13779" s="87"/>
    </row>
    <row r="13780" spans="1:14" ht="15" customHeight="1" x14ac:dyDescent="0.2">
      <c r="A13780" s="398" t="s">
        <v>919</v>
      </c>
      <c r="B13780" s="271"/>
      <c r="C13780" s="271"/>
      <c r="D13780" s="271"/>
      <c r="E13780" s="271"/>
      <c r="F13780" s="271"/>
      <c r="G13780" s="271"/>
      <c r="H13780" s="271"/>
      <c r="I13780" s="271"/>
      <c r="J13780" s="271"/>
      <c r="K13780" s="271"/>
      <c r="L13780" s="271"/>
      <c r="M13780" s="271"/>
      <c r="N13780" s="273"/>
    </row>
    <row r="13781" spans="1:14" ht="15" customHeight="1" x14ac:dyDescent="0.2">
      <c r="A13781" s="396" t="s">
        <v>76</v>
      </c>
      <c r="B13781" s="271"/>
      <c r="C13781" s="271"/>
      <c r="D13781" s="271"/>
      <c r="E13781" s="271"/>
      <c r="F13781" s="271"/>
      <c r="G13781" s="273"/>
      <c r="H13781" s="88" t="s">
        <v>77</v>
      </c>
      <c r="I13781" s="399" t="s">
        <v>920</v>
      </c>
      <c r="J13781" s="273"/>
      <c r="K13781" s="399" t="s">
        <v>453</v>
      </c>
      <c r="L13781" s="273"/>
      <c r="M13781" s="399" t="s">
        <v>921</v>
      </c>
      <c r="N13781" s="273"/>
    </row>
    <row r="13782" spans="1:14" ht="15" customHeight="1" x14ac:dyDescent="0.2">
      <c r="A13782" s="403" t="s">
        <v>956</v>
      </c>
      <c r="B13782" s="271"/>
      <c r="C13782" s="271"/>
      <c r="D13782" s="271"/>
      <c r="E13782" s="271"/>
      <c r="F13782" s="271"/>
      <c r="G13782" s="273"/>
      <c r="H13782" s="29" t="str">
        <f t="shared" ref="H13782:H13787" si="1800">IF(A13782="","",VLOOKUP(A13782,AA_Materiales,7,FALSE))</f>
        <v>Lt</v>
      </c>
      <c r="I13782" s="394">
        <f t="shared" ref="I13782:I13787" si="1801">IF(A13782="","",VLOOKUP(A13782,AA_Materiales,8,FALSE))</f>
        <v>20</v>
      </c>
      <c r="J13782" s="273"/>
      <c r="K13782" s="395">
        <v>5</v>
      </c>
      <c r="L13782" s="273"/>
      <c r="M13782" s="394">
        <f t="shared" ref="M13782:M13787" si="1802">IF(A13782="","",I13782*K13782)</f>
        <v>100</v>
      </c>
      <c r="N13782" s="273"/>
    </row>
    <row r="13783" spans="1:14" ht="15" customHeight="1" x14ac:dyDescent="0.2">
      <c r="A13783" s="403"/>
      <c r="B13783" s="271"/>
      <c r="C13783" s="271"/>
      <c r="D13783" s="271"/>
      <c r="E13783" s="271"/>
      <c r="F13783" s="271"/>
      <c r="G13783" s="273"/>
      <c r="H13783" s="29" t="str">
        <f t="shared" si="1800"/>
        <v/>
      </c>
      <c r="I13783" s="394" t="str">
        <f t="shared" si="1801"/>
        <v/>
      </c>
      <c r="J13783" s="273"/>
      <c r="K13783" s="395"/>
      <c r="L13783" s="273"/>
      <c r="M13783" s="394" t="str">
        <f t="shared" si="1802"/>
        <v/>
      </c>
      <c r="N13783" s="273"/>
    </row>
    <row r="13784" spans="1:14" ht="15" customHeight="1" x14ac:dyDescent="0.2">
      <c r="A13784" s="403"/>
      <c r="B13784" s="271"/>
      <c r="C13784" s="271"/>
      <c r="D13784" s="271"/>
      <c r="E13784" s="271"/>
      <c r="F13784" s="271"/>
      <c r="G13784" s="273"/>
      <c r="H13784" s="29" t="str">
        <f t="shared" si="1800"/>
        <v/>
      </c>
      <c r="I13784" s="394" t="str">
        <f t="shared" si="1801"/>
        <v/>
      </c>
      <c r="J13784" s="273"/>
      <c r="K13784" s="395"/>
      <c r="L13784" s="273"/>
      <c r="M13784" s="394" t="str">
        <f t="shared" si="1802"/>
        <v/>
      </c>
      <c r="N13784" s="273"/>
    </row>
    <row r="13785" spans="1:14" ht="15" customHeight="1" x14ac:dyDescent="0.2">
      <c r="A13785" s="403"/>
      <c r="B13785" s="271"/>
      <c r="C13785" s="271"/>
      <c r="D13785" s="271"/>
      <c r="E13785" s="271"/>
      <c r="F13785" s="271"/>
      <c r="G13785" s="273"/>
      <c r="H13785" s="29" t="str">
        <f t="shared" si="1800"/>
        <v/>
      </c>
      <c r="I13785" s="394" t="str">
        <f t="shared" si="1801"/>
        <v/>
      </c>
      <c r="J13785" s="273"/>
      <c r="K13785" s="395"/>
      <c r="L13785" s="273"/>
      <c r="M13785" s="394" t="str">
        <f t="shared" si="1802"/>
        <v/>
      </c>
      <c r="N13785" s="273"/>
    </row>
    <row r="13786" spans="1:14" ht="15" customHeight="1" x14ac:dyDescent="0.2">
      <c r="A13786" s="403"/>
      <c r="B13786" s="271"/>
      <c r="C13786" s="271"/>
      <c r="D13786" s="271"/>
      <c r="E13786" s="271"/>
      <c r="F13786" s="271"/>
      <c r="G13786" s="273"/>
      <c r="H13786" s="29" t="str">
        <f t="shared" si="1800"/>
        <v/>
      </c>
      <c r="I13786" s="394" t="str">
        <f t="shared" si="1801"/>
        <v/>
      </c>
      <c r="J13786" s="273"/>
      <c r="K13786" s="395"/>
      <c r="L13786" s="273"/>
      <c r="M13786" s="394" t="str">
        <f t="shared" si="1802"/>
        <v/>
      </c>
      <c r="N13786" s="273"/>
    </row>
    <row r="13787" spans="1:14" ht="15" customHeight="1" x14ac:dyDescent="0.2">
      <c r="A13787" s="403"/>
      <c r="B13787" s="271"/>
      <c r="C13787" s="271"/>
      <c r="D13787" s="271"/>
      <c r="E13787" s="271"/>
      <c r="F13787" s="271"/>
      <c r="G13787" s="273"/>
      <c r="H13787" s="29" t="str">
        <f t="shared" si="1800"/>
        <v/>
      </c>
      <c r="I13787" s="394" t="str">
        <f t="shared" si="1801"/>
        <v/>
      </c>
      <c r="J13787" s="273"/>
      <c r="K13787" s="395"/>
      <c r="L13787" s="273"/>
      <c r="M13787" s="394" t="str">
        <f t="shared" si="1802"/>
        <v/>
      </c>
      <c r="N13787" s="273"/>
    </row>
    <row r="13788" spans="1:14" ht="15" customHeight="1" x14ac:dyDescent="0.25">
      <c r="A13788" s="4"/>
      <c r="B13788" s="4"/>
      <c r="C13788" s="4"/>
      <c r="D13788" s="4"/>
      <c r="E13788" s="4"/>
      <c r="F13788" s="4"/>
      <c r="G13788" s="4"/>
      <c r="H13788" s="4"/>
      <c r="I13788" s="4"/>
      <c r="J13788" s="4"/>
      <c r="K13788" s="396" t="s">
        <v>444</v>
      </c>
      <c r="L13788" s="273"/>
      <c r="M13788" s="394">
        <f>SUM(M13782:N13787)</f>
        <v>100</v>
      </c>
      <c r="N13788" s="273"/>
    </row>
    <row r="13789" spans="1:14" ht="15" customHeight="1" x14ac:dyDescent="0.25">
      <c r="A13789" s="4"/>
      <c r="B13789" s="4"/>
      <c r="C13789" s="4"/>
      <c r="D13789" s="4"/>
      <c r="E13789" s="4"/>
      <c r="F13789" s="4"/>
      <c r="G13789" s="4"/>
      <c r="H13789" s="4"/>
      <c r="I13789" s="4"/>
      <c r="J13789" s="4"/>
      <c r="K13789" s="4"/>
      <c r="L13789" s="4"/>
      <c r="M13789" s="4"/>
      <c r="N13789" s="4"/>
    </row>
    <row r="13790" spans="1:14" ht="15" customHeight="1" x14ac:dyDescent="0.2">
      <c r="A13790" s="398" t="s">
        <v>926</v>
      </c>
      <c r="B13790" s="271"/>
      <c r="C13790" s="271"/>
      <c r="D13790" s="271"/>
      <c r="E13790" s="271"/>
      <c r="F13790" s="271"/>
      <c r="G13790" s="271"/>
      <c r="H13790" s="271"/>
      <c r="I13790" s="271"/>
      <c r="J13790" s="271"/>
      <c r="K13790" s="271"/>
      <c r="L13790" s="271"/>
      <c r="M13790" s="271"/>
      <c r="N13790" s="273"/>
    </row>
    <row r="13791" spans="1:14" ht="15" customHeight="1" x14ac:dyDescent="0.2">
      <c r="A13791" s="396" t="s">
        <v>76</v>
      </c>
      <c r="B13791" s="271"/>
      <c r="C13791" s="271"/>
      <c r="D13791" s="271"/>
      <c r="E13791" s="271"/>
      <c r="F13791" s="271"/>
      <c r="G13791" s="273"/>
      <c r="H13791" s="88" t="s">
        <v>77</v>
      </c>
      <c r="I13791" s="399" t="s">
        <v>920</v>
      </c>
      <c r="J13791" s="273"/>
      <c r="K13791" s="399" t="s">
        <v>453</v>
      </c>
      <c r="L13791" s="273"/>
      <c r="M13791" s="399" t="s">
        <v>921</v>
      </c>
      <c r="N13791" s="273"/>
    </row>
    <row r="13792" spans="1:14" ht="15" customHeight="1" x14ac:dyDescent="0.2">
      <c r="A13792" s="400" t="s">
        <v>927</v>
      </c>
      <c r="B13792" s="271"/>
      <c r="C13792" s="271"/>
      <c r="D13792" s="271"/>
      <c r="E13792" s="271"/>
      <c r="F13792" s="271"/>
      <c r="G13792" s="273"/>
      <c r="H13792" s="29" t="str">
        <f>IF(A13792="","",VLOOKUP(A13792,AA_Equipos,7,FALSE))</f>
        <v>% M.O.</v>
      </c>
      <c r="I13792" s="394">
        <f>+M13815</f>
        <v>2549.2378776278274</v>
      </c>
      <c r="J13792" s="273"/>
      <c r="K13792" s="404">
        <v>0.05</v>
      </c>
      <c r="L13792" s="273"/>
      <c r="M13792" s="394">
        <f t="shared" ref="M13792:M13796" si="1803">IF(A13792="","",I13792*K13792)</f>
        <v>127.46189388139138</v>
      </c>
      <c r="N13792" s="273"/>
    </row>
    <row r="13793" spans="1:14" ht="15" customHeight="1" x14ac:dyDescent="0.2">
      <c r="A13793" s="403" t="s">
        <v>1171</v>
      </c>
      <c r="B13793" s="271"/>
      <c r="C13793" s="271"/>
      <c r="D13793" s="271"/>
      <c r="E13793" s="271"/>
      <c r="F13793" s="271"/>
      <c r="G13793" s="273"/>
      <c r="H13793" s="29" t="str">
        <f>IF(A13793="","",VLOOKUP(A13793,AA_Equipos,7,FALSE))</f>
        <v>Dia</v>
      </c>
      <c r="I13793" s="394">
        <f>IF(A13793="","",VLOOKUP(A13793,AA_Equipos,8,FALSE))</f>
        <v>180000</v>
      </c>
      <c r="J13793" s="273"/>
      <c r="K13793" s="402">
        <v>0.04</v>
      </c>
      <c r="L13793" s="273"/>
      <c r="M13793" s="394">
        <f t="shared" si="1803"/>
        <v>7200</v>
      </c>
      <c r="N13793" s="273"/>
    </row>
    <row r="13794" spans="1:14" ht="15" customHeight="1" x14ac:dyDescent="0.2">
      <c r="A13794" s="400"/>
      <c r="B13794" s="271"/>
      <c r="C13794" s="271"/>
      <c r="D13794" s="271"/>
      <c r="E13794" s="271"/>
      <c r="F13794" s="271"/>
      <c r="G13794" s="273"/>
      <c r="H13794" s="29" t="str">
        <f>IF(A13794="","",VLOOKUP(A13794,AA_Equipos,7,FALSE))</f>
        <v/>
      </c>
      <c r="I13794" s="394" t="str">
        <f>IF(A13794="","",VLOOKUP(A13794,AA_Equipos,8,FALSE))</f>
        <v/>
      </c>
      <c r="J13794" s="273"/>
      <c r="K13794" s="401"/>
      <c r="L13794" s="273"/>
      <c r="M13794" s="394" t="str">
        <f t="shared" si="1803"/>
        <v/>
      </c>
      <c r="N13794" s="273"/>
    </row>
    <row r="13795" spans="1:14" ht="15" customHeight="1" x14ac:dyDescent="0.2">
      <c r="A13795" s="400"/>
      <c r="B13795" s="271"/>
      <c r="C13795" s="271"/>
      <c r="D13795" s="271"/>
      <c r="E13795" s="271"/>
      <c r="F13795" s="271"/>
      <c r="G13795" s="273"/>
      <c r="H13795" s="29" t="str">
        <f>IF(A13795="","",VLOOKUP(A13795,AA_Equipos,7,FALSE))</f>
        <v/>
      </c>
      <c r="I13795" s="394" t="str">
        <f>IF(A13795="","",VLOOKUP(A13795,AA_Equipos,8,FALSE))</f>
        <v/>
      </c>
      <c r="J13795" s="273"/>
      <c r="K13795" s="395"/>
      <c r="L13795" s="273"/>
      <c r="M13795" s="394" t="str">
        <f t="shared" si="1803"/>
        <v/>
      </c>
      <c r="N13795" s="273"/>
    </row>
    <row r="13796" spans="1:14" ht="15" customHeight="1" x14ac:dyDescent="0.2">
      <c r="A13796" s="400"/>
      <c r="B13796" s="271"/>
      <c r="C13796" s="271"/>
      <c r="D13796" s="271"/>
      <c r="E13796" s="271"/>
      <c r="F13796" s="271"/>
      <c r="G13796" s="273"/>
      <c r="H13796" s="29" t="str">
        <f>IF(A13796="","",VLOOKUP(A13796,AA_Equipos,7,FALSE))</f>
        <v/>
      </c>
      <c r="I13796" s="394" t="str">
        <f>IF(A13796="","",VLOOKUP(A13796,AA_Equipos,8,FALSE))</f>
        <v/>
      </c>
      <c r="J13796" s="273"/>
      <c r="K13796" s="395"/>
      <c r="L13796" s="273"/>
      <c r="M13796" s="394" t="str">
        <f t="shared" si="1803"/>
        <v/>
      </c>
      <c r="N13796" s="273"/>
    </row>
    <row r="13797" spans="1:14" ht="15" customHeight="1" x14ac:dyDescent="0.25">
      <c r="A13797" s="4"/>
      <c r="B13797" s="4"/>
      <c r="C13797" s="4"/>
      <c r="D13797" s="4"/>
      <c r="E13797" s="4"/>
      <c r="F13797" s="4"/>
      <c r="G13797" s="4"/>
      <c r="H13797" s="4"/>
      <c r="I13797" s="4"/>
      <c r="J13797" s="4"/>
      <c r="K13797" s="396" t="s">
        <v>444</v>
      </c>
      <c r="L13797" s="273"/>
      <c r="M13797" s="394">
        <f>SUM(M13792:N13796)</f>
        <v>7327.461893881391</v>
      </c>
      <c r="N13797" s="273"/>
    </row>
    <row r="13798" spans="1:14" ht="15" customHeight="1" x14ac:dyDescent="0.25">
      <c r="A13798" s="4"/>
      <c r="B13798" s="4"/>
      <c r="C13798" s="4"/>
      <c r="D13798" s="4"/>
      <c r="E13798" s="4"/>
      <c r="F13798" s="4"/>
      <c r="G13798" s="4"/>
      <c r="H13798" s="4"/>
      <c r="I13798" s="4"/>
      <c r="J13798" s="4"/>
      <c r="K13798" s="4"/>
      <c r="L13798" s="4"/>
      <c r="M13798" s="4"/>
      <c r="N13798" s="4"/>
    </row>
    <row r="13799" spans="1:14" ht="15" customHeight="1" x14ac:dyDescent="0.2">
      <c r="A13799" s="398" t="s">
        <v>929</v>
      </c>
      <c r="B13799" s="271"/>
      <c r="C13799" s="271"/>
      <c r="D13799" s="271"/>
      <c r="E13799" s="271"/>
      <c r="F13799" s="271"/>
      <c r="G13799" s="271"/>
      <c r="H13799" s="271"/>
      <c r="I13799" s="271"/>
      <c r="J13799" s="271"/>
      <c r="K13799" s="271"/>
      <c r="L13799" s="271"/>
      <c r="M13799" s="271"/>
      <c r="N13799" s="273"/>
    </row>
    <row r="13800" spans="1:14" ht="15" customHeight="1" x14ac:dyDescent="0.2">
      <c r="A13800" s="396" t="s">
        <v>76</v>
      </c>
      <c r="B13800" s="271"/>
      <c r="C13800" s="271"/>
      <c r="D13800" s="271"/>
      <c r="E13800" s="271"/>
      <c r="F13800" s="271"/>
      <c r="G13800" s="273"/>
      <c r="H13800" s="88" t="s">
        <v>77</v>
      </c>
      <c r="I13800" s="399" t="s">
        <v>920</v>
      </c>
      <c r="J13800" s="273"/>
      <c r="K13800" s="399" t="s">
        <v>453</v>
      </c>
      <c r="L13800" s="273"/>
      <c r="M13800" s="399" t="s">
        <v>921</v>
      </c>
      <c r="N13800" s="273"/>
    </row>
    <row r="13801" spans="1:14" ht="15" customHeight="1" x14ac:dyDescent="0.2">
      <c r="A13801" s="400" t="s">
        <v>966</v>
      </c>
      <c r="B13801" s="271"/>
      <c r="C13801" s="271"/>
      <c r="D13801" s="271"/>
      <c r="E13801" s="271"/>
      <c r="F13801" s="271"/>
      <c r="G13801" s="273"/>
      <c r="H13801" s="29" t="s">
        <v>950</v>
      </c>
      <c r="I13801" s="394">
        <f>+M13788</f>
        <v>100</v>
      </c>
      <c r="J13801" s="273"/>
      <c r="K13801" s="404">
        <v>0.05</v>
      </c>
      <c r="L13801" s="273"/>
      <c r="M13801" s="394">
        <f t="shared" ref="M13801:M13805" si="1804">IF(A13801="","",I13801*K13801)</f>
        <v>5</v>
      </c>
      <c r="N13801" s="273"/>
    </row>
    <row r="13802" spans="1:14" ht="15" customHeight="1" x14ac:dyDescent="0.2">
      <c r="A13802" s="403" t="s">
        <v>3174</v>
      </c>
      <c r="B13802" s="271"/>
      <c r="C13802" s="271"/>
      <c r="D13802" s="271"/>
      <c r="E13802" s="271"/>
      <c r="F13802" s="271"/>
      <c r="G13802" s="273"/>
      <c r="H13802" s="29" t="s">
        <v>24</v>
      </c>
      <c r="I13802" s="394">
        <f>+M13797</f>
        <v>7327.461893881391</v>
      </c>
      <c r="J13802" s="273"/>
      <c r="K13802" s="404">
        <v>0.05</v>
      </c>
      <c r="L13802" s="273"/>
      <c r="M13802" s="394">
        <f t="shared" si="1804"/>
        <v>366.37309469406955</v>
      </c>
      <c r="N13802" s="273"/>
    </row>
    <row r="13803" spans="1:14" ht="15" customHeight="1" x14ac:dyDescent="0.2">
      <c r="A13803" s="400"/>
      <c r="B13803" s="271"/>
      <c r="C13803" s="271"/>
      <c r="D13803" s="271"/>
      <c r="E13803" s="271"/>
      <c r="F13803" s="271"/>
      <c r="G13803" s="273"/>
      <c r="H13803" s="29"/>
      <c r="I13803" s="394"/>
      <c r="J13803" s="273"/>
      <c r="K13803" s="395"/>
      <c r="L13803" s="273"/>
      <c r="M13803" s="394" t="str">
        <f t="shared" si="1804"/>
        <v/>
      </c>
      <c r="N13803" s="273"/>
    </row>
    <row r="13804" spans="1:14" ht="15" customHeight="1" x14ac:dyDescent="0.2">
      <c r="A13804" s="400"/>
      <c r="B13804" s="271"/>
      <c r="C13804" s="271"/>
      <c r="D13804" s="271"/>
      <c r="E13804" s="271"/>
      <c r="F13804" s="271"/>
      <c r="G13804" s="273"/>
      <c r="H13804" s="29"/>
      <c r="I13804" s="394"/>
      <c r="J13804" s="273"/>
      <c r="K13804" s="395"/>
      <c r="L13804" s="273"/>
      <c r="M13804" s="394" t="str">
        <f t="shared" si="1804"/>
        <v/>
      </c>
      <c r="N13804" s="273"/>
    </row>
    <row r="13805" spans="1:14" ht="15" customHeight="1" x14ac:dyDescent="0.2">
      <c r="A13805" s="400"/>
      <c r="B13805" s="271"/>
      <c r="C13805" s="271"/>
      <c r="D13805" s="271"/>
      <c r="E13805" s="271"/>
      <c r="F13805" s="271"/>
      <c r="G13805" s="273"/>
      <c r="H13805" s="29"/>
      <c r="I13805" s="394"/>
      <c r="J13805" s="273"/>
      <c r="K13805" s="395"/>
      <c r="L13805" s="273"/>
      <c r="M13805" s="394" t="str">
        <f t="shared" si="1804"/>
        <v/>
      </c>
      <c r="N13805" s="273"/>
    </row>
    <row r="13806" spans="1:14" ht="15" customHeight="1" x14ac:dyDescent="0.25">
      <c r="A13806" s="4"/>
      <c r="B13806" s="4"/>
      <c r="C13806" s="4"/>
      <c r="D13806" s="4"/>
      <c r="E13806" s="4"/>
      <c r="F13806" s="4"/>
      <c r="G13806" s="4"/>
      <c r="H13806" s="4"/>
      <c r="I13806" s="4"/>
      <c r="J13806" s="4"/>
      <c r="K13806" s="396" t="s">
        <v>444</v>
      </c>
      <c r="L13806" s="273"/>
      <c r="M13806" s="394">
        <f>SUM(M13801:N13805)</f>
        <v>371.37309469406955</v>
      </c>
      <c r="N13806" s="273"/>
    </row>
    <row r="13807" spans="1:14" ht="15" customHeight="1" x14ac:dyDescent="0.25">
      <c r="A13807" s="4"/>
      <c r="B13807" s="4"/>
      <c r="C13807" s="4"/>
      <c r="D13807" s="4"/>
      <c r="E13807" s="4"/>
      <c r="F13807" s="4"/>
      <c r="G13807" s="4"/>
      <c r="H13807" s="4"/>
      <c r="I13807" s="4"/>
      <c r="J13807" s="4"/>
      <c r="K13807" s="4"/>
      <c r="L13807" s="4"/>
      <c r="M13807" s="4"/>
      <c r="N13807" s="4"/>
    </row>
    <row r="13808" spans="1:14" ht="15" customHeight="1" x14ac:dyDescent="0.2">
      <c r="A13808" s="398" t="s">
        <v>931</v>
      </c>
      <c r="B13808" s="271"/>
      <c r="C13808" s="271"/>
      <c r="D13808" s="271"/>
      <c r="E13808" s="271"/>
      <c r="F13808" s="271"/>
      <c r="G13808" s="271"/>
      <c r="H13808" s="271"/>
      <c r="I13808" s="271"/>
      <c r="J13808" s="271"/>
      <c r="K13808" s="271"/>
      <c r="L13808" s="271"/>
      <c r="M13808" s="271"/>
      <c r="N13808" s="273"/>
    </row>
    <row r="13809" spans="1:15" ht="15" customHeight="1" x14ac:dyDescent="0.2">
      <c r="A13809" s="396" t="s">
        <v>76</v>
      </c>
      <c r="B13809" s="271"/>
      <c r="C13809" s="271"/>
      <c r="D13809" s="271"/>
      <c r="E13809" s="271"/>
      <c r="F13809" s="271"/>
      <c r="G13809" s="273"/>
      <c r="H13809" s="88" t="s">
        <v>77</v>
      </c>
      <c r="I13809" s="399" t="s">
        <v>920</v>
      </c>
      <c r="J13809" s="273"/>
      <c r="K13809" s="90" t="s">
        <v>514</v>
      </c>
      <c r="L13809" s="91" t="s">
        <v>932</v>
      </c>
      <c r="M13809" s="399" t="s">
        <v>921</v>
      </c>
      <c r="N13809" s="273"/>
    </row>
    <row r="13810" spans="1:15" ht="15" customHeight="1" x14ac:dyDescent="0.25">
      <c r="A13810" s="393" t="s">
        <v>936</v>
      </c>
      <c r="B13810" s="271"/>
      <c r="C13810" s="271"/>
      <c r="D13810" s="271"/>
      <c r="E13810" s="271"/>
      <c r="F13810" s="271"/>
      <c r="G13810" s="273"/>
      <c r="H13810" s="29" t="str">
        <f>IF(A13810="","",VLOOKUP(A13810,AA_Cuadrillas,4,FALSE))</f>
        <v>Cuadrilla</v>
      </c>
      <c r="I13810" s="394">
        <f>IF(A13810="","",VLOOKUP(A13810,AA_Cuadrillas,5,FALSE))</f>
        <v>70036</v>
      </c>
      <c r="J13810" s="273"/>
      <c r="K13810" s="9">
        <f>IF(A13810="","",F.P!$I$2)</f>
        <v>1.88</v>
      </c>
      <c r="L13810" s="93">
        <v>1.9361151329072006E-2</v>
      </c>
      <c r="M13810" s="394">
        <f t="shared" ref="M13810:M13814" si="1805">IF(A13810="","",I13810*K13810*L13810)</f>
        <v>2549.2378776278274</v>
      </c>
      <c r="N13810" s="273"/>
    </row>
    <row r="13811" spans="1:15" ht="15" customHeight="1" x14ac:dyDescent="0.25">
      <c r="A13811" s="393"/>
      <c r="B13811" s="271"/>
      <c r="C13811" s="271"/>
      <c r="D13811" s="271"/>
      <c r="E13811" s="271"/>
      <c r="F13811" s="271"/>
      <c r="G13811" s="273"/>
      <c r="H13811" s="29" t="str">
        <f>IF(A13811="","",VLOOKUP(A13811,AA_Cuadrillas,4,FALSE))</f>
        <v/>
      </c>
      <c r="I13811" s="394" t="str">
        <f>IF(A13811="","",VLOOKUP(A13811,AA_Cuadrillas,5,FALSE))</f>
        <v/>
      </c>
      <c r="J13811" s="273"/>
      <c r="K13811" s="9" t="str">
        <f>IF(A13811="","",F.P!$I$2)</f>
        <v/>
      </c>
      <c r="L13811" s="9"/>
      <c r="M13811" s="394" t="str">
        <f t="shared" si="1805"/>
        <v/>
      </c>
      <c r="N13811" s="273"/>
    </row>
    <row r="13812" spans="1:15" ht="15" customHeight="1" x14ac:dyDescent="0.25">
      <c r="A13812" s="393"/>
      <c r="B13812" s="271"/>
      <c r="C13812" s="271"/>
      <c r="D13812" s="271"/>
      <c r="E13812" s="271"/>
      <c r="F13812" s="271"/>
      <c r="G13812" s="273"/>
      <c r="H13812" s="29" t="str">
        <f>IF(A13812="","",VLOOKUP(A13812,AA_Cuadrillas,4,FALSE))</f>
        <v/>
      </c>
      <c r="I13812" s="394" t="str">
        <f>IF(A13812="","",VLOOKUP(A13812,AA_Cuadrillas,5,FALSE))</f>
        <v/>
      </c>
      <c r="J13812" s="273"/>
      <c r="K13812" s="9" t="str">
        <f>IF(A13812="","",F.P!$I$2)</f>
        <v/>
      </c>
      <c r="L13812" s="37"/>
      <c r="M13812" s="394" t="str">
        <f t="shared" si="1805"/>
        <v/>
      </c>
      <c r="N13812" s="273"/>
    </row>
    <row r="13813" spans="1:15" ht="15" customHeight="1" x14ac:dyDescent="0.25">
      <c r="A13813" s="393"/>
      <c r="B13813" s="271"/>
      <c r="C13813" s="271"/>
      <c r="D13813" s="271"/>
      <c r="E13813" s="271"/>
      <c r="F13813" s="271"/>
      <c r="G13813" s="273"/>
      <c r="H13813" s="29" t="str">
        <f>IF(A13813="","",VLOOKUP(A13813,AA_Cuadrillas,4,FALSE))</f>
        <v/>
      </c>
      <c r="I13813" s="394" t="str">
        <f>IF(A13813="","",VLOOKUP(A13813,AA_Cuadrillas,5,FALSE))</f>
        <v/>
      </c>
      <c r="J13813" s="273"/>
      <c r="K13813" s="9" t="str">
        <f>IF(A13813="","",F.P!$I$2)</f>
        <v/>
      </c>
      <c r="L13813" s="37"/>
      <c r="M13813" s="394" t="str">
        <f t="shared" si="1805"/>
        <v/>
      </c>
      <c r="N13813" s="273"/>
    </row>
    <row r="13814" spans="1:15" ht="15" customHeight="1" x14ac:dyDescent="0.25">
      <c r="A13814" s="393"/>
      <c r="B13814" s="271"/>
      <c r="C13814" s="271"/>
      <c r="D13814" s="271"/>
      <c r="E13814" s="271"/>
      <c r="F13814" s="271"/>
      <c r="G13814" s="273"/>
      <c r="H13814" s="29" t="str">
        <f>IF(A13814="","",VLOOKUP(A13814,AA_Cuadrillas,4,FALSE))</f>
        <v/>
      </c>
      <c r="I13814" s="394" t="str">
        <f>IF(A13814="","",VLOOKUP(A13814,AA_Cuadrillas,5,FALSE))</f>
        <v/>
      </c>
      <c r="J13814" s="273"/>
      <c r="K13814" s="9" t="str">
        <f>IF(A13814="","",F.P!$I$2)</f>
        <v/>
      </c>
      <c r="L13814" s="37"/>
      <c r="M13814" s="394" t="str">
        <f t="shared" si="1805"/>
        <v/>
      </c>
      <c r="N13814" s="273"/>
    </row>
    <row r="13815" spans="1:15" ht="15" customHeight="1" x14ac:dyDescent="0.25">
      <c r="A13815" s="4"/>
      <c r="B13815" s="4"/>
      <c r="C13815" s="4"/>
      <c r="D13815" s="4"/>
      <c r="E13815" s="4"/>
      <c r="F13815" s="4"/>
      <c r="G13815" s="4"/>
      <c r="H13815" s="4"/>
      <c r="I13815" s="4"/>
      <c r="J13815" s="4"/>
      <c r="K13815" s="396" t="s">
        <v>444</v>
      </c>
      <c r="L13815" s="273"/>
      <c r="M13815" s="394">
        <f>SUM(M13810:N13814)</f>
        <v>2549.2378776278274</v>
      </c>
      <c r="N13815" s="273"/>
    </row>
    <row r="13817" spans="1:15" ht="15" customHeight="1" x14ac:dyDescent="0.2">
      <c r="A13817" s="407" t="s">
        <v>3178</v>
      </c>
      <c r="B13817" s="275"/>
      <c r="C13817" s="275"/>
      <c r="D13817" s="275"/>
      <c r="E13817" s="275"/>
      <c r="F13817" s="275"/>
      <c r="G13817" s="275"/>
      <c r="H13817" s="275"/>
      <c r="I13817" s="275"/>
      <c r="J13817" s="275"/>
      <c r="K13817" s="275"/>
      <c r="L13817" s="275"/>
      <c r="M13817" s="275"/>
      <c r="N13817" s="276"/>
      <c r="O13817" s="166"/>
    </row>
    <row r="13818" spans="1:15" ht="15" customHeight="1" x14ac:dyDescent="0.2">
      <c r="A13818" s="277"/>
      <c r="B13818" s="278"/>
      <c r="C13818" s="278"/>
      <c r="D13818" s="278"/>
      <c r="E13818" s="278"/>
      <c r="F13818" s="278"/>
      <c r="G13818" s="278"/>
      <c r="H13818" s="278"/>
      <c r="I13818" s="278"/>
      <c r="J13818" s="278"/>
      <c r="K13818" s="278"/>
      <c r="L13818" s="278"/>
      <c r="M13818" s="278"/>
      <c r="N13818" s="279"/>
      <c r="O13818" s="166"/>
    </row>
    <row r="13819" spans="1:15" ht="15" customHeight="1" x14ac:dyDescent="0.2">
      <c r="A13819" s="75"/>
      <c r="B13819" s="75"/>
      <c r="C13819" s="75"/>
      <c r="D13819" s="75"/>
      <c r="E13819" s="75"/>
      <c r="F13819" s="75"/>
      <c r="G13819" s="75"/>
      <c r="H13819" s="75"/>
      <c r="I13819" s="75"/>
      <c r="J13819" s="75"/>
      <c r="K13819" s="75"/>
      <c r="L13819" s="75"/>
      <c r="M13819" s="75"/>
      <c r="N13819" s="75"/>
    </row>
    <row r="13820" spans="1:15" ht="15" customHeight="1" x14ac:dyDescent="0.3">
      <c r="A13820" s="79" t="s">
        <v>915</v>
      </c>
      <c r="B13820" s="80" t="str">
        <f>A13817</f>
        <v>SUMINISTRO, PREPARACIÓN E INSTALACIÓN DE MORTERO 1:4 IMPERMEABILIZADO (INCLUYE MATERIALES, HERRAMIENTAS, TRANSPORTE Y MANO DE OBRA)</v>
      </c>
      <c r="C13820" s="81" t="s">
        <v>916</v>
      </c>
      <c r="D13820" s="82" t="s">
        <v>258</v>
      </c>
      <c r="E13820" s="83" t="s">
        <v>445</v>
      </c>
      <c r="F13820" s="240">
        <f>H13820+J13820+L13820+N13820</f>
        <v>745047.0496790678</v>
      </c>
      <c r="G13820" s="83" t="s">
        <v>607</v>
      </c>
      <c r="H13820" s="86">
        <f>M13839</f>
        <v>32083.749777777775</v>
      </c>
      <c r="I13820" s="83" t="s">
        <v>918</v>
      </c>
      <c r="J13820" s="86">
        <f>M13830</f>
        <v>427562.5</v>
      </c>
      <c r="K13820" s="83" t="s">
        <v>609</v>
      </c>
      <c r="L13820" s="86">
        <f>M13848</f>
        <v>119596.91545684561</v>
      </c>
      <c r="M13820" s="83" t="s">
        <v>610</v>
      </c>
      <c r="N13820" s="86">
        <f>M13857</f>
        <v>165803.88444444444</v>
      </c>
      <c r="O13820" t="s">
        <v>3224</v>
      </c>
    </row>
    <row r="13821" spans="1:15" ht="15" customHeight="1" x14ac:dyDescent="0.25">
      <c r="A13821" s="87"/>
      <c r="B13821" s="87"/>
      <c r="C13821" s="87"/>
      <c r="D13821" s="87"/>
      <c r="E13821" s="87"/>
      <c r="F13821" s="87"/>
      <c r="G13821" s="87"/>
      <c r="H13821" s="1"/>
      <c r="I13821" s="1"/>
      <c r="J13821" s="87"/>
      <c r="K13821" s="215" t="s">
        <v>3217</v>
      </c>
      <c r="L13821" s="215">
        <f>+F13820*presup!$O$5</f>
        <v>968561.16458278813</v>
      </c>
      <c r="M13821" s="87"/>
      <c r="N13821" s="87"/>
    </row>
    <row r="13822" spans="1:15" ht="15" customHeight="1" x14ac:dyDescent="0.2">
      <c r="A13822" s="398" t="s">
        <v>919</v>
      </c>
      <c r="B13822" s="271"/>
      <c r="C13822" s="271"/>
      <c r="D13822" s="271"/>
      <c r="E13822" s="271"/>
      <c r="F13822" s="271"/>
      <c r="G13822" s="271"/>
      <c r="H13822" s="271"/>
      <c r="I13822" s="271"/>
      <c r="J13822" s="271"/>
      <c r="K13822" s="271"/>
      <c r="L13822" s="271"/>
      <c r="M13822" s="271"/>
      <c r="N13822" s="273"/>
    </row>
    <row r="13823" spans="1:15" ht="15" customHeight="1" x14ac:dyDescent="0.2">
      <c r="A13823" s="396" t="s">
        <v>76</v>
      </c>
      <c r="B13823" s="271"/>
      <c r="C13823" s="271"/>
      <c r="D13823" s="271"/>
      <c r="E13823" s="271"/>
      <c r="F13823" s="271"/>
      <c r="G13823" s="273"/>
      <c r="H13823" s="88" t="s">
        <v>77</v>
      </c>
      <c r="I13823" s="399" t="s">
        <v>920</v>
      </c>
      <c r="J13823" s="273"/>
      <c r="K13823" s="399" t="s">
        <v>453</v>
      </c>
      <c r="L13823" s="273"/>
      <c r="M13823" s="399" t="s">
        <v>921</v>
      </c>
      <c r="N13823" s="273"/>
    </row>
    <row r="13824" spans="1:15" ht="15" customHeight="1" x14ac:dyDescent="0.2">
      <c r="A13824" s="403" t="s">
        <v>956</v>
      </c>
      <c r="B13824" s="271"/>
      <c r="C13824" s="271"/>
      <c r="D13824" s="271"/>
      <c r="E13824" s="271"/>
      <c r="F13824" s="271"/>
      <c r="G13824" s="273"/>
      <c r="H13824" s="29" t="str">
        <f t="shared" ref="H13824:H13829" si="1806">IF(A13824="","",VLOOKUP(A13824,AA_Materiales,7,FALSE))</f>
        <v>Lt</v>
      </c>
      <c r="I13824" s="394">
        <f t="shared" ref="I13824:I13829" si="1807">IF(A13824="","",VLOOKUP(A13824,AA_Materiales,8,FALSE))</f>
        <v>20</v>
      </c>
      <c r="J13824" s="273"/>
      <c r="K13824" s="395">
        <v>190</v>
      </c>
      <c r="L13824" s="273"/>
      <c r="M13824" s="394">
        <f t="shared" ref="M13824:M13829" si="1808">IF(A13824="","",I13824*K13824)</f>
        <v>3800</v>
      </c>
      <c r="N13824" s="273"/>
    </row>
    <row r="13825" spans="1:14" ht="15" customHeight="1" x14ac:dyDescent="0.2">
      <c r="A13825" s="403" t="s">
        <v>953</v>
      </c>
      <c r="B13825" s="271"/>
      <c r="C13825" s="271"/>
      <c r="D13825" s="271"/>
      <c r="E13825" s="271"/>
      <c r="F13825" s="271"/>
      <c r="G13825" s="273"/>
      <c r="H13825" s="29" t="str">
        <f t="shared" si="1806"/>
        <v>Kg</v>
      </c>
      <c r="I13825" s="394">
        <f t="shared" si="1807"/>
        <v>800</v>
      </c>
      <c r="J13825" s="273"/>
      <c r="K13825" s="395">
        <v>364</v>
      </c>
      <c r="L13825" s="273"/>
      <c r="M13825" s="394">
        <f t="shared" si="1808"/>
        <v>291200</v>
      </c>
      <c r="N13825" s="273"/>
    </row>
    <row r="13826" spans="1:14" ht="15" customHeight="1" x14ac:dyDescent="0.2">
      <c r="A13826" s="403" t="s">
        <v>954</v>
      </c>
      <c r="B13826" s="271"/>
      <c r="C13826" s="271"/>
      <c r="D13826" s="271"/>
      <c r="E13826" s="271"/>
      <c r="F13826" s="271"/>
      <c r="G13826" s="273"/>
      <c r="H13826" s="29" t="str">
        <f t="shared" si="1806"/>
        <v>m3</v>
      </c>
      <c r="I13826" s="394">
        <f t="shared" si="1807"/>
        <v>83000</v>
      </c>
      <c r="J13826" s="273"/>
      <c r="K13826" s="395">
        <v>1.2</v>
      </c>
      <c r="L13826" s="273"/>
      <c r="M13826" s="394">
        <f t="shared" si="1808"/>
        <v>99600</v>
      </c>
      <c r="N13826" s="273"/>
    </row>
    <row r="13827" spans="1:14" ht="15" customHeight="1" x14ac:dyDescent="0.2">
      <c r="A13827" s="403" t="s">
        <v>1014</v>
      </c>
      <c r="B13827" s="271"/>
      <c r="C13827" s="271"/>
      <c r="D13827" s="271"/>
      <c r="E13827" s="271"/>
      <c r="F13827" s="271"/>
      <c r="G13827" s="273"/>
      <c r="H13827" s="29" t="str">
        <f t="shared" si="1806"/>
        <v>Kg</v>
      </c>
      <c r="I13827" s="394">
        <f t="shared" si="1807"/>
        <v>21975</v>
      </c>
      <c r="J13827" s="273"/>
      <c r="K13827" s="395">
        <v>1.5</v>
      </c>
      <c r="L13827" s="273"/>
      <c r="M13827" s="394">
        <f t="shared" si="1808"/>
        <v>32962.5</v>
      </c>
      <c r="N13827" s="273"/>
    </row>
    <row r="13828" spans="1:14" ht="15" customHeight="1" x14ac:dyDescent="0.2">
      <c r="A13828" s="403"/>
      <c r="B13828" s="271"/>
      <c r="C13828" s="271"/>
      <c r="D13828" s="271"/>
      <c r="E13828" s="271"/>
      <c r="F13828" s="271"/>
      <c r="G13828" s="273"/>
      <c r="H13828" s="29" t="str">
        <f t="shared" si="1806"/>
        <v/>
      </c>
      <c r="I13828" s="394" t="str">
        <f t="shared" si="1807"/>
        <v/>
      </c>
      <c r="J13828" s="273"/>
      <c r="K13828" s="395"/>
      <c r="L13828" s="273"/>
      <c r="M13828" s="394" t="str">
        <f t="shared" si="1808"/>
        <v/>
      </c>
      <c r="N13828" s="273"/>
    </row>
    <row r="13829" spans="1:14" ht="15" customHeight="1" x14ac:dyDescent="0.2">
      <c r="A13829" s="403"/>
      <c r="B13829" s="271"/>
      <c r="C13829" s="271"/>
      <c r="D13829" s="271"/>
      <c r="E13829" s="271"/>
      <c r="F13829" s="271"/>
      <c r="G13829" s="273"/>
      <c r="H13829" s="29" t="str">
        <f t="shared" si="1806"/>
        <v/>
      </c>
      <c r="I13829" s="394" t="str">
        <f t="shared" si="1807"/>
        <v/>
      </c>
      <c r="J13829" s="273"/>
      <c r="K13829" s="395"/>
      <c r="L13829" s="273"/>
      <c r="M13829" s="394" t="str">
        <f t="shared" si="1808"/>
        <v/>
      </c>
      <c r="N13829" s="273"/>
    </row>
    <row r="13830" spans="1:14" ht="15" customHeight="1" x14ac:dyDescent="0.25">
      <c r="A13830" s="4"/>
      <c r="B13830" s="4"/>
      <c r="C13830" s="4"/>
      <c r="D13830" s="4"/>
      <c r="E13830" s="4"/>
      <c r="F13830" s="4"/>
      <c r="G13830" s="4"/>
      <c r="H13830" s="4"/>
      <c r="I13830" s="4"/>
      <c r="J13830" s="4"/>
      <c r="K13830" s="396" t="s">
        <v>444</v>
      </c>
      <c r="L13830" s="273"/>
      <c r="M13830" s="394">
        <f>SUM(M13824:N13829)</f>
        <v>427562.5</v>
      </c>
      <c r="N13830" s="273"/>
    </row>
    <row r="13831" spans="1:14" ht="15" customHeight="1" x14ac:dyDescent="0.25">
      <c r="A13831" s="4"/>
      <c r="B13831" s="4"/>
      <c r="C13831" s="4"/>
      <c r="D13831" s="4"/>
      <c r="E13831" s="4"/>
      <c r="F13831" s="4"/>
      <c r="G13831" s="4"/>
      <c r="H13831" s="4"/>
      <c r="I13831" s="4"/>
      <c r="J13831" s="4"/>
      <c r="K13831" s="4"/>
      <c r="L13831" s="4"/>
      <c r="M13831" s="4"/>
      <c r="N13831" s="4"/>
    </row>
    <row r="13832" spans="1:14" ht="15" customHeight="1" x14ac:dyDescent="0.2">
      <c r="A13832" s="398" t="s">
        <v>926</v>
      </c>
      <c r="B13832" s="271"/>
      <c r="C13832" s="271"/>
      <c r="D13832" s="271"/>
      <c r="E13832" s="271"/>
      <c r="F13832" s="271"/>
      <c r="G13832" s="271"/>
      <c r="H13832" s="271"/>
      <c r="I13832" s="271"/>
      <c r="J13832" s="271"/>
      <c r="K13832" s="271"/>
      <c r="L13832" s="271"/>
      <c r="M13832" s="271"/>
      <c r="N13832" s="273"/>
    </row>
    <row r="13833" spans="1:14" ht="15" customHeight="1" x14ac:dyDescent="0.2">
      <c r="A13833" s="396" t="s">
        <v>76</v>
      </c>
      <c r="B13833" s="271"/>
      <c r="C13833" s="271"/>
      <c r="D13833" s="271"/>
      <c r="E13833" s="271"/>
      <c r="F13833" s="271"/>
      <c r="G13833" s="273"/>
      <c r="H13833" s="88" t="s">
        <v>77</v>
      </c>
      <c r="I13833" s="399" t="s">
        <v>920</v>
      </c>
      <c r="J13833" s="273"/>
      <c r="K13833" s="399" t="s">
        <v>453</v>
      </c>
      <c r="L13833" s="273"/>
      <c r="M13833" s="399" t="s">
        <v>921</v>
      </c>
      <c r="N13833" s="273"/>
    </row>
    <row r="13834" spans="1:14" ht="15" customHeight="1" x14ac:dyDescent="0.2">
      <c r="A13834" s="400" t="s">
        <v>927</v>
      </c>
      <c r="B13834" s="271"/>
      <c r="C13834" s="271"/>
      <c r="D13834" s="271"/>
      <c r="E13834" s="271"/>
      <c r="F13834" s="271"/>
      <c r="G13834" s="273"/>
      <c r="H13834" s="29" t="str">
        <f>IF(A13834="","",VLOOKUP(A13834,AA_Equipos,7,FALSE))</f>
        <v>% M.O.</v>
      </c>
      <c r="I13834" s="394">
        <f>+M13857</f>
        <v>165803.88444444444</v>
      </c>
      <c r="J13834" s="273"/>
      <c r="K13834" s="404">
        <v>0.05</v>
      </c>
      <c r="L13834" s="273"/>
      <c r="M13834" s="394">
        <f t="shared" ref="M13834:M13838" si="1809">IF(A13834="","",I13834*K13834)</f>
        <v>8290.1942222222224</v>
      </c>
      <c r="N13834" s="273"/>
    </row>
    <row r="13835" spans="1:14" ht="15" customHeight="1" x14ac:dyDescent="0.2">
      <c r="A13835" s="400" t="s">
        <v>957</v>
      </c>
      <c r="B13835" s="271"/>
      <c r="C13835" s="271"/>
      <c r="D13835" s="271"/>
      <c r="E13835" s="271"/>
      <c r="F13835" s="271"/>
      <c r="G13835" s="273"/>
      <c r="H13835" s="29" t="str">
        <f>IF(A13835="","",VLOOKUP(A13835,AA_Equipos,7,FALSE))</f>
        <v>Dia</v>
      </c>
      <c r="I13835" s="394">
        <f>IF(A13835="","",VLOOKUP(A13835,AA_Equipos,8,FALSE))</f>
        <v>107071</v>
      </c>
      <c r="J13835" s="273"/>
      <c r="K13835" s="402">
        <f>1/4.5</f>
        <v>0.22222222222222221</v>
      </c>
      <c r="L13835" s="273"/>
      <c r="M13835" s="394">
        <f t="shared" si="1809"/>
        <v>23793.555555555555</v>
      </c>
      <c r="N13835" s="273"/>
    </row>
    <row r="13836" spans="1:14" ht="15" customHeight="1" x14ac:dyDescent="0.2">
      <c r="A13836" s="400"/>
      <c r="B13836" s="271"/>
      <c r="C13836" s="271"/>
      <c r="D13836" s="271"/>
      <c r="E13836" s="271"/>
      <c r="F13836" s="271"/>
      <c r="G13836" s="273"/>
      <c r="H13836" s="29" t="str">
        <f>IF(A13836="","",VLOOKUP(A13836,AA_Equipos,7,FALSE))</f>
        <v/>
      </c>
      <c r="I13836" s="394" t="str">
        <f>IF(A13836="","",VLOOKUP(A13836,AA_Equipos,8,FALSE))</f>
        <v/>
      </c>
      <c r="J13836" s="273"/>
      <c r="K13836" s="401"/>
      <c r="L13836" s="273"/>
      <c r="M13836" s="394" t="str">
        <f t="shared" si="1809"/>
        <v/>
      </c>
      <c r="N13836" s="273"/>
    </row>
    <row r="13837" spans="1:14" ht="15" customHeight="1" x14ac:dyDescent="0.2">
      <c r="A13837" s="400"/>
      <c r="B13837" s="271"/>
      <c r="C13837" s="271"/>
      <c r="D13837" s="271"/>
      <c r="E13837" s="271"/>
      <c r="F13837" s="271"/>
      <c r="G13837" s="273"/>
      <c r="H13837" s="29" t="str">
        <f>IF(A13837="","",VLOOKUP(A13837,AA_Equipos,7,FALSE))</f>
        <v/>
      </c>
      <c r="I13837" s="394" t="str">
        <f>IF(A13837="","",VLOOKUP(A13837,AA_Equipos,8,FALSE))</f>
        <v/>
      </c>
      <c r="J13837" s="273"/>
      <c r="K13837" s="395"/>
      <c r="L13837" s="273"/>
      <c r="M13837" s="394" t="str">
        <f t="shared" si="1809"/>
        <v/>
      </c>
      <c r="N13837" s="273"/>
    </row>
    <row r="13838" spans="1:14" ht="15" customHeight="1" x14ac:dyDescent="0.2">
      <c r="A13838" s="400"/>
      <c r="B13838" s="271"/>
      <c r="C13838" s="271"/>
      <c r="D13838" s="271"/>
      <c r="E13838" s="271"/>
      <c r="F13838" s="271"/>
      <c r="G13838" s="273"/>
      <c r="H13838" s="29" t="str">
        <f>IF(A13838="","",VLOOKUP(A13838,AA_Equipos,7,FALSE))</f>
        <v/>
      </c>
      <c r="I13838" s="394" t="str">
        <f>IF(A13838="","",VLOOKUP(A13838,AA_Equipos,8,FALSE))</f>
        <v/>
      </c>
      <c r="J13838" s="273"/>
      <c r="K13838" s="395"/>
      <c r="L13838" s="273"/>
      <c r="M13838" s="394" t="str">
        <f t="shared" si="1809"/>
        <v/>
      </c>
      <c r="N13838" s="273"/>
    </row>
    <row r="13839" spans="1:14" ht="15" customHeight="1" x14ac:dyDescent="0.25">
      <c r="A13839" s="4"/>
      <c r="B13839" s="4"/>
      <c r="C13839" s="4"/>
      <c r="D13839" s="4"/>
      <c r="E13839" s="4"/>
      <c r="F13839" s="4"/>
      <c r="G13839" s="4"/>
      <c r="H13839" s="4"/>
      <c r="I13839" s="4"/>
      <c r="J13839" s="4"/>
      <c r="K13839" s="396" t="s">
        <v>444</v>
      </c>
      <c r="L13839" s="273"/>
      <c r="M13839" s="394">
        <f>SUM(M13834:N13838)</f>
        <v>32083.749777777775</v>
      </c>
      <c r="N13839" s="273"/>
    </row>
    <row r="13840" spans="1:14" ht="15" customHeight="1" x14ac:dyDescent="0.25">
      <c r="A13840" s="4"/>
      <c r="B13840" s="4"/>
      <c r="C13840" s="4"/>
      <c r="D13840" s="4"/>
      <c r="E13840" s="4"/>
      <c r="F13840" s="4"/>
      <c r="G13840" s="4"/>
      <c r="H13840" s="4"/>
      <c r="I13840" s="4"/>
      <c r="J13840" s="4"/>
      <c r="K13840" s="4"/>
      <c r="L13840" s="4"/>
      <c r="M13840" s="4"/>
      <c r="N13840" s="4"/>
    </row>
    <row r="13841" spans="1:14" ht="15" customHeight="1" x14ac:dyDescent="0.2">
      <c r="A13841" s="398" t="s">
        <v>929</v>
      </c>
      <c r="B13841" s="271"/>
      <c r="C13841" s="271"/>
      <c r="D13841" s="271"/>
      <c r="E13841" s="271"/>
      <c r="F13841" s="271"/>
      <c r="G13841" s="271"/>
      <c r="H13841" s="271"/>
      <c r="I13841" s="271"/>
      <c r="J13841" s="271"/>
      <c r="K13841" s="271"/>
      <c r="L13841" s="271"/>
      <c r="M13841" s="271"/>
      <c r="N13841" s="273"/>
    </row>
    <row r="13842" spans="1:14" ht="15" customHeight="1" x14ac:dyDescent="0.2">
      <c r="A13842" s="396" t="s">
        <v>76</v>
      </c>
      <c r="B13842" s="271"/>
      <c r="C13842" s="271"/>
      <c r="D13842" s="271"/>
      <c r="E13842" s="271"/>
      <c r="F13842" s="271"/>
      <c r="G13842" s="273"/>
      <c r="H13842" s="88" t="s">
        <v>77</v>
      </c>
      <c r="I13842" s="399" t="s">
        <v>920</v>
      </c>
      <c r="J13842" s="273"/>
      <c r="K13842" s="399" t="s">
        <v>453</v>
      </c>
      <c r="L13842" s="273"/>
      <c r="M13842" s="399" t="s">
        <v>921</v>
      </c>
      <c r="N13842" s="273"/>
    </row>
    <row r="13843" spans="1:14" ht="15" customHeight="1" x14ac:dyDescent="0.2">
      <c r="A13843" s="400" t="s">
        <v>3173</v>
      </c>
      <c r="B13843" s="271"/>
      <c r="C13843" s="271"/>
      <c r="D13843" s="271"/>
      <c r="E13843" s="271"/>
      <c r="F13843" s="271"/>
      <c r="G13843" s="273"/>
      <c r="H13843" s="29" t="s">
        <v>950</v>
      </c>
      <c r="I13843" s="394">
        <f>+M13825+M13827</f>
        <v>324162.5</v>
      </c>
      <c r="J13843" s="273"/>
      <c r="K13843" s="404">
        <v>0.05</v>
      </c>
      <c r="L13843" s="273"/>
      <c r="M13843" s="394">
        <f t="shared" ref="M13843:M13847" si="1810">IF(A13843="","",I13843*K13843)</f>
        <v>16208.125</v>
      </c>
      <c r="N13843" s="273"/>
    </row>
    <row r="13844" spans="1:14" ht="15" customHeight="1" x14ac:dyDescent="0.2">
      <c r="A13844" s="403" t="s">
        <v>3172</v>
      </c>
      <c r="B13844" s="271"/>
      <c r="C13844" s="271"/>
      <c r="D13844" s="271"/>
      <c r="E13844" s="271"/>
      <c r="F13844" s="271"/>
      <c r="G13844" s="273"/>
      <c r="H13844" s="29" t="s">
        <v>3179</v>
      </c>
      <c r="I13844" s="394">
        <f>+'precios '!$J$222</f>
        <v>2077.2367952644231</v>
      </c>
      <c r="J13844" s="273"/>
      <c r="K13844" s="395">
        <f>+Indice!$L$21</f>
        <v>49</v>
      </c>
      <c r="L13844" s="273"/>
      <c r="M13844" s="394">
        <f t="shared" si="1810"/>
        <v>101784.60296795673</v>
      </c>
      <c r="N13844" s="273"/>
    </row>
    <row r="13845" spans="1:14" ht="15" customHeight="1" x14ac:dyDescent="0.2">
      <c r="A13845" s="400" t="s">
        <v>3174</v>
      </c>
      <c r="B13845" s="271"/>
      <c r="C13845" s="271"/>
      <c r="D13845" s="271"/>
      <c r="E13845" s="271"/>
      <c r="F13845" s="271"/>
      <c r="G13845" s="273"/>
      <c r="H13845" s="29" t="s">
        <v>24</v>
      </c>
      <c r="I13845" s="394">
        <f>+M13839</f>
        <v>32083.749777777775</v>
      </c>
      <c r="J13845" s="273"/>
      <c r="K13845" s="404">
        <v>0.05</v>
      </c>
      <c r="L13845" s="273"/>
      <c r="M13845" s="394">
        <f t="shared" si="1810"/>
        <v>1604.1874888888888</v>
      </c>
      <c r="N13845" s="273"/>
    </row>
    <row r="13846" spans="1:14" ht="15" customHeight="1" x14ac:dyDescent="0.2">
      <c r="A13846" s="400"/>
      <c r="B13846" s="271"/>
      <c r="C13846" s="271"/>
      <c r="D13846" s="271"/>
      <c r="E13846" s="271"/>
      <c r="F13846" s="271"/>
      <c r="G13846" s="273"/>
      <c r="H13846" s="29"/>
      <c r="I13846" s="394"/>
      <c r="J13846" s="273"/>
      <c r="K13846" s="395"/>
      <c r="L13846" s="273"/>
      <c r="M13846" s="394" t="str">
        <f t="shared" si="1810"/>
        <v/>
      </c>
      <c r="N13846" s="273"/>
    </row>
    <row r="13847" spans="1:14" ht="15" customHeight="1" x14ac:dyDescent="0.2">
      <c r="A13847" s="400"/>
      <c r="B13847" s="271"/>
      <c r="C13847" s="271"/>
      <c r="D13847" s="271"/>
      <c r="E13847" s="271"/>
      <c r="F13847" s="271"/>
      <c r="G13847" s="273"/>
      <c r="H13847" s="29"/>
      <c r="I13847" s="394"/>
      <c r="J13847" s="273"/>
      <c r="K13847" s="395"/>
      <c r="L13847" s="273"/>
      <c r="M13847" s="394" t="str">
        <f t="shared" si="1810"/>
        <v/>
      </c>
      <c r="N13847" s="273"/>
    </row>
    <row r="13848" spans="1:14" ht="15" customHeight="1" x14ac:dyDescent="0.25">
      <c r="A13848" s="4"/>
      <c r="B13848" s="4"/>
      <c r="C13848" s="4"/>
      <c r="D13848" s="4"/>
      <c r="E13848" s="4"/>
      <c r="F13848" s="4"/>
      <c r="G13848" s="4"/>
      <c r="H13848" s="4"/>
      <c r="I13848" s="4"/>
      <c r="J13848" s="4"/>
      <c r="K13848" s="396" t="s">
        <v>444</v>
      </c>
      <c r="L13848" s="273"/>
      <c r="M13848" s="394">
        <f>SUM(M13843:N13847)</f>
        <v>119596.91545684561</v>
      </c>
      <c r="N13848" s="273"/>
    </row>
    <row r="13849" spans="1:14" ht="15" customHeight="1" x14ac:dyDescent="0.25">
      <c r="A13849" s="4"/>
      <c r="B13849" s="4"/>
      <c r="C13849" s="4"/>
      <c r="D13849" s="4"/>
      <c r="E13849" s="4"/>
      <c r="F13849" s="4"/>
      <c r="G13849" s="4"/>
      <c r="H13849" s="4"/>
      <c r="I13849" s="4"/>
      <c r="J13849" s="4"/>
      <c r="K13849" s="4"/>
      <c r="L13849" s="4"/>
      <c r="M13849" s="4"/>
      <c r="N13849" s="4"/>
    </row>
    <row r="13850" spans="1:14" ht="15" customHeight="1" x14ac:dyDescent="0.2">
      <c r="A13850" s="398" t="s">
        <v>931</v>
      </c>
      <c r="B13850" s="271"/>
      <c r="C13850" s="271"/>
      <c r="D13850" s="271"/>
      <c r="E13850" s="271"/>
      <c r="F13850" s="271"/>
      <c r="G13850" s="271"/>
      <c r="H13850" s="271"/>
      <c r="I13850" s="271"/>
      <c r="J13850" s="271"/>
      <c r="K13850" s="271"/>
      <c r="L13850" s="271"/>
      <c r="M13850" s="271"/>
      <c r="N13850" s="273"/>
    </row>
    <row r="13851" spans="1:14" ht="15" customHeight="1" x14ac:dyDescent="0.2">
      <c r="A13851" s="396" t="s">
        <v>76</v>
      </c>
      <c r="B13851" s="271"/>
      <c r="C13851" s="271"/>
      <c r="D13851" s="271"/>
      <c r="E13851" s="271"/>
      <c r="F13851" s="271"/>
      <c r="G13851" s="273"/>
      <c r="H13851" s="88" t="s">
        <v>77</v>
      </c>
      <c r="I13851" s="399" t="s">
        <v>920</v>
      </c>
      <c r="J13851" s="273"/>
      <c r="K13851" s="90" t="s">
        <v>514</v>
      </c>
      <c r="L13851" s="91" t="s">
        <v>932</v>
      </c>
      <c r="M13851" s="399" t="s">
        <v>921</v>
      </c>
      <c r="N13851" s="273"/>
    </row>
    <row r="13852" spans="1:14" ht="15" customHeight="1" x14ac:dyDescent="0.25">
      <c r="A13852" s="393" t="s">
        <v>962</v>
      </c>
      <c r="B13852" s="271"/>
      <c r="C13852" s="271"/>
      <c r="D13852" s="271"/>
      <c r="E13852" s="271"/>
      <c r="F13852" s="271"/>
      <c r="G13852" s="273"/>
      <c r="H13852" s="29" t="str">
        <f>IF(A13852="","",VLOOKUP(A13852,AA_Cuadrillas,4,FALSE))</f>
        <v>Cuadrilla</v>
      </c>
      <c r="I13852" s="394">
        <f>IF(A13852="","",VLOOKUP(A13852,AA_Cuadrillas,5,FALSE))</f>
        <v>396871</v>
      </c>
      <c r="J13852" s="273"/>
      <c r="K13852" s="9">
        <f>IF(A13852="","",F.P!$I$2)</f>
        <v>1.88</v>
      </c>
      <c r="L13852" s="93">
        <f>1/4.5</f>
        <v>0.22222222222222221</v>
      </c>
      <c r="M13852" s="394">
        <f t="shared" ref="M13852:M13856" si="1811">IF(A13852="","",I13852*K13852*L13852)</f>
        <v>165803.88444444444</v>
      </c>
      <c r="N13852" s="273"/>
    </row>
    <row r="13853" spans="1:14" ht="15" customHeight="1" x14ac:dyDescent="0.25">
      <c r="A13853" s="393"/>
      <c r="B13853" s="271"/>
      <c r="C13853" s="271"/>
      <c r="D13853" s="271"/>
      <c r="E13853" s="271"/>
      <c r="F13853" s="271"/>
      <c r="G13853" s="273"/>
      <c r="H13853" s="29" t="str">
        <f>IF(A13853="","",VLOOKUP(A13853,AA_Cuadrillas,4,FALSE))</f>
        <v/>
      </c>
      <c r="I13853" s="394" t="str">
        <f>IF(A13853="","",VLOOKUP(A13853,AA_Cuadrillas,5,FALSE))</f>
        <v/>
      </c>
      <c r="J13853" s="273"/>
      <c r="K13853" s="9" t="str">
        <f>IF(A13853="","",F.P!$I$2)</f>
        <v/>
      </c>
      <c r="L13853" s="9"/>
      <c r="M13853" s="394" t="str">
        <f t="shared" si="1811"/>
        <v/>
      </c>
      <c r="N13853" s="273"/>
    </row>
    <row r="13854" spans="1:14" ht="15" customHeight="1" x14ac:dyDescent="0.25">
      <c r="A13854" s="393"/>
      <c r="B13854" s="271"/>
      <c r="C13854" s="271"/>
      <c r="D13854" s="271"/>
      <c r="E13854" s="271"/>
      <c r="F13854" s="271"/>
      <c r="G13854" s="273"/>
      <c r="H13854" s="29" t="str">
        <f>IF(A13854="","",VLOOKUP(A13854,AA_Cuadrillas,4,FALSE))</f>
        <v/>
      </c>
      <c r="I13854" s="394" t="str">
        <f>IF(A13854="","",VLOOKUP(A13854,AA_Cuadrillas,5,FALSE))</f>
        <v/>
      </c>
      <c r="J13854" s="273"/>
      <c r="K13854" s="9" t="str">
        <f>IF(A13854="","",F.P!$I$2)</f>
        <v/>
      </c>
      <c r="L13854" s="37"/>
      <c r="M13854" s="394" t="str">
        <f t="shared" si="1811"/>
        <v/>
      </c>
      <c r="N13854" s="273"/>
    </row>
    <row r="13855" spans="1:14" ht="15" customHeight="1" x14ac:dyDescent="0.25">
      <c r="A13855" s="393"/>
      <c r="B13855" s="271"/>
      <c r="C13855" s="271"/>
      <c r="D13855" s="271"/>
      <c r="E13855" s="271"/>
      <c r="F13855" s="271"/>
      <c r="G13855" s="273"/>
      <c r="H13855" s="29" t="str">
        <f>IF(A13855="","",VLOOKUP(A13855,AA_Cuadrillas,4,FALSE))</f>
        <v/>
      </c>
      <c r="I13855" s="394" t="str">
        <f>IF(A13855="","",VLOOKUP(A13855,AA_Cuadrillas,5,FALSE))</f>
        <v/>
      </c>
      <c r="J13855" s="273"/>
      <c r="K13855" s="9" t="str">
        <f>IF(A13855="","",F.P!$I$2)</f>
        <v/>
      </c>
      <c r="L13855" s="37"/>
      <c r="M13855" s="394" t="str">
        <f t="shared" si="1811"/>
        <v/>
      </c>
      <c r="N13855" s="273"/>
    </row>
    <row r="13856" spans="1:14" ht="15" customHeight="1" x14ac:dyDescent="0.25">
      <c r="A13856" s="393"/>
      <c r="B13856" s="271"/>
      <c r="C13856" s="271"/>
      <c r="D13856" s="271"/>
      <c r="E13856" s="271"/>
      <c r="F13856" s="271"/>
      <c r="G13856" s="273"/>
      <c r="H13856" s="29" t="str">
        <f>IF(A13856="","",VLOOKUP(A13856,AA_Cuadrillas,4,FALSE))</f>
        <v/>
      </c>
      <c r="I13856" s="394" t="str">
        <f>IF(A13856="","",VLOOKUP(A13856,AA_Cuadrillas,5,FALSE))</f>
        <v/>
      </c>
      <c r="J13856" s="273"/>
      <c r="K13856" s="9" t="str">
        <f>IF(A13856="","",F.P!$I$2)</f>
        <v/>
      </c>
      <c r="L13856" s="37"/>
      <c r="M13856" s="394" t="str">
        <f t="shared" si="1811"/>
        <v/>
      </c>
      <c r="N13856" s="273"/>
    </row>
    <row r="13857" spans="1:14" ht="15" customHeight="1" x14ac:dyDescent="0.25">
      <c r="A13857" s="4"/>
      <c r="B13857" s="4"/>
      <c r="C13857" s="4"/>
      <c r="D13857" s="4"/>
      <c r="E13857" s="4"/>
      <c r="F13857" s="4"/>
      <c r="G13857" s="4"/>
      <c r="H13857" s="4"/>
      <c r="I13857" s="4"/>
      <c r="J13857" s="4"/>
      <c r="K13857" s="396" t="s">
        <v>444</v>
      </c>
      <c r="L13857" s="273"/>
      <c r="M13857" s="394">
        <f>SUM(M13852:N13856)</f>
        <v>165803.88444444444</v>
      </c>
      <c r="N13857" s="273"/>
    </row>
  </sheetData>
  <mergeCells count="36280">
    <mergeCell ref="A13853:G13853"/>
    <mergeCell ref="I13853:J13853"/>
    <mergeCell ref="M13853:N13853"/>
    <mergeCell ref="A13854:G13854"/>
    <mergeCell ref="I13854:J13854"/>
    <mergeCell ref="M13854:N13854"/>
    <mergeCell ref="A13855:G13855"/>
    <mergeCell ref="I13855:J13855"/>
    <mergeCell ref="M13855:N13855"/>
    <mergeCell ref="A13856:G13856"/>
    <mergeCell ref="I13856:J13856"/>
    <mergeCell ref="M13856:N13856"/>
    <mergeCell ref="K13857:L13857"/>
    <mergeCell ref="M13857:N13857"/>
    <mergeCell ref="A13841:N13841"/>
    <mergeCell ref="A13842:G13842"/>
    <mergeCell ref="I13842:J13842"/>
    <mergeCell ref="K13842:L13842"/>
    <mergeCell ref="M13842:N13842"/>
    <mergeCell ref="A13843:G13843"/>
    <mergeCell ref="I13843:J13843"/>
    <mergeCell ref="K13843:L13843"/>
    <mergeCell ref="M13843:N13843"/>
    <mergeCell ref="A13844:G13844"/>
    <mergeCell ref="I13844:J13844"/>
    <mergeCell ref="K13844:L13844"/>
    <mergeCell ref="M13844:N13844"/>
    <mergeCell ref="A13845:G13845"/>
    <mergeCell ref="I13845:J13845"/>
    <mergeCell ref="K13845:L13845"/>
    <mergeCell ref="M13845:N13845"/>
    <mergeCell ref="A13846:G13846"/>
    <mergeCell ref="I13846:J13846"/>
    <mergeCell ref="K13846:L13846"/>
    <mergeCell ref="M13846:N13846"/>
    <mergeCell ref="A13847:G13847"/>
    <mergeCell ref="I13847:J13847"/>
    <mergeCell ref="K13847:L13847"/>
    <mergeCell ref="M13847:N13847"/>
    <mergeCell ref="K13848:L13848"/>
    <mergeCell ref="M13848:N13848"/>
    <mergeCell ref="A13850:N13850"/>
    <mergeCell ref="A13851:G13851"/>
    <mergeCell ref="I13851:J13851"/>
    <mergeCell ref="M13851:N13851"/>
    <mergeCell ref="A13852:G13852"/>
    <mergeCell ref="I13852:J13852"/>
    <mergeCell ref="M13852:N13852"/>
    <mergeCell ref="A13829:G13829"/>
    <mergeCell ref="I13829:J13829"/>
    <mergeCell ref="K13829:L13829"/>
    <mergeCell ref="M13829:N13829"/>
    <mergeCell ref="K13830:L13830"/>
    <mergeCell ref="M13830:N13830"/>
    <mergeCell ref="A13832:N13832"/>
    <mergeCell ref="A13833:G13833"/>
    <mergeCell ref="I13833:J13833"/>
    <mergeCell ref="K13833:L13833"/>
    <mergeCell ref="M13833:N13833"/>
    <mergeCell ref="A13834:G13834"/>
    <mergeCell ref="I13834:J13834"/>
    <mergeCell ref="K13834:L13834"/>
    <mergeCell ref="M13834:N13834"/>
    <mergeCell ref="A13835:G13835"/>
    <mergeCell ref="I13835:J13835"/>
    <mergeCell ref="K13835:L13835"/>
    <mergeCell ref="M13835:N13835"/>
    <mergeCell ref="A13836:G13836"/>
    <mergeCell ref="I13836:J13836"/>
    <mergeCell ref="K13836:L13836"/>
    <mergeCell ref="M13836:N13836"/>
    <mergeCell ref="A13837:G13837"/>
    <mergeCell ref="I13837:J13837"/>
    <mergeCell ref="K13837:L13837"/>
    <mergeCell ref="M13837:N13837"/>
    <mergeCell ref="A13838:G13838"/>
    <mergeCell ref="I13838:J13838"/>
    <mergeCell ref="K13838:L13838"/>
    <mergeCell ref="M13838:N13838"/>
    <mergeCell ref="K13839:L13839"/>
    <mergeCell ref="M13839:N13839"/>
    <mergeCell ref="A13822:N13822"/>
    <mergeCell ref="A13823:G13823"/>
    <mergeCell ref="I13823:J13823"/>
    <mergeCell ref="K13823:L13823"/>
    <mergeCell ref="M13823:N13823"/>
    <mergeCell ref="A13824:G13824"/>
    <mergeCell ref="I13824:J13824"/>
    <mergeCell ref="K13824:L13824"/>
    <mergeCell ref="M13824:N13824"/>
    <mergeCell ref="A13825:G13825"/>
    <mergeCell ref="I13825:J13825"/>
    <mergeCell ref="K13825:L13825"/>
    <mergeCell ref="M13825:N13825"/>
    <mergeCell ref="A13826:G13826"/>
    <mergeCell ref="I13826:J13826"/>
    <mergeCell ref="K13826:L13826"/>
    <mergeCell ref="M13826:N13826"/>
    <mergeCell ref="A13827:G13827"/>
    <mergeCell ref="I13827:J13827"/>
    <mergeCell ref="K13827:L13827"/>
    <mergeCell ref="M13827:N13827"/>
    <mergeCell ref="A13828:G13828"/>
    <mergeCell ref="I13828:J13828"/>
    <mergeCell ref="K13828:L13828"/>
    <mergeCell ref="M13828:N13828"/>
    <mergeCell ref="I8284:J8284"/>
    <mergeCell ref="K8284:L8284"/>
    <mergeCell ref="M8284:N8284"/>
    <mergeCell ref="K8285:L8285"/>
    <mergeCell ref="M8285:N8285"/>
    <mergeCell ref="I8285:J8285"/>
    <mergeCell ref="I8286:J8286"/>
    <mergeCell ref="K8286:L8286"/>
    <mergeCell ref="M8286:N8286"/>
    <mergeCell ref="I8301:J8301"/>
    <mergeCell ref="I8302:J8302"/>
    <mergeCell ref="I8303:J8303"/>
    <mergeCell ref="M8303:N8303"/>
    <mergeCell ref="I8304:J8304"/>
    <mergeCell ref="M8304:N8304"/>
    <mergeCell ref="I8305:J8305"/>
    <mergeCell ref="K8319:L8319"/>
    <mergeCell ref="M8319:N8319"/>
    <mergeCell ref="I8319:J8319"/>
    <mergeCell ref="I8320:J8320"/>
    <mergeCell ref="K8320:L8320"/>
    <mergeCell ref="M8320:N8320"/>
    <mergeCell ref="K8328:L8328"/>
    <mergeCell ref="M8328:N8328"/>
    <mergeCell ref="A8287:G8287"/>
    <mergeCell ref="I8287:J8287"/>
    <mergeCell ref="K8287:L8287"/>
    <mergeCell ref="M8287:N8287"/>
    <mergeCell ref="I8291:J8291"/>
    <mergeCell ref="A8308:N8309"/>
    <mergeCell ref="A8313:N8313"/>
    <mergeCell ref="A8314:G8314"/>
    <mergeCell ref="A8315:G8315"/>
    <mergeCell ref="I8295:J8295"/>
    <mergeCell ref="K8295:L8295"/>
    <mergeCell ref="M8295:N8295"/>
    <mergeCell ref="A8296:G8296"/>
    <mergeCell ref="I8296:J8296"/>
    <mergeCell ref="A8302:G8302"/>
    <mergeCell ref="M8293:N8293"/>
    <mergeCell ref="I8294:J8294"/>
    <mergeCell ref="K8294:L8294"/>
    <mergeCell ref="A13817:N13818"/>
    <mergeCell ref="I8292:J8292"/>
    <mergeCell ref="K8292:L8292"/>
    <mergeCell ref="M8292:N8292"/>
    <mergeCell ref="K8288:L8288"/>
    <mergeCell ref="M8288:N8288"/>
    <mergeCell ref="A8290:N8290"/>
    <mergeCell ref="A8291:G8291"/>
    <mergeCell ref="K8291:L8291"/>
    <mergeCell ref="M8291:N8291"/>
    <mergeCell ref="A8292:G8292"/>
    <mergeCell ref="A8316:G8316"/>
    <mergeCell ref="I8316:J8316"/>
    <mergeCell ref="K8316:L8316"/>
    <mergeCell ref="M8316:N8316"/>
    <mergeCell ref="I8317:J8317"/>
    <mergeCell ref="K8317:L8317"/>
    <mergeCell ref="M8317:N8317"/>
    <mergeCell ref="A8317:G8317"/>
    <mergeCell ref="A8318:G8318"/>
    <mergeCell ref="I8318:J8318"/>
    <mergeCell ref="K8318:L8318"/>
    <mergeCell ref="M8318:N8318"/>
    <mergeCell ref="K8314:L8314"/>
    <mergeCell ref="M8314:N8314"/>
    <mergeCell ref="I8314:J8314"/>
    <mergeCell ref="I8315:J8315"/>
    <mergeCell ref="K8315:L8315"/>
    <mergeCell ref="M8315:N8315"/>
    <mergeCell ref="M8305:N8305"/>
    <mergeCell ref="K8306:L8306"/>
    <mergeCell ref="M8306:N8306"/>
    <mergeCell ref="K8324:L8324"/>
    <mergeCell ref="M8324:N8324"/>
    <mergeCell ref="I8340:J8340"/>
    <mergeCell ref="K8340:L8340"/>
    <mergeCell ref="I8337:J8337"/>
    <mergeCell ref="I8338:J8338"/>
    <mergeCell ref="A8339:G8339"/>
    <mergeCell ref="I8339:J8339"/>
    <mergeCell ref="K8339:L8339"/>
    <mergeCell ref="M8339:N8339"/>
    <mergeCell ref="M8340:N8340"/>
    <mergeCell ref="I8328:J8328"/>
    <mergeCell ref="I8329:J8329"/>
    <mergeCell ref="K8329:L8329"/>
    <mergeCell ref="M8329:N8329"/>
    <mergeCell ref="A8326:N8326"/>
    <mergeCell ref="A8327:G8327"/>
    <mergeCell ref="I8327:J8327"/>
    <mergeCell ref="K8327:L8327"/>
    <mergeCell ref="M8327:N8327"/>
    <mergeCell ref="A8328:G8328"/>
    <mergeCell ref="A8329:G8329"/>
    <mergeCell ref="A8330:G8330"/>
    <mergeCell ref="I8330:J8330"/>
    <mergeCell ref="K8330:L8330"/>
    <mergeCell ref="M8330:N8330"/>
    <mergeCell ref="I8331:J8331"/>
    <mergeCell ref="K8331:L8331"/>
    <mergeCell ref="M8331:N8331"/>
    <mergeCell ref="I8250:J8250"/>
    <mergeCell ref="I8251:J8251"/>
    <mergeCell ref="K8251:L8251"/>
    <mergeCell ref="M8251:N8251"/>
    <mergeCell ref="A8248:N8248"/>
    <mergeCell ref="A8249:G8249"/>
    <mergeCell ref="I8249:J8249"/>
    <mergeCell ref="K8249:L8249"/>
    <mergeCell ref="M8249:N8249"/>
    <mergeCell ref="A8250:G8250"/>
    <mergeCell ref="A8251:G8251"/>
    <mergeCell ref="A8252:G8252"/>
    <mergeCell ref="I8252:J8252"/>
    <mergeCell ref="K8252:L8252"/>
    <mergeCell ref="M8252:N8252"/>
    <mergeCell ref="I8253:J8253"/>
    <mergeCell ref="K8253:L8253"/>
    <mergeCell ref="M8253:N8253"/>
    <mergeCell ref="A8253:G8253"/>
    <mergeCell ref="A8254:G8254"/>
    <mergeCell ref="I8254:J8254"/>
    <mergeCell ref="K8254:L8254"/>
    <mergeCell ref="M8254:N8254"/>
    <mergeCell ref="K8255:L8255"/>
    <mergeCell ref="M8255:N8255"/>
    <mergeCell ref="A8272:G8272"/>
    <mergeCell ref="A8273:G8273"/>
    <mergeCell ref="A8274:G8274"/>
    <mergeCell ref="A8275:G8275"/>
    <mergeCell ref="A8276:G8276"/>
    <mergeCell ref="A8277:G8277"/>
    <mergeCell ref="A8278:G8278"/>
    <mergeCell ref="I8277:J8277"/>
    <mergeCell ref="K8277:L8277"/>
    <mergeCell ref="M8277:N8277"/>
    <mergeCell ref="I8278:J8278"/>
    <mergeCell ref="K8278:L8278"/>
    <mergeCell ref="M8278:N8278"/>
    <mergeCell ref="M8263:N8263"/>
    <mergeCell ref="K8264:L8264"/>
    <mergeCell ref="M8264:N8264"/>
    <mergeCell ref="I8259:J8259"/>
    <mergeCell ref="I8260:J8260"/>
    <mergeCell ref="I8261:J8261"/>
    <mergeCell ref="M8261:N8261"/>
    <mergeCell ref="I8262:J8262"/>
    <mergeCell ref="M8262:N8262"/>
    <mergeCell ref="I8263:J8263"/>
    <mergeCell ref="A8257:N8257"/>
    <mergeCell ref="A8258:G8258"/>
    <mergeCell ref="I8258:J8258"/>
    <mergeCell ref="M8258:N8258"/>
    <mergeCell ref="A8259:G8259"/>
    <mergeCell ref="M8259:N8259"/>
    <mergeCell ref="M8260:N8260"/>
    <mergeCell ref="A8260:G8260"/>
    <mergeCell ref="A8261:G8261"/>
    <mergeCell ref="A8262:G8262"/>
    <mergeCell ref="A8263:G8263"/>
    <mergeCell ref="A8266:N8267"/>
    <mergeCell ref="A8271:N8271"/>
    <mergeCell ref="M8272:N8272"/>
    <mergeCell ref="K7949:L7949"/>
    <mergeCell ref="M7949:N7949"/>
    <mergeCell ref="A8303:G8303"/>
    <mergeCell ref="A8304:G8304"/>
    <mergeCell ref="A8305:G8305"/>
    <mergeCell ref="A8299:N8299"/>
    <mergeCell ref="A8300:G8300"/>
    <mergeCell ref="I8300:J8300"/>
    <mergeCell ref="M8300:N8300"/>
    <mergeCell ref="A8301:G8301"/>
    <mergeCell ref="M8301:N8301"/>
    <mergeCell ref="M8302:N8302"/>
    <mergeCell ref="M8294:N8294"/>
    <mergeCell ref="K8296:L8296"/>
    <mergeCell ref="M8296:N8296"/>
    <mergeCell ref="K8297:L8297"/>
    <mergeCell ref="M8297:N8297"/>
    <mergeCell ref="A8294:G8294"/>
    <mergeCell ref="A8295:G8295"/>
    <mergeCell ref="A8319:G8319"/>
    <mergeCell ref="A8320:G8320"/>
    <mergeCell ref="A8321:G8321"/>
    <mergeCell ref="I8321:J8321"/>
    <mergeCell ref="K8321:L8321"/>
    <mergeCell ref="M8321:N8321"/>
    <mergeCell ref="I8322:J8322"/>
    <mergeCell ref="K8322:L8322"/>
    <mergeCell ref="M8322:N8322"/>
    <mergeCell ref="A8322:G8322"/>
    <mergeCell ref="A8323:G8323"/>
    <mergeCell ref="I8323:J8323"/>
    <mergeCell ref="K8323:L8323"/>
    <mergeCell ref="M8323:N8323"/>
    <mergeCell ref="I8272:J8272"/>
    <mergeCell ref="K8272:L8272"/>
    <mergeCell ref="I8273:J8273"/>
    <mergeCell ref="K8273:L8273"/>
    <mergeCell ref="M8273:N8273"/>
    <mergeCell ref="K8274:L8274"/>
    <mergeCell ref="M8274:N8274"/>
    <mergeCell ref="I8274:J8274"/>
    <mergeCell ref="I8275:J8275"/>
    <mergeCell ref="K8275:L8275"/>
    <mergeCell ref="M8275:N8275"/>
    <mergeCell ref="I8276:J8276"/>
    <mergeCell ref="K8276:L8276"/>
    <mergeCell ref="M8276:N8276"/>
    <mergeCell ref="K8279:L8279"/>
    <mergeCell ref="A8283:G8283"/>
    <mergeCell ref="A8284:G8284"/>
    <mergeCell ref="A8285:G8285"/>
    <mergeCell ref="A8286:G8286"/>
    <mergeCell ref="M8279:N8279"/>
    <mergeCell ref="A8281:N8281"/>
    <mergeCell ref="A8282:G8282"/>
    <mergeCell ref="I8282:J8282"/>
    <mergeCell ref="K8282:L8282"/>
    <mergeCell ref="M8282:N8282"/>
    <mergeCell ref="M8283:N8283"/>
    <mergeCell ref="I8283:J8283"/>
    <mergeCell ref="K8283:L8283"/>
    <mergeCell ref="A8293:G8293"/>
    <mergeCell ref="I8293:J8293"/>
    <mergeCell ref="K8293:L8293"/>
    <mergeCell ref="K7934:L7934"/>
    <mergeCell ref="M7934:N7934"/>
    <mergeCell ref="I7934:J7934"/>
    <mergeCell ref="I7935:J7935"/>
    <mergeCell ref="K7939:L7939"/>
    <mergeCell ref="M7939:N7939"/>
    <mergeCell ref="I7939:J7939"/>
    <mergeCell ref="I7940:J7940"/>
    <mergeCell ref="K7940:L7940"/>
    <mergeCell ref="M7940:N7940"/>
    <mergeCell ref="K7935:L7935"/>
    <mergeCell ref="M7935:N7935"/>
    <mergeCell ref="K7936:L7936"/>
    <mergeCell ref="M7936:N7936"/>
    <mergeCell ref="A7938:N7938"/>
    <mergeCell ref="A7939:G7939"/>
    <mergeCell ref="A7940:G7940"/>
    <mergeCell ref="A7941:G7941"/>
    <mergeCell ref="I7941:J7941"/>
    <mergeCell ref="K7941:L7941"/>
    <mergeCell ref="M7941:N7941"/>
    <mergeCell ref="I7942:J7942"/>
    <mergeCell ref="K7942:L7942"/>
    <mergeCell ref="M7942:N7942"/>
    <mergeCell ref="K7944:L7944"/>
    <mergeCell ref="M7944:N7944"/>
    <mergeCell ref="K7945:L7945"/>
    <mergeCell ref="M7945:N7945"/>
    <mergeCell ref="A7942:G7942"/>
    <mergeCell ref="A7943:G7943"/>
    <mergeCell ref="I7943:J7943"/>
    <mergeCell ref="K7943:L7943"/>
    <mergeCell ref="M7943:N7943"/>
    <mergeCell ref="A7944:G7944"/>
    <mergeCell ref="I7944:J7944"/>
    <mergeCell ref="K7899:L7899"/>
    <mergeCell ref="M7899:N7899"/>
    <mergeCell ref="A7896:N7896"/>
    <mergeCell ref="A7897:G7897"/>
    <mergeCell ref="I7897:J7897"/>
    <mergeCell ref="K7897:L7897"/>
    <mergeCell ref="M7897:N7897"/>
    <mergeCell ref="A7898:G7898"/>
    <mergeCell ref="A7899:G7899"/>
    <mergeCell ref="I7901:J7901"/>
    <mergeCell ref="K7901:L7901"/>
    <mergeCell ref="I7898:J7898"/>
    <mergeCell ref="I7899:J7899"/>
    <mergeCell ref="A7900:G7900"/>
    <mergeCell ref="I7900:J7900"/>
    <mergeCell ref="K7900:L7900"/>
    <mergeCell ref="M7900:N7900"/>
    <mergeCell ref="M7901:N7901"/>
    <mergeCell ref="M7911:N7911"/>
    <mergeCell ref="K7912:L7912"/>
    <mergeCell ref="M7912:N7912"/>
    <mergeCell ref="I7919:J7919"/>
    <mergeCell ref="I7920:J7920"/>
    <mergeCell ref="K7921:L7921"/>
    <mergeCell ref="M7921:N7921"/>
    <mergeCell ref="A7931:G7931"/>
    <mergeCell ref="I7931:J7931"/>
    <mergeCell ref="K7931:L7931"/>
    <mergeCell ref="M7931:N7931"/>
    <mergeCell ref="I7932:J7932"/>
    <mergeCell ref="K7932:L7932"/>
    <mergeCell ref="M7932:N7932"/>
    <mergeCell ref="A7932:G7932"/>
    <mergeCell ref="K7910:L7910"/>
    <mergeCell ref="M7910:N7910"/>
    <mergeCell ref="A7910:G7910"/>
    <mergeCell ref="A7911:G7911"/>
    <mergeCell ref="I7911:J7911"/>
    <mergeCell ref="K7911:L7911"/>
    <mergeCell ref="A7917:G7917"/>
    <mergeCell ref="A7918:G7918"/>
    <mergeCell ref="I7918:J7918"/>
    <mergeCell ref="M7918:N7918"/>
    <mergeCell ref="A7919:G7919"/>
    <mergeCell ref="M7919:N7919"/>
    <mergeCell ref="M7920:N7920"/>
    <mergeCell ref="I7929:J7929"/>
    <mergeCell ref="I7930:J7930"/>
    <mergeCell ref="K7930:L7930"/>
    <mergeCell ref="M7930:N7930"/>
    <mergeCell ref="A7920:G7920"/>
    <mergeCell ref="A7923:N7924"/>
    <mergeCell ref="A7928:N7928"/>
    <mergeCell ref="A7929:G7929"/>
    <mergeCell ref="K7929:L7929"/>
    <mergeCell ref="M7929:N7929"/>
    <mergeCell ref="A7930:G7930"/>
    <mergeCell ref="A7933:G7933"/>
    <mergeCell ref="I7933:J7933"/>
    <mergeCell ref="K7933:L7933"/>
    <mergeCell ref="M7933:N7933"/>
    <mergeCell ref="A7934:G7934"/>
    <mergeCell ref="A7935:G7935"/>
    <mergeCell ref="A7889:G7889"/>
    <mergeCell ref="I7889:J7889"/>
    <mergeCell ref="K7889:L7889"/>
    <mergeCell ref="M7889:N7889"/>
    <mergeCell ref="I7890:J7890"/>
    <mergeCell ref="K7890:L7890"/>
    <mergeCell ref="M7890:N7890"/>
    <mergeCell ref="K7892:L7892"/>
    <mergeCell ref="M7892:N7892"/>
    <mergeCell ref="I7892:J7892"/>
    <mergeCell ref="I7893:J7893"/>
    <mergeCell ref="K7893:L7893"/>
    <mergeCell ref="M7893:N7893"/>
    <mergeCell ref="K7894:L7894"/>
    <mergeCell ref="M7894:N7894"/>
    <mergeCell ref="A7890:G7890"/>
    <mergeCell ref="A7891:G7891"/>
    <mergeCell ref="I7891:J7891"/>
    <mergeCell ref="K7891:L7891"/>
    <mergeCell ref="M7891:N7891"/>
    <mergeCell ref="A7892:G7892"/>
    <mergeCell ref="A7893:G7893"/>
    <mergeCell ref="K7898:L7898"/>
    <mergeCell ref="M7898:N7898"/>
    <mergeCell ref="A7901:G7901"/>
    <mergeCell ref="A7902:G7902"/>
    <mergeCell ref="I7902:J7902"/>
    <mergeCell ref="K7902:L7902"/>
    <mergeCell ref="M7902:N7902"/>
    <mergeCell ref="K7903:L7903"/>
    <mergeCell ref="M7903:N7903"/>
    <mergeCell ref="I7916:J7916"/>
    <mergeCell ref="I7917:J7917"/>
    <mergeCell ref="A7914:N7914"/>
    <mergeCell ref="A7915:G7915"/>
    <mergeCell ref="I7915:J7915"/>
    <mergeCell ref="M7915:N7915"/>
    <mergeCell ref="A7916:G7916"/>
    <mergeCell ref="M7916:N7916"/>
    <mergeCell ref="M7917:N7917"/>
    <mergeCell ref="K7907:L7907"/>
    <mergeCell ref="M7907:N7907"/>
    <mergeCell ref="I7907:J7907"/>
    <mergeCell ref="I7908:J7908"/>
    <mergeCell ref="K7908:L7908"/>
    <mergeCell ref="M7908:N7908"/>
    <mergeCell ref="A7905:N7905"/>
    <mergeCell ref="A7906:G7906"/>
    <mergeCell ref="I7906:J7906"/>
    <mergeCell ref="K7906:L7906"/>
    <mergeCell ref="M7906:N7906"/>
    <mergeCell ref="A7907:G7907"/>
    <mergeCell ref="A7908:G7908"/>
    <mergeCell ref="A7909:G7909"/>
    <mergeCell ref="I7909:J7909"/>
    <mergeCell ref="K7909:L7909"/>
    <mergeCell ref="M7909:N7909"/>
    <mergeCell ref="I7910:J7910"/>
    <mergeCell ref="M7962:N7962"/>
    <mergeCell ref="K7963:L7963"/>
    <mergeCell ref="M7963:N7963"/>
    <mergeCell ref="I7958:J7958"/>
    <mergeCell ref="I7959:J7959"/>
    <mergeCell ref="I7960:J7960"/>
    <mergeCell ref="M7960:N7960"/>
    <mergeCell ref="I7961:J7961"/>
    <mergeCell ref="M7961:N7961"/>
    <mergeCell ref="I7962:J7962"/>
    <mergeCell ref="A7956:N7956"/>
    <mergeCell ref="A7957:G7957"/>
    <mergeCell ref="I7957:J7957"/>
    <mergeCell ref="M7957:N7957"/>
    <mergeCell ref="A7958:G7958"/>
    <mergeCell ref="M7958:N7958"/>
    <mergeCell ref="M7959:N7959"/>
    <mergeCell ref="A7959:G7959"/>
    <mergeCell ref="A7960:G7960"/>
    <mergeCell ref="A7961:G7961"/>
    <mergeCell ref="A7962:G7962"/>
    <mergeCell ref="A7965:N7966"/>
    <mergeCell ref="A7970:N7970"/>
    <mergeCell ref="M7971:N7971"/>
    <mergeCell ref="I7971:J7971"/>
    <mergeCell ref="K7971:L7971"/>
    <mergeCell ref="I7972:J7972"/>
    <mergeCell ref="K7972:L7972"/>
    <mergeCell ref="M7972:N7972"/>
    <mergeCell ref="K7973:L7973"/>
    <mergeCell ref="M7973:N7973"/>
    <mergeCell ref="I7973:J7973"/>
    <mergeCell ref="I7974:J7974"/>
    <mergeCell ref="K7974:L7974"/>
    <mergeCell ref="M7974:N7974"/>
    <mergeCell ref="I7975:J7975"/>
    <mergeCell ref="K7975:L7975"/>
    <mergeCell ref="M7975:N7975"/>
    <mergeCell ref="A7978:G7978"/>
    <mergeCell ref="A7979:G7979"/>
    <mergeCell ref="A7980:G7980"/>
    <mergeCell ref="A7981:G7981"/>
    <mergeCell ref="A7982:G7982"/>
    <mergeCell ref="A7983:G7983"/>
    <mergeCell ref="A7984:G7984"/>
    <mergeCell ref="A7971:G7971"/>
    <mergeCell ref="A7972:G7972"/>
    <mergeCell ref="A7973:G7973"/>
    <mergeCell ref="A7974:G7974"/>
    <mergeCell ref="A7975:G7975"/>
    <mergeCell ref="A7976:G7976"/>
    <mergeCell ref="A7977:G7977"/>
    <mergeCell ref="I7949:J7949"/>
    <mergeCell ref="I7950:J7950"/>
    <mergeCell ref="K7950:L7950"/>
    <mergeCell ref="M7950:N7950"/>
    <mergeCell ref="A7947:N7947"/>
    <mergeCell ref="A7948:G7948"/>
    <mergeCell ref="I7948:J7948"/>
    <mergeCell ref="K7948:L7948"/>
    <mergeCell ref="M7948:N7948"/>
    <mergeCell ref="A7949:G7949"/>
    <mergeCell ref="A7950:G7950"/>
    <mergeCell ref="A7951:G7951"/>
    <mergeCell ref="I7951:J7951"/>
    <mergeCell ref="K7951:L7951"/>
    <mergeCell ref="M7951:N7951"/>
    <mergeCell ref="I7952:J7952"/>
    <mergeCell ref="K7952:L7952"/>
    <mergeCell ref="M7952:N7952"/>
    <mergeCell ref="A7952:G7952"/>
    <mergeCell ref="A7953:G7953"/>
    <mergeCell ref="I7953:J7953"/>
    <mergeCell ref="K7953:L7953"/>
    <mergeCell ref="M7953:N7953"/>
    <mergeCell ref="K7954:L7954"/>
    <mergeCell ref="M7954:N7954"/>
    <mergeCell ref="K7978:L7978"/>
    <mergeCell ref="M7978:N7978"/>
    <mergeCell ref="I7976:J7976"/>
    <mergeCell ref="K7976:L7976"/>
    <mergeCell ref="M7976:N7976"/>
    <mergeCell ref="I7977:J7977"/>
    <mergeCell ref="K7977:L7977"/>
    <mergeCell ref="M7977:N7977"/>
    <mergeCell ref="I7978:J7978"/>
    <mergeCell ref="K7981:L7981"/>
    <mergeCell ref="M7981:N7981"/>
    <mergeCell ref="I7979:J7979"/>
    <mergeCell ref="K7979:L7979"/>
    <mergeCell ref="M7979:N7979"/>
    <mergeCell ref="I7980:J7980"/>
    <mergeCell ref="K7980:L7980"/>
    <mergeCell ref="M7980:N7980"/>
    <mergeCell ref="I7981:J7981"/>
    <mergeCell ref="I7982:J7982"/>
    <mergeCell ref="K7982:L7982"/>
    <mergeCell ref="M7982:N7982"/>
    <mergeCell ref="I7983:J7983"/>
    <mergeCell ref="K7983:L7983"/>
    <mergeCell ref="M7983:N7983"/>
    <mergeCell ref="I7984:J7984"/>
    <mergeCell ref="K7988:L7988"/>
    <mergeCell ref="M7988:N7988"/>
    <mergeCell ref="I7988:J7988"/>
    <mergeCell ref="I7989:J7989"/>
    <mergeCell ref="K7989:L7989"/>
    <mergeCell ref="M7989:N7989"/>
    <mergeCell ref="K7984:L7984"/>
    <mergeCell ref="M7984:N7984"/>
    <mergeCell ref="K7985:L7985"/>
    <mergeCell ref="M7985:N7985"/>
    <mergeCell ref="A7987:N7987"/>
    <mergeCell ref="A7988:G7988"/>
    <mergeCell ref="A7989:G7989"/>
    <mergeCell ref="A7990:G7990"/>
    <mergeCell ref="I7990:J7990"/>
    <mergeCell ref="K7990:L7990"/>
    <mergeCell ref="M7990:N7990"/>
    <mergeCell ref="I7991:J7991"/>
    <mergeCell ref="K7991:L7991"/>
    <mergeCell ref="M7991:N7991"/>
    <mergeCell ref="K7993:L7993"/>
    <mergeCell ref="M7993:N7993"/>
    <mergeCell ref="K7994:L7994"/>
    <mergeCell ref="M7994:N7994"/>
    <mergeCell ref="A7991:G7991"/>
    <mergeCell ref="A7992:G7992"/>
    <mergeCell ref="I7992:J7992"/>
    <mergeCell ref="K7992:L7992"/>
    <mergeCell ref="M7992:N7992"/>
    <mergeCell ref="A7993:G7993"/>
    <mergeCell ref="I7993:J7993"/>
    <mergeCell ref="K7998:L7998"/>
    <mergeCell ref="M7998:N7998"/>
    <mergeCell ref="I7998:J7998"/>
    <mergeCell ref="I7999:J7999"/>
    <mergeCell ref="K7999:L7999"/>
    <mergeCell ref="M7999:N7999"/>
    <mergeCell ref="A7996:N7996"/>
    <mergeCell ref="A7997:G7997"/>
    <mergeCell ref="I7997:J7997"/>
    <mergeCell ref="K7997:L7997"/>
    <mergeCell ref="M7997:N7997"/>
    <mergeCell ref="A7998:G7998"/>
    <mergeCell ref="A7999:G7999"/>
    <mergeCell ref="I8023:J8023"/>
    <mergeCell ref="K8023:L8023"/>
    <mergeCell ref="I8020:J8020"/>
    <mergeCell ref="I8021:J8021"/>
    <mergeCell ref="A8022:G8022"/>
    <mergeCell ref="I8022:J8022"/>
    <mergeCell ref="K8022:L8022"/>
    <mergeCell ref="M8022:N8022"/>
    <mergeCell ref="M8023:N8023"/>
    <mergeCell ref="K8021:L8021"/>
    <mergeCell ref="M8021:N8021"/>
    <mergeCell ref="M8011:N8011"/>
    <mergeCell ref="K8012:L8012"/>
    <mergeCell ref="M8012:N8012"/>
    <mergeCell ref="A8014:N8015"/>
    <mergeCell ref="A8019:N8019"/>
    <mergeCell ref="A8020:G8020"/>
    <mergeCell ref="A8021:G8021"/>
    <mergeCell ref="A8000:G8000"/>
    <mergeCell ref="I8000:J8000"/>
    <mergeCell ref="K8000:L8000"/>
    <mergeCell ref="M8000:N8000"/>
    <mergeCell ref="I8001:J8001"/>
    <mergeCell ref="K8001:L8001"/>
    <mergeCell ref="M8001:N8001"/>
    <mergeCell ref="A8001:G8001"/>
    <mergeCell ref="A8002:G8002"/>
    <mergeCell ref="I8002:J8002"/>
    <mergeCell ref="K8002:L8002"/>
    <mergeCell ref="M8002:N8002"/>
    <mergeCell ref="K8003:L8003"/>
    <mergeCell ref="M8003:N8003"/>
    <mergeCell ref="A8008:G8008"/>
    <mergeCell ref="A8009:G8009"/>
    <mergeCell ref="A8010:G8010"/>
    <mergeCell ref="A8011:G8011"/>
    <mergeCell ref="A8005:N8005"/>
    <mergeCell ref="A8006:G8006"/>
    <mergeCell ref="I8006:J8006"/>
    <mergeCell ref="M8006:N8006"/>
    <mergeCell ref="A8007:G8007"/>
    <mergeCell ref="M8007:N8007"/>
    <mergeCell ref="M8008:N8008"/>
    <mergeCell ref="I8007:J8007"/>
    <mergeCell ref="I8008:J8008"/>
    <mergeCell ref="I8009:J8009"/>
    <mergeCell ref="M8009:N8009"/>
    <mergeCell ref="I8010:J8010"/>
    <mergeCell ref="M8010:N8010"/>
    <mergeCell ref="I8011:J8011"/>
    <mergeCell ref="K8020:L8020"/>
    <mergeCell ref="M8020:N8020"/>
    <mergeCell ref="K8025:L8025"/>
    <mergeCell ref="M8025:N8025"/>
    <mergeCell ref="I8025:J8025"/>
    <mergeCell ref="I8026:J8026"/>
    <mergeCell ref="K8026:L8026"/>
    <mergeCell ref="M8026:N8026"/>
    <mergeCell ref="K8027:L8027"/>
    <mergeCell ref="M8027:N8027"/>
    <mergeCell ref="A8023:G8023"/>
    <mergeCell ref="A8024:G8024"/>
    <mergeCell ref="I8024:J8024"/>
    <mergeCell ref="K8024:L8024"/>
    <mergeCell ref="M8024:N8024"/>
    <mergeCell ref="A8025:G8025"/>
    <mergeCell ref="A8026:G8026"/>
    <mergeCell ref="K8031:L8031"/>
    <mergeCell ref="M8031:N8031"/>
    <mergeCell ref="I8031:J8031"/>
    <mergeCell ref="I8032:J8032"/>
    <mergeCell ref="K8032:L8032"/>
    <mergeCell ref="M8032:N8032"/>
    <mergeCell ref="A8029:N8029"/>
    <mergeCell ref="A8030:G8030"/>
    <mergeCell ref="I8030:J8030"/>
    <mergeCell ref="K8030:L8030"/>
    <mergeCell ref="M8030:N8030"/>
    <mergeCell ref="A8031:G8031"/>
    <mergeCell ref="A8032:G8032"/>
    <mergeCell ref="A8042:G8042"/>
    <mergeCell ref="I8042:J8042"/>
    <mergeCell ref="K8042:L8042"/>
    <mergeCell ref="M8042:N8042"/>
    <mergeCell ref="I8043:J8043"/>
    <mergeCell ref="K8043:L8043"/>
    <mergeCell ref="M8043:N8043"/>
    <mergeCell ref="A8043:G8043"/>
    <mergeCell ref="A8044:G8044"/>
    <mergeCell ref="I8044:J8044"/>
    <mergeCell ref="K8044:L8044"/>
    <mergeCell ref="M8044:N8044"/>
    <mergeCell ref="K8045:L8045"/>
    <mergeCell ref="M8045:N8045"/>
    <mergeCell ref="I8049:J8049"/>
    <mergeCell ref="I8050:J8050"/>
    <mergeCell ref="A8047:N8047"/>
    <mergeCell ref="A8048:G8048"/>
    <mergeCell ref="I8048:J8048"/>
    <mergeCell ref="M8048:N8048"/>
    <mergeCell ref="A8049:G8049"/>
    <mergeCell ref="M8049:N8049"/>
    <mergeCell ref="M8050:N8050"/>
    <mergeCell ref="A8033:G8033"/>
    <mergeCell ref="I8033:J8033"/>
    <mergeCell ref="K8033:L8033"/>
    <mergeCell ref="M8033:N8033"/>
    <mergeCell ref="I8034:J8034"/>
    <mergeCell ref="K8034:L8034"/>
    <mergeCell ref="M8034:N8034"/>
    <mergeCell ref="A8034:G8034"/>
    <mergeCell ref="A8035:G8035"/>
    <mergeCell ref="I8035:J8035"/>
    <mergeCell ref="K8035:L8035"/>
    <mergeCell ref="M8035:N8035"/>
    <mergeCell ref="K8036:L8036"/>
    <mergeCell ref="M8036:N8036"/>
    <mergeCell ref="K8040:L8040"/>
    <mergeCell ref="M8040:N8040"/>
    <mergeCell ref="I8040:J8040"/>
    <mergeCell ref="I8041:J8041"/>
    <mergeCell ref="K8041:L8041"/>
    <mergeCell ref="M8041:N8041"/>
    <mergeCell ref="A8038:N8038"/>
    <mergeCell ref="A8039:G8039"/>
    <mergeCell ref="I8039:J8039"/>
    <mergeCell ref="K8039:L8039"/>
    <mergeCell ref="M8039:N8039"/>
    <mergeCell ref="A8040:G8040"/>
    <mergeCell ref="A8041:G8041"/>
    <mergeCell ref="I8052:J8052"/>
    <mergeCell ref="I8053:J8053"/>
    <mergeCell ref="K8054:L8054"/>
    <mergeCell ref="M8054:N8054"/>
    <mergeCell ref="A8064:G8064"/>
    <mergeCell ref="I8064:J8064"/>
    <mergeCell ref="K8064:L8064"/>
    <mergeCell ref="M8064:N8064"/>
    <mergeCell ref="I8065:J8065"/>
    <mergeCell ref="K8065:L8065"/>
    <mergeCell ref="M8065:N8065"/>
    <mergeCell ref="A8065:G8065"/>
    <mergeCell ref="A8066:G8066"/>
    <mergeCell ref="I8066:J8066"/>
    <mergeCell ref="K8066:L8066"/>
    <mergeCell ref="M8066:N8066"/>
    <mergeCell ref="A8067:G8067"/>
    <mergeCell ref="A8068:G8068"/>
    <mergeCell ref="A8050:G8050"/>
    <mergeCell ref="A8051:G8051"/>
    <mergeCell ref="I8051:J8051"/>
    <mergeCell ref="M8051:N8051"/>
    <mergeCell ref="A8052:G8052"/>
    <mergeCell ref="M8052:N8052"/>
    <mergeCell ref="M8053:N8053"/>
    <mergeCell ref="I8062:J8062"/>
    <mergeCell ref="I8063:J8063"/>
    <mergeCell ref="K8063:L8063"/>
    <mergeCell ref="M8063:N8063"/>
    <mergeCell ref="A8053:G8053"/>
    <mergeCell ref="A8056:N8057"/>
    <mergeCell ref="A8061:N8061"/>
    <mergeCell ref="A8062:G8062"/>
    <mergeCell ref="K8062:L8062"/>
    <mergeCell ref="M8062:N8062"/>
    <mergeCell ref="A8063:G8063"/>
    <mergeCell ref="K8067:L8067"/>
    <mergeCell ref="M8067:N8067"/>
    <mergeCell ref="I8067:J8067"/>
    <mergeCell ref="I8068:J8068"/>
    <mergeCell ref="I8106:J8106"/>
    <mergeCell ref="I8107:J8107"/>
    <mergeCell ref="K8107:L8107"/>
    <mergeCell ref="M8107:N8107"/>
    <mergeCell ref="K8072:L8072"/>
    <mergeCell ref="M8072:N8072"/>
    <mergeCell ref="I8072:J8072"/>
    <mergeCell ref="I8073:J8073"/>
    <mergeCell ref="K8073:L8073"/>
    <mergeCell ref="M8073:N8073"/>
    <mergeCell ref="K8068:L8068"/>
    <mergeCell ref="M8068:N8068"/>
    <mergeCell ref="K8069:L8069"/>
    <mergeCell ref="M8069:N8069"/>
    <mergeCell ref="A8071:N8071"/>
    <mergeCell ref="A8072:G8072"/>
    <mergeCell ref="A8073:G8073"/>
    <mergeCell ref="A8074:G8074"/>
    <mergeCell ref="I8074:J8074"/>
    <mergeCell ref="K8074:L8074"/>
    <mergeCell ref="M8074:N8074"/>
    <mergeCell ref="I8075:J8075"/>
    <mergeCell ref="K8075:L8075"/>
    <mergeCell ref="M8075:N8075"/>
    <mergeCell ref="K8077:L8077"/>
    <mergeCell ref="M8077:N8077"/>
    <mergeCell ref="K8078:L8078"/>
    <mergeCell ref="M8078:N8078"/>
    <mergeCell ref="A8075:G8075"/>
    <mergeCell ref="A8076:G8076"/>
    <mergeCell ref="I8076:J8076"/>
    <mergeCell ref="K8076:L8076"/>
    <mergeCell ref="M8076:N8076"/>
    <mergeCell ref="A8077:G8077"/>
    <mergeCell ref="I8077:J8077"/>
    <mergeCell ref="K8082:L8082"/>
    <mergeCell ref="M8082:N8082"/>
    <mergeCell ref="I8108:J8108"/>
    <mergeCell ref="K8108:L8108"/>
    <mergeCell ref="M8108:N8108"/>
    <mergeCell ref="I8082:J8082"/>
    <mergeCell ref="I8083:J8083"/>
    <mergeCell ref="K8083:L8083"/>
    <mergeCell ref="M8083:N8083"/>
    <mergeCell ref="A8080:N8080"/>
    <mergeCell ref="A8081:G8081"/>
    <mergeCell ref="I8081:J8081"/>
    <mergeCell ref="K8081:L8081"/>
    <mergeCell ref="M8081:N8081"/>
    <mergeCell ref="A8082:G8082"/>
    <mergeCell ref="A8083:G8083"/>
    <mergeCell ref="A8084:G8084"/>
    <mergeCell ref="I8084:J8084"/>
    <mergeCell ref="K8084:L8084"/>
    <mergeCell ref="M8084:N8084"/>
    <mergeCell ref="I8085:J8085"/>
    <mergeCell ref="K8085:L8085"/>
    <mergeCell ref="M8085:N8085"/>
    <mergeCell ref="A8085:G8085"/>
    <mergeCell ref="A8086:G8086"/>
    <mergeCell ref="I8086:J8086"/>
    <mergeCell ref="K8086:L8086"/>
    <mergeCell ref="M8086:N8086"/>
    <mergeCell ref="K8087:L8087"/>
    <mergeCell ref="M8087:N8087"/>
    <mergeCell ref="A8104:G8104"/>
    <mergeCell ref="A8105:G8105"/>
    <mergeCell ref="A8106:G8106"/>
    <mergeCell ref="A8107:G8107"/>
    <mergeCell ref="A8108:G8108"/>
    <mergeCell ref="M8095:N8095"/>
    <mergeCell ref="K8096:L8096"/>
    <mergeCell ref="M8096:N8096"/>
    <mergeCell ref="I8091:J8091"/>
    <mergeCell ref="I8092:J8092"/>
    <mergeCell ref="I8093:J8093"/>
    <mergeCell ref="M8093:N8093"/>
    <mergeCell ref="I8094:J8094"/>
    <mergeCell ref="M8094:N8094"/>
    <mergeCell ref="I8095:J8095"/>
    <mergeCell ref="A8089:N8089"/>
    <mergeCell ref="A8090:G8090"/>
    <mergeCell ref="I8090:J8090"/>
    <mergeCell ref="M8090:N8090"/>
    <mergeCell ref="A8091:G8091"/>
    <mergeCell ref="M8091:N8091"/>
    <mergeCell ref="M8092:N8092"/>
    <mergeCell ref="A8092:G8092"/>
    <mergeCell ref="A8093:G8093"/>
    <mergeCell ref="A8094:G8094"/>
    <mergeCell ref="A8095:G8095"/>
    <mergeCell ref="A8098:N8099"/>
    <mergeCell ref="A8103:N8103"/>
    <mergeCell ref="M8104:N8104"/>
    <mergeCell ref="I8104:J8104"/>
    <mergeCell ref="K8104:L8104"/>
    <mergeCell ref="I8105:J8105"/>
    <mergeCell ref="K8105:L8105"/>
    <mergeCell ref="M8105:N8105"/>
    <mergeCell ref="K8106:L8106"/>
    <mergeCell ref="M8106:N8106"/>
    <mergeCell ref="A8109:G8109"/>
    <mergeCell ref="A8110:G8110"/>
    <mergeCell ref="I8109:J8109"/>
    <mergeCell ref="K8109:L8109"/>
    <mergeCell ref="M8109:N8109"/>
    <mergeCell ref="I8110:J8110"/>
    <mergeCell ref="K8110:L8110"/>
    <mergeCell ref="M8110:N8110"/>
    <mergeCell ref="K8111:L8111"/>
    <mergeCell ref="A8115:G8115"/>
    <mergeCell ref="A8116:G8116"/>
    <mergeCell ref="A8117:G8117"/>
    <mergeCell ref="A8118:G8118"/>
    <mergeCell ref="A8119:G8119"/>
    <mergeCell ref="M8111:N8111"/>
    <mergeCell ref="A8113:N8113"/>
    <mergeCell ref="A8114:G8114"/>
    <mergeCell ref="I8114:J8114"/>
    <mergeCell ref="K8114:L8114"/>
    <mergeCell ref="M8114:N8114"/>
    <mergeCell ref="M8115:N8115"/>
    <mergeCell ref="I8115:J8115"/>
    <mergeCell ref="K8115:L8115"/>
    <mergeCell ref="I8116:J8116"/>
    <mergeCell ref="K8116:L8116"/>
    <mergeCell ref="M8116:N8116"/>
    <mergeCell ref="K8117:L8117"/>
    <mergeCell ref="M8117:N8117"/>
    <mergeCell ref="I8117:J8117"/>
    <mergeCell ref="I8118:J8118"/>
    <mergeCell ref="K8118:L8118"/>
    <mergeCell ref="M8118:N8118"/>
    <mergeCell ref="I8119:J8119"/>
    <mergeCell ref="K8119:L8119"/>
    <mergeCell ref="M8119:N8119"/>
    <mergeCell ref="I8123:J8123"/>
    <mergeCell ref="I8124:J8124"/>
    <mergeCell ref="K8124:L8124"/>
    <mergeCell ref="M8124:N8124"/>
    <mergeCell ref="K8120:L8120"/>
    <mergeCell ref="M8120:N8120"/>
    <mergeCell ref="A8122:N8122"/>
    <mergeCell ref="A8123:G8123"/>
    <mergeCell ref="K8123:L8123"/>
    <mergeCell ref="M8123:N8123"/>
    <mergeCell ref="A8124:G8124"/>
    <mergeCell ref="A8125:G8125"/>
    <mergeCell ref="I8125:J8125"/>
    <mergeCell ref="K8125:L8125"/>
    <mergeCell ref="M8125:N8125"/>
    <mergeCell ref="I8126:J8126"/>
    <mergeCell ref="K8126:L8126"/>
    <mergeCell ref="M8126:N8126"/>
    <mergeCell ref="K8128:L8128"/>
    <mergeCell ref="M8128:N8128"/>
    <mergeCell ref="K8129:L8129"/>
    <mergeCell ref="M8129:N8129"/>
    <mergeCell ref="A8126:G8126"/>
    <mergeCell ref="A8127:G8127"/>
    <mergeCell ref="I8127:J8127"/>
    <mergeCell ref="K8127:L8127"/>
    <mergeCell ref="M8127:N8127"/>
    <mergeCell ref="A8128:G8128"/>
    <mergeCell ref="I8128:J8128"/>
    <mergeCell ref="A8134:G8134"/>
    <mergeCell ref="A8135:G8135"/>
    <mergeCell ref="A8136:G8136"/>
    <mergeCell ref="A8137:G8137"/>
    <mergeCell ref="A8131:N8131"/>
    <mergeCell ref="A8132:G8132"/>
    <mergeCell ref="I8132:J8132"/>
    <mergeCell ref="M8132:N8132"/>
    <mergeCell ref="A8133:G8133"/>
    <mergeCell ref="M8133:N8133"/>
    <mergeCell ref="M8134:N8134"/>
    <mergeCell ref="I8133:J8133"/>
    <mergeCell ref="I8134:J8134"/>
    <mergeCell ref="I8135:J8135"/>
    <mergeCell ref="M8135:N8135"/>
    <mergeCell ref="I8136:J8136"/>
    <mergeCell ref="M8136:N8136"/>
    <mergeCell ref="I8137:J8137"/>
    <mergeCell ref="K8146:L8146"/>
    <mergeCell ref="M8146:N8146"/>
    <mergeCell ref="A8148:G8148"/>
    <mergeCell ref="I8148:J8148"/>
    <mergeCell ref="K8148:L8148"/>
    <mergeCell ref="M8148:N8148"/>
    <mergeCell ref="I8149:J8149"/>
    <mergeCell ref="K8149:L8149"/>
    <mergeCell ref="M8149:N8149"/>
    <mergeCell ref="A8149:G8149"/>
    <mergeCell ref="A8150:G8150"/>
    <mergeCell ref="I8150:J8150"/>
    <mergeCell ref="K8150:L8150"/>
    <mergeCell ref="M8150:N8150"/>
    <mergeCell ref="A8151:G8151"/>
    <mergeCell ref="A8152:G8152"/>
    <mergeCell ref="I8146:J8146"/>
    <mergeCell ref="I8147:J8147"/>
    <mergeCell ref="K8147:L8147"/>
    <mergeCell ref="M8147:N8147"/>
    <mergeCell ref="M8137:N8137"/>
    <mergeCell ref="K8138:L8138"/>
    <mergeCell ref="M8138:N8138"/>
    <mergeCell ref="A8140:N8141"/>
    <mergeCell ref="A8145:N8145"/>
    <mergeCell ref="A8146:G8146"/>
    <mergeCell ref="A8147:G8147"/>
    <mergeCell ref="K8151:L8151"/>
    <mergeCell ref="M8151:N8151"/>
    <mergeCell ref="I8151:J8151"/>
    <mergeCell ref="I8152:J8152"/>
    <mergeCell ref="K8152:L8152"/>
    <mergeCell ref="M8152:N8152"/>
    <mergeCell ref="K8153:L8153"/>
    <mergeCell ref="M8153:N8153"/>
    <mergeCell ref="K8157:L8157"/>
    <mergeCell ref="M8157:N8157"/>
    <mergeCell ref="K8167:L8167"/>
    <mergeCell ref="M8167:N8167"/>
    <mergeCell ref="A8164:N8164"/>
    <mergeCell ref="A8165:G8165"/>
    <mergeCell ref="I8165:J8165"/>
    <mergeCell ref="K8165:L8165"/>
    <mergeCell ref="M8165:N8165"/>
    <mergeCell ref="A8166:G8166"/>
    <mergeCell ref="A8167:G8167"/>
    <mergeCell ref="I8169:J8169"/>
    <mergeCell ref="K8169:L8169"/>
    <mergeCell ref="I8166:J8166"/>
    <mergeCell ref="I8167:J8167"/>
    <mergeCell ref="A8168:G8168"/>
    <mergeCell ref="I8168:J8168"/>
    <mergeCell ref="K8168:L8168"/>
    <mergeCell ref="M8168:N8168"/>
    <mergeCell ref="M8169:N8169"/>
    <mergeCell ref="I8157:J8157"/>
    <mergeCell ref="I8158:J8158"/>
    <mergeCell ref="K8158:L8158"/>
    <mergeCell ref="M8158:N8158"/>
    <mergeCell ref="A8155:N8155"/>
    <mergeCell ref="A8156:G8156"/>
    <mergeCell ref="I8156:J8156"/>
    <mergeCell ref="K8156:L8156"/>
    <mergeCell ref="M8156:N8156"/>
    <mergeCell ref="A8157:G8157"/>
    <mergeCell ref="A8158:G8158"/>
    <mergeCell ref="A8159:G8159"/>
    <mergeCell ref="I8159:J8159"/>
    <mergeCell ref="K8159:L8159"/>
    <mergeCell ref="M8159:N8159"/>
    <mergeCell ref="I8160:J8160"/>
    <mergeCell ref="K8160:L8160"/>
    <mergeCell ref="M8160:N8160"/>
    <mergeCell ref="A8160:G8160"/>
    <mergeCell ref="A8161:G8161"/>
    <mergeCell ref="I8161:J8161"/>
    <mergeCell ref="K8161:L8161"/>
    <mergeCell ref="M8161:N8161"/>
    <mergeCell ref="K8162:L8162"/>
    <mergeCell ref="M8162:N8162"/>
    <mergeCell ref="K8166:L8166"/>
    <mergeCell ref="M8166:N8166"/>
    <mergeCell ref="A8169:G8169"/>
    <mergeCell ref="A8170:G8170"/>
    <mergeCell ref="I8170:J8170"/>
    <mergeCell ref="K8170:L8170"/>
    <mergeCell ref="M8170:N8170"/>
    <mergeCell ref="K8171:L8171"/>
    <mergeCell ref="M8171:N8171"/>
    <mergeCell ref="A8176:G8176"/>
    <mergeCell ref="A8177:G8177"/>
    <mergeCell ref="A8178:G8178"/>
    <mergeCell ref="A8179:G8179"/>
    <mergeCell ref="A8173:N8173"/>
    <mergeCell ref="A8174:G8174"/>
    <mergeCell ref="I8174:J8174"/>
    <mergeCell ref="M8174:N8174"/>
    <mergeCell ref="A8175:G8175"/>
    <mergeCell ref="M8175:N8175"/>
    <mergeCell ref="M8176:N8176"/>
    <mergeCell ref="I8175:J8175"/>
    <mergeCell ref="I8176:J8176"/>
    <mergeCell ref="I8177:J8177"/>
    <mergeCell ref="M8177:N8177"/>
    <mergeCell ref="I8178:J8178"/>
    <mergeCell ref="M8178:N8178"/>
    <mergeCell ref="I8179:J8179"/>
    <mergeCell ref="K8188:L8188"/>
    <mergeCell ref="M8188:N8188"/>
    <mergeCell ref="I8188:J8188"/>
    <mergeCell ref="I8189:J8189"/>
    <mergeCell ref="K8189:L8189"/>
    <mergeCell ref="M8189:N8189"/>
    <mergeCell ref="M8179:N8179"/>
    <mergeCell ref="K8180:L8180"/>
    <mergeCell ref="M8180:N8180"/>
    <mergeCell ref="A8182:N8183"/>
    <mergeCell ref="A8187:N8187"/>
    <mergeCell ref="A8188:G8188"/>
    <mergeCell ref="A8189:G8189"/>
    <mergeCell ref="A8331:G8331"/>
    <mergeCell ref="A8332:G8332"/>
    <mergeCell ref="I8332:J8332"/>
    <mergeCell ref="K8332:L8332"/>
    <mergeCell ref="M8332:N8332"/>
    <mergeCell ref="K8333:L8333"/>
    <mergeCell ref="M8333:N8333"/>
    <mergeCell ref="K8337:L8337"/>
    <mergeCell ref="M8337:N8337"/>
    <mergeCell ref="A8340:G8340"/>
    <mergeCell ref="K8338:L8338"/>
    <mergeCell ref="M8338:N8338"/>
    <mergeCell ref="A8335:N8335"/>
    <mergeCell ref="A8336:G8336"/>
    <mergeCell ref="I8336:J8336"/>
    <mergeCell ref="K8336:L8336"/>
    <mergeCell ref="M8336:N8336"/>
    <mergeCell ref="A8337:G8337"/>
    <mergeCell ref="A8338:G8338"/>
    <mergeCell ref="A8341:G8341"/>
    <mergeCell ref="I8341:J8341"/>
    <mergeCell ref="K8341:L8341"/>
    <mergeCell ref="M8341:N8341"/>
    <mergeCell ref="K8342:L8342"/>
    <mergeCell ref="M8342:N8342"/>
    <mergeCell ref="A8347:G8347"/>
    <mergeCell ref="A8348:G8348"/>
    <mergeCell ref="A8349:G8349"/>
    <mergeCell ref="A8350:G8350"/>
    <mergeCell ref="A8344:N8344"/>
    <mergeCell ref="A8345:G8345"/>
    <mergeCell ref="I8345:J8345"/>
    <mergeCell ref="M8345:N8345"/>
    <mergeCell ref="A8346:G8346"/>
    <mergeCell ref="M8346:N8346"/>
    <mergeCell ref="M8347:N8347"/>
    <mergeCell ref="I8346:J8346"/>
    <mergeCell ref="I8347:J8347"/>
    <mergeCell ref="I8348:J8348"/>
    <mergeCell ref="M8348:N8348"/>
    <mergeCell ref="I8349:J8349"/>
    <mergeCell ref="M8349:N8349"/>
    <mergeCell ref="I8350:J8350"/>
    <mergeCell ref="K8359:L8359"/>
    <mergeCell ref="M8359:N8359"/>
    <mergeCell ref="I8359:J8359"/>
    <mergeCell ref="I8360:J8360"/>
    <mergeCell ref="K8360:L8360"/>
    <mergeCell ref="M8360:N8360"/>
    <mergeCell ref="M8350:N8350"/>
    <mergeCell ref="K8351:L8351"/>
    <mergeCell ref="M8351:N8351"/>
    <mergeCell ref="A8353:N8354"/>
    <mergeCell ref="A8358:N8358"/>
    <mergeCell ref="A8359:G8359"/>
    <mergeCell ref="A8360:G8360"/>
    <mergeCell ref="A8361:G8361"/>
    <mergeCell ref="I8361:J8361"/>
    <mergeCell ref="K8361:L8361"/>
    <mergeCell ref="M8361:N8361"/>
    <mergeCell ref="I8362:J8362"/>
    <mergeCell ref="K8362:L8362"/>
    <mergeCell ref="M8362:N8362"/>
    <mergeCell ref="K8364:L8364"/>
    <mergeCell ref="M8364:N8364"/>
    <mergeCell ref="K8365:L8365"/>
    <mergeCell ref="M8365:N8365"/>
    <mergeCell ref="A8362:G8362"/>
    <mergeCell ref="A8363:G8363"/>
    <mergeCell ref="I8363:J8363"/>
    <mergeCell ref="K8363:L8363"/>
    <mergeCell ref="M8363:N8363"/>
    <mergeCell ref="A8364:G8364"/>
    <mergeCell ref="I8364:J8364"/>
    <mergeCell ref="K8369:L8369"/>
    <mergeCell ref="M8369:N8369"/>
    <mergeCell ref="I8369:J8369"/>
    <mergeCell ref="I8370:J8370"/>
    <mergeCell ref="K8370:L8370"/>
    <mergeCell ref="M8370:N8370"/>
    <mergeCell ref="A8367:N8367"/>
    <mergeCell ref="A8368:G8368"/>
    <mergeCell ref="I8368:J8368"/>
    <mergeCell ref="K8368:L8368"/>
    <mergeCell ref="M8368:N8368"/>
    <mergeCell ref="A8369:G8369"/>
    <mergeCell ref="A8370:G8370"/>
    <mergeCell ref="A8380:G8380"/>
    <mergeCell ref="I8380:J8380"/>
    <mergeCell ref="K8380:L8380"/>
    <mergeCell ref="M8380:N8380"/>
    <mergeCell ref="I8381:J8381"/>
    <mergeCell ref="K8381:L8381"/>
    <mergeCell ref="M8381:N8381"/>
    <mergeCell ref="A8381:G8381"/>
    <mergeCell ref="A8384:N8384"/>
    <mergeCell ref="A8385:G8385"/>
    <mergeCell ref="I8385:J8385"/>
    <mergeCell ref="M8385:N8385"/>
    <mergeCell ref="I8386:J8386"/>
    <mergeCell ref="M8386:N8386"/>
    <mergeCell ref="I8388:J8388"/>
    <mergeCell ref="I8389:J8389"/>
    <mergeCell ref="A8386:G8386"/>
    <mergeCell ref="A8387:G8387"/>
    <mergeCell ref="I8387:J8387"/>
    <mergeCell ref="M8387:N8387"/>
    <mergeCell ref="A8388:G8388"/>
    <mergeCell ref="M8388:N8388"/>
    <mergeCell ref="M8389:N8389"/>
    <mergeCell ref="A8371:G8371"/>
    <mergeCell ref="I8371:J8371"/>
    <mergeCell ref="K8371:L8371"/>
    <mergeCell ref="M8371:N8371"/>
    <mergeCell ref="I8372:J8372"/>
    <mergeCell ref="K8372:L8372"/>
    <mergeCell ref="M8372:N8372"/>
    <mergeCell ref="A8372:G8372"/>
    <mergeCell ref="A8373:G8373"/>
    <mergeCell ref="I8373:J8373"/>
    <mergeCell ref="K8373:L8373"/>
    <mergeCell ref="M8373:N8373"/>
    <mergeCell ref="K8374:L8374"/>
    <mergeCell ref="M8374:N8374"/>
    <mergeCell ref="K8378:L8378"/>
    <mergeCell ref="M8378:N8378"/>
    <mergeCell ref="I8378:J8378"/>
    <mergeCell ref="I8379:J8379"/>
    <mergeCell ref="K8379:L8379"/>
    <mergeCell ref="M8379:N8379"/>
    <mergeCell ref="K8382:L8382"/>
    <mergeCell ref="M8382:N8382"/>
    <mergeCell ref="A8376:N8376"/>
    <mergeCell ref="A8377:G8377"/>
    <mergeCell ref="I8377:J8377"/>
    <mergeCell ref="K8377:L8377"/>
    <mergeCell ref="M8377:N8377"/>
    <mergeCell ref="A8378:G8378"/>
    <mergeCell ref="A8379:G8379"/>
    <mergeCell ref="A8389:G8389"/>
    <mergeCell ref="A8390:G8390"/>
    <mergeCell ref="I8390:J8390"/>
    <mergeCell ref="M8390:N8390"/>
    <mergeCell ref="K8391:L8391"/>
    <mergeCell ref="M8391:N8391"/>
    <mergeCell ref="A8393:N8394"/>
    <mergeCell ref="A8426:G8426"/>
    <mergeCell ref="I8426:J8426"/>
    <mergeCell ref="K8426:L8426"/>
    <mergeCell ref="M8426:N8426"/>
    <mergeCell ref="I8427:J8427"/>
    <mergeCell ref="K8427:L8427"/>
    <mergeCell ref="M8427:N8427"/>
    <mergeCell ref="A8427:G8427"/>
    <mergeCell ref="A8428:G8428"/>
    <mergeCell ref="I8428:J8428"/>
    <mergeCell ref="K8428:L8428"/>
    <mergeCell ref="M8428:N8428"/>
    <mergeCell ref="A8429:G8429"/>
    <mergeCell ref="A8430:G8430"/>
    <mergeCell ref="I8424:J8424"/>
    <mergeCell ref="I8425:J8425"/>
    <mergeCell ref="K8425:L8425"/>
    <mergeCell ref="M8425:N8425"/>
    <mergeCell ref="A8422:G8422"/>
    <mergeCell ref="A8423:G8423"/>
    <mergeCell ref="I8423:J8423"/>
    <mergeCell ref="K8423:L8423"/>
    <mergeCell ref="M8423:N8423"/>
    <mergeCell ref="A8424:G8424"/>
    <mergeCell ref="A8425:G8425"/>
    <mergeCell ref="K8429:L8429"/>
    <mergeCell ref="M8429:N8429"/>
    <mergeCell ref="I8429:J8429"/>
    <mergeCell ref="I8430:J8430"/>
    <mergeCell ref="K8430:L8430"/>
    <mergeCell ref="M8430:N8430"/>
    <mergeCell ref="M8418:N8418"/>
    <mergeCell ref="A8419:G8419"/>
    <mergeCell ref="A8420:G8420"/>
    <mergeCell ref="I8422:J8422"/>
    <mergeCell ref="K8422:L8422"/>
    <mergeCell ref="I8419:J8419"/>
    <mergeCell ref="I8420:J8420"/>
    <mergeCell ref="A8421:G8421"/>
    <mergeCell ref="I8421:J8421"/>
    <mergeCell ref="K8421:L8421"/>
    <mergeCell ref="M8421:N8421"/>
    <mergeCell ref="M8422:N8422"/>
    <mergeCell ref="A8411:G8411"/>
    <mergeCell ref="I8411:J8411"/>
    <mergeCell ref="K8411:L8411"/>
    <mergeCell ref="M8411:N8411"/>
    <mergeCell ref="I8412:J8412"/>
    <mergeCell ref="K8412:L8412"/>
    <mergeCell ref="M8412:N8412"/>
    <mergeCell ref="K8414:L8414"/>
    <mergeCell ref="M8414:N8414"/>
    <mergeCell ref="I8414:J8414"/>
    <mergeCell ref="I8415:J8415"/>
    <mergeCell ref="K8415:L8415"/>
    <mergeCell ref="M8415:N8415"/>
    <mergeCell ref="A8412:G8412"/>
    <mergeCell ref="A8413:G8413"/>
    <mergeCell ref="A8410:N8410"/>
    <mergeCell ref="A8416:G8416"/>
    <mergeCell ref="I8416:J8416"/>
    <mergeCell ref="K8416:L8416"/>
    <mergeCell ref="M8416:N8416"/>
    <mergeCell ref="I8417:J8417"/>
    <mergeCell ref="K8417:L8417"/>
    <mergeCell ref="M8417:N8417"/>
    <mergeCell ref="K8420:L8420"/>
    <mergeCell ref="M8420:N8420"/>
    <mergeCell ref="A8417:G8417"/>
    <mergeCell ref="A8418:G8418"/>
    <mergeCell ref="I8418:J8418"/>
    <mergeCell ref="K8418:L8418"/>
    <mergeCell ref="I8436:J8436"/>
    <mergeCell ref="K8436:L8436"/>
    <mergeCell ref="K8437:L8437"/>
    <mergeCell ref="M8437:N8437"/>
    <mergeCell ref="I8450:J8450"/>
    <mergeCell ref="I8451:J8451"/>
    <mergeCell ref="A8448:G8448"/>
    <mergeCell ref="I8448:J8448"/>
    <mergeCell ref="M8448:N8448"/>
    <mergeCell ref="A8449:G8449"/>
    <mergeCell ref="I8449:J8449"/>
    <mergeCell ref="A8450:G8450"/>
    <mergeCell ref="M8451:N8451"/>
    <mergeCell ref="K8434:L8434"/>
    <mergeCell ref="M8434:N8434"/>
    <mergeCell ref="A8435:G8435"/>
    <mergeCell ref="I8435:J8435"/>
    <mergeCell ref="K8435:L8435"/>
    <mergeCell ref="M8435:N8435"/>
    <mergeCell ref="M8436:N8436"/>
    <mergeCell ref="A8441:G8441"/>
    <mergeCell ref="A8442:G8442"/>
    <mergeCell ref="A8443:G8443"/>
    <mergeCell ref="A8444:G8444"/>
    <mergeCell ref="A8436:G8436"/>
    <mergeCell ref="A8439:N8439"/>
    <mergeCell ref="A8440:G8440"/>
    <mergeCell ref="I8440:J8440"/>
    <mergeCell ref="K8440:L8440"/>
    <mergeCell ref="M8440:N8440"/>
    <mergeCell ref="M8441:N8441"/>
    <mergeCell ref="I8441:J8441"/>
    <mergeCell ref="K8441:L8441"/>
    <mergeCell ref="I8442:J8442"/>
    <mergeCell ref="K8442:L8442"/>
    <mergeCell ref="M8442:N8442"/>
    <mergeCell ref="K8443:L8443"/>
    <mergeCell ref="M8443:N8443"/>
    <mergeCell ref="I8443:J8443"/>
    <mergeCell ref="I8444:J8444"/>
    <mergeCell ref="K8444:L8444"/>
    <mergeCell ref="M8444:N8444"/>
    <mergeCell ref="K8445:L8445"/>
    <mergeCell ref="M8445:N8445"/>
    <mergeCell ref="A8447:N8447"/>
    <mergeCell ref="M8449:N8449"/>
    <mergeCell ref="M8450:N8450"/>
    <mergeCell ref="A8402:G8402"/>
    <mergeCell ref="I8402:J8402"/>
    <mergeCell ref="K8402:L8402"/>
    <mergeCell ref="M8402:N8402"/>
    <mergeCell ref="I8403:J8403"/>
    <mergeCell ref="K8403:L8403"/>
    <mergeCell ref="M8403:N8403"/>
    <mergeCell ref="A8403:G8403"/>
    <mergeCell ref="A8404:G8404"/>
    <mergeCell ref="I8404:J8404"/>
    <mergeCell ref="K8404:L8404"/>
    <mergeCell ref="M8404:N8404"/>
    <mergeCell ref="A8405:G8405"/>
    <mergeCell ref="A8406:G8406"/>
    <mergeCell ref="K8400:L8400"/>
    <mergeCell ref="M8400:N8400"/>
    <mergeCell ref="I8400:J8400"/>
    <mergeCell ref="I8401:J8401"/>
    <mergeCell ref="K8401:L8401"/>
    <mergeCell ref="M8401:N8401"/>
    <mergeCell ref="A8398:N8398"/>
    <mergeCell ref="A8399:G8399"/>
    <mergeCell ref="I8399:J8399"/>
    <mergeCell ref="K8399:L8399"/>
    <mergeCell ref="M8399:N8399"/>
    <mergeCell ref="A8400:G8400"/>
    <mergeCell ref="A8401:G8401"/>
    <mergeCell ref="K8405:L8405"/>
    <mergeCell ref="M8405:N8405"/>
    <mergeCell ref="I8405:J8405"/>
    <mergeCell ref="I8406:J8406"/>
    <mergeCell ref="K8408:L8408"/>
    <mergeCell ref="M8408:N8408"/>
    <mergeCell ref="K8406:L8406"/>
    <mergeCell ref="M8406:N8406"/>
    <mergeCell ref="A8407:G8407"/>
    <mergeCell ref="I8407:J8407"/>
    <mergeCell ref="K8407:L8407"/>
    <mergeCell ref="M8407:N8407"/>
    <mergeCell ref="K8482:L8482"/>
    <mergeCell ref="M8482:N8482"/>
    <mergeCell ref="K8478:L8478"/>
    <mergeCell ref="M8478:N8478"/>
    <mergeCell ref="A8480:N8480"/>
    <mergeCell ref="A8481:G8481"/>
    <mergeCell ref="K8481:L8481"/>
    <mergeCell ref="M8481:N8481"/>
    <mergeCell ref="A8482:G8482"/>
    <mergeCell ref="I8484:J8484"/>
    <mergeCell ref="K8484:L8484"/>
    <mergeCell ref="I8481:J8481"/>
    <mergeCell ref="I8482:J8482"/>
    <mergeCell ref="A8483:G8483"/>
    <mergeCell ref="I8483:J8483"/>
    <mergeCell ref="K8483:L8483"/>
    <mergeCell ref="M8483:N8483"/>
    <mergeCell ref="M8484:N8484"/>
    <mergeCell ref="I8413:J8413"/>
    <mergeCell ref="K8413:L8413"/>
    <mergeCell ref="M8413:N8413"/>
    <mergeCell ref="A8414:G8414"/>
    <mergeCell ref="A8415:G8415"/>
    <mergeCell ref="K8419:L8419"/>
    <mergeCell ref="M8419:N8419"/>
    <mergeCell ref="K8424:L8424"/>
    <mergeCell ref="M8424:N8424"/>
    <mergeCell ref="A8431:G8431"/>
    <mergeCell ref="I8431:J8431"/>
    <mergeCell ref="K8431:L8431"/>
    <mergeCell ref="M8431:N8431"/>
    <mergeCell ref="I8432:J8432"/>
    <mergeCell ref="K8432:L8432"/>
    <mergeCell ref="M8432:N8432"/>
    <mergeCell ref="A8432:G8432"/>
    <mergeCell ref="A8433:G8433"/>
    <mergeCell ref="I8433:J8433"/>
    <mergeCell ref="K8433:L8433"/>
    <mergeCell ref="M8433:N8433"/>
    <mergeCell ref="A8434:G8434"/>
    <mergeCell ref="I8434:J8434"/>
    <mergeCell ref="I8473:J8473"/>
    <mergeCell ref="K8473:L8473"/>
    <mergeCell ref="I8474:J8474"/>
    <mergeCell ref="K8474:L8474"/>
    <mergeCell ref="M8474:N8474"/>
    <mergeCell ref="K8475:L8475"/>
    <mergeCell ref="M8475:N8475"/>
    <mergeCell ref="I8475:J8475"/>
    <mergeCell ref="I8476:J8476"/>
    <mergeCell ref="K8476:L8476"/>
    <mergeCell ref="M8476:N8476"/>
    <mergeCell ref="M8452:N8452"/>
    <mergeCell ref="M8453:N8453"/>
    <mergeCell ref="K8454:L8454"/>
    <mergeCell ref="M8454:N8454"/>
    <mergeCell ref="A8451:G8451"/>
    <mergeCell ref="A8452:G8452"/>
    <mergeCell ref="I8452:J8452"/>
    <mergeCell ref="A8453:G8453"/>
    <mergeCell ref="I8453:J8453"/>
    <mergeCell ref="A8456:N8457"/>
    <mergeCell ref="A8461:N8461"/>
    <mergeCell ref="K8486:L8486"/>
    <mergeCell ref="M8486:N8486"/>
    <mergeCell ref="K8487:L8487"/>
    <mergeCell ref="M8487:N8487"/>
    <mergeCell ref="A8484:G8484"/>
    <mergeCell ref="A8485:G8485"/>
    <mergeCell ref="I8485:J8485"/>
    <mergeCell ref="K8485:L8485"/>
    <mergeCell ref="M8485:N8485"/>
    <mergeCell ref="A8486:G8486"/>
    <mergeCell ref="I8486:J8486"/>
    <mergeCell ref="I8491:J8491"/>
    <mergeCell ref="I8492:J8492"/>
    <mergeCell ref="A8489:N8489"/>
    <mergeCell ref="A8490:G8490"/>
    <mergeCell ref="I8490:J8490"/>
    <mergeCell ref="M8490:N8490"/>
    <mergeCell ref="A8491:G8491"/>
    <mergeCell ref="M8491:N8491"/>
    <mergeCell ref="M8492:N8492"/>
    <mergeCell ref="A8462:G8462"/>
    <mergeCell ref="I8462:J8462"/>
    <mergeCell ref="K8462:L8462"/>
    <mergeCell ref="M8462:N8462"/>
    <mergeCell ref="I8463:J8463"/>
    <mergeCell ref="K8463:L8463"/>
    <mergeCell ref="M8463:N8463"/>
    <mergeCell ref="K8465:L8465"/>
    <mergeCell ref="M8465:N8465"/>
    <mergeCell ref="I8465:J8465"/>
    <mergeCell ref="I8466:J8466"/>
    <mergeCell ref="K8466:L8466"/>
    <mergeCell ref="M8466:N8466"/>
    <mergeCell ref="K8469:L8469"/>
    <mergeCell ref="M8469:N8469"/>
    <mergeCell ref="A8463:G8463"/>
    <mergeCell ref="A8464:G8464"/>
    <mergeCell ref="I8464:J8464"/>
    <mergeCell ref="K8464:L8464"/>
    <mergeCell ref="M8464:N8464"/>
    <mergeCell ref="A8465:G8465"/>
    <mergeCell ref="A8466:G8466"/>
    <mergeCell ref="A8473:G8473"/>
    <mergeCell ref="A8474:G8474"/>
    <mergeCell ref="A8475:G8475"/>
    <mergeCell ref="A8476:G8476"/>
    <mergeCell ref="A8477:G8477"/>
    <mergeCell ref="I8477:J8477"/>
    <mergeCell ref="K8477:L8477"/>
    <mergeCell ref="M8477:N8477"/>
    <mergeCell ref="A8467:G8467"/>
    <mergeCell ref="I8467:J8467"/>
    <mergeCell ref="K8467:L8467"/>
    <mergeCell ref="M8467:N8467"/>
    <mergeCell ref="I8468:J8468"/>
    <mergeCell ref="K8468:L8468"/>
    <mergeCell ref="M8468:N8468"/>
    <mergeCell ref="A8468:G8468"/>
    <mergeCell ref="A8471:N8471"/>
    <mergeCell ref="A8472:G8472"/>
    <mergeCell ref="I8472:J8472"/>
    <mergeCell ref="K8472:L8472"/>
    <mergeCell ref="M8472:N8472"/>
    <mergeCell ref="M8473:N8473"/>
    <mergeCell ref="I8494:J8494"/>
    <mergeCell ref="I8495:J8495"/>
    <mergeCell ref="K8496:L8496"/>
    <mergeCell ref="M8496:N8496"/>
    <mergeCell ref="A8492:G8492"/>
    <mergeCell ref="A8493:G8493"/>
    <mergeCell ref="I8493:J8493"/>
    <mergeCell ref="M8493:N8493"/>
    <mergeCell ref="A8494:G8494"/>
    <mergeCell ref="M8494:N8494"/>
    <mergeCell ref="M8495:N8495"/>
    <mergeCell ref="I8504:J8504"/>
    <mergeCell ref="I8505:J8505"/>
    <mergeCell ref="K8505:L8505"/>
    <mergeCell ref="M8505:N8505"/>
    <mergeCell ref="A8495:G8495"/>
    <mergeCell ref="A8498:N8499"/>
    <mergeCell ref="A8503:N8503"/>
    <mergeCell ref="A8504:G8504"/>
    <mergeCell ref="K8504:L8504"/>
    <mergeCell ref="M8504:N8504"/>
    <mergeCell ref="A8505:G8505"/>
    <mergeCell ref="A8506:G8506"/>
    <mergeCell ref="I8506:J8506"/>
    <mergeCell ref="K8506:L8506"/>
    <mergeCell ref="M8506:N8506"/>
    <mergeCell ref="I8507:J8507"/>
    <mergeCell ref="K8507:L8507"/>
    <mergeCell ref="M8507:N8507"/>
    <mergeCell ref="K8509:L8509"/>
    <mergeCell ref="M8509:N8509"/>
    <mergeCell ref="K8510:L8510"/>
    <mergeCell ref="M8510:N8510"/>
    <mergeCell ref="A8507:G8507"/>
    <mergeCell ref="A8508:G8508"/>
    <mergeCell ref="I8508:J8508"/>
    <mergeCell ref="K8508:L8508"/>
    <mergeCell ref="M8508:N8508"/>
    <mergeCell ref="A8509:G8509"/>
    <mergeCell ref="I8509:J8509"/>
    <mergeCell ref="I8554:J8554"/>
    <mergeCell ref="K8554:L8554"/>
    <mergeCell ref="M8554:N8554"/>
    <mergeCell ref="A8554:G8554"/>
    <mergeCell ref="A8555:G8555"/>
    <mergeCell ref="I8555:J8555"/>
    <mergeCell ref="K8555:L8555"/>
    <mergeCell ref="M8555:N8555"/>
    <mergeCell ref="A8556:G8556"/>
    <mergeCell ref="I8556:J8556"/>
    <mergeCell ref="K8514:L8514"/>
    <mergeCell ref="M8514:N8514"/>
    <mergeCell ref="I8514:J8514"/>
    <mergeCell ref="I8515:J8515"/>
    <mergeCell ref="K8515:L8515"/>
    <mergeCell ref="M8515:N8515"/>
    <mergeCell ref="A8512:N8512"/>
    <mergeCell ref="A8513:G8513"/>
    <mergeCell ref="I8513:J8513"/>
    <mergeCell ref="K8513:L8513"/>
    <mergeCell ref="M8513:N8513"/>
    <mergeCell ref="A8514:G8514"/>
    <mergeCell ref="A8515:G8515"/>
    <mergeCell ref="A8516:G8516"/>
    <mergeCell ref="I8516:J8516"/>
    <mergeCell ref="K8516:L8516"/>
    <mergeCell ref="M8516:N8516"/>
    <mergeCell ref="I8517:J8517"/>
    <mergeCell ref="K8517:L8517"/>
    <mergeCell ref="M8517:N8517"/>
    <mergeCell ref="A8517:G8517"/>
    <mergeCell ref="A8518:G8518"/>
    <mergeCell ref="I8518:J8518"/>
    <mergeCell ref="K8518:L8518"/>
    <mergeCell ref="M8518:N8518"/>
    <mergeCell ref="K8519:L8519"/>
    <mergeCell ref="M8519:N8519"/>
    <mergeCell ref="K8523:L8523"/>
    <mergeCell ref="M8523:N8523"/>
    <mergeCell ref="M8536:N8536"/>
    <mergeCell ref="K8537:L8537"/>
    <mergeCell ref="M8537:N8537"/>
    <mergeCell ref="I8532:J8532"/>
    <mergeCell ref="I8533:J8533"/>
    <mergeCell ref="I8534:J8534"/>
    <mergeCell ref="M8534:N8534"/>
    <mergeCell ref="I8535:J8535"/>
    <mergeCell ref="M8535:N8535"/>
    <mergeCell ref="I8536:J8536"/>
    <mergeCell ref="A8530:N8530"/>
    <mergeCell ref="A8531:G8531"/>
    <mergeCell ref="I8531:J8531"/>
    <mergeCell ref="M8531:N8531"/>
    <mergeCell ref="A8532:G8532"/>
    <mergeCell ref="M8532:N8532"/>
    <mergeCell ref="M8533:N8533"/>
    <mergeCell ref="A8533:G8533"/>
    <mergeCell ref="A8534:G8534"/>
    <mergeCell ref="A8535:G8535"/>
    <mergeCell ref="A8536:G8536"/>
    <mergeCell ref="I8558:J8558"/>
    <mergeCell ref="K8558:L8558"/>
    <mergeCell ref="K8556:L8556"/>
    <mergeCell ref="M8556:N8556"/>
    <mergeCell ref="A8557:G8557"/>
    <mergeCell ref="I8557:J8557"/>
    <mergeCell ref="K8557:L8557"/>
    <mergeCell ref="M8557:N8557"/>
    <mergeCell ref="M8558:N8558"/>
    <mergeCell ref="I8523:J8523"/>
    <mergeCell ref="I8524:J8524"/>
    <mergeCell ref="K8524:L8524"/>
    <mergeCell ref="M8524:N8524"/>
    <mergeCell ref="A8521:N8521"/>
    <mergeCell ref="A8522:G8522"/>
    <mergeCell ref="I8522:J8522"/>
    <mergeCell ref="K8522:L8522"/>
    <mergeCell ref="M8522:N8522"/>
    <mergeCell ref="A8523:G8523"/>
    <mergeCell ref="A8524:G8524"/>
    <mergeCell ref="A8525:G8525"/>
    <mergeCell ref="I8525:J8525"/>
    <mergeCell ref="K8525:L8525"/>
    <mergeCell ref="M8525:N8525"/>
    <mergeCell ref="I8526:J8526"/>
    <mergeCell ref="K8526:L8526"/>
    <mergeCell ref="M8526:N8526"/>
    <mergeCell ref="A8526:G8526"/>
    <mergeCell ref="A8527:G8527"/>
    <mergeCell ref="I8527:J8527"/>
    <mergeCell ref="K8527:L8527"/>
    <mergeCell ref="M8527:N8527"/>
    <mergeCell ref="K8528:L8528"/>
    <mergeCell ref="M8528:N8528"/>
    <mergeCell ref="A8545:G8545"/>
    <mergeCell ref="A8546:G8546"/>
    <mergeCell ref="A8547:G8547"/>
    <mergeCell ref="A8548:G8548"/>
    <mergeCell ref="A8549:G8549"/>
    <mergeCell ref="A8550:G8550"/>
    <mergeCell ref="A8558:G8558"/>
    <mergeCell ref="A8539:N8540"/>
    <mergeCell ref="A8544:N8544"/>
    <mergeCell ref="M8545:N8545"/>
    <mergeCell ref="I8545:J8545"/>
    <mergeCell ref="K8545:L8545"/>
    <mergeCell ref="I8546:J8546"/>
    <mergeCell ref="K8546:L8546"/>
    <mergeCell ref="M8546:N8546"/>
    <mergeCell ref="K8547:L8547"/>
    <mergeCell ref="M8547:N8547"/>
    <mergeCell ref="K8551:L8551"/>
    <mergeCell ref="M8551:N8551"/>
    <mergeCell ref="I8547:J8547"/>
    <mergeCell ref="I8548:J8548"/>
    <mergeCell ref="K8548:L8548"/>
    <mergeCell ref="M8548:N8548"/>
    <mergeCell ref="I8549:J8549"/>
    <mergeCell ref="K8549:L8549"/>
    <mergeCell ref="M8549:N8549"/>
    <mergeCell ref="I8550:J8550"/>
    <mergeCell ref="K8550:L8550"/>
    <mergeCell ref="M8550:N8550"/>
    <mergeCell ref="A8553:N8553"/>
    <mergeCell ref="A8574:G8574"/>
    <mergeCell ref="A8575:G8575"/>
    <mergeCell ref="I8575:J8575"/>
    <mergeCell ref="M8575:N8575"/>
    <mergeCell ref="A8576:G8576"/>
    <mergeCell ref="M8576:N8576"/>
    <mergeCell ref="M8577:N8577"/>
    <mergeCell ref="I8586:J8586"/>
    <mergeCell ref="I8587:J8587"/>
    <mergeCell ref="K8587:L8587"/>
    <mergeCell ref="M8587:N8587"/>
    <mergeCell ref="A8577:G8577"/>
    <mergeCell ref="A8580:N8581"/>
    <mergeCell ref="A8585:N8585"/>
    <mergeCell ref="A8586:G8586"/>
    <mergeCell ref="K8586:L8586"/>
    <mergeCell ref="M8586:N8586"/>
    <mergeCell ref="A8587:G8587"/>
    <mergeCell ref="K8591:L8591"/>
    <mergeCell ref="M8591:N8591"/>
    <mergeCell ref="I8591:J8591"/>
    <mergeCell ref="I8592:J8592"/>
    <mergeCell ref="A8559:G8559"/>
    <mergeCell ref="I8559:J8559"/>
    <mergeCell ref="K8559:L8559"/>
    <mergeCell ref="M8559:N8559"/>
    <mergeCell ref="K8560:L8560"/>
    <mergeCell ref="M8560:N8560"/>
    <mergeCell ref="I8573:J8573"/>
    <mergeCell ref="I8574:J8574"/>
    <mergeCell ref="A8571:N8571"/>
    <mergeCell ref="A8572:G8572"/>
    <mergeCell ref="I8572:J8572"/>
    <mergeCell ref="M8572:N8572"/>
    <mergeCell ref="A8573:G8573"/>
    <mergeCell ref="M8573:N8573"/>
    <mergeCell ref="M8574:N8574"/>
    <mergeCell ref="K8564:L8564"/>
    <mergeCell ref="M8564:N8564"/>
    <mergeCell ref="I8564:J8564"/>
    <mergeCell ref="I8565:J8565"/>
    <mergeCell ref="K8565:L8565"/>
    <mergeCell ref="M8565:N8565"/>
    <mergeCell ref="A8562:N8562"/>
    <mergeCell ref="A8563:G8563"/>
    <mergeCell ref="I8563:J8563"/>
    <mergeCell ref="K8563:L8563"/>
    <mergeCell ref="M8563:N8563"/>
    <mergeCell ref="A8564:G8564"/>
    <mergeCell ref="A8565:G8565"/>
    <mergeCell ref="A8566:G8566"/>
    <mergeCell ref="I8566:J8566"/>
    <mergeCell ref="K8566:L8566"/>
    <mergeCell ref="M8566:N8566"/>
    <mergeCell ref="I8567:J8567"/>
    <mergeCell ref="K8567:L8567"/>
    <mergeCell ref="M8567:N8567"/>
    <mergeCell ref="A8567:G8567"/>
    <mergeCell ref="A8568:G8568"/>
    <mergeCell ref="I8568:J8568"/>
    <mergeCell ref="K8568:L8568"/>
    <mergeCell ref="M8568:N8568"/>
    <mergeCell ref="K8569:L8569"/>
    <mergeCell ref="M8569:N8569"/>
    <mergeCell ref="I8611:J8611"/>
    <mergeCell ref="K8611:L8611"/>
    <mergeCell ref="M8611:N8611"/>
    <mergeCell ref="A8612:G8612"/>
    <mergeCell ref="I8612:J8612"/>
    <mergeCell ref="M8621:N8621"/>
    <mergeCell ref="K8622:L8622"/>
    <mergeCell ref="M8622:N8622"/>
    <mergeCell ref="I8618:J8618"/>
    <mergeCell ref="I8619:J8619"/>
    <mergeCell ref="A8620:G8620"/>
    <mergeCell ref="I8620:J8620"/>
    <mergeCell ref="M8620:N8620"/>
    <mergeCell ref="A8621:G8621"/>
    <mergeCell ref="I8621:J8621"/>
    <mergeCell ref="K8612:L8612"/>
    <mergeCell ref="M8612:N8612"/>
    <mergeCell ref="K8613:L8613"/>
    <mergeCell ref="M8613:N8613"/>
    <mergeCell ref="A8615:N8615"/>
    <mergeCell ref="I8616:J8616"/>
    <mergeCell ref="M8616:N8616"/>
    <mergeCell ref="A8616:G8616"/>
    <mergeCell ref="A8617:G8617"/>
    <mergeCell ref="I8617:J8617"/>
    <mergeCell ref="M8617:N8617"/>
    <mergeCell ref="A8618:G8618"/>
    <mergeCell ref="M8618:N8618"/>
    <mergeCell ref="A8619:G8619"/>
    <mergeCell ref="M8619:N8619"/>
    <mergeCell ref="I8576:J8576"/>
    <mergeCell ref="I8577:J8577"/>
    <mergeCell ref="K8578:L8578"/>
    <mergeCell ref="M8578:N8578"/>
    <mergeCell ref="A8588:G8588"/>
    <mergeCell ref="I8588:J8588"/>
    <mergeCell ref="K8588:L8588"/>
    <mergeCell ref="M8588:N8588"/>
    <mergeCell ref="I8589:J8589"/>
    <mergeCell ref="K8589:L8589"/>
    <mergeCell ref="M8589:N8589"/>
    <mergeCell ref="A8589:G8589"/>
    <mergeCell ref="A8590:G8590"/>
    <mergeCell ref="I8590:J8590"/>
    <mergeCell ref="K8590:L8590"/>
    <mergeCell ref="M8590:N8590"/>
    <mergeCell ref="A8591:G8591"/>
    <mergeCell ref="A8592:G8592"/>
    <mergeCell ref="A8624:N8625"/>
    <mergeCell ref="A8629:N8629"/>
    <mergeCell ref="A8630:G8630"/>
    <mergeCell ref="I8630:J8630"/>
    <mergeCell ref="K8630:L8630"/>
    <mergeCell ref="M8630:N8630"/>
    <mergeCell ref="M8631:N8631"/>
    <mergeCell ref="K8592:L8592"/>
    <mergeCell ref="M8592:N8592"/>
    <mergeCell ref="A8593:G8593"/>
    <mergeCell ref="I8593:J8593"/>
    <mergeCell ref="K8593:L8593"/>
    <mergeCell ref="M8593:N8593"/>
    <mergeCell ref="M8594:N8594"/>
    <mergeCell ref="A8599:G8599"/>
    <mergeCell ref="A8600:G8600"/>
    <mergeCell ref="A8601:G8601"/>
    <mergeCell ref="A8602:G8602"/>
    <mergeCell ref="A8603:G8603"/>
    <mergeCell ref="A8594:G8594"/>
    <mergeCell ref="A8597:N8597"/>
    <mergeCell ref="A8598:G8598"/>
    <mergeCell ref="I8598:J8598"/>
    <mergeCell ref="K8598:L8598"/>
    <mergeCell ref="M8598:N8598"/>
    <mergeCell ref="M8599:N8599"/>
    <mergeCell ref="I8599:J8599"/>
    <mergeCell ref="K8599:L8599"/>
    <mergeCell ref="I8600:J8600"/>
    <mergeCell ref="K8600:L8600"/>
    <mergeCell ref="M8600:N8600"/>
    <mergeCell ref="K8601:L8601"/>
    <mergeCell ref="M8601:N8601"/>
    <mergeCell ref="I8601:J8601"/>
    <mergeCell ref="I8602:J8602"/>
    <mergeCell ref="K8602:L8602"/>
    <mergeCell ref="M8602:N8602"/>
    <mergeCell ref="I8603:J8603"/>
    <mergeCell ref="K8603:L8603"/>
    <mergeCell ref="M8603:N8603"/>
    <mergeCell ref="I8607:J8607"/>
    <mergeCell ref="I8608:J8608"/>
    <mergeCell ref="I8594:J8594"/>
    <mergeCell ref="K8594:L8594"/>
    <mergeCell ref="K8595:L8595"/>
    <mergeCell ref="M8595:N8595"/>
    <mergeCell ref="K8608:L8608"/>
    <mergeCell ref="M8608:N8608"/>
    <mergeCell ref="K8604:L8604"/>
    <mergeCell ref="M8604:N8604"/>
    <mergeCell ref="A8606:N8606"/>
    <mergeCell ref="A8607:G8607"/>
    <mergeCell ref="K8607:L8607"/>
    <mergeCell ref="M8607:N8607"/>
    <mergeCell ref="A8608:G8608"/>
    <mergeCell ref="A8609:G8609"/>
    <mergeCell ref="I8609:J8609"/>
    <mergeCell ref="K8609:L8609"/>
    <mergeCell ref="M8609:N8609"/>
    <mergeCell ref="I8610:J8610"/>
    <mergeCell ref="K8610:L8610"/>
    <mergeCell ref="M8610:N8610"/>
    <mergeCell ref="A8610:G8610"/>
    <mergeCell ref="A8611:G8611"/>
    <mergeCell ref="K8633:L8633"/>
    <mergeCell ref="M8633:N8633"/>
    <mergeCell ref="I8633:J8633"/>
    <mergeCell ref="I8634:J8634"/>
    <mergeCell ref="K8634:L8634"/>
    <mergeCell ref="M8634:N8634"/>
    <mergeCell ref="A8631:G8631"/>
    <mergeCell ref="A8632:G8632"/>
    <mergeCell ref="I8632:J8632"/>
    <mergeCell ref="K8632:L8632"/>
    <mergeCell ref="M8632:N8632"/>
    <mergeCell ref="A8633:G8633"/>
    <mergeCell ref="A8634:G8634"/>
    <mergeCell ref="A8635:G8635"/>
    <mergeCell ref="I8635:J8635"/>
    <mergeCell ref="K8635:L8635"/>
    <mergeCell ref="M8635:N8635"/>
    <mergeCell ref="I8636:J8636"/>
    <mergeCell ref="K8636:L8636"/>
    <mergeCell ref="M8636:N8636"/>
    <mergeCell ref="K8638:L8638"/>
    <mergeCell ref="M8638:N8638"/>
    <mergeCell ref="K8639:L8639"/>
    <mergeCell ref="M8639:N8639"/>
    <mergeCell ref="A8636:G8636"/>
    <mergeCell ref="A8637:G8637"/>
    <mergeCell ref="I8637:J8637"/>
    <mergeCell ref="K8637:L8637"/>
    <mergeCell ref="M8637:N8637"/>
    <mergeCell ref="A8638:G8638"/>
    <mergeCell ref="I8638:J8638"/>
    <mergeCell ref="K8643:L8643"/>
    <mergeCell ref="M8643:N8643"/>
    <mergeCell ref="I8631:J8631"/>
    <mergeCell ref="K8631:L8631"/>
    <mergeCell ref="K8653:L8653"/>
    <mergeCell ref="M8653:N8653"/>
    <mergeCell ref="A8650:N8650"/>
    <mergeCell ref="A8651:G8651"/>
    <mergeCell ref="I8651:J8651"/>
    <mergeCell ref="K8651:L8651"/>
    <mergeCell ref="M8651:N8651"/>
    <mergeCell ref="A8652:G8652"/>
    <mergeCell ref="A8653:G8653"/>
    <mergeCell ref="I8655:J8655"/>
    <mergeCell ref="K8655:L8655"/>
    <mergeCell ref="I8652:J8652"/>
    <mergeCell ref="I8653:J8653"/>
    <mergeCell ref="A8654:G8654"/>
    <mergeCell ref="I8654:J8654"/>
    <mergeCell ref="K8654:L8654"/>
    <mergeCell ref="M8654:N8654"/>
    <mergeCell ref="M8655:N8655"/>
    <mergeCell ref="I8643:J8643"/>
    <mergeCell ref="I8644:J8644"/>
    <mergeCell ref="K8644:L8644"/>
    <mergeCell ref="M8644:N8644"/>
    <mergeCell ref="A8641:N8641"/>
    <mergeCell ref="A8642:G8642"/>
    <mergeCell ref="I8642:J8642"/>
    <mergeCell ref="K8642:L8642"/>
    <mergeCell ref="M8642:N8642"/>
    <mergeCell ref="A8643:G8643"/>
    <mergeCell ref="A8644:G8644"/>
    <mergeCell ref="A8645:G8645"/>
    <mergeCell ref="I8645:J8645"/>
    <mergeCell ref="K8645:L8645"/>
    <mergeCell ref="M8645:N8645"/>
    <mergeCell ref="I8646:J8646"/>
    <mergeCell ref="K8646:L8646"/>
    <mergeCell ref="M8646:N8646"/>
    <mergeCell ref="A8646:G8646"/>
    <mergeCell ref="A8647:G8647"/>
    <mergeCell ref="I8647:J8647"/>
    <mergeCell ref="K8647:L8647"/>
    <mergeCell ref="M8647:N8647"/>
    <mergeCell ref="K8648:L8648"/>
    <mergeCell ref="M8648:N8648"/>
    <mergeCell ref="K8652:L8652"/>
    <mergeCell ref="M8652:N8652"/>
    <mergeCell ref="A8655:G8655"/>
    <mergeCell ref="M8842:N8842"/>
    <mergeCell ref="A8844:N8845"/>
    <mergeCell ref="A8849:N8849"/>
    <mergeCell ref="A8850:G8850"/>
    <mergeCell ref="A8851:G8851"/>
    <mergeCell ref="A8656:G8656"/>
    <mergeCell ref="I8656:J8656"/>
    <mergeCell ref="K8656:L8656"/>
    <mergeCell ref="M8656:N8656"/>
    <mergeCell ref="K8657:L8657"/>
    <mergeCell ref="M8657:N8657"/>
    <mergeCell ref="K8829:L8829"/>
    <mergeCell ref="M8829:N8829"/>
    <mergeCell ref="A8826:N8826"/>
    <mergeCell ref="A8827:G8827"/>
    <mergeCell ref="I8827:J8827"/>
    <mergeCell ref="K8827:L8827"/>
    <mergeCell ref="M8827:N8827"/>
    <mergeCell ref="A8828:G8828"/>
    <mergeCell ref="A8829:G8829"/>
    <mergeCell ref="I8831:J8831"/>
    <mergeCell ref="K8831:L8831"/>
    <mergeCell ref="I8828:J8828"/>
    <mergeCell ref="I8829:J8829"/>
    <mergeCell ref="A8830:G8830"/>
    <mergeCell ref="I8830:J8830"/>
    <mergeCell ref="K8830:L8830"/>
    <mergeCell ref="M8830:N8830"/>
    <mergeCell ref="M8831:N8831"/>
    <mergeCell ref="I8819:J8819"/>
    <mergeCell ref="I8820:J8820"/>
    <mergeCell ref="K8820:L8820"/>
    <mergeCell ref="M8820:N8820"/>
    <mergeCell ref="A8817:N8817"/>
    <mergeCell ref="A8818:G8818"/>
    <mergeCell ref="I8818:J8818"/>
    <mergeCell ref="K8818:L8818"/>
    <mergeCell ref="M8818:N8818"/>
    <mergeCell ref="A8819:G8819"/>
    <mergeCell ref="A8820:G8820"/>
    <mergeCell ref="A8821:G8821"/>
    <mergeCell ref="I8821:J8821"/>
    <mergeCell ref="K8821:L8821"/>
    <mergeCell ref="M8821:N8821"/>
    <mergeCell ref="I8822:J8822"/>
    <mergeCell ref="K8822:L8822"/>
    <mergeCell ref="M8822:N8822"/>
    <mergeCell ref="A8822:G8822"/>
    <mergeCell ref="A8823:G8823"/>
    <mergeCell ref="I8823:J8823"/>
    <mergeCell ref="K8823:L8823"/>
    <mergeCell ref="M8823:N8823"/>
    <mergeCell ref="K8824:L8824"/>
    <mergeCell ref="M8824:N8824"/>
    <mergeCell ref="K8828:L8828"/>
    <mergeCell ref="M8828:N8828"/>
    <mergeCell ref="A8831:G8831"/>
    <mergeCell ref="I8720:J8720"/>
    <mergeCell ref="K8720:L8720"/>
    <mergeCell ref="M8720:N8720"/>
    <mergeCell ref="I8721:J8721"/>
    <mergeCell ref="K8721:L8721"/>
    <mergeCell ref="M8721:N8721"/>
    <mergeCell ref="A8721:G8721"/>
    <mergeCell ref="K8872:L8872"/>
    <mergeCell ref="M8872:N8872"/>
    <mergeCell ref="K8868:L8868"/>
    <mergeCell ref="M8868:N8868"/>
    <mergeCell ref="A8870:N8870"/>
    <mergeCell ref="A8871:G8871"/>
    <mergeCell ref="K8871:L8871"/>
    <mergeCell ref="M8871:N8871"/>
    <mergeCell ref="A8872:G8872"/>
    <mergeCell ref="I8874:J8874"/>
    <mergeCell ref="K8874:L8874"/>
    <mergeCell ref="I8871:J8871"/>
    <mergeCell ref="I8872:J8872"/>
    <mergeCell ref="A8873:G8873"/>
    <mergeCell ref="I8873:J8873"/>
    <mergeCell ref="K8873:L8873"/>
    <mergeCell ref="M8873:N8873"/>
    <mergeCell ref="M8874:N8874"/>
    <mergeCell ref="A8857:G8857"/>
    <mergeCell ref="I8857:J8857"/>
    <mergeCell ref="K8857:L8857"/>
    <mergeCell ref="M8857:N8857"/>
    <mergeCell ref="I8858:J8858"/>
    <mergeCell ref="K8858:L8858"/>
    <mergeCell ref="M8858:N8858"/>
    <mergeCell ref="A8858:G8858"/>
    <mergeCell ref="A8861:N8861"/>
    <mergeCell ref="A8862:G8862"/>
    <mergeCell ref="I8862:J8862"/>
    <mergeCell ref="K8862:L8862"/>
    <mergeCell ref="M8862:N8862"/>
    <mergeCell ref="M8863:N8863"/>
    <mergeCell ref="A8832:G8832"/>
    <mergeCell ref="I8832:J8832"/>
    <mergeCell ref="K8832:L8832"/>
    <mergeCell ref="M8832:N8832"/>
    <mergeCell ref="K8833:L8833"/>
    <mergeCell ref="M8833:N8833"/>
    <mergeCell ref="A8838:G8838"/>
    <mergeCell ref="A8839:G8839"/>
    <mergeCell ref="A8840:G8840"/>
    <mergeCell ref="A8841:G8841"/>
    <mergeCell ref="A8835:N8835"/>
    <mergeCell ref="A8836:G8836"/>
    <mergeCell ref="I8836:J8836"/>
    <mergeCell ref="M8836:N8836"/>
    <mergeCell ref="A8837:G8837"/>
    <mergeCell ref="M8837:N8837"/>
    <mergeCell ref="M8838:N8838"/>
    <mergeCell ref="I8837:J8837"/>
    <mergeCell ref="I8838:J8838"/>
    <mergeCell ref="I8839:J8839"/>
    <mergeCell ref="M8839:N8839"/>
    <mergeCell ref="I8840:J8840"/>
    <mergeCell ref="M8840:N8840"/>
    <mergeCell ref="I8841:J8841"/>
    <mergeCell ref="K8850:L8850"/>
    <mergeCell ref="M8850:N8850"/>
    <mergeCell ref="I8850:J8850"/>
    <mergeCell ref="I8851:J8851"/>
    <mergeCell ref="K8851:L8851"/>
    <mergeCell ref="M8851:N8851"/>
    <mergeCell ref="M8841:N8841"/>
    <mergeCell ref="K8842:L8842"/>
    <mergeCell ref="I8852:J8852"/>
    <mergeCell ref="K8852:L8852"/>
    <mergeCell ref="M8852:N8852"/>
    <mergeCell ref="I8853:J8853"/>
    <mergeCell ref="K8853:L8853"/>
    <mergeCell ref="M8853:N8853"/>
    <mergeCell ref="K8855:L8855"/>
    <mergeCell ref="M8855:N8855"/>
    <mergeCell ref="I8855:J8855"/>
    <mergeCell ref="I8856:J8856"/>
    <mergeCell ref="K8856:L8856"/>
    <mergeCell ref="M8856:N8856"/>
    <mergeCell ref="K8859:L8859"/>
    <mergeCell ref="M8859:N8859"/>
    <mergeCell ref="A8853:G8853"/>
    <mergeCell ref="A8854:G8854"/>
    <mergeCell ref="I8854:J8854"/>
    <mergeCell ref="K8854:L8854"/>
    <mergeCell ref="M8854:N8854"/>
    <mergeCell ref="A8855:G8855"/>
    <mergeCell ref="A8856:G8856"/>
    <mergeCell ref="A8863:G8863"/>
    <mergeCell ref="A8864:G8864"/>
    <mergeCell ref="A8865:G8865"/>
    <mergeCell ref="A8866:G8866"/>
    <mergeCell ref="A8867:G8867"/>
    <mergeCell ref="I8863:J8863"/>
    <mergeCell ref="K8863:L8863"/>
    <mergeCell ref="I8864:J8864"/>
    <mergeCell ref="K8864:L8864"/>
    <mergeCell ref="M8864:N8864"/>
    <mergeCell ref="K8865:L8865"/>
    <mergeCell ref="M8865:N8865"/>
    <mergeCell ref="I8865:J8865"/>
    <mergeCell ref="I8866:J8866"/>
    <mergeCell ref="K8866:L8866"/>
    <mergeCell ref="M8866:N8866"/>
    <mergeCell ref="I8867:J8867"/>
    <mergeCell ref="K8867:L8867"/>
    <mergeCell ref="M8867:N8867"/>
    <mergeCell ref="I8678:J8678"/>
    <mergeCell ref="K8678:L8678"/>
    <mergeCell ref="M8678:N8678"/>
    <mergeCell ref="A8679:G8679"/>
    <mergeCell ref="A8680:G8680"/>
    <mergeCell ref="A8687:G8687"/>
    <mergeCell ref="A8688:G8688"/>
    <mergeCell ref="A8689:G8689"/>
    <mergeCell ref="A8690:G8690"/>
    <mergeCell ref="A8691:G8691"/>
    <mergeCell ref="I8708:J8708"/>
    <mergeCell ref="I8709:J8709"/>
    <mergeCell ref="K8710:L8710"/>
    <mergeCell ref="M8710:N8710"/>
    <mergeCell ref="A8720:G8720"/>
    <mergeCell ref="I8884:J8884"/>
    <mergeCell ref="I8885:J8885"/>
    <mergeCell ref="K8886:L8886"/>
    <mergeCell ref="M8886:N8886"/>
    <mergeCell ref="A8896:G8896"/>
    <mergeCell ref="I8896:J8896"/>
    <mergeCell ref="K8896:L8896"/>
    <mergeCell ref="M8896:N8896"/>
    <mergeCell ref="I8897:J8897"/>
    <mergeCell ref="K8897:L8897"/>
    <mergeCell ref="M8897:N8897"/>
    <mergeCell ref="A8897:G8897"/>
    <mergeCell ref="A8898:G8898"/>
    <mergeCell ref="I8898:J8898"/>
    <mergeCell ref="K8898:L8898"/>
    <mergeCell ref="M8898:N8898"/>
    <mergeCell ref="A8899:G8899"/>
    <mergeCell ref="A8900:G8900"/>
    <mergeCell ref="A8882:G8882"/>
    <mergeCell ref="A8883:G8883"/>
    <mergeCell ref="I8883:J8883"/>
    <mergeCell ref="M8883:N8883"/>
    <mergeCell ref="A8884:G8884"/>
    <mergeCell ref="M8884:N8884"/>
    <mergeCell ref="M8885:N8885"/>
    <mergeCell ref="I8894:J8894"/>
    <mergeCell ref="I8895:J8895"/>
    <mergeCell ref="K8895:L8895"/>
    <mergeCell ref="M8895:N8895"/>
    <mergeCell ref="A8885:G8885"/>
    <mergeCell ref="A8888:N8889"/>
    <mergeCell ref="A8893:N8893"/>
    <mergeCell ref="A8894:G8894"/>
    <mergeCell ref="K8894:L8894"/>
    <mergeCell ref="M8894:N8894"/>
    <mergeCell ref="A8895:G8895"/>
    <mergeCell ref="K8899:L8899"/>
    <mergeCell ref="M8899:N8899"/>
    <mergeCell ref="I8899:J8899"/>
    <mergeCell ref="I8900:J8900"/>
    <mergeCell ref="K8876:L8876"/>
    <mergeCell ref="M8876:N8876"/>
    <mergeCell ref="K8877:L8877"/>
    <mergeCell ref="M8877:N8877"/>
    <mergeCell ref="A8874:G8874"/>
    <mergeCell ref="A8875:G8875"/>
    <mergeCell ref="I8875:J8875"/>
    <mergeCell ref="K8875:L8875"/>
    <mergeCell ref="M8875:N8875"/>
    <mergeCell ref="A8738:N8738"/>
    <mergeCell ref="A8739:G8739"/>
    <mergeCell ref="K8739:L8739"/>
    <mergeCell ref="M8739:N8739"/>
    <mergeCell ref="A8740:G8740"/>
    <mergeCell ref="K8724:L8724"/>
    <mergeCell ref="M8724:N8724"/>
    <mergeCell ref="A8725:G8725"/>
    <mergeCell ref="I8725:J8725"/>
    <mergeCell ref="K8725:L8725"/>
    <mergeCell ref="M8725:N8725"/>
    <mergeCell ref="M8726:N8726"/>
    <mergeCell ref="A8731:G8731"/>
    <mergeCell ref="A8732:G8732"/>
    <mergeCell ref="A8733:G8733"/>
    <mergeCell ref="A8734:G8734"/>
    <mergeCell ref="A8735:G8735"/>
    <mergeCell ref="A8726:G8726"/>
    <mergeCell ref="A8729:N8729"/>
    <mergeCell ref="A8730:G8730"/>
    <mergeCell ref="I8730:J8730"/>
    <mergeCell ref="K8730:L8730"/>
    <mergeCell ref="M8730:N8730"/>
    <mergeCell ref="M8731:N8731"/>
    <mergeCell ref="I8731:J8731"/>
    <mergeCell ref="K8731:L8731"/>
    <mergeCell ref="I8732:J8732"/>
    <mergeCell ref="K8732:L8732"/>
    <mergeCell ref="M8732:N8732"/>
    <mergeCell ref="K8733:L8733"/>
    <mergeCell ref="M8733:N8733"/>
    <mergeCell ref="I8733:J8733"/>
    <mergeCell ref="I8734:J8734"/>
    <mergeCell ref="I8688:J8688"/>
    <mergeCell ref="K8688:L8688"/>
    <mergeCell ref="M8688:N8688"/>
    <mergeCell ref="K8689:L8689"/>
    <mergeCell ref="M8689:N8689"/>
    <mergeCell ref="I8689:J8689"/>
    <mergeCell ref="I8690:J8690"/>
    <mergeCell ref="K8690:L8690"/>
    <mergeCell ref="M8690:N8690"/>
    <mergeCell ref="I8691:J8691"/>
    <mergeCell ref="K8691:L8691"/>
    <mergeCell ref="M8691:N8691"/>
    <mergeCell ref="K8696:L8696"/>
    <mergeCell ref="M8696:N8696"/>
    <mergeCell ref="K8692:L8692"/>
    <mergeCell ref="M8692:N8692"/>
    <mergeCell ref="A8694:N8694"/>
    <mergeCell ref="A8695:G8695"/>
    <mergeCell ref="K8695:L8695"/>
    <mergeCell ref="M8695:N8695"/>
    <mergeCell ref="A8696:G8696"/>
    <mergeCell ref="I8698:J8698"/>
    <mergeCell ref="A8724:G8724"/>
    <mergeCell ref="A8706:G8706"/>
    <mergeCell ref="A8707:G8707"/>
    <mergeCell ref="I8707:J8707"/>
    <mergeCell ref="M8707:N8707"/>
    <mergeCell ref="A8708:G8708"/>
    <mergeCell ref="M8708:N8708"/>
    <mergeCell ref="M8709:N8709"/>
    <mergeCell ref="I8718:J8718"/>
    <mergeCell ref="I8719:J8719"/>
    <mergeCell ref="K8719:L8719"/>
    <mergeCell ref="M8719:N8719"/>
    <mergeCell ref="A8709:G8709"/>
    <mergeCell ref="A8712:N8713"/>
    <mergeCell ref="A8717:N8717"/>
    <mergeCell ref="A8718:G8718"/>
    <mergeCell ref="K8718:L8718"/>
    <mergeCell ref="M8718:N8718"/>
    <mergeCell ref="A8719:G8719"/>
    <mergeCell ref="K8723:L8723"/>
    <mergeCell ref="M8723:N8723"/>
    <mergeCell ref="I8723:J8723"/>
    <mergeCell ref="I8724:J8724"/>
    <mergeCell ref="A8722:G8722"/>
    <mergeCell ref="I8722:J8722"/>
    <mergeCell ref="K8722:L8722"/>
    <mergeCell ref="M8722:N8722"/>
    <mergeCell ref="A8723:G8723"/>
    <mergeCell ref="A8662:G8662"/>
    <mergeCell ref="A8663:G8663"/>
    <mergeCell ref="A8664:G8664"/>
    <mergeCell ref="A8665:G8665"/>
    <mergeCell ref="A8659:N8659"/>
    <mergeCell ref="A8660:G8660"/>
    <mergeCell ref="I8660:J8660"/>
    <mergeCell ref="M8660:N8660"/>
    <mergeCell ref="A8661:G8661"/>
    <mergeCell ref="M8661:N8661"/>
    <mergeCell ref="M8662:N8662"/>
    <mergeCell ref="I8661:J8661"/>
    <mergeCell ref="I8662:J8662"/>
    <mergeCell ref="I8663:J8663"/>
    <mergeCell ref="M8663:N8663"/>
    <mergeCell ref="I8664:J8664"/>
    <mergeCell ref="M8664:N8664"/>
    <mergeCell ref="I8665:J8665"/>
    <mergeCell ref="K8674:L8674"/>
    <mergeCell ref="M8674:N8674"/>
    <mergeCell ref="I8674:J8674"/>
    <mergeCell ref="I8675:J8675"/>
    <mergeCell ref="K8675:L8675"/>
    <mergeCell ref="M8675:N8675"/>
    <mergeCell ref="M8665:N8665"/>
    <mergeCell ref="K8666:L8666"/>
    <mergeCell ref="M8666:N8666"/>
    <mergeCell ref="A8668:N8669"/>
    <mergeCell ref="A8673:N8673"/>
    <mergeCell ref="A8674:G8674"/>
    <mergeCell ref="A8675:G8675"/>
    <mergeCell ref="I8687:J8687"/>
    <mergeCell ref="K8687:L8687"/>
    <mergeCell ref="A8681:G8681"/>
    <mergeCell ref="I8681:J8681"/>
    <mergeCell ref="K8681:L8681"/>
    <mergeCell ref="M8681:N8681"/>
    <mergeCell ref="I8682:J8682"/>
    <mergeCell ref="K8682:L8682"/>
    <mergeCell ref="M8682:N8682"/>
    <mergeCell ref="A8682:G8682"/>
    <mergeCell ref="A8685:N8685"/>
    <mergeCell ref="A8686:G8686"/>
    <mergeCell ref="I8686:J8686"/>
    <mergeCell ref="K8686:L8686"/>
    <mergeCell ref="M8686:N8686"/>
    <mergeCell ref="M8687:N8687"/>
    <mergeCell ref="A8676:G8676"/>
    <mergeCell ref="I8676:J8676"/>
    <mergeCell ref="K8676:L8676"/>
    <mergeCell ref="M8676:N8676"/>
    <mergeCell ref="I8677:J8677"/>
    <mergeCell ref="K8677:L8677"/>
    <mergeCell ref="M8677:N8677"/>
    <mergeCell ref="K8679:L8679"/>
    <mergeCell ref="M8679:N8679"/>
    <mergeCell ref="I8679:J8679"/>
    <mergeCell ref="I8680:J8680"/>
    <mergeCell ref="K8680:L8680"/>
    <mergeCell ref="M8680:N8680"/>
    <mergeCell ref="K8683:L8683"/>
    <mergeCell ref="M8683:N8683"/>
    <mergeCell ref="A8677:G8677"/>
    <mergeCell ref="A8678:G8678"/>
    <mergeCell ref="A8786:G8786"/>
    <mergeCell ref="A8787:G8787"/>
    <mergeCell ref="I8787:J8787"/>
    <mergeCell ref="K8787:L8787"/>
    <mergeCell ref="M8787:N8787"/>
    <mergeCell ref="A8788:G8788"/>
    <mergeCell ref="I8788:J8788"/>
    <mergeCell ref="K8788:L8788"/>
    <mergeCell ref="K8698:L8698"/>
    <mergeCell ref="I8695:J8695"/>
    <mergeCell ref="I8696:J8696"/>
    <mergeCell ref="A8697:G8697"/>
    <mergeCell ref="I8697:J8697"/>
    <mergeCell ref="K8697:L8697"/>
    <mergeCell ref="M8697:N8697"/>
    <mergeCell ref="M8698:N8698"/>
    <mergeCell ref="K8700:L8700"/>
    <mergeCell ref="M8700:N8700"/>
    <mergeCell ref="K8701:L8701"/>
    <mergeCell ref="M8701:N8701"/>
    <mergeCell ref="A8698:G8698"/>
    <mergeCell ref="A8699:G8699"/>
    <mergeCell ref="I8699:J8699"/>
    <mergeCell ref="K8699:L8699"/>
    <mergeCell ref="M8699:N8699"/>
    <mergeCell ref="A8700:G8700"/>
    <mergeCell ref="I8700:J8700"/>
    <mergeCell ref="I8705:J8705"/>
    <mergeCell ref="I8706:J8706"/>
    <mergeCell ref="A8703:N8703"/>
    <mergeCell ref="A8704:G8704"/>
    <mergeCell ref="I8704:J8704"/>
    <mergeCell ref="M8704:N8704"/>
    <mergeCell ref="A8705:G8705"/>
    <mergeCell ref="M8705:N8705"/>
    <mergeCell ref="M8706:N8706"/>
    <mergeCell ref="I8764:J8764"/>
    <mergeCell ref="I8765:J8765"/>
    <mergeCell ref="K8765:L8765"/>
    <mergeCell ref="M8765:N8765"/>
    <mergeCell ref="I8762:J8762"/>
    <mergeCell ref="K8762:L8762"/>
    <mergeCell ref="I8763:J8763"/>
    <mergeCell ref="K8763:L8763"/>
    <mergeCell ref="M8763:N8763"/>
    <mergeCell ref="K8764:L8764"/>
    <mergeCell ref="M8764:N8764"/>
    <mergeCell ref="K8734:L8734"/>
    <mergeCell ref="M8734:N8734"/>
    <mergeCell ref="I8735:J8735"/>
    <mergeCell ref="K8735:L8735"/>
    <mergeCell ref="M8735:N8735"/>
    <mergeCell ref="I8739:J8739"/>
    <mergeCell ref="I8740:J8740"/>
    <mergeCell ref="K8744:L8744"/>
    <mergeCell ref="M8744:N8744"/>
    <mergeCell ref="I8726:J8726"/>
    <mergeCell ref="K8726:L8726"/>
    <mergeCell ref="K8727:L8727"/>
    <mergeCell ref="M8727:N8727"/>
    <mergeCell ref="K8740:L8740"/>
    <mergeCell ref="M8740:N8740"/>
    <mergeCell ref="K8736:L8736"/>
    <mergeCell ref="M8736:N8736"/>
    <mergeCell ref="I8770:J8770"/>
    <mergeCell ref="K8770:L8770"/>
    <mergeCell ref="K8771:L8771"/>
    <mergeCell ref="M8771:N8771"/>
    <mergeCell ref="K8784:L8784"/>
    <mergeCell ref="M8784:N8784"/>
    <mergeCell ref="K8780:L8780"/>
    <mergeCell ref="M8780:N8780"/>
    <mergeCell ref="I8807:J8807"/>
    <mergeCell ref="K8807:L8807"/>
    <mergeCell ref="A8800:N8801"/>
    <mergeCell ref="A8805:N8805"/>
    <mergeCell ref="A8806:G8806"/>
    <mergeCell ref="I8806:J8806"/>
    <mergeCell ref="K8806:L8806"/>
    <mergeCell ref="M8806:N8806"/>
    <mergeCell ref="M8807:N8807"/>
    <mergeCell ref="K8768:L8768"/>
    <mergeCell ref="M8768:N8768"/>
    <mergeCell ref="A8769:G8769"/>
    <mergeCell ref="I8769:J8769"/>
    <mergeCell ref="K8769:L8769"/>
    <mergeCell ref="M8769:N8769"/>
    <mergeCell ref="M8770:N8770"/>
    <mergeCell ref="A8775:G8775"/>
    <mergeCell ref="A8776:G8776"/>
    <mergeCell ref="A8777:G8777"/>
    <mergeCell ref="A8778:G8778"/>
    <mergeCell ref="A8779:G8779"/>
    <mergeCell ref="A8770:G8770"/>
    <mergeCell ref="A8773:N8773"/>
    <mergeCell ref="A8774:G8774"/>
    <mergeCell ref="I8774:J8774"/>
    <mergeCell ref="K8774:L8774"/>
    <mergeCell ref="M8774:N8774"/>
    <mergeCell ref="M8775:N8775"/>
    <mergeCell ref="I8775:J8775"/>
    <mergeCell ref="K8775:L8775"/>
    <mergeCell ref="I8776:J8776"/>
    <mergeCell ref="K8776:L8776"/>
    <mergeCell ref="M8776:N8776"/>
    <mergeCell ref="K8777:L8777"/>
    <mergeCell ref="M8777:N8777"/>
    <mergeCell ref="I8777:J8777"/>
    <mergeCell ref="I8778:J8778"/>
    <mergeCell ref="K8778:L8778"/>
    <mergeCell ref="M8778:N8778"/>
    <mergeCell ref="I8779:J8779"/>
    <mergeCell ref="K8779:L8779"/>
    <mergeCell ref="M8779:N8779"/>
    <mergeCell ref="I8783:J8783"/>
    <mergeCell ref="I8784:J8784"/>
    <mergeCell ref="A8782:N8782"/>
    <mergeCell ref="A8783:G8783"/>
    <mergeCell ref="K8783:L8783"/>
    <mergeCell ref="M8783:N8783"/>
    <mergeCell ref="A8784:G8784"/>
    <mergeCell ref="A8785:G8785"/>
    <mergeCell ref="I8785:J8785"/>
    <mergeCell ref="K8785:L8785"/>
    <mergeCell ref="M8785:N8785"/>
    <mergeCell ref="I8786:J8786"/>
    <mergeCell ref="K8786:L8786"/>
    <mergeCell ref="M8786:N8786"/>
    <mergeCell ref="A8762:G8762"/>
    <mergeCell ref="A8763:G8763"/>
    <mergeCell ref="A8764:G8764"/>
    <mergeCell ref="A8765:G8765"/>
    <mergeCell ref="I8766:J8766"/>
    <mergeCell ref="K8766:L8766"/>
    <mergeCell ref="M8766:N8766"/>
    <mergeCell ref="A8766:G8766"/>
    <mergeCell ref="A8767:G8767"/>
    <mergeCell ref="I8767:J8767"/>
    <mergeCell ref="K8767:L8767"/>
    <mergeCell ref="M8767:N8767"/>
    <mergeCell ref="A8768:G8768"/>
    <mergeCell ref="I8768:J8768"/>
    <mergeCell ref="A8741:G8741"/>
    <mergeCell ref="I8741:J8741"/>
    <mergeCell ref="K8741:L8741"/>
    <mergeCell ref="M8741:N8741"/>
    <mergeCell ref="I8742:J8742"/>
    <mergeCell ref="K8742:L8742"/>
    <mergeCell ref="M8742:N8742"/>
    <mergeCell ref="A8742:G8742"/>
    <mergeCell ref="A8743:G8743"/>
    <mergeCell ref="I8743:J8743"/>
    <mergeCell ref="K8743:L8743"/>
    <mergeCell ref="M8743:N8743"/>
    <mergeCell ref="A8744:G8744"/>
    <mergeCell ref="I8744:J8744"/>
    <mergeCell ref="M8748:N8748"/>
    <mergeCell ref="M8749:N8749"/>
    <mergeCell ref="M8751:N8751"/>
    <mergeCell ref="M8752:N8752"/>
    <mergeCell ref="M8753:N8753"/>
    <mergeCell ref="M8754:N8754"/>
    <mergeCell ref="I8749:J8749"/>
    <mergeCell ref="I8750:J8750"/>
    <mergeCell ref="I8751:J8751"/>
    <mergeCell ref="I8752:J8752"/>
    <mergeCell ref="I8753:J8753"/>
    <mergeCell ref="K8754:L8754"/>
    <mergeCell ref="K8745:L8745"/>
    <mergeCell ref="M8745:N8745"/>
    <mergeCell ref="A8747:N8747"/>
    <mergeCell ref="A8748:G8748"/>
    <mergeCell ref="I8748:J8748"/>
    <mergeCell ref="A8749:G8749"/>
    <mergeCell ref="M8750:N8750"/>
    <mergeCell ref="A8750:G8750"/>
    <mergeCell ref="A8751:G8751"/>
    <mergeCell ref="A8752:G8752"/>
    <mergeCell ref="A8753:G8753"/>
    <mergeCell ref="A8756:N8757"/>
    <mergeCell ref="A8761:N8761"/>
    <mergeCell ref="M8762:N8762"/>
    <mergeCell ref="M8788:N8788"/>
    <mergeCell ref="K8789:L8789"/>
    <mergeCell ref="M8789:N8789"/>
    <mergeCell ref="A8791:N8791"/>
    <mergeCell ref="I8792:J8792"/>
    <mergeCell ref="M8792:N8792"/>
    <mergeCell ref="A8792:G8792"/>
    <mergeCell ref="A8793:G8793"/>
    <mergeCell ref="I8793:J8793"/>
    <mergeCell ref="M8793:N8793"/>
    <mergeCell ref="A8794:G8794"/>
    <mergeCell ref="M8794:N8794"/>
    <mergeCell ref="A8795:G8795"/>
    <mergeCell ref="M8795:N8795"/>
    <mergeCell ref="M8797:N8797"/>
    <mergeCell ref="K8798:L8798"/>
    <mergeCell ref="M8798:N8798"/>
    <mergeCell ref="I8794:J8794"/>
    <mergeCell ref="I8795:J8795"/>
    <mergeCell ref="A8796:G8796"/>
    <mergeCell ref="I8796:J8796"/>
    <mergeCell ref="M8796:N8796"/>
    <mergeCell ref="A8797:G8797"/>
    <mergeCell ref="I8797:J8797"/>
    <mergeCell ref="I8809:J8809"/>
    <mergeCell ref="I8810:J8810"/>
    <mergeCell ref="K8810:L8810"/>
    <mergeCell ref="M8810:N8810"/>
    <mergeCell ref="A8807:G8807"/>
    <mergeCell ref="A8808:G8808"/>
    <mergeCell ref="I8808:J8808"/>
    <mergeCell ref="K8808:L8808"/>
    <mergeCell ref="M8808:N8808"/>
    <mergeCell ref="A8809:G8809"/>
    <mergeCell ref="A8810:G8810"/>
    <mergeCell ref="K8809:L8809"/>
    <mergeCell ref="M8809:N8809"/>
    <mergeCell ref="A8811:G8811"/>
    <mergeCell ref="I8811:J8811"/>
    <mergeCell ref="K8811:L8811"/>
    <mergeCell ref="M8811:N8811"/>
    <mergeCell ref="I8812:J8812"/>
    <mergeCell ref="K8812:L8812"/>
    <mergeCell ref="M8812:N8812"/>
    <mergeCell ref="K8814:L8814"/>
    <mergeCell ref="M8814:N8814"/>
    <mergeCell ref="K8815:L8815"/>
    <mergeCell ref="M8815:N8815"/>
    <mergeCell ref="A8812:G8812"/>
    <mergeCell ref="A8813:G8813"/>
    <mergeCell ref="I8813:J8813"/>
    <mergeCell ref="K8813:L8813"/>
    <mergeCell ref="M8813:N8813"/>
    <mergeCell ref="A8814:G8814"/>
    <mergeCell ref="I8814:J8814"/>
    <mergeCell ref="K8819:L8819"/>
    <mergeCell ref="M8819:N8819"/>
    <mergeCell ref="K8916:L8916"/>
    <mergeCell ref="M8916:N8916"/>
    <mergeCell ref="K8912:L8912"/>
    <mergeCell ref="M8912:N8912"/>
    <mergeCell ref="A8914:N8914"/>
    <mergeCell ref="A8915:G8915"/>
    <mergeCell ref="K8915:L8915"/>
    <mergeCell ref="M8915:N8915"/>
    <mergeCell ref="A8916:G8916"/>
    <mergeCell ref="K8920:L8920"/>
    <mergeCell ref="M8920:N8920"/>
    <mergeCell ref="K8921:L8921"/>
    <mergeCell ref="M8921:N8921"/>
    <mergeCell ref="I8916:J8916"/>
    <mergeCell ref="I8902:J8902"/>
    <mergeCell ref="K8902:L8902"/>
    <mergeCell ref="K8903:L8903"/>
    <mergeCell ref="M8903:N8903"/>
    <mergeCell ref="A8917:G8917"/>
    <mergeCell ref="I8917:J8917"/>
    <mergeCell ref="K8917:L8917"/>
    <mergeCell ref="M8917:N8917"/>
    <mergeCell ref="I8918:J8918"/>
    <mergeCell ref="K8918:L8918"/>
    <mergeCell ref="M8918:N8918"/>
    <mergeCell ref="A8918:G8918"/>
    <mergeCell ref="A8919:G8919"/>
    <mergeCell ref="I8919:J8919"/>
    <mergeCell ref="K8919:L8919"/>
    <mergeCell ref="M8919:N8919"/>
    <mergeCell ref="A8920:G8920"/>
    <mergeCell ref="I8920:J8920"/>
    <mergeCell ref="A8876:G8876"/>
    <mergeCell ref="I8876:J8876"/>
    <mergeCell ref="I8881:J8881"/>
    <mergeCell ref="I8882:J8882"/>
    <mergeCell ref="A8879:N8879"/>
    <mergeCell ref="A8880:G8880"/>
    <mergeCell ref="I8880:J8880"/>
    <mergeCell ref="M8880:N8880"/>
    <mergeCell ref="A8881:G8881"/>
    <mergeCell ref="M8881:N8881"/>
    <mergeCell ref="M8882:N8882"/>
    <mergeCell ref="A8852:G8852"/>
    <mergeCell ref="A8923:N8923"/>
    <mergeCell ref="I8924:J8924"/>
    <mergeCell ref="M8924:N8924"/>
    <mergeCell ref="A8924:G8924"/>
    <mergeCell ref="A8925:G8925"/>
    <mergeCell ref="I8925:J8925"/>
    <mergeCell ref="M8925:N8925"/>
    <mergeCell ref="A8926:G8926"/>
    <mergeCell ref="M8926:N8926"/>
    <mergeCell ref="A8927:G8927"/>
    <mergeCell ref="M8927:N8927"/>
    <mergeCell ref="M8929:N8929"/>
    <mergeCell ref="K8930:L8930"/>
    <mergeCell ref="M8930:N8930"/>
    <mergeCell ref="I8926:J8926"/>
    <mergeCell ref="I8927:J8927"/>
    <mergeCell ref="A8928:G8928"/>
    <mergeCell ref="I8928:J8928"/>
    <mergeCell ref="M8928:N8928"/>
    <mergeCell ref="A8929:G8929"/>
    <mergeCell ref="I8929:J8929"/>
    <mergeCell ref="I8939:J8939"/>
    <mergeCell ref="K8939:L8939"/>
    <mergeCell ref="A8932:N8933"/>
    <mergeCell ref="A8937:N8937"/>
    <mergeCell ref="A8938:G8938"/>
    <mergeCell ref="I8938:J8938"/>
    <mergeCell ref="K8938:L8938"/>
    <mergeCell ref="M8938:N8938"/>
    <mergeCell ref="M8939:N8939"/>
    <mergeCell ref="K8900:L8900"/>
    <mergeCell ref="M8900:N8900"/>
    <mergeCell ref="A8901:G8901"/>
    <mergeCell ref="I8901:J8901"/>
    <mergeCell ref="K8901:L8901"/>
    <mergeCell ref="M8901:N8901"/>
    <mergeCell ref="M8902:N8902"/>
    <mergeCell ref="A8907:G8907"/>
    <mergeCell ref="A8908:G8908"/>
    <mergeCell ref="A8909:G8909"/>
    <mergeCell ref="A8910:G8910"/>
    <mergeCell ref="A8911:G8911"/>
    <mergeCell ref="A8902:G8902"/>
    <mergeCell ref="A8905:N8905"/>
    <mergeCell ref="A8906:G8906"/>
    <mergeCell ref="I8906:J8906"/>
    <mergeCell ref="K8906:L8906"/>
    <mergeCell ref="M8906:N8906"/>
    <mergeCell ref="M8907:N8907"/>
    <mergeCell ref="I8907:J8907"/>
    <mergeCell ref="K8907:L8907"/>
    <mergeCell ref="I8908:J8908"/>
    <mergeCell ref="K8908:L8908"/>
    <mergeCell ref="M8908:N8908"/>
    <mergeCell ref="K8909:L8909"/>
    <mergeCell ref="M8909:N8909"/>
    <mergeCell ref="I8909:J8909"/>
    <mergeCell ref="I8910:J8910"/>
    <mergeCell ref="K8910:L8910"/>
    <mergeCell ref="M8910:N8910"/>
    <mergeCell ref="I8911:J8911"/>
    <mergeCell ref="K8911:L8911"/>
    <mergeCell ref="M8911:N8911"/>
    <mergeCell ref="I8915:J8915"/>
    <mergeCell ref="K8941:L8941"/>
    <mergeCell ref="M8941:N8941"/>
    <mergeCell ref="I8941:J8941"/>
    <mergeCell ref="I8942:J8942"/>
    <mergeCell ref="K8942:L8942"/>
    <mergeCell ref="M8942:N8942"/>
    <mergeCell ref="A8939:G8939"/>
    <mergeCell ref="A8940:G8940"/>
    <mergeCell ref="I8940:J8940"/>
    <mergeCell ref="K8940:L8940"/>
    <mergeCell ref="M8940:N8940"/>
    <mergeCell ref="A8941:G8941"/>
    <mergeCell ref="A8942:G8942"/>
    <mergeCell ref="A8943:G8943"/>
    <mergeCell ref="I8943:J8943"/>
    <mergeCell ref="K8943:L8943"/>
    <mergeCell ref="M8943:N8943"/>
    <mergeCell ref="I8944:J8944"/>
    <mergeCell ref="K8944:L8944"/>
    <mergeCell ref="M8944:N8944"/>
    <mergeCell ref="K8946:L8946"/>
    <mergeCell ref="M8946:N8946"/>
    <mergeCell ref="K8947:L8947"/>
    <mergeCell ref="M8947:N8947"/>
    <mergeCell ref="A8944:G8944"/>
    <mergeCell ref="A8945:G8945"/>
    <mergeCell ref="I8945:J8945"/>
    <mergeCell ref="K8945:L8945"/>
    <mergeCell ref="M8945:N8945"/>
    <mergeCell ref="A8946:G8946"/>
    <mergeCell ref="I8946:J8946"/>
    <mergeCell ref="K8951:L8951"/>
    <mergeCell ref="M8951:N8951"/>
    <mergeCell ref="A8982:G8982"/>
    <mergeCell ref="A8983:G8983"/>
    <mergeCell ref="K8961:L8961"/>
    <mergeCell ref="M8961:N8961"/>
    <mergeCell ref="A8958:N8958"/>
    <mergeCell ref="A8959:G8959"/>
    <mergeCell ref="I8959:J8959"/>
    <mergeCell ref="K8959:L8959"/>
    <mergeCell ref="M8959:N8959"/>
    <mergeCell ref="A8960:G8960"/>
    <mergeCell ref="A8961:G8961"/>
    <mergeCell ref="I8963:J8963"/>
    <mergeCell ref="K8963:L8963"/>
    <mergeCell ref="I8960:J8960"/>
    <mergeCell ref="I8961:J8961"/>
    <mergeCell ref="A8962:G8962"/>
    <mergeCell ref="I8962:J8962"/>
    <mergeCell ref="K8962:L8962"/>
    <mergeCell ref="M8962:N8962"/>
    <mergeCell ref="M8963:N8963"/>
    <mergeCell ref="I8951:J8951"/>
    <mergeCell ref="I8952:J8952"/>
    <mergeCell ref="K8952:L8952"/>
    <mergeCell ref="M8952:N8952"/>
    <mergeCell ref="A8949:N8949"/>
    <mergeCell ref="A8950:G8950"/>
    <mergeCell ref="I8950:J8950"/>
    <mergeCell ref="K8950:L8950"/>
    <mergeCell ref="M8950:N8950"/>
    <mergeCell ref="A8951:G8951"/>
    <mergeCell ref="A8952:G8952"/>
    <mergeCell ref="A8953:G8953"/>
    <mergeCell ref="I8953:J8953"/>
    <mergeCell ref="K8953:L8953"/>
    <mergeCell ref="M8953:N8953"/>
    <mergeCell ref="I8954:J8954"/>
    <mergeCell ref="K8954:L8954"/>
    <mergeCell ref="M8954:N8954"/>
    <mergeCell ref="A8954:G8954"/>
    <mergeCell ref="A8955:G8955"/>
    <mergeCell ref="I8955:J8955"/>
    <mergeCell ref="K8955:L8955"/>
    <mergeCell ref="M8955:N8955"/>
    <mergeCell ref="K8956:L8956"/>
    <mergeCell ref="M8956:N8956"/>
    <mergeCell ref="K8960:L8960"/>
    <mergeCell ref="M8960:N8960"/>
    <mergeCell ref="A8963:G8963"/>
    <mergeCell ref="K8997:L8997"/>
    <mergeCell ref="M8997:N8997"/>
    <mergeCell ref="I8997:J8997"/>
    <mergeCell ref="I8998:J8998"/>
    <mergeCell ref="K8998:L8998"/>
    <mergeCell ref="M8998:N8998"/>
    <mergeCell ref="I8999:J8999"/>
    <mergeCell ref="K8999:L8999"/>
    <mergeCell ref="M8999:N8999"/>
    <mergeCell ref="K9004:L9004"/>
    <mergeCell ref="M9004:N9004"/>
    <mergeCell ref="K9000:L9000"/>
    <mergeCell ref="M9000:N9000"/>
    <mergeCell ref="A9002:N9002"/>
    <mergeCell ref="A9003:G9003"/>
    <mergeCell ref="K9003:L9003"/>
    <mergeCell ref="M9003:N9003"/>
    <mergeCell ref="A9004:G9004"/>
    <mergeCell ref="I9006:J9006"/>
    <mergeCell ref="K9006:L9006"/>
    <mergeCell ref="I9003:J9003"/>
    <mergeCell ref="I9004:J9004"/>
    <mergeCell ref="A9005:G9005"/>
    <mergeCell ref="I9005:J9005"/>
    <mergeCell ref="K9005:L9005"/>
    <mergeCell ref="M9005:N9005"/>
    <mergeCell ref="M9006:N9006"/>
    <mergeCell ref="K9008:L9008"/>
    <mergeCell ref="M9008:N9008"/>
    <mergeCell ref="A8964:G8964"/>
    <mergeCell ref="I8964:J8964"/>
    <mergeCell ref="K8964:L8964"/>
    <mergeCell ref="M8964:N8964"/>
    <mergeCell ref="K8965:L8965"/>
    <mergeCell ref="M8965:N8965"/>
    <mergeCell ref="A8970:G8970"/>
    <mergeCell ref="A8971:G8971"/>
    <mergeCell ref="A8972:G8972"/>
    <mergeCell ref="A8973:G8973"/>
    <mergeCell ref="A8967:N8967"/>
    <mergeCell ref="A8968:G8968"/>
    <mergeCell ref="I8968:J8968"/>
    <mergeCell ref="M8968:N8968"/>
    <mergeCell ref="A8969:G8969"/>
    <mergeCell ref="M8969:N8969"/>
    <mergeCell ref="M8970:N8970"/>
    <mergeCell ref="I8969:J8969"/>
    <mergeCell ref="I8970:J8970"/>
    <mergeCell ref="I8971:J8971"/>
    <mergeCell ref="M8971:N8971"/>
    <mergeCell ref="I8972:J8972"/>
    <mergeCell ref="M8972:N8972"/>
    <mergeCell ref="I8973:J8973"/>
    <mergeCell ref="K8982:L8982"/>
    <mergeCell ref="M8982:N8982"/>
    <mergeCell ref="I8982:J8982"/>
    <mergeCell ref="I8983:J8983"/>
    <mergeCell ref="K8983:L8983"/>
    <mergeCell ref="M8983:N8983"/>
    <mergeCell ref="M8973:N8973"/>
    <mergeCell ref="K8974:L8974"/>
    <mergeCell ref="M8974:N8974"/>
    <mergeCell ref="A8976:N8977"/>
    <mergeCell ref="A8981:N8981"/>
    <mergeCell ref="K9009:L9009"/>
    <mergeCell ref="M9009:N9009"/>
    <mergeCell ref="A9006:G9006"/>
    <mergeCell ref="A9007:G9007"/>
    <mergeCell ref="I9007:J9007"/>
    <mergeCell ref="K9007:L9007"/>
    <mergeCell ref="M9007:N9007"/>
    <mergeCell ref="A9008:G9008"/>
    <mergeCell ref="I9008:J9008"/>
    <mergeCell ref="A8989:G8989"/>
    <mergeCell ref="I8989:J8989"/>
    <mergeCell ref="K8989:L8989"/>
    <mergeCell ref="M8989:N8989"/>
    <mergeCell ref="I8990:J8990"/>
    <mergeCell ref="K8990:L8990"/>
    <mergeCell ref="M8990:N8990"/>
    <mergeCell ref="A8990:G8990"/>
    <mergeCell ref="A8993:N8993"/>
    <mergeCell ref="A8994:G8994"/>
    <mergeCell ref="I8994:J8994"/>
    <mergeCell ref="K8994:L8994"/>
    <mergeCell ref="M8994:N8994"/>
    <mergeCell ref="M8995:N8995"/>
    <mergeCell ref="I9013:J9013"/>
    <mergeCell ref="I9014:J9014"/>
    <mergeCell ref="A9011:N9011"/>
    <mergeCell ref="A9012:G9012"/>
    <mergeCell ref="I9012:J9012"/>
    <mergeCell ref="M9012:N9012"/>
    <mergeCell ref="A9013:G9013"/>
    <mergeCell ref="M9013:N9013"/>
    <mergeCell ref="M9014:N9014"/>
    <mergeCell ref="A8984:G8984"/>
    <mergeCell ref="I8984:J8984"/>
    <mergeCell ref="K8984:L8984"/>
    <mergeCell ref="M8984:N8984"/>
    <mergeCell ref="I8985:J8985"/>
    <mergeCell ref="K8985:L8985"/>
    <mergeCell ref="M8985:N8985"/>
    <mergeCell ref="K8987:L8987"/>
    <mergeCell ref="M8987:N8987"/>
    <mergeCell ref="I8987:J8987"/>
    <mergeCell ref="I8988:J8988"/>
    <mergeCell ref="K8988:L8988"/>
    <mergeCell ref="M8988:N8988"/>
    <mergeCell ref="K8991:L8991"/>
    <mergeCell ref="M8991:N8991"/>
    <mergeCell ref="A8985:G8985"/>
    <mergeCell ref="A8986:G8986"/>
    <mergeCell ref="I8986:J8986"/>
    <mergeCell ref="K8986:L8986"/>
    <mergeCell ref="M8986:N8986"/>
    <mergeCell ref="A8987:G8987"/>
    <mergeCell ref="A8988:G8988"/>
    <mergeCell ref="A8995:G8995"/>
    <mergeCell ref="A8996:G8996"/>
    <mergeCell ref="A8997:G8997"/>
    <mergeCell ref="A8998:G8998"/>
    <mergeCell ref="A8999:G8999"/>
    <mergeCell ref="I8995:J8995"/>
    <mergeCell ref="K8995:L8995"/>
    <mergeCell ref="I8996:J8996"/>
    <mergeCell ref="K8996:L8996"/>
    <mergeCell ref="M8996:N8996"/>
    <mergeCell ref="I9016:J9016"/>
    <mergeCell ref="I9017:J9017"/>
    <mergeCell ref="K9018:L9018"/>
    <mergeCell ref="M9018:N9018"/>
    <mergeCell ref="A9028:G9028"/>
    <mergeCell ref="I9028:J9028"/>
    <mergeCell ref="K9028:L9028"/>
    <mergeCell ref="M9028:N9028"/>
    <mergeCell ref="I9029:J9029"/>
    <mergeCell ref="K9029:L9029"/>
    <mergeCell ref="M9029:N9029"/>
    <mergeCell ref="A9029:G9029"/>
    <mergeCell ref="A9030:G9030"/>
    <mergeCell ref="I9030:J9030"/>
    <mergeCell ref="K9030:L9030"/>
    <mergeCell ref="M9030:N9030"/>
    <mergeCell ref="A9031:G9031"/>
    <mergeCell ref="A9032:G9032"/>
    <mergeCell ref="A9014:G9014"/>
    <mergeCell ref="A9015:G9015"/>
    <mergeCell ref="I9015:J9015"/>
    <mergeCell ref="M9015:N9015"/>
    <mergeCell ref="A9016:G9016"/>
    <mergeCell ref="M9016:N9016"/>
    <mergeCell ref="M9017:N9017"/>
    <mergeCell ref="I9026:J9026"/>
    <mergeCell ref="I9027:J9027"/>
    <mergeCell ref="K9027:L9027"/>
    <mergeCell ref="M9027:N9027"/>
    <mergeCell ref="A9017:G9017"/>
    <mergeCell ref="A9020:N9021"/>
    <mergeCell ref="A9025:N9025"/>
    <mergeCell ref="A9026:G9026"/>
    <mergeCell ref="K9026:L9026"/>
    <mergeCell ref="M9026:N9026"/>
    <mergeCell ref="A9027:G9027"/>
    <mergeCell ref="K9031:L9031"/>
    <mergeCell ref="M9031:N9031"/>
    <mergeCell ref="I9031:J9031"/>
    <mergeCell ref="I9032:J9032"/>
    <mergeCell ref="K9032:L9032"/>
    <mergeCell ref="M9032:N9032"/>
    <mergeCell ref="I9034:J9034"/>
    <mergeCell ref="K9034:L9034"/>
    <mergeCell ref="K9035:L9035"/>
    <mergeCell ref="M9035:N9035"/>
    <mergeCell ref="K9048:L9048"/>
    <mergeCell ref="M9048:N9048"/>
    <mergeCell ref="K9044:L9044"/>
    <mergeCell ref="M9044:N9044"/>
    <mergeCell ref="A9046:N9046"/>
    <mergeCell ref="A9047:G9047"/>
    <mergeCell ref="K9047:L9047"/>
    <mergeCell ref="M9047:N9047"/>
    <mergeCell ref="A9048:G9048"/>
    <mergeCell ref="A9049:G9049"/>
    <mergeCell ref="I9049:J9049"/>
    <mergeCell ref="K9049:L9049"/>
    <mergeCell ref="M9049:N9049"/>
    <mergeCell ref="I9050:J9050"/>
    <mergeCell ref="K9050:L9050"/>
    <mergeCell ref="M9050:N9050"/>
    <mergeCell ref="A9050:G9050"/>
    <mergeCell ref="A9051:G9051"/>
    <mergeCell ref="I9051:J9051"/>
    <mergeCell ref="K9051:L9051"/>
    <mergeCell ref="M9051:N9051"/>
    <mergeCell ref="A9052:G9052"/>
    <mergeCell ref="I9052:J9052"/>
    <mergeCell ref="I9095:J9095"/>
    <mergeCell ref="K9095:L9095"/>
    <mergeCell ref="I9092:J9092"/>
    <mergeCell ref="I9093:J9093"/>
    <mergeCell ref="A9094:G9094"/>
    <mergeCell ref="I9094:J9094"/>
    <mergeCell ref="K9094:L9094"/>
    <mergeCell ref="M9094:N9094"/>
    <mergeCell ref="M9095:N9095"/>
    <mergeCell ref="I9083:J9083"/>
    <mergeCell ref="I9084:J9084"/>
    <mergeCell ref="K9084:L9084"/>
    <mergeCell ref="M9084:N9084"/>
    <mergeCell ref="A9081:N9081"/>
    <mergeCell ref="A9082:G9082"/>
    <mergeCell ref="I9082:J9082"/>
    <mergeCell ref="K9082:L9082"/>
    <mergeCell ref="M9082:N9082"/>
    <mergeCell ref="A9083:G9083"/>
    <mergeCell ref="A9084:G9084"/>
    <mergeCell ref="A9085:G9085"/>
    <mergeCell ref="I9085:J9085"/>
    <mergeCell ref="K9085:L9085"/>
    <mergeCell ref="M9085:N9085"/>
    <mergeCell ref="I9086:J9086"/>
    <mergeCell ref="K9086:L9086"/>
    <mergeCell ref="M9086:N9086"/>
    <mergeCell ref="A9086:G9086"/>
    <mergeCell ref="A9087:G9087"/>
    <mergeCell ref="I9087:J9087"/>
    <mergeCell ref="K9087:L9087"/>
    <mergeCell ref="M9087:N9087"/>
    <mergeCell ref="K9088:L9088"/>
    <mergeCell ref="M9088:N9088"/>
    <mergeCell ref="K9092:L9092"/>
    <mergeCell ref="M9092:N9092"/>
    <mergeCell ref="A9095:G9095"/>
    <mergeCell ref="I9061:J9061"/>
    <mergeCell ref="I9071:J9071"/>
    <mergeCell ref="K9071:L9071"/>
    <mergeCell ref="A9064:N9065"/>
    <mergeCell ref="A9069:N9069"/>
    <mergeCell ref="A9070:G9070"/>
    <mergeCell ref="I9070:J9070"/>
    <mergeCell ref="K9070:L9070"/>
    <mergeCell ref="M9070:N9070"/>
    <mergeCell ref="M9071:N9071"/>
    <mergeCell ref="K9073:L9073"/>
    <mergeCell ref="M9073:N9073"/>
    <mergeCell ref="I9073:J9073"/>
    <mergeCell ref="I9074:J9074"/>
    <mergeCell ref="K9074:L9074"/>
    <mergeCell ref="M9074:N9074"/>
    <mergeCell ref="A9071:G9071"/>
    <mergeCell ref="A9072:G9072"/>
    <mergeCell ref="I9072:J9072"/>
    <mergeCell ref="K9072:L9072"/>
    <mergeCell ref="M9072:N9072"/>
    <mergeCell ref="A9073:G9073"/>
    <mergeCell ref="A9074:G9074"/>
    <mergeCell ref="A9075:G9075"/>
    <mergeCell ref="I9075:J9075"/>
    <mergeCell ref="K9075:L9075"/>
    <mergeCell ref="M9075:N9075"/>
    <mergeCell ref="I9076:J9076"/>
    <mergeCell ref="K9076:L9076"/>
    <mergeCell ref="M9076:N9076"/>
    <mergeCell ref="K9078:L9078"/>
    <mergeCell ref="M9078:N9078"/>
    <mergeCell ref="K9079:L9079"/>
    <mergeCell ref="M9079:N9079"/>
    <mergeCell ref="I9105:J9105"/>
    <mergeCell ref="A9033:G9033"/>
    <mergeCell ref="I9033:J9033"/>
    <mergeCell ref="K9033:L9033"/>
    <mergeCell ref="M9033:N9033"/>
    <mergeCell ref="M9034:N9034"/>
    <mergeCell ref="A9039:G9039"/>
    <mergeCell ref="A9040:G9040"/>
    <mergeCell ref="A9041:G9041"/>
    <mergeCell ref="A9042:G9042"/>
    <mergeCell ref="A9043:G9043"/>
    <mergeCell ref="A9034:G9034"/>
    <mergeCell ref="A9037:N9037"/>
    <mergeCell ref="A9038:G9038"/>
    <mergeCell ref="I9038:J9038"/>
    <mergeCell ref="K9038:L9038"/>
    <mergeCell ref="M9038:N9038"/>
    <mergeCell ref="M9039:N9039"/>
    <mergeCell ref="I9039:J9039"/>
    <mergeCell ref="K9039:L9039"/>
    <mergeCell ref="I9040:J9040"/>
    <mergeCell ref="K9040:L9040"/>
    <mergeCell ref="M9040:N9040"/>
    <mergeCell ref="K9041:L9041"/>
    <mergeCell ref="M9041:N9041"/>
    <mergeCell ref="I9041:J9041"/>
    <mergeCell ref="I9042:J9042"/>
    <mergeCell ref="K9042:L9042"/>
    <mergeCell ref="M9042:N9042"/>
    <mergeCell ref="I9043:J9043"/>
    <mergeCell ref="K9043:L9043"/>
    <mergeCell ref="M9043:N9043"/>
    <mergeCell ref="I9047:J9047"/>
    <mergeCell ref="I9048:J9048"/>
    <mergeCell ref="A9096:G9096"/>
    <mergeCell ref="I9096:J9096"/>
    <mergeCell ref="K9096:L9096"/>
    <mergeCell ref="M9096:N9096"/>
    <mergeCell ref="K9097:L9097"/>
    <mergeCell ref="M9097:N9097"/>
    <mergeCell ref="K9052:L9052"/>
    <mergeCell ref="M9052:N9052"/>
    <mergeCell ref="K9053:L9053"/>
    <mergeCell ref="M9053:N9053"/>
    <mergeCell ref="A9055:N9055"/>
    <mergeCell ref="I9056:J9056"/>
    <mergeCell ref="M9056:N9056"/>
    <mergeCell ref="A9056:G9056"/>
    <mergeCell ref="A9057:G9057"/>
    <mergeCell ref="I9057:J9057"/>
    <mergeCell ref="M9057:N9057"/>
    <mergeCell ref="A9058:G9058"/>
    <mergeCell ref="M9058:N9058"/>
    <mergeCell ref="A9059:G9059"/>
    <mergeCell ref="M9059:N9059"/>
    <mergeCell ref="M9061:N9061"/>
    <mergeCell ref="K9062:L9062"/>
    <mergeCell ref="M9062:N9062"/>
    <mergeCell ref="I9058:J9058"/>
    <mergeCell ref="I9059:J9059"/>
    <mergeCell ref="A9060:G9060"/>
    <mergeCell ref="I9060:J9060"/>
    <mergeCell ref="M9060:N9060"/>
    <mergeCell ref="A9061:G9061"/>
    <mergeCell ref="M9105:N9105"/>
    <mergeCell ref="K9106:L9106"/>
    <mergeCell ref="M9106:N9106"/>
    <mergeCell ref="A9108:N9109"/>
    <mergeCell ref="A9113:N9113"/>
    <mergeCell ref="A9114:G9114"/>
    <mergeCell ref="A9115:G9115"/>
    <mergeCell ref="A9121:G9121"/>
    <mergeCell ref="I9121:J9121"/>
    <mergeCell ref="K9121:L9121"/>
    <mergeCell ref="M9121:N9121"/>
    <mergeCell ref="I9122:J9122"/>
    <mergeCell ref="K9122:L9122"/>
    <mergeCell ref="M9122:N9122"/>
    <mergeCell ref="A9122:G9122"/>
    <mergeCell ref="A9125:N9125"/>
    <mergeCell ref="A9126:G9126"/>
    <mergeCell ref="I9126:J9126"/>
    <mergeCell ref="K9126:L9126"/>
    <mergeCell ref="M9126:N9126"/>
    <mergeCell ref="M9127:N9127"/>
    <mergeCell ref="I9127:J9127"/>
    <mergeCell ref="K9127:L9127"/>
    <mergeCell ref="I9128:J9128"/>
    <mergeCell ref="K9128:L9128"/>
    <mergeCell ref="M9128:N9128"/>
    <mergeCell ref="K9129:L9129"/>
    <mergeCell ref="M9129:N9129"/>
    <mergeCell ref="I9129:J9129"/>
    <mergeCell ref="A9076:G9076"/>
    <mergeCell ref="A9077:G9077"/>
    <mergeCell ref="I9077:J9077"/>
    <mergeCell ref="K9077:L9077"/>
    <mergeCell ref="M9077:N9077"/>
    <mergeCell ref="A9078:G9078"/>
    <mergeCell ref="I9078:J9078"/>
    <mergeCell ref="K9083:L9083"/>
    <mergeCell ref="M9083:N9083"/>
    <mergeCell ref="K9093:L9093"/>
    <mergeCell ref="M9093:N9093"/>
    <mergeCell ref="A9090:N9090"/>
    <mergeCell ref="A9091:G9091"/>
    <mergeCell ref="I9091:J9091"/>
    <mergeCell ref="K9091:L9091"/>
    <mergeCell ref="M9091:N9091"/>
    <mergeCell ref="A9092:G9092"/>
    <mergeCell ref="A9093:G9093"/>
    <mergeCell ref="A9102:G9102"/>
    <mergeCell ref="A9103:G9103"/>
    <mergeCell ref="A9104:G9104"/>
    <mergeCell ref="A9105:G9105"/>
    <mergeCell ref="A9099:N9099"/>
    <mergeCell ref="A9100:G9100"/>
    <mergeCell ref="I9100:J9100"/>
    <mergeCell ref="M9100:N9100"/>
    <mergeCell ref="A9101:G9101"/>
    <mergeCell ref="M9101:N9101"/>
    <mergeCell ref="M9102:N9102"/>
    <mergeCell ref="I9101:J9101"/>
    <mergeCell ref="I9102:J9102"/>
    <mergeCell ref="I9103:J9103"/>
    <mergeCell ref="M9103:N9103"/>
    <mergeCell ref="I9104:J9104"/>
    <mergeCell ref="M9104:N9104"/>
    <mergeCell ref="K9136:L9136"/>
    <mergeCell ref="M9136:N9136"/>
    <mergeCell ref="K9132:L9132"/>
    <mergeCell ref="M9132:N9132"/>
    <mergeCell ref="A9134:N9134"/>
    <mergeCell ref="A9135:G9135"/>
    <mergeCell ref="K9135:L9135"/>
    <mergeCell ref="M9135:N9135"/>
    <mergeCell ref="A9136:G9136"/>
    <mergeCell ref="I9138:J9138"/>
    <mergeCell ref="K9138:L9138"/>
    <mergeCell ref="I9135:J9135"/>
    <mergeCell ref="I9136:J9136"/>
    <mergeCell ref="A9137:G9137"/>
    <mergeCell ref="I9137:J9137"/>
    <mergeCell ref="K9137:L9137"/>
    <mergeCell ref="M9137:N9137"/>
    <mergeCell ref="M9138:N9138"/>
    <mergeCell ref="K9140:L9140"/>
    <mergeCell ref="M9140:N9140"/>
    <mergeCell ref="K9141:L9141"/>
    <mergeCell ref="M9141:N9141"/>
    <mergeCell ref="A9138:G9138"/>
    <mergeCell ref="A9139:G9139"/>
    <mergeCell ref="I9139:J9139"/>
    <mergeCell ref="K9139:L9139"/>
    <mergeCell ref="M9139:N9139"/>
    <mergeCell ref="A9140:G9140"/>
    <mergeCell ref="I9140:J9140"/>
    <mergeCell ref="K9114:L9114"/>
    <mergeCell ref="M9114:N9114"/>
    <mergeCell ref="I9114:J9114"/>
    <mergeCell ref="I9115:J9115"/>
    <mergeCell ref="K9115:L9115"/>
    <mergeCell ref="M9115:N9115"/>
    <mergeCell ref="A9116:G9116"/>
    <mergeCell ref="I9116:J9116"/>
    <mergeCell ref="K9116:L9116"/>
    <mergeCell ref="M9116:N9116"/>
    <mergeCell ref="I9117:J9117"/>
    <mergeCell ref="K9117:L9117"/>
    <mergeCell ref="M9117:N9117"/>
    <mergeCell ref="K9119:L9119"/>
    <mergeCell ref="M9119:N9119"/>
    <mergeCell ref="I9119:J9119"/>
    <mergeCell ref="I9120:J9120"/>
    <mergeCell ref="K9120:L9120"/>
    <mergeCell ref="M9120:N9120"/>
    <mergeCell ref="K9123:L9123"/>
    <mergeCell ref="M9123:N9123"/>
    <mergeCell ref="A9117:G9117"/>
    <mergeCell ref="A9118:G9118"/>
    <mergeCell ref="I9118:J9118"/>
    <mergeCell ref="K9118:L9118"/>
    <mergeCell ref="M9118:N9118"/>
    <mergeCell ref="A9119:G9119"/>
    <mergeCell ref="A9120:G9120"/>
    <mergeCell ref="A9127:G9127"/>
    <mergeCell ref="A9128:G9128"/>
    <mergeCell ref="A9129:G9129"/>
    <mergeCell ref="A9130:G9130"/>
    <mergeCell ref="A9131:G9131"/>
    <mergeCell ref="I9130:J9130"/>
    <mergeCell ref="K9130:L9130"/>
    <mergeCell ref="M9130:N9130"/>
    <mergeCell ref="I9131:J9131"/>
    <mergeCell ref="K9131:L9131"/>
    <mergeCell ref="M9131:N9131"/>
    <mergeCell ref="M9173:N9173"/>
    <mergeCell ref="I9173:J9173"/>
    <mergeCell ref="I9174:J9174"/>
    <mergeCell ref="K9174:L9174"/>
    <mergeCell ref="M9174:N9174"/>
    <mergeCell ref="I9175:J9175"/>
    <mergeCell ref="K9175:L9175"/>
    <mergeCell ref="M9175:N9175"/>
    <mergeCell ref="I9179:J9179"/>
    <mergeCell ref="I9180:J9180"/>
    <mergeCell ref="I9184:J9184"/>
    <mergeCell ref="K9184:L9184"/>
    <mergeCell ref="M9184:N9184"/>
    <mergeCell ref="K9185:L9185"/>
    <mergeCell ref="M9185:N9185"/>
    <mergeCell ref="A9187:N9187"/>
    <mergeCell ref="I9188:J9188"/>
    <mergeCell ref="M9188:N9188"/>
    <mergeCell ref="A9188:G9188"/>
    <mergeCell ref="A9189:G9189"/>
    <mergeCell ref="I9189:J9189"/>
    <mergeCell ref="M9189:N9189"/>
    <mergeCell ref="A9190:G9190"/>
    <mergeCell ref="M9190:N9190"/>
    <mergeCell ref="A9191:G9191"/>
    <mergeCell ref="M9191:N9191"/>
    <mergeCell ref="I9145:J9145"/>
    <mergeCell ref="I9146:J9146"/>
    <mergeCell ref="A9143:N9143"/>
    <mergeCell ref="A9144:G9144"/>
    <mergeCell ref="I9144:J9144"/>
    <mergeCell ref="M9144:N9144"/>
    <mergeCell ref="A9145:G9145"/>
    <mergeCell ref="M9145:N9145"/>
    <mergeCell ref="M9146:N9146"/>
    <mergeCell ref="I9166:J9166"/>
    <mergeCell ref="K9166:L9166"/>
    <mergeCell ref="K9167:L9167"/>
    <mergeCell ref="M9167:N9167"/>
    <mergeCell ref="K9180:L9180"/>
    <mergeCell ref="M9180:N9180"/>
    <mergeCell ref="K9176:L9176"/>
    <mergeCell ref="M9176:N9176"/>
    <mergeCell ref="A9178:N9178"/>
    <mergeCell ref="A9179:G9179"/>
    <mergeCell ref="K9179:L9179"/>
    <mergeCell ref="M9179:N9179"/>
    <mergeCell ref="A9180:G9180"/>
    <mergeCell ref="A9181:G9181"/>
    <mergeCell ref="I9181:J9181"/>
    <mergeCell ref="K9181:L9181"/>
    <mergeCell ref="M9181:N9181"/>
    <mergeCell ref="I9182:J9182"/>
    <mergeCell ref="K9182:L9182"/>
    <mergeCell ref="M9182:N9182"/>
    <mergeCell ref="A9182:G9182"/>
    <mergeCell ref="A9183:G9183"/>
    <mergeCell ref="I9183:J9183"/>
    <mergeCell ref="K9183:L9183"/>
    <mergeCell ref="M9183:N9183"/>
    <mergeCell ref="A9184:G9184"/>
    <mergeCell ref="I9148:J9148"/>
    <mergeCell ref="I9149:J9149"/>
    <mergeCell ref="K9150:L9150"/>
    <mergeCell ref="M9150:N9150"/>
    <mergeCell ref="I9203:J9203"/>
    <mergeCell ref="K9203:L9203"/>
    <mergeCell ref="A9196:N9197"/>
    <mergeCell ref="A9201:N9201"/>
    <mergeCell ref="A9202:G9202"/>
    <mergeCell ref="I9202:J9202"/>
    <mergeCell ref="K9202:L9202"/>
    <mergeCell ref="M9202:N9202"/>
    <mergeCell ref="M9203:N9203"/>
    <mergeCell ref="K9164:L9164"/>
    <mergeCell ref="M9164:N9164"/>
    <mergeCell ref="A9165:G9165"/>
    <mergeCell ref="I9165:J9165"/>
    <mergeCell ref="K9165:L9165"/>
    <mergeCell ref="M9165:N9165"/>
    <mergeCell ref="M9166:N9166"/>
    <mergeCell ref="A9171:G9171"/>
    <mergeCell ref="A9172:G9172"/>
    <mergeCell ref="A9173:G9173"/>
    <mergeCell ref="A9174:G9174"/>
    <mergeCell ref="A9175:G9175"/>
    <mergeCell ref="A9166:G9166"/>
    <mergeCell ref="A9169:N9169"/>
    <mergeCell ref="A9170:G9170"/>
    <mergeCell ref="I9170:J9170"/>
    <mergeCell ref="K9170:L9170"/>
    <mergeCell ref="M9170:N9170"/>
    <mergeCell ref="M9171:N9171"/>
    <mergeCell ref="I9171:J9171"/>
    <mergeCell ref="K9171:L9171"/>
    <mergeCell ref="I9172:J9172"/>
    <mergeCell ref="K9172:L9172"/>
    <mergeCell ref="M9172:N9172"/>
    <mergeCell ref="K9173:L9173"/>
    <mergeCell ref="A9160:G9160"/>
    <mergeCell ref="I9160:J9160"/>
    <mergeCell ref="K9160:L9160"/>
    <mergeCell ref="M9160:N9160"/>
    <mergeCell ref="I9161:J9161"/>
    <mergeCell ref="K9161:L9161"/>
    <mergeCell ref="M9161:N9161"/>
    <mergeCell ref="A9161:G9161"/>
    <mergeCell ref="A9162:G9162"/>
    <mergeCell ref="I9162:J9162"/>
    <mergeCell ref="K9162:L9162"/>
    <mergeCell ref="M9162:N9162"/>
    <mergeCell ref="A9163:G9163"/>
    <mergeCell ref="A9164:G9164"/>
    <mergeCell ref="A9146:G9146"/>
    <mergeCell ref="A9147:G9147"/>
    <mergeCell ref="I9147:J9147"/>
    <mergeCell ref="M9147:N9147"/>
    <mergeCell ref="A9148:G9148"/>
    <mergeCell ref="M9148:N9148"/>
    <mergeCell ref="M9149:N9149"/>
    <mergeCell ref="I9158:J9158"/>
    <mergeCell ref="I9159:J9159"/>
    <mergeCell ref="K9159:L9159"/>
    <mergeCell ref="M9159:N9159"/>
    <mergeCell ref="A9149:G9149"/>
    <mergeCell ref="A9152:N9153"/>
    <mergeCell ref="A9157:N9157"/>
    <mergeCell ref="A9158:G9158"/>
    <mergeCell ref="K9158:L9158"/>
    <mergeCell ref="M9158:N9158"/>
    <mergeCell ref="A9159:G9159"/>
    <mergeCell ref="K9163:L9163"/>
    <mergeCell ref="M9163:N9163"/>
    <mergeCell ref="I9163:J9163"/>
    <mergeCell ref="I9164:J9164"/>
    <mergeCell ref="M9445:N9445"/>
    <mergeCell ref="A9416:G9416"/>
    <mergeCell ref="I9416:J9416"/>
    <mergeCell ref="K9416:L9416"/>
    <mergeCell ref="M9416:N9416"/>
    <mergeCell ref="I9417:J9417"/>
    <mergeCell ref="K9417:L9417"/>
    <mergeCell ref="M9417:N9417"/>
    <mergeCell ref="M9193:N9193"/>
    <mergeCell ref="K9194:L9194"/>
    <mergeCell ref="M9194:N9194"/>
    <mergeCell ref="I9190:J9190"/>
    <mergeCell ref="I9191:J9191"/>
    <mergeCell ref="A9192:G9192"/>
    <mergeCell ref="I9192:J9192"/>
    <mergeCell ref="M9192:N9192"/>
    <mergeCell ref="A9193:G9193"/>
    <mergeCell ref="I9193:J9193"/>
    <mergeCell ref="I9205:J9205"/>
    <mergeCell ref="I9206:J9206"/>
    <mergeCell ref="K9206:L9206"/>
    <mergeCell ref="M9206:N9206"/>
    <mergeCell ref="A9203:G9203"/>
    <mergeCell ref="A9204:G9204"/>
    <mergeCell ref="I9204:J9204"/>
    <mergeCell ref="K9204:L9204"/>
    <mergeCell ref="M9204:N9204"/>
    <mergeCell ref="A9205:G9205"/>
    <mergeCell ref="A9206:G9206"/>
    <mergeCell ref="A9207:G9207"/>
    <mergeCell ref="I9207:J9207"/>
    <mergeCell ref="K9207:L9207"/>
    <mergeCell ref="M9207:N9207"/>
    <mergeCell ref="I9208:J9208"/>
    <mergeCell ref="K9208:L9208"/>
    <mergeCell ref="M9208:N9208"/>
    <mergeCell ref="K9210:L9210"/>
    <mergeCell ref="M9210:N9210"/>
    <mergeCell ref="K9211:L9211"/>
    <mergeCell ref="M9211:N9211"/>
    <mergeCell ref="A9208:G9208"/>
    <mergeCell ref="A9209:G9209"/>
    <mergeCell ref="I9209:J9209"/>
    <mergeCell ref="K9209:L9209"/>
    <mergeCell ref="M9209:N9209"/>
    <mergeCell ref="A9210:G9210"/>
    <mergeCell ref="I9210:J9210"/>
    <mergeCell ref="K9205:L9205"/>
    <mergeCell ref="M9205:N9205"/>
    <mergeCell ref="A9484:G9484"/>
    <mergeCell ref="A9478:N9478"/>
    <mergeCell ref="A9479:G9479"/>
    <mergeCell ref="I9479:J9479"/>
    <mergeCell ref="M9479:N9479"/>
    <mergeCell ref="A9480:G9480"/>
    <mergeCell ref="M9480:N9480"/>
    <mergeCell ref="M9481:N9481"/>
    <mergeCell ref="K9215:L9215"/>
    <mergeCell ref="M9215:N9215"/>
    <mergeCell ref="I9461:J9461"/>
    <mergeCell ref="I9462:J9462"/>
    <mergeCell ref="K9462:L9462"/>
    <mergeCell ref="M9462:N9462"/>
    <mergeCell ref="K9457:L9457"/>
    <mergeCell ref="M9457:N9457"/>
    <mergeCell ref="K9458:L9458"/>
    <mergeCell ref="M9458:N9458"/>
    <mergeCell ref="A9460:N9460"/>
    <mergeCell ref="A9461:G9461"/>
    <mergeCell ref="A9462:G9462"/>
    <mergeCell ref="A9463:G9463"/>
    <mergeCell ref="I9463:J9463"/>
    <mergeCell ref="K9463:L9463"/>
    <mergeCell ref="M9463:N9463"/>
    <mergeCell ref="I9464:J9464"/>
    <mergeCell ref="K9464:L9464"/>
    <mergeCell ref="M9464:N9464"/>
    <mergeCell ref="K9466:L9466"/>
    <mergeCell ref="M9466:N9466"/>
    <mergeCell ref="K9467:L9467"/>
    <mergeCell ref="M9467:N9467"/>
    <mergeCell ref="A9464:G9464"/>
    <mergeCell ref="A9465:G9465"/>
    <mergeCell ref="I9465:J9465"/>
    <mergeCell ref="K9465:L9465"/>
    <mergeCell ref="M9465:N9465"/>
    <mergeCell ref="A9466:G9466"/>
    <mergeCell ref="I9466:J9466"/>
    <mergeCell ref="K9471:L9471"/>
    <mergeCell ref="M9471:N9471"/>
    <mergeCell ref="I9471:J9471"/>
    <mergeCell ref="A9437:G9437"/>
    <mergeCell ref="A9438:G9438"/>
    <mergeCell ref="A9439:G9439"/>
    <mergeCell ref="A9440:G9440"/>
    <mergeCell ref="I9441:J9441"/>
    <mergeCell ref="K9441:L9441"/>
    <mergeCell ref="M9441:N9441"/>
    <mergeCell ref="A9441:G9441"/>
    <mergeCell ref="A9442:G9442"/>
    <mergeCell ref="I9442:J9442"/>
    <mergeCell ref="K9442:L9442"/>
    <mergeCell ref="M9442:N9442"/>
    <mergeCell ref="A9443:G9443"/>
    <mergeCell ref="I9443:J9443"/>
    <mergeCell ref="I9445:J9445"/>
    <mergeCell ref="K9445:L9445"/>
    <mergeCell ref="K9443:L9443"/>
    <mergeCell ref="M9443:N9443"/>
    <mergeCell ref="A9444:G9444"/>
    <mergeCell ref="I9444:J9444"/>
    <mergeCell ref="K9444:L9444"/>
    <mergeCell ref="M9444:N9444"/>
    <mergeCell ref="A9417:G9417"/>
    <mergeCell ref="A9418:G9418"/>
    <mergeCell ref="I9418:J9418"/>
    <mergeCell ref="K9418:L9418"/>
    <mergeCell ref="M9418:N9418"/>
    <mergeCell ref="A9419:G9419"/>
    <mergeCell ref="I9419:J9419"/>
    <mergeCell ref="M9423:N9423"/>
    <mergeCell ref="M9424:N9424"/>
    <mergeCell ref="M9426:N9426"/>
    <mergeCell ref="M9427:N9427"/>
    <mergeCell ref="M9428:N9428"/>
    <mergeCell ref="M9429:N9429"/>
    <mergeCell ref="I9424:J9424"/>
    <mergeCell ref="I9425:J9425"/>
    <mergeCell ref="I9426:J9426"/>
    <mergeCell ref="I9427:J9427"/>
    <mergeCell ref="I9428:J9428"/>
    <mergeCell ref="K9429:L9429"/>
    <mergeCell ref="K9420:L9420"/>
    <mergeCell ref="M9420:N9420"/>
    <mergeCell ref="A9422:N9422"/>
    <mergeCell ref="A9423:G9423"/>
    <mergeCell ref="I9423:J9423"/>
    <mergeCell ref="A9424:G9424"/>
    <mergeCell ref="M9425:N9425"/>
    <mergeCell ref="A9425:G9425"/>
    <mergeCell ref="A9426:G9426"/>
    <mergeCell ref="A9427:G9427"/>
    <mergeCell ref="A9428:G9428"/>
    <mergeCell ref="A9431:N9432"/>
    <mergeCell ref="A9436:N9436"/>
    <mergeCell ref="M9437:N9437"/>
    <mergeCell ref="K9498:L9498"/>
    <mergeCell ref="M9498:N9498"/>
    <mergeCell ref="A9501:G9501"/>
    <mergeCell ref="K9447:L9447"/>
    <mergeCell ref="M9447:N9447"/>
    <mergeCell ref="A9449:G9449"/>
    <mergeCell ref="I9449:J9449"/>
    <mergeCell ref="K9449:L9449"/>
    <mergeCell ref="M9449:N9449"/>
    <mergeCell ref="I9450:J9450"/>
    <mergeCell ref="K9450:L9450"/>
    <mergeCell ref="M9450:N9450"/>
    <mergeCell ref="A9450:G9450"/>
    <mergeCell ref="A9451:G9451"/>
    <mergeCell ref="I9451:J9451"/>
    <mergeCell ref="K9451:L9451"/>
    <mergeCell ref="M9451:N9451"/>
    <mergeCell ref="A9452:G9452"/>
    <mergeCell ref="A9453:G9453"/>
    <mergeCell ref="A9454:G9454"/>
    <mergeCell ref="I9454:J9454"/>
    <mergeCell ref="K9454:L9454"/>
    <mergeCell ref="M9454:N9454"/>
    <mergeCell ref="I9455:J9455"/>
    <mergeCell ref="K9455:L9455"/>
    <mergeCell ref="M9455:N9455"/>
    <mergeCell ref="A9455:G9455"/>
    <mergeCell ref="A9456:G9456"/>
    <mergeCell ref="I9456:J9456"/>
    <mergeCell ref="K9456:L9456"/>
    <mergeCell ref="M9456:N9456"/>
    <mergeCell ref="A9457:G9457"/>
    <mergeCell ref="I9457:J9457"/>
    <mergeCell ref="I9447:J9447"/>
    <mergeCell ref="I9448:J9448"/>
    <mergeCell ref="K9448:L9448"/>
    <mergeCell ref="M9448:N9448"/>
    <mergeCell ref="I9472:J9472"/>
    <mergeCell ref="K9472:L9472"/>
    <mergeCell ref="M9472:N9472"/>
    <mergeCell ref="A9469:N9469"/>
    <mergeCell ref="A9470:G9470"/>
    <mergeCell ref="I9470:J9470"/>
    <mergeCell ref="K9470:L9470"/>
    <mergeCell ref="M9470:N9470"/>
    <mergeCell ref="A9471:G9471"/>
    <mergeCell ref="A9472:G9472"/>
    <mergeCell ref="A9473:G9473"/>
    <mergeCell ref="I9473:J9473"/>
    <mergeCell ref="K9473:L9473"/>
    <mergeCell ref="M9473:N9473"/>
    <mergeCell ref="I9474:J9474"/>
    <mergeCell ref="K9474:L9474"/>
    <mergeCell ref="M9474:N9474"/>
    <mergeCell ref="A9474:G9474"/>
    <mergeCell ref="A9475:G9475"/>
    <mergeCell ref="I9475:J9475"/>
    <mergeCell ref="K9475:L9475"/>
    <mergeCell ref="M9475:N9475"/>
    <mergeCell ref="K9476:L9476"/>
    <mergeCell ref="M9476:N9476"/>
    <mergeCell ref="A9481:G9481"/>
    <mergeCell ref="A9482:G9482"/>
    <mergeCell ref="A9483:G9483"/>
    <mergeCell ref="I9503:J9503"/>
    <mergeCell ref="I9504:J9504"/>
    <mergeCell ref="K9504:L9504"/>
    <mergeCell ref="M9504:N9504"/>
    <mergeCell ref="A9445:G9445"/>
    <mergeCell ref="A9446:G9446"/>
    <mergeCell ref="I9446:J9446"/>
    <mergeCell ref="K9446:L9446"/>
    <mergeCell ref="M9446:N9446"/>
    <mergeCell ref="A9447:G9447"/>
    <mergeCell ref="A9448:G9448"/>
    <mergeCell ref="K9452:L9452"/>
    <mergeCell ref="M9452:N9452"/>
    <mergeCell ref="I9452:J9452"/>
    <mergeCell ref="I9453:J9453"/>
    <mergeCell ref="K9453:L9453"/>
    <mergeCell ref="M9453:N9453"/>
    <mergeCell ref="K9461:L9461"/>
    <mergeCell ref="M9461:N9461"/>
    <mergeCell ref="I9501:J9501"/>
    <mergeCell ref="K9501:L9501"/>
    <mergeCell ref="I9498:J9498"/>
    <mergeCell ref="I9499:J9499"/>
    <mergeCell ref="A9500:G9500"/>
    <mergeCell ref="I9500:J9500"/>
    <mergeCell ref="K9500:L9500"/>
    <mergeCell ref="M9500:N9500"/>
    <mergeCell ref="M9501:N9501"/>
    <mergeCell ref="A9495:G9495"/>
    <mergeCell ref="I9495:J9495"/>
    <mergeCell ref="K9495:L9495"/>
    <mergeCell ref="M9495:N9495"/>
    <mergeCell ref="I9496:J9496"/>
    <mergeCell ref="K9496:L9496"/>
    <mergeCell ref="M9496:N9496"/>
    <mergeCell ref="K9499:L9499"/>
    <mergeCell ref="M9499:N9499"/>
    <mergeCell ref="A9496:G9496"/>
    <mergeCell ref="A9497:G9497"/>
    <mergeCell ref="I9497:J9497"/>
    <mergeCell ref="K9497:L9497"/>
    <mergeCell ref="M9497:N9497"/>
    <mergeCell ref="A9498:G9498"/>
    <mergeCell ref="A9499:G9499"/>
    <mergeCell ref="I9480:J9480"/>
    <mergeCell ref="I9481:J9481"/>
    <mergeCell ref="I9482:J9482"/>
    <mergeCell ref="M9482:N9482"/>
    <mergeCell ref="I9483:J9483"/>
    <mergeCell ref="M9483:N9483"/>
    <mergeCell ref="I9484:J9484"/>
    <mergeCell ref="K9493:L9493"/>
    <mergeCell ref="M9493:N9493"/>
    <mergeCell ref="I9493:J9493"/>
    <mergeCell ref="I9494:J9494"/>
    <mergeCell ref="K9494:L9494"/>
    <mergeCell ref="M9494:N9494"/>
    <mergeCell ref="M9484:N9484"/>
    <mergeCell ref="K9485:L9485"/>
    <mergeCell ref="M9485:N9485"/>
    <mergeCell ref="A9487:N9488"/>
    <mergeCell ref="A9492:N9492"/>
    <mergeCell ref="A9493:G9493"/>
    <mergeCell ref="A9494:G9494"/>
    <mergeCell ref="A9502:G9502"/>
    <mergeCell ref="I9502:J9502"/>
    <mergeCell ref="K9502:L9502"/>
    <mergeCell ref="M9502:N9502"/>
    <mergeCell ref="A9503:G9503"/>
    <mergeCell ref="A9504:G9504"/>
    <mergeCell ref="K9508:L9508"/>
    <mergeCell ref="M9508:N9508"/>
    <mergeCell ref="I9508:J9508"/>
    <mergeCell ref="I9509:J9509"/>
    <mergeCell ref="K9509:L9509"/>
    <mergeCell ref="M9509:N9509"/>
    <mergeCell ref="K9517:L9517"/>
    <mergeCell ref="M9517:N9517"/>
    <mergeCell ref="I9517:J9517"/>
    <mergeCell ref="I9518:J9518"/>
    <mergeCell ref="K9518:L9518"/>
    <mergeCell ref="M9518:N9518"/>
    <mergeCell ref="K9513:L9513"/>
    <mergeCell ref="M9513:N9513"/>
    <mergeCell ref="K9514:L9514"/>
    <mergeCell ref="M9514:N9514"/>
    <mergeCell ref="A9516:N9516"/>
    <mergeCell ref="A9517:G9517"/>
    <mergeCell ref="A9518:G9518"/>
    <mergeCell ref="A9519:G9519"/>
    <mergeCell ref="I9519:J9519"/>
    <mergeCell ref="K9519:L9519"/>
    <mergeCell ref="M9519:N9519"/>
    <mergeCell ref="I9520:J9520"/>
    <mergeCell ref="K9520:L9520"/>
    <mergeCell ref="M9520:N9520"/>
    <mergeCell ref="K9522:L9522"/>
    <mergeCell ref="M9522:N9522"/>
    <mergeCell ref="K9503:L9503"/>
    <mergeCell ref="M9503:N9503"/>
    <mergeCell ref="A9505:G9505"/>
    <mergeCell ref="I9505:J9505"/>
    <mergeCell ref="K9505:L9505"/>
    <mergeCell ref="M9505:N9505"/>
    <mergeCell ref="I9506:J9506"/>
    <mergeCell ref="K9506:L9506"/>
    <mergeCell ref="M9506:N9506"/>
    <mergeCell ref="A9506:G9506"/>
    <mergeCell ref="A9507:G9507"/>
    <mergeCell ref="I9507:J9507"/>
    <mergeCell ref="K9507:L9507"/>
    <mergeCell ref="M9507:N9507"/>
    <mergeCell ref="A9508:G9508"/>
    <mergeCell ref="A9509:G9509"/>
    <mergeCell ref="A9510:G9510"/>
    <mergeCell ref="I9510:J9510"/>
    <mergeCell ref="K9510:L9510"/>
    <mergeCell ref="M9510:N9510"/>
    <mergeCell ref="I9511:J9511"/>
    <mergeCell ref="K9511:L9511"/>
    <mergeCell ref="M9511:N9511"/>
    <mergeCell ref="A9511:G9511"/>
    <mergeCell ref="A9512:G9512"/>
    <mergeCell ref="I9512:J9512"/>
    <mergeCell ref="K9512:L9512"/>
    <mergeCell ref="M9512:N9512"/>
    <mergeCell ref="A9513:G9513"/>
    <mergeCell ref="I9513:J9513"/>
    <mergeCell ref="K9523:L9523"/>
    <mergeCell ref="M9523:N9523"/>
    <mergeCell ref="A9520:G9520"/>
    <mergeCell ref="A9521:G9521"/>
    <mergeCell ref="I9521:J9521"/>
    <mergeCell ref="K9521:L9521"/>
    <mergeCell ref="M9521:N9521"/>
    <mergeCell ref="A9522:G9522"/>
    <mergeCell ref="I9522:J9522"/>
    <mergeCell ref="K9527:L9527"/>
    <mergeCell ref="M9527:N9527"/>
    <mergeCell ref="M9540:N9540"/>
    <mergeCell ref="K9541:L9541"/>
    <mergeCell ref="M9541:N9541"/>
    <mergeCell ref="I9536:J9536"/>
    <mergeCell ref="I9537:J9537"/>
    <mergeCell ref="I9538:J9538"/>
    <mergeCell ref="M9538:N9538"/>
    <mergeCell ref="I9539:J9539"/>
    <mergeCell ref="M9539:N9539"/>
    <mergeCell ref="I9540:J9540"/>
    <mergeCell ref="A9534:N9534"/>
    <mergeCell ref="A9535:G9535"/>
    <mergeCell ref="I9535:J9535"/>
    <mergeCell ref="M9535:N9535"/>
    <mergeCell ref="A9536:G9536"/>
    <mergeCell ref="M9536:N9536"/>
    <mergeCell ref="M9537:N9537"/>
    <mergeCell ref="A9537:G9537"/>
    <mergeCell ref="A9538:G9538"/>
    <mergeCell ref="A9539:G9539"/>
    <mergeCell ref="A9540:G9540"/>
    <mergeCell ref="A9543:N9544"/>
    <mergeCell ref="I9527:J9527"/>
    <mergeCell ref="I9528:J9528"/>
    <mergeCell ref="K9528:L9528"/>
    <mergeCell ref="M9528:N9528"/>
    <mergeCell ref="A9525:N9525"/>
    <mergeCell ref="A9526:G9526"/>
    <mergeCell ref="I9526:J9526"/>
    <mergeCell ref="K9526:L9526"/>
    <mergeCell ref="M9526:N9526"/>
    <mergeCell ref="A9527:G9527"/>
    <mergeCell ref="A9528:G9528"/>
    <mergeCell ref="A9529:G9529"/>
    <mergeCell ref="I9529:J9529"/>
    <mergeCell ref="K9529:L9529"/>
    <mergeCell ref="M9529:N9529"/>
    <mergeCell ref="I9530:J9530"/>
    <mergeCell ref="K9530:L9530"/>
    <mergeCell ref="M9530:N9530"/>
    <mergeCell ref="A9530:G9530"/>
    <mergeCell ref="A9531:G9531"/>
    <mergeCell ref="I9531:J9531"/>
    <mergeCell ref="K9531:L9531"/>
    <mergeCell ref="M9531:N9531"/>
    <mergeCell ref="K9532:L9532"/>
    <mergeCell ref="M9532:N9532"/>
    <mergeCell ref="A9548:N9548"/>
    <mergeCell ref="M9549:N9549"/>
    <mergeCell ref="I9549:J9549"/>
    <mergeCell ref="K9549:L9549"/>
    <mergeCell ref="I9550:J9550"/>
    <mergeCell ref="K9550:L9550"/>
    <mergeCell ref="M9550:N9550"/>
    <mergeCell ref="K9551:L9551"/>
    <mergeCell ref="M9551:N9551"/>
    <mergeCell ref="I9551:J9551"/>
    <mergeCell ref="I9552:J9552"/>
    <mergeCell ref="K9552:L9552"/>
    <mergeCell ref="M9552:N9552"/>
    <mergeCell ref="I9553:J9553"/>
    <mergeCell ref="K9553:L9553"/>
    <mergeCell ref="M9553:N9553"/>
    <mergeCell ref="A9549:G9549"/>
    <mergeCell ref="A9550:G9550"/>
    <mergeCell ref="A9551:G9551"/>
    <mergeCell ref="A9552:G9552"/>
    <mergeCell ref="A9553:G9553"/>
    <mergeCell ref="A9554:G9554"/>
    <mergeCell ref="A9555:G9555"/>
    <mergeCell ref="A9563:G9563"/>
    <mergeCell ref="A9564:G9564"/>
    <mergeCell ref="A9565:G9565"/>
    <mergeCell ref="A9566:G9566"/>
    <mergeCell ref="A9567:G9567"/>
    <mergeCell ref="A9568:G9568"/>
    <mergeCell ref="A9569:G9569"/>
    <mergeCell ref="A9556:G9556"/>
    <mergeCell ref="A9557:G9557"/>
    <mergeCell ref="A9558:G9558"/>
    <mergeCell ref="A9559:G9559"/>
    <mergeCell ref="A9560:G9560"/>
    <mergeCell ref="A9561:G9561"/>
    <mergeCell ref="A9562:G9562"/>
    <mergeCell ref="K9556:L9556"/>
    <mergeCell ref="M9556:N9556"/>
    <mergeCell ref="I9554:J9554"/>
    <mergeCell ref="K9554:L9554"/>
    <mergeCell ref="M9554:N9554"/>
    <mergeCell ref="I9555:J9555"/>
    <mergeCell ref="K9555:L9555"/>
    <mergeCell ref="M9555:N9555"/>
    <mergeCell ref="I9556:J9556"/>
    <mergeCell ref="K9559:L9559"/>
    <mergeCell ref="M9559:N9559"/>
    <mergeCell ref="I9557:J9557"/>
    <mergeCell ref="K9557:L9557"/>
    <mergeCell ref="M9557:N9557"/>
    <mergeCell ref="I9558:J9558"/>
    <mergeCell ref="K9558:L9558"/>
    <mergeCell ref="M9558:N9558"/>
    <mergeCell ref="I9559:J9559"/>
    <mergeCell ref="K9562:L9562"/>
    <mergeCell ref="M9562:N9562"/>
    <mergeCell ref="I9560:J9560"/>
    <mergeCell ref="K9560:L9560"/>
    <mergeCell ref="M9560:N9560"/>
    <mergeCell ref="I9561:J9561"/>
    <mergeCell ref="K9561:L9561"/>
    <mergeCell ref="M9561:N9561"/>
    <mergeCell ref="I9562:J9562"/>
    <mergeCell ref="K9565:L9565"/>
    <mergeCell ref="M9565:N9565"/>
    <mergeCell ref="I9563:J9563"/>
    <mergeCell ref="K9563:L9563"/>
    <mergeCell ref="M9563:N9563"/>
    <mergeCell ref="I9564:J9564"/>
    <mergeCell ref="K9564:L9564"/>
    <mergeCell ref="M9564:N9564"/>
    <mergeCell ref="I9565:J9565"/>
    <mergeCell ref="I9569:J9569"/>
    <mergeCell ref="K9569:L9569"/>
    <mergeCell ref="M9569:N9569"/>
    <mergeCell ref="K9570:L9570"/>
    <mergeCell ref="M9570:N9570"/>
    <mergeCell ref="I9566:J9566"/>
    <mergeCell ref="K9566:L9566"/>
    <mergeCell ref="M9566:N9566"/>
    <mergeCell ref="I9567:J9567"/>
    <mergeCell ref="K9567:L9567"/>
    <mergeCell ref="M9567:N9567"/>
    <mergeCell ref="I9568:J9568"/>
    <mergeCell ref="I9573:J9573"/>
    <mergeCell ref="I9574:J9574"/>
    <mergeCell ref="K9574:L9574"/>
    <mergeCell ref="M9574:N9574"/>
    <mergeCell ref="K9568:L9568"/>
    <mergeCell ref="M9568:N9568"/>
    <mergeCell ref="A9572:N9572"/>
    <mergeCell ref="A9573:G9573"/>
    <mergeCell ref="K9573:L9573"/>
    <mergeCell ref="M9573:N9573"/>
    <mergeCell ref="A9574:G9574"/>
    <mergeCell ref="A9575:G9575"/>
    <mergeCell ref="I9575:J9575"/>
    <mergeCell ref="K9575:L9575"/>
    <mergeCell ref="M9575:N9575"/>
    <mergeCell ref="I9576:J9576"/>
    <mergeCell ref="K9576:L9576"/>
    <mergeCell ref="M9576:N9576"/>
    <mergeCell ref="K9578:L9578"/>
    <mergeCell ref="M9578:N9578"/>
    <mergeCell ref="K9579:L9579"/>
    <mergeCell ref="M9579:N9579"/>
    <mergeCell ref="A9576:G9576"/>
    <mergeCell ref="A9577:G9577"/>
    <mergeCell ref="I9577:J9577"/>
    <mergeCell ref="K9577:L9577"/>
    <mergeCell ref="M9577:N9577"/>
    <mergeCell ref="A9578:G9578"/>
    <mergeCell ref="I9578:J9578"/>
    <mergeCell ref="I9592:J9592"/>
    <mergeCell ref="I9593:J9593"/>
    <mergeCell ref="A9590:N9590"/>
    <mergeCell ref="A9591:G9591"/>
    <mergeCell ref="I9591:J9591"/>
    <mergeCell ref="M9591:N9591"/>
    <mergeCell ref="A9592:G9592"/>
    <mergeCell ref="M9592:N9592"/>
    <mergeCell ref="M9593:N9593"/>
    <mergeCell ref="K9273:L9273"/>
    <mergeCell ref="M9273:N9273"/>
    <mergeCell ref="K9269:L9269"/>
    <mergeCell ref="M9269:N9269"/>
    <mergeCell ref="A9271:N9271"/>
    <mergeCell ref="A9272:G9272"/>
    <mergeCell ref="K9272:L9272"/>
    <mergeCell ref="M9272:N9272"/>
    <mergeCell ref="A9273:G9273"/>
    <mergeCell ref="I9256:J9256"/>
    <mergeCell ref="I9257:J9257"/>
    <mergeCell ref="A9258:G9258"/>
    <mergeCell ref="I9258:J9258"/>
    <mergeCell ref="K9258:L9258"/>
    <mergeCell ref="M9258:N9258"/>
    <mergeCell ref="M9259:N9259"/>
    <mergeCell ref="A9264:G9264"/>
    <mergeCell ref="A9265:G9265"/>
    <mergeCell ref="A9266:G9266"/>
    <mergeCell ref="A9267:G9267"/>
    <mergeCell ref="A9268:G9268"/>
    <mergeCell ref="A9259:G9259"/>
    <mergeCell ref="A9262:N9262"/>
    <mergeCell ref="A9263:G9263"/>
    <mergeCell ref="I9263:J9263"/>
    <mergeCell ref="K9263:L9263"/>
    <mergeCell ref="M9263:N9263"/>
    <mergeCell ref="M9264:N9264"/>
    <mergeCell ref="I9264:J9264"/>
    <mergeCell ref="K9264:L9264"/>
    <mergeCell ref="I9265:J9265"/>
    <mergeCell ref="K9265:L9265"/>
    <mergeCell ref="M9265:N9265"/>
    <mergeCell ref="K9266:L9266"/>
    <mergeCell ref="M9266:N9266"/>
    <mergeCell ref="I9266:J9266"/>
    <mergeCell ref="I9267:J9267"/>
    <mergeCell ref="K9267:L9267"/>
    <mergeCell ref="M9267:N9267"/>
    <mergeCell ref="I9268:J9268"/>
    <mergeCell ref="K9268:L9268"/>
    <mergeCell ref="M9268:N9268"/>
    <mergeCell ref="I9272:J9272"/>
    <mergeCell ref="I9273:J9273"/>
    <mergeCell ref="K9277:L9277"/>
    <mergeCell ref="M9277:N9277"/>
    <mergeCell ref="K9225:L9225"/>
    <mergeCell ref="M9225:N9225"/>
    <mergeCell ref="A9222:N9222"/>
    <mergeCell ref="A9223:G9223"/>
    <mergeCell ref="I9223:J9223"/>
    <mergeCell ref="K9223:L9223"/>
    <mergeCell ref="M9223:N9223"/>
    <mergeCell ref="A9224:G9224"/>
    <mergeCell ref="A9225:G9225"/>
    <mergeCell ref="I9227:J9227"/>
    <mergeCell ref="K9227:L9227"/>
    <mergeCell ref="I9224:J9224"/>
    <mergeCell ref="I9225:J9225"/>
    <mergeCell ref="A9226:G9226"/>
    <mergeCell ref="I9226:J9226"/>
    <mergeCell ref="K9226:L9226"/>
    <mergeCell ref="M9226:N9226"/>
    <mergeCell ref="M9227:N9227"/>
    <mergeCell ref="I9215:J9215"/>
    <mergeCell ref="I9216:J9216"/>
    <mergeCell ref="K9216:L9216"/>
    <mergeCell ref="M9216:N9216"/>
    <mergeCell ref="A9213:N9213"/>
    <mergeCell ref="A9214:G9214"/>
    <mergeCell ref="I9214:J9214"/>
    <mergeCell ref="K9214:L9214"/>
    <mergeCell ref="M9214:N9214"/>
    <mergeCell ref="A9215:G9215"/>
    <mergeCell ref="A9216:G9216"/>
    <mergeCell ref="A9217:G9217"/>
    <mergeCell ref="I9217:J9217"/>
    <mergeCell ref="K9217:L9217"/>
    <mergeCell ref="M9217:N9217"/>
    <mergeCell ref="I9218:J9218"/>
    <mergeCell ref="K9218:L9218"/>
    <mergeCell ref="M9218:N9218"/>
    <mergeCell ref="A9218:G9218"/>
    <mergeCell ref="A9219:G9219"/>
    <mergeCell ref="I9219:J9219"/>
    <mergeCell ref="K9219:L9219"/>
    <mergeCell ref="M9219:N9219"/>
    <mergeCell ref="K9220:L9220"/>
    <mergeCell ref="M9220:N9220"/>
    <mergeCell ref="K9224:L9224"/>
    <mergeCell ref="M9224:N9224"/>
    <mergeCell ref="A9227:G9227"/>
    <mergeCell ref="A9228:G9228"/>
    <mergeCell ref="I9228:J9228"/>
    <mergeCell ref="K9228:L9228"/>
    <mergeCell ref="M9228:N9228"/>
    <mergeCell ref="K9229:L9229"/>
    <mergeCell ref="M9229:N9229"/>
    <mergeCell ref="A9234:G9234"/>
    <mergeCell ref="A9235:G9235"/>
    <mergeCell ref="A9236:G9236"/>
    <mergeCell ref="A9237:G9237"/>
    <mergeCell ref="A9231:N9231"/>
    <mergeCell ref="A9232:G9232"/>
    <mergeCell ref="I9232:J9232"/>
    <mergeCell ref="M9232:N9232"/>
    <mergeCell ref="A9233:G9233"/>
    <mergeCell ref="M9233:N9233"/>
    <mergeCell ref="M9234:N9234"/>
    <mergeCell ref="I9233:J9233"/>
    <mergeCell ref="I9234:J9234"/>
    <mergeCell ref="I9235:J9235"/>
    <mergeCell ref="M9235:N9235"/>
    <mergeCell ref="I9236:J9236"/>
    <mergeCell ref="M9236:N9236"/>
    <mergeCell ref="I9237:J9237"/>
    <mergeCell ref="K9246:L9246"/>
    <mergeCell ref="M9246:N9246"/>
    <mergeCell ref="I9246:J9246"/>
    <mergeCell ref="I9247:J9247"/>
    <mergeCell ref="K9247:L9247"/>
    <mergeCell ref="M9247:N9247"/>
    <mergeCell ref="M9237:N9237"/>
    <mergeCell ref="K9238:L9238"/>
    <mergeCell ref="M9238:N9238"/>
    <mergeCell ref="A9240:N9241"/>
    <mergeCell ref="A9245:N9245"/>
    <mergeCell ref="A9246:G9246"/>
    <mergeCell ref="A9247:G9247"/>
    <mergeCell ref="A9253:G9253"/>
    <mergeCell ref="I9253:J9253"/>
    <mergeCell ref="K9253:L9253"/>
    <mergeCell ref="M9253:N9253"/>
    <mergeCell ref="I9254:J9254"/>
    <mergeCell ref="K9254:L9254"/>
    <mergeCell ref="M9254:N9254"/>
    <mergeCell ref="K9257:L9257"/>
    <mergeCell ref="M9257:N9257"/>
    <mergeCell ref="A9254:G9254"/>
    <mergeCell ref="A9255:G9255"/>
    <mergeCell ref="I9255:J9255"/>
    <mergeCell ref="K9255:L9255"/>
    <mergeCell ref="M9255:N9255"/>
    <mergeCell ref="A9256:G9256"/>
    <mergeCell ref="A9257:G9257"/>
    <mergeCell ref="A9248:G9248"/>
    <mergeCell ref="I9248:J9248"/>
    <mergeCell ref="K9248:L9248"/>
    <mergeCell ref="M9248:N9248"/>
    <mergeCell ref="I9249:J9249"/>
    <mergeCell ref="K9249:L9249"/>
    <mergeCell ref="M9249:N9249"/>
    <mergeCell ref="K9251:L9251"/>
    <mergeCell ref="M9251:N9251"/>
    <mergeCell ref="I9251:J9251"/>
    <mergeCell ref="I9252:J9252"/>
    <mergeCell ref="K9252:L9252"/>
    <mergeCell ref="M9252:N9252"/>
    <mergeCell ref="A9249:G9249"/>
    <mergeCell ref="A9250:G9250"/>
    <mergeCell ref="I9250:J9250"/>
    <mergeCell ref="K9250:L9250"/>
    <mergeCell ref="M9250:N9250"/>
    <mergeCell ref="A9251:G9251"/>
    <mergeCell ref="A9252:G9252"/>
    <mergeCell ref="K9256:L9256"/>
    <mergeCell ref="M9256:N9256"/>
    <mergeCell ref="I9259:J9259"/>
    <mergeCell ref="K9259:L9259"/>
    <mergeCell ref="K9260:L9260"/>
    <mergeCell ref="M9260:N9260"/>
    <mergeCell ref="I9297:J9297"/>
    <mergeCell ref="I9298:J9298"/>
    <mergeCell ref="K9298:L9298"/>
    <mergeCell ref="M9298:N9298"/>
    <mergeCell ref="I9295:J9295"/>
    <mergeCell ref="K9295:L9295"/>
    <mergeCell ref="I9296:J9296"/>
    <mergeCell ref="K9296:L9296"/>
    <mergeCell ref="M9296:N9296"/>
    <mergeCell ref="K9297:L9297"/>
    <mergeCell ref="M9297:N9297"/>
    <mergeCell ref="A9295:G9295"/>
    <mergeCell ref="A9296:G9296"/>
    <mergeCell ref="A9297:G9297"/>
    <mergeCell ref="A9298:G9298"/>
    <mergeCell ref="I9299:J9299"/>
    <mergeCell ref="K9299:L9299"/>
    <mergeCell ref="M9299:N9299"/>
    <mergeCell ref="A9299:G9299"/>
    <mergeCell ref="A9300:G9300"/>
    <mergeCell ref="I9300:J9300"/>
    <mergeCell ref="K9300:L9300"/>
    <mergeCell ref="M9300:N9300"/>
    <mergeCell ref="A9301:G9301"/>
    <mergeCell ref="I9301:J9301"/>
    <mergeCell ref="I9303:J9303"/>
    <mergeCell ref="K9303:L9303"/>
    <mergeCell ref="K9301:L9301"/>
    <mergeCell ref="M9301:N9301"/>
    <mergeCell ref="A9302:G9302"/>
    <mergeCell ref="I9302:J9302"/>
    <mergeCell ref="K9302:L9302"/>
    <mergeCell ref="M9302:N9302"/>
    <mergeCell ref="M9303:N9303"/>
    <mergeCell ref="A9274:G9274"/>
    <mergeCell ref="I9274:J9274"/>
    <mergeCell ref="K9274:L9274"/>
    <mergeCell ref="M9274:N9274"/>
    <mergeCell ref="I9275:J9275"/>
    <mergeCell ref="K9275:L9275"/>
    <mergeCell ref="M9275:N9275"/>
    <mergeCell ref="A9275:G9275"/>
    <mergeCell ref="A9276:G9276"/>
    <mergeCell ref="I9276:J9276"/>
    <mergeCell ref="K9276:L9276"/>
    <mergeCell ref="M9276:N9276"/>
    <mergeCell ref="A9277:G9277"/>
    <mergeCell ref="I9277:J9277"/>
    <mergeCell ref="M9281:N9281"/>
    <mergeCell ref="M9282:N9282"/>
    <mergeCell ref="M9284:N9284"/>
    <mergeCell ref="M9285:N9285"/>
    <mergeCell ref="M9286:N9286"/>
    <mergeCell ref="M9287:N9287"/>
    <mergeCell ref="I9282:J9282"/>
    <mergeCell ref="I9283:J9283"/>
    <mergeCell ref="I9284:J9284"/>
    <mergeCell ref="I9285:J9285"/>
    <mergeCell ref="I9286:J9286"/>
    <mergeCell ref="K9287:L9287"/>
    <mergeCell ref="K9278:L9278"/>
    <mergeCell ref="M9278:N9278"/>
    <mergeCell ref="A9280:N9280"/>
    <mergeCell ref="A9281:G9281"/>
    <mergeCell ref="I9281:J9281"/>
    <mergeCell ref="A9282:G9282"/>
    <mergeCell ref="M9283:N9283"/>
    <mergeCell ref="A9283:G9283"/>
    <mergeCell ref="A9284:G9284"/>
    <mergeCell ref="A9285:G9285"/>
    <mergeCell ref="A9286:G9286"/>
    <mergeCell ref="A9289:N9290"/>
    <mergeCell ref="A9294:N9294"/>
    <mergeCell ref="M9295:N9295"/>
    <mergeCell ref="K9305:L9305"/>
    <mergeCell ref="M9305:N9305"/>
    <mergeCell ref="I9313:J9313"/>
    <mergeCell ref="K9313:L9313"/>
    <mergeCell ref="I9314:J9314"/>
    <mergeCell ref="K9314:L9314"/>
    <mergeCell ref="M9314:N9314"/>
    <mergeCell ref="K9315:L9315"/>
    <mergeCell ref="M9315:N9315"/>
    <mergeCell ref="I9315:J9315"/>
    <mergeCell ref="I9316:J9316"/>
    <mergeCell ref="K9316:L9316"/>
    <mergeCell ref="M9316:N9316"/>
    <mergeCell ref="I9317:J9317"/>
    <mergeCell ref="K9317:L9317"/>
    <mergeCell ref="M9317:N9317"/>
    <mergeCell ref="I9324:J9324"/>
    <mergeCell ref="K9324:L9324"/>
    <mergeCell ref="I9321:J9321"/>
    <mergeCell ref="I9322:J9322"/>
    <mergeCell ref="A9323:G9323"/>
    <mergeCell ref="I9323:J9323"/>
    <mergeCell ref="K9323:L9323"/>
    <mergeCell ref="M9323:N9323"/>
    <mergeCell ref="M9324:N9324"/>
    <mergeCell ref="A9303:G9303"/>
    <mergeCell ref="A9304:G9304"/>
    <mergeCell ref="I9304:J9304"/>
    <mergeCell ref="K9304:L9304"/>
    <mergeCell ref="M9304:N9304"/>
    <mergeCell ref="K9322:L9322"/>
    <mergeCell ref="M9322:N9322"/>
    <mergeCell ref="K9318:L9318"/>
    <mergeCell ref="M9318:N9318"/>
    <mergeCell ref="A9320:N9320"/>
    <mergeCell ref="A9321:G9321"/>
    <mergeCell ref="K9321:L9321"/>
    <mergeCell ref="M9321:N9321"/>
    <mergeCell ref="A9322:G9322"/>
    <mergeCell ref="I9305:J9305"/>
    <mergeCell ref="I9306:J9306"/>
    <mergeCell ref="K9306:L9306"/>
    <mergeCell ref="M9306:N9306"/>
    <mergeCell ref="K9309:L9309"/>
    <mergeCell ref="M9309:N9309"/>
    <mergeCell ref="A9305:G9305"/>
    <mergeCell ref="A9306:G9306"/>
    <mergeCell ref="A9307:G9307"/>
    <mergeCell ref="I9307:J9307"/>
    <mergeCell ref="K9307:L9307"/>
    <mergeCell ref="M9307:N9307"/>
    <mergeCell ref="I9308:J9308"/>
    <mergeCell ref="K9308:L9308"/>
    <mergeCell ref="M9308:N9308"/>
    <mergeCell ref="A9313:G9313"/>
    <mergeCell ref="A9314:G9314"/>
    <mergeCell ref="A9315:G9315"/>
    <mergeCell ref="A9316:G9316"/>
    <mergeCell ref="A9317:G9317"/>
    <mergeCell ref="A9308:G9308"/>
    <mergeCell ref="A9311:N9311"/>
    <mergeCell ref="A9312:G9312"/>
    <mergeCell ref="I9312:J9312"/>
    <mergeCell ref="K9312:L9312"/>
    <mergeCell ref="M9312:N9312"/>
    <mergeCell ref="M9313:N9313"/>
    <mergeCell ref="A9332:G9332"/>
    <mergeCell ref="A9333:G9333"/>
    <mergeCell ref="I9333:J9333"/>
    <mergeCell ref="M9333:N9333"/>
    <mergeCell ref="A9334:G9334"/>
    <mergeCell ref="M9334:N9334"/>
    <mergeCell ref="M9335:N9335"/>
    <mergeCell ref="I9344:J9344"/>
    <mergeCell ref="I9345:J9345"/>
    <mergeCell ref="K9345:L9345"/>
    <mergeCell ref="M9345:N9345"/>
    <mergeCell ref="A9335:G9335"/>
    <mergeCell ref="A9338:N9339"/>
    <mergeCell ref="A9343:N9343"/>
    <mergeCell ref="A9344:G9344"/>
    <mergeCell ref="K9344:L9344"/>
    <mergeCell ref="M9344:N9344"/>
    <mergeCell ref="A9345:G9345"/>
    <mergeCell ref="K9349:L9349"/>
    <mergeCell ref="M9349:N9349"/>
    <mergeCell ref="I9349:J9349"/>
    <mergeCell ref="I9350:J9350"/>
    <mergeCell ref="K9326:L9326"/>
    <mergeCell ref="M9326:N9326"/>
    <mergeCell ref="K9327:L9327"/>
    <mergeCell ref="M9327:N9327"/>
    <mergeCell ref="A9324:G9324"/>
    <mergeCell ref="A9325:G9325"/>
    <mergeCell ref="I9325:J9325"/>
    <mergeCell ref="K9325:L9325"/>
    <mergeCell ref="M9325:N9325"/>
    <mergeCell ref="A9326:G9326"/>
    <mergeCell ref="I9326:J9326"/>
    <mergeCell ref="I9331:J9331"/>
    <mergeCell ref="I9332:J9332"/>
    <mergeCell ref="A9329:N9329"/>
    <mergeCell ref="A9330:G9330"/>
    <mergeCell ref="I9330:J9330"/>
    <mergeCell ref="M9330:N9330"/>
    <mergeCell ref="A9331:G9331"/>
    <mergeCell ref="M9331:N9331"/>
    <mergeCell ref="M9332:N9332"/>
    <mergeCell ref="M9405:N9405"/>
    <mergeCell ref="M9406:N9406"/>
    <mergeCell ref="I9406:J9406"/>
    <mergeCell ref="K9406:L9406"/>
    <mergeCell ref="I9407:J9407"/>
    <mergeCell ref="K9407:L9407"/>
    <mergeCell ref="M9407:N9407"/>
    <mergeCell ref="K9408:L9408"/>
    <mergeCell ref="M9408:N9408"/>
    <mergeCell ref="I9408:J9408"/>
    <mergeCell ref="I9362:J9362"/>
    <mergeCell ref="K9362:L9362"/>
    <mergeCell ref="I9363:J9363"/>
    <mergeCell ref="K9363:L9363"/>
    <mergeCell ref="M9363:N9363"/>
    <mergeCell ref="K9364:L9364"/>
    <mergeCell ref="M9364:N9364"/>
    <mergeCell ref="I9364:J9364"/>
    <mergeCell ref="I9365:J9365"/>
    <mergeCell ref="K9365:L9365"/>
    <mergeCell ref="M9365:N9365"/>
    <mergeCell ref="I9366:J9366"/>
    <mergeCell ref="K9366:L9366"/>
    <mergeCell ref="M9366:N9366"/>
    <mergeCell ref="I9373:J9373"/>
    <mergeCell ref="K9373:L9373"/>
    <mergeCell ref="I9370:J9370"/>
    <mergeCell ref="I9371:J9371"/>
    <mergeCell ref="A9372:G9372"/>
    <mergeCell ref="I9372:J9372"/>
    <mergeCell ref="K9372:L9372"/>
    <mergeCell ref="M9372:N9372"/>
    <mergeCell ref="M9373:N9373"/>
    <mergeCell ref="K9399:L9399"/>
    <mergeCell ref="M9399:N9399"/>
    <mergeCell ref="I9354:J9354"/>
    <mergeCell ref="I9355:J9355"/>
    <mergeCell ref="K9355:L9355"/>
    <mergeCell ref="M9355:N9355"/>
    <mergeCell ref="K9358:L9358"/>
    <mergeCell ref="I9409:J9409"/>
    <mergeCell ref="K9409:L9409"/>
    <mergeCell ref="M9409:N9409"/>
    <mergeCell ref="I9334:J9334"/>
    <mergeCell ref="I9335:J9335"/>
    <mergeCell ref="K9336:L9336"/>
    <mergeCell ref="M9336:N9336"/>
    <mergeCell ref="A9346:G9346"/>
    <mergeCell ref="I9346:J9346"/>
    <mergeCell ref="K9346:L9346"/>
    <mergeCell ref="M9346:N9346"/>
    <mergeCell ref="I9347:J9347"/>
    <mergeCell ref="K9347:L9347"/>
    <mergeCell ref="M9347:N9347"/>
    <mergeCell ref="A9347:G9347"/>
    <mergeCell ref="A9348:G9348"/>
    <mergeCell ref="I9348:J9348"/>
    <mergeCell ref="K9348:L9348"/>
    <mergeCell ref="M9348:N9348"/>
    <mergeCell ref="A9349:G9349"/>
    <mergeCell ref="A9350:G9350"/>
    <mergeCell ref="I9352:J9352"/>
    <mergeCell ref="K9352:L9352"/>
    <mergeCell ref="K9350:L9350"/>
    <mergeCell ref="M9350:N9350"/>
    <mergeCell ref="A9351:G9351"/>
    <mergeCell ref="I9351:J9351"/>
    <mergeCell ref="K9351:L9351"/>
    <mergeCell ref="M9351:N9351"/>
    <mergeCell ref="M9352:N9352"/>
    <mergeCell ref="M9379:N9379"/>
    <mergeCell ref="A9380:G9380"/>
    <mergeCell ref="M9380:N9380"/>
    <mergeCell ref="M9381:N9381"/>
    <mergeCell ref="I9384:J9384"/>
    <mergeCell ref="K9385:L9385"/>
    <mergeCell ref="M9385:N9385"/>
    <mergeCell ref="A9395:G9395"/>
    <mergeCell ref="I9395:J9395"/>
    <mergeCell ref="K9395:L9395"/>
    <mergeCell ref="M9395:N9395"/>
    <mergeCell ref="I9396:J9396"/>
    <mergeCell ref="K9396:L9396"/>
    <mergeCell ref="M9396:N9396"/>
    <mergeCell ref="A9396:G9396"/>
    <mergeCell ref="A9397:G9397"/>
    <mergeCell ref="I9397:J9397"/>
    <mergeCell ref="K9397:L9397"/>
    <mergeCell ref="M9397:N9397"/>
    <mergeCell ref="A9398:G9398"/>
    <mergeCell ref="A9399:G9399"/>
    <mergeCell ref="M9384:N9384"/>
    <mergeCell ref="I9393:J9393"/>
    <mergeCell ref="I9394:J9394"/>
    <mergeCell ref="K9394:L9394"/>
    <mergeCell ref="M9394:N9394"/>
    <mergeCell ref="A9384:G9384"/>
    <mergeCell ref="A9387:N9388"/>
    <mergeCell ref="A9392:N9392"/>
    <mergeCell ref="A9393:G9393"/>
    <mergeCell ref="K9393:L9393"/>
    <mergeCell ref="M9393:N9393"/>
    <mergeCell ref="K9354:L9354"/>
    <mergeCell ref="M9354:N9354"/>
    <mergeCell ref="M9358:N9358"/>
    <mergeCell ref="A9352:G9352"/>
    <mergeCell ref="A9353:G9353"/>
    <mergeCell ref="I9353:J9353"/>
    <mergeCell ref="K9353:L9353"/>
    <mergeCell ref="M9353:N9353"/>
    <mergeCell ref="A9354:G9354"/>
    <mergeCell ref="A9355:G9355"/>
    <mergeCell ref="A9356:G9356"/>
    <mergeCell ref="I9356:J9356"/>
    <mergeCell ref="K9356:L9356"/>
    <mergeCell ref="M9356:N9356"/>
    <mergeCell ref="I9357:J9357"/>
    <mergeCell ref="K9357:L9357"/>
    <mergeCell ref="M9357:N9357"/>
    <mergeCell ref="A9362:G9362"/>
    <mergeCell ref="A9363:G9363"/>
    <mergeCell ref="A9364:G9364"/>
    <mergeCell ref="A9365:G9365"/>
    <mergeCell ref="A9366:G9366"/>
    <mergeCell ref="A9357:G9357"/>
    <mergeCell ref="A9360:N9360"/>
    <mergeCell ref="A9361:G9361"/>
    <mergeCell ref="I9361:J9361"/>
    <mergeCell ref="K9361:L9361"/>
    <mergeCell ref="M9361:N9361"/>
    <mergeCell ref="M9362:N9362"/>
    <mergeCell ref="I9383:J9383"/>
    <mergeCell ref="A9381:G9381"/>
    <mergeCell ref="A9382:G9382"/>
    <mergeCell ref="I9382:J9382"/>
    <mergeCell ref="M9382:N9382"/>
    <mergeCell ref="A9383:G9383"/>
    <mergeCell ref="M9383:N9383"/>
    <mergeCell ref="K9371:L9371"/>
    <mergeCell ref="M9371:N9371"/>
    <mergeCell ref="K9367:L9367"/>
    <mergeCell ref="M9367:N9367"/>
    <mergeCell ref="A9369:N9369"/>
    <mergeCell ref="A9370:G9370"/>
    <mergeCell ref="K9370:L9370"/>
    <mergeCell ref="M9370:N9370"/>
    <mergeCell ref="A9371:G9371"/>
    <mergeCell ref="K9375:L9375"/>
    <mergeCell ref="M9375:N9375"/>
    <mergeCell ref="K9376:L9376"/>
    <mergeCell ref="M9376:N9376"/>
    <mergeCell ref="A9373:G9373"/>
    <mergeCell ref="A9374:G9374"/>
    <mergeCell ref="I9374:J9374"/>
    <mergeCell ref="K9374:L9374"/>
    <mergeCell ref="M9374:N9374"/>
    <mergeCell ref="A9375:G9375"/>
    <mergeCell ref="I9375:J9375"/>
    <mergeCell ref="I9380:J9380"/>
    <mergeCell ref="I9381:J9381"/>
    <mergeCell ref="A9378:N9378"/>
    <mergeCell ref="A9379:G9379"/>
    <mergeCell ref="I9379:J9379"/>
    <mergeCell ref="A9394:G9394"/>
    <mergeCell ref="K9398:L9398"/>
    <mergeCell ref="M9398:N9398"/>
    <mergeCell ref="I9398:J9398"/>
    <mergeCell ref="I9399:J9399"/>
    <mergeCell ref="I9401:J9401"/>
    <mergeCell ref="K9401:L9401"/>
    <mergeCell ref="K9402:L9402"/>
    <mergeCell ref="M9402:N9402"/>
    <mergeCell ref="I9439:J9439"/>
    <mergeCell ref="I9440:J9440"/>
    <mergeCell ref="K9440:L9440"/>
    <mergeCell ref="M9440:N9440"/>
    <mergeCell ref="I9437:J9437"/>
    <mergeCell ref="K9437:L9437"/>
    <mergeCell ref="I9438:J9438"/>
    <mergeCell ref="K9438:L9438"/>
    <mergeCell ref="M9438:N9438"/>
    <mergeCell ref="K9439:L9439"/>
    <mergeCell ref="M9439:N9439"/>
    <mergeCell ref="K9583:L9583"/>
    <mergeCell ref="M9583:N9583"/>
    <mergeCell ref="I9583:J9583"/>
    <mergeCell ref="I9584:J9584"/>
    <mergeCell ref="K9584:L9584"/>
    <mergeCell ref="M9584:N9584"/>
    <mergeCell ref="A9581:N9581"/>
    <mergeCell ref="A9582:G9582"/>
    <mergeCell ref="I9582:J9582"/>
    <mergeCell ref="K9582:L9582"/>
    <mergeCell ref="M9582:N9582"/>
    <mergeCell ref="A9583:G9583"/>
    <mergeCell ref="A9584:G9584"/>
    <mergeCell ref="I9410:J9410"/>
    <mergeCell ref="K9410:L9410"/>
    <mergeCell ref="M9410:N9410"/>
    <mergeCell ref="I9414:J9414"/>
    <mergeCell ref="I9415:J9415"/>
    <mergeCell ref="K9419:L9419"/>
    <mergeCell ref="M9419:N9419"/>
    <mergeCell ref="K9415:L9415"/>
    <mergeCell ref="M9415:N9415"/>
    <mergeCell ref="K9411:L9411"/>
    <mergeCell ref="M9411:N9411"/>
    <mergeCell ref="A9413:N9413"/>
    <mergeCell ref="A9414:G9414"/>
    <mergeCell ref="K9414:L9414"/>
    <mergeCell ref="M9414:N9414"/>
    <mergeCell ref="A9415:G9415"/>
    <mergeCell ref="A9400:G9400"/>
    <mergeCell ref="I9400:J9400"/>
    <mergeCell ref="K9400:L9400"/>
    <mergeCell ref="M9400:N9400"/>
    <mergeCell ref="M9401:N9401"/>
    <mergeCell ref="A9406:G9406"/>
    <mergeCell ref="A9407:G9407"/>
    <mergeCell ref="A9408:G9408"/>
    <mergeCell ref="A9409:G9409"/>
    <mergeCell ref="A9410:G9410"/>
    <mergeCell ref="A9401:G9401"/>
    <mergeCell ref="A9404:N9404"/>
    <mergeCell ref="A9405:G9405"/>
    <mergeCell ref="I9405:J9405"/>
    <mergeCell ref="K9405:L9405"/>
    <mergeCell ref="A9585:G9585"/>
    <mergeCell ref="I9585:J9585"/>
    <mergeCell ref="K9585:L9585"/>
    <mergeCell ref="M9585:N9585"/>
    <mergeCell ref="I9586:J9586"/>
    <mergeCell ref="K9586:L9586"/>
    <mergeCell ref="M9586:N9586"/>
    <mergeCell ref="A9586:G9586"/>
    <mergeCell ref="A9587:G9587"/>
    <mergeCell ref="I9587:J9587"/>
    <mergeCell ref="K9587:L9587"/>
    <mergeCell ref="M9587:N9587"/>
    <mergeCell ref="K9588:L9588"/>
    <mergeCell ref="M9588:N9588"/>
    <mergeCell ref="I9595:J9595"/>
    <mergeCell ref="I9596:J9596"/>
    <mergeCell ref="K9597:L9597"/>
    <mergeCell ref="M9597:N9597"/>
    <mergeCell ref="A9593:G9593"/>
    <mergeCell ref="A9594:G9594"/>
    <mergeCell ref="I9594:J9594"/>
    <mergeCell ref="M9594:N9594"/>
    <mergeCell ref="A9595:G9595"/>
    <mergeCell ref="M9595:N9595"/>
    <mergeCell ref="M9596:N9596"/>
    <mergeCell ref="I9605:J9605"/>
    <mergeCell ref="I9606:J9606"/>
    <mergeCell ref="K9606:L9606"/>
    <mergeCell ref="M9606:N9606"/>
    <mergeCell ref="A9596:G9596"/>
    <mergeCell ref="A9599:N9600"/>
    <mergeCell ref="A9604:N9604"/>
    <mergeCell ref="A9605:G9605"/>
    <mergeCell ref="K9605:L9605"/>
    <mergeCell ref="M9605:N9605"/>
    <mergeCell ref="A9606:G9606"/>
    <mergeCell ref="I9647:J9647"/>
    <mergeCell ref="K9647:L9647"/>
    <mergeCell ref="M9647:N9647"/>
    <mergeCell ref="K9648:L9648"/>
    <mergeCell ref="M9648:N9648"/>
    <mergeCell ref="I9648:J9648"/>
    <mergeCell ref="I9649:J9649"/>
    <mergeCell ref="K9649:L9649"/>
    <mergeCell ref="M9649:N9649"/>
    <mergeCell ref="A9607:G9607"/>
    <mergeCell ref="I9607:J9607"/>
    <mergeCell ref="K9607:L9607"/>
    <mergeCell ref="M9607:N9607"/>
    <mergeCell ref="I9608:J9608"/>
    <mergeCell ref="K9608:L9608"/>
    <mergeCell ref="M9608:N9608"/>
    <mergeCell ref="K9610:L9610"/>
    <mergeCell ref="M9610:N9610"/>
    <mergeCell ref="K9611:L9611"/>
    <mergeCell ref="M9611:N9611"/>
    <mergeCell ref="A9608:G9608"/>
    <mergeCell ref="A9609:G9609"/>
    <mergeCell ref="I9609:J9609"/>
    <mergeCell ref="K9609:L9609"/>
    <mergeCell ref="M9609:N9609"/>
    <mergeCell ref="A9610:G9610"/>
    <mergeCell ref="I9610:J9610"/>
    <mergeCell ref="K9615:L9615"/>
    <mergeCell ref="M9615:N9615"/>
    <mergeCell ref="I9615:J9615"/>
    <mergeCell ref="I9616:J9616"/>
    <mergeCell ref="K9616:L9616"/>
    <mergeCell ref="M9616:N9616"/>
    <mergeCell ref="A9613:N9613"/>
    <mergeCell ref="A9614:G9614"/>
    <mergeCell ref="I9614:J9614"/>
    <mergeCell ref="K9614:L9614"/>
    <mergeCell ref="M9614:N9614"/>
    <mergeCell ref="A9615:G9615"/>
    <mergeCell ref="A9616:G9616"/>
    <mergeCell ref="A9617:G9617"/>
    <mergeCell ref="I9617:J9617"/>
    <mergeCell ref="K9617:L9617"/>
    <mergeCell ref="M9617:N9617"/>
    <mergeCell ref="I9632:J9632"/>
    <mergeCell ref="M9632:N9632"/>
    <mergeCell ref="A9633:G9633"/>
    <mergeCell ref="M9633:N9633"/>
    <mergeCell ref="M9634:N9634"/>
    <mergeCell ref="A9634:G9634"/>
    <mergeCell ref="A9635:G9635"/>
    <mergeCell ref="A9636:G9636"/>
    <mergeCell ref="A9637:G9637"/>
    <mergeCell ref="A9640:N9641"/>
    <mergeCell ref="A9645:N9645"/>
    <mergeCell ref="M9646:N9646"/>
    <mergeCell ref="I9618:J9618"/>
    <mergeCell ref="K9618:L9618"/>
    <mergeCell ref="M9618:N9618"/>
    <mergeCell ref="A9618:G9618"/>
    <mergeCell ref="A9619:G9619"/>
    <mergeCell ref="I9619:J9619"/>
    <mergeCell ref="K9619:L9619"/>
    <mergeCell ref="M9619:N9619"/>
    <mergeCell ref="K9620:L9620"/>
    <mergeCell ref="M9620:N9620"/>
    <mergeCell ref="K9624:L9624"/>
    <mergeCell ref="M9624:N9624"/>
    <mergeCell ref="M9637:N9637"/>
    <mergeCell ref="K9638:L9638"/>
    <mergeCell ref="M9638:N9638"/>
    <mergeCell ref="I9633:J9633"/>
    <mergeCell ref="I9634:J9634"/>
    <mergeCell ref="I9635:J9635"/>
    <mergeCell ref="M9635:N9635"/>
    <mergeCell ref="I9636:J9636"/>
    <mergeCell ref="M9636:N9636"/>
    <mergeCell ref="I9637:J9637"/>
    <mergeCell ref="I9646:J9646"/>
    <mergeCell ref="K9646:L9646"/>
    <mergeCell ref="K9659:L9659"/>
    <mergeCell ref="M9659:N9659"/>
    <mergeCell ref="K9660:L9660"/>
    <mergeCell ref="M9660:N9660"/>
    <mergeCell ref="A9657:G9657"/>
    <mergeCell ref="A9658:G9658"/>
    <mergeCell ref="I9658:J9658"/>
    <mergeCell ref="K9658:L9658"/>
    <mergeCell ref="M9658:N9658"/>
    <mergeCell ref="A9659:G9659"/>
    <mergeCell ref="I9659:J9659"/>
    <mergeCell ref="I9624:J9624"/>
    <mergeCell ref="I9625:J9625"/>
    <mergeCell ref="K9625:L9625"/>
    <mergeCell ref="M9625:N9625"/>
    <mergeCell ref="A9622:N9622"/>
    <mergeCell ref="A9623:G9623"/>
    <mergeCell ref="I9623:J9623"/>
    <mergeCell ref="K9623:L9623"/>
    <mergeCell ref="M9623:N9623"/>
    <mergeCell ref="A9624:G9624"/>
    <mergeCell ref="A9625:G9625"/>
    <mergeCell ref="A9626:G9626"/>
    <mergeCell ref="I9626:J9626"/>
    <mergeCell ref="K9626:L9626"/>
    <mergeCell ref="M9626:N9626"/>
    <mergeCell ref="I9627:J9627"/>
    <mergeCell ref="K9627:L9627"/>
    <mergeCell ref="M9627:N9627"/>
    <mergeCell ref="A9627:G9627"/>
    <mergeCell ref="A9628:G9628"/>
    <mergeCell ref="I9628:J9628"/>
    <mergeCell ref="K9628:L9628"/>
    <mergeCell ref="M9628:N9628"/>
    <mergeCell ref="K9629:L9629"/>
    <mergeCell ref="M9629:N9629"/>
    <mergeCell ref="A9646:G9646"/>
    <mergeCell ref="A9647:G9647"/>
    <mergeCell ref="A9648:G9648"/>
    <mergeCell ref="A9649:G9649"/>
    <mergeCell ref="A9650:G9650"/>
    <mergeCell ref="I9650:J9650"/>
    <mergeCell ref="K9650:L9650"/>
    <mergeCell ref="M9650:N9650"/>
    <mergeCell ref="K9655:L9655"/>
    <mergeCell ref="M9655:N9655"/>
    <mergeCell ref="K9651:L9651"/>
    <mergeCell ref="M9651:N9651"/>
    <mergeCell ref="A9653:N9653"/>
    <mergeCell ref="A9654:G9654"/>
    <mergeCell ref="K9654:L9654"/>
    <mergeCell ref="M9654:N9654"/>
    <mergeCell ref="A9655:G9655"/>
    <mergeCell ref="I9657:J9657"/>
    <mergeCell ref="K9657:L9657"/>
    <mergeCell ref="I9654:J9654"/>
    <mergeCell ref="I9655:J9655"/>
    <mergeCell ref="A9656:G9656"/>
    <mergeCell ref="I9656:J9656"/>
    <mergeCell ref="K9656:L9656"/>
    <mergeCell ref="M9656:N9656"/>
    <mergeCell ref="M9657:N9657"/>
    <mergeCell ref="A9631:N9631"/>
    <mergeCell ref="A9632:G9632"/>
    <mergeCell ref="I9735:J9735"/>
    <mergeCell ref="K9735:L9735"/>
    <mergeCell ref="M9735:N9735"/>
    <mergeCell ref="A9736:G9736"/>
    <mergeCell ref="A9737:G9737"/>
    <mergeCell ref="A9738:G9738"/>
    <mergeCell ref="I9738:J9738"/>
    <mergeCell ref="K9738:L9738"/>
    <mergeCell ref="M9738:N9738"/>
    <mergeCell ref="I9739:J9739"/>
    <mergeCell ref="K9739:L9739"/>
    <mergeCell ref="M9739:N9739"/>
    <mergeCell ref="A9739:G9739"/>
    <mergeCell ref="A9740:G9740"/>
    <mergeCell ref="I9740:J9740"/>
    <mergeCell ref="K9740:L9740"/>
    <mergeCell ref="M9740:N9740"/>
    <mergeCell ref="I9691:J9691"/>
    <mergeCell ref="K9691:L9691"/>
    <mergeCell ref="M9691:N9691"/>
    <mergeCell ref="A9694:N9694"/>
    <mergeCell ref="I9695:J9695"/>
    <mergeCell ref="K9695:L9695"/>
    <mergeCell ref="M9695:N9695"/>
    <mergeCell ref="A9695:G9695"/>
    <mergeCell ref="A9671:N9671"/>
    <mergeCell ref="A9672:G9672"/>
    <mergeCell ref="I9672:J9672"/>
    <mergeCell ref="M9672:N9672"/>
    <mergeCell ref="A9673:G9673"/>
    <mergeCell ref="M9673:N9673"/>
    <mergeCell ref="M9674:N9674"/>
    <mergeCell ref="A9674:G9674"/>
    <mergeCell ref="A9675:G9675"/>
    <mergeCell ref="A9676:G9676"/>
    <mergeCell ref="A9677:G9677"/>
    <mergeCell ref="A9680:N9681"/>
    <mergeCell ref="A9685:N9685"/>
    <mergeCell ref="M9686:N9686"/>
    <mergeCell ref="I9664:J9664"/>
    <mergeCell ref="I9665:J9665"/>
    <mergeCell ref="K9665:L9665"/>
    <mergeCell ref="M9665:N9665"/>
    <mergeCell ref="A9662:N9662"/>
    <mergeCell ref="A9663:G9663"/>
    <mergeCell ref="I9663:J9663"/>
    <mergeCell ref="K9663:L9663"/>
    <mergeCell ref="M9663:N9663"/>
    <mergeCell ref="K9741:L9741"/>
    <mergeCell ref="M9741:N9741"/>
    <mergeCell ref="K9745:L9745"/>
    <mergeCell ref="M9745:N9745"/>
    <mergeCell ref="A9748:G9748"/>
    <mergeCell ref="A9714:G9714"/>
    <mergeCell ref="M9714:N9714"/>
    <mergeCell ref="M9715:N9715"/>
    <mergeCell ref="K9705:L9705"/>
    <mergeCell ref="M9705:N9705"/>
    <mergeCell ref="I9705:J9705"/>
    <mergeCell ref="I9706:J9706"/>
    <mergeCell ref="K9706:L9706"/>
    <mergeCell ref="M9706:N9706"/>
    <mergeCell ref="A9703:N9703"/>
    <mergeCell ref="A9704:G9704"/>
    <mergeCell ref="I9704:J9704"/>
    <mergeCell ref="A9687:G9687"/>
    <mergeCell ref="A9688:G9688"/>
    <mergeCell ref="A9689:G9689"/>
    <mergeCell ref="A9690:G9690"/>
    <mergeCell ref="A9691:G9691"/>
    <mergeCell ref="A9699:G9699"/>
    <mergeCell ref="A9700:G9700"/>
    <mergeCell ref="I9700:J9700"/>
    <mergeCell ref="K9700:L9700"/>
    <mergeCell ref="M9700:N9700"/>
    <mergeCell ref="K9701:L9701"/>
    <mergeCell ref="M9701:N9701"/>
    <mergeCell ref="I9714:J9714"/>
    <mergeCell ref="I9715:J9715"/>
    <mergeCell ref="A9712:N9712"/>
    <mergeCell ref="A9713:G9713"/>
    <mergeCell ref="I9713:J9713"/>
    <mergeCell ref="M9713:N9713"/>
    <mergeCell ref="A9696:G9696"/>
    <mergeCell ref="I9696:J9696"/>
    <mergeCell ref="K9696:L9696"/>
    <mergeCell ref="M9696:N9696"/>
    <mergeCell ref="A9697:G9697"/>
    <mergeCell ref="I9697:J9697"/>
    <mergeCell ref="I9699:J9699"/>
    <mergeCell ref="K9699:L9699"/>
    <mergeCell ref="K9697:L9697"/>
    <mergeCell ref="M9697:N9697"/>
    <mergeCell ref="A9698:G9698"/>
    <mergeCell ref="I9698:J9698"/>
    <mergeCell ref="K9698:L9698"/>
    <mergeCell ref="M9698:N9698"/>
    <mergeCell ref="M9699:N9699"/>
    <mergeCell ref="I9687:J9687"/>
    <mergeCell ref="K9687:L9687"/>
    <mergeCell ref="M9687:N9687"/>
    <mergeCell ref="K9688:L9688"/>
    <mergeCell ref="M9688:N9688"/>
    <mergeCell ref="K9692:L9692"/>
    <mergeCell ref="M9692:N9692"/>
    <mergeCell ref="I9688:J9688"/>
    <mergeCell ref="I9689:J9689"/>
    <mergeCell ref="K9689:L9689"/>
    <mergeCell ref="M9689:N9689"/>
    <mergeCell ref="I9690:J9690"/>
    <mergeCell ref="K9690:L9690"/>
    <mergeCell ref="M9690:N9690"/>
    <mergeCell ref="A9664:G9664"/>
    <mergeCell ref="A9665:G9665"/>
    <mergeCell ref="A9666:G9666"/>
    <mergeCell ref="I9666:J9666"/>
    <mergeCell ref="K9666:L9666"/>
    <mergeCell ref="M9666:N9666"/>
    <mergeCell ref="I9667:J9667"/>
    <mergeCell ref="K9667:L9667"/>
    <mergeCell ref="M9667:N9667"/>
    <mergeCell ref="A9667:G9667"/>
    <mergeCell ref="A9668:G9668"/>
    <mergeCell ref="I9668:J9668"/>
    <mergeCell ref="K9668:L9668"/>
    <mergeCell ref="M9668:N9668"/>
    <mergeCell ref="K9669:L9669"/>
    <mergeCell ref="M9669:N9669"/>
    <mergeCell ref="A9686:G9686"/>
    <mergeCell ref="K9664:L9664"/>
    <mergeCell ref="M9664:N9664"/>
    <mergeCell ref="M9677:N9677"/>
    <mergeCell ref="K9678:L9678"/>
    <mergeCell ref="M9678:N9678"/>
    <mergeCell ref="I9673:J9673"/>
    <mergeCell ref="I9674:J9674"/>
    <mergeCell ref="I9675:J9675"/>
    <mergeCell ref="M9675:N9675"/>
    <mergeCell ref="I9676:J9676"/>
    <mergeCell ref="M9676:N9676"/>
    <mergeCell ref="I9677:J9677"/>
    <mergeCell ref="I9686:J9686"/>
    <mergeCell ref="K9686:L9686"/>
    <mergeCell ref="K9704:L9704"/>
    <mergeCell ref="M9704:N9704"/>
    <mergeCell ref="A9705:G9705"/>
    <mergeCell ref="A9706:G9706"/>
    <mergeCell ref="A9707:G9707"/>
    <mergeCell ref="I9707:J9707"/>
    <mergeCell ref="K9707:L9707"/>
    <mergeCell ref="M9707:N9707"/>
    <mergeCell ref="I9708:J9708"/>
    <mergeCell ref="K9708:L9708"/>
    <mergeCell ref="M9708:N9708"/>
    <mergeCell ref="A9708:G9708"/>
    <mergeCell ref="A9709:G9709"/>
    <mergeCell ref="I9709:J9709"/>
    <mergeCell ref="K9709:L9709"/>
    <mergeCell ref="M9709:N9709"/>
    <mergeCell ref="K9710:L9710"/>
    <mergeCell ref="M9710:N9710"/>
    <mergeCell ref="I9717:J9717"/>
    <mergeCell ref="I9718:J9718"/>
    <mergeCell ref="K9719:L9719"/>
    <mergeCell ref="M9719:N9719"/>
    <mergeCell ref="A9715:G9715"/>
    <mergeCell ref="A9716:G9716"/>
    <mergeCell ref="I9716:J9716"/>
    <mergeCell ref="M9716:N9716"/>
    <mergeCell ref="A9717:G9717"/>
    <mergeCell ref="M9717:N9717"/>
    <mergeCell ref="M9718:N9718"/>
    <mergeCell ref="I9727:J9727"/>
    <mergeCell ref="I9728:J9728"/>
    <mergeCell ref="K9728:L9728"/>
    <mergeCell ref="M9728:N9728"/>
    <mergeCell ref="A9718:G9718"/>
    <mergeCell ref="A9721:N9722"/>
    <mergeCell ref="A9726:N9726"/>
    <mergeCell ref="A9727:G9727"/>
    <mergeCell ref="K9727:L9727"/>
    <mergeCell ref="M9727:N9727"/>
    <mergeCell ref="A9728:G9728"/>
    <mergeCell ref="A9729:G9729"/>
    <mergeCell ref="I9729:J9729"/>
    <mergeCell ref="K9729:L9729"/>
    <mergeCell ref="M9729:N9729"/>
    <mergeCell ref="I9730:J9730"/>
    <mergeCell ref="K9730:L9730"/>
    <mergeCell ref="M9730:N9730"/>
    <mergeCell ref="A9730:G9730"/>
    <mergeCell ref="A9731:G9731"/>
    <mergeCell ref="I9731:J9731"/>
    <mergeCell ref="K9731:L9731"/>
    <mergeCell ref="M9731:N9731"/>
    <mergeCell ref="K9732:L9732"/>
    <mergeCell ref="M9732:N9732"/>
    <mergeCell ref="K9736:L9736"/>
    <mergeCell ref="M9736:N9736"/>
    <mergeCell ref="K9746:L9746"/>
    <mergeCell ref="M9746:N9746"/>
    <mergeCell ref="A9743:N9743"/>
    <mergeCell ref="A9744:G9744"/>
    <mergeCell ref="I9744:J9744"/>
    <mergeCell ref="K9744:L9744"/>
    <mergeCell ref="M9744:N9744"/>
    <mergeCell ref="A9745:G9745"/>
    <mergeCell ref="A9746:G9746"/>
    <mergeCell ref="A9755:G9755"/>
    <mergeCell ref="A9756:G9756"/>
    <mergeCell ref="A9757:G9757"/>
    <mergeCell ref="A9758:G9758"/>
    <mergeCell ref="A9752:N9752"/>
    <mergeCell ref="A9753:G9753"/>
    <mergeCell ref="I9753:J9753"/>
    <mergeCell ref="M9753:N9753"/>
    <mergeCell ref="A9754:G9754"/>
    <mergeCell ref="M9754:N9754"/>
    <mergeCell ref="M9755:N9755"/>
    <mergeCell ref="I9754:J9754"/>
    <mergeCell ref="I9755:J9755"/>
    <mergeCell ref="I9756:J9756"/>
    <mergeCell ref="M9756:N9756"/>
    <mergeCell ref="I9757:J9757"/>
    <mergeCell ref="M9757:N9757"/>
    <mergeCell ref="I9758:J9758"/>
    <mergeCell ref="A9749:G9749"/>
    <mergeCell ref="I9749:J9749"/>
    <mergeCell ref="K9749:L9749"/>
    <mergeCell ref="M9749:N9749"/>
    <mergeCell ref="K9750:L9750"/>
    <mergeCell ref="M9750:N9750"/>
    <mergeCell ref="I9748:J9748"/>
    <mergeCell ref="K9748:L9748"/>
    <mergeCell ref="I9745:J9745"/>
    <mergeCell ref="I9746:J9746"/>
    <mergeCell ref="A9747:G9747"/>
    <mergeCell ref="I9747:J9747"/>
    <mergeCell ref="K9747:L9747"/>
    <mergeCell ref="M9747:N9747"/>
    <mergeCell ref="M9748:N9748"/>
    <mergeCell ref="I9736:J9736"/>
    <mergeCell ref="I9737:J9737"/>
    <mergeCell ref="K9737:L9737"/>
    <mergeCell ref="M9737:N9737"/>
    <mergeCell ref="A9734:N9734"/>
    <mergeCell ref="A9735:G9735"/>
    <mergeCell ref="K9767:L9767"/>
    <mergeCell ref="M9767:N9767"/>
    <mergeCell ref="I9767:J9767"/>
    <mergeCell ref="I9768:J9768"/>
    <mergeCell ref="K9768:L9768"/>
    <mergeCell ref="M9768:N9768"/>
    <mergeCell ref="M9758:N9758"/>
    <mergeCell ref="K9759:L9759"/>
    <mergeCell ref="M9759:N9759"/>
    <mergeCell ref="A9761:N9762"/>
    <mergeCell ref="A9766:N9766"/>
    <mergeCell ref="A9767:G9767"/>
    <mergeCell ref="A9768:G9768"/>
    <mergeCell ref="I9829:J9829"/>
    <mergeCell ref="K9829:L9829"/>
    <mergeCell ref="I9826:J9826"/>
    <mergeCell ref="I9827:J9827"/>
    <mergeCell ref="A9828:G9828"/>
    <mergeCell ref="I9828:J9828"/>
    <mergeCell ref="K9828:L9828"/>
    <mergeCell ref="M9828:N9828"/>
    <mergeCell ref="M9829:N9829"/>
    <mergeCell ref="I9817:J9817"/>
    <mergeCell ref="I9818:J9818"/>
    <mergeCell ref="K9818:L9818"/>
    <mergeCell ref="M9818:N9818"/>
    <mergeCell ref="A9815:N9815"/>
    <mergeCell ref="A9816:G9816"/>
    <mergeCell ref="I9816:J9816"/>
    <mergeCell ref="K9816:L9816"/>
    <mergeCell ref="M9816:N9816"/>
    <mergeCell ref="A9817:G9817"/>
    <mergeCell ref="A9818:G9818"/>
    <mergeCell ref="A9819:G9819"/>
    <mergeCell ref="I9819:J9819"/>
    <mergeCell ref="K9819:L9819"/>
    <mergeCell ref="M9819:N9819"/>
    <mergeCell ref="I9820:J9820"/>
    <mergeCell ref="K9820:L9820"/>
    <mergeCell ref="M9820:N9820"/>
    <mergeCell ref="A9820:G9820"/>
    <mergeCell ref="A9821:G9821"/>
    <mergeCell ref="I9821:J9821"/>
    <mergeCell ref="K9821:L9821"/>
    <mergeCell ref="M9821:N9821"/>
    <mergeCell ref="K9822:L9822"/>
    <mergeCell ref="M9822:N9822"/>
    <mergeCell ref="K9826:L9826"/>
    <mergeCell ref="M9826:N9826"/>
    <mergeCell ref="A9829:G9829"/>
    <mergeCell ref="I9780:J9780"/>
    <mergeCell ref="K9780:L9780"/>
    <mergeCell ref="M9780:N9780"/>
    <mergeCell ref="A9780:G9780"/>
    <mergeCell ref="A9781:G9781"/>
    <mergeCell ref="I9781:J9781"/>
    <mergeCell ref="K9781:L9781"/>
    <mergeCell ref="M9781:N9781"/>
    <mergeCell ref="K9782:L9782"/>
    <mergeCell ref="M9782:N9782"/>
    <mergeCell ref="K9786:L9786"/>
    <mergeCell ref="M9786:N9786"/>
    <mergeCell ref="I9786:J9786"/>
    <mergeCell ref="I9787:J9787"/>
    <mergeCell ref="A9769:G9769"/>
    <mergeCell ref="I9769:J9769"/>
    <mergeCell ref="K9769:L9769"/>
    <mergeCell ref="M9769:N9769"/>
    <mergeCell ref="I9770:J9770"/>
    <mergeCell ref="K9770:L9770"/>
    <mergeCell ref="M9770:N9770"/>
    <mergeCell ref="K9772:L9772"/>
    <mergeCell ref="M9772:N9772"/>
    <mergeCell ref="K9773:L9773"/>
    <mergeCell ref="M9773:N9773"/>
    <mergeCell ref="A9770:G9770"/>
    <mergeCell ref="A9771:G9771"/>
    <mergeCell ref="I9771:J9771"/>
    <mergeCell ref="K9771:L9771"/>
    <mergeCell ref="M9771:N9771"/>
    <mergeCell ref="A9772:G9772"/>
    <mergeCell ref="I9772:J9772"/>
    <mergeCell ref="K9777:L9777"/>
    <mergeCell ref="M9777:N9777"/>
    <mergeCell ref="I9777:J9777"/>
    <mergeCell ref="I9778:J9778"/>
    <mergeCell ref="K9778:L9778"/>
    <mergeCell ref="M9778:N9778"/>
    <mergeCell ref="A9775:N9775"/>
    <mergeCell ref="A9776:G9776"/>
    <mergeCell ref="I9776:J9776"/>
    <mergeCell ref="K9776:L9776"/>
    <mergeCell ref="M9776:N9776"/>
    <mergeCell ref="A9777:G9777"/>
    <mergeCell ref="A9778:G9778"/>
    <mergeCell ref="A9788:G9788"/>
    <mergeCell ref="I9788:J9788"/>
    <mergeCell ref="K9788:L9788"/>
    <mergeCell ref="M9788:N9788"/>
    <mergeCell ref="A9779:G9779"/>
    <mergeCell ref="I9779:J9779"/>
    <mergeCell ref="K9779:L9779"/>
    <mergeCell ref="M9779:N9779"/>
    <mergeCell ref="K9787:L9787"/>
    <mergeCell ref="M9787:N9787"/>
    <mergeCell ref="A9784:N9784"/>
    <mergeCell ref="A9785:G9785"/>
    <mergeCell ref="I9785:J9785"/>
    <mergeCell ref="K9785:L9785"/>
    <mergeCell ref="M9785:N9785"/>
    <mergeCell ref="A9786:G9786"/>
    <mergeCell ref="A9787:G9787"/>
    <mergeCell ref="I9798:J9798"/>
    <mergeCell ref="I9799:J9799"/>
    <mergeCell ref="K9800:L9800"/>
    <mergeCell ref="M9800:N9800"/>
    <mergeCell ref="A9796:G9796"/>
    <mergeCell ref="A9797:G9797"/>
    <mergeCell ref="I9797:J9797"/>
    <mergeCell ref="M9797:N9797"/>
    <mergeCell ref="A9798:G9798"/>
    <mergeCell ref="M9798:N9798"/>
    <mergeCell ref="M9799:N9799"/>
    <mergeCell ref="I9808:J9808"/>
    <mergeCell ref="I9809:J9809"/>
    <mergeCell ref="K9809:L9809"/>
    <mergeCell ref="M9809:N9809"/>
    <mergeCell ref="A9799:G9799"/>
    <mergeCell ref="A9802:N9803"/>
    <mergeCell ref="A9807:N9807"/>
    <mergeCell ref="A9808:G9808"/>
    <mergeCell ref="K9808:L9808"/>
    <mergeCell ref="M9808:N9808"/>
    <mergeCell ref="A9809:G9809"/>
    <mergeCell ref="K9812:L9812"/>
    <mergeCell ref="K9813:L9813"/>
    <mergeCell ref="M9813:N9813"/>
    <mergeCell ref="A9810:G9810"/>
    <mergeCell ref="I9810:J9810"/>
    <mergeCell ref="K9810:L9810"/>
    <mergeCell ref="M9810:N9810"/>
    <mergeCell ref="A9812:G9812"/>
    <mergeCell ref="I9812:J9812"/>
    <mergeCell ref="M9812:N9812"/>
    <mergeCell ref="I9789:J9789"/>
    <mergeCell ref="K9789:L9789"/>
    <mergeCell ref="M9789:N9789"/>
    <mergeCell ref="A9789:G9789"/>
    <mergeCell ref="A9790:G9790"/>
    <mergeCell ref="I9790:J9790"/>
    <mergeCell ref="K9790:L9790"/>
    <mergeCell ref="M9790:N9790"/>
    <mergeCell ref="K9791:L9791"/>
    <mergeCell ref="M9791:N9791"/>
    <mergeCell ref="I9795:J9795"/>
    <mergeCell ref="I9796:J9796"/>
    <mergeCell ref="A9793:N9793"/>
    <mergeCell ref="A9794:G9794"/>
    <mergeCell ref="I9794:J9794"/>
    <mergeCell ref="M9794:N9794"/>
    <mergeCell ref="A9795:G9795"/>
    <mergeCell ref="M9795:N9795"/>
    <mergeCell ref="M9796:N9796"/>
    <mergeCell ref="K9817:L9817"/>
    <mergeCell ref="M9817:N9817"/>
    <mergeCell ref="K9827:L9827"/>
    <mergeCell ref="M9827:N9827"/>
    <mergeCell ref="A9824:N9824"/>
    <mergeCell ref="A9825:G9825"/>
    <mergeCell ref="I9825:J9825"/>
    <mergeCell ref="K9825:L9825"/>
    <mergeCell ref="M9825:N9825"/>
    <mergeCell ref="A9826:G9826"/>
    <mergeCell ref="A9827:G9827"/>
    <mergeCell ref="A9836:G9836"/>
    <mergeCell ref="A9837:G9837"/>
    <mergeCell ref="A9838:G9838"/>
    <mergeCell ref="A9839:G9839"/>
    <mergeCell ref="A9833:N9833"/>
    <mergeCell ref="A9834:G9834"/>
    <mergeCell ref="I9834:J9834"/>
    <mergeCell ref="M9834:N9834"/>
    <mergeCell ref="A9835:G9835"/>
    <mergeCell ref="M9835:N9835"/>
    <mergeCell ref="M9836:N9836"/>
    <mergeCell ref="I9835:J9835"/>
    <mergeCell ref="I9836:J9836"/>
    <mergeCell ref="I9837:J9837"/>
    <mergeCell ref="M9837:N9837"/>
    <mergeCell ref="I9838:J9838"/>
    <mergeCell ref="M9838:N9838"/>
    <mergeCell ref="I9839:J9839"/>
    <mergeCell ref="K9848:L9848"/>
    <mergeCell ref="M9848:N9848"/>
    <mergeCell ref="I9848:J9848"/>
    <mergeCell ref="I9849:J9849"/>
    <mergeCell ref="K9849:L9849"/>
    <mergeCell ref="M9849:N9849"/>
    <mergeCell ref="M9839:N9839"/>
    <mergeCell ref="K9840:L9840"/>
    <mergeCell ref="M9840:N9840"/>
    <mergeCell ref="A9842:N9843"/>
    <mergeCell ref="A9847:N9847"/>
    <mergeCell ref="A9848:G9848"/>
    <mergeCell ref="A9849:G9849"/>
    <mergeCell ref="A9830:G9830"/>
    <mergeCell ref="I9830:J9830"/>
    <mergeCell ref="K9830:L9830"/>
    <mergeCell ref="M9830:N9830"/>
    <mergeCell ref="K9831:L9831"/>
    <mergeCell ref="M9831:N9831"/>
    <mergeCell ref="K9861:L9861"/>
    <mergeCell ref="M9861:N9861"/>
    <mergeCell ref="A9855:G9855"/>
    <mergeCell ref="I9855:J9855"/>
    <mergeCell ref="K9855:L9855"/>
    <mergeCell ref="M9855:N9855"/>
    <mergeCell ref="I9856:J9856"/>
    <mergeCell ref="K9856:L9856"/>
    <mergeCell ref="M9856:N9856"/>
    <mergeCell ref="K9859:L9859"/>
    <mergeCell ref="M9859:N9859"/>
    <mergeCell ref="A9856:G9856"/>
    <mergeCell ref="A9857:G9857"/>
    <mergeCell ref="I9857:J9857"/>
    <mergeCell ref="K9857:L9857"/>
    <mergeCell ref="M9857:N9857"/>
    <mergeCell ref="A9858:G9858"/>
    <mergeCell ref="A9859:G9859"/>
    <mergeCell ref="A9850:G9850"/>
    <mergeCell ref="I9850:J9850"/>
    <mergeCell ref="K9850:L9850"/>
    <mergeCell ref="M9850:N9850"/>
    <mergeCell ref="I9851:J9851"/>
    <mergeCell ref="K9851:L9851"/>
    <mergeCell ref="M9851:N9851"/>
    <mergeCell ref="K9853:L9853"/>
    <mergeCell ref="M9853:N9853"/>
    <mergeCell ref="I9853:J9853"/>
    <mergeCell ref="I9854:J9854"/>
    <mergeCell ref="K9854:L9854"/>
    <mergeCell ref="M9854:N9854"/>
    <mergeCell ref="A9851:G9851"/>
    <mergeCell ref="A9852:G9852"/>
    <mergeCell ref="I9852:J9852"/>
    <mergeCell ref="K9852:L9852"/>
    <mergeCell ref="M9852:N9852"/>
    <mergeCell ref="A9853:G9853"/>
    <mergeCell ref="A9854:G9854"/>
    <mergeCell ref="K9858:L9858"/>
    <mergeCell ref="M9858:N9858"/>
    <mergeCell ref="I9858:J9858"/>
    <mergeCell ref="I9859:J9859"/>
    <mergeCell ref="A9885:G9885"/>
    <mergeCell ref="I9885:J9885"/>
    <mergeCell ref="M9885:N9885"/>
    <mergeCell ref="A9886:G9886"/>
    <mergeCell ref="M9886:N9886"/>
    <mergeCell ref="M9887:N9887"/>
    <mergeCell ref="I9896:J9896"/>
    <mergeCell ref="I9897:J9897"/>
    <mergeCell ref="K9897:L9897"/>
    <mergeCell ref="M9897:N9897"/>
    <mergeCell ref="A9887:G9887"/>
    <mergeCell ref="A9890:N9891"/>
    <mergeCell ref="A9895:N9895"/>
    <mergeCell ref="A9896:G9896"/>
    <mergeCell ref="K9896:L9896"/>
    <mergeCell ref="M9896:N9896"/>
    <mergeCell ref="A9860:G9860"/>
    <mergeCell ref="I9860:J9860"/>
    <mergeCell ref="K9860:L9860"/>
    <mergeCell ref="M9860:N9860"/>
    <mergeCell ref="A9863:N9863"/>
    <mergeCell ref="K9874:L9874"/>
    <mergeCell ref="M9874:N9874"/>
    <mergeCell ref="A9869:G9869"/>
    <mergeCell ref="I9869:J9869"/>
    <mergeCell ref="K9869:L9869"/>
    <mergeCell ref="M9869:N9869"/>
    <mergeCell ref="A9872:N9872"/>
    <mergeCell ref="A9873:G9873"/>
    <mergeCell ref="A9874:G9874"/>
    <mergeCell ref="I9876:J9876"/>
    <mergeCell ref="K9876:L9876"/>
    <mergeCell ref="I9873:J9873"/>
    <mergeCell ref="I9874:J9874"/>
    <mergeCell ref="A9875:G9875"/>
    <mergeCell ref="I9875:J9875"/>
    <mergeCell ref="K9875:L9875"/>
    <mergeCell ref="M9875:N9875"/>
    <mergeCell ref="M9876:N9876"/>
    <mergeCell ref="K9878:L9878"/>
    <mergeCell ref="M9878:N9878"/>
    <mergeCell ref="K9879:L9879"/>
    <mergeCell ref="M9879:N9879"/>
    <mergeCell ref="A9876:G9876"/>
    <mergeCell ref="A9877:G9877"/>
    <mergeCell ref="I9877:J9877"/>
    <mergeCell ref="K9877:L9877"/>
    <mergeCell ref="M9877:N9877"/>
    <mergeCell ref="A9878:G9878"/>
    <mergeCell ref="I9878:J9878"/>
    <mergeCell ref="A9864:G9864"/>
    <mergeCell ref="I9864:J9864"/>
    <mergeCell ref="K9864:L9864"/>
    <mergeCell ref="M9864:N9864"/>
    <mergeCell ref="I9865:J9865"/>
    <mergeCell ref="K9865:L9865"/>
    <mergeCell ref="M9865:N9865"/>
    <mergeCell ref="K9867:L9867"/>
    <mergeCell ref="M9867:N9867"/>
    <mergeCell ref="I9867:J9867"/>
    <mergeCell ref="I9868:J9868"/>
    <mergeCell ref="K9868:L9868"/>
    <mergeCell ref="M9868:N9868"/>
    <mergeCell ref="K9870:L9870"/>
    <mergeCell ref="M9925:N9925"/>
    <mergeCell ref="M9926:N9926"/>
    <mergeCell ref="A9926:G9926"/>
    <mergeCell ref="A9927:G9927"/>
    <mergeCell ref="A9928:G9928"/>
    <mergeCell ref="A9929:G9929"/>
    <mergeCell ref="A9932:N9933"/>
    <mergeCell ref="A9937:N9937"/>
    <mergeCell ref="M9938:N9938"/>
    <mergeCell ref="A9946:N9946"/>
    <mergeCell ref="I9947:J9947"/>
    <mergeCell ref="M9948:N9948"/>
    <mergeCell ref="A9949:G9949"/>
    <mergeCell ref="I9949:J9949"/>
    <mergeCell ref="K9930:L9930"/>
    <mergeCell ref="M9930:N9930"/>
    <mergeCell ref="I9883:J9883"/>
    <mergeCell ref="I9884:J9884"/>
    <mergeCell ref="K9915:L9915"/>
    <mergeCell ref="M9915:N9915"/>
    <mergeCell ref="A9916:G9916"/>
    <mergeCell ref="A9917:G9917"/>
    <mergeCell ref="A9918:G9918"/>
    <mergeCell ref="I9918:J9918"/>
    <mergeCell ref="K9918:L9918"/>
    <mergeCell ref="M9918:N9918"/>
    <mergeCell ref="I9919:J9919"/>
    <mergeCell ref="K9919:L9919"/>
    <mergeCell ref="M9919:N9919"/>
    <mergeCell ref="A9919:G9919"/>
    <mergeCell ref="A9920:G9920"/>
    <mergeCell ref="M9870:N9870"/>
    <mergeCell ref="A9865:G9865"/>
    <mergeCell ref="A9866:G9866"/>
    <mergeCell ref="I9866:J9866"/>
    <mergeCell ref="K9866:L9866"/>
    <mergeCell ref="M9866:N9866"/>
    <mergeCell ref="A9867:G9867"/>
    <mergeCell ref="A9868:G9868"/>
    <mergeCell ref="K9873:L9873"/>
    <mergeCell ref="M9873:N9873"/>
    <mergeCell ref="I9886:J9886"/>
    <mergeCell ref="I9887:J9887"/>
    <mergeCell ref="K9888:L9888"/>
    <mergeCell ref="M9888:N9888"/>
    <mergeCell ref="A9881:N9881"/>
    <mergeCell ref="A9882:G9882"/>
    <mergeCell ref="I9882:J9882"/>
    <mergeCell ref="M9882:N9882"/>
    <mergeCell ref="A9883:G9883"/>
    <mergeCell ref="M9883:N9883"/>
    <mergeCell ref="M9884:N9884"/>
    <mergeCell ref="K9908:L9908"/>
    <mergeCell ref="M9908:N9908"/>
    <mergeCell ref="K9907:L9907"/>
    <mergeCell ref="M9907:N9907"/>
    <mergeCell ref="I9916:J9916"/>
    <mergeCell ref="I9917:J9917"/>
    <mergeCell ref="K9917:L9917"/>
    <mergeCell ref="M9917:N9917"/>
    <mergeCell ref="A9914:N9914"/>
    <mergeCell ref="A9915:G9915"/>
    <mergeCell ref="I9915:J9915"/>
    <mergeCell ref="A9884:G9884"/>
    <mergeCell ref="A9959:G9959"/>
    <mergeCell ref="I9959:J9959"/>
    <mergeCell ref="K9959:L9959"/>
    <mergeCell ref="M9959:N9959"/>
    <mergeCell ref="I9960:J9960"/>
    <mergeCell ref="K9960:L9960"/>
    <mergeCell ref="I9969:J9969"/>
    <mergeCell ref="I9970:J9970"/>
    <mergeCell ref="K9971:L9971"/>
    <mergeCell ref="M9971:N9971"/>
    <mergeCell ref="A9967:G9967"/>
    <mergeCell ref="A9968:G9968"/>
    <mergeCell ref="I9968:J9968"/>
    <mergeCell ref="M9968:N9968"/>
    <mergeCell ref="A9969:G9969"/>
    <mergeCell ref="M9969:N9969"/>
    <mergeCell ref="K9997:L9997"/>
    <mergeCell ref="M9997:N9997"/>
    <mergeCell ref="A10000:G10000"/>
    <mergeCell ref="K9912:L9912"/>
    <mergeCell ref="A9898:G9898"/>
    <mergeCell ref="I9898:J9898"/>
    <mergeCell ref="K9898:L9898"/>
    <mergeCell ref="M9898:N9898"/>
    <mergeCell ref="I9899:J9899"/>
    <mergeCell ref="K9899:L9899"/>
    <mergeCell ref="M9899:N9899"/>
    <mergeCell ref="A9899:G9899"/>
    <mergeCell ref="A9900:G9900"/>
    <mergeCell ref="M9912:N9912"/>
    <mergeCell ref="A9909:G9909"/>
    <mergeCell ref="A9910:G9910"/>
    <mergeCell ref="K9902:L9902"/>
    <mergeCell ref="M9902:N9902"/>
    <mergeCell ref="K9903:L9903"/>
    <mergeCell ref="I9925:J9925"/>
    <mergeCell ref="I9926:J9926"/>
    <mergeCell ref="I9927:J9927"/>
    <mergeCell ref="M9927:N9927"/>
    <mergeCell ref="I9928:J9928"/>
    <mergeCell ref="M9928:N9928"/>
    <mergeCell ref="I9929:J9929"/>
    <mergeCell ref="I9938:J9938"/>
    <mergeCell ref="K9921:L9921"/>
    <mergeCell ref="M9921:N9921"/>
    <mergeCell ref="A9938:G9938"/>
    <mergeCell ref="M9903:N9903"/>
    <mergeCell ref="A9905:N9905"/>
    <mergeCell ref="A9906:G9906"/>
    <mergeCell ref="A9907:G9907"/>
    <mergeCell ref="A9908:G9908"/>
    <mergeCell ref="I9908:J9908"/>
    <mergeCell ref="K9938:L9938"/>
    <mergeCell ref="K9906:L9906"/>
    <mergeCell ref="M9906:N9906"/>
    <mergeCell ref="I9906:J9906"/>
    <mergeCell ref="I9909:J9909"/>
    <mergeCell ref="K9909:L9909"/>
    <mergeCell ref="M9909:N9909"/>
    <mergeCell ref="K9911:L9911"/>
    <mergeCell ref="M9911:N9911"/>
    <mergeCell ref="I9907:J9907"/>
    <mergeCell ref="M9924:N9924"/>
    <mergeCell ref="A9925:G9925"/>
    <mergeCell ref="I9943:J9943"/>
    <mergeCell ref="K9943:L9943"/>
    <mergeCell ref="M9943:N9943"/>
    <mergeCell ref="I9951:J9951"/>
    <mergeCell ref="I9910:J9910"/>
    <mergeCell ref="K9910:L9910"/>
    <mergeCell ref="M9910:N9910"/>
    <mergeCell ref="A9911:G9911"/>
    <mergeCell ref="I9911:J9911"/>
    <mergeCell ref="K9916:L9916"/>
    <mergeCell ref="K9951:L9951"/>
    <mergeCell ref="K9949:L9949"/>
    <mergeCell ref="M9949:N9949"/>
    <mergeCell ref="A9950:G9950"/>
    <mergeCell ref="M9916:N9916"/>
    <mergeCell ref="M9929:N9929"/>
    <mergeCell ref="I9992:J9992"/>
    <mergeCell ref="K9992:L9992"/>
    <mergeCell ref="M9992:N9992"/>
    <mergeCell ref="K9993:L9993"/>
    <mergeCell ref="M9993:N9993"/>
    <mergeCell ref="K9962:L9962"/>
    <mergeCell ref="M9962:N9962"/>
    <mergeCell ref="I9900:J9900"/>
    <mergeCell ref="K9900:L9900"/>
    <mergeCell ref="M9900:N9900"/>
    <mergeCell ref="A9901:G9901"/>
    <mergeCell ref="A9902:G9902"/>
    <mergeCell ref="A9981:G9981"/>
    <mergeCell ref="I9981:J9981"/>
    <mergeCell ref="K9981:L9981"/>
    <mergeCell ref="M9981:N9981"/>
    <mergeCell ref="I9982:J9982"/>
    <mergeCell ref="K9982:L9982"/>
    <mergeCell ref="M9982:N9982"/>
    <mergeCell ref="A9982:G9982"/>
    <mergeCell ref="A9952:G9952"/>
    <mergeCell ref="I9952:J9952"/>
    <mergeCell ref="K9952:L9952"/>
    <mergeCell ref="M9952:N9952"/>
    <mergeCell ref="K9953:L9953"/>
    <mergeCell ref="M9953:N9953"/>
    <mergeCell ref="I9966:J9966"/>
    <mergeCell ref="I9967:J9967"/>
    <mergeCell ref="A9964:N9964"/>
    <mergeCell ref="A9965:G9965"/>
    <mergeCell ref="I9965:J9965"/>
    <mergeCell ref="M9965:N9965"/>
    <mergeCell ref="A9966:G9966"/>
    <mergeCell ref="M9966:N9966"/>
    <mergeCell ref="M9967:N9967"/>
    <mergeCell ref="K9957:L9957"/>
    <mergeCell ref="M9957:N9957"/>
    <mergeCell ref="I9957:J9957"/>
    <mergeCell ref="I9958:J9958"/>
    <mergeCell ref="K9958:L9958"/>
    <mergeCell ref="M9958:N9958"/>
    <mergeCell ref="A9955:N9955"/>
    <mergeCell ref="A9956:G9956"/>
    <mergeCell ref="I9956:J9956"/>
    <mergeCell ref="K9956:L9956"/>
    <mergeCell ref="M9956:N9956"/>
    <mergeCell ref="A9957:G9957"/>
    <mergeCell ref="A9958:G9958"/>
    <mergeCell ref="M9960:N9960"/>
    <mergeCell ref="A9960:G9960"/>
    <mergeCell ref="A9961:G9961"/>
    <mergeCell ref="I9961:J9961"/>
    <mergeCell ref="K9961:L9961"/>
    <mergeCell ref="M9961:N9961"/>
    <mergeCell ref="A9983:G9983"/>
    <mergeCell ref="I9983:J9983"/>
    <mergeCell ref="K9983:L9983"/>
    <mergeCell ref="M9983:N9983"/>
    <mergeCell ref="K9984:L9984"/>
    <mergeCell ref="M9984:N9984"/>
    <mergeCell ref="K9988:L9988"/>
    <mergeCell ref="M9988:N9988"/>
    <mergeCell ref="K9998:L9998"/>
    <mergeCell ref="M9998:N9998"/>
    <mergeCell ref="A9995:N9995"/>
    <mergeCell ref="A9996:G9996"/>
    <mergeCell ref="I9996:J9996"/>
    <mergeCell ref="K9996:L9996"/>
    <mergeCell ref="M9996:N9996"/>
    <mergeCell ref="A9997:G9997"/>
    <mergeCell ref="A9998:G9998"/>
    <mergeCell ref="A9897:G9897"/>
    <mergeCell ref="K9901:L9901"/>
    <mergeCell ref="M9901:N9901"/>
    <mergeCell ref="I9901:J9901"/>
    <mergeCell ref="I9902:J9902"/>
    <mergeCell ref="I9939:J9939"/>
    <mergeCell ref="K9939:L9939"/>
    <mergeCell ref="M9939:N9939"/>
    <mergeCell ref="K9940:L9940"/>
    <mergeCell ref="M9940:N9940"/>
    <mergeCell ref="K9944:L9944"/>
    <mergeCell ref="M9944:N9944"/>
    <mergeCell ref="I9940:J9940"/>
    <mergeCell ref="I9941:J9941"/>
    <mergeCell ref="K9941:L9941"/>
    <mergeCell ref="M9941:N9941"/>
    <mergeCell ref="I9942:J9942"/>
    <mergeCell ref="K9942:L9942"/>
    <mergeCell ref="I9920:J9920"/>
    <mergeCell ref="K9920:L9920"/>
    <mergeCell ref="M9920:N9920"/>
    <mergeCell ref="I9950:J9950"/>
    <mergeCell ref="K9950:L9950"/>
    <mergeCell ref="M9950:N9950"/>
    <mergeCell ref="M9951:N9951"/>
    <mergeCell ref="A9939:G9939"/>
    <mergeCell ref="A9940:G9940"/>
    <mergeCell ref="A9941:G9941"/>
    <mergeCell ref="A9942:G9942"/>
    <mergeCell ref="A9943:G9943"/>
    <mergeCell ref="A9951:G9951"/>
    <mergeCell ref="A9923:N9923"/>
    <mergeCell ref="A9924:G9924"/>
    <mergeCell ref="I9924:J9924"/>
    <mergeCell ref="K9947:L9947"/>
    <mergeCell ref="M9947:N9947"/>
    <mergeCell ref="A9947:G9947"/>
    <mergeCell ref="A9948:G9948"/>
    <mergeCell ref="I9948:J9948"/>
    <mergeCell ref="K9948:L9948"/>
    <mergeCell ref="M9942:N9942"/>
    <mergeCell ref="I10000:J10000"/>
    <mergeCell ref="K10000:L10000"/>
    <mergeCell ref="I9997:J9997"/>
    <mergeCell ref="I9998:J9998"/>
    <mergeCell ref="A9999:G9999"/>
    <mergeCell ref="I9999:J9999"/>
    <mergeCell ref="K9999:L9999"/>
    <mergeCell ref="M9999:N9999"/>
    <mergeCell ref="M10000:N10000"/>
    <mergeCell ref="I9988:J9988"/>
    <mergeCell ref="I9989:J9989"/>
    <mergeCell ref="K9989:L9989"/>
    <mergeCell ref="M9989:N9989"/>
    <mergeCell ref="A9986:N9986"/>
    <mergeCell ref="A9987:G9987"/>
    <mergeCell ref="I9987:J9987"/>
    <mergeCell ref="K9987:L9987"/>
    <mergeCell ref="M9987:N9987"/>
    <mergeCell ref="A9988:G9988"/>
    <mergeCell ref="A9989:G9989"/>
    <mergeCell ref="A9990:G9990"/>
    <mergeCell ref="I9990:J9990"/>
    <mergeCell ref="K9990:L9990"/>
    <mergeCell ref="M9990:N9990"/>
    <mergeCell ref="I9991:J9991"/>
    <mergeCell ref="K9991:L9991"/>
    <mergeCell ref="M9991:N9991"/>
    <mergeCell ref="A9991:G9991"/>
    <mergeCell ref="A9992:G9992"/>
    <mergeCell ref="M9970:N9970"/>
    <mergeCell ref="I9979:J9979"/>
    <mergeCell ref="I9980:J9980"/>
    <mergeCell ref="K9980:L9980"/>
    <mergeCell ref="M9980:N9980"/>
    <mergeCell ref="A9970:G9970"/>
    <mergeCell ref="A9973:N9974"/>
    <mergeCell ref="A9978:N9978"/>
    <mergeCell ref="A9979:G9979"/>
    <mergeCell ref="K9979:L9979"/>
    <mergeCell ref="M9979:N9979"/>
    <mergeCell ref="A9980:G9980"/>
    <mergeCell ref="K10019:L10019"/>
    <mergeCell ref="M10019:N10019"/>
    <mergeCell ref="I10019:J10019"/>
    <mergeCell ref="A10001:G10001"/>
    <mergeCell ref="I10001:J10001"/>
    <mergeCell ref="K10001:L10001"/>
    <mergeCell ref="M10001:N10001"/>
    <mergeCell ref="K10002:L10002"/>
    <mergeCell ref="M10002:N10002"/>
    <mergeCell ref="I10020:J10020"/>
    <mergeCell ref="K10020:L10020"/>
    <mergeCell ref="M10020:N10020"/>
    <mergeCell ref="M10010:N10010"/>
    <mergeCell ref="K10011:L10011"/>
    <mergeCell ref="M10011:N10011"/>
    <mergeCell ref="A10013:N10014"/>
    <mergeCell ref="A10018:N10018"/>
    <mergeCell ref="A10019:G10019"/>
    <mergeCell ref="A10020:G10020"/>
    <mergeCell ref="A10026:G10026"/>
    <mergeCell ref="I10026:J10026"/>
    <mergeCell ref="K10026:L10026"/>
    <mergeCell ref="M10026:N10026"/>
    <mergeCell ref="I10027:J10027"/>
    <mergeCell ref="K10027:L10027"/>
    <mergeCell ref="M10027:N10027"/>
    <mergeCell ref="K10030:L10030"/>
    <mergeCell ref="M10030:N10030"/>
    <mergeCell ref="A10027:G10027"/>
    <mergeCell ref="A10028:G10028"/>
    <mergeCell ref="I10028:J10028"/>
    <mergeCell ref="K10028:L10028"/>
    <mergeCell ref="M10028:N10028"/>
    <mergeCell ref="A10029:G10029"/>
    <mergeCell ref="A10030:G10030"/>
    <mergeCell ref="A10007:G10007"/>
    <mergeCell ref="A10008:G10008"/>
    <mergeCell ref="A10009:G10009"/>
    <mergeCell ref="A10010:G10010"/>
    <mergeCell ref="A10004:N10004"/>
    <mergeCell ref="A10005:G10005"/>
    <mergeCell ref="I10005:J10005"/>
    <mergeCell ref="M10005:N10005"/>
    <mergeCell ref="A10006:G10006"/>
    <mergeCell ref="M10006:N10006"/>
    <mergeCell ref="M10007:N10007"/>
    <mergeCell ref="I10006:J10006"/>
    <mergeCell ref="I10007:J10007"/>
    <mergeCell ref="I10008:J10008"/>
    <mergeCell ref="M10008:N10008"/>
    <mergeCell ref="I10009:J10009"/>
    <mergeCell ref="M10009:N10009"/>
    <mergeCell ref="I10010:J10010"/>
    <mergeCell ref="I10032:J10032"/>
    <mergeCell ref="K10032:L10032"/>
    <mergeCell ref="I10029:J10029"/>
    <mergeCell ref="I10030:J10030"/>
    <mergeCell ref="A10031:G10031"/>
    <mergeCell ref="I10031:J10031"/>
    <mergeCell ref="K10031:L10031"/>
    <mergeCell ref="M10031:N10031"/>
    <mergeCell ref="M10032:N10032"/>
    <mergeCell ref="K10034:L10034"/>
    <mergeCell ref="M10034:N10034"/>
    <mergeCell ref="K10035:L10035"/>
    <mergeCell ref="M10035:N10035"/>
    <mergeCell ref="A10032:G10032"/>
    <mergeCell ref="A10033:G10033"/>
    <mergeCell ref="I10033:J10033"/>
    <mergeCell ref="K10033:L10033"/>
    <mergeCell ref="M10033:N10033"/>
    <mergeCell ref="A10034:G10034"/>
    <mergeCell ref="I10034:J10034"/>
    <mergeCell ref="A10021:G10021"/>
    <mergeCell ref="I10021:J10021"/>
    <mergeCell ref="K10021:L10021"/>
    <mergeCell ref="M10021:N10021"/>
    <mergeCell ref="I10022:J10022"/>
    <mergeCell ref="K10022:L10022"/>
    <mergeCell ref="M10022:N10022"/>
    <mergeCell ref="K10024:L10024"/>
    <mergeCell ref="M10024:N10024"/>
    <mergeCell ref="I10024:J10024"/>
    <mergeCell ref="I10025:J10025"/>
    <mergeCell ref="K10025:L10025"/>
    <mergeCell ref="M10025:N10025"/>
    <mergeCell ref="A10022:G10022"/>
    <mergeCell ref="A10023:G10023"/>
    <mergeCell ref="I10023:J10023"/>
    <mergeCell ref="K10023:L10023"/>
    <mergeCell ref="M10023:N10023"/>
    <mergeCell ref="A10024:G10024"/>
    <mergeCell ref="A10025:G10025"/>
    <mergeCell ref="K10029:L10029"/>
    <mergeCell ref="M10029:N10029"/>
    <mergeCell ref="K10039:L10039"/>
    <mergeCell ref="M10039:N10039"/>
    <mergeCell ref="K10049:L10049"/>
    <mergeCell ref="M10049:N10049"/>
    <mergeCell ref="A10046:N10046"/>
    <mergeCell ref="A10047:G10047"/>
    <mergeCell ref="I10047:J10047"/>
    <mergeCell ref="K10047:L10047"/>
    <mergeCell ref="M10047:N10047"/>
    <mergeCell ref="A10048:G10048"/>
    <mergeCell ref="A10049:G10049"/>
    <mergeCell ref="I10051:J10051"/>
    <mergeCell ref="K10051:L10051"/>
    <mergeCell ref="I10048:J10048"/>
    <mergeCell ref="I10049:J10049"/>
    <mergeCell ref="A10050:G10050"/>
    <mergeCell ref="I10050:J10050"/>
    <mergeCell ref="K10050:L10050"/>
    <mergeCell ref="M10050:N10050"/>
    <mergeCell ref="M10051:N10051"/>
    <mergeCell ref="I10039:J10039"/>
    <mergeCell ref="I10040:J10040"/>
    <mergeCell ref="K10040:L10040"/>
    <mergeCell ref="M10040:N10040"/>
    <mergeCell ref="A10037:N10037"/>
    <mergeCell ref="A10038:G10038"/>
    <mergeCell ref="I10038:J10038"/>
    <mergeCell ref="K10038:L10038"/>
    <mergeCell ref="M10038:N10038"/>
    <mergeCell ref="A10039:G10039"/>
    <mergeCell ref="A10040:G10040"/>
    <mergeCell ref="A10041:G10041"/>
    <mergeCell ref="I10041:J10041"/>
    <mergeCell ref="K10041:L10041"/>
    <mergeCell ref="M10041:N10041"/>
    <mergeCell ref="I10042:J10042"/>
    <mergeCell ref="K10042:L10042"/>
    <mergeCell ref="M10042:N10042"/>
    <mergeCell ref="A10042:G10042"/>
    <mergeCell ref="A10043:G10043"/>
    <mergeCell ref="I10043:J10043"/>
    <mergeCell ref="K10043:L10043"/>
    <mergeCell ref="M10043:N10043"/>
    <mergeCell ref="K10044:L10044"/>
    <mergeCell ref="M10044:N10044"/>
    <mergeCell ref="K10048:L10048"/>
    <mergeCell ref="M10048:N10048"/>
    <mergeCell ref="A10051:G10051"/>
    <mergeCell ref="A10052:G10052"/>
    <mergeCell ref="I10052:J10052"/>
    <mergeCell ref="K10052:L10052"/>
    <mergeCell ref="M10052:N10052"/>
    <mergeCell ref="K10053:L10053"/>
    <mergeCell ref="M10053:N10053"/>
    <mergeCell ref="I10088:J10088"/>
    <mergeCell ref="I10089:J10089"/>
    <mergeCell ref="K10089:L10089"/>
    <mergeCell ref="M10089:N10089"/>
    <mergeCell ref="A10086:N10086"/>
    <mergeCell ref="A10087:G10087"/>
    <mergeCell ref="I10087:J10087"/>
    <mergeCell ref="K10087:L10087"/>
    <mergeCell ref="M10087:N10087"/>
    <mergeCell ref="A10088:G10088"/>
    <mergeCell ref="A10089:G10089"/>
    <mergeCell ref="A10090:G10090"/>
    <mergeCell ref="I10090:J10090"/>
    <mergeCell ref="K10090:L10090"/>
    <mergeCell ref="M10090:N10090"/>
    <mergeCell ref="I10091:J10091"/>
    <mergeCell ref="K10091:L10091"/>
    <mergeCell ref="M10091:N10091"/>
    <mergeCell ref="A10091:G10091"/>
    <mergeCell ref="A10092:G10092"/>
    <mergeCell ref="I10092:J10092"/>
    <mergeCell ref="K10092:L10092"/>
    <mergeCell ref="M10092:N10092"/>
    <mergeCell ref="K10093:L10093"/>
    <mergeCell ref="M10093:N10093"/>
    <mergeCell ref="A10110:G10110"/>
    <mergeCell ref="A10111:G10111"/>
    <mergeCell ref="A10074:G10074"/>
    <mergeCell ref="I10074:J10074"/>
    <mergeCell ref="K10074:L10074"/>
    <mergeCell ref="M10074:N10074"/>
    <mergeCell ref="K10075:L10075"/>
    <mergeCell ref="M10075:N10075"/>
    <mergeCell ref="K10079:L10079"/>
    <mergeCell ref="M10079:N10079"/>
    <mergeCell ref="I10079:J10079"/>
    <mergeCell ref="I10080:J10080"/>
    <mergeCell ref="K10080:L10080"/>
    <mergeCell ref="M10080:N10080"/>
    <mergeCell ref="A10077:N10077"/>
    <mergeCell ref="A10078:G10078"/>
    <mergeCell ref="I10078:J10078"/>
    <mergeCell ref="K10078:L10078"/>
    <mergeCell ref="M10078:N10078"/>
    <mergeCell ref="A10079:G10079"/>
    <mergeCell ref="A10080:G10080"/>
    <mergeCell ref="K10088:L10088"/>
    <mergeCell ref="M10088:N10088"/>
    <mergeCell ref="M10101:N10101"/>
    <mergeCell ref="K10102:L10102"/>
    <mergeCell ref="M10102:N10102"/>
    <mergeCell ref="I10097:J10097"/>
    <mergeCell ref="I10098:J10098"/>
    <mergeCell ref="I10099:J10099"/>
    <mergeCell ref="M10099:N10099"/>
    <mergeCell ref="I10100:J10100"/>
    <mergeCell ref="M10100:N10100"/>
    <mergeCell ref="I10101:J10101"/>
    <mergeCell ref="I10082:J10082"/>
    <mergeCell ref="K10082:L10082"/>
    <mergeCell ref="M10082:N10082"/>
    <mergeCell ref="A10082:G10082"/>
    <mergeCell ref="A10083:G10083"/>
    <mergeCell ref="I10083:J10083"/>
    <mergeCell ref="K10083:L10083"/>
    <mergeCell ref="M10083:N10083"/>
    <mergeCell ref="K10084:L10084"/>
    <mergeCell ref="M10084:N10084"/>
    <mergeCell ref="A10072:G10072"/>
    <mergeCell ref="I10072:J10072"/>
    <mergeCell ref="K10072:L10072"/>
    <mergeCell ref="M10072:N10072"/>
    <mergeCell ref="I10073:J10073"/>
    <mergeCell ref="K10073:L10073"/>
    <mergeCell ref="M10073:N10073"/>
    <mergeCell ref="A10073:G10073"/>
    <mergeCell ref="A10112:G10112"/>
    <mergeCell ref="A10113:G10113"/>
    <mergeCell ref="A10114:G10114"/>
    <mergeCell ref="A10115:G10115"/>
    <mergeCell ref="A10116:G10116"/>
    <mergeCell ref="I10115:J10115"/>
    <mergeCell ref="K10115:L10115"/>
    <mergeCell ref="M10115:N10115"/>
    <mergeCell ref="I10116:J10116"/>
    <mergeCell ref="K10116:L10116"/>
    <mergeCell ref="M10116:N10116"/>
    <mergeCell ref="K10117:L10117"/>
    <mergeCell ref="A10121:G10121"/>
    <mergeCell ref="A10122:G10122"/>
    <mergeCell ref="A10123:G10123"/>
    <mergeCell ref="M10117:N10117"/>
    <mergeCell ref="A10119:N10119"/>
    <mergeCell ref="A10120:G10120"/>
    <mergeCell ref="I10120:J10120"/>
    <mergeCell ref="K10120:L10120"/>
    <mergeCell ref="M10120:N10120"/>
    <mergeCell ref="M10121:N10121"/>
    <mergeCell ref="I10121:J10121"/>
    <mergeCell ref="K10121:L10121"/>
    <mergeCell ref="I10122:J10122"/>
    <mergeCell ref="K10122:L10122"/>
    <mergeCell ref="M10122:N10122"/>
    <mergeCell ref="K10123:L10123"/>
    <mergeCell ref="M10123:N10123"/>
    <mergeCell ref="I10123:J10123"/>
    <mergeCell ref="A10095:N10095"/>
    <mergeCell ref="A10096:G10096"/>
    <mergeCell ref="I10096:J10096"/>
    <mergeCell ref="M10096:N10096"/>
    <mergeCell ref="A10097:G10097"/>
    <mergeCell ref="M10097:N10097"/>
    <mergeCell ref="M10098:N10098"/>
    <mergeCell ref="A10098:G10098"/>
    <mergeCell ref="A10099:G10099"/>
    <mergeCell ref="A10100:G10100"/>
    <mergeCell ref="A10101:G10101"/>
    <mergeCell ref="A10104:N10105"/>
    <mergeCell ref="A10109:N10109"/>
    <mergeCell ref="M10110:N10110"/>
    <mergeCell ref="I10110:J10110"/>
    <mergeCell ref="K10110:L10110"/>
    <mergeCell ref="A10058:G10058"/>
    <mergeCell ref="A10059:G10059"/>
    <mergeCell ref="A10060:G10060"/>
    <mergeCell ref="A10061:G10061"/>
    <mergeCell ref="A10055:N10055"/>
    <mergeCell ref="A10056:G10056"/>
    <mergeCell ref="I10056:J10056"/>
    <mergeCell ref="M10056:N10056"/>
    <mergeCell ref="A10057:G10057"/>
    <mergeCell ref="M10057:N10057"/>
    <mergeCell ref="M10058:N10058"/>
    <mergeCell ref="I10057:J10057"/>
    <mergeCell ref="I10058:J10058"/>
    <mergeCell ref="I10059:J10059"/>
    <mergeCell ref="M10059:N10059"/>
    <mergeCell ref="I10060:J10060"/>
    <mergeCell ref="M10060:N10060"/>
    <mergeCell ref="I10061:J10061"/>
    <mergeCell ref="K10070:L10070"/>
    <mergeCell ref="M10070:N10070"/>
    <mergeCell ref="I10070:J10070"/>
    <mergeCell ref="I10071:J10071"/>
    <mergeCell ref="K10071:L10071"/>
    <mergeCell ref="M10071:N10071"/>
    <mergeCell ref="M10061:N10061"/>
    <mergeCell ref="K10062:L10062"/>
    <mergeCell ref="M10062:N10062"/>
    <mergeCell ref="A10064:N10065"/>
    <mergeCell ref="A10069:N10069"/>
    <mergeCell ref="A10070:G10070"/>
    <mergeCell ref="A10071:G10071"/>
    <mergeCell ref="A10081:G10081"/>
    <mergeCell ref="I10081:J10081"/>
    <mergeCell ref="K10081:L10081"/>
    <mergeCell ref="M10081:N10081"/>
    <mergeCell ref="I10111:J10111"/>
    <mergeCell ref="K10111:L10111"/>
    <mergeCell ref="M10111:N10111"/>
    <mergeCell ref="K10112:L10112"/>
    <mergeCell ref="M10112:N10112"/>
    <mergeCell ref="I10112:J10112"/>
    <mergeCell ref="I10113:J10113"/>
    <mergeCell ref="K10113:L10113"/>
    <mergeCell ref="M10113:N10113"/>
    <mergeCell ref="I10114:J10114"/>
    <mergeCell ref="K10114:L10114"/>
    <mergeCell ref="M10114:N10114"/>
    <mergeCell ref="A10154:G10154"/>
    <mergeCell ref="I10154:J10154"/>
    <mergeCell ref="K10154:L10154"/>
    <mergeCell ref="M10154:N10154"/>
    <mergeCell ref="I10155:J10155"/>
    <mergeCell ref="K10155:L10155"/>
    <mergeCell ref="M10155:N10155"/>
    <mergeCell ref="A10155:G10155"/>
    <mergeCell ref="I10129:J10129"/>
    <mergeCell ref="I10130:J10130"/>
    <mergeCell ref="K10130:L10130"/>
    <mergeCell ref="M10130:N10130"/>
    <mergeCell ref="K10126:L10126"/>
    <mergeCell ref="M10126:N10126"/>
    <mergeCell ref="A10128:N10128"/>
    <mergeCell ref="A10129:G10129"/>
    <mergeCell ref="K10129:L10129"/>
    <mergeCell ref="M10129:N10129"/>
    <mergeCell ref="A10130:G10130"/>
    <mergeCell ref="A10124:G10124"/>
    <mergeCell ref="A10125:G10125"/>
    <mergeCell ref="I10124:J10124"/>
    <mergeCell ref="K10124:L10124"/>
    <mergeCell ref="M10124:N10124"/>
    <mergeCell ref="I10125:J10125"/>
    <mergeCell ref="K10125:L10125"/>
    <mergeCell ref="M10125:N10125"/>
    <mergeCell ref="A10156:G10156"/>
    <mergeCell ref="I10156:J10156"/>
    <mergeCell ref="K10156:L10156"/>
    <mergeCell ref="M10156:N10156"/>
    <mergeCell ref="A10157:G10157"/>
    <mergeCell ref="A10158:G10158"/>
    <mergeCell ref="A10131:G10131"/>
    <mergeCell ref="I10131:J10131"/>
    <mergeCell ref="K10131:L10131"/>
    <mergeCell ref="M10131:N10131"/>
    <mergeCell ref="I10132:J10132"/>
    <mergeCell ref="K10132:L10132"/>
    <mergeCell ref="M10132:N10132"/>
    <mergeCell ref="K10134:L10134"/>
    <mergeCell ref="M10134:N10134"/>
    <mergeCell ref="K10135:L10135"/>
    <mergeCell ref="M10135:N10135"/>
    <mergeCell ref="A10132:G10132"/>
    <mergeCell ref="A10133:G10133"/>
    <mergeCell ref="I10133:J10133"/>
    <mergeCell ref="K10133:L10133"/>
    <mergeCell ref="M10133:N10133"/>
    <mergeCell ref="A10134:G10134"/>
    <mergeCell ref="I10134:J10134"/>
    <mergeCell ref="A10140:G10140"/>
    <mergeCell ref="A10141:G10141"/>
    <mergeCell ref="A10142:G10142"/>
    <mergeCell ref="A10143:G10143"/>
    <mergeCell ref="A10137:N10137"/>
    <mergeCell ref="A10138:G10138"/>
    <mergeCell ref="I10138:J10138"/>
    <mergeCell ref="M10138:N10138"/>
    <mergeCell ref="A10139:G10139"/>
    <mergeCell ref="M10139:N10139"/>
    <mergeCell ref="M10140:N10140"/>
    <mergeCell ref="I10139:J10139"/>
    <mergeCell ref="I10140:J10140"/>
    <mergeCell ref="I10141:J10141"/>
    <mergeCell ref="M10141:N10141"/>
    <mergeCell ref="I10142:J10142"/>
    <mergeCell ref="M10142:N10142"/>
    <mergeCell ref="I10143:J10143"/>
    <mergeCell ref="K10152:L10152"/>
    <mergeCell ref="M10152:N10152"/>
    <mergeCell ref="I10152:J10152"/>
    <mergeCell ref="I10153:J10153"/>
    <mergeCell ref="K10153:L10153"/>
    <mergeCell ref="M10153:N10153"/>
    <mergeCell ref="M10143:N10143"/>
    <mergeCell ref="K10144:L10144"/>
    <mergeCell ref="M10144:N10144"/>
    <mergeCell ref="A10146:N10147"/>
    <mergeCell ref="A10151:N10151"/>
    <mergeCell ref="A10152:G10152"/>
    <mergeCell ref="A10153:G10153"/>
    <mergeCell ref="K10157:L10157"/>
    <mergeCell ref="M10157:N10157"/>
    <mergeCell ref="I10157:J10157"/>
    <mergeCell ref="I10158:J10158"/>
    <mergeCell ref="K10158:L10158"/>
    <mergeCell ref="M10158:N10158"/>
    <mergeCell ref="A10159:G10159"/>
    <mergeCell ref="I10159:J10159"/>
    <mergeCell ref="K10159:L10159"/>
    <mergeCell ref="M10159:N10159"/>
    <mergeCell ref="I10160:J10160"/>
    <mergeCell ref="K10160:L10160"/>
    <mergeCell ref="M10160:N10160"/>
    <mergeCell ref="A10160:G10160"/>
    <mergeCell ref="A10163:N10163"/>
    <mergeCell ref="A10164:G10164"/>
    <mergeCell ref="I10164:J10164"/>
    <mergeCell ref="K10164:L10164"/>
    <mergeCell ref="M10164:N10164"/>
    <mergeCell ref="A10165:G10165"/>
    <mergeCell ref="M10165:N10165"/>
    <mergeCell ref="I10167:J10167"/>
    <mergeCell ref="K10167:L10167"/>
    <mergeCell ref="I10165:J10165"/>
    <mergeCell ref="K10165:L10165"/>
    <mergeCell ref="A10166:G10166"/>
    <mergeCell ref="I10166:J10166"/>
    <mergeCell ref="K10166:L10166"/>
    <mergeCell ref="M10166:N10166"/>
    <mergeCell ref="M10167:N10167"/>
    <mergeCell ref="K10169:L10169"/>
    <mergeCell ref="M10169:N10169"/>
    <mergeCell ref="K10170:L10170"/>
    <mergeCell ref="M10170:N10170"/>
    <mergeCell ref="A10167:G10167"/>
    <mergeCell ref="A10168:G10168"/>
    <mergeCell ref="I10168:J10168"/>
    <mergeCell ref="K10168:L10168"/>
    <mergeCell ref="M10168:N10168"/>
    <mergeCell ref="A10169:G10169"/>
    <mergeCell ref="I10169:J10169"/>
    <mergeCell ref="K10161:L10161"/>
    <mergeCell ref="M10161:N10161"/>
    <mergeCell ref="M10206:N10206"/>
    <mergeCell ref="A10208:N10208"/>
    <mergeCell ref="A10209:G10209"/>
    <mergeCell ref="I10209:J10209"/>
    <mergeCell ref="K10209:L10209"/>
    <mergeCell ref="M10209:N10209"/>
    <mergeCell ref="M10210:N10210"/>
    <mergeCell ref="K10174:L10174"/>
    <mergeCell ref="M10174:N10174"/>
    <mergeCell ref="M10187:N10187"/>
    <mergeCell ref="K10188:L10188"/>
    <mergeCell ref="M10188:N10188"/>
    <mergeCell ref="I10183:J10183"/>
    <mergeCell ref="I10184:J10184"/>
    <mergeCell ref="I10185:J10185"/>
    <mergeCell ref="M10185:N10185"/>
    <mergeCell ref="I10186:J10186"/>
    <mergeCell ref="M10186:N10186"/>
    <mergeCell ref="I10187:J10187"/>
    <mergeCell ref="I10196:J10196"/>
    <mergeCell ref="K10196:L10196"/>
    <mergeCell ref="I10197:J10197"/>
    <mergeCell ref="K10197:L10197"/>
    <mergeCell ref="M10197:N10197"/>
    <mergeCell ref="K10198:L10198"/>
    <mergeCell ref="M10198:N10198"/>
    <mergeCell ref="I10198:J10198"/>
    <mergeCell ref="I10199:J10199"/>
    <mergeCell ref="K10199:L10199"/>
    <mergeCell ref="M10199:N10199"/>
    <mergeCell ref="I10200:J10200"/>
    <mergeCell ref="K10200:L10200"/>
    <mergeCell ref="M10200:N10200"/>
    <mergeCell ref="A10181:N10181"/>
    <mergeCell ref="A10182:G10182"/>
    <mergeCell ref="I10182:J10182"/>
    <mergeCell ref="M10182:N10182"/>
    <mergeCell ref="A10183:G10183"/>
    <mergeCell ref="M10183:N10183"/>
    <mergeCell ref="M10184:N10184"/>
    <mergeCell ref="A10184:G10184"/>
    <mergeCell ref="A10185:G10185"/>
    <mergeCell ref="A10186:G10186"/>
    <mergeCell ref="A10187:G10187"/>
    <mergeCell ref="A10190:N10191"/>
    <mergeCell ref="A10195:N10195"/>
    <mergeCell ref="M10196:N10196"/>
    <mergeCell ref="I10174:J10174"/>
    <mergeCell ref="I10175:J10175"/>
    <mergeCell ref="K10175:L10175"/>
    <mergeCell ref="M10175:N10175"/>
    <mergeCell ref="A10172:N10172"/>
    <mergeCell ref="A10173:G10173"/>
    <mergeCell ref="I10173:J10173"/>
    <mergeCell ref="K10173:L10173"/>
    <mergeCell ref="M10173:N10173"/>
    <mergeCell ref="A10174:G10174"/>
    <mergeCell ref="A10175:G10175"/>
    <mergeCell ref="A10176:G10176"/>
    <mergeCell ref="I10176:J10176"/>
    <mergeCell ref="K10176:L10176"/>
    <mergeCell ref="M10176:N10176"/>
    <mergeCell ref="I10177:J10177"/>
    <mergeCell ref="K10177:L10177"/>
    <mergeCell ref="M10177:N10177"/>
    <mergeCell ref="A10177:G10177"/>
    <mergeCell ref="A10178:G10178"/>
    <mergeCell ref="I10178:J10178"/>
    <mergeCell ref="K10178:L10178"/>
    <mergeCell ref="M10178:N10178"/>
    <mergeCell ref="K10179:L10179"/>
    <mergeCell ref="M10179:N10179"/>
    <mergeCell ref="K10203:L10203"/>
    <mergeCell ref="M10203:N10203"/>
    <mergeCell ref="K10212:L10212"/>
    <mergeCell ref="M10212:N10212"/>
    <mergeCell ref="I10212:J10212"/>
    <mergeCell ref="I10213:J10213"/>
    <mergeCell ref="K10213:L10213"/>
    <mergeCell ref="M10213:N10213"/>
    <mergeCell ref="K10215:L10215"/>
    <mergeCell ref="M10215:N10215"/>
    <mergeCell ref="A10210:G10210"/>
    <mergeCell ref="A10211:G10211"/>
    <mergeCell ref="I10211:J10211"/>
    <mergeCell ref="K10211:L10211"/>
    <mergeCell ref="M10211:N10211"/>
    <mergeCell ref="A10212:G10212"/>
    <mergeCell ref="A10213:G10213"/>
    <mergeCell ref="A10203:G10203"/>
    <mergeCell ref="A10204:G10204"/>
    <mergeCell ref="A10205:G10205"/>
    <mergeCell ref="A10196:G10196"/>
    <mergeCell ref="A10197:G10197"/>
    <mergeCell ref="A10198:G10198"/>
    <mergeCell ref="A10199:G10199"/>
    <mergeCell ref="A10200:G10200"/>
    <mergeCell ref="A10201:G10201"/>
    <mergeCell ref="A10202:G10202"/>
    <mergeCell ref="I10201:J10201"/>
    <mergeCell ref="K10201:L10201"/>
    <mergeCell ref="M10201:N10201"/>
    <mergeCell ref="I10202:J10202"/>
    <mergeCell ref="K10202:L10202"/>
    <mergeCell ref="M10202:N10202"/>
    <mergeCell ref="I10203:J10203"/>
    <mergeCell ref="I10204:J10204"/>
    <mergeCell ref="K10204:L10204"/>
    <mergeCell ref="M10204:N10204"/>
    <mergeCell ref="I10205:J10205"/>
    <mergeCell ref="K10205:L10205"/>
    <mergeCell ref="M10205:N10205"/>
    <mergeCell ref="K10206:L10206"/>
    <mergeCell ref="I10210:J10210"/>
    <mergeCell ref="K10210:L10210"/>
    <mergeCell ref="K10218:L10218"/>
    <mergeCell ref="M10218:N10218"/>
    <mergeCell ref="I10218:J10218"/>
    <mergeCell ref="I10219:J10219"/>
    <mergeCell ref="K10219:L10219"/>
    <mergeCell ref="M10219:N10219"/>
    <mergeCell ref="A10214:G10214"/>
    <mergeCell ref="I10214:J10214"/>
    <mergeCell ref="K10214:L10214"/>
    <mergeCell ref="M10214:N10214"/>
    <mergeCell ref="A10217:N10217"/>
    <mergeCell ref="A10218:G10218"/>
    <mergeCell ref="A10219:G10219"/>
    <mergeCell ref="A10243:G10243"/>
    <mergeCell ref="I10243:J10243"/>
    <mergeCell ref="K10243:L10243"/>
    <mergeCell ref="M10243:N10243"/>
    <mergeCell ref="I10244:J10244"/>
    <mergeCell ref="K10244:L10244"/>
    <mergeCell ref="M10244:N10244"/>
    <mergeCell ref="A10244:G10244"/>
    <mergeCell ref="A10245:G10245"/>
    <mergeCell ref="I10245:J10245"/>
    <mergeCell ref="K10245:L10245"/>
    <mergeCell ref="M10245:N10245"/>
    <mergeCell ref="A10246:G10246"/>
    <mergeCell ref="A10247:G10247"/>
    <mergeCell ref="A10427:G10427"/>
    <mergeCell ref="I10427:J10427"/>
    <mergeCell ref="K10427:L10427"/>
    <mergeCell ref="M10427:N10427"/>
    <mergeCell ref="I10428:J10428"/>
    <mergeCell ref="K10428:L10428"/>
    <mergeCell ref="M10428:N10428"/>
    <mergeCell ref="A10428:G10428"/>
    <mergeCell ref="K10256:L10256"/>
    <mergeCell ref="I10254:J10254"/>
    <mergeCell ref="K10254:L10254"/>
    <mergeCell ref="A10255:G10255"/>
    <mergeCell ref="I10255:J10255"/>
    <mergeCell ref="K10255:L10255"/>
    <mergeCell ref="M10255:N10255"/>
    <mergeCell ref="M10256:N10256"/>
    <mergeCell ref="K10258:L10258"/>
    <mergeCell ref="M10258:N10258"/>
    <mergeCell ref="K10259:L10259"/>
    <mergeCell ref="M10259:N10259"/>
    <mergeCell ref="A10256:G10256"/>
    <mergeCell ref="A10257:G10257"/>
    <mergeCell ref="I10257:J10257"/>
    <mergeCell ref="K10257:L10257"/>
    <mergeCell ref="M10257:N10257"/>
    <mergeCell ref="A10258:G10258"/>
    <mergeCell ref="I10258:J10258"/>
    <mergeCell ref="I10241:J10241"/>
    <mergeCell ref="I10242:J10242"/>
    <mergeCell ref="K10242:L10242"/>
    <mergeCell ref="M10242:N10242"/>
    <mergeCell ref="M10232:N10232"/>
    <mergeCell ref="K10233:L10233"/>
    <mergeCell ref="M10233:N10233"/>
    <mergeCell ref="A10235:N10236"/>
    <mergeCell ref="A10240:N10240"/>
    <mergeCell ref="A10241:G10241"/>
    <mergeCell ref="A10431:N10431"/>
    <mergeCell ref="A10432:G10432"/>
    <mergeCell ref="I10432:J10432"/>
    <mergeCell ref="K10432:L10432"/>
    <mergeCell ref="M10432:N10432"/>
    <mergeCell ref="A10433:G10433"/>
    <mergeCell ref="M10433:N10433"/>
    <mergeCell ref="I10435:J10435"/>
    <mergeCell ref="K10435:L10435"/>
    <mergeCell ref="I10433:J10433"/>
    <mergeCell ref="K10433:L10433"/>
    <mergeCell ref="A10434:G10434"/>
    <mergeCell ref="I10434:J10434"/>
    <mergeCell ref="K10434:L10434"/>
    <mergeCell ref="M10434:N10434"/>
    <mergeCell ref="M10435:N10435"/>
    <mergeCell ref="K10437:L10437"/>
    <mergeCell ref="M10437:N10437"/>
    <mergeCell ref="K10438:L10438"/>
    <mergeCell ref="M10438:N10438"/>
    <mergeCell ref="A10435:G10435"/>
    <mergeCell ref="A10436:G10436"/>
    <mergeCell ref="I10436:J10436"/>
    <mergeCell ref="K10436:L10436"/>
    <mergeCell ref="M10436:N10436"/>
    <mergeCell ref="A10437:G10437"/>
    <mergeCell ref="I10437:J10437"/>
    <mergeCell ref="I10420:J10420"/>
    <mergeCell ref="I10421:J10421"/>
    <mergeCell ref="K10421:L10421"/>
    <mergeCell ref="M10421:N10421"/>
    <mergeCell ref="A10418:G10418"/>
    <mergeCell ref="A10419:G10419"/>
    <mergeCell ref="I10419:J10419"/>
    <mergeCell ref="K10419:L10419"/>
    <mergeCell ref="M10419:N10419"/>
    <mergeCell ref="A10420:G10420"/>
    <mergeCell ref="A10421:G10421"/>
    <mergeCell ref="K10425:L10425"/>
    <mergeCell ref="M10425:N10425"/>
    <mergeCell ref="I10425:J10425"/>
    <mergeCell ref="I10426:J10426"/>
    <mergeCell ref="K10426:L10426"/>
    <mergeCell ref="M10426:N10426"/>
    <mergeCell ref="K10429:L10429"/>
    <mergeCell ref="M10429:N10429"/>
    <mergeCell ref="K10420:L10420"/>
    <mergeCell ref="M10420:N10420"/>
    <mergeCell ref="A10422:G10422"/>
    <mergeCell ref="I10422:J10422"/>
    <mergeCell ref="K10422:L10422"/>
    <mergeCell ref="M10422:N10422"/>
    <mergeCell ref="I10423:J10423"/>
    <mergeCell ref="K10423:L10423"/>
    <mergeCell ref="M10423:N10423"/>
    <mergeCell ref="A10423:G10423"/>
    <mergeCell ref="A10424:G10424"/>
    <mergeCell ref="I10424:J10424"/>
    <mergeCell ref="K10424:L10424"/>
    <mergeCell ref="M10424:N10424"/>
    <mergeCell ref="A10425:G10425"/>
    <mergeCell ref="A10426:G10426"/>
    <mergeCell ref="I10418:J10418"/>
    <mergeCell ref="K10418:L10418"/>
    <mergeCell ref="K10442:L10442"/>
    <mergeCell ref="M10442:N10442"/>
    <mergeCell ref="M10455:N10455"/>
    <mergeCell ref="K10456:L10456"/>
    <mergeCell ref="M10456:N10456"/>
    <mergeCell ref="I10451:J10451"/>
    <mergeCell ref="I10452:J10452"/>
    <mergeCell ref="I10453:J10453"/>
    <mergeCell ref="M10453:N10453"/>
    <mergeCell ref="I10454:J10454"/>
    <mergeCell ref="M10454:N10454"/>
    <mergeCell ref="I10455:J10455"/>
    <mergeCell ref="I10464:J10464"/>
    <mergeCell ref="K10464:L10464"/>
    <mergeCell ref="I10465:J10465"/>
    <mergeCell ref="K10465:L10465"/>
    <mergeCell ref="M10465:N10465"/>
    <mergeCell ref="K10466:L10466"/>
    <mergeCell ref="M10466:N10466"/>
    <mergeCell ref="I10466:J10466"/>
    <mergeCell ref="I10467:J10467"/>
    <mergeCell ref="K10467:L10467"/>
    <mergeCell ref="M10467:N10467"/>
    <mergeCell ref="I10468:J10468"/>
    <mergeCell ref="K10468:L10468"/>
    <mergeCell ref="M10468:N10468"/>
    <mergeCell ref="K10474:L10474"/>
    <mergeCell ref="M10474:N10474"/>
    <mergeCell ref="I10475:J10475"/>
    <mergeCell ref="K10475:L10475"/>
    <mergeCell ref="M10475:N10475"/>
    <mergeCell ref="K10476:L10476"/>
    <mergeCell ref="M10476:N10476"/>
    <mergeCell ref="I10472:J10472"/>
    <mergeCell ref="K10472:L10472"/>
    <mergeCell ref="M10472:N10472"/>
    <mergeCell ref="I10473:J10473"/>
    <mergeCell ref="K10473:L10473"/>
    <mergeCell ref="M10473:N10473"/>
    <mergeCell ref="I10474:J10474"/>
    <mergeCell ref="A10449:N10449"/>
    <mergeCell ref="A10450:G10450"/>
    <mergeCell ref="I10450:J10450"/>
    <mergeCell ref="M10450:N10450"/>
    <mergeCell ref="A10451:G10451"/>
    <mergeCell ref="M10451:N10451"/>
    <mergeCell ref="M10452:N10452"/>
    <mergeCell ref="A10452:G10452"/>
    <mergeCell ref="A10453:G10453"/>
    <mergeCell ref="A10454:G10454"/>
    <mergeCell ref="A10455:G10455"/>
    <mergeCell ref="A10458:N10459"/>
    <mergeCell ref="A10463:N10463"/>
    <mergeCell ref="I10442:J10442"/>
    <mergeCell ref="I10443:J10443"/>
    <mergeCell ref="K10443:L10443"/>
    <mergeCell ref="M10443:N10443"/>
    <mergeCell ref="I10484:J10484"/>
    <mergeCell ref="K10484:L10484"/>
    <mergeCell ref="M10484:N10484"/>
    <mergeCell ref="M10464:N10464"/>
    <mergeCell ref="I10490:J10490"/>
    <mergeCell ref="I10491:J10491"/>
    <mergeCell ref="K10491:L10491"/>
    <mergeCell ref="M10491:N10491"/>
    <mergeCell ref="I10488:J10488"/>
    <mergeCell ref="K10488:L10488"/>
    <mergeCell ref="I10489:J10489"/>
    <mergeCell ref="K10489:L10489"/>
    <mergeCell ref="M10489:N10489"/>
    <mergeCell ref="K10490:L10490"/>
    <mergeCell ref="M10490:N10490"/>
    <mergeCell ref="A10488:G10488"/>
    <mergeCell ref="A10489:G10489"/>
    <mergeCell ref="A10490:G10490"/>
    <mergeCell ref="A10491:G10491"/>
    <mergeCell ref="I10492:J10492"/>
    <mergeCell ref="K10492:L10492"/>
    <mergeCell ref="M10492:N10492"/>
    <mergeCell ref="A10492:G10492"/>
    <mergeCell ref="A10493:G10493"/>
    <mergeCell ref="I10493:J10493"/>
    <mergeCell ref="K10493:L10493"/>
    <mergeCell ref="M10493:N10493"/>
    <mergeCell ref="K10494:L10494"/>
    <mergeCell ref="M10494:N10494"/>
    <mergeCell ref="K10526:L10526"/>
    <mergeCell ref="M10526:N10526"/>
    <mergeCell ref="K10527:L10527"/>
    <mergeCell ref="M10527:N10527"/>
    <mergeCell ref="A10524:G10524"/>
    <mergeCell ref="A10525:G10525"/>
    <mergeCell ref="I10525:J10525"/>
    <mergeCell ref="K10525:L10525"/>
    <mergeCell ref="M10525:N10525"/>
    <mergeCell ref="A10526:G10526"/>
    <mergeCell ref="I10526:J10526"/>
    <mergeCell ref="I10471:J10471"/>
    <mergeCell ref="M10498:N10498"/>
    <mergeCell ref="M10499:N10499"/>
    <mergeCell ref="K10482:L10482"/>
    <mergeCell ref="M10482:N10482"/>
    <mergeCell ref="I10483:J10483"/>
    <mergeCell ref="K10483:L10483"/>
    <mergeCell ref="M10483:N10483"/>
    <mergeCell ref="K10531:L10531"/>
    <mergeCell ref="M10531:N10531"/>
    <mergeCell ref="K10485:L10485"/>
    <mergeCell ref="M10485:N10485"/>
    <mergeCell ref="A10487:N10487"/>
    <mergeCell ref="M10488:N10488"/>
    <mergeCell ref="I10501:J10501"/>
    <mergeCell ref="I10502:J10502"/>
    <mergeCell ref="K10503:L10503"/>
    <mergeCell ref="M10503:N10503"/>
    <mergeCell ref="A10513:G10513"/>
    <mergeCell ref="I10513:J10513"/>
    <mergeCell ref="K10513:L10513"/>
    <mergeCell ref="M10513:N10513"/>
    <mergeCell ref="I10514:J10514"/>
    <mergeCell ref="K10514:L10514"/>
    <mergeCell ref="M10514:N10514"/>
    <mergeCell ref="A10514:G10514"/>
    <mergeCell ref="A10515:G10515"/>
    <mergeCell ref="I10515:J10515"/>
    <mergeCell ref="K10515:L10515"/>
    <mergeCell ref="M10515:N10515"/>
    <mergeCell ref="A10516:G10516"/>
    <mergeCell ref="A10517:G10517"/>
    <mergeCell ref="A10499:G10499"/>
    <mergeCell ref="A10500:G10500"/>
    <mergeCell ref="I10500:J10500"/>
    <mergeCell ref="M10500:N10500"/>
    <mergeCell ref="A10501:G10501"/>
    <mergeCell ref="M10501:N10501"/>
    <mergeCell ref="M10502:N10502"/>
    <mergeCell ref="I10511:J10511"/>
    <mergeCell ref="I10512:J10512"/>
    <mergeCell ref="K10512:L10512"/>
    <mergeCell ref="M10512:N10512"/>
    <mergeCell ref="A10502:G10502"/>
    <mergeCell ref="A10505:N10506"/>
    <mergeCell ref="A10510:N10510"/>
    <mergeCell ref="A10511:G10511"/>
    <mergeCell ref="K10511:L10511"/>
    <mergeCell ref="M10511:N10511"/>
    <mergeCell ref="A10512:G10512"/>
    <mergeCell ref="K10516:L10516"/>
    <mergeCell ref="M10516:N10516"/>
    <mergeCell ref="I10516:J10516"/>
    <mergeCell ref="I10517:J10517"/>
    <mergeCell ref="I10498:J10498"/>
    <mergeCell ref="I10499:J10499"/>
    <mergeCell ref="A10496:N10496"/>
    <mergeCell ref="A10497:G10497"/>
    <mergeCell ref="I10497:J10497"/>
    <mergeCell ref="M10497:N10497"/>
    <mergeCell ref="A10498:G10498"/>
    <mergeCell ref="K10241:L10241"/>
    <mergeCell ref="M10241:N10241"/>
    <mergeCell ref="A10248:G10248"/>
    <mergeCell ref="I10248:J10248"/>
    <mergeCell ref="K10248:L10248"/>
    <mergeCell ref="M10248:N10248"/>
    <mergeCell ref="I10249:J10249"/>
    <mergeCell ref="K10249:L10249"/>
    <mergeCell ref="M10249:N10249"/>
    <mergeCell ref="A10249:G10249"/>
    <mergeCell ref="A10252:N10252"/>
    <mergeCell ref="A10253:G10253"/>
    <mergeCell ref="I10253:J10253"/>
    <mergeCell ref="K10253:L10253"/>
    <mergeCell ref="M10253:N10253"/>
    <mergeCell ref="A10254:G10254"/>
    <mergeCell ref="M10254:N10254"/>
    <mergeCell ref="I10256:J10256"/>
    <mergeCell ref="K10521:L10521"/>
    <mergeCell ref="M10521:N10521"/>
    <mergeCell ref="I10521:J10521"/>
    <mergeCell ref="I10522:J10522"/>
    <mergeCell ref="K10522:L10522"/>
    <mergeCell ref="M10522:N10522"/>
    <mergeCell ref="K10517:L10517"/>
    <mergeCell ref="M10517:N10517"/>
    <mergeCell ref="K10518:L10518"/>
    <mergeCell ref="M10518:N10518"/>
    <mergeCell ref="A10520:N10520"/>
    <mergeCell ref="A10521:G10521"/>
    <mergeCell ref="A10522:G10522"/>
    <mergeCell ref="A10523:G10523"/>
    <mergeCell ref="I10523:J10523"/>
    <mergeCell ref="K10523:L10523"/>
    <mergeCell ref="M10523:N10523"/>
    <mergeCell ref="A10464:G10464"/>
    <mergeCell ref="A10465:G10465"/>
    <mergeCell ref="A10466:G10466"/>
    <mergeCell ref="A10467:G10467"/>
    <mergeCell ref="A10468:G10468"/>
    <mergeCell ref="A10469:G10469"/>
    <mergeCell ref="A10470:G10470"/>
    <mergeCell ref="A10479:G10479"/>
    <mergeCell ref="A10480:G10480"/>
    <mergeCell ref="A10481:G10481"/>
    <mergeCell ref="A10482:G10482"/>
    <mergeCell ref="A10483:G10483"/>
    <mergeCell ref="A10484:G10484"/>
    <mergeCell ref="A10471:G10471"/>
    <mergeCell ref="A10472:G10472"/>
    <mergeCell ref="A10473:G10473"/>
    <mergeCell ref="A10474:G10474"/>
    <mergeCell ref="A10475:G10475"/>
    <mergeCell ref="A10478:N10478"/>
    <mergeCell ref="M10479:N10479"/>
    <mergeCell ref="I10479:J10479"/>
    <mergeCell ref="K10479:L10479"/>
    <mergeCell ref="I10480:J10480"/>
    <mergeCell ref="K10480:L10480"/>
    <mergeCell ref="M10480:N10480"/>
    <mergeCell ref="K10481:L10481"/>
    <mergeCell ref="M10481:N10481"/>
    <mergeCell ref="I10481:J10481"/>
    <mergeCell ref="I10482:J10482"/>
    <mergeCell ref="A10220:G10220"/>
    <mergeCell ref="I10220:J10220"/>
    <mergeCell ref="K10220:L10220"/>
    <mergeCell ref="M10220:N10220"/>
    <mergeCell ref="I10221:J10221"/>
    <mergeCell ref="K10221:L10221"/>
    <mergeCell ref="M10221:N10221"/>
    <mergeCell ref="K10223:L10223"/>
    <mergeCell ref="M10223:N10223"/>
    <mergeCell ref="K10224:L10224"/>
    <mergeCell ref="M10224:N10224"/>
    <mergeCell ref="A10221:G10221"/>
    <mergeCell ref="A10222:G10222"/>
    <mergeCell ref="I10222:J10222"/>
    <mergeCell ref="K10222:L10222"/>
    <mergeCell ref="M10222:N10222"/>
    <mergeCell ref="A10223:G10223"/>
    <mergeCell ref="I10223:J10223"/>
    <mergeCell ref="A10229:G10229"/>
    <mergeCell ref="A10230:G10230"/>
    <mergeCell ref="A10231:G10231"/>
    <mergeCell ref="A10232:G10232"/>
    <mergeCell ref="A10226:N10226"/>
    <mergeCell ref="A10227:G10227"/>
    <mergeCell ref="I10227:J10227"/>
    <mergeCell ref="M10227:N10227"/>
    <mergeCell ref="A10228:G10228"/>
    <mergeCell ref="M10228:N10228"/>
    <mergeCell ref="M10229:N10229"/>
    <mergeCell ref="I10228:J10228"/>
    <mergeCell ref="I10229:J10229"/>
    <mergeCell ref="I10230:J10230"/>
    <mergeCell ref="M10230:N10230"/>
    <mergeCell ref="I10231:J10231"/>
    <mergeCell ref="M10231:N10231"/>
    <mergeCell ref="I10232:J10232"/>
    <mergeCell ref="A10242:G10242"/>
    <mergeCell ref="K10246:L10246"/>
    <mergeCell ref="M10246:N10246"/>
    <mergeCell ref="I10246:J10246"/>
    <mergeCell ref="I10247:J10247"/>
    <mergeCell ref="K10247:L10247"/>
    <mergeCell ref="M10247:N10247"/>
    <mergeCell ref="K10250:L10250"/>
    <mergeCell ref="M10250:N10250"/>
    <mergeCell ref="K10263:L10263"/>
    <mergeCell ref="M10263:N10263"/>
    <mergeCell ref="M10276:N10276"/>
    <mergeCell ref="K10277:L10277"/>
    <mergeCell ref="M10277:N10277"/>
    <mergeCell ref="I10272:J10272"/>
    <mergeCell ref="I10273:J10273"/>
    <mergeCell ref="I10274:J10274"/>
    <mergeCell ref="M10274:N10274"/>
    <mergeCell ref="I10275:J10275"/>
    <mergeCell ref="M10275:N10275"/>
    <mergeCell ref="I10276:J10276"/>
    <mergeCell ref="I10285:J10285"/>
    <mergeCell ref="K10285:L10285"/>
    <mergeCell ref="I10286:J10286"/>
    <mergeCell ref="K10286:L10286"/>
    <mergeCell ref="M10286:N10286"/>
    <mergeCell ref="K10287:L10287"/>
    <mergeCell ref="M10287:N10287"/>
    <mergeCell ref="I10287:J10287"/>
    <mergeCell ref="I10288:J10288"/>
    <mergeCell ref="K10288:L10288"/>
    <mergeCell ref="M10288:N10288"/>
    <mergeCell ref="I10289:J10289"/>
    <mergeCell ref="K10289:L10289"/>
    <mergeCell ref="M10289:N10289"/>
    <mergeCell ref="A10270:N10270"/>
    <mergeCell ref="A10271:G10271"/>
    <mergeCell ref="I10271:J10271"/>
    <mergeCell ref="M10271:N10271"/>
    <mergeCell ref="A10272:G10272"/>
    <mergeCell ref="M10272:N10272"/>
    <mergeCell ref="M10273:N10273"/>
    <mergeCell ref="A10273:G10273"/>
    <mergeCell ref="A10274:G10274"/>
    <mergeCell ref="A10275:G10275"/>
    <mergeCell ref="A10276:G10276"/>
    <mergeCell ref="A10279:N10280"/>
    <mergeCell ref="A10284:N10284"/>
    <mergeCell ref="M10285:N10285"/>
    <mergeCell ref="I10263:J10263"/>
    <mergeCell ref="I10264:J10264"/>
    <mergeCell ref="K10264:L10264"/>
    <mergeCell ref="M10264:N10264"/>
    <mergeCell ref="A10261:N10261"/>
    <mergeCell ref="A10262:G10262"/>
    <mergeCell ref="I10262:J10262"/>
    <mergeCell ref="K10262:L10262"/>
    <mergeCell ref="M10262:N10262"/>
    <mergeCell ref="A10263:G10263"/>
    <mergeCell ref="A10264:G10264"/>
    <mergeCell ref="A10265:G10265"/>
    <mergeCell ref="I10265:J10265"/>
    <mergeCell ref="K10265:L10265"/>
    <mergeCell ref="M10265:N10265"/>
    <mergeCell ref="I10266:J10266"/>
    <mergeCell ref="K10266:L10266"/>
    <mergeCell ref="M10266:N10266"/>
    <mergeCell ref="A10266:G10266"/>
    <mergeCell ref="A10267:G10267"/>
    <mergeCell ref="I10267:J10267"/>
    <mergeCell ref="K10267:L10267"/>
    <mergeCell ref="M10267:N10267"/>
    <mergeCell ref="K10268:L10268"/>
    <mergeCell ref="M10268:N10268"/>
    <mergeCell ref="K10292:L10292"/>
    <mergeCell ref="M10292:N10292"/>
    <mergeCell ref="I10290:J10290"/>
    <mergeCell ref="K10290:L10290"/>
    <mergeCell ref="M10290:N10290"/>
    <mergeCell ref="I10291:J10291"/>
    <mergeCell ref="K10291:L10291"/>
    <mergeCell ref="M10291:N10291"/>
    <mergeCell ref="I10292:J10292"/>
    <mergeCell ref="K10312:L10312"/>
    <mergeCell ref="M10312:N10312"/>
    <mergeCell ref="I10308:J10308"/>
    <mergeCell ref="I10309:J10309"/>
    <mergeCell ref="K10309:L10309"/>
    <mergeCell ref="M10309:N10309"/>
    <mergeCell ref="I10310:J10310"/>
    <mergeCell ref="K10310:L10310"/>
    <mergeCell ref="M10310:N10310"/>
    <mergeCell ref="I10315:J10315"/>
    <mergeCell ref="I10316:J10316"/>
    <mergeCell ref="I10311:J10311"/>
    <mergeCell ref="K10311:L10311"/>
    <mergeCell ref="M10311:N10311"/>
    <mergeCell ref="A10314:N10314"/>
    <mergeCell ref="A10315:G10315"/>
    <mergeCell ref="M10315:N10315"/>
    <mergeCell ref="M10316:N10316"/>
    <mergeCell ref="K10308:L10308"/>
    <mergeCell ref="M10308:N10308"/>
    <mergeCell ref="I10318:J10318"/>
    <mergeCell ref="I10319:J10319"/>
    <mergeCell ref="A10316:G10316"/>
    <mergeCell ref="A10317:G10317"/>
    <mergeCell ref="I10317:J10317"/>
    <mergeCell ref="M10317:N10317"/>
    <mergeCell ref="A10318:G10318"/>
    <mergeCell ref="M10318:N10318"/>
    <mergeCell ref="M10319:N10319"/>
    <mergeCell ref="A10319:G10319"/>
    <mergeCell ref="A10292:G10292"/>
    <mergeCell ref="A10293:G10293"/>
    <mergeCell ref="A10285:G10285"/>
    <mergeCell ref="A10286:G10286"/>
    <mergeCell ref="A10287:G10287"/>
    <mergeCell ref="A10288:G10288"/>
    <mergeCell ref="A10289:G10289"/>
    <mergeCell ref="A10290:G10290"/>
    <mergeCell ref="A10291:G10291"/>
    <mergeCell ref="A10297:G10297"/>
    <mergeCell ref="A10298:G10298"/>
    <mergeCell ref="A10299:G10299"/>
    <mergeCell ref="A10300:G10300"/>
    <mergeCell ref="A10301:G10301"/>
    <mergeCell ref="A10302:G10302"/>
    <mergeCell ref="I10293:J10293"/>
    <mergeCell ref="K10293:L10293"/>
    <mergeCell ref="M10293:N10293"/>
    <mergeCell ref="K10294:L10294"/>
    <mergeCell ref="M10294:N10294"/>
    <mergeCell ref="A10296:N10296"/>
    <mergeCell ref="M10297:N10297"/>
    <mergeCell ref="I10297:J10297"/>
    <mergeCell ref="K10297:L10297"/>
    <mergeCell ref="I10298:J10298"/>
    <mergeCell ref="K10298:L10298"/>
    <mergeCell ref="M10298:N10298"/>
    <mergeCell ref="K10299:L10299"/>
    <mergeCell ref="M10299:N10299"/>
    <mergeCell ref="I10299:J10299"/>
    <mergeCell ref="I10300:J10300"/>
    <mergeCell ref="K10300:L10300"/>
    <mergeCell ref="M10300:N10300"/>
    <mergeCell ref="I10301:J10301"/>
    <mergeCell ref="K10301:L10301"/>
    <mergeCell ref="M10301:N10301"/>
    <mergeCell ref="A10306:G10306"/>
    <mergeCell ref="A10307:G10307"/>
    <mergeCell ref="A10308:G10308"/>
    <mergeCell ref="A10309:G10309"/>
    <mergeCell ref="A10310:G10310"/>
    <mergeCell ref="A10311:G10311"/>
    <mergeCell ref="I10302:J10302"/>
    <mergeCell ref="K10302:L10302"/>
    <mergeCell ref="M10302:N10302"/>
    <mergeCell ref="K10303:L10303"/>
    <mergeCell ref="M10303:N10303"/>
    <mergeCell ref="A10305:N10305"/>
    <mergeCell ref="M10306:N10306"/>
    <mergeCell ref="I10306:J10306"/>
    <mergeCell ref="K10306:L10306"/>
    <mergeCell ref="I10307:J10307"/>
    <mergeCell ref="K10307:L10307"/>
    <mergeCell ref="M10307:N10307"/>
    <mergeCell ref="A10320:G10320"/>
    <mergeCell ref="I10320:J10320"/>
    <mergeCell ref="M10320:N10320"/>
    <mergeCell ref="K10321:L10321"/>
    <mergeCell ref="M10321:N10321"/>
    <mergeCell ref="A10323:N10324"/>
    <mergeCell ref="A10332:G10332"/>
    <mergeCell ref="I10332:J10332"/>
    <mergeCell ref="K10332:L10332"/>
    <mergeCell ref="M10332:N10332"/>
    <mergeCell ref="I10333:J10333"/>
    <mergeCell ref="K10333:L10333"/>
    <mergeCell ref="M10333:N10333"/>
    <mergeCell ref="A10333:G10333"/>
    <mergeCell ref="A10334:G10334"/>
    <mergeCell ref="I10334:J10334"/>
    <mergeCell ref="K10334:L10334"/>
    <mergeCell ref="M10334:N10334"/>
    <mergeCell ref="A10335:G10335"/>
    <mergeCell ref="A10336:G10336"/>
    <mergeCell ref="K10330:L10330"/>
    <mergeCell ref="M10330:N10330"/>
    <mergeCell ref="I10330:J10330"/>
    <mergeCell ref="I10331:J10331"/>
    <mergeCell ref="K10331:L10331"/>
    <mergeCell ref="M10331:N10331"/>
    <mergeCell ref="A10328:N10328"/>
    <mergeCell ref="A10329:G10329"/>
    <mergeCell ref="I10329:J10329"/>
    <mergeCell ref="K10329:L10329"/>
    <mergeCell ref="M10329:N10329"/>
    <mergeCell ref="A10330:G10330"/>
    <mergeCell ref="A10331:G10331"/>
    <mergeCell ref="K10335:L10335"/>
    <mergeCell ref="M10335:N10335"/>
    <mergeCell ref="I10335:J10335"/>
    <mergeCell ref="I10336:J10336"/>
    <mergeCell ref="K10338:L10338"/>
    <mergeCell ref="M10338:N10338"/>
    <mergeCell ref="K10336:L10336"/>
    <mergeCell ref="M10336:N10336"/>
    <mergeCell ref="A10337:G10337"/>
    <mergeCell ref="I10337:J10337"/>
    <mergeCell ref="K10337:L10337"/>
    <mergeCell ref="M10337:N10337"/>
    <mergeCell ref="A10340:N10340"/>
    <mergeCell ref="K10351:L10351"/>
    <mergeCell ref="M10351:N10351"/>
    <mergeCell ref="A10346:G10346"/>
    <mergeCell ref="I10346:J10346"/>
    <mergeCell ref="K10346:L10346"/>
    <mergeCell ref="M10346:N10346"/>
    <mergeCell ref="A10349:N10349"/>
    <mergeCell ref="A10350:G10350"/>
    <mergeCell ref="A10351:G10351"/>
    <mergeCell ref="I10353:J10353"/>
    <mergeCell ref="K10353:L10353"/>
    <mergeCell ref="I10350:J10350"/>
    <mergeCell ref="I10351:J10351"/>
    <mergeCell ref="A10352:G10352"/>
    <mergeCell ref="I10352:J10352"/>
    <mergeCell ref="K10352:L10352"/>
    <mergeCell ref="M10352:N10352"/>
    <mergeCell ref="M10353:N10353"/>
    <mergeCell ref="K10355:L10355"/>
    <mergeCell ref="M10355:N10355"/>
    <mergeCell ref="K10356:L10356"/>
    <mergeCell ref="M10356:N10356"/>
    <mergeCell ref="A10353:G10353"/>
    <mergeCell ref="A10354:G10354"/>
    <mergeCell ref="I10354:J10354"/>
    <mergeCell ref="K10354:L10354"/>
    <mergeCell ref="M10354:N10354"/>
    <mergeCell ref="A10355:G10355"/>
    <mergeCell ref="I10355:J10355"/>
    <mergeCell ref="I10360:J10360"/>
    <mergeCell ref="I10361:J10361"/>
    <mergeCell ref="A10358:N10358"/>
    <mergeCell ref="A10359:G10359"/>
    <mergeCell ref="I10359:J10359"/>
    <mergeCell ref="M10359:N10359"/>
    <mergeCell ref="A10360:G10360"/>
    <mergeCell ref="M10360:N10360"/>
    <mergeCell ref="M10361:N10361"/>
    <mergeCell ref="A10341:G10341"/>
    <mergeCell ref="I10341:J10341"/>
    <mergeCell ref="K10341:L10341"/>
    <mergeCell ref="M10341:N10341"/>
    <mergeCell ref="I10342:J10342"/>
    <mergeCell ref="K10342:L10342"/>
    <mergeCell ref="M10342:N10342"/>
    <mergeCell ref="K10344:L10344"/>
    <mergeCell ref="M10344:N10344"/>
    <mergeCell ref="I10344:J10344"/>
    <mergeCell ref="I10345:J10345"/>
    <mergeCell ref="K10345:L10345"/>
    <mergeCell ref="M10345:N10345"/>
    <mergeCell ref="K10347:L10347"/>
    <mergeCell ref="M10347:N10347"/>
    <mergeCell ref="A10342:G10342"/>
    <mergeCell ref="A10343:G10343"/>
    <mergeCell ref="I10343:J10343"/>
    <mergeCell ref="K10343:L10343"/>
    <mergeCell ref="M10343:N10343"/>
    <mergeCell ref="A10344:G10344"/>
    <mergeCell ref="A10345:G10345"/>
    <mergeCell ref="K10350:L10350"/>
    <mergeCell ref="M10350:N10350"/>
    <mergeCell ref="A10361:G10361"/>
    <mergeCell ref="A10411:N10412"/>
    <mergeCell ref="A10416:N10416"/>
    <mergeCell ref="A10417:G10417"/>
    <mergeCell ref="I10417:J10417"/>
    <mergeCell ref="K10417:L10417"/>
    <mergeCell ref="M10417:N10417"/>
    <mergeCell ref="M10418:N10418"/>
    <mergeCell ref="K10379:L10379"/>
    <mergeCell ref="M10379:N10379"/>
    <mergeCell ref="A10380:G10380"/>
    <mergeCell ref="I10380:J10380"/>
    <mergeCell ref="K10380:L10380"/>
    <mergeCell ref="M10380:N10380"/>
    <mergeCell ref="M10381:N10381"/>
    <mergeCell ref="A10386:G10386"/>
    <mergeCell ref="A10387:G10387"/>
    <mergeCell ref="A10388:G10388"/>
    <mergeCell ref="A10389:G10389"/>
    <mergeCell ref="A10390:G10390"/>
    <mergeCell ref="A10381:G10381"/>
    <mergeCell ref="A10384:N10384"/>
    <mergeCell ref="A10385:G10385"/>
    <mergeCell ref="I10385:J10385"/>
    <mergeCell ref="K10385:L10385"/>
    <mergeCell ref="M10385:N10385"/>
    <mergeCell ref="M10386:N10386"/>
    <mergeCell ref="I10386:J10386"/>
    <mergeCell ref="K10386:L10386"/>
    <mergeCell ref="I10387:J10387"/>
    <mergeCell ref="K10387:L10387"/>
    <mergeCell ref="M10387:N10387"/>
    <mergeCell ref="K10388:L10388"/>
    <mergeCell ref="M10388:N10388"/>
    <mergeCell ref="I10388:J10388"/>
    <mergeCell ref="I10389:J10389"/>
    <mergeCell ref="K10389:L10389"/>
    <mergeCell ref="M10389:N10389"/>
    <mergeCell ref="I10390:J10390"/>
    <mergeCell ref="K10390:L10390"/>
    <mergeCell ref="M10390:N10390"/>
    <mergeCell ref="I10394:J10394"/>
    <mergeCell ref="I10395:J10395"/>
    <mergeCell ref="A10379:G10379"/>
    <mergeCell ref="A10396:G10396"/>
    <mergeCell ref="I10396:J10396"/>
    <mergeCell ref="K10396:L10396"/>
    <mergeCell ref="M10396:N10396"/>
    <mergeCell ref="I10397:J10397"/>
    <mergeCell ref="K10397:L10397"/>
    <mergeCell ref="M10397:N10397"/>
    <mergeCell ref="A10397:G10397"/>
    <mergeCell ref="A10398:G10398"/>
    <mergeCell ref="I10398:J10398"/>
    <mergeCell ref="K10398:L10398"/>
    <mergeCell ref="M10398:N10398"/>
    <mergeCell ref="A10399:G10399"/>
    <mergeCell ref="I10399:J10399"/>
    <mergeCell ref="K10399:L10399"/>
    <mergeCell ref="M10399:N10399"/>
    <mergeCell ref="K10400:L10400"/>
    <mergeCell ref="M10400:N10400"/>
    <mergeCell ref="A10402:N10402"/>
    <mergeCell ref="I10403:J10403"/>
    <mergeCell ref="M10403:N10403"/>
    <mergeCell ref="A10362:G10362"/>
    <mergeCell ref="I10362:J10362"/>
    <mergeCell ref="M10362:N10362"/>
    <mergeCell ref="A10363:G10363"/>
    <mergeCell ref="M10363:N10363"/>
    <mergeCell ref="M10364:N10364"/>
    <mergeCell ref="I10373:J10373"/>
    <mergeCell ref="I10374:J10374"/>
    <mergeCell ref="K10374:L10374"/>
    <mergeCell ref="M10374:N10374"/>
    <mergeCell ref="A10364:G10364"/>
    <mergeCell ref="A10367:N10368"/>
    <mergeCell ref="A10372:N10372"/>
    <mergeCell ref="A10373:G10373"/>
    <mergeCell ref="K10373:L10373"/>
    <mergeCell ref="M10373:N10373"/>
    <mergeCell ref="A10374:G10374"/>
    <mergeCell ref="K10378:L10378"/>
    <mergeCell ref="M10378:N10378"/>
    <mergeCell ref="I10378:J10378"/>
    <mergeCell ref="I10379:J10379"/>
    <mergeCell ref="I10381:J10381"/>
    <mergeCell ref="K10381:L10381"/>
    <mergeCell ref="K10382:L10382"/>
    <mergeCell ref="M10382:N10382"/>
    <mergeCell ref="K10395:L10395"/>
    <mergeCell ref="M10395:N10395"/>
    <mergeCell ref="K10391:L10391"/>
    <mergeCell ref="M10391:N10391"/>
    <mergeCell ref="A10393:N10393"/>
    <mergeCell ref="A10394:G10394"/>
    <mergeCell ref="K10394:L10394"/>
    <mergeCell ref="M10394:N10394"/>
    <mergeCell ref="A10395:G10395"/>
    <mergeCell ref="I10363:J10363"/>
    <mergeCell ref="I10364:J10364"/>
    <mergeCell ref="K10365:L10365"/>
    <mergeCell ref="M10365:N10365"/>
    <mergeCell ref="A10375:G10375"/>
    <mergeCell ref="I10375:J10375"/>
    <mergeCell ref="K10375:L10375"/>
    <mergeCell ref="M10375:N10375"/>
    <mergeCell ref="I10376:J10376"/>
    <mergeCell ref="K10376:L10376"/>
    <mergeCell ref="M10376:N10376"/>
    <mergeCell ref="A10376:G10376"/>
    <mergeCell ref="A10377:G10377"/>
    <mergeCell ref="I10377:J10377"/>
    <mergeCell ref="K10377:L10377"/>
    <mergeCell ref="M10377:N10377"/>
    <mergeCell ref="A10378:G10378"/>
    <mergeCell ref="A10403:G10403"/>
    <mergeCell ref="A10404:G10404"/>
    <mergeCell ref="I10404:J10404"/>
    <mergeCell ref="M10404:N10404"/>
    <mergeCell ref="A10405:G10405"/>
    <mergeCell ref="M10405:N10405"/>
    <mergeCell ref="A10406:G10406"/>
    <mergeCell ref="M10406:N10406"/>
    <mergeCell ref="M10408:N10408"/>
    <mergeCell ref="K10409:L10409"/>
    <mergeCell ref="M10409:N10409"/>
    <mergeCell ref="I10405:J10405"/>
    <mergeCell ref="I10406:J10406"/>
    <mergeCell ref="A10407:G10407"/>
    <mergeCell ref="I10407:J10407"/>
    <mergeCell ref="M10407:N10407"/>
    <mergeCell ref="A10408:G10408"/>
    <mergeCell ref="I10408:J10408"/>
    <mergeCell ref="K10559:L10559"/>
    <mergeCell ref="M10559:N10559"/>
    <mergeCell ref="I10555:J10555"/>
    <mergeCell ref="I10556:J10556"/>
    <mergeCell ref="K10556:L10556"/>
    <mergeCell ref="M10556:N10556"/>
    <mergeCell ref="I10557:J10557"/>
    <mergeCell ref="K10557:L10557"/>
    <mergeCell ref="M10557:N10557"/>
    <mergeCell ref="I10558:J10558"/>
    <mergeCell ref="K10558:L10558"/>
    <mergeCell ref="M10558:N10558"/>
    <mergeCell ref="A10561:N10561"/>
    <mergeCell ref="I10562:J10562"/>
    <mergeCell ref="K10562:L10562"/>
    <mergeCell ref="M10562:N10562"/>
    <mergeCell ref="A10562:G10562"/>
    <mergeCell ref="A10440:N10440"/>
    <mergeCell ref="A10441:G10441"/>
    <mergeCell ref="I10441:J10441"/>
    <mergeCell ref="K10441:L10441"/>
    <mergeCell ref="M10441:N10441"/>
    <mergeCell ref="A10442:G10442"/>
    <mergeCell ref="A10443:G10443"/>
    <mergeCell ref="A10444:G10444"/>
    <mergeCell ref="I10444:J10444"/>
    <mergeCell ref="K10444:L10444"/>
    <mergeCell ref="M10444:N10444"/>
    <mergeCell ref="I10445:J10445"/>
    <mergeCell ref="K10445:L10445"/>
    <mergeCell ref="M10445:N10445"/>
    <mergeCell ref="A10445:G10445"/>
    <mergeCell ref="A10446:G10446"/>
    <mergeCell ref="I10446:J10446"/>
    <mergeCell ref="K10446:L10446"/>
    <mergeCell ref="M10446:N10446"/>
    <mergeCell ref="K10447:L10447"/>
    <mergeCell ref="M10447:N10447"/>
    <mergeCell ref="K10471:L10471"/>
    <mergeCell ref="M10471:N10471"/>
    <mergeCell ref="I10469:J10469"/>
    <mergeCell ref="K10469:L10469"/>
    <mergeCell ref="M10469:N10469"/>
    <mergeCell ref="I10470:J10470"/>
    <mergeCell ref="K10470:L10470"/>
    <mergeCell ref="M10470:N10470"/>
    <mergeCell ref="A10538:N10538"/>
    <mergeCell ref="A10539:G10539"/>
    <mergeCell ref="I10539:J10539"/>
    <mergeCell ref="M10539:N10539"/>
    <mergeCell ref="M10544:N10544"/>
    <mergeCell ref="K10545:L10545"/>
    <mergeCell ref="M10545:N10545"/>
    <mergeCell ref="I10540:J10540"/>
    <mergeCell ref="I10541:J10541"/>
    <mergeCell ref="I10542:J10542"/>
    <mergeCell ref="M10542:N10542"/>
    <mergeCell ref="I10543:J10543"/>
    <mergeCell ref="M10543:N10543"/>
    <mergeCell ref="I10544:J10544"/>
    <mergeCell ref="I10524:J10524"/>
    <mergeCell ref="K10524:L10524"/>
    <mergeCell ref="M10524:N10524"/>
    <mergeCell ref="A10563:G10563"/>
    <mergeCell ref="I10563:J10563"/>
    <mergeCell ref="K10563:L10563"/>
    <mergeCell ref="M10563:N10563"/>
    <mergeCell ref="A10564:G10564"/>
    <mergeCell ref="I10564:J10564"/>
    <mergeCell ref="I10566:J10566"/>
    <mergeCell ref="K10566:L10566"/>
    <mergeCell ref="K10564:L10564"/>
    <mergeCell ref="M10564:N10564"/>
    <mergeCell ref="A10565:G10565"/>
    <mergeCell ref="I10565:J10565"/>
    <mergeCell ref="K10565:L10565"/>
    <mergeCell ref="M10565:N10565"/>
    <mergeCell ref="M10566:N10566"/>
    <mergeCell ref="I10531:J10531"/>
    <mergeCell ref="I10532:J10532"/>
    <mergeCell ref="K10532:L10532"/>
    <mergeCell ref="M10532:N10532"/>
    <mergeCell ref="A10529:N10529"/>
    <mergeCell ref="A10530:G10530"/>
    <mergeCell ref="I10530:J10530"/>
    <mergeCell ref="K10530:L10530"/>
    <mergeCell ref="M10530:N10530"/>
    <mergeCell ref="A10531:G10531"/>
    <mergeCell ref="A10532:G10532"/>
    <mergeCell ref="A10533:G10533"/>
    <mergeCell ref="I10533:J10533"/>
    <mergeCell ref="K10533:L10533"/>
    <mergeCell ref="M10533:N10533"/>
    <mergeCell ref="I10534:J10534"/>
    <mergeCell ref="K10534:L10534"/>
    <mergeCell ref="M10534:N10534"/>
    <mergeCell ref="A10534:G10534"/>
    <mergeCell ref="A10535:G10535"/>
    <mergeCell ref="I10535:J10535"/>
    <mergeCell ref="K10535:L10535"/>
    <mergeCell ref="M10535:N10535"/>
    <mergeCell ref="K10536:L10536"/>
    <mergeCell ref="M10536:N10536"/>
    <mergeCell ref="A10553:G10553"/>
    <mergeCell ref="A10554:G10554"/>
    <mergeCell ref="A10555:G10555"/>
    <mergeCell ref="A10556:G10556"/>
    <mergeCell ref="A10557:G10557"/>
    <mergeCell ref="A10558:G10558"/>
    <mergeCell ref="A10566:G10566"/>
    <mergeCell ref="A10540:G10540"/>
    <mergeCell ref="M10540:N10540"/>
    <mergeCell ref="M10541:N10541"/>
    <mergeCell ref="A10541:G10541"/>
    <mergeCell ref="A10542:G10542"/>
    <mergeCell ref="A10543:G10543"/>
    <mergeCell ref="A10544:G10544"/>
    <mergeCell ref="A10547:N10548"/>
    <mergeCell ref="A10552:N10552"/>
    <mergeCell ref="M10553:N10553"/>
    <mergeCell ref="I10553:J10553"/>
    <mergeCell ref="K10553:L10553"/>
    <mergeCell ref="I10554:J10554"/>
    <mergeCell ref="K10554:L10554"/>
    <mergeCell ref="M10554:N10554"/>
    <mergeCell ref="K10555:L10555"/>
    <mergeCell ref="M10555:N10555"/>
    <mergeCell ref="A10567:G10567"/>
    <mergeCell ref="I10567:J10567"/>
    <mergeCell ref="K10567:L10567"/>
    <mergeCell ref="M10567:N10567"/>
    <mergeCell ref="K10568:L10568"/>
    <mergeCell ref="M10568:N10568"/>
    <mergeCell ref="I10581:J10581"/>
    <mergeCell ref="I10582:J10582"/>
    <mergeCell ref="A10579:N10579"/>
    <mergeCell ref="A10580:G10580"/>
    <mergeCell ref="I10580:J10580"/>
    <mergeCell ref="M10580:N10580"/>
    <mergeCell ref="A10581:G10581"/>
    <mergeCell ref="M10581:N10581"/>
    <mergeCell ref="M10582:N10582"/>
    <mergeCell ref="K10572:L10572"/>
    <mergeCell ref="M10572:N10572"/>
    <mergeCell ref="I10572:J10572"/>
    <mergeCell ref="I10573:J10573"/>
    <mergeCell ref="K10573:L10573"/>
    <mergeCell ref="M10573:N10573"/>
    <mergeCell ref="A10570:N10570"/>
    <mergeCell ref="A10571:G10571"/>
    <mergeCell ref="I10571:J10571"/>
    <mergeCell ref="K10571:L10571"/>
    <mergeCell ref="M10571:N10571"/>
    <mergeCell ref="A10572:G10572"/>
    <mergeCell ref="A10573:G10573"/>
    <mergeCell ref="A10574:G10574"/>
    <mergeCell ref="I10574:J10574"/>
    <mergeCell ref="K10574:L10574"/>
    <mergeCell ref="M10574:N10574"/>
    <mergeCell ref="I10575:J10575"/>
    <mergeCell ref="K10575:L10575"/>
    <mergeCell ref="M10575:N10575"/>
    <mergeCell ref="A10575:G10575"/>
    <mergeCell ref="A10576:G10576"/>
    <mergeCell ref="I10576:J10576"/>
    <mergeCell ref="K10576:L10576"/>
    <mergeCell ref="M10576:N10576"/>
    <mergeCell ref="K10577:L10577"/>
    <mergeCell ref="M10577:N10577"/>
    <mergeCell ref="A10616:G10616"/>
    <mergeCell ref="I10616:J10616"/>
    <mergeCell ref="K10616:L10616"/>
    <mergeCell ref="M10616:N10616"/>
    <mergeCell ref="I10617:J10617"/>
    <mergeCell ref="K10617:L10617"/>
    <mergeCell ref="M10617:N10617"/>
    <mergeCell ref="A10617:G10617"/>
    <mergeCell ref="A10618:G10618"/>
    <mergeCell ref="I10618:J10618"/>
    <mergeCell ref="K10618:L10618"/>
    <mergeCell ref="M10618:N10618"/>
    <mergeCell ref="K10619:L10619"/>
    <mergeCell ref="M10619:N10619"/>
    <mergeCell ref="A10636:G10636"/>
    <mergeCell ref="A10637:G10637"/>
    <mergeCell ref="A10638:G10638"/>
    <mergeCell ref="A10639:G10639"/>
    <mergeCell ref="I10607:J10607"/>
    <mergeCell ref="K10607:L10607"/>
    <mergeCell ref="M10607:N10607"/>
    <mergeCell ref="K10609:L10609"/>
    <mergeCell ref="M10609:N10609"/>
    <mergeCell ref="K10610:L10610"/>
    <mergeCell ref="M10610:N10610"/>
    <mergeCell ref="A10607:G10607"/>
    <mergeCell ref="A10608:G10608"/>
    <mergeCell ref="I10608:J10608"/>
    <mergeCell ref="K10608:L10608"/>
    <mergeCell ref="M10608:N10608"/>
    <mergeCell ref="A10609:G10609"/>
    <mergeCell ref="I10609:J10609"/>
    <mergeCell ref="K10614:L10614"/>
    <mergeCell ref="M10614:N10614"/>
    <mergeCell ref="M10627:N10627"/>
    <mergeCell ref="K10628:L10628"/>
    <mergeCell ref="M10628:N10628"/>
    <mergeCell ref="I10623:J10623"/>
    <mergeCell ref="I10624:J10624"/>
    <mergeCell ref="I10625:J10625"/>
    <mergeCell ref="M10625:N10625"/>
    <mergeCell ref="I10626:J10626"/>
    <mergeCell ref="M10626:N10626"/>
    <mergeCell ref="I10627:J10627"/>
    <mergeCell ref="A10621:N10621"/>
    <mergeCell ref="A10622:G10622"/>
    <mergeCell ref="I10622:J10622"/>
    <mergeCell ref="M10622:N10622"/>
    <mergeCell ref="A10623:G10623"/>
    <mergeCell ref="M10623:N10623"/>
    <mergeCell ref="M10624:N10624"/>
    <mergeCell ref="A10624:G10624"/>
    <mergeCell ref="A10625:G10625"/>
    <mergeCell ref="A10626:G10626"/>
    <mergeCell ref="A10627:G10627"/>
    <mergeCell ref="A10630:N10631"/>
    <mergeCell ref="A10635:N10635"/>
    <mergeCell ref="M10636:N10636"/>
    <mergeCell ref="I10636:J10636"/>
    <mergeCell ref="K10636:L10636"/>
    <mergeCell ref="I10637:J10637"/>
    <mergeCell ref="K10637:L10637"/>
    <mergeCell ref="M10637:N10637"/>
    <mergeCell ref="K10638:L10638"/>
    <mergeCell ref="K10604:L10604"/>
    <mergeCell ref="M10604:N10604"/>
    <mergeCell ref="I10604:J10604"/>
    <mergeCell ref="I10605:J10605"/>
    <mergeCell ref="K10605:L10605"/>
    <mergeCell ref="M10605:N10605"/>
    <mergeCell ref="K10600:L10600"/>
    <mergeCell ref="M10600:N10600"/>
    <mergeCell ref="K10601:L10601"/>
    <mergeCell ref="M10601:N10601"/>
    <mergeCell ref="A10603:N10603"/>
    <mergeCell ref="A10604:G10604"/>
    <mergeCell ref="A10605:G10605"/>
    <mergeCell ref="A10606:G10606"/>
    <mergeCell ref="I10606:J10606"/>
    <mergeCell ref="K10606:L10606"/>
    <mergeCell ref="M10606:N10606"/>
    <mergeCell ref="A10640:G10640"/>
    <mergeCell ref="A10641:G10641"/>
    <mergeCell ref="A10642:G10642"/>
    <mergeCell ref="I10641:J10641"/>
    <mergeCell ref="K10641:L10641"/>
    <mergeCell ref="M10641:N10641"/>
    <mergeCell ref="I10642:J10642"/>
    <mergeCell ref="K10642:L10642"/>
    <mergeCell ref="M10642:N10642"/>
    <mergeCell ref="K10643:L10643"/>
    <mergeCell ref="A10647:G10647"/>
    <mergeCell ref="A10648:G10648"/>
    <mergeCell ref="A10649:G10649"/>
    <mergeCell ref="A10650:G10650"/>
    <mergeCell ref="A10651:G10651"/>
    <mergeCell ref="M10643:N10643"/>
    <mergeCell ref="A10645:N10645"/>
    <mergeCell ref="A10646:G10646"/>
    <mergeCell ref="I10646:J10646"/>
    <mergeCell ref="K10646:L10646"/>
    <mergeCell ref="M10646:N10646"/>
    <mergeCell ref="M10647:N10647"/>
    <mergeCell ref="I10647:J10647"/>
    <mergeCell ref="K10647:L10647"/>
    <mergeCell ref="I10648:J10648"/>
    <mergeCell ref="K10648:L10648"/>
    <mergeCell ref="M10648:N10648"/>
    <mergeCell ref="K10649:L10649"/>
    <mergeCell ref="M10649:N10649"/>
    <mergeCell ref="I10649:J10649"/>
    <mergeCell ref="I10650:J10650"/>
    <mergeCell ref="K10650:L10650"/>
    <mergeCell ref="M10650:N10650"/>
    <mergeCell ref="I10651:J10651"/>
    <mergeCell ref="K10651:L10651"/>
    <mergeCell ref="M10651:N10651"/>
    <mergeCell ref="I10614:J10614"/>
    <mergeCell ref="I10615:J10615"/>
    <mergeCell ref="K10615:L10615"/>
    <mergeCell ref="M10615:N10615"/>
    <mergeCell ref="A10612:N10612"/>
    <mergeCell ref="A10613:G10613"/>
    <mergeCell ref="I10613:J10613"/>
    <mergeCell ref="K10613:L10613"/>
    <mergeCell ref="M10613:N10613"/>
    <mergeCell ref="A10614:G10614"/>
    <mergeCell ref="A10615:G10615"/>
    <mergeCell ref="A10596:G10596"/>
    <mergeCell ref="I10596:J10596"/>
    <mergeCell ref="K10596:L10596"/>
    <mergeCell ref="M10596:N10596"/>
    <mergeCell ref="I10597:J10597"/>
    <mergeCell ref="K10597:L10597"/>
    <mergeCell ref="M10597:N10597"/>
    <mergeCell ref="A10597:G10597"/>
    <mergeCell ref="A10598:G10598"/>
    <mergeCell ref="I10598:J10598"/>
    <mergeCell ref="K10598:L10598"/>
    <mergeCell ref="M10598:N10598"/>
    <mergeCell ref="A10599:G10599"/>
    <mergeCell ref="A10600:G10600"/>
    <mergeCell ref="A10582:G10582"/>
    <mergeCell ref="A10583:G10583"/>
    <mergeCell ref="I10583:J10583"/>
    <mergeCell ref="M10583:N10583"/>
    <mergeCell ref="A10584:G10584"/>
    <mergeCell ref="M10584:N10584"/>
    <mergeCell ref="M10585:N10585"/>
    <mergeCell ref="I10594:J10594"/>
    <mergeCell ref="I10595:J10595"/>
    <mergeCell ref="K10595:L10595"/>
    <mergeCell ref="M10595:N10595"/>
    <mergeCell ref="A10585:G10585"/>
    <mergeCell ref="A10588:N10589"/>
    <mergeCell ref="A10593:N10593"/>
    <mergeCell ref="A10594:G10594"/>
    <mergeCell ref="K10594:L10594"/>
    <mergeCell ref="M10594:N10594"/>
    <mergeCell ref="A10595:G10595"/>
    <mergeCell ref="K10599:L10599"/>
    <mergeCell ref="M10599:N10599"/>
    <mergeCell ref="I10599:J10599"/>
    <mergeCell ref="I10600:J10600"/>
    <mergeCell ref="I10584:J10584"/>
    <mergeCell ref="I10585:J10585"/>
    <mergeCell ref="K10586:L10586"/>
    <mergeCell ref="M10586:N10586"/>
    <mergeCell ref="M10638:N10638"/>
    <mergeCell ref="I10638:J10638"/>
    <mergeCell ref="I10639:J10639"/>
    <mergeCell ref="K10639:L10639"/>
    <mergeCell ref="M10639:N10639"/>
    <mergeCell ref="I10640:J10640"/>
    <mergeCell ref="K10640:L10640"/>
    <mergeCell ref="M10640:N10640"/>
    <mergeCell ref="A10680:G10680"/>
    <mergeCell ref="I10680:J10680"/>
    <mergeCell ref="K10680:L10680"/>
    <mergeCell ref="M10680:N10680"/>
    <mergeCell ref="I10681:J10681"/>
    <mergeCell ref="K10681:L10681"/>
    <mergeCell ref="M10681:N10681"/>
    <mergeCell ref="A10681:G10681"/>
    <mergeCell ref="A10682:G10682"/>
    <mergeCell ref="I10682:J10682"/>
    <mergeCell ref="K10682:L10682"/>
    <mergeCell ref="M10682:N10682"/>
    <mergeCell ref="I10655:J10655"/>
    <mergeCell ref="I10656:J10656"/>
    <mergeCell ref="K10656:L10656"/>
    <mergeCell ref="M10656:N10656"/>
    <mergeCell ref="K10652:L10652"/>
    <mergeCell ref="M10652:N10652"/>
    <mergeCell ref="A10654:N10654"/>
    <mergeCell ref="A10655:G10655"/>
    <mergeCell ref="K10655:L10655"/>
    <mergeCell ref="M10655:N10655"/>
    <mergeCell ref="A10656:G10656"/>
    <mergeCell ref="A10683:G10683"/>
    <mergeCell ref="A10684:G10684"/>
    <mergeCell ref="A10657:G10657"/>
    <mergeCell ref="I10657:J10657"/>
    <mergeCell ref="K10657:L10657"/>
    <mergeCell ref="M10657:N10657"/>
    <mergeCell ref="I10658:J10658"/>
    <mergeCell ref="K10658:L10658"/>
    <mergeCell ref="M10658:N10658"/>
    <mergeCell ref="K10660:L10660"/>
    <mergeCell ref="M10660:N10660"/>
    <mergeCell ref="K10661:L10661"/>
    <mergeCell ref="M10661:N10661"/>
    <mergeCell ref="A10658:G10658"/>
    <mergeCell ref="A10659:G10659"/>
    <mergeCell ref="I10659:J10659"/>
    <mergeCell ref="K10659:L10659"/>
    <mergeCell ref="M10659:N10659"/>
    <mergeCell ref="A10660:G10660"/>
    <mergeCell ref="I10660:J10660"/>
    <mergeCell ref="A10666:G10666"/>
    <mergeCell ref="A10667:G10667"/>
    <mergeCell ref="A10668:G10668"/>
    <mergeCell ref="A10669:G10669"/>
    <mergeCell ref="A10663:N10663"/>
    <mergeCell ref="A10664:G10664"/>
    <mergeCell ref="I10664:J10664"/>
    <mergeCell ref="M10664:N10664"/>
    <mergeCell ref="A10665:G10665"/>
    <mergeCell ref="M10665:N10665"/>
    <mergeCell ref="M10666:N10666"/>
    <mergeCell ref="I10665:J10665"/>
    <mergeCell ref="I10666:J10666"/>
    <mergeCell ref="I10667:J10667"/>
    <mergeCell ref="M10667:N10667"/>
    <mergeCell ref="I10668:J10668"/>
    <mergeCell ref="M10668:N10668"/>
    <mergeCell ref="I10669:J10669"/>
    <mergeCell ref="K10678:L10678"/>
    <mergeCell ref="M10678:N10678"/>
    <mergeCell ref="I10678:J10678"/>
    <mergeCell ref="I10679:J10679"/>
    <mergeCell ref="K10679:L10679"/>
    <mergeCell ref="M10679:N10679"/>
    <mergeCell ref="M10669:N10669"/>
    <mergeCell ref="K10670:L10670"/>
    <mergeCell ref="M10670:N10670"/>
    <mergeCell ref="A10672:N10673"/>
    <mergeCell ref="A10677:N10677"/>
    <mergeCell ref="A10678:G10678"/>
    <mergeCell ref="A10679:G10679"/>
    <mergeCell ref="K10683:L10683"/>
    <mergeCell ref="M10683:N10683"/>
    <mergeCell ref="I10683:J10683"/>
    <mergeCell ref="I10684:J10684"/>
    <mergeCell ref="K10684:L10684"/>
    <mergeCell ref="M10684:N10684"/>
    <mergeCell ref="K10685:L10685"/>
    <mergeCell ref="M10685:N10685"/>
    <mergeCell ref="K10689:L10689"/>
    <mergeCell ref="M10689:N10689"/>
    <mergeCell ref="K10699:L10699"/>
    <mergeCell ref="M10699:N10699"/>
    <mergeCell ref="A10696:N10696"/>
    <mergeCell ref="A10697:G10697"/>
    <mergeCell ref="I10697:J10697"/>
    <mergeCell ref="K10697:L10697"/>
    <mergeCell ref="M10697:N10697"/>
    <mergeCell ref="A10698:G10698"/>
    <mergeCell ref="A10699:G10699"/>
    <mergeCell ref="I10701:J10701"/>
    <mergeCell ref="K10701:L10701"/>
    <mergeCell ref="I10698:J10698"/>
    <mergeCell ref="I10699:J10699"/>
    <mergeCell ref="A10700:G10700"/>
    <mergeCell ref="I10700:J10700"/>
    <mergeCell ref="K10700:L10700"/>
    <mergeCell ref="M10700:N10700"/>
    <mergeCell ref="M10701:N10701"/>
    <mergeCell ref="I10689:J10689"/>
    <mergeCell ref="I10690:J10690"/>
    <mergeCell ref="K10690:L10690"/>
    <mergeCell ref="M10690:N10690"/>
    <mergeCell ref="A10687:N10687"/>
    <mergeCell ref="A10688:G10688"/>
    <mergeCell ref="I10688:J10688"/>
    <mergeCell ref="K10688:L10688"/>
    <mergeCell ref="M10688:N10688"/>
    <mergeCell ref="A10689:G10689"/>
    <mergeCell ref="A10690:G10690"/>
    <mergeCell ref="A10691:G10691"/>
    <mergeCell ref="I10691:J10691"/>
    <mergeCell ref="K10691:L10691"/>
    <mergeCell ref="M10691:N10691"/>
    <mergeCell ref="I10692:J10692"/>
    <mergeCell ref="K10692:L10692"/>
    <mergeCell ref="M10692:N10692"/>
    <mergeCell ref="A10692:G10692"/>
    <mergeCell ref="A10693:G10693"/>
    <mergeCell ref="I10693:J10693"/>
    <mergeCell ref="K10693:L10693"/>
    <mergeCell ref="M10693:N10693"/>
    <mergeCell ref="K10694:L10694"/>
    <mergeCell ref="M10694:N10694"/>
    <mergeCell ref="K10698:L10698"/>
    <mergeCell ref="M10698:N10698"/>
    <mergeCell ref="A10701:G10701"/>
    <mergeCell ref="A10702:G10702"/>
    <mergeCell ref="I10702:J10702"/>
    <mergeCell ref="K10702:L10702"/>
    <mergeCell ref="M10702:N10702"/>
    <mergeCell ref="K10703:L10703"/>
    <mergeCell ref="M10703:N10703"/>
    <mergeCell ref="A10708:G10708"/>
    <mergeCell ref="A10709:G10709"/>
    <mergeCell ref="A10710:G10710"/>
    <mergeCell ref="A10711:G10711"/>
    <mergeCell ref="A10705:N10705"/>
    <mergeCell ref="A10706:G10706"/>
    <mergeCell ref="I10706:J10706"/>
    <mergeCell ref="M10706:N10706"/>
    <mergeCell ref="A10707:G10707"/>
    <mergeCell ref="M10707:N10707"/>
    <mergeCell ref="M10708:N10708"/>
    <mergeCell ref="I10707:J10707"/>
    <mergeCell ref="I10708:J10708"/>
    <mergeCell ref="I10709:J10709"/>
    <mergeCell ref="M10709:N10709"/>
    <mergeCell ref="I10710:J10710"/>
    <mergeCell ref="M10710:N10710"/>
    <mergeCell ref="I10711:J10711"/>
    <mergeCell ref="K10720:L10720"/>
    <mergeCell ref="M10720:N10720"/>
    <mergeCell ref="I10720:J10720"/>
    <mergeCell ref="I10721:J10721"/>
    <mergeCell ref="K10721:L10721"/>
    <mergeCell ref="M10721:N10721"/>
    <mergeCell ref="M10711:N10711"/>
    <mergeCell ref="K10712:L10712"/>
    <mergeCell ref="M10712:N10712"/>
    <mergeCell ref="A10714:N10715"/>
    <mergeCell ref="A10719:N10719"/>
    <mergeCell ref="A10720:G10720"/>
    <mergeCell ref="A10721:G10721"/>
    <mergeCell ref="K10732:L10732"/>
    <mergeCell ref="M10732:N10732"/>
    <mergeCell ref="A10729:N10729"/>
    <mergeCell ref="A10730:G10730"/>
    <mergeCell ref="I10730:J10730"/>
    <mergeCell ref="K10730:L10730"/>
    <mergeCell ref="M10730:N10730"/>
    <mergeCell ref="A10731:G10731"/>
    <mergeCell ref="A10732:G10732"/>
    <mergeCell ref="I10772:J10772"/>
    <mergeCell ref="I10773:J10773"/>
    <mergeCell ref="K10773:L10773"/>
    <mergeCell ref="M10773:N10773"/>
    <mergeCell ref="K10768:L10768"/>
    <mergeCell ref="M10768:N10768"/>
    <mergeCell ref="K10769:L10769"/>
    <mergeCell ref="M10769:N10769"/>
    <mergeCell ref="A10771:N10771"/>
    <mergeCell ref="A10772:G10772"/>
    <mergeCell ref="A10773:G10773"/>
    <mergeCell ref="A10774:G10774"/>
    <mergeCell ref="I10774:J10774"/>
    <mergeCell ref="K10774:L10774"/>
    <mergeCell ref="M10774:N10774"/>
    <mergeCell ref="I10775:J10775"/>
    <mergeCell ref="K10775:L10775"/>
    <mergeCell ref="M10775:N10775"/>
    <mergeCell ref="K10777:L10777"/>
    <mergeCell ref="M10777:N10777"/>
    <mergeCell ref="K10778:L10778"/>
    <mergeCell ref="M10778:N10778"/>
    <mergeCell ref="A10775:G10775"/>
    <mergeCell ref="A10776:G10776"/>
    <mergeCell ref="I10776:J10776"/>
    <mergeCell ref="K10776:L10776"/>
    <mergeCell ref="M10776:N10776"/>
    <mergeCell ref="A10777:G10777"/>
    <mergeCell ref="I10777:J10777"/>
    <mergeCell ref="A10738:N10738"/>
    <mergeCell ref="A10739:G10739"/>
    <mergeCell ref="I10739:J10739"/>
    <mergeCell ref="K10739:L10739"/>
    <mergeCell ref="M10739:N10739"/>
    <mergeCell ref="A10740:G10740"/>
    <mergeCell ref="A10741:G10741"/>
    <mergeCell ref="A10742:G10742"/>
    <mergeCell ref="I10742:J10742"/>
    <mergeCell ref="K10742:L10742"/>
    <mergeCell ref="M10742:N10742"/>
    <mergeCell ref="I10743:J10743"/>
    <mergeCell ref="K10743:L10743"/>
    <mergeCell ref="M10743:N10743"/>
    <mergeCell ref="A10743:G10743"/>
    <mergeCell ref="A10744:G10744"/>
    <mergeCell ref="I10744:J10744"/>
    <mergeCell ref="K10744:L10744"/>
    <mergeCell ref="M10744:N10744"/>
    <mergeCell ref="K10745:L10745"/>
    <mergeCell ref="M10745:N10745"/>
    <mergeCell ref="I10752:J10752"/>
    <mergeCell ref="I10753:J10753"/>
    <mergeCell ref="K10754:L10754"/>
    <mergeCell ref="M10754:N10754"/>
    <mergeCell ref="A10764:G10764"/>
    <mergeCell ref="K10782:L10782"/>
    <mergeCell ref="M10782:N10782"/>
    <mergeCell ref="I10782:J10782"/>
    <mergeCell ref="I10783:J10783"/>
    <mergeCell ref="K10783:L10783"/>
    <mergeCell ref="M10783:N10783"/>
    <mergeCell ref="A10780:N10780"/>
    <mergeCell ref="A10781:G10781"/>
    <mergeCell ref="I10781:J10781"/>
    <mergeCell ref="K10781:L10781"/>
    <mergeCell ref="M10781:N10781"/>
    <mergeCell ref="A10782:G10782"/>
    <mergeCell ref="A10783:G10783"/>
    <mergeCell ref="A10784:G10784"/>
    <mergeCell ref="I10784:J10784"/>
    <mergeCell ref="K10784:L10784"/>
    <mergeCell ref="M10784:N10784"/>
    <mergeCell ref="I10785:J10785"/>
    <mergeCell ref="K10785:L10785"/>
    <mergeCell ref="M10785:N10785"/>
    <mergeCell ref="A10785:G10785"/>
    <mergeCell ref="A10786:G10786"/>
    <mergeCell ref="I10786:J10786"/>
    <mergeCell ref="K10786:L10786"/>
    <mergeCell ref="M10786:N10786"/>
    <mergeCell ref="K10787:L10787"/>
    <mergeCell ref="M10787:N10787"/>
    <mergeCell ref="A10792:G10792"/>
    <mergeCell ref="A10793:G10793"/>
    <mergeCell ref="A10794:G10794"/>
    <mergeCell ref="A10795:G10795"/>
    <mergeCell ref="A10789:N10789"/>
    <mergeCell ref="A10790:G10790"/>
    <mergeCell ref="I10790:J10790"/>
    <mergeCell ref="M10790:N10790"/>
    <mergeCell ref="A10791:G10791"/>
    <mergeCell ref="M10791:N10791"/>
    <mergeCell ref="M10792:N10792"/>
    <mergeCell ref="A10806:G10806"/>
    <mergeCell ref="I10806:J10806"/>
    <mergeCell ref="K10806:L10806"/>
    <mergeCell ref="M10806:N10806"/>
    <mergeCell ref="I10807:J10807"/>
    <mergeCell ref="K10807:L10807"/>
    <mergeCell ref="M10807:N10807"/>
    <mergeCell ref="K10810:L10810"/>
    <mergeCell ref="M10810:N10810"/>
    <mergeCell ref="A10807:G10807"/>
    <mergeCell ref="A10808:G10808"/>
    <mergeCell ref="I10808:J10808"/>
    <mergeCell ref="K10808:L10808"/>
    <mergeCell ref="M10808:N10808"/>
    <mergeCell ref="A10809:G10809"/>
    <mergeCell ref="A10810:G10810"/>
    <mergeCell ref="I10791:J10791"/>
    <mergeCell ref="I10792:J10792"/>
    <mergeCell ref="I10793:J10793"/>
    <mergeCell ref="M10793:N10793"/>
    <mergeCell ref="I10794:J10794"/>
    <mergeCell ref="M10794:N10794"/>
    <mergeCell ref="I10795:J10795"/>
    <mergeCell ref="K10804:L10804"/>
    <mergeCell ref="M10804:N10804"/>
    <mergeCell ref="I10804:J10804"/>
    <mergeCell ref="I10805:J10805"/>
    <mergeCell ref="K10805:L10805"/>
    <mergeCell ref="M10805:N10805"/>
    <mergeCell ref="M10795:N10795"/>
    <mergeCell ref="K10796:L10796"/>
    <mergeCell ref="M10796:N10796"/>
    <mergeCell ref="A10798:N10799"/>
    <mergeCell ref="A10803:N10803"/>
    <mergeCell ref="A10804:G10804"/>
    <mergeCell ref="A10805:G10805"/>
    <mergeCell ref="K10809:L10809"/>
    <mergeCell ref="M10809:N10809"/>
    <mergeCell ref="K10812:L10812"/>
    <mergeCell ref="M10812:N10812"/>
    <mergeCell ref="I10809:J10809"/>
    <mergeCell ref="I10810:J10810"/>
    <mergeCell ref="A10811:G10811"/>
    <mergeCell ref="I10811:J10811"/>
    <mergeCell ref="K10811:L10811"/>
    <mergeCell ref="M10811:N10811"/>
    <mergeCell ref="A10814:N10814"/>
    <mergeCell ref="I10734:J10734"/>
    <mergeCell ref="K10734:L10734"/>
    <mergeCell ref="I10731:J10731"/>
    <mergeCell ref="I10732:J10732"/>
    <mergeCell ref="A10733:G10733"/>
    <mergeCell ref="I10733:J10733"/>
    <mergeCell ref="K10733:L10733"/>
    <mergeCell ref="M10733:N10733"/>
    <mergeCell ref="M10734:N10734"/>
    <mergeCell ref="A10722:G10722"/>
    <mergeCell ref="I10722:J10722"/>
    <mergeCell ref="K10722:L10722"/>
    <mergeCell ref="M10722:N10722"/>
    <mergeCell ref="I10723:J10723"/>
    <mergeCell ref="K10723:L10723"/>
    <mergeCell ref="M10723:N10723"/>
    <mergeCell ref="K10725:L10725"/>
    <mergeCell ref="M10725:N10725"/>
    <mergeCell ref="I10725:J10725"/>
    <mergeCell ref="I10726:J10726"/>
    <mergeCell ref="K10726:L10726"/>
    <mergeCell ref="M10726:N10726"/>
    <mergeCell ref="K10727:L10727"/>
    <mergeCell ref="M10727:N10727"/>
    <mergeCell ref="A10723:G10723"/>
    <mergeCell ref="A10724:G10724"/>
    <mergeCell ref="I10724:J10724"/>
    <mergeCell ref="K10724:L10724"/>
    <mergeCell ref="M10724:N10724"/>
    <mergeCell ref="A10725:G10725"/>
    <mergeCell ref="A10726:G10726"/>
    <mergeCell ref="K10731:L10731"/>
    <mergeCell ref="M10731:N10731"/>
    <mergeCell ref="A10734:G10734"/>
    <mergeCell ref="A10735:G10735"/>
    <mergeCell ref="I10735:J10735"/>
    <mergeCell ref="K10735:L10735"/>
    <mergeCell ref="M10735:N10735"/>
    <mergeCell ref="K10736:L10736"/>
    <mergeCell ref="M10736:N10736"/>
    <mergeCell ref="I10749:J10749"/>
    <mergeCell ref="I10750:J10750"/>
    <mergeCell ref="A10747:N10747"/>
    <mergeCell ref="A10748:G10748"/>
    <mergeCell ref="I10748:J10748"/>
    <mergeCell ref="M10748:N10748"/>
    <mergeCell ref="A10749:G10749"/>
    <mergeCell ref="M10749:N10749"/>
    <mergeCell ref="M10750:N10750"/>
    <mergeCell ref="K10740:L10740"/>
    <mergeCell ref="M10740:N10740"/>
    <mergeCell ref="I10740:J10740"/>
    <mergeCell ref="I10741:J10741"/>
    <mergeCell ref="K10741:L10741"/>
    <mergeCell ref="M10741:N10741"/>
    <mergeCell ref="I10764:J10764"/>
    <mergeCell ref="K10764:L10764"/>
    <mergeCell ref="M10764:N10764"/>
    <mergeCell ref="I10765:J10765"/>
    <mergeCell ref="K10765:L10765"/>
    <mergeCell ref="M10765:N10765"/>
    <mergeCell ref="A10765:G10765"/>
    <mergeCell ref="A10766:G10766"/>
    <mergeCell ref="I10766:J10766"/>
    <mergeCell ref="K10766:L10766"/>
    <mergeCell ref="M10766:N10766"/>
    <mergeCell ref="A10767:G10767"/>
    <mergeCell ref="A10768:G10768"/>
    <mergeCell ref="A10750:G10750"/>
    <mergeCell ref="A10751:G10751"/>
    <mergeCell ref="I10751:J10751"/>
    <mergeCell ref="M10751:N10751"/>
    <mergeCell ref="A10752:G10752"/>
    <mergeCell ref="M10752:N10752"/>
    <mergeCell ref="M10753:N10753"/>
    <mergeCell ref="I10762:J10762"/>
    <mergeCell ref="I10763:J10763"/>
    <mergeCell ref="K10763:L10763"/>
    <mergeCell ref="M10763:N10763"/>
    <mergeCell ref="A10753:G10753"/>
    <mergeCell ref="A10756:N10757"/>
    <mergeCell ref="A10761:N10761"/>
    <mergeCell ref="A10762:G10762"/>
    <mergeCell ref="K10762:L10762"/>
    <mergeCell ref="M10762:N10762"/>
    <mergeCell ref="A10763:G10763"/>
    <mergeCell ref="K10767:L10767"/>
    <mergeCell ref="M10767:N10767"/>
    <mergeCell ref="I10767:J10767"/>
    <mergeCell ref="I10768:J10768"/>
    <mergeCell ref="K10772:L10772"/>
    <mergeCell ref="M10772:N10772"/>
    <mergeCell ref="I10827:J10827"/>
    <mergeCell ref="K10827:L10827"/>
    <mergeCell ref="I10824:J10824"/>
    <mergeCell ref="I10825:J10825"/>
    <mergeCell ref="A10826:G10826"/>
    <mergeCell ref="I10826:J10826"/>
    <mergeCell ref="K10826:L10826"/>
    <mergeCell ref="M10826:N10826"/>
    <mergeCell ref="M10827:N10827"/>
    <mergeCell ref="K10825:L10825"/>
    <mergeCell ref="M10825:N10825"/>
    <mergeCell ref="A10820:G10820"/>
    <mergeCell ref="I10820:J10820"/>
    <mergeCell ref="K10820:L10820"/>
    <mergeCell ref="M10820:N10820"/>
    <mergeCell ref="A10823:N10823"/>
    <mergeCell ref="A10824:G10824"/>
    <mergeCell ref="A10825:G10825"/>
    <mergeCell ref="K10829:L10829"/>
    <mergeCell ref="M10829:N10829"/>
    <mergeCell ref="K10830:L10830"/>
    <mergeCell ref="M10830:N10830"/>
    <mergeCell ref="A10827:G10827"/>
    <mergeCell ref="A10828:G10828"/>
    <mergeCell ref="I10828:J10828"/>
    <mergeCell ref="K10828:L10828"/>
    <mergeCell ref="M10828:N10828"/>
    <mergeCell ref="A10829:G10829"/>
    <mergeCell ref="I10829:J10829"/>
    <mergeCell ref="I10834:J10834"/>
    <mergeCell ref="I10835:J10835"/>
    <mergeCell ref="A10832:N10832"/>
    <mergeCell ref="A10833:G10833"/>
    <mergeCell ref="I10833:J10833"/>
    <mergeCell ref="M10833:N10833"/>
    <mergeCell ref="A10834:G10834"/>
    <mergeCell ref="M10834:N10834"/>
    <mergeCell ref="M10835:N10835"/>
    <mergeCell ref="A10815:G10815"/>
    <mergeCell ref="I10815:J10815"/>
    <mergeCell ref="K10815:L10815"/>
    <mergeCell ref="M10815:N10815"/>
    <mergeCell ref="I10816:J10816"/>
    <mergeCell ref="K10816:L10816"/>
    <mergeCell ref="M10816:N10816"/>
    <mergeCell ref="K10818:L10818"/>
    <mergeCell ref="M10818:N10818"/>
    <mergeCell ref="I10818:J10818"/>
    <mergeCell ref="I10819:J10819"/>
    <mergeCell ref="K10819:L10819"/>
    <mergeCell ref="M10819:N10819"/>
    <mergeCell ref="K10821:L10821"/>
    <mergeCell ref="M10821:N10821"/>
    <mergeCell ref="A10816:G10816"/>
    <mergeCell ref="A10817:G10817"/>
    <mergeCell ref="I10817:J10817"/>
    <mergeCell ref="K10817:L10817"/>
    <mergeCell ref="M10817:N10817"/>
    <mergeCell ref="A10818:G10818"/>
    <mergeCell ref="A10819:G10819"/>
    <mergeCell ref="K10824:L10824"/>
    <mergeCell ref="M10824:N10824"/>
    <mergeCell ref="I10837:J10837"/>
    <mergeCell ref="I10838:J10838"/>
    <mergeCell ref="K10839:L10839"/>
    <mergeCell ref="M10839:N10839"/>
    <mergeCell ref="A10849:G10849"/>
    <mergeCell ref="I10849:J10849"/>
    <mergeCell ref="K10849:L10849"/>
    <mergeCell ref="M10849:N10849"/>
    <mergeCell ref="I10850:J10850"/>
    <mergeCell ref="K10850:L10850"/>
    <mergeCell ref="M10850:N10850"/>
    <mergeCell ref="A10850:G10850"/>
    <mergeCell ref="A10851:G10851"/>
    <mergeCell ref="I10851:J10851"/>
    <mergeCell ref="K10851:L10851"/>
    <mergeCell ref="M10851:N10851"/>
    <mergeCell ref="A10852:G10852"/>
    <mergeCell ref="A10853:G10853"/>
    <mergeCell ref="A10835:G10835"/>
    <mergeCell ref="A10836:G10836"/>
    <mergeCell ref="I10836:J10836"/>
    <mergeCell ref="M10836:N10836"/>
    <mergeCell ref="A10837:G10837"/>
    <mergeCell ref="M10837:N10837"/>
    <mergeCell ref="M10838:N10838"/>
    <mergeCell ref="I10847:J10847"/>
    <mergeCell ref="I10848:J10848"/>
    <mergeCell ref="K10848:L10848"/>
    <mergeCell ref="M10848:N10848"/>
    <mergeCell ref="A10838:G10838"/>
    <mergeCell ref="A10841:N10842"/>
    <mergeCell ref="A10846:N10846"/>
    <mergeCell ref="A10847:G10847"/>
    <mergeCell ref="K10847:L10847"/>
    <mergeCell ref="M10847:N10847"/>
    <mergeCell ref="A10848:G10848"/>
    <mergeCell ref="K10852:L10852"/>
    <mergeCell ref="M10852:N10852"/>
    <mergeCell ref="I10852:J10852"/>
    <mergeCell ref="I10853:J10853"/>
    <mergeCell ref="K10855:L10855"/>
    <mergeCell ref="M10855:N10855"/>
    <mergeCell ref="K10853:L10853"/>
    <mergeCell ref="M10853:N10853"/>
    <mergeCell ref="A10854:G10854"/>
    <mergeCell ref="I10854:J10854"/>
    <mergeCell ref="K10854:L10854"/>
    <mergeCell ref="M10854:N10854"/>
    <mergeCell ref="A10857:N10857"/>
    <mergeCell ref="I10870:J10870"/>
    <mergeCell ref="K10870:L10870"/>
    <mergeCell ref="I10867:J10867"/>
    <mergeCell ref="I10868:J10868"/>
    <mergeCell ref="A10869:G10869"/>
    <mergeCell ref="I10869:J10869"/>
    <mergeCell ref="K10869:L10869"/>
    <mergeCell ref="M10869:N10869"/>
    <mergeCell ref="M10870:N10870"/>
    <mergeCell ref="K10868:L10868"/>
    <mergeCell ref="M10868:N10868"/>
    <mergeCell ref="A10863:G10863"/>
    <mergeCell ref="I10863:J10863"/>
    <mergeCell ref="K10863:L10863"/>
    <mergeCell ref="M10863:N10863"/>
    <mergeCell ref="A10866:N10866"/>
    <mergeCell ref="A10867:G10867"/>
    <mergeCell ref="A10868:G10868"/>
    <mergeCell ref="K10872:L10872"/>
    <mergeCell ref="M10872:N10872"/>
    <mergeCell ref="K10873:L10873"/>
    <mergeCell ref="M10873:N10873"/>
    <mergeCell ref="A10870:G10870"/>
    <mergeCell ref="A10871:G10871"/>
    <mergeCell ref="I10871:J10871"/>
    <mergeCell ref="K10871:L10871"/>
    <mergeCell ref="M10871:N10871"/>
    <mergeCell ref="A10872:G10872"/>
    <mergeCell ref="I10872:J10872"/>
    <mergeCell ref="I10877:J10877"/>
    <mergeCell ref="I10878:J10878"/>
    <mergeCell ref="A10875:N10875"/>
    <mergeCell ref="A10876:G10876"/>
    <mergeCell ref="I10876:J10876"/>
    <mergeCell ref="M10876:N10876"/>
    <mergeCell ref="A10877:G10877"/>
    <mergeCell ref="M10877:N10877"/>
    <mergeCell ref="M10878:N10878"/>
    <mergeCell ref="A10858:G10858"/>
    <mergeCell ref="I10858:J10858"/>
    <mergeCell ref="K10858:L10858"/>
    <mergeCell ref="M10858:N10858"/>
    <mergeCell ref="I10859:J10859"/>
    <mergeCell ref="K10859:L10859"/>
    <mergeCell ref="M10859:N10859"/>
    <mergeCell ref="K10861:L10861"/>
    <mergeCell ref="M10861:N10861"/>
    <mergeCell ref="I10861:J10861"/>
    <mergeCell ref="I10862:J10862"/>
    <mergeCell ref="K10862:L10862"/>
    <mergeCell ref="M10862:N10862"/>
    <mergeCell ref="K10864:L10864"/>
    <mergeCell ref="M10864:N10864"/>
    <mergeCell ref="A10859:G10859"/>
    <mergeCell ref="A10860:G10860"/>
    <mergeCell ref="I10860:J10860"/>
    <mergeCell ref="K10860:L10860"/>
    <mergeCell ref="M10860:N10860"/>
    <mergeCell ref="A10861:G10861"/>
    <mergeCell ref="A10862:G10862"/>
    <mergeCell ref="K10867:L10867"/>
    <mergeCell ref="M10867:N10867"/>
    <mergeCell ref="I10880:J10880"/>
    <mergeCell ref="I10881:J10881"/>
    <mergeCell ref="K10882:L10882"/>
    <mergeCell ref="M10882:N10882"/>
    <mergeCell ref="A10892:G10892"/>
    <mergeCell ref="I10892:J10892"/>
    <mergeCell ref="K10892:L10892"/>
    <mergeCell ref="M10892:N10892"/>
    <mergeCell ref="I10893:J10893"/>
    <mergeCell ref="K10893:L10893"/>
    <mergeCell ref="M10893:N10893"/>
    <mergeCell ref="A10893:G10893"/>
    <mergeCell ref="A10894:G10894"/>
    <mergeCell ref="I10894:J10894"/>
    <mergeCell ref="K10894:L10894"/>
    <mergeCell ref="M10894:N10894"/>
    <mergeCell ref="A10895:G10895"/>
    <mergeCell ref="A10896:G10896"/>
    <mergeCell ref="A10878:G10878"/>
    <mergeCell ref="A10879:G10879"/>
    <mergeCell ref="I10879:J10879"/>
    <mergeCell ref="M10879:N10879"/>
    <mergeCell ref="A10880:G10880"/>
    <mergeCell ref="M10880:N10880"/>
    <mergeCell ref="M10881:N10881"/>
    <mergeCell ref="I10890:J10890"/>
    <mergeCell ref="I10891:J10891"/>
    <mergeCell ref="K10891:L10891"/>
    <mergeCell ref="M10891:N10891"/>
    <mergeCell ref="A10881:G10881"/>
    <mergeCell ref="A10884:N10885"/>
    <mergeCell ref="A10889:N10889"/>
    <mergeCell ref="A10890:G10890"/>
    <mergeCell ref="K10890:L10890"/>
    <mergeCell ref="M10890:N10890"/>
    <mergeCell ref="A10891:G10891"/>
    <mergeCell ref="K10895:L10895"/>
    <mergeCell ref="M10895:N10895"/>
    <mergeCell ref="I10895:J10895"/>
    <mergeCell ref="I10896:J10896"/>
    <mergeCell ref="K10898:L10898"/>
    <mergeCell ref="M10898:N10898"/>
    <mergeCell ref="K10896:L10896"/>
    <mergeCell ref="M10896:N10896"/>
    <mergeCell ref="A10897:G10897"/>
    <mergeCell ref="I10897:J10897"/>
    <mergeCell ref="K10897:L10897"/>
    <mergeCell ref="M10897:N10897"/>
    <mergeCell ref="A10900:N10900"/>
    <mergeCell ref="I10913:J10913"/>
    <mergeCell ref="K10913:L10913"/>
    <mergeCell ref="I10910:J10910"/>
    <mergeCell ref="I10911:J10911"/>
    <mergeCell ref="A10912:G10912"/>
    <mergeCell ref="I10912:J10912"/>
    <mergeCell ref="K10912:L10912"/>
    <mergeCell ref="M10912:N10912"/>
    <mergeCell ref="M10913:N10913"/>
    <mergeCell ref="K10911:L10911"/>
    <mergeCell ref="M10911:N10911"/>
    <mergeCell ref="A10906:G10906"/>
    <mergeCell ref="I10906:J10906"/>
    <mergeCell ref="K10906:L10906"/>
    <mergeCell ref="M10906:N10906"/>
    <mergeCell ref="A10909:N10909"/>
    <mergeCell ref="A10910:G10910"/>
    <mergeCell ref="A10911:G10911"/>
    <mergeCell ref="K10915:L10915"/>
    <mergeCell ref="M10915:N10915"/>
    <mergeCell ref="K10916:L10916"/>
    <mergeCell ref="M10916:N10916"/>
    <mergeCell ref="A10913:G10913"/>
    <mergeCell ref="A10914:G10914"/>
    <mergeCell ref="I10914:J10914"/>
    <mergeCell ref="K10914:L10914"/>
    <mergeCell ref="M10914:N10914"/>
    <mergeCell ref="A10915:G10915"/>
    <mergeCell ref="I10915:J10915"/>
    <mergeCell ref="I10920:J10920"/>
    <mergeCell ref="I10921:J10921"/>
    <mergeCell ref="A10918:N10918"/>
    <mergeCell ref="A10919:G10919"/>
    <mergeCell ref="I10919:J10919"/>
    <mergeCell ref="M10919:N10919"/>
    <mergeCell ref="A10920:G10920"/>
    <mergeCell ref="M10920:N10920"/>
    <mergeCell ref="M10921:N10921"/>
    <mergeCell ref="A10901:G10901"/>
    <mergeCell ref="I10901:J10901"/>
    <mergeCell ref="K10901:L10901"/>
    <mergeCell ref="M10901:N10901"/>
    <mergeCell ref="I10902:J10902"/>
    <mergeCell ref="K10902:L10902"/>
    <mergeCell ref="M10902:N10902"/>
    <mergeCell ref="K10904:L10904"/>
    <mergeCell ref="M10904:N10904"/>
    <mergeCell ref="I10904:J10904"/>
    <mergeCell ref="I10905:J10905"/>
    <mergeCell ref="K10905:L10905"/>
    <mergeCell ref="M10905:N10905"/>
    <mergeCell ref="K10907:L10907"/>
    <mergeCell ref="M10907:N10907"/>
    <mergeCell ref="A10902:G10902"/>
    <mergeCell ref="A10903:G10903"/>
    <mergeCell ref="I10903:J10903"/>
    <mergeCell ref="K10903:L10903"/>
    <mergeCell ref="M10903:N10903"/>
    <mergeCell ref="A10904:G10904"/>
    <mergeCell ref="A10905:G10905"/>
    <mergeCell ref="K10910:L10910"/>
    <mergeCell ref="M10910:N10910"/>
    <mergeCell ref="I10923:J10923"/>
    <mergeCell ref="I10924:J10924"/>
    <mergeCell ref="K10925:L10925"/>
    <mergeCell ref="M10925:N10925"/>
    <mergeCell ref="A10935:G10935"/>
    <mergeCell ref="I10935:J10935"/>
    <mergeCell ref="K10935:L10935"/>
    <mergeCell ref="M10935:N10935"/>
    <mergeCell ref="I10936:J10936"/>
    <mergeCell ref="K10936:L10936"/>
    <mergeCell ref="M10936:N10936"/>
    <mergeCell ref="A10936:G10936"/>
    <mergeCell ref="A10937:G10937"/>
    <mergeCell ref="I10937:J10937"/>
    <mergeCell ref="K10937:L10937"/>
    <mergeCell ref="M10937:N10937"/>
    <mergeCell ref="A10938:G10938"/>
    <mergeCell ref="A10939:G10939"/>
    <mergeCell ref="A10921:G10921"/>
    <mergeCell ref="A10922:G10922"/>
    <mergeCell ref="I10922:J10922"/>
    <mergeCell ref="M10922:N10922"/>
    <mergeCell ref="A10923:G10923"/>
    <mergeCell ref="M10923:N10923"/>
    <mergeCell ref="M10924:N10924"/>
    <mergeCell ref="I10933:J10933"/>
    <mergeCell ref="I10934:J10934"/>
    <mergeCell ref="K10934:L10934"/>
    <mergeCell ref="M10934:N10934"/>
    <mergeCell ref="A10924:G10924"/>
    <mergeCell ref="A10927:N10928"/>
    <mergeCell ref="A10932:N10932"/>
    <mergeCell ref="A10933:G10933"/>
    <mergeCell ref="K10933:L10933"/>
    <mergeCell ref="M10933:N10933"/>
    <mergeCell ref="A10934:G10934"/>
    <mergeCell ref="K10938:L10938"/>
    <mergeCell ref="M10938:N10938"/>
    <mergeCell ref="I10938:J10938"/>
    <mergeCell ref="I10939:J10939"/>
    <mergeCell ref="K10941:L10941"/>
    <mergeCell ref="M10941:N10941"/>
    <mergeCell ref="K10939:L10939"/>
    <mergeCell ref="M10939:N10939"/>
    <mergeCell ref="A10940:G10940"/>
    <mergeCell ref="I10940:J10940"/>
    <mergeCell ref="K10940:L10940"/>
    <mergeCell ref="M10940:N10940"/>
    <mergeCell ref="A10943:N10943"/>
    <mergeCell ref="I10956:J10956"/>
    <mergeCell ref="K10956:L10956"/>
    <mergeCell ref="I10953:J10953"/>
    <mergeCell ref="I10954:J10954"/>
    <mergeCell ref="A10955:G10955"/>
    <mergeCell ref="I10955:J10955"/>
    <mergeCell ref="K10955:L10955"/>
    <mergeCell ref="M10955:N10955"/>
    <mergeCell ref="M10956:N10956"/>
    <mergeCell ref="K10998:L10998"/>
    <mergeCell ref="M10998:N10998"/>
    <mergeCell ref="K10994:L10994"/>
    <mergeCell ref="M10994:N10994"/>
    <mergeCell ref="A10996:N10996"/>
    <mergeCell ref="A10997:G10997"/>
    <mergeCell ref="K10997:L10997"/>
    <mergeCell ref="M10997:N10997"/>
    <mergeCell ref="A10998:G10998"/>
    <mergeCell ref="K10982:L10982"/>
    <mergeCell ref="M10982:N10982"/>
    <mergeCell ref="A10983:G10983"/>
    <mergeCell ref="I10983:J10983"/>
    <mergeCell ref="K10983:L10983"/>
    <mergeCell ref="M10983:N10983"/>
    <mergeCell ref="M10984:N10984"/>
    <mergeCell ref="A10989:G10989"/>
    <mergeCell ref="A10990:G10990"/>
    <mergeCell ref="A10991:G10991"/>
    <mergeCell ref="A10992:G10992"/>
    <mergeCell ref="A10993:G10993"/>
    <mergeCell ref="A10984:G10984"/>
    <mergeCell ref="A10987:N10987"/>
    <mergeCell ref="A10988:G10988"/>
    <mergeCell ref="I10988:J10988"/>
    <mergeCell ref="K10988:L10988"/>
    <mergeCell ref="M10988:N10988"/>
    <mergeCell ref="M10989:N10989"/>
    <mergeCell ref="I10989:J10989"/>
    <mergeCell ref="K10989:L10989"/>
    <mergeCell ref="I10990:J10990"/>
    <mergeCell ref="K10990:L10990"/>
    <mergeCell ref="M10990:N10990"/>
    <mergeCell ref="K10991:L10991"/>
    <mergeCell ref="M10991:N10991"/>
    <mergeCell ref="I10991:J10991"/>
    <mergeCell ref="I10992:J10992"/>
    <mergeCell ref="K10992:L10992"/>
    <mergeCell ref="M10992:N10992"/>
    <mergeCell ref="I10993:J10993"/>
    <mergeCell ref="K10993:L10993"/>
    <mergeCell ref="M10993:N10993"/>
    <mergeCell ref="I10997:J10997"/>
    <mergeCell ref="I10998:J10998"/>
    <mergeCell ref="K10979:L10979"/>
    <mergeCell ref="M10979:N10979"/>
    <mergeCell ref="K11002:L11002"/>
    <mergeCell ref="M11002:N11002"/>
    <mergeCell ref="K10954:L10954"/>
    <mergeCell ref="M10954:N10954"/>
    <mergeCell ref="A10949:G10949"/>
    <mergeCell ref="I10949:J10949"/>
    <mergeCell ref="K10949:L10949"/>
    <mergeCell ref="M10949:N10949"/>
    <mergeCell ref="A10952:N10952"/>
    <mergeCell ref="A10953:G10953"/>
    <mergeCell ref="A10954:G10954"/>
    <mergeCell ref="K10958:L10958"/>
    <mergeCell ref="M10958:N10958"/>
    <mergeCell ref="K10959:L10959"/>
    <mergeCell ref="M10959:N10959"/>
    <mergeCell ref="A10956:G10956"/>
    <mergeCell ref="A10957:G10957"/>
    <mergeCell ref="I10957:J10957"/>
    <mergeCell ref="K10957:L10957"/>
    <mergeCell ref="M10957:N10957"/>
    <mergeCell ref="A10958:G10958"/>
    <mergeCell ref="I10958:J10958"/>
    <mergeCell ref="I10963:J10963"/>
    <mergeCell ref="I10964:J10964"/>
    <mergeCell ref="A10961:N10961"/>
    <mergeCell ref="A10962:G10962"/>
    <mergeCell ref="I10962:J10962"/>
    <mergeCell ref="M10962:N10962"/>
    <mergeCell ref="A10963:G10963"/>
    <mergeCell ref="M10963:N10963"/>
    <mergeCell ref="M10964:N10964"/>
    <mergeCell ref="A10944:G10944"/>
    <mergeCell ref="I10944:J10944"/>
    <mergeCell ref="K10944:L10944"/>
    <mergeCell ref="M10944:N10944"/>
    <mergeCell ref="I10945:J10945"/>
    <mergeCell ref="K10945:L10945"/>
    <mergeCell ref="M10945:N10945"/>
    <mergeCell ref="K10947:L10947"/>
    <mergeCell ref="M10947:N10947"/>
    <mergeCell ref="I10947:J10947"/>
    <mergeCell ref="I10948:J10948"/>
    <mergeCell ref="K10948:L10948"/>
    <mergeCell ref="M10948:N10948"/>
    <mergeCell ref="K10950:L10950"/>
    <mergeCell ref="M10950:N10950"/>
    <mergeCell ref="A10945:G10945"/>
    <mergeCell ref="A10946:G10946"/>
    <mergeCell ref="I10946:J10946"/>
    <mergeCell ref="K10946:L10946"/>
    <mergeCell ref="M10946:N10946"/>
    <mergeCell ref="A10947:G10947"/>
    <mergeCell ref="A10948:G10948"/>
    <mergeCell ref="K10953:L10953"/>
    <mergeCell ref="M10953:N10953"/>
    <mergeCell ref="I10966:J10966"/>
    <mergeCell ref="I10967:J10967"/>
    <mergeCell ref="K10968:L10968"/>
    <mergeCell ref="M10968:N10968"/>
    <mergeCell ref="A10978:G10978"/>
    <mergeCell ref="I10978:J10978"/>
    <mergeCell ref="K10978:L10978"/>
    <mergeCell ref="M10978:N10978"/>
    <mergeCell ref="I10979:J10979"/>
    <mergeCell ref="A10979:G10979"/>
    <mergeCell ref="A10980:G10980"/>
    <mergeCell ref="I10980:J10980"/>
    <mergeCell ref="K10980:L10980"/>
    <mergeCell ref="M10980:N10980"/>
    <mergeCell ref="A10981:G10981"/>
    <mergeCell ref="A10982:G10982"/>
    <mergeCell ref="A10964:G10964"/>
    <mergeCell ref="A10965:G10965"/>
    <mergeCell ref="I10965:J10965"/>
    <mergeCell ref="M10965:N10965"/>
    <mergeCell ref="A10966:G10966"/>
    <mergeCell ref="M10966:N10966"/>
    <mergeCell ref="M10967:N10967"/>
    <mergeCell ref="I10976:J10976"/>
    <mergeCell ref="I10977:J10977"/>
    <mergeCell ref="K10977:L10977"/>
    <mergeCell ref="M10977:N10977"/>
    <mergeCell ref="A10967:G10967"/>
    <mergeCell ref="A10970:N10971"/>
    <mergeCell ref="A10975:N10975"/>
    <mergeCell ref="A10976:G10976"/>
    <mergeCell ref="K10976:L10976"/>
    <mergeCell ref="M10976:N10976"/>
    <mergeCell ref="A10977:G10977"/>
    <mergeCell ref="K10981:L10981"/>
    <mergeCell ref="M10981:N10981"/>
    <mergeCell ref="I10981:J10981"/>
    <mergeCell ref="I10982:J10982"/>
    <mergeCell ref="I10984:J10984"/>
    <mergeCell ref="K10984:L10984"/>
    <mergeCell ref="K10985:L10985"/>
    <mergeCell ref="M10985:N10985"/>
    <mergeCell ref="I11022:J11022"/>
    <mergeCell ref="I11023:J11023"/>
    <mergeCell ref="K11023:L11023"/>
    <mergeCell ref="M11023:N11023"/>
    <mergeCell ref="I11020:J11020"/>
    <mergeCell ref="K11020:L11020"/>
    <mergeCell ref="I11021:J11021"/>
    <mergeCell ref="K11021:L11021"/>
    <mergeCell ref="M11021:N11021"/>
    <mergeCell ref="K11022:L11022"/>
    <mergeCell ref="M11022:N11022"/>
    <mergeCell ref="A11020:G11020"/>
    <mergeCell ref="A11021:G11021"/>
    <mergeCell ref="A11022:G11022"/>
    <mergeCell ref="A11023:G11023"/>
    <mergeCell ref="I11024:J11024"/>
    <mergeCell ref="K11024:L11024"/>
    <mergeCell ref="M11024:N11024"/>
    <mergeCell ref="A11024:G11024"/>
    <mergeCell ref="A11025:G11025"/>
    <mergeCell ref="I11025:J11025"/>
    <mergeCell ref="K11025:L11025"/>
    <mergeCell ref="M11025:N11025"/>
    <mergeCell ref="A11026:G11026"/>
    <mergeCell ref="I11026:J11026"/>
    <mergeCell ref="K11026:L11026"/>
    <mergeCell ref="M11026:N11026"/>
    <mergeCell ref="A11027:G11027"/>
    <mergeCell ref="I11027:J11027"/>
    <mergeCell ref="K11027:L11027"/>
    <mergeCell ref="M11027:N11027"/>
    <mergeCell ref="K11028:L11028"/>
    <mergeCell ref="M11028:N11028"/>
    <mergeCell ref="A11030:N11030"/>
    <mergeCell ref="A11031:G11031"/>
    <mergeCell ref="I11031:J11031"/>
    <mergeCell ref="K11031:L11031"/>
    <mergeCell ref="M11031:N11031"/>
    <mergeCell ref="A11032:G11032"/>
    <mergeCell ref="M11032:N11032"/>
    <mergeCell ref="I11034:J11034"/>
    <mergeCell ref="K11034:L11034"/>
    <mergeCell ref="I11032:J11032"/>
    <mergeCell ref="K11032:L11032"/>
    <mergeCell ref="A11033:G11033"/>
    <mergeCell ref="I11033:J11033"/>
    <mergeCell ref="K11033:L11033"/>
    <mergeCell ref="M11033:N11033"/>
    <mergeCell ref="M11034:N11034"/>
    <mergeCell ref="K11036:L11036"/>
    <mergeCell ref="M11036:N11036"/>
    <mergeCell ref="K11037:L11037"/>
    <mergeCell ref="M11037:N11037"/>
    <mergeCell ref="A11034:G11034"/>
    <mergeCell ref="A11035:G11035"/>
    <mergeCell ref="I11035:J11035"/>
    <mergeCell ref="K11035:L11035"/>
    <mergeCell ref="M11035:N11035"/>
    <mergeCell ref="A11036:G11036"/>
    <mergeCell ref="I11036:J11036"/>
    <mergeCell ref="A10999:G10999"/>
    <mergeCell ref="I10999:J10999"/>
    <mergeCell ref="K10999:L10999"/>
    <mergeCell ref="M10999:N10999"/>
    <mergeCell ref="I11000:J11000"/>
    <mergeCell ref="K11000:L11000"/>
    <mergeCell ref="M11000:N11000"/>
    <mergeCell ref="A11000:G11000"/>
    <mergeCell ref="A11001:G11001"/>
    <mergeCell ref="I11001:J11001"/>
    <mergeCell ref="K11001:L11001"/>
    <mergeCell ref="M11001:N11001"/>
    <mergeCell ref="A11002:G11002"/>
    <mergeCell ref="I11002:J11002"/>
    <mergeCell ref="M11006:N11006"/>
    <mergeCell ref="M11007:N11007"/>
    <mergeCell ref="M11009:N11009"/>
    <mergeCell ref="M11010:N11010"/>
    <mergeCell ref="M11011:N11011"/>
    <mergeCell ref="M11012:N11012"/>
    <mergeCell ref="I11007:J11007"/>
    <mergeCell ref="I11008:J11008"/>
    <mergeCell ref="I11009:J11009"/>
    <mergeCell ref="I11010:J11010"/>
    <mergeCell ref="I11011:J11011"/>
    <mergeCell ref="K11012:L11012"/>
    <mergeCell ref="K11003:L11003"/>
    <mergeCell ref="M11003:N11003"/>
    <mergeCell ref="A11005:N11005"/>
    <mergeCell ref="A11006:G11006"/>
    <mergeCell ref="I11006:J11006"/>
    <mergeCell ref="A11007:G11007"/>
    <mergeCell ref="M11008:N11008"/>
    <mergeCell ref="A11008:G11008"/>
    <mergeCell ref="A11009:G11009"/>
    <mergeCell ref="A11010:G11010"/>
    <mergeCell ref="A11011:G11011"/>
    <mergeCell ref="A11014:N11015"/>
    <mergeCell ref="A11019:N11019"/>
    <mergeCell ref="M11020:N11020"/>
    <mergeCell ref="K11041:L11041"/>
    <mergeCell ref="M11041:N11041"/>
    <mergeCell ref="M11054:N11054"/>
    <mergeCell ref="K11055:L11055"/>
    <mergeCell ref="M11055:N11055"/>
    <mergeCell ref="I11050:J11050"/>
    <mergeCell ref="I11051:J11051"/>
    <mergeCell ref="I11052:J11052"/>
    <mergeCell ref="M11052:N11052"/>
    <mergeCell ref="I11053:J11053"/>
    <mergeCell ref="M11053:N11053"/>
    <mergeCell ref="I11054:J11054"/>
    <mergeCell ref="I11063:J11063"/>
    <mergeCell ref="K11063:L11063"/>
    <mergeCell ref="I11064:J11064"/>
    <mergeCell ref="K11064:L11064"/>
    <mergeCell ref="M11064:N11064"/>
    <mergeCell ref="K11065:L11065"/>
    <mergeCell ref="M11065:N11065"/>
    <mergeCell ref="I11065:J11065"/>
    <mergeCell ref="I11066:J11066"/>
    <mergeCell ref="K11066:L11066"/>
    <mergeCell ref="M11066:N11066"/>
    <mergeCell ref="I11067:J11067"/>
    <mergeCell ref="K11067:L11067"/>
    <mergeCell ref="M11067:N11067"/>
    <mergeCell ref="A11048:N11048"/>
    <mergeCell ref="A11049:G11049"/>
    <mergeCell ref="I11049:J11049"/>
    <mergeCell ref="M11049:N11049"/>
    <mergeCell ref="A11050:G11050"/>
    <mergeCell ref="M11050:N11050"/>
    <mergeCell ref="M11051:N11051"/>
    <mergeCell ref="A11051:G11051"/>
    <mergeCell ref="A11052:G11052"/>
    <mergeCell ref="A11053:G11053"/>
    <mergeCell ref="A11054:G11054"/>
    <mergeCell ref="A11057:N11058"/>
    <mergeCell ref="A11062:N11062"/>
    <mergeCell ref="M11063:N11063"/>
    <mergeCell ref="I11041:J11041"/>
    <mergeCell ref="I11042:J11042"/>
    <mergeCell ref="K11042:L11042"/>
    <mergeCell ref="M11042:N11042"/>
    <mergeCell ref="A11039:N11039"/>
    <mergeCell ref="A11040:G11040"/>
    <mergeCell ref="I11040:J11040"/>
    <mergeCell ref="K11040:L11040"/>
    <mergeCell ref="M11040:N11040"/>
    <mergeCell ref="A11041:G11041"/>
    <mergeCell ref="A11042:G11042"/>
    <mergeCell ref="A11043:G11043"/>
    <mergeCell ref="I11043:J11043"/>
    <mergeCell ref="K11043:L11043"/>
    <mergeCell ref="M11043:N11043"/>
    <mergeCell ref="I11044:J11044"/>
    <mergeCell ref="K11044:L11044"/>
    <mergeCell ref="M11044:N11044"/>
    <mergeCell ref="A11044:G11044"/>
    <mergeCell ref="A11045:G11045"/>
    <mergeCell ref="I11045:J11045"/>
    <mergeCell ref="K11045:L11045"/>
    <mergeCell ref="M11045:N11045"/>
    <mergeCell ref="K11046:L11046"/>
    <mergeCell ref="M11046:N11046"/>
    <mergeCell ref="A11063:G11063"/>
    <mergeCell ref="A11064:G11064"/>
    <mergeCell ref="A11065:G11065"/>
    <mergeCell ref="A11066:G11066"/>
    <mergeCell ref="A11067:G11067"/>
    <mergeCell ref="A11068:G11068"/>
    <mergeCell ref="A11069:G11069"/>
    <mergeCell ref="I11068:J11068"/>
    <mergeCell ref="K11068:L11068"/>
    <mergeCell ref="M11068:N11068"/>
    <mergeCell ref="I11069:J11069"/>
    <mergeCell ref="K11069:L11069"/>
    <mergeCell ref="M11069:N11069"/>
    <mergeCell ref="K11070:L11070"/>
    <mergeCell ref="A11074:G11074"/>
    <mergeCell ref="A11075:G11075"/>
    <mergeCell ref="A11076:G11076"/>
    <mergeCell ref="A11077:G11077"/>
    <mergeCell ref="A11078:G11078"/>
    <mergeCell ref="M11070:N11070"/>
    <mergeCell ref="A11072:N11072"/>
    <mergeCell ref="A11073:G11073"/>
    <mergeCell ref="I11073:J11073"/>
    <mergeCell ref="K11073:L11073"/>
    <mergeCell ref="M11073:N11073"/>
    <mergeCell ref="M11074:N11074"/>
    <mergeCell ref="I11074:J11074"/>
    <mergeCell ref="K11074:L11074"/>
    <mergeCell ref="I11075:J11075"/>
    <mergeCell ref="K11075:L11075"/>
    <mergeCell ref="M11075:N11075"/>
    <mergeCell ref="K11076:L11076"/>
    <mergeCell ref="M11076:N11076"/>
    <mergeCell ref="I11076:J11076"/>
    <mergeCell ref="I11077:J11077"/>
    <mergeCell ref="K11077:L11077"/>
    <mergeCell ref="M11077:N11077"/>
    <mergeCell ref="I11078:J11078"/>
    <mergeCell ref="K11078:L11078"/>
    <mergeCell ref="M11078:N11078"/>
    <mergeCell ref="M11096:N11096"/>
    <mergeCell ref="K11097:L11097"/>
    <mergeCell ref="M11097:N11097"/>
    <mergeCell ref="A11099:N11100"/>
    <mergeCell ref="A11104:N11104"/>
    <mergeCell ref="A11105:G11105"/>
    <mergeCell ref="A11106:G11106"/>
    <mergeCell ref="K11110:L11110"/>
    <mergeCell ref="M11110:N11110"/>
    <mergeCell ref="I11110:J11110"/>
    <mergeCell ref="I11111:J11111"/>
    <mergeCell ref="K11111:L11111"/>
    <mergeCell ref="M11111:N11111"/>
    <mergeCell ref="I11082:J11082"/>
    <mergeCell ref="I11083:J11083"/>
    <mergeCell ref="K11083:L11083"/>
    <mergeCell ref="M11083:N11083"/>
    <mergeCell ref="K11079:L11079"/>
    <mergeCell ref="M11079:N11079"/>
    <mergeCell ref="A11081:N11081"/>
    <mergeCell ref="A11082:G11082"/>
    <mergeCell ref="K11082:L11082"/>
    <mergeCell ref="M11082:N11082"/>
    <mergeCell ref="A11083:G11083"/>
    <mergeCell ref="A11084:G11084"/>
    <mergeCell ref="I11084:J11084"/>
    <mergeCell ref="K11084:L11084"/>
    <mergeCell ref="M11084:N11084"/>
    <mergeCell ref="I11085:J11085"/>
    <mergeCell ref="K11085:L11085"/>
    <mergeCell ref="M11085:N11085"/>
    <mergeCell ref="K11087:L11087"/>
    <mergeCell ref="M11087:N11087"/>
    <mergeCell ref="K11088:L11088"/>
    <mergeCell ref="M11088:N11088"/>
    <mergeCell ref="A11085:G11085"/>
    <mergeCell ref="A11086:G11086"/>
    <mergeCell ref="I11086:J11086"/>
    <mergeCell ref="K11086:L11086"/>
    <mergeCell ref="M11086:N11086"/>
    <mergeCell ref="A11087:G11087"/>
    <mergeCell ref="I11087:J11087"/>
    <mergeCell ref="A11093:G11093"/>
    <mergeCell ref="A11094:G11094"/>
    <mergeCell ref="A11095:G11095"/>
    <mergeCell ref="A11096:G11096"/>
    <mergeCell ref="A11090:N11090"/>
    <mergeCell ref="A11091:G11091"/>
    <mergeCell ref="I11091:J11091"/>
    <mergeCell ref="M11091:N11091"/>
    <mergeCell ref="A11092:G11092"/>
    <mergeCell ref="M11092:N11092"/>
    <mergeCell ref="M11093:N11093"/>
    <mergeCell ref="I11092:J11092"/>
    <mergeCell ref="I11093:J11093"/>
    <mergeCell ref="I11094:J11094"/>
    <mergeCell ref="M11094:N11094"/>
    <mergeCell ref="I11095:J11095"/>
    <mergeCell ref="M11095:N11095"/>
    <mergeCell ref="I11096:J11096"/>
    <mergeCell ref="K11105:L11105"/>
    <mergeCell ref="M11105:N11105"/>
    <mergeCell ref="A11107:G11107"/>
    <mergeCell ref="I11107:J11107"/>
    <mergeCell ref="K11107:L11107"/>
    <mergeCell ref="M11107:N11107"/>
    <mergeCell ref="I11108:J11108"/>
    <mergeCell ref="K11108:L11108"/>
    <mergeCell ref="M11108:N11108"/>
    <mergeCell ref="A11108:G11108"/>
    <mergeCell ref="A11109:G11109"/>
    <mergeCell ref="I11109:J11109"/>
    <mergeCell ref="K11109:L11109"/>
    <mergeCell ref="M11109:N11109"/>
    <mergeCell ref="A11110:G11110"/>
    <mergeCell ref="A11111:G11111"/>
    <mergeCell ref="I11105:J11105"/>
    <mergeCell ref="I11106:J11106"/>
    <mergeCell ref="K11106:L11106"/>
    <mergeCell ref="M11106:N11106"/>
    <mergeCell ref="A11129:G11129"/>
    <mergeCell ref="I11129:J11129"/>
    <mergeCell ref="K11129:L11129"/>
    <mergeCell ref="M11129:N11129"/>
    <mergeCell ref="K11130:L11130"/>
    <mergeCell ref="M11130:N11130"/>
    <mergeCell ref="A11135:G11135"/>
    <mergeCell ref="A11136:G11136"/>
    <mergeCell ref="A11137:G11137"/>
    <mergeCell ref="A11138:G11138"/>
    <mergeCell ref="A11132:N11132"/>
    <mergeCell ref="A11133:G11133"/>
    <mergeCell ref="I11133:J11133"/>
    <mergeCell ref="M11133:N11133"/>
    <mergeCell ref="A11134:G11134"/>
    <mergeCell ref="M11134:N11134"/>
    <mergeCell ref="M11135:N11135"/>
    <mergeCell ref="I11134:J11134"/>
    <mergeCell ref="I11135:J11135"/>
    <mergeCell ref="I11136:J11136"/>
    <mergeCell ref="M11136:N11136"/>
    <mergeCell ref="K11112:L11112"/>
    <mergeCell ref="M11112:N11112"/>
    <mergeCell ref="K11116:L11116"/>
    <mergeCell ref="M11116:N11116"/>
    <mergeCell ref="K11126:L11126"/>
    <mergeCell ref="M11126:N11126"/>
    <mergeCell ref="A11123:N11123"/>
    <mergeCell ref="A11124:G11124"/>
    <mergeCell ref="I11124:J11124"/>
    <mergeCell ref="K11124:L11124"/>
    <mergeCell ref="M11124:N11124"/>
    <mergeCell ref="A11125:G11125"/>
    <mergeCell ref="A11126:G11126"/>
    <mergeCell ref="I11138:J11138"/>
    <mergeCell ref="I11137:J11137"/>
    <mergeCell ref="M11137:N11137"/>
    <mergeCell ref="I11116:J11116"/>
    <mergeCell ref="I11117:J11117"/>
    <mergeCell ref="K11117:L11117"/>
    <mergeCell ref="M11117:N11117"/>
    <mergeCell ref="A11114:N11114"/>
    <mergeCell ref="A11115:G11115"/>
    <mergeCell ref="I11115:J11115"/>
    <mergeCell ref="K11115:L11115"/>
    <mergeCell ref="M11115:N11115"/>
    <mergeCell ref="A11116:G11116"/>
    <mergeCell ref="A11117:G11117"/>
    <mergeCell ref="I11208:J11208"/>
    <mergeCell ref="K11208:L11208"/>
    <mergeCell ref="M11208:N11208"/>
    <mergeCell ref="A11205:N11205"/>
    <mergeCell ref="A11206:G11206"/>
    <mergeCell ref="I11206:J11206"/>
    <mergeCell ref="K11206:L11206"/>
    <mergeCell ref="M11206:N11206"/>
    <mergeCell ref="A11207:G11207"/>
    <mergeCell ref="A11208:G11208"/>
    <mergeCell ref="K11198:L11198"/>
    <mergeCell ref="M11198:N11198"/>
    <mergeCell ref="I11198:J11198"/>
    <mergeCell ref="I11199:J11199"/>
    <mergeCell ref="K11199:L11199"/>
    <mergeCell ref="M11199:N11199"/>
    <mergeCell ref="A11196:N11196"/>
    <mergeCell ref="A11197:G11197"/>
    <mergeCell ref="I11197:J11197"/>
    <mergeCell ref="K11197:L11197"/>
    <mergeCell ref="M11197:N11197"/>
    <mergeCell ref="A11198:G11198"/>
    <mergeCell ref="A11199:G11199"/>
    <mergeCell ref="A11200:G11200"/>
    <mergeCell ref="I11200:J11200"/>
    <mergeCell ref="K11200:L11200"/>
    <mergeCell ref="M11200:N11200"/>
    <mergeCell ref="I11201:J11201"/>
    <mergeCell ref="K11201:L11201"/>
    <mergeCell ref="M11201:N11201"/>
    <mergeCell ref="A11201:G11201"/>
    <mergeCell ref="I11191:J11191"/>
    <mergeCell ref="K11191:L11191"/>
    <mergeCell ref="M11191:N11191"/>
    <mergeCell ref="K11193:L11193"/>
    <mergeCell ref="M11193:N11193"/>
    <mergeCell ref="K11194:L11194"/>
    <mergeCell ref="M11194:N11194"/>
    <mergeCell ref="A11191:G11191"/>
    <mergeCell ref="A11192:G11192"/>
    <mergeCell ref="I11192:J11192"/>
    <mergeCell ref="K11192:L11192"/>
    <mergeCell ref="M11192:N11192"/>
    <mergeCell ref="A11193:G11193"/>
    <mergeCell ref="I11193:J11193"/>
    <mergeCell ref="A11179:G11179"/>
    <mergeCell ref="A11182:N11183"/>
    <mergeCell ref="A11187:N11187"/>
    <mergeCell ref="A11188:G11188"/>
    <mergeCell ref="K11188:L11188"/>
    <mergeCell ref="M11188:N11188"/>
    <mergeCell ref="A11189:G11189"/>
    <mergeCell ref="A11190:G11190"/>
    <mergeCell ref="I11190:J11190"/>
    <mergeCell ref="K11190:L11190"/>
    <mergeCell ref="M11190:N11190"/>
    <mergeCell ref="K11147:L11147"/>
    <mergeCell ref="M11147:N11147"/>
    <mergeCell ref="I11147:J11147"/>
    <mergeCell ref="I11148:J11148"/>
    <mergeCell ref="K11148:L11148"/>
    <mergeCell ref="M11148:N11148"/>
    <mergeCell ref="M11138:N11138"/>
    <mergeCell ref="K11139:L11139"/>
    <mergeCell ref="M11139:N11139"/>
    <mergeCell ref="A11141:N11142"/>
    <mergeCell ref="A11146:N11146"/>
    <mergeCell ref="A11147:G11147"/>
    <mergeCell ref="A11148:G11148"/>
    <mergeCell ref="A11149:G11149"/>
    <mergeCell ref="I11149:J11149"/>
    <mergeCell ref="A11202:G11202"/>
    <mergeCell ref="I11202:J11202"/>
    <mergeCell ref="K11202:L11202"/>
    <mergeCell ref="M11202:N11202"/>
    <mergeCell ref="K11203:L11203"/>
    <mergeCell ref="M11203:N11203"/>
    <mergeCell ref="K11207:L11207"/>
    <mergeCell ref="M11207:N11207"/>
    <mergeCell ref="I11207:J11207"/>
    <mergeCell ref="A11127:G11127"/>
    <mergeCell ref="I11127:J11127"/>
    <mergeCell ref="K11127:L11127"/>
    <mergeCell ref="M11127:N11127"/>
    <mergeCell ref="M11128:N11128"/>
    <mergeCell ref="A11231:G11231"/>
    <mergeCell ref="I11231:J11231"/>
    <mergeCell ref="K11231:L11231"/>
    <mergeCell ref="M11231:N11231"/>
    <mergeCell ref="I11232:J11232"/>
    <mergeCell ref="K11232:L11232"/>
    <mergeCell ref="M11232:N11232"/>
    <mergeCell ref="A11232:G11232"/>
    <mergeCell ref="A11233:G11233"/>
    <mergeCell ref="I11233:J11233"/>
    <mergeCell ref="K11233:L11233"/>
    <mergeCell ref="M11233:N11233"/>
    <mergeCell ref="I11216:J11216"/>
    <mergeCell ref="I11217:J11217"/>
    <mergeCell ref="I11218:J11218"/>
    <mergeCell ref="M11218:N11218"/>
    <mergeCell ref="I11219:J11219"/>
    <mergeCell ref="M11219:N11219"/>
    <mergeCell ref="I11220:J11220"/>
    <mergeCell ref="K11229:L11229"/>
    <mergeCell ref="M11229:N11229"/>
    <mergeCell ref="I11229:J11229"/>
    <mergeCell ref="I11230:J11230"/>
    <mergeCell ref="K11230:L11230"/>
    <mergeCell ref="M11230:N11230"/>
    <mergeCell ref="M11220:N11220"/>
    <mergeCell ref="K11221:L11221"/>
    <mergeCell ref="M11221:N11221"/>
    <mergeCell ref="A11223:N11224"/>
    <mergeCell ref="A11228:N11228"/>
    <mergeCell ref="A11229:G11229"/>
    <mergeCell ref="A11230:G11230"/>
    <mergeCell ref="A11217:G11217"/>
    <mergeCell ref="A11218:G11218"/>
    <mergeCell ref="A11219:G11219"/>
    <mergeCell ref="A11220:G11220"/>
    <mergeCell ref="A11209:G11209"/>
    <mergeCell ref="I11209:J11209"/>
    <mergeCell ref="K11209:L11209"/>
    <mergeCell ref="M11209:N11209"/>
    <mergeCell ref="I11210:J11210"/>
    <mergeCell ref="K11210:L11210"/>
    <mergeCell ref="M11210:N11210"/>
    <mergeCell ref="A11210:G11210"/>
    <mergeCell ref="A11211:G11211"/>
    <mergeCell ref="I11211:J11211"/>
    <mergeCell ref="K11211:L11211"/>
    <mergeCell ref="M11211:N11211"/>
    <mergeCell ref="K11212:L11212"/>
    <mergeCell ref="M11212:N11212"/>
    <mergeCell ref="A11164:N11164"/>
    <mergeCell ref="A11165:G11165"/>
    <mergeCell ref="I11165:J11165"/>
    <mergeCell ref="K11165:L11165"/>
    <mergeCell ref="M11165:N11165"/>
    <mergeCell ref="A11166:G11166"/>
    <mergeCell ref="A11167:G11167"/>
    <mergeCell ref="I11178:J11178"/>
    <mergeCell ref="I11179:J11179"/>
    <mergeCell ref="A11118:G11118"/>
    <mergeCell ref="I11118:J11118"/>
    <mergeCell ref="K11118:L11118"/>
    <mergeCell ref="M11118:N11118"/>
    <mergeCell ref="I11119:J11119"/>
    <mergeCell ref="K11119:L11119"/>
    <mergeCell ref="M11119:N11119"/>
    <mergeCell ref="A11119:G11119"/>
    <mergeCell ref="A11120:G11120"/>
    <mergeCell ref="I11120:J11120"/>
    <mergeCell ref="K11120:L11120"/>
    <mergeCell ref="M11120:N11120"/>
    <mergeCell ref="K11121:L11121"/>
    <mergeCell ref="M11121:N11121"/>
    <mergeCell ref="K11125:L11125"/>
    <mergeCell ref="M11125:N11125"/>
    <mergeCell ref="A11128:G11128"/>
    <mergeCell ref="M11271:N11271"/>
    <mergeCell ref="M11261:N11261"/>
    <mergeCell ref="K11262:L11262"/>
    <mergeCell ref="M11262:N11262"/>
    <mergeCell ref="A11264:N11265"/>
    <mergeCell ref="A11269:N11269"/>
    <mergeCell ref="A11270:G11270"/>
    <mergeCell ref="A11271:G11271"/>
    <mergeCell ref="A11272:G11272"/>
    <mergeCell ref="I11272:J11272"/>
    <mergeCell ref="K11272:L11272"/>
    <mergeCell ref="M11272:N11272"/>
    <mergeCell ref="I11273:J11273"/>
    <mergeCell ref="K11273:L11273"/>
    <mergeCell ref="M11273:N11273"/>
    <mergeCell ref="K11275:L11275"/>
    <mergeCell ref="M11275:N11275"/>
    <mergeCell ref="A11214:N11214"/>
    <mergeCell ref="A11215:G11215"/>
    <mergeCell ref="I11215:J11215"/>
    <mergeCell ref="M11215:N11215"/>
    <mergeCell ref="A11216:G11216"/>
    <mergeCell ref="M11217:N11217"/>
    <mergeCell ref="A11159:G11159"/>
    <mergeCell ref="I11159:J11159"/>
    <mergeCell ref="K11159:L11159"/>
    <mergeCell ref="M11159:N11159"/>
    <mergeCell ref="I11160:J11160"/>
    <mergeCell ref="K11160:L11160"/>
    <mergeCell ref="M11160:N11160"/>
    <mergeCell ref="A11160:G11160"/>
    <mergeCell ref="A11161:G11161"/>
    <mergeCell ref="I11161:J11161"/>
    <mergeCell ref="K11161:L11161"/>
    <mergeCell ref="M11161:N11161"/>
    <mergeCell ref="K11162:L11162"/>
    <mergeCell ref="M11162:N11162"/>
    <mergeCell ref="K11166:L11166"/>
    <mergeCell ref="M11166:N11166"/>
    <mergeCell ref="I11166:J11166"/>
    <mergeCell ref="I11167:J11167"/>
    <mergeCell ref="K11167:L11167"/>
    <mergeCell ref="M11167:N11167"/>
    <mergeCell ref="I11128:J11128"/>
    <mergeCell ref="K11128:L11128"/>
    <mergeCell ref="I11125:J11125"/>
    <mergeCell ref="I11126:J11126"/>
    <mergeCell ref="K11276:L11276"/>
    <mergeCell ref="M11276:N11276"/>
    <mergeCell ref="A11273:G11273"/>
    <mergeCell ref="A11274:G11274"/>
    <mergeCell ref="I11274:J11274"/>
    <mergeCell ref="K11149:L11149"/>
    <mergeCell ref="M11149:N11149"/>
    <mergeCell ref="I11150:J11150"/>
    <mergeCell ref="K11150:L11150"/>
    <mergeCell ref="M11150:N11150"/>
    <mergeCell ref="K11152:L11152"/>
    <mergeCell ref="M11152:N11152"/>
    <mergeCell ref="K11153:L11153"/>
    <mergeCell ref="M11153:N11153"/>
    <mergeCell ref="A11150:G11150"/>
    <mergeCell ref="A11151:G11151"/>
    <mergeCell ref="I11151:J11151"/>
    <mergeCell ref="K11151:L11151"/>
    <mergeCell ref="M11151:N11151"/>
    <mergeCell ref="A11152:G11152"/>
    <mergeCell ref="I11152:J11152"/>
    <mergeCell ref="K11157:L11157"/>
    <mergeCell ref="M11157:N11157"/>
    <mergeCell ref="I11157:J11157"/>
    <mergeCell ref="I11158:J11158"/>
    <mergeCell ref="K11158:L11158"/>
    <mergeCell ref="M11158:N11158"/>
    <mergeCell ref="A11155:N11155"/>
    <mergeCell ref="A11156:G11156"/>
    <mergeCell ref="I11156:J11156"/>
    <mergeCell ref="K11156:L11156"/>
    <mergeCell ref="M11156:N11156"/>
    <mergeCell ref="A11157:G11157"/>
    <mergeCell ref="A11158:G11158"/>
    <mergeCell ref="A11168:G11168"/>
    <mergeCell ref="I11168:J11168"/>
    <mergeCell ref="K11168:L11168"/>
    <mergeCell ref="M11168:N11168"/>
    <mergeCell ref="K11235:L11235"/>
    <mergeCell ref="M11235:N11235"/>
    <mergeCell ref="K11239:L11239"/>
    <mergeCell ref="M11239:N11239"/>
    <mergeCell ref="A11234:G11234"/>
    <mergeCell ref="I11234:J11234"/>
    <mergeCell ref="K11234:L11234"/>
    <mergeCell ref="M11234:N11234"/>
    <mergeCell ref="M11216:N11216"/>
    <mergeCell ref="K11274:L11274"/>
    <mergeCell ref="M11274:N11274"/>
    <mergeCell ref="A11275:G11275"/>
    <mergeCell ref="I11275:J11275"/>
    <mergeCell ref="K11180:L11180"/>
    <mergeCell ref="M11180:N11180"/>
    <mergeCell ref="A11176:G11176"/>
    <mergeCell ref="A11177:G11177"/>
    <mergeCell ref="I11177:J11177"/>
    <mergeCell ref="M11177:N11177"/>
    <mergeCell ref="A11178:G11178"/>
    <mergeCell ref="M11178:N11178"/>
    <mergeCell ref="M11179:N11179"/>
    <mergeCell ref="I11188:J11188"/>
    <mergeCell ref="I11189:J11189"/>
    <mergeCell ref="K11189:L11189"/>
    <mergeCell ref="M11189:N11189"/>
    <mergeCell ref="I11301:J11301"/>
    <mergeCell ref="I11302:J11302"/>
    <mergeCell ref="K11303:L11303"/>
    <mergeCell ref="M11303:N11303"/>
    <mergeCell ref="A11299:G11299"/>
    <mergeCell ref="A11300:G11300"/>
    <mergeCell ref="I11300:J11300"/>
    <mergeCell ref="M11300:N11300"/>
    <mergeCell ref="A11301:G11301"/>
    <mergeCell ref="M11301:N11301"/>
    <mergeCell ref="M11302:N11302"/>
    <mergeCell ref="I11311:J11311"/>
    <mergeCell ref="I11312:J11312"/>
    <mergeCell ref="K11312:L11312"/>
    <mergeCell ref="M11312:N11312"/>
    <mergeCell ref="A11302:G11302"/>
    <mergeCell ref="A11305:N11306"/>
    <mergeCell ref="A11310:N11310"/>
    <mergeCell ref="A11311:G11311"/>
    <mergeCell ref="K11311:L11311"/>
    <mergeCell ref="M11311:N11311"/>
    <mergeCell ref="A11312:G11312"/>
    <mergeCell ref="I11169:J11169"/>
    <mergeCell ref="K11169:L11169"/>
    <mergeCell ref="M11169:N11169"/>
    <mergeCell ref="A11169:G11169"/>
    <mergeCell ref="A11170:G11170"/>
    <mergeCell ref="I11170:J11170"/>
    <mergeCell ref="K11170:L11170"/>
    <mergeCell ref="M11170:N11170"/>
    <mergeCell ref="K11171:L11171"/>
    <mergeCell ref="M11171:N11171"/>
    <mergeCell ref="I11175:J11175"/>
    <mergeCell ref="I11176:J11176"/>
    <mergeCell ref="A11173:N11173"/>
    <mergeCell ref="A11174:G11174"/>
    <mergeCell ref="I11174:J11174"/>
    <mergeCell ref="M11174:N11174"/>
    <mergeCell ref="A11175:G11175"/>
    <mergeCell ref="M11175:N11175"/>
    <mergeCell ref="M11176:N11176"/>
    <mergeCell ref="K11249:L11249"/>
    <mergeCell ref="M11249:N11249"/>
    <mergeCell ref="A11246:N11246"/>
    <mergeCell ref="A11247:G11247"/>
    <mergeCell ref="I11247:J11247"/>
    <mergeCell ref="K11247:L11247"/>
    <mergeCell ref="M11247:N11247"/>
    <mergeCell ref="A11248:G11248"/>
    <mergeCell ref="A11249:G11249"/>
    <mergeCell ref="A11282:G11282"/>
    <mergeCell ref="I11282:J11282"/>
    <mergeCell ref="K11282:L11282"/>
    <mergeCell ref="M11282:N11282"/>
    <mergeCell ref="I11283:J11283"/>
    <mergeCell ref="K11283:L11283"/>
    <mergeCell ref="M11283:N11283"/>
    <mergeCell ref="A11283:G11283"/>
    <mergeCell ref="I11261:J11261"/>
    <mergeCell ref="K11270:L11270"/>
    <mergeCell ref="M11270:N11270"/>
    <mergeCell ref="I11270:J11270"/>
    <mergeCell ref="I11271:J11271"/>
    <mergeCell ref="K11271:L11271"/>
    <mergeCell ref="A11313:G11313"/>
    <mergeCell ref="I11313:J11313"/>
    <mergeCell ref="K11313:L11313"/>
    <mergeCell ref="M11313:N11313"/>
    <mergeCell ref="I11314:J11314"/>
    <mergeCell ref="K11314:L11314"/>
    <mergeCell ref="M11314:N11314"/>
    <mergeCell ref="K11316:L11316"/>
    <mergeCell ref="M11316:N11316"/>
    <mergeCell ref="K11317:L11317"/>
    <mergeCell ref="M11317:N11317"/>
    <mergeCell ref="A11314:G11314"/>
    <mergeCell ref="A11315:G11315"/>
    <mergeCell ref="I11315:J11315"/>
    <mergeCell ref="K11315:L11315"/>
    <mergeCell ref="M11315:N11315"/>
    <mergeCell ref="A11316:G11316"/>
    <mergeCell ref="I11316:J11316"/>
    <mergeCell ref="K11321:L11321"/>
    <mergeCell ref="M11321:N11321"/>
    <mergeCell ref="I11321:J11321"/>
    <mergeCell ref="I11322:J11322"/>
    <mergeCell ref="K11322:L11322"/>
    <mergeCell ref="M11322:N11322"/>
    <mergeCell ref="A11319:N11319"/>
    <mergeCell ref="A11320:G11320"/>
    <mergeCell ref="I11320:J11320"/>
    <mergeCell ref="K11320:L11320"/>
    <mergeCell ref="M11320:N11320"/>
    <mergeCell ref="A11321:G11321"/>
    <mergeCell ref="A11322:G11322"/>
    <mergeCell ref="A11323:G11323"/>
    <mergeCell ref="I11323:J11323"/>
    <mergeCell ref="K11323:L11323"/>
    <mergeCell ref="M11323:N11323"/>
    <mergeCell ref="I11324:J11324"/>
    <mergeCell ref="K11324:L11324"/>
    <mergeCell ref="M11324:N11324"/>
    <mergeCell ref="A11324:G11324"/>
    <mergeCell ref="A11325:G11325"/>
    <mergeCell ref="I11325:J11325"/>
    <mergeCell ref="K11325:L11325"/>
    <mergeCell ref="M11325:N11325"/>
    <mergeCell ref="K11326:L11326"/>
    <mergeCell ref="M11326:N11326"/>
    <mergeCell ref="K11330:L11330"/>
    <mergeCell ref="M11330:N11330"/>
    <mergeCell ref="I11330:J11330"/>
    <mergeCell ref="I11331:J11331"/>
    <mergeCell ref="K11331:L11331"/>
    <mergeCell ref="M11331:N11331"/>
    <mergeCell ref="A11328:N11328"/>
    <mergeCell ref="A11329:G11329"/>
    <mergeCell ref="I11329:J11329"/>
    <mergeCell ref="K11329:L11329"/>
    <mergeCell ref="M11329:N11329"/>
    <mergeCell ref="A11330:G11330"/>
    <mergeCell ref="A11331:G11331"/>
    <mergeCell ref="A11332:G11332"/>
    <mergeCell ref="I11332:J11332"/>
    <mergeCell ref="K11332:L11332"/>
    <mergeCell ref="M11332:N11332"/>
    <mergeCell ref="I11333:J11333"/>
    <mergeCell ref="K11333:L11333"/>
    <mergeCell ref="M11333:N11333"/>
    <mergeCell ref="A11333:G11333"/>
    <mergeCell ref="A11334:G11334"/>
    <mergeCell ref="I11334:J11334"/>
    <mergeCell ref="K11334:L11334"/>
    <mergeCell ref="M11334:N11334"/>
    <mergeCell ref="K11335:L11335"/>
    <mergeCell ref="M11335:N11335"/>
    <mergeCell ref="A11340:G11340"/>
    <mergeCell ref="A11341:G11341"/>
    <mergeCell ref="A11342:G11342"/>
    <mergeCell ref="A11343:G11343"/>
    <mergeCell ref="A11337:N11337"/>
    <mergeCell ref="A11338:G11338"/>
    <mergeCell ref="I11338:J11338"/>
    <mergeCell ref="M11338:N11338"/>
    <mergeCell ref="A11339:G11339"/>
    <mergeCell ref="M11339:N11339"/>
    <mergeCell ref="M11340:N11340"/>
    <mergeCell ref="A11354:G11354"/>
    <mergeCell ref="I11354:J11354"/>
    <mergeCell ref="K11354:L11354"/>
    <mergeCell ref="M11354:N11354"/>
    <mergeCell ref="I11355:J11355"/>
    <mergeCell ref="K11355:L11355"/>
    <mergeCell ref="M11355:N11355"/>
    <mergeCell ref="A11355:G11355"/>
    <mergeCell ref="A11356:G11356"/>
    <mergeCell ref="I11356:J11356"/>
    <mergeCell ref="K11356:L11356"/>
    <mergeCell ref="M11356:N11356"/>
    <mergeCell ref="A11357:G11357"/>
    <mergeCell ref="I11357:J11357"/>
    <mergeCell ref="I11339:J11339"/>
    <mergeCell ref="I11340:J11340"/>
    <mergeCell ref="I11341:J11341"/>
    <mergeCell ref="M11341:N11341"/>
    <mergeCell ref="I11342:J11342"/>
    <mergeCell ref="M11342:N11342"/>
    <mergeCell ref="I11343:J11343"/>
    <mergeCell ref="K11352:L11352"/>
    <mergeCell ref="M11352:N11352"/>
    <mergeCell ref="I11352:J11352"/>
    <mergeCell ref="I11353:J11353"/>
    <mergeCell ref="K11353:L11353"/>
    <mergeCell ref="M11353:N11353"/>
    <mergeCell ref="M11343:N11343"/>
    <mergeCell ref="K11344:L11344"/>
    <mergeCell ref="M11344:N11344"/>
    <mergeCell ref="A11346:N11347"/>
    <mergeCell ref="A11351:N11351"/>
    <mergeCell ref="A11352:G11352"/>
    <mergeCell ref="A11353:G11353"/>
    <mergeCell ref="K11357:L11357"/>
    <mergeCell ref="M11357:N11357"/>
    <mergeCell ref="K11358:L11358"/>
    <mergeCell ref="M11358:N11358"/>
    <mergeCell ref="K11362:L11362"/>
    <mergeCell ref="M11362:N11362"/>
    <mergeCell ref="I11251:J11251"/>
    <mergeCell ref="K11251:L11251"/>
    <mergeCell ref="I11248:J11248"/>
    <mergeCell ref="I11249:J11249"/>
    <mergeCell ref="A11250:G11250"/>
    <mergeCell ref="I11250:J11250"/>
    <mergeCell ref="K11250:L11250"/>
    <mergeCell ref="M11250:N11250"/>
    <mergeCell ref="M11251:N11251"/>
    <mergeCell ref="I11239:J11239"/>
    <mergeCell ref="I11240:J11240"/>
    <mergeCell ref="K11240:L11240"/>
    <mergeCell ref="M11240:N11240"/>
    <mergeCell ref="A11237:N11237"/>
    <mergeCell ref="A11238:G11238"/>
    <mergeCell ref="I11238:J11238"/>
    <mergeCell ref="K11238:L11238"/>
    <mergeCell ref="M11238:N11238"/>
    <mergeCell ref="A11239:G11239"/>
    <mergeCell ref="A11240:G11240"/>
    <mergeCell ref="A11241:G11241"/>
    <mergeCell ref="I11241:J11241"/>
    <mergeCell ref="K11241:L11241"/>
    <mergeCell ref="M11241:N11241"/>
    <mergeCell ref="I11242:J11242"/>
    <mergeCell ref="K11242:L11242"/>
    <mergeCell ref="M11242:N11242"/>
    <mergeCell ref="A11242:G11242"/>
    <mergeCell ref="A11243:G11243"/>
    <mergeCell ref="I11243:J11243"/>
    <mergeCell ref="K11243:L11243"/>
    <mergeCell ref="M11243:N11243"/>
    <mergeCell ref="K11244:L11244"/>
    <mergeCell ref="M11244:N11244"/>
    <mergeCell ref="K11248:L11248"/>
    <mergeCell ref="M11248:N11248"/>
    <mergeCell ref="A11251:G11251"/>
    <mergeCell ref="A11252:G11252"/>
    <mergeCell ref="I11252:J11252"/>
    <mergeCell ref="K11252:L11252"/>
    <mergeCell ref="M11252:N11252"/>
    <mergeCell ref="K11253:L11253"/>
    <mergeCell ref="M11253:N11253"/>
    <mergeCell ref="A11258:G11258"/>
    <mergeCell ref="A11259:G11259"/>
    <mergeCell ref="A11260:G11260"/>
    <mergeCell ref="A11261:G11261"/>
    <mergeCell ref="A11255:N11255"/>
    <mergeCell ref="A11256:G11256"/>
    <mergeCell ref="I11256:J11256"/>
    <mergeCell ref="M11256:N11256"/>
    <mergeCell ref="A11257:G11257"/>
    <mergeCell ref="M11257:N11257"/>
    <mergeCell ref="M11258:N11258"/>
    <mergeCell ref="I11257:J11257"/>
    <mergeCell ref="I11258:J11258"/>
    <mergeCell ref="I11259:J11259"/>
    <mergeCell ref="M11259:N11259"/>
    <mergeCell ref="I11260:J11260"/>
    <mergeCell ref="M11260:N11260"/>
    <mergeCell ref="K11280:L11280"/>
    <mergeCell ref="M11280:N11280"/>
    <mergeCell ref="I11280:J11280"/>
    <mergeCell ref="I11281:J11281"/>
    <mergeCell ref="K11281:L11281"/>
    <mergeCell ref="M11281:N11281"/>
    <mergeCell ref="A11278:N11278"/>
    <mergeCell ref="A11279:G11279"/>
    <mergeCell ref="I11279:J11279"/>
    <mergeCell ref="K11279:L11279"/>
    <mergeCell ref="M11279:N11279"/>
    <mergeCell ref="A11280:G11280"/>
    <mergeCell ref="A11281:G11281"/>
    <mergeCell ref="A11291:G11291"/>
    <mergeCell ref="I11291:J11291"/>
    <mergeCell ref="K11291:L11291"/>
    <mergeCell ref="M11291:N11291"/>
    <mergeCell ref="I11292:J11292"/>
    <mergeCell ref="K11292:L11292"/>
    <mergeCell ref="M11292:N11292"/>
    <mergeCell ref="A11292:G11292"/>
    <mergeCell ref="A11293:G11293"/>
    <mergeCell ref="I11293:J11293"/>
    <mergeCell ref="K11293:L11293"/>
    <mergeCell ref="M11293:N11293"/>
    <mergeCell ref="K11294:L11294"/>
    <mergeCell ref="M11294:N11294"/>
    <mergeCell ref="I11298:J11298"/>
    <mergeCell ref="I11299:J11299"/>
    <mergeCell ref="A11296:N11296"/>
    <mergeCell ref="A11297:G11297"/>
    <mergeCell ref="I11297:J11297"/>
    <mergeCell ref="M11297:N11297"/>
    <mergeCell ref="A11298:G11298"/>
    <mergeCell ref="M11298:N11298"/>
    <mergeCell ref="M11299:N11299"/>
    <mergeCell ref="A11284:G11284"/>
    <mergeCell ref="I11284:J11284"/>
    <mergeCell ref="K11284:L11284"/>
    <mergeCell ref="M11284:N11284"/>
    <mergeCell ref="K11285:L11285"/>
    <mergeCell ref="M11285:N11285"/>
    <mergeCell ref="K11289:L11289"/>
    <mergeCell ref="M11289:N11289"/>
    <mergeCell ref="I11289:J11289"/>
    <mergeCell ref="I11290:J11290"/>
    <mergeCell ref="K11290:L11290"/>
    <mergeCell ref="M11290:N11290"/>
    <mergeCell ref="A11287:N11287"/>
    <mergeCell ref="A11288:G11288"/>
    <mergeCell ref="I11288:J11288"/>
    <mergeCell ref="K11288:L11288"/>
    <mergeCell ref="M11288:N11288"/>
    <mergeCell ref="A11289:G11289"/>
    <mergeCell ref="A11290:G11290"/>
    <mergeCell ref="K11372:L11372"/>
    <mergeCell ref="M11372:N11372"/>
    <mergeCell ref="A11369:N11369"/>
    <mergeCell ref="A11370:G11370"/>
    <mergeCell ref="I11370:J11370"/>
    <mergeCell ref="K11370:L11370"/>
    <mergeCell ref="M11370:N11370"/>
    <mergeCell ref="A11371:G11371"/>
    <mergeCell ref="A11372:G11372"/>
    <mergeCell ref="I11374:J11374"/>
    <mergeCell ref="K11374:L11374"/>
    <mergeCell ref="I11371:J11371"/>
    <mergeCell ref="I11372:J11372"/>
    <mergeCell ref="A11373:G11373"/>
    <mergeCell ref="I11373:J11373"/>
    <mergeCell ref="K11373:L11373"/>
    <mergeCell ref="M11373:N11373"/>
    <mergeCell ref="M11374:N11374"/>
    <mergeCell ref="I11362:J11362"/>
    <mergeCell ref="I11363:J11363"/>
    <mergeCell ref="K11363:L11363"/>
    <mergeCell ref="M11363:N11363"/>
    <mergeCell ref="A11360:N11360"/>
    <mergeCell ref="A11361:G11361"/>
    <mergeCell ref="I11361:J11361"/>
    <mergeCell ref="K11361:L11361"/>
    <mergeCell ref="M11361:N11361"/>
    <mergeCell ref="A11362:G11362"/>
    <mergeCell ref="A11363:G11363"/>
    <mergeCell ref="A11364:G11364"/>
    <mergeCell ref="I11364:J11364"/>
    <mergeCell ref="K11364:L11364"/>
    <mergeCell ref="M11364:N11364"/>
    <mergeCell ref="I11365:J11365"/>
    <mergeCell ref="K11365:L11365"/>
    <mergeCell ref="M11365:N11365"/>
    <mergeCell ref="A11365:G11365"/>
    <mergeCell ref="A11366:G11366"/>
    <mergeCell ref="I11366:J11366"/>
    <mergeCell ref="K11366:L11366"/>
    <mergeCell ref="M11366:N11366"/>
    <mergeCell ref="K11367:L11367"/>
    <mergeCell ref="M11367:N11367"/>
    <mergeCell ref="K11371:L11371"/>
    <mergeCell ref="M11371:N11371"/>
    <mergeCell ref="A11374:G11374"/>
    <mergeCell ref="A11375:G11375"/>
    <mergeCell ref="I11375:J11375"/>
    <mergeCell ref="K11375:L11375"/>
    <mergeCell ref="M11375:N11375"/>
    <mergeCell ref="K11376:L11376"/>
    <mergeCell ref="M11376:N11376"/>
    <mergeCell ref="A11381:G11381"/>
    <mergeCell ref="A11382:G11382"/>
    <mergeCell ref="A11383:G11383"/>
    <mergeCell ref="A11384:G11384"/>
    <mergeCell ref="A11378:N11378"/>
    <mergeCell ref="A11379:G11379"/>
    <mergeCell ref="I11379:J11379"/>
    <mergeCell ref="M11379:N11379"/>
    <mergeCell ref="A11380:G11380"/>
    <mergeCell ref="M11380:N11380"/>
    <mergeCell ref="M11381:N11381"/>
    <mergeCell ref="I11380:J11380"/>
    <mergeCell ref="I11381:J11381"/>
    <mergeCell ref="I11382:J11382"/>
    <mergeCell ref="M11382:N11382"/>
    <mergeCell ref="I11383:J11383"/>
    <mergeCell ref="M11383:N11383"/>
    <mergeCell ref="I11384:J11384"/>
    <mergeCell ref="K11393:L11393"/>
    <mergeCell ref="M11393:N11393"/>
    <mergeCell ref="I11393:J11393"/>
    <mergeCell ref="I11394:J11394"/>
    <mergeCell ref="K11394:L11394"/>
    <mergeCell ref="M11394:N11394"/>
    <mergeCell ref="M11384:N11384"/>
    <mergeCell ref="K11385:L11385"/>
    <mergeCell ref="M11385:N11385"/>
    <mergeCell ref="A11387:N11388"/>
    <mergeCell ref="A11392:N11392"/>
    <mergeCell ref="A11393:G11393"/>
    <mergeCell ref="A11394:G11394"/>
    <mergeCell ref="A11402:N11402"/>
    <mergeCell ref="A11403:G11403"/>
    <mergeCell ref="I11403:J11403"/>
    <mergeCell ref="K11403:L11403"/>
    <mergeCell ref="M11403:N11403"/>
    <mergeCell ref="A11404:G11404"/>
    <mergeCell ref="A11405:G11405"/>
    <mergeCell ref="I11407:J11407"/>
    <mergeCell ref="K11407:L11407"/>
    <mergeCell ref="I11404:J11404"/>
    <mergeCell ref="I11405:J11405"/>
    <mergeCell ref="A11406:G11406"/>
    <mergeCell ref="I11406:J11406"/>
    <mergeCell ref="K11406:L11406"/>
    <mergeCell ref="M11406:N11406"/>
    <mergeCell ref="M11407:N11407"/>
    <mergeCell ref="A11395:G11395"/>
    <mergeCell ref="I11395:J11395"/>
    <mergeCell ref="K11395:L11395"/>
    <mergeCell ref="M11395:N11395"/>
    <mergeCell ref="I11396:J11396"/>
    <mergeCell ref="K11396:L11396"/>
    <mergeCell ref="M11396:N11396"/>
    <mergeCell ref="K11398:L11398"/>
    <mergeCell ref="M11398:N11398"/>
    <mergeCell ref="I11398:J11398"/>
    <mergeCell ref="I11399:J11399"/>
    <mergeCell ref="K11399:L11399"/>
    <mergeCell ref="M11399:N11399"/>
    <mergeCell ref="K11400:L11400"/>
    <mergeCell ref="M11400:N11400"/>
    <mergeCell ref="A11396:G11396"/>
    <mergeCell ref="A11397:G11397"/>
    <mergeCell ref="I11397:J11397"/>
    <mergeCell ref="K11397:L11397"/>
    <mergeCell ref="M11397:N11397"/>
    <mergeCell ref="A11398:G11398"/>
    <mergeCell ref="A11399:G11399"/>
    <mergeCell ref="K11404:L11404"/>
    <mergeCell ref="M11404:N11404"/>
    <mergeCell ref="A11407:G11407"/>
    <mergeCell ref="A11453:N11453"/>
    <mergeCell ref="A11454:G11454"/>
    <mergeCell ref="I11454:J11454"/>
    <mergeCell ref="K11454:L11454"/>
    <mergeCell ref="M11454:N11454"/>
    <mergeCell ref="A11455:G11455"/>
    <mergeCell ref="A11456:G11456"/>
    <mergeCell ref="A11457:G11457"/>
    <mergeCell ref="I11457:J11457"/>
    <mergeCell ref="K11457:L11457"/>
    <mergeCell ref="M11457:N11457"/>
    <mergeCell ref="I11458:J11458"/>
    <mergeCell ref="K11458:L11458"/>
    <mergeCell ref="M11458:N11458"/>
    <mergeCell ref="A11458:G11458"/>
    <mergeCell ref="A11459:G11459"/>
    <mergeCell ref="I11459:J11459"/>
    <mergeCell ref="K11459:L11459"/>
    <mergeCell ref="M11459:N11459"/>
    <mergeCell ref="K11460:L11460"/>
    <mergeCell ref="M11460:N11460"/>
    <mergeCell ref="M11436:N11436"/>
    <mergeCell ref="A11426:G11426"/>
    <mergeCell ref="A11429:N11430"/>
    <mergeCell ref="A11434:N11434"/>
    <mergeCell ref="A11435:G11435"/>
    <mergeCell ref="K11435:L11435"/>
    <mergeCell ref="M11435:N11435"/>
    <mergeCell ref="A11436:G11436"/>
    <mergeCell ref="K11440:L11440"/>
    <mergeCell ref="M11440:N11440"/>
    <mergeCell ref="K11405:L11405"/>
    <mergeCell ref="M11405:N11405"/>
    <mergeCell ref="I11438:J11438"/>
    <mergeCell ref="K11438:L11438"/>
    <mergeCell ref="M11438:N11438"/>
    <mergeCell ref="A11438:G11438"/>
    <mergeCell ref="A11439:G11439"/>
    <mergeCell ref="I11439:J11439"/>
    <mergeCell ref="K11439:L11439"/>
    <mergeCell ref="M11439:N11439"/>
    <mergeCell ref="A11440:G11440"/>
    <mergeCell ref="A11441:G11441"/>
    <mergeCell ref="A11423:G11423"/>
    <mergeCell ref="A11424:G11424"/>
    <mergeCell ref="I11424:J11424"/>
    <mergeCell ref="M11424:N11424"/>
    <mergeCell ref="A11425:G11425"/>
    <mergeCell ref="M11425:N11425"/>
    <mergeCell ref="M11426:N11426"/>
    <mergeCell ref="I11435:J11435"/>
    <mergeCell ref="I11436:J11436"/>
    <mergeCell ref="K11436:L11436"/>
    <mergeCell ref="A11408:G11408"/>
    <mergeCell ref="I11408:J11408"/>
    <mergeCell ref="K11408:L11408"/>
    <mergeCell ref="M11408:N11408"/>
    <mergeCell ref="K11409:L11409"/>
    <mergeCell ref="M11409:N11409"/>
    <mergeCell ref="I11422:J11422"/>
    <mergeCell ref="I11423:J11423"/>
    <mergeCell ref="A11420:N11420"/>
    <mergeCell ref="A11421:G11421"/>
    <mergeCell ref="I11421:J11421"/>
    <mergeCell ref="M11421:N11421"/>
    <mergeCell ref="A11422:G11422"/>
    <mergeCell ref="M11422:N11422"/>
    <mergeCell ref="M11423:N11423"/>
    <mergeCell ref="K11413:L11413"/>
    <mergeCell ref="M11413:N11413"/>
    <mergeCell ref="I11413:J11413"/>
    <mergeCell ref="I11414:J11414"/>
    <mergeCell ref="K11414:L11414"/>
    <mergeCell ref="M11414:N11414"/>
    <mergeCell ref="A11411:N11411"/>
    <mergeCell ref="A11412:G11412"/>
    <mergeCell ref="I11412:J11412"/>
    <mergeCell ref="K11412:L11412"/>
    <mergeCell ref="M11412:N11412"/>
    <mergeCell ref="A11413:G11413"/>
    <mergeCell ref="A11414:G11414"/>
    <mergeCell ref="A11415:G11415"/>
    <mergeCell ref="I11415:J11415"/>
    <mergeCell ref="K11415:L11415"/>
    <mergeCell ref="M11415:N11415"/>
    <mergeCell ref="I11416:J11416"/>
    <mergeCell ref="K11416:L11416"/>
    <mergeCell ref="M11416:N11416"/>
    <mergeCell ref="A11416:G11416"/>
    <mergeCell ref="A11417:G11417"/>
    <mergeCell ref="I11417:J11417"/>
    <mergeCell ref="K11417:L11417"/>
    <mergeCell ref="M11417:N11417"/>
    <mergeCell ref="K11418:L11418"/>
    <mergeCell ref="M11418:N11418"/>
    <mergeCell ref="I11425:J11425"/>
    <mergeCell ref="I11426:J11426"/>
    <mergeCell ref="K11427:L11427"/>
    <mergeCell ref="M11427:N11427"/>
    <mergeCell ref="A11437:G11437"/>
    <mergeCell ref="I11437:J11437"/>
    <mergeCell ref="K11437:L11437"/>
    <mergeCell ref="M11437:N11437"/>
    <mergeCell ref="I11440:J11440"/>
    <mergeCell ref="I11441:J11441"/>
    <mergeCell ref="K11445:L11445"/>
    <mergeCell ref="M11445:N11445"/>
    <mergeCell ref="I11445:J11445"/>
    <mergeCell ref="I11446:J11446"/>
    <mergeCell ref="K11446:L11446"/>
    <mergeCell ref="M11446:N11446"/>
    <mergeCell ref="K11441:L11441"/>
    <mergeCell ref="M11441:N11441"/>
    <mergeCell ref="K11442:L11442"/>
    <mergeCell ref="M11442:N11442"/>
    <mergeCell ref="A11444:N11444"/>
    <mergeCell ref="A11445:G11445"/>
    <mergeCell ref="A11446:G11446"/>
    <mergeCell ref="A11447:G11447"/>
    <mergeCell ref="I11447:J11447"/>
    <mergeCell ref="K11447:L11447"/>
    <mergeCell ref="M11447:N11447"/>
    <mergeCell ref="I11448:J11448"/>
    <mergeCell ref="K11448:L11448"/>
    <mergeCell ref="M11448:N11448"/>
    <mergeCell ref="K11450:L11450"/>
    <mergeCell ref="M11450:N11450"/>
    <mergeCell ref="K11451:L11451"/>
    <mergeCell ref="M11451:N11451"/>
    <mergeCell ref="A11448:G11448"/>
    <mergeCell ref="A11449:G11449"/>
    <mergeCell ref="I11449:J11449"/>
    <mergeCell ref="K11449:L11449"/>
    <mergeCell ref="M11449:N11449"/>
    <mergeCell ref="A11450:G11450"/>
    <mergeCell ref="I11450:J11450"/>
    <mergeCell ref="K11455:L11455"/>
    <mergeCell ref="M11455:N11455"/>
    <mergeCell ref="M11468:N11468"/>
    <mergeCell ref="K11469:L11469"/>
    <mergeCell ref="M11469:N11469"/>
    <mergeCell ref="I11464:J11464"/>
    <mergeCell ref="I11465:J11465"/>
    <mergeCell ref="I11466:J11466"/>
    <mergeCell ref="M11466:N11466"/>
    <mergeCell ref="I11467:J11467"/>
    <mergeCell ref="M11467:N11467"/>
    <mergeCell ref="I11468:J11468"/>
    <mergeCell ref="I11477:J11477"/>
    <mergeCell ref="K11477:L11477"/>
    <mergeCell ref="I11478:J11478"/>
    <mergeCell ref="K11478:L11478"/>
    <mergeCell ref="M11478:N11478"/>
    <mergeCell ref="K11479:L11479"/>
    <mergeCell ref="M11479:N11479"/>
    <mergeCell ref="I11479:J11479"/>
    <mergeCell ref="I11480:J11480"/>
    <mergeCell ref="K11480:L11480"/>
    <mergeCell ref="M11480:N11480"/>
    <mergeCell ref="I11481:J11481"/>
    <mergeCell ref="K11481:L11481"/>
    <mergeCell ref="M11481:N11481"/>
    <mergeCell ref="K11487:L11487"/>
    <mergeCell ref="M11487:N11487"/>
    <mergeCell ref="I11485:J11485"/>
    <mergeCell ref="K11485:L11485"/>
    <mergeCell ref="M11485:N11485"/>
    <mergeCell ref="I11486:J11486"/>
    <mergeCell ref="K11486:L11486"/>
    <mergeCell ref="M11486:N11486"/>
    <mergeCell ref="I11487:J11487"/>
    <mergeCell ref="K11484:L11484"/>
    <mergeCell ref="M11484:N11484"/>
    <mergeCell ref="I11482:J11482"/>
    <mergeCell ref="K11482:L11482"/>
    <mergeCell ref="M11482:N11482"/>
    <mergeCell ref="I11483:J11483"/>
    <mergeCell ref="K11483:L11483"/>
    <mergeCell ref="M11483:N11483"/>
    <mergeCell ref="I11484:J11484"/>
    <mergeCell ref="A11462:N11462"/>
    <mergeCell ref="A11463:G11463"/>
    <mergeCell ref="I11463:J11463"/>
    <mergeCell ref="M11463:N11463"/>
    <mergeCell ref="A11464:G11464"/>
    <mergeCell ref="M11464:N11464"/>
    <mergeCell ref="M11465:N11465"/>
    <mergeCell ref="A11465:G11465"/>
    <mergeCell ref="A11466:G11466"/>
    <mergeCell ref="A11467:G11467"/>
    <mergeCell ref="A11468:G11468"/>
    <mergeCell ref="A11471:N11472"/>
    <mergeCell ref="A11476:N11476"/>
    <mergeCell ref="M11477:N11477"/>
    <mergeCell ref="I11455:J11455"/>
    <mergeCell ref="I11456:J11456"/>
    <mergeCell ref="K11456:L11456"/>
    <mergeCell ref="M11456:N11456"/>
    <mergeCell ref="K11490:L11490"/>
    <mergeCell ref="M11490:N11490"/>
    <mergeCell ref="I11488:J11488"/>
    <mergeCell ref="K11488:L11488"/>
    <mergeCell ref="M11488:N11488"/>
    <mergeCell ref="I11489:J11489"/>
    <mergeCell ref="K11489:L11489"/>
    <mergeCell ref="M11489:N11489"/>
    <mergeCell ref="I11490:J11490"/>
    <mergeCell ref="K11493:L11493"/>
    <mergeCell ref="M11493:N11493"/>
    <mergeCell ref="K11494:L11494"/>
    <mergeCell ref="M11494:N11494"/>
    <mergeCell ref="I11491:J11491"/>
    <mergeCell ref="K11491:L11491"/>
    <mergeCell ref="M11491:N11491"/>
    <mergeCell ref="I11492:J11492"/>
    <mergeCell ref="K11492:L11492"/>
    <mergeCell ref="M11492:N11492"/>
    <mergeCell ref="I11493:J11493"/>
    <mergeCell ref="A11477:G11477"/>
    <mergeCell ref="A11478:G11478"/>
    <mergeCell ref="A11479:G11479"/>
    <mergeCell ref="A11480:G11480"/>
    <mergeCell ref="A11481:G11481"/>
    <mergeCell ref="A11482:G11482"/>
    <mergeCell ref="A11483:G11483"/>
    <mergeCell ref="A11484:G11484"/>
    <mergeCell ref="A11485:G11485"/>
    <mergeCell ref="A11486:G11486"/>
    <mergeCell ref="A11487:G11487"/>
    <mergeCell ref="A11488:G11488"/>
    <mergeCell ref="A11489:G11489"/>
    <mergeCell ref="A11490:G11490"/>
    <mergeCell ref="A11491:G11491"/>
    <mergeCell ref="A11492:G11492"/>
    <mergeCell ref="A11493:G11493"/>
    <mergeCell ref="A11496:N11496"/>
    <mergeCell ref="I11497:J11497"/>
    <mergeCell ref="K11497:L11497"/>
    <mergeCell ref="M11497:N11497"/>
    <mergeCell ref="K11499:L11499"/>
    <mergeCell ref="M11499:N11499"/>
    <mergeCell ref="I11499:J11499"/>
    <mergeCell ref="I11500:J11500"/>
    <mergeCell ref="K11500:L11500"/>
    <mergeCell ref="M11500:N11500"/>
    <mergeCell ref="K11503:L11503"/>
    <mergeCell ref="M11503:N11503"/>
    <mergeCell ref="A11497:G11497"/>
    <mergeCell ref="A11498:G11498"/>
    <mergeCell ref="I11498:J11498"/>
    <mergeCell ref="K11498:L11498"/>
    <mergeCell ref="M11498:N11498"/>
    <mergeCell ref="A11499:G11499"/>
    <mergeCell ref="A11500:G11500"/>
    <mergeCell ref="I11562:J11562"/>
    <mergeCell ref="K11562:L11562"/>
    <mergeCell ref="I11559:J11559"/>
    <mergeCell ref="I11560:J11560"/>
    <mergeCell ref="A11561:G11561"/>
    <mergeCell ref="I11561:J11561"/>
    <mergeCell ref="K11561:L11561"/>
    <mergeCell ref="M11561:N11561"/>
    <mergeCell ref="M11562:N11562"/>
    <mergeCell ref="I11550:J11550"/>
    <mergeCell ref="I11551:J11551"/>
    <mergeCell ref="K11551:L11551"/>
    <mergeCell ref="M11551:N11551"/>
    <mergeCell ref="A11548:N11548"/>
    <mergeCell ref="A11549:G11549"/>
    <mergeCell ref="I11549:J11549"/>
    <mergeCell ref="K11549:L11549"/>
    <mergeCell ref="M11549:N11549"/>
    <mergeCell ref="A11550:G11550"/>
    <mergeCell ref="A11551:G11551"/>
    <mergeCell ref="A11552:G11552"/>
    <mergeCell ref="I11552:J11552"/>
    <mergeCell ref="K11552:L11552"/>
    <mergeCell ref="M11552:N11552"/>
    <mergeCell ref="I11553:J11553"/>
    <mergeCell ref="K11553:L11553"/>
    <mergeCell ref="M11553:N11553"/>
    <mergeCell ref="A11553:G11553"/>
    <mergeCell ref="A11554:G11554"/>
    <mergeCell ref="I11554:J11554"/>
    <mergeCell ref="K11554:L11554"/>
    <mergeCell ref="M11554:N11554"/>
    <mergeCell ref="K11555:L11555"/>
    <mergeCell ref="M11555:N11555"/>
    <mergeCell ref="K11559:L11559"/>
    <mergeCell ref="M11559:N11559"/>
    <mergeCell ref="A11562:G11562"/>
    <mergeCell ref="A11529:G11529"/>
    <mergeCell ref="I11529:J11529"/>
    <mergeCell ref="K11529:L11529"/>
    <mergeCell ref="M11529:N11529"/>
    <mergeCell ref="M11530:N11530"/>
    <mergeCell ref="I11530:J11530"/>
    <mergeCell ref="K11530:L11530"/>
    <mergeCell ref="I11531:J11531"/>
    <mergeCell ref="A11563:G11563"/>
    <mergeCell ref="I11563:J11563"/>
    <mergeCell ref="K11563:L11563"/>
    <mergeCell ref="M11563:N11563"/>
    <mergeCell ref="K11564:L11564"/>
    <mergeCell ref="M11564:N11564"/>
    <mergeCell ref="I11516:J11516"/>
    <mergeCell ref="I11517:J11517"/>
    <mergeCell ref="K11512:L11512"/>
    <mergeCell ref="M11512:N11512"/>
    <mergeCell ref="A11514:N11514"/>
    <mergeCell ref="A11515:G11515"/>
    <mergeCell ref="I11515:J11515"/>
    <mergeCell ref="A11516:G11516"/>
    <mergeCell ref="M11517:N11517"/>
    <mergeCell ref="A11501:G11501"/>
    <mergeCell ref="I11501:J11501"/>
    <mergeCell ref="K11501:L11501"/>
    <mergeCell ref="M11501:N11501"/>
    <mergeCell ref="I11502:J11502"/>
    <mergeCell ref="K11502:L11502"/>
    <mergeCell ref="M11502:N11502"/>
    <mergeCell ref="A11507:G11507"/>
    <mergeCell ref="A11508:G11508"/>
    <mergeCell ref="A11509:G11509"/>
    <mergeCell ref="A11510:G11510"/>
    <mergeCell ref="A11511:G11511"/>
    <mergeCell ref="A11502:G11502"/>
    <mergeCell ref="A11505:N11505"/>
    <mergeCell ref="A11506:G11506"/>
    <mergeCell ref="I11506:J11506"/>
    <mergeCell ref="K11506:L11506"/>
    <mergeCell ref="M11506:N11506"/>
    <mergeCell ref="M11507:N11507"/>
    <mergeCell ref="I11507:J11507"/>
    <mergeCell ref="K11507:L11507"/>
    <mergeCell ref="I11508:J11508"/>
    <mergeCell ref="K11508:L11508"/>
    <mergeCell ref="M11508:N11508"/>
    <mergeCell ref="K11509:L11509"/>
    <mergeCell ref="M11509:N11509"/>
    <mergeCell ref="I11509:J11509"/>
    <mergeCell ref="I11510:J11510"/>
    <mergeCell ref="K11510:L11510"/>
    <mergeCell ref="M11510:N11510"/>
    <mergeCell ref="I11511:J11511"/>
    <mergeCell ref="K11511:L11511"/>
    <mergeCell ref="M11511:N11511"/>
    <mergeCell ref="M11515:N11515"/>
    <mergeCell ref="M11516:N11516"/>
    <mergeCell ref="M11518:N11518"/>
    <mergeCell ref="M11519:N11519"/>
    <mergeCell ref="M11520:N11520"/>
    <mergeCell ref="K11521:L11521"/>
    <mergeCell ref="M11521:N11521"/>
    <mergeCell ref="A11517:G11517"/>
    <mergeCell ref="A11518:G11518"/>
    <mergeCell ref="I11518:J11518"/>
    <mergeCell ref="A11519:G11519"/>
    <mergeCell ref="I11519:J11519"/>
    <mergeCell ref="A11520:G11520"/>
    <mergeCell ref="I11520:J11520"/>
    <mergeCell ref="A11523:N11524"/>
    <mergeCell ref="A11528:N11528"/>
    <mergeCell ref="K11531:L11531"/>
    <mergeCell ref="M11531:N11531"/>
    <mergeCell ref="K11532:L11532"/>
    <mergeCell ref="M11532:N11532"/>
    <mergeCell ref="I11532:J11532"/>
    <mergeCell ref="I11533:J11533"/>
    <mergeCell ref="K11533:L11533"/>
    <mergeCell ref="M11533:N11533"/>
    <mergeCell ref="I11534:J11534"/>
    <mergeCell ref="K11534:L11534"/>
    <mergeCell ref="M11534:N11534"/>
    <mergeCell ref="K11537:L11537"/>
    <mergeCell ref="M11537:N11537"/>
    <mergeCell ref="I11535:J11535"/>
    <mergeCell ref="K11535:L11535"/>
    <mergeCell ref="M11535:N11535"/>
    <mergeCell ref="I11536:J11536"/>
    <mergeCell ref="K11536:L11536"/>
    <mergeCell ref="M11536:N11536"/>
    <mergeCell ref="I11537:J11537"/>
    <mergeCell ref="A11530:G11530"/>
    <mergeCell ref="A11531:G11531"/>
    <mergeCell ref="A11532:G11532"/>
    <mergeCell ref="A11533:G11533"/>
    <mergeCell ref="A11534:G11534"/>
    <mergeCell ref="A11535:G11535"/>
    <mergeCell ref="A11536:G11536"/>
    <mergeCell ref="K11539:L11539"/>
    <mergeCell ref="M11539:N11539"/>
    <mergeCell ref="A11541:G11541"/>
    <mergeCell ref="I11541:J11541"/>
    <mergeCell ref="K11541:L11541"/>
    <mergeCell ref="M11541:N11541"/>
    <mergeCell ref="I11542:J11542"/>
    <mergeCell ref="K11542:L11542"/>
    <mergeCell ref="M11542:N11542"/>
    <mergeCell ref="A11542:G11542"/>
    <mergeCell ref="A11543:G11543"/>
    <mergeCell ref="I11543:J11543"/>
    <mergeCell ref="K11543:L11543"/>
    <mergeCell ref="M11543:N11543"/>
    <mergeCell ref="A11544:G11544"/>
    <mergeCell ref="A11545:G11545"/>
    <mergeCell ref="I11539:J11539"/>
    <mergeCell ref="I11540:J11540"/>
    <mergeCell ref="K11540:L11540"/>
    <mergeCell ref="M11540:N11540"/>
    <mergeCell ref="A11537:G11537"/>
    <mergeCell ref="A11538:G11538"/>
    <mergeCell ref="I11538:J11538"/>
    <mergeCell ref="K11538:L11538"/>
    <mergeCell ref="M11538:N11538"/>
    <mergeCell ref="A11539:G11539"/>
    <mergeCell ref="A11540:G11540"/>
    <mergeCell ref="K11544:L11544"/>
    <mergeCell ref="M11544:N11544"/>
    <mergeCell ref="I11544:J11544"/>
    <mergeCell ref="I11545:J11545"/>
    <mergeCell ref="K11545:L11545"/>
    <mergeCell ref="M11545:N11545"/>
    <mergeCell ref="K11546:L11546"/>
    <mergeCell ref="M11546:N11546"/>
    <mergeCell ref="K11550:L11550"/>
    <mergeCell ref="M11550:N11550"/>
    <mergeCell ref="K11560:L11560"/>
    <mergeCell ref="M11560:N11560"/>
    <mergeCell ref="A11557:N11557"/>
    <mergeCell ref="A11558:G11558"/>
    <mergeCell ref="I11558:J11558"/>
    <mergeCell ref="K11558:L11558"/>
    <mergeCell ref="M11558:N11558"/>
    <mergeCell ref="A11559:G11559"/>
    <mergeCell ref="A11560:G11560"/>
    <mergeCell ref="A11569:G11569"/>
    <mergeCell ref="A11570:G11570"/>
    <mergeCell ref="A11571:G11571"/>
    <mergeCell ref="A11572:G11572"/>
    <mergeCell ref="A11566:N11566"/>
    <mergeCell ref="A11567:G11567"/>
    <mergeCell ref="I11567:J11567"/>
    <mergeCell ref="M11567:N11567"/>
    <mergeCell ref="A11568:G11568"/>
    <mergeCell ref="M11568:N11568"/>
    <mergeCell ref="M11569:N11569"/>
    <mergeCell ref="I11568:J11568"/>
    <mergeCell ref="I11569:J11569"/>
    <mergeCell ref="I11570:J11570"/>
    <mergeCell ref="M11570:N11570"/>
    <mergeCell ref="I11571:J11571"/>
    <mergeCell ref="M11571:N11571"/>
    <mergeCell ref="I11572:J11572"/>
    <mergeCell ref="K11581:L11581"/>
    <mergeCell ref="M11581:N11581"/>
    <mergeCell ref="I11581:J11581"/>
    <mergeCell ref="I11582:J11582"/>
    <mergeCell ref="K11582:L11582"/>
    <mergeCell ref="M11582:N11582"/>
    <mergeCell ref="M11572:N11572"/>
    <mergeCell ref="K11573:L11573"/>
    <mergeCell ref="M11573:N11573"/>
    <mergeCell ref="A11575:N11576"/>
    <mergeCell ref="A11580:N11580"/>
    <mergeCell ref="A11581:G11581"/>
    <mergeCell ref="A11582:G11582"/>
    <mergeCell ref="A11588:G11588"/>
    <mergeCell ref="I11588:J11588"/>
    <mergeCell ref="K11588:L11588"/>
    <mergeCell ref="M11588:N11588"/>
    <mergeCell ref="I11589:J11589"/>
    <mergeCell ref="K11589:L11589"/>
    <mergeCell ref="M11589:N11589"/>
    <mergeCell ref="K11592:L11592"/>
    <mergeCell ref="M11592:N11592"/>
    <mergeCell ref="A11589:G11589"/>
    <mergeCell ref="A11590:G11590"/>
    <mergeCell ref="I11590:J11590"/>
    <mergeCell ref="K11590:L11590"/>
    <mergeCell ref="M11590:N11590"/>
    <mergeCell ref="A11591:G11591"/>
    <mergeCell ref="A11592:G11592"/>
    <mergeCell ref="I11594:J11594"/>
    <mergeCell ref="K11594:L11594"/>
    <mergeCell ref="I11591:J11591"/>
    <mergeCell ref="I11592:J11592"/>
    <mergeCell ref="A11593:G11593"/>
    <mergeCell ref="I11593:J11593"/>
    <mergeCell ref="K11593:L11593"/>
    <mergeCell ref="M11593:N11593"/>
    <mergeCell ref="M11594:N11594"/>
    <mergeCell ref="A11583:G11583"/>
    <mergeCell ref="I11583:J11583"/>
    <mergeCell ref="K11583:L11583"/>
    <mergeCell ref="M11583:N11583"/>
    <mergeCell ref="I11584:J11584"/>
    <mergeCell ref="K11584:L11584"/>
    <mergeCell ref="M11584:N11584"/>
    <mergeCell ref="K11586:L11586"/>
    <mergeCell ref="M11586:N11586"/>
    <mergeCell ref="I11586:J11586"/>
    <mergeCell ref="I11587:J11587"/>
    <mergeCell ref="K11587:L11587"/>
    <mergeCell ref="M11587:N11587"/>
    <mergeCell ref="A11584:G11584"/>
    <mergeCell ref="A11585:G11585"/>
    <mergeCell ref="I11585:J11585"/>
    <mergeCell ref="K11585:L11585"/>
    <mergeCell ref="M11585:N11585"/>
    <mergeCell ref="A11586:G11586"/>
    <mergeCell ref="A11587:G11587"/>
    <mergeCell ref="K11591:L11591"/>
    <mergeCell ref="M11591:N11591"/>
    <mergeCell ref="K11596:L11596"/>
    <mergeCell ref="M11596:N11596"/>
    <mergeCell ref="I11596:J11596"/>
    <mergeCell ref="I11597:J11597"/>
    <mergeCell ref="K11597:L11597"/>
    <mergeCell ref="M11597:N11597"/>
    <mergeCell ref="K11598:L11598"/>
    <mergeCell ref="M11598:N11598"/>
    <mergeCell ref="A11594:G11594"/>
    <mergeCell ref="A11595:G11595"/>
    <mergeCell ref="I11595:J11595"/>
    <mergeCell ref="K11595:L11595"/>
    <mergeCell ref="M11595:N11595"/>
    <mergeCell ref="A11596:G11596"/>
    <mergeCell ref="A11597:G11597"/>
    <mergeCell ref="K11602:L11602"/>
    <mergeCell ref="M11602:N11602"/>
    <mergeCell ref="I11602:J11602"/>
    <mergeCell ref="I11603:J11603"/>
    <mergeCell ref="K11603:L11603"/>
    <mergeCell ref="M11603:N11603"/>
    <mergeCell ref="A11600:N11600"/>
    <mergeCell ref="A11601:G11601"/>
    <mergeCell ref="I11601:J11601"/>
    <mergeCell ref="K11601:L11601"/>
    <mergeCell ref="M11601:N11601"/>
    <mergeCell ref="A11602:G11602"/>
    <mergeCell ref="A11603:G11603"/>
    <mergeCell ref="A11613:G11613"/>
    <mergeCell ref="I11613:J11613"/>
    <mergeCell ref="K11613:L11613"/>
    <mergeCell ref="M11613:N11613"/>
    <mergeCell ref="I11614:J11614"/>
    <mergeCell ref="K11614:L11614"/>
    <mergeCell ref="M11614:N11614"/>
    <mergeCell ref="A11614:G11614"/>
    <mergeCell ref="K11699:L11699"/>
    <mergeCell ref="I11682:J11682"/>
    <mergeCell ref="K11682:L11682"/>
    <mergeCell ref="M11682:N11682"/>
    <mergeCell ref="M11683:N11683"/>
    <mergeCell ref="I11683:J11683"/>
    <mergeCell ref="K11683:L11683"/>
    <mergeCell ref="I11684:J11684"/>
    <mergeCell ref="K11684:L11684"/>
    <mergeCell ref="M11684:N11684"/>
    <mergeCell ref="A11615:G11615"/>
    <mergeCell ref="I11615:J11615"/>
    <mergeCell ref="K11615:L11615"/>
    <mergeCell ref="M11615:N11615"/>
    <mergeCell ref="K11616:L11616"/>
    <mergeCell ref="M11616:N11616"/>
    <mergeCell ref="I11620:J11620"/>
    <mergeCell ref="I11621:J11621"/>
    <mergeCell ref="A11618:N11618"/>
    <mergeCell ref="A11619:G11619"/>
    <mergeCell ref="I11619:J11619"/>
    <mergeCell ref="M11619:N11619"/>
    <mergeCell ref="A11620:G11620"/>
    <mergeCell ref="M11620:N11620"/>
    <mergeCell ref="M11621:N11621"/>
    <mergeCell ref="A11604:G11604"/>
    <mergeCell ref="I11604:J11604"/>
    <mergeCell ref="K11604:L11604"/>
    <mergeCell ref="M11604:N11604"/>
    <mergeCell ref="I11605:J11605"/>
    <mergeCell ref="K11605:L11605"/>
    <mergeCell ref="M11605:N11605"/>
    <mergeCell ref="A11605:G11605"/>
    <mergeCell ref="A11606:G11606"/>
    <mergeCell ref="I11606:J11606"/>
    <mergeCell ref="K11606:L11606"/>
    <mergeCell ref="M11606:N11606"/>
    <mergeCell ref="K11607:L11607"/>
    <mergeCell ref="M11607:N11607"/>
    <mergeCell ref="K11611:L11611"/>
    <mergeCell ref="M11611:N11611"/>
    <mergeCell ref="I11611:J11611"/>
    <mergeCell ref="I11612:J11612"/>
    <mergeCell ref="K11612:L11612"/>
    <mergeCell ref="M11612:N11612"/>
    <mergeCell ref="A11609:N11609"/>
    <mergeCell ref="A11610:G11610"/>
    <mergeCell ref="I11610:J11610"/>
    <mergeCell ref="K11610:L11610"/>
    <mergeCell ref="M11610:N11610"/>
    <mergeCell ref="A11611:G11611"/>
    <mergeCell ref="A11612:G11612"/>
    <mergeCell ref="K11689:L11689"/>
    <mergeCell ref="M11689:N11689"/>
    <mergeCell ref="I11690:J11690"/>
    <mergeCell ref="A11692:G11692"/>
    <mergeCell ref="A11693:G11693"/>
    <mergeCell ref="A11694:G11694"/>
    <mergeCell ref="A11695:G11695"/>
    <mergeCell ref="A11696:G11696"/>
    <mergeCell ref="A11697:G11697"/>
    <mergeCell ref="A11698:G11698"/>
    <mergeCell ref="K11690:L11690"/>
    <mergeCell ref="M11690:N11690"/>
    <mergeCell ref="K11698:L11698"/>
    <mergeCell ref="M11698:N11698"/>
    <mergeCell ref="M11657:N11657"/>
    <mergeCell ref="A11657:G11657"/>
    <mergeCell ref="A11660:N11660"/>
    <mergeCell ref="A11661:G11661"/>
    <mergeCell ref="I11661:J11661"/>
    <mergeCell ref="K11661:L11661"/>
    <mergeCell ref="M11661:N11661"/>
    <mergeCell ref="M11662:N11662"/>
    <mergeCell ref="I11662:J11662"/>
    <mergeCell ref="K11662:L11662"/>
    <mergeCell ref="I11663:J11663"/>
    <mergeCell ref="K11663:L11663"/>
    <mergeCell ref="M11663:N11663"/>
    <mergeCell ref="K11664:L11664"/>
    <mergeCell ref="M11664:N11664"/>
    <mergeCell ref="M11670:N11670"/>
    <mergeCell ref="M11671:N11671"/>
    <mergeCell ref="I11671:J11671"/>
    <mergeCell ref="I11672:J11672"/>
    <mergeCell ref="I11673:J11673"/>
    <mergeCell ref="M11673:N11673"/>
    <mergeCell ref="K11674:L11674"/>
    <mergeCell ref="M11674:N11674"/>
    <mergeCell ref="A11672:G11672"/>
    <mergeCell ref="A11673:G11673"/>
    <mergeCell ref="A11669:G11669"/>
    <mergeCell ref="I11669:J11669"/>
    <mergeCell ref="M11669:N11669"/>
    <mergeCell ref="A11670:G11670"/>
    <mergeCell ref="I11670:J11670"/>
    <mergeCell ref="A11671:G11671"/>
    <mergeCell ref="M11672:N11672"/>
    <mergeCell ref="A11683:G11683"/>
    <mergeCell ref="A11676:N11677"/>
    <mergeCell ref="A11681:N11681"/>
    <mergeCell ref="A11682:G11682"/>
    <mergeCell ref="K11666:L11666"/>
    <mergeCell ref="M11666:N11666"/>
    <mergeCell ref="A11668:N11668"/>
    <mergeCell ref="A11684:G11684"/>
    <mergeCell ref="A11685:G11685"/>
    <mergeCell ref="A11686:G11686"/>
    <mergeCell ref="A11687:G11687"/>
    <mergeCell ref="A11688:G11688"/>
    <mergeCell ref="A11689:G11689"/>
    <mergeCell ref="A11690:G11690"/>
    <mergeCell ref="A11635:G11635"/>
    <mergeCell ref="I11635:J11635"/>
    <mergeCell ref="K11635:L11635"/>
    <mergeCell ref="M11635:N11635"/>
    <mergeCell ref="I11636:J11636"/>
    <mergeCell ref="K11636:L11636"/>
    <mergeCell ref="M11636:N11636"/>
    <mergeCell ref="A11636:G11636"/>
    <mergeCell ref="A11637:G11637"/>
    <mergeCell ref="I11637:J11637"/>
    <mergeCell ref="K11637:L11637"/>
    <mergeCell ref="M11637:N11637"/>
    <mergeCell ref="A11638:G11638"/>
    <mergeCell ref="A11639:G11639"/>
    <mergeCell ref="I11641:J11641"/>
    <mergeCell ref="K11641:L11641"/>
    <mergeCell ref="K11639:L11639"/>
    <mergeCell ref="M11639:N11639"/>
    <mergeCell ref="A11640:G11640"/>
    <mergeCell ref="I11640:J11640"/>
    <mergeCell ref="K11640:L11640"/>
    <mergeCell ref="M11640:N11640"/>
    <mergeCell ref="M11641:N11641"/>
    <mergeCell ref="A11621:G11621"/>
    <mergeCell ref="A11622:G11622"/>
    <mergeCell ref="I11622:J11622"/>
    <mergeCell ref="M11622:N11622"/>
    <mergeCell ref="A11623:G11623"/>
    <mergeCell ref="M11623:N11623"/>
    <mergeCell ref="M11624:N11624"/>
    <mergeCell ref="I11633:J11633"/>
    <mergeCell ref="I11634:J11634"/>
    <mergeCell ref="K11634:L11634"/>
    <mergeCell ref="M11634:N11634"/>
    <mergeCell ref="A11624:G11624"/>
    <mergeCell ref="A11627:N11628"/>
    <mergeCell ref="A11632:N11632"/>
    <mergeCell ref="A11633:G11633"/>
    <mergeCell ref="K11633:L11633"/>
    <mergeCell ref="M11633:N11633"/>
    <mergeCell ref="A11634:G11634"/>
    <mergeCell ref="K11638:L11638"/>
    <mergeCell ref="M11638:N11638"/>
    <mergeCell ref="I11638:J11638"/>
    <mergeCell ref="I11639:J11639"/>
    <mergeCell ref="I11623:J11623"/>
    <mergeCell ref="I11624:J11624"/>
    <mergeCell ref="K11625:L11625"/>
    <mergeCell ref="M11625:N11625"/>
    <mergeCell ref="A11647:G11647"/>
    <mergeCell ref="I11647:J11647"/>
    <mergeCell ref="K11647:L11647"/>
    <mergeCell ref="M11647:N11647"/>
    <mergeCell ref="A11648:G11648"/>
    <mergeCell ref="A11649:G11649"/>
    <mergeCell ref="I11643:J11643"/>
    <mergeCell ref="I11644:J11644"/>
    <mergeCell ref="K11644:L11644"/>
    <mergeCell ref="M11644:N11644"/>
    <mergeCell ref="A11641:G11641"/>
    <mergeCell ref="A11642:G11642"/>
    <mergeCell ref="I11642:J11642"/>
    <mergeCell ref="K11642:L11642"/>
    <mergeCell ref="M11642:N11642"/>
    <mergeCell ref="A11643:G11643"/>
    <mergeCell ref="A11644:G11644"/>
    <mergeCell ref="K11648:L11648"/>
    <mergeCell ref="M11648:N11648"/>
    <mergeCell ref="I11648:J11648"/>
    <mergeCell ref="I11649:J11649"/>
    <mergeCell ref="K11649:L11649"/>
    <mergeCell ref="M11649:N11649"/>
    <mergeCell ref="K11650:L11650"/>
    <mergeCell ref="M11650:N11650"/>
    <mergeCell ref="K11654:L11654"/>
    <mergeCell ref="M11654:N11654"/>
    <mergeCell ref="A11662:G11662"/>
    <mergeCell ref="A11663:G11663"/>
    <mergeCell ref="A11664:G11664"/>
    <mergeCell ref="A11665:G11665"/>
    <mergeCell ref="I11664:J11664"/>
    <mergeCell ref="I11665:J11665"/>
    <mergeCell ref="K11665:L11665"/>
    <mergeCell ref="M11665:N11665"/>
    <mergeCell ref="K11643:L11643"/>
    <mergeCell ref="M11643:N11643"/>
    <mergeCell ref="A11645:G11645"/>
    <mergeCell ref="I11645:J11645"/>
    <mergeCell ref="K11645:L11645"/>
    <mergeCell ref="M11645:N11645"/>
    <mergeCell ref="I11646:J11646"/>
    <mergeCell ref="K11646:L11646"/>
    <mergeCell ref="M11646:N11646"/>
    <mergeCell ref="A11646:G11646"/>
    <mergeCell ref="I11654:J11654"/>
    <mergeCell ref="I11655:J11655"/>
    <mergeCell ref="K11655:L11655"/>
    <mergeCell ref="M11655:N11655"/>
    <mergeCell ref="K11658:L11658"/>
    <mergeCell ref="M11658:N11658"/>
    <mergeCell ref="A11652:N11652"/>
    <mergeCell ref="A11653:G11653"/>
    <mergeCell ref="I11653:J11653"/>
    <mergeCell ref="K11653:L11653"/>
    <mergeCell ref="M11653:N11653"/>
    <mergeCell ref="A11654:G11654"/>
    <mergeCell ref="A11655:G11655"/>
    <mergeCell ref="A11656:G11656"/>
    <mergeCell ref="I11656:J11656"/>
    <mergeCell ref="K11656:L11656"/>
    <mergeCell ref="M11656:N11656"/>
    <mergeCell ref="I11657:J11657"/>
    <mergeCell ref="K11657:L11657"/>
    <mergeCell ref="I11705:J11705"/>
    <mergeCell ref="I11706:J11706"/>
    <mergeCell ref="K11706:L11706"/>
    <mergeCell ref="M11706:N11706"/>
    <mergeCell ref="K11708:L11708"/>
    <mergeCell ref="M11708:N11708"/>
    <mergeCell ref="A11703:G11703"/>
    <mergeCell ref="A11704:G11704"/>
    <mergeCell ref="I11704:J11704"/>
    <mergeCell ref="K11704:L11704"/>
    <mergeCell ref="M11704:N11704"/>
    <mergeCell ref="A11705:G11705"/>
    <mergeCell ref="A11706:G11706"/>
    <mergeCell ref="K11711:L11711"/>
    <mergeCell ref="M11711:N11711"/>
    <mergeCell ref="I11711:J11711"/>
    <mergeCell ref="I11712:J11712"/>
    <mergeCell ref="K11712:L11712"/>
    <mergeCell ref="M11712:N11712"/>
    <mergeCell ref="A11707:G11707"/>
    <mergeCell ref="I11707:J11707"/>
    <mergeCell ref="K11707:L11707"/>
    <mergeCell ref="M11707:N11707"/>
    <mergeCell ref="A11710:N11710"/>
    <mergeCell ref="A11711:G11711"/>
    <mergeCell ref="A11712:G11712"/>
    <mergeCell ref="A11713:G11713"/>
    <mergeCell ref="I11713:J11713"/>
    <mergeCell ref="K11713:L11713"/>
    <mergeCell ref="M11713:N11713"/>
    <mergeCell ref="K11685:L11685"/>
    <mergeCell ref="M11685:N11685"/>
    <mergeCell ref="I11685:J11685"/>
    <mergeCell ref="I11686:J11686"/>
    <mergeCell ref="K11686:L11686"/>
    <mergeCell ref="M11686:N11686"/>
    <mergeCell ref="I11687:J11687"/>
    <mergeCell ref="K11687:L11687"/>
    <mergeCell ref="M11687:N11687"/>
    <mergeCell ref="K11705:L11705"/>
    <mergeCell ref="M11705:N11705"/>
    <mergeCell ref="A11691:G11691"/>
    <mergeCell ref="I11691:J11691"/>
    <mergeCell ref="K11691:L11691"/>
    <mergeCell ref="M11691:N11691"/>
    <mergeCell ref="M11692:N11692"/>
    <mergeCell ref="I11692:J11692"/>
    <mergeCell ref="K11692:L11692"/>
    <mergeCell ref="I11693:J11693"/>
    <mergeCell ref="K11693:L11693"/>
    <mergeCell ref="M11693:N11693"/>
    <mergeCell ref="K11694:L11694"/>
    <mergeCell ref="M11694:N11694"/>
    <mergeCell ref="I11694:J11694"/>
    <mergeCell ref="I11695:J11695"/>
    <mergeCell ref="K11695:L11695"/>
    <mergeCell ref="M11695:N11695"/>
    <mergeCell ref="I11696:J11696"/>
    <mergeCell ref="K11696:L11696"/>
    <mergeCell ref="M11696:N11696"/>
    <mergeCell ref="I11697:J11697"/>
    <mergeCell ref="K11697:L11697"/>
    <mergeCell ref="M11697:N11697"/>
    <mergeCell ref="I11698:J11698"/>
    <mergeCell ref="I11703:J11703"/>
    <mergeCell ref="K11703:L11703"/>
    <mergeCell ref="M11699:N11699"/>
    <mergeCell ref="A11701:N11701"/>
    <mergeCell ref="A11702:G11702"/>
    <mergeCell ref="I11702:J11702"/>
    <mergeCell ref="K11702:L11702"/>
    <mergeCell ref="M11702:N11702"/>
    <mergeCell ref="M11703:N11703"/>
    <mergeCell ref="I11688:J11688"/>
    <mergeCell ref="K11688:L11688"/>
    <mergeCell ref="M11688:N11688"/>
    <mergeCell ref="I11689:J11689"/>
    <mergeCell ref="K11744:L11744"/>
    <mergeCell ref="M11744:N11744"/>
    <mergeCell ref="A11745:G11745"/>
    <mergeCell ref="I11745:J11745"/>
    <mergeCell ref="K11745:L11745"/>
    <mergeCell ref="M11745:N11745"/>
    <mergeCell ref="M11746:N11746"/>
    <mergeCell ref="I11714:J11714"/>
    <mergeCell ref="K11714:L11714"/>
    <mergeCell ref="M11714:N11714"/>
    <mergeCell ref="K11716:L11716"/>
    <mergeCell ref="M11716:N11716"/>
    <mergeCell ref="K11717:L11717"/>
    <mergeCell ref="M11717:N11717"/>
    <mergeCell ref="A11714:G11714"/>
    <mergeCell ref="A11715:G11715"/>
    <mergeCell ref="I11715:J11715"/>
    <mergeCell ref="K11715:L11715"/>
    <mergeCell ref="M11715:N11715"/>
    <mergeCell ref="A11716:G11716"/>
    <mergeCell ref="I11716:J11716"/>
    <mergeCell ref="A11722:G11722"/>
    <mergeCell ref="A11723:G11723"/>
    <mergeCell ref="A11724:G11724"/>
    <mergeCell ref="A11725:G11725"/>
    <mergeCell ref="A11719:N11719"/>
    <mergeCell ref="A11720:G11720"/>
    <mergeCell ref="I11720:J11720"/>
    <mergeCell ref="M11720:N11720"/>
    <mergeCell ref="A11721:G11721"/>
    <mergeCell ref="M11721:N11721"/>
    <mergeCell ref="M11722:N11722"/>
    <mergeCell ref="I11721:J11721"/>
    <mergeCell ref="I11722:J11722"/>
    <mergeCell ref="I11723:J11723"/>
    <mergeCell ref="M11723:N11723"/>
    <mergeCell ref="I11724:J11724"/>
    <mergeCell ref="M11724:N11724"/>
    <mergeCell ref="I11725:J11725"/>
    <mergeCell ref="K11734:L11734"/>
    <mergeCell ref="M11734:N11734"/>
    <mergeCell ref="I11734:J11734"/>
    <mergeCell ref="I11735:J11735"/>
    <mergeCell ref="K11735:L11735"/>
    <mergeCell ref="M11735:N11735"/>
    <mergeCell ref="M11725:N11725"/>
    <mergeCell ref="K11726:L11726"/>
    <mergeCell ref="M11726:N11726"/>
    <mergeCell ref="A11728:N11729"/>
    <mergeCell ref="A11733:N11733"/>
    <mergeCell ref="A11734:G11734"/>
    <mergeCell ref="A11735:G11735"/>
    <mergeCell ref="K11739:L11739"/>
    <mergeCell ref="M11739:N11739"/>
    <mergeCell ref="I11739:J11739"/>
    <mergeCell ref="I11740:J11740"/>
    <mergeCell ref="K11740:L11740"/>
    <mergeCell ref="M11740:N11740"/>
    <mergeCell ref="K11748:L11748"/>
    <mergeCell ref="M11748:N11748"/>
    <mergeCell ref="I11748:J11748"/>
    <mergeCell ref="I11749:J11749"/>
    <mergeCell ref="K11749:L11749"/>
    <mergeCell ref="M11749:N11749"/>
    <mergeCell ref="K11751:L11751"/>
    <mergeCell ref="M11751:N11751"/>
    <mergeCell ref="A11746:G11746"/>
    <mergeCell ref="A11747:G11747"/>
    <mergeCell ref="I11747:J11747"/>
    <mergeCell ref="K11747:L11747"/>
    <mergeCell ref="M11747:N11747"/>
    <mergeCell ref="A11748:G11748"/>
    <mergeCell ref="A11749:G11749"/>
    <mergeCell ref="K11754:L11754"/>
    <mergeCell ref="M11754:N11754"/>
    <mergeCell ref="I11754:J11754"/>
    <mergeCell ref="A11736:G11736"/>
    <mergeCell ref="I11736:J11736"/>
    <mergeCell ref="K11736:L11736"/>
    <mergeCell ref="M11736:N11736"/>
    <mergeCell ref="I11737:J11737"/>
    <mergeCell ref="K11737:L11737"/>
    <mergeCell ref="M11737:N11737"/>
    <mergeCell ref="A11737:G11737"/>
    <mergeCell ref="A11738:G11738"/>
    <mergeCell ref="I11738:J11738"/>
    <mergeCell ref="K11738:L11738"/>
    <mergeCell ref="M11738:N11738"/>
    <mergeCell ref="A11739:G11739"/>
    <mergeCell ref="A11740:G11740"/>
    <mergeCell ref="A11741:G11741"/>
    <mergeCell ref="I11741:J11741"/>
    <mergeCell ref="K11741:L11741"/>
    <mergeCell ref="M11741:N11741"/>
    <mergeCell ref="I11742:J11742"/>
    <mergeCell ref="K11742:L11742"/>
    <mergeCell ref="M11742:N11742"/>
    <mergeCell ref="A11742:G11742"/>
    <mergeCell ref="A11743:G11743"/>
    <mergeCell ref="I11743:J11743"/>
    <mergeCell ref="K11743:L11743"/>
    <mergeCell ref="M11743:N11743"/>
    <mergeCell ref="A11744:G11744"/>
    <mergeCell ref="I11744:J11744"/>
    <mergeCell ref="I11746:J11746"/>
    <mergeCell ref="K11746:L11746"/>
    <mergeCell ref="I11755:J11755"/>
    <mergeCell ref="K11755:L11755"/>
    <mergeCell ref="M11755:N11755"/>
    <mergeCell ref="A11750:G11750"/>
    <mergeCell ref="I11750:J11750"/>
    <mergeCell ref="K11750:L11750"/>
    <mergeCell ref="M11750:N11750"/>
    <mergeCell ref="A11753:N11753"/>
    <mergeCell ref="A11754:G11754"/>
    <mergeCell ref="A11755:G11755"/>
    <mergeCell ref="A11756:G11756"/>
    <mergeCell ref="I11756:J11756"/>
    <mergeCell ref="K11756:L11756"/>
    <mergeCell ref="M11756:N11756"/>
    <mergeCell ref="I11757:J11757"/>
    <mergeCell ref="K11757:L11757"/>
    <mergeCell ref="M11757:N11757"/>
    <mergeCell ref="K11759:L11759"/>
    <mergeCell ref="M11759:N11759"/>
    <mergeCell ref="K11760:L11760"/>
    <mergeCell ref="M11760:N11760"/>
    <mergeCell ref="A11757:G11757"/>
    <mergeCell ref="A11758:G11758"/>
    <mergeCell ref="I11758:J11758"/>
    <mergeCell ref="K11758:L11758"/>
    <mergeCell ref="M11758:N11758"/>
    <mergeCell ref="A11759:G11759"/>
    <mergeCell ref="I11759:J11759"/>
    <mergeCell ref="K11764:L11764"/>
    <mergeCell ref="M11764:N11764"/>
    <mergeCell ref="I11764:J11764"/>
    <mergeCell ref="I11765:J11765"/>
    <mergeCell ref="K11765:L11765"/>
    <mergeCell ref="M11765:N11765"/>
    <mergeCell ref="A11762:N11762"/>
    <mergeCell ref="A11763:G11763"/>
    <mergeCell ref="I11763:J11763"/>
    <mergeCell ref="K11763:L11763"/>
    <mergeCell ref="M11763:N11763"/>
    <mergeCell ref="A11764:G11764"/>
    <mergeCell ref="A11765:G11765"/>
    <mergeCell ref="K11791:L11791"/>
    <mergeCell ref="M11791:N11791"/>
    <mergeCell ref="A11793:G11793"/>
    <mergeCell ref="I11793:J11793"/>
    <mergeCell ref="K11793:L11793"/>
    <mergeCell ref="M11793:N11793"/>
    <mergeCell ref="K11801:L11801"/>
    <mergeCell ref="M11801:N11801"/>
    <mergeCell ref="A11802:G11802"/>
    <mergeCell ref="I11802:J11802"/>
    <mergeCell ref="K11802:L11802"/>
    <mergeCell ref="M11802:N11802"/>
    <mergeCell ref="K11803:L11803"/>
    <mergeCell ref="M11803:N11803"/>
    <mergeCell ref="A11805:N11805"/>
    <mergeCell ref="A11806:G11806"/>
    <mergeCell ref="I11806:J11806"/>
    <mergeCell ref="K11806:L11806"/>
    <mergeCell ref="M11806:N11806"/>
    <mergeCell ref="A11807:G11807"/>
    <mergeCell ref="M11807:N11807"/>
    <mergeCell ref="I11791:J11791"/>
    <mergeCell ref="I11792:J11792"/>
    <mergeCell ref="K11792:L11792"/>
    <mergeCell ref="M11792:N11792"/>
    <mergeCell ref="A11789:G11789"/>
    <mergeCell ref="A11790:G11790"/>
    <mergeCell ref="I11790:J11790"/>
    <mergeCell ref="K11790:L11790"/>
    <mergeCell ref="M11790:N11790"/>
    <mergeCell ref="A11791:G11791"/>
    <mergeCell ref="A11792:G11792"/>
    <mergeCell ref="K11796:L11796"/>
    <mergeCell ref="M11796:N11796"/>
    <mergeCell ref="I11796:J11796"/>
    <mergeCell ref="I11797:J11797"/>
    <mergeCell ref="K11797:L11797"/>
    <mergeCell ref="M11797:N11797"/>
    <mergeCell ref="I11794:J11794"/>
    <mergeCell ref="K11794:L11794"/>
    <mergeCell ref="M11794:N11794"/>
    <mergeCell ref="A11794:G11794"/>
    <mergeCell ref="A11795:G11795"/>
    <mergeCell ref="I11795:J11795"/>
    <mergeCell ref="K11795:L11795"/>
    <mergeCell ref="M11795:N11795"/>
    <mergeCell ref="A11796:G11796"/>
    <mergeCell ref="A11797:G11797"/>
    <mergeCell ref="A11798:G11798"/>
    <mergeCell ref="I11798:J11798"/>
    <mergeCell ref="K11798:L11798"/>
    <mergeCell ref="M11798:N11798"/>
    <mergeCell ref="I11799:J11799"/>
    <mergeCell ref="K11799:L11799"/>
    <mergeCell ref="M11799:N11799"/>
    <mergeCell ref="A11799:G11799"/>
    <mergeCell ref="A11800:G11800"/>
    <mergeCell ref="I11800:J11800"/>
    <mergeCell ref="K11800:L11800"/>
    <mergeCell ref="M11800:N11800"/>
    <mergeCell ref="A11801:G11801"/>
    <mergeCell ref="I11801:J11801"/>
    <mergeCell ref="I11807:J11807"/>
    <mergeCell ref="K11807:L11807"/>
    <mergeCell ref="K11787:L11787"/>
    <mergeCell ref="M11787:N11787"/>
    <mergeCell ref="M11777:N11777"/>
    <mergeCell ref="K11778:L11778"/>
    <mergeCell ref="M11778:N11778"/>
    <mergeCell ref="A11780:N11781"/>
    <mergeCell ref="A11785:N11785"/>
    <mergeCell ref="A11786:G11786"/>
    <mergeCell ref="A11787:G11787"/>
    <mergeCell ref="I11789:J11789"/>
    <mergeCell ref="K11789:L11789"/>
    <mergeCell ref="I11786:J11786"/>
    <mergeCell ref="I11787:J11787"/>
    <mergeCell ref="A11788:G11788"/>
    <mergeCell ref="I11788:J11788"/>
    <mergeCell ref="K11788:L11788"/>
    <mergeCell ref="M11788:N11788"/>
    <mergeCell ref="M11789:N11789"/>
    <mergeCell ref="A11766:G11766"/>
    <mergeCell ref="I11766:J11766"/>
    <mergeCell ref="K11766:L11766"/>
    <mergeCell ref="M11766:N11766"/>
    <mergeCell ref="I11767:J11767"/>
    <mergeCell ref="K11767:L11767"/>
    <mergeCell ref="M11767:N11767"/>
    <mergeCell ref="A11767:G11767"/>
    <mergeCell ref="A11768:G11768"/>
    <mergeCell ref="I11768:J11768"/>
    <mergeCell ref="K11768:L11768"/>
    <mergeCell ref="M11768:N11768"/>
    <mergeCell ref="K11769:L11769"/>
    <mergeCell ref="M11769:N11769"/>
    <mergeCell ref="A11774:G11774"/>
    <mergeCell ref="A11775:G11775"/>
    <mergeCell ref="A11776:G11776"/>
    <mergeCell ref="A11777:G11777"/>
    <mergeCell ref="A11771:N11771"/>
    <mergeCell ref="A11772:G11772"/>
    <mergeCell ref="I11772:J11772"/>
    <mergeCell ref="M11772:N11772"/>
    <mergeCell ref="A11773:G11773"/>
    <mergeCell ref="M11773:N11773"/>
    <mergeCell ref="M11774:N11774"/>
    <mergeCell ref="I11773:J11773"/>
    <mergeCell ref="I11774:J11774"/>
    <mergeCell ref="I11775:J11775"/>
    <mergeCell ref="M11775:N11775"/>
    <mergeCell ref="I11776:J11776"/>
    <mergeCell ref="M11776:N11776"/>
    <mergeCell ref="I11777:J11777"/>
    <mergeCell ref="K11786:L11786"/>
    <mergeCell ref="M11786:N11786"/>
    <mergeCell ref="A11845:G11845"/>
    <mergeCell ref="A11846:G11846"/>
    <mergeCell ref="K11850:L11850"/>
    <mergeCell ref="M11850:N11850"/>
    <mergeCell ref="I11850:J11850"/>
    <mergeCell ref="I11851:J11851"/>
    <mergeCell ref="K11851:L11851"/>
    <mergeCell ref="M11851:N11851"/>
    <mergeCell ref="K11852:L11852"/>
    <mergeCell ref="M11852:N11852"/>
    <mergeCell ref="K11856:L11856"/>
    <mergeCell ref="M11856:N11856"/>
    <mergeCell ref="K11866:L11866"/>
    <mergeCell ref="M11808:N11808"/>
    <mergeCell ref="M11809:N11809"/>
    <mergeCell ref="K11815:L11815"/>
    <mergeCell ref="M11815:N11815"/>
    <mergeCell ref="I11815:J11815"/>
    <mergeCell ref="I11816:J11816"/>
    <mergeCell ref="K11816:L11816"/>
    <mergeCell ref="M11816:N11816"/>
    <mergeCell ref="K11819:L11819"/>
    <mergeCell ref="M11819:N11819"/>
    <mergeCell ref="A11813:N11813"/>
    <mergeCell ref="A11814:G11814"/>
    <mergeCell ref="I11814:J11814"/>
    <mergeCell ref="K11814:L11814"/>
    <mergeCell ref="M11814:N11814"/>
    <mergeCell ref="A11815:G11815"/>
    <mergeCell ref="A11816:G11816"/>
    <mergeCell ref="A11817:G11817"/>
    <mergeCell ref="I11817:J11817"/>
    <mergeCell ref="K11817:L11817"/>
    <mergeCell ref="M11817:N11817"/>
    <mergeCell ref="I11818:J11818"/>
    <mergeCell ref="K11818:L11818"/>
    <mergeCell ref="M11818:N11818"/>
    <mergeCell ref="A11818:G11818"/>
    <mergeCell ref="A11821:N11821"/>
    <mergeCell ref="A11822:G11822"/>
    <mergeCell ref="I11822:J11822"/>
    <mergeCell ref="M11822:N11822"/>
    <mergeCell ref="I11823:J11823"/>
    <mergeCell ref="M11823:N11823"/>
    <mergeCell ref="I11825:J11825"/>
    <mergeCell ref="I11826:J11826"/>
    <mergeCell ref="A11810:G11810"/>
    <mergeCell ref="I11810:J11810"/>
    <mergeCell ref="K11810:L11810"/>
    <mergeCell ref="M11810:N11810"/>
    <mergeCell ref="K11811:L11811"/>
    <mergeCell ref="M11811:N11811"/>
    <mergeCell ref="A11809:G11809"/>
    <mergeCell ref="I11809:J11809"/>
    <mergeCell ref="K11809:L11809"/>
    <mergeCell ref="A11808:G11808"/>
    <mergeCell ref="I11808:J11808"/>
    <mergeCell ref="K11808:L11808"/>
    <mergeCell ref="K11845:L11845"/>
    <mergeCell ref="M11845:N11845"/>
    <mergeCell ref="A11847:G11847"/>
    <mergeCell ref="I11847:J11847"/>
    <mergeCell ref="K11847:L11847"/>
    <mergeCell ref="M11847:N11847"/>
    <mergeCell ref="I11848:J11848"/>
    <mergeCell ref="K11848:L11848"/>
    <mergeCell ref="M11848:N11848"/>
    <mergeCell ref="A11848:G11848"/>
    <mergeCell ref="A11849:G11849"/>
    <mergeCell ref="I11849:J11849"/>
    <mergeCell ref="K11849:L11849"/>
    <mergeCell ref="K11827:L11827"/>
    <mergeCell ref="M11827:N11827"/>
    <mergeCell ref="I11868:J11868"/>
    <mergeCell ref="K11868:L11868"/>
    <mergeCell ref="I11865:J11865"/>
    <mergeCell ref="I11866:J11866"/>
    <mergeCell ref="A11867:G11867"/>
    <mergeCell ref="I11867:J11867"/>
    <mergeCell ref="K11867:L11867"/>
    <mergeCell ref="M11867:N11867"/>
    <mergeCell ref="M11868:N11868"/>
    <mergeCell ref="I11856:J11856"/>
    <mergeCell ref="I11857:J11857"/>
    <mergeCell ref="K11857:L11857"/>
    <mergeCell ref="M11857:N11857"/>
    <mergeCell ref="A11854:N11854"/>
    <mergeCell ref="A11855:G11855"/>
    <mergeCell ref="I11855:J11855"/>
    <mergeCell ref="K11855:L11855"/>
    <mergeCell ref="M11855:N11855"/>
    <mergeCell ref="A11856:G11856"/>
    <mergeCell ref="A11857:G11857"/>
    <mergeCell ref="A11858:G11858"/>
    <mergeCell ref="I11858:J11858"/>
    <mergeCell ref="K11858:L11858"/>
    <mergeCell ref="M11858:N11858"/>
    <mergeCell ref="I11859:J11859"/>
    <mergeCell ref="K11859:L11859"/>
    <mergeCell ref="M11859:N11859"/>
    <mergeCell ref="A11859:G11859"/>
    <mergeCell ref="A11860:G11860"/>
    <mergeCell ref="I11860:J11860"/>
    <mergeCell ref="K11860:L11860"/>
    <mergeCell ref="M11860:N11860"/>
    <mergeCell ref="K11861:L11861"/>
    <mergeCell ref="M11861:N11861"/>
    <mergeCell ref="K11865:L11865"/>
    <mergeCell ref="M11865:N11865"/>
    <mergeCell ref="A11868:G11868"/>
    <mergeCell ref="M11849:N11849"/>
    <mergeCell ref="A11850:G11850"/>
    <mergeCell ref="A11851:G11851"/>
    <mergeCell ref="I11845:J11845"/>
    <mergeCell ref="I11846:J11846"/>
    <mergeCell ref="K11846:L11846"/>
    <mergeCell ref="M11846:N11846"/>
    <mergeCell ref="A11843:G11843"/>
    <mergeCell ref="A11844:G11844"/>
    <mergeCell ref="I11844:J11844"/>
    <mergeCell ref="K11844:L11844"/>
    <mergeCell ref="M11844:N11844"/>
    <mergeCell ref="A11837:G11837"/>
    <mergeCell ref="I11837:J11837"/>
    <mergeCell ref="K11837:L11837"/>
    <mergeCell ref="M11837:N11837"/>
    <mergeCell ref="I11838:J11838"/>
    <mergeCell ref="K11838:L11838"/>
    <mergeCell ref="M11838:N11838"/>
    <mergeCell ref="A11838:G11838"/>
    <mergeCell ref="A11839:G11839"/>
    <mergeCell ref="I11839:J11839"/>
    <mergeCell ref="K11839:L11839"/>
    <mergeCell ref="M11839:N11839"/>
    <mergeCell ref="A11840:G11840"/>
    <mergeCell ref="A11841:G11841"/>
    <mergeCell ref="I11843:J11843"/>
    <mergeCell ref="K11843:L11843"/>
    <mergeCell ref="K11841:L11841"/>
    <mergeCell ref="M11841:N11841"/>
    <mergeCell ref="A11842:G11842"/>
    <mergeCell ref="I11842:J11842"/>
    <mergeCell ref="K11842:L11842"/>
    <mergeCell ref="M11842:N11842"/>
    <mergeCell ref="M11843:N11843"/>
    <mergeCell ref="A11823:G11823"/>
    <mergeCell ref="A11824:G11824"/>
    <mergeCell ref="I11824:J11824"/>
    <mergeCell ref="M11824:N11824"/>
    <mergeCell ref="A11825:G11825"/>
    <mergeCell ref="M11825:N11825"/>
    <mergeCell ref="M11826:N11826"/>
    <mergeCell ref="I11835:J11835"/>
    <mergeCell ref="I11836:J11836"/>
    <mergeCell ref="K11836:L11836"/>
    <mergeCell ref="M11836:N11836"/>
    <mergeCell ref="A11826:G11826"/>
    <mergeCell ref="A11829:N11830"/>
    <mergeCell ref="A11834:N11834"/>
    <mergeCell ref="A11835:G11835"/>
    <mergeCell ref="K11835:L11835"/>
    <mergeCell ref="M11835:N11835"/>
    <mergeCell ref="A11836:G11836"/>
    <mergeCell ref="K11840:L11840"/>
    <mergeCell ref="M11840:N11840"/>
    <mergeCell ref="I11840:J11840"/>
    <mergeCell ref="I11841:J11841"/>
    <mergeCell ref="M11866:N11866"/>
    <mergeCell ref="A11863:N11863"/>
    <mergeCell ref="A11864:G11864"/>
    <mergeCell ref="I11864:J11864"/>
    <mergeCell ref="K11864:L11864"/>
    <mergeCell ref="M11864:N11864"/>
    <mergeCell ref="A11865:G11865"/>
    <mergeCell ref="A11866:G11866"/>
    <mergeCell ref="A11875:G11875"/>
    <mergeCell ref="A11876:G11876"/>
    <mergeCell ref="A11877:G11877"/>
    <mergeCell ref="A11878:G11878"/>
    <mergeCell ref="A11872:N11872"/>
    <mergeCell ref="A11873:G11873"/>
    <mergeCell ref="I11873:J11873"/>
    <mergeCell ref="M11873:N11873"/>
    <mergeCell ref="A11874:G11874"/>
    <mergeCell ref="M11874:N11874"/>
    <mergeCell ref="M11875:N11875"/>
    <mergeCell ref="I11874:J11874"/>
    <mergeCell ref="I11875:J11875"/>
    <mergeCell ref="I11876:J11876"/>
    <mergeCell ref="M11876:N11876"/>
    <mergeCell ref="I11877:J11877"/>
    <mergeCell ref="M11877:N11877"/>
    <mergeCell ref="I11878:J11878"/>
    <mergeCell ref="K11887:L11887"/>
    <mergeCell ref="M11887:N11887"/>
    <mergeCell ref="I11887:J11887"/>
    <mergeCell ref="I11888:J11888"/>
    <mergeCell ref="K11888:L11888"/>
    <mergeCell ref="M11888:N11888"/>
    <mergeCell ref="M11878:N11878"/>
    <mergeCell ref="K11879:L11879"/>
    <mergeCell ref="M11879:N11879"/>
    <mergeCell ref="A11881:N11882"/>
    <mergeCell ref="A11886:N11886"/>
    <mergeCell ref="A11887:G11887"/>
    <mergeCell ref="A11888:G11888"/>
    <mergeCell ref="A11869:G11869"/>
    <mergeCell ref="I11869:J11869"/>
    <mergeCell ref="K11869:L11869"/>
    <mergeCell ref="M11869:N11869"/>
    <mergeCell ref="K11870:L11870"/>
    <mergeCell ref="M11870:N11870"/>
    <mergeCell ref="A11894:G11894"/>
    <mergeCell ref="I11894:J11894"/>
    <mergeCell ref="K11894:L11894"/>
    <mergeCell ref="M11894:N11894"/>
    <mergeCell ref="I11895:J11895"/>
    <mergeCell ref="K11895:L11895"/>
    <mergeCell ref="M11895:N11895"/>
    <mergeCell ref="K11898:L11898"/>
    <mergeCell ref="M11898:N11898"/>
    <mergeCell ref="A11895:G11895"/>
    <mergeCell ref="A11896:G11896"/>
    <mergeCell ref="I11896:J11896"/>
    <mergeCell ref="K11896:L11896"/>
    <mergeCell ref="M11896:N11896"/>
    <mergeCell ref="A11897:G11897"/>
    <mergeCell ref="A11898:G11898"/>
    <mergeCell ref="I11900:J11900"/>
    <mergeCell ref="K11900:L11900"/>
    <mergeCell ref="I11897:J11897"/>
    <mergeCell ref="I11898:J11898"/>
    <mergeCell ref="A11899:G11899"/>
    <mergeCell ref="I11899:J11899"/>
    <mergeCell ref="K11899:L11899"/>
    <mergeCell ref="M11899:N11899"/>
    <mergeCell ref="M11900:N11900"/>
    <mergeCell ref="A11889:G11889"/>
    <mergeCell ref="I11889:J11889"/>
    <mergeCell ref="K11889:L11889"/>
    <mergeCell ref="M11889:N11889"/>
    <mergeCell ref="I11890:J11890"/>
    <mergeCell ref="K11890:L11890"/>
    <mergeCell ref="M11890:N11890"/>
    <mergeCell ref="K11892:L11892"/>
    <mergeCell ref="M11892:N11892"/>
    <mergeCell ref="I11892:J11892"/>
    <mergeCell ref="I11893:J11893"/>
    <mergeCell ref="K11893:L11893"/>
    <mergeCell ref="M11893:N11893"/>
    <mergeCell ref="A11890:G11890"/>
    <mergeCell ref="A11891:G11891"/>
    <mergeCell ref="I11891:J11891"/>
    <mergeCell ref="K11891:L11891"/>
    <mergeCell ref="M11891:N11891"/>
    <mergeCell ref="A11892:G11892"/>
    <mergeCell ref="A11893:G11893"/>
    <mergeCell ref="K11897:L11897"/>
    <mergeCell ref="M11897:N11897"/>
    <mergeCell ref="K11902:L11902"/>
    <mergeCell ref="M11902:N11902"/>
    <mergeCell ref="I11902:J11902"/>
    <mergeCell ref="I11903:J11903"/>
    <mergeCell ref="K11903:L11903"/>
    <mergeCell ref="M11903:N11903"/>
    <mergeCell ref="K11904:L11904"/>
    <mergeCell ref="M11904:N11904"/>
    <mergeCell ref="A11900:G11900"/>
    <mergeCell ref="A11901:G11901"/>
    <mergeCell ref="I11901:J11901"/>
    <mergeCell ref="K11901:L11901"/>
    <mergeCell ref="M11901:N11901"/>
    <mergeCell ref="A11902:G11902"/>
    <mergeCell ref="A11903:G11903"/>
    <mergeCell ref="K11908:L11908"/>
    <mergeCell ref="M11908:N11908"/>
    <mergeCell ref="I11908:J11908"/>
    <mergeCell ref="I11909:J11909"/>
    <mergeCell ref="K11909:L11909"/>
    <mergeCell ref="M11909:N11909"/>
    <mergeCell ref="A11906:N11906"/>
    <mergeCell ref="A11907:G11907"/>
    <mergeCell ref="I11907:J11907"/>
    <mergeCell ref="K11907:L11907"/>
    <mergeCell ref="M11907:N11907"/>
    <mergeCell ref="A11908:G11908"/>
    <mergeCell ref="A11909:G11909"/>
    <mergeCell ref="A11919:G11919"/>
    <mergeCell ref="I11919:J11919"/>
    <mergeCell ref="K11919:L11919"/>
    <mergeCell ref="M11919:N11919"/>
    <mergeCell ref="I11920:J11920"/>
    <mergeCell ref="K11920:L11920"/>
    <mergeCell ref="M11920:N11920"/>
    <mergeCell ref="A11920:G11920"/>
    <mergeCell ref="K11948:L11948"/>
    <mergeCell ref="M11948:N11948"/>
    <mergeCell ref="A11949:G11949"/>
    <mergeCell ref="A11950:G11950"/>
    <mergeCell ref="K11954:L11954"/>
    <mergeCell ref="M11954:N11954"/>
    <mergeCell ref="I11954:J11954"/>
    <mergeCell ref="I11955:J11955"/>
    <mergeCell ref="K11955:L11955"/>
    <mergeCell ref="M11955:N11955"/>
    <mergeCell ref="K11956:L11956"/>
    <mergeCell ref="M11956:N11956"/>
    <mergeCell ref="K11960:L11960"/>
    <mergeCell ref="A11921:G11921"/>
    <mergeCell ref="I11921:J11921"/>
    <mergeCell ref="K11921:L11921"/>
    <mergeCell ref="M11921:N11921"/>
    <mergeCell ref="K11922:L11922"/>
    <mergeCell ref="M11922:N11922"/>
    <mergeCell ref="I11926:J11926"/>
    <mergeCell ref="I11927:J11927"/>
    <mergeCell ref="A11924:N11924"/>
    <mergeCell ref="A11925:G11925"/>
    <mergeCell ref="I11925:J11925"/>
    <mergeCell ref="M11925:N11925"/>
    <mergeCell ref="A11926:G11926"/>
    <mergeCell ref="M11926:N11926"/>
    <mergeCell ref="M11927:N11927"/>
    <mergeCell ref="A11910:G11910"/>
    <mergeCell ref="I11910:J11910"/>
    <mergeCell ref="K11910:L11910"/>
    <mergeCell ref="M11910:N11910"/>
    <mergeCell ref="I11911:J11911"/>
    <mergeCell ref="K11911:L11911"/>
    <mergeCell ref="M11911:N11911"/>
    <mergeCell ref="A11911:G11911"/>
    <mergeCell ref="A11912:G11912"/>
    <mergeCell ref="I11912:J11912"/>
    <mergeCell ref="K11912:L11912"/>
    <mergeCell ref="M11912:N11912"/>
    <mergeCell ref="K11913:L11913"/>
    <mergeCell ref="M11913:N11913"/>
    <mergeCell ref="K11917:L11917"/>
    <mergeCell ref="M11917:N11917"/>
    <mergeCell ref="I11917:J11917"/>
    <mergeCell ref="I11918:J11918"/>
    <mergeCell ref="K11918:L11918"/>
    <mergeCell ref="M11918:N11918"/>
    <mergeCell ref="A11915:N11915"/>
    <mergeCell ref="A11916:G11916"/>
    <mergeCell ref="I11916:J11916"/>
    <mergeCell ref="K11916:L11916"/>
    <mergeCell ref="M11916:N11916"/>
    <mergeCell ref="A11917:G11917"/>
    <mergeCell ref="A11918:G11918"/>
    <mergeCell ref="K11949:L11949"/>
    <mergeCell ref="M11949:N11949"/>
    <mergeCell ref="A11951:G11951"/>
    <mergeCell ref="I11951:J11951"/>
    <mergeCell ref="K11951:L11951"/>
    <mergeCell ref="M11951:N11951"/>
    <mergeCell ref="I11952:J11952"/>
    <mergeCell ref="K11952:L11952"/>
    <mergeCell ref="M11952:N11952"/>
    <mergeCell ref="A11952:G11952"/>
    <mergeCell ref="A11953:G11953"/>
    <mergeCell ref="I11953:J11953"/>
    <mergeCell ref="K11953:L11953"/>
    <mergeCell ref="I11929:J11929"/>
    <mergeCell ref="I11930:J11930"/>
    <mergeCell ref="K11931:L11931"/>
    <mergeCell ref="M11931:N11931"/>
    <mergeCell ref="I11972:J11972"/>
    <mergeCell ref="K11972:L11972"/>
    <mergeCell ref="I11969:J11969"/>
    <mergeCell ref="I11970:J11970"/>
    <mergeCell ref="A11971:G11971"/>
    <mergeCell ref="I11971:J11971"/>
    <mergeCell ref="K11971:L11971"/>
    <mergeCell ref="M11971:N11971"/>
    <mergeCell ref="M11972:N11972"/>
    <mergeCell ref="I11960:J11960"/>
    <mergeCell ref="I11961:J11961"/>
    <mergeCell ref="K11961:L11961"/>
    <mergeCell ref="M11961:N11961"/>
    <mergeCell ref="A11958:N11958"/>
    <mergeCell ref="A11959:G11959"/>
    <mergeCell ref="I11959:J11959"/>
    <mergeCell ref="K11959:L11959"/>
    <mergeCell ref="M11959:N11959"/>
    <mergeCell ref="A11960:G11960"/>
    <mergeCell ref="A11961:G11961"/>
    <mergeCell ref="A11962:G11962"/>
    <mergeCell ref="I11962:J11962"/>
    <mergeCell ref="K11962:L11962"/>
    <mergeCell ref="M11962:N11962"/>
    <mergeCell ref="I11963:J11963"/>
    <mergeCell ref="K11963:L11963"/>
    <mergeCell ref="M11963:N11963"/>
    <mergeCell ref="A11963:G11963"/>
    <mergeCell ref="A11964:G11964"/>
    <mergeCell ref="I11964:J11964"/>
    <mergeCell ref="K11964:L11964"/>
    <mergeCell ref="M11964:N11964"/>
    <mergeCell ref="K11965:L11965"/>
    <mergeCell ref="M11965:N11965"/>
    <mergeCell ref="K11969:L11969"/>
    <mergeCell ref="M11969:N11969"/>
    <mergeCell ref="A11972:G11972"/>
    <mergeCell ref="M11953:N11953"/>
    <mergeCell ref="A11954:G11954"/>
    <mergeCell ref="A11955:G11955"/>
    <mergeCell ref="I11949:J11949"/>
    <mergeCell ref="I11950:J11950"/>
    <mergeCell ref="K11950:L11950"/>
    <mergeCell ref="M11950:N11950"/>
    <mergeCell ref="A11947:G11947"/>
    <mergeCell ref="A11948:G11948"/>
    <mergeCell ref="I11948:J11948"/>
    <mergeCell ref="A11941:G11941"/>
    <mergeCell ref="I11941:J11941"/>
    <mergeCell ref="K11941:L11941"/>
    <mergeCell ref="M11941:N11941"/>
    <mergeCell ref="I11942:J11942"/>
    <mergeCell ref="K11942:L11942"/>
    <mergeCell ref="M11942:N11942"/>
    <mergeCell ref="A11942:G11942"/>
    <mergeCell ref="A11943:G11943"/>
    <mergeCell ref="I11943:J11943"/>
    <mergeCell ref="K11943:L11943"/>
    <mergeCell ref="M11943:N11943"/>
    <mergeCell ref="A11944:G11944"/>
    <mergeCell ref="A11945:G11945"/>
    <mergeCell ref="I11947:J11947"/>
    <mergeCell ref="K11947:L11947"/>
    <mergeCell ref="K11945:L11945"/>
    <mergeCell ref="M11945:N11945"/>
    <mergeCell ref="A11946:G11946"/>
    <mergeCell ref="I11946:J11946"/>
    <mergeCell ref="K11946:L11946"/>
    <mergeCell ref="M11946:N11946"/>
    <mergeCell ref="M11947:N11947"/>
    <mergeCell ref="A11927:G11927"/>
    <mergeCell ref="A11928:G11928"/>
    <mergeCell ref="I11928:J11928"/>
    <mergeCell ref="M11928:N11928"/>
    <mergeCell ref="A11929:G11929"/>
    <mergeCell ref="M11929:N11929"/>
    <mergeCell ref="M11930:N11930"/>
    <mergeCell ref="I11939:J11939"/>
    <mergeCell ref="I11940:J11940"/>
    <mergeCell ref="K11940:L11940"/>
    <mergeCell ref="M11940:N11940"/>
    <mergeCell ref="A11930:G11930"/>
    <mergeCell ref="A11933:N11934"/>
    <mergeCell ref="A11938:N11938"/>
    <mergeCell ref="A11939:G11939"/>
    <mergeCell ref="K11939:L11939"/>
    <mergeCell ref="M11939:N11939"/>
    <mergeCell ref="A11940:G11940"/>
    <mergeCell ref="K11944:L11944"/>
    <mergeCell ref="M11944:N11944"/>
    <mergeCell ref="I11944:J11944"/>
    <mergeCell ref="I11945:J11945"/>
    <mergeCell ref="M11960:N11960"/>
    <mergeCell ref="K11970:L11970"/>
    <mergeCell ref="M11970:N11970"/>
    <mergeCell ref="A11967:N11967"/>
    <mergeCell ref="A11968:G11968"/>
    <mergeCell ref="I11968:J11968"/>
    <mergeCell ref="K11968:L11968"/>
    <mergeCell ref="M11968:N11968"/>
    <mergeCell ref="A11969:G11969"/>
    <mergeCell ref="A11970:G11970"/>
    <mergeCell ref="A11979:G11979"/>
    <mergeCell ref="A11980:G11980"/>
    <mergeCell ref="A11981:G11981"/>
    <mergeCell ref="A11982:G11982"/>
    <mergeCell ref="A11976:N11976"/>
    <mergeCell ref="A11977:G11977"/>
    <mergeCell ref="I11977:J11977"/>
    <mergeCell ref="M11977:N11977"/>
    <mergeCell ref="A11978:G11978"/>
    <mergeCell ref="M11978:N11978"/>
    <mergeCell ref="M11979:N11979"/>
    <mergeCell ref="I11978:J11978"/>
    <mergeCell ref="I11979:J11979"/>
    <mergeCell ref="I11980:J11980"/>
    <mergeCell ref="M11980:N11980"/>
    <mergeCell ref="I11981:J11981"/>
    <mergeCell ref="M11981:N11981"/>
    <mergeCell ref="I11982:J11982"/>
    <mergeCell ref="K11991:L11991"/>
    <mergeCell ref="M11991:N11991"/>
    <mergeCell ref="I11991:J11991"/>
    <mergeCell ref="I11992:J11992"/>
    <mergeCell ref="K11992:L11992"/>
    <mergeCell ref="M11992:N11992"/>
    <mergeCell ref="M11982:N11982"/>
    <mergeCell ref="K11983:L11983"/>
    <mergeCell ref="M11983:N11983"/>
    <mergeCell ref="A11985:N11986"/>
    <mergeCell ref="A11990:N11990"/>
    <mergeCell ref="A11991:G11991"/>
    <mergeCell ref="A11992:G11992"/>
    <mergeCell ref="A11973:G11973"/>
    <mergeCell ref="I11973:J11973"/>
    <mergeCell ref="K11973:L11973"/>
    <mergeCell ref="M11973:N11973"/>
    <mergeCell ref="K11974:L11974"/>
    <mergeCell ref="M11974:N11974"/>
    <mergeCell ref="A11998:G11998"/>
    <mergeCell ref="I11998:J11998"/>
    <mergeCell ref="K11998:L11998"/>
    <mergeCell ref="M11998:N11998"/>
    <mergeCell ref="I11999:J11999"/>
    <mergeCell ref="K11999:L11999"/>
    <mergeCell ref="M11999:N11999"/>
    <mergeCell ref="K12002:L12002"/>
    <mergeCell ref="M12002:N12002"/>
    <mergeCell ref="A11999:G11999"/>
    <mergeCell ref="A12000:G12000"/>
    <mergeCell ref="I12000:J12000"/>
    <mergeCell ref="K12000:L12000"/>
    <mergeCell ref="M12000:N12000"/>
    <mergeCell ref="A12001:G12001"/>
    <mergeCell ref="A12002:G12002"/>
    <mergeCell ref="I12004:J12004"/>
    <mergeCell ref="K12004:L12004"/>
    <mergeCell ref="I12001:J12001"/>
    <mergeCell ref="I12002:J12002"/>
    <mergeCell ref="A12003:G12003"/>
    <mergeCell ref="I12003:J12003"/>
    <mergeCell ref="K12003:L12003"/>
    <mergeCell ref="M12003:N12003"/>
    <mergeCell ref="M12004:N12004"/>
    <mergeCell ref="A11993:G11993"/>
    <mergeCell ref="I11993:J11993"/>
    <mergeCell ref="K11993:L11993"/>
    <mergeCell ref="M11993:N11993"/>
    <mergeCell ref="I11994:J11994"/>
    <mergeCell ref="K11994:L11994"/>
    <mergeCell ref="M11994:N11994"/>
    <mergeCell ref="K11996:L11996"/>
    <mergeCell ref="M11996:N11996"/>
    <mergeCell ref="I11996:J11996"/>
    <mergeCell ref="I11997:J11997"/>
    <mergeCell ref="K11997:L11997"/>
    <mergeCell ref="M11997:N11997"/>
    <mergeCell ref="A11994:G11994"/>
    <mergeCell ref="A11995:G11995"/>
    <mergeCell ref="I11995:J11995"/>
    <mergeCell ref="K11995:L11995"/>
    <mergeCell ref="M11995:N11995"/>
    <mergeCell ref="A11996:G11996"/>
    <mergeCell ref="A11997:G11997"/>
    <mergeCell ref="K12001:L12001"/>
    <mergeCell ref="M12001:N12001"/>
    <mergeCell ref="K12006:L12006"/>
    <mergeCell ref="M12006:N12006"/>
    <mergeCell ref="I12006:J12006"/>
    <mergeCell ref="I12007:J12007"/>
    <mergeCell ref="K12007:L12007"/>
    <mergeCell ref="M12007:N12007"/>
    <mergeCell ref="K12008:L12008"/>
    <mergeCell ref="M12008:N12008"/>
    <mergeCell ref="A12004:G12004"/>
    <mergeCell ref="A12005:G12005"/>
    <mergeCell ref="I12005:J12005"/>
    <mergeCell ref="K12005:L12005"/>
    <mergeCell ref="M12005:N12005"/>
    <mergeCell ref="A12006:G12006"/>
    <mergeCell ref="A12007:G12007"/>
    <mergeCell ref="K12012:L12012"/>
    <mergeCell ref="M12012:N12012"/>
    <mergeCell ref="I12012:J12012"/>
    <mergeCell ref="I12013:J12013"/>
    <mergeCell ref="K12013:L12013"/>
    <mergeCell ref="M12013:N12013"/>
    <mergeCell ref="A12010:N12010"/>
    <mergeCell ref="A12011:G12011"/>
    <mergeCell ref="I12011:J12011"/>
    <mergeCell ref="K12011:L12011"/>
    <mergeCell ref="M12011:N12011"/>
    <mergeCell ref="A12012:G12012"/>
    <mergeCell ref="A12013:G12013"/>
    <mergeCell ref="A12023:G12023"/>
    <mergeCell ref="I12023:J12023"/>
    <mergeCell ref="K12023:L12023"/>
    <mergeCell ref="M12023:N12023"/>
    <mergeCell ref="I12024:J12024"/>
    <mergeCell ref="K12024:L12024"/>
    <mergeCell ref="M12024:N12024"/>
    <mergeCell ref="A12024:G12024"/>
    <mergeCell ref="K12052:L12052"/>
    <mergeCell ref="M12052:N12052"/>
    <mergeCell ref="A12053:G12053"/>
    <mergeCell ref="A12054:G12054"/>
    <mergeCell ref="K12058:L12058"/>
    <mergeCell ref="M12058:N12058"/>
    <mergeCell ref="I12058:J12058"/>
    <mergeCell ref="I12059:J12059"/>
    <mergeCell ref="K12059:L12059"/>
    <mergeCell ref="M12059:N12059"/>
    <mergeCell ref="K12060:L12060"/>
    <mergeCell ref="M12060:N12060"/>
    <mergeCell ref="K12064:L12064"/>
    <mergeCell ref="A12025:G12025"/>
    <mergeCell ref="I12025:J12025"/>
    <mergeCell ref="K12025:L12025"/>
    <mergeCell ref="M12025:N12025"/>
    <mergeCell ref="K12026:L12026"/>
    <mergeCell ref="M12026:N12026"/>
    <mergeCell ref="I12030:J12030"/>
    <mergeCell ref="I12031:J12031"/>
    <mergeCell ref="A12028:N12028"/>
    <mergeCell ref="A12029:G12029"/>
    <mergeCell ref="I12029:J12029"/>
    <mergeCell ref="M12029:N12029"/>
    <mergeCell ref="A12030:G12030"/>
    <mergeCell ref="M12030:N12030"/>
    <mergeCell ref="M12031:N12031"/>
    <mergeCell ref="A12014:G12014"/>
    <mergeCell ref="I12014:J12014"/>
    <mergeCell ref="K12014:L12014"/>
    <mergeCell ref="M12014:N12014"/>
    <mergeCell ref="I12015:J12015"/>
    <mergeCell ref="K12015:L12015"/>
    <mergeCell ref="M12015:N12015"/>
    <mergeCell ref="A12015:G12015"/>
    <mergeCell ref="A12016:G12016"/>
    <mergeCell ref="I12016:J12016"/>
    <mergeCell ref="K12016:L12016"/>
    <mergeCell ref="M12016:N12016"/>
    <mergeCell ref="K12017:L12017"/>
    <mergeCell ref="M12017:N12017"/>
    <mergeCell ref="K12021:L12021"/>
    <mergeCell ref="M12021:N12021"/>
    <mergeCell ref="I12021:J12021"/>
    <mergeCell ref="I12022:J12022"/>
    <mergeCell ref="K12022:L12022"/>
    <mergeCell ref="M12022:N12022"/>
    <mergeCell ref="A12019:N12019"/>
    <mergeCell ref="A12020:G12020"/>
    <mergeCell ref="I12020:J12020"/>
    <mergeCell ref="K12020:L12020"/>
    <mergeCell ref="M12020:N12020"/>
    <mergeCell ref="A12021:G12021"/>
    <mergeCell ref="A12022:G12022"/>
    <mergeCell ref="K12053:L12053"/>
    <mergeCell ref="M12053:N12053"/>
    <mergeCell ref="A12055:G12055"/>
    <mergeCell ref="I12055:J12055"/>
    <mergeCell ref="K12055:L12055"/>
    <mergeCell ref="M12055:N12055"/>
    <mergeCell ref="I12056:J12056"/>
    <mergeCell ref="K12056:L12056"/>
    <mergeCell ref="M12056:N12056"/>
    <mergeCell ref="A12056:G12056"/>
    <mergeCell ref="A12057:G12057"/>
    <mergeCell ref="I12057:J12057"/>
    <mergeCell ref="K12057:L12057"/>
    <mergeCell ref="I12033:J12033"/>
    <mergeCell ref="I12034:J12034"/>
    <mergeCell ref="K12035:L12035"/>
    <mergeCell ref="M12035:N12035"/>
    <mergeCell ref="I12076:J12076"/>
    <mergeCell ref="K12076:L12076"/>
    <mergeCell ref="I12073:J12073"/>
    <mergeCell ref="I12074:J12074"/>
    <mergeCell ref="A12075:G12075"/>
    <mergeCell ref="I12075:J12075"/>
    <mergeCell ref="K12075:L12075"/>
    <mergeCell ref="M12075:N12075"/>
    <mergeCell ref="M12076:N12076"/>
    <mergeCell ref="I12064:J12064"/>
    <mergeCell ref="I12065:J12065"/>
    <mergeCell ref="K12065:L12065"/>
    <mergeCell ref="M12065:N12065"/>
    <mergeCell ref="A12062:N12062"/>
    <mergeCell ref="A12063:G12063"/>
    <mergeCell ref="I12063:J12063"/>
    <mergeCell ref="K12063:L12063"/>
    <mergeCell ref="M12063:N12063"/>
    <mergeCell ref="A12064:G12064"/>
    <mergeCell ref="A12065:G12065"/>
    <mergeCell ref="A12066:G12066"/>
    <mergeCell ref="I12066:J12066"/>
    <mergeCell ref="K12066:L12066"/>
    <mergeCell ref="M12066:N12066"/>
    <mergeCell ref="I12067:J12067"/>
    <mergeCell ref="K12067:L12067"/>
    <mergeCell ref="M12067:N12067"/>
    <mergeCell ref="A12067:G12067"/>
    <mergeCell ref="A12068:G12068"/>
    <mergeCell ref="I12068:J12068"/>
    <mergeCell ref="K12068:L12068"/>
    <mergeCell ref="M12068:N12068"/>
    <mergeCell ref="K12069:L12069"/>
    <mergeCell ref="M12069:N12069"/>
    <mergeCell ref="K12073:L12073"/>
    <mergeCell ref="M12073:N12073"/>
    <mergeCell ref="A12076:G12076"/>
    <mergeCell ref="M12057:N12057"/>
    <mergeCell ref="A12058:G12058"/>
    <mergeCell ref="A12059:G12059"/>
    <mergeCell ref="I12053:J12053"/>
    <mergeCell ref="I12054:J12054"/>
    <mergeCell ref="K12054:L12054"/>
    <mergeCell ref="M12054:N12054"/>
    <mergeCell ref="A12051:G12051"/>
    <mergeCell ref="A12052:G12052"/>
    <mergeCell ref="I12052:J12052"/>
    <mergeCell ref="A12045:G12045"/>
    <mergeCell ref="I12045:J12045"/>
    <mergeCell ref="K12045:L12045"/>
    <mergeCell ref="M12045:N12045"/>
    <mergeCell ref="I12046:J12046"/>
    <mergeCell ref="K12046:L12046"/>
    <mergeCell ref="M12046:N12046"/>
    <mergeCell ref="A12046:G12046"/>
    <mergeCell ref="A12047:G12047"/>
    <mergeCell ref="I12047:J12047"/>
    <mergeCell ref="K12047:L12047"/>
    <mergeCell ref="M12047:N12047"/>
    <mergeCell ref="A12048:G12048"/>
    <mergeCell ref="A12049:G12049"/>
    <mergeCell ref="I12051:J12051"/>
    <mergeCell ref="K12051:L12051"/>
    <mergeCell ref="K12049:L12049"/>
    <mergeCell ref="M12049:N12049"/>
    <mergeCell ref="A12050:G12050"/>
    <mergeCell ref="I12050:J12050"/>
    <mergeCell ref="K12050:L12050"/>
    <mergeCell ref="M12050:N12050"/>
    <mergeCell ref="M12051:N12051"/>
    <mergeCell ref="A12031:G12031"/>
    <mergeCell ref="A12032:G12032"/>
    <mergeCell ref="I12032:J12032"/>
    <mergeCell ref="M12032:N12032"/>
    <mergeCell ref="A12033:G12033"/>
    <mergeCell ref="M12033:N12033"/>
    <mergeCell ref="M12034:N12034"/>
    <mergeCell ref="I12043:J12043"/>
    <mergeCell ref="I12044:J12044"/>
    <mergeCell ref="K12044:L12044"/>
    <mergeCell ref="M12044:N12044"/>
    <mergeCell ref="A12034:G12034"/>
    <mergeCell ref="A12037:N12038"/>
    <mergeCell ref="A12042:N12042"/>
    <mergeCell ref="A12043:G12043"/>
    <mergeCell ref="K12043:L12043"/>
    <mergeCell ref="M12043:N12043"/>
    <mergeCell ref="A12044:G12044"/>
    <mergeCell ref="K12048:L12048"/>
    <mergeCell ref="M12048:N12048"/>
    <mergeCell ref="I12048:J12048"/>
    <mergeCell ref="I12049:J12049"/>
    <mergeCell ref="M12064:N12064"/>
    <mergeCell ref="K12074:L12074"/>
    <mergeCell ref="M12074:N12074"/>
    <mergeCell ref="A12071:N12071"/>
    <mergeCell ref="A12072:G12072"/>
    <mergeCell ref="I12072:J12072"/>
    <mergeCell ref="K12072:L12072"/>
    <mergeCell ref="M12072:N12072"/>
    <mergeCell ref="A12073:G12073"/>
    <mergeCell ref="A12074:G12074"/>
    <mergeCell ref="A12083:G12083"/>
    <mergeCell ref="A12084:G12084"/>
    <mergeCell ref="A12085:G12085"/>
    <mergeCell ref="A12086:G12086"/>
    <mergeCell ref="A12080:N12080"/>
    <mergeCell ref="A12081:G12081"/>
    <mergeCell ref="I12081:J12081"/>
    <mergeCell ref="M12081:N12081"/>
    <mergeCell ref="A12082:G12082"/>
    <mergeCell ref="M12082:N12082"/>
    <mergeCell ref="M12083:N12083"/>
    <mergeCell ref="I12082:J12082"/>
    <mergeCell ref="I12083:J12083"/>
    <mergeCell ref="I12084:J12084"/>
    <mergeCell ref="M12084:N12084"/>
    <mergeCell ref="I12085:J12085"/>
    <mergeCell ref="M12085:N12085"/>
    <mergeCell ref="I12086:J12086"/>
    <mergeCell ref="K12095:L12095"/>
    <mergeCell ref="M12095:N12095"/>
    <mergeCell ref="I12095:J12095"/>
    <mergeCell ref="I12096:J12096"/>
    <mergeCell ref="K12096:L12096"/>
    <mergeCell ref="M12096:N12096"/>
    <mergeCell ref="M12086:N12086"/>
    <mergeCell ref="K12087:L12087"/>
    <mergeCell ref="M12087:N12087"/>
    <mergeCell ref="A12089:N12090"/>
    <mergeCell ref="A12094:N12094"/>
    <mergeCell ref="A12095:G12095"/>
    <mergeCell ref="A12096:G12096"/>
    <mergeCell ref="A12077:G12077"/>
    <mergeCell ref="I12077:J12077"/>
    <mergeCell ref="K12077:L12077"/>
    <mergeCell ref="M12077:N12077"/>
    <mergeCell ref="K12078:L12078"/>
    <mergeCell ref="M12078:N12078"/>
    <mergeCell ref="A12102:G12102"/>
    <mergeCell ref="I12102:J12102"/>
    <mergeCell ref="K12102:L12102"/>
    <mergeCell ref="M12102:N12102"/>
    <mergeCell ref="I12103:J12103"/>
    <mergeCell ref="K12103:L12103"/>
    <mergeCell ref="M12103:N12103"/>
    <mergeCell ref="K12106:L12106"/>
    <mergeCell ref="M12106:N12106"/>
    <mergeCell ref="A12103:G12103"/>
    <mergeCell ref="A12104:G12104"/>
    <mergeCell ref="I12104:J12104"/>
    <mergeCell ref="K12104:L12104"/>
    <mergeCell ref="M12104:N12104"/>
    <mergeCell ref="A12105:G12105"/>
    <mergeCell ref="A12106:G12106"/>
    <mergeCell ref="I12108:J12108"/>
    <mergeCell ref="K12108:L12108"/>
    <mergeCell ref="I12105:J12105"/>
    <mergeCell ref="I12106:J12106"/>
    <mergeCell ref="A12107:G12107"/>
    <mergeCell ref="I12107:J12107"/>
    <mergeCell ref="K12107:L12107"/>
    <mergeCell ref="M12107:N12107"/>
    <mergeCell ref="M12108:N12108"/>
    <mergeCell ref="A12097:G12097"/>
    <mergeCell ref="I12097:J12097"/>
    <mergeCell ref="K12097:L12097"/>
    <mergeCell ref="M12097:N12097"/>
    <mergeCell ref="I12098:J12098"/>
    <mergeCell ref="K12098:L12098"/>
    <mergeCell ref="M12098:N12098"/>
    <mergeCell ref="K12100:L12100"/>
    <mergeCell ref="M12100:N12100"/>
    <mergeCell ref="I12100:J12100"/>
    <mergeCell ref="I12101:J12101"/>
    <mergeCell ref="K12101:L12101"/>
    <mergeCell ref="M12101:N12101"/>
    <mergeCell ref="A12098:G12098"/>
    <mergeCell ref="A12099:G12099"/>
    <mergeCell ref="I12099:J12099"/>
    <mergeCell ref="K12099:L12099"/>
    <mergeCell ref="M12099:N12099"/>
    <mergeCell ref="A12100:G12100"/>
    <mergeCell ref="A12101:G12101"/>
    <mergeCell ref="K12105:L12105"/>
    <mergeCell ref="M12105:N12105"/>
    <mergeCell ref="K12110:L12110"/>
    <mergeCell ref="M12110:N12110"/>
    <mergeCell ref="I12110:J12110"/>
    <mergeCell ref="I12111:J12111"/>
    <mergeCell ref="K12111:L12111"/>
    <mergeCell ref="M12111:N12111"/>
    <mergeCell ref="K12112:L12112"/>
    <mergeCell ref="M12112:N12112"/>
    <mergeCell ref="A12108:G12108"/>
    <mergeCell ref="A12109:G12109"/>
    <mergeCell ref="I12109:J12109"/>
    <mergeCell ref="K12109:L12109"/>
    <mergeCell ref="M12109:N12109"/>
    <mergeCell ref="A12110:G12110"/>
    <mergeCell ref="A12111:G12111"/>
    <mergeCell ref="K12116:L12116"/>
    <mergeCell ref="M12116:N12116"/>
    <mergeCell ref="I12116:J12116"/>
    <mergeCell ref="I12117:J12117"/>
    <mergeCell ref="K12117:L12117"/>
    <mergeCell ref="M12117:N12117"/>
    <mergeCell ref="A12114:N12114"/>
    <mergeCell ref="A12115:G12115"/>
    <mergeCell ref="I12115:J12115"/>
    <mergeCell ref="K12115:L12115"/>
    <mergeCell ref="M12115:N12115"/>
    <mergeCell ref="A12116:G12116"/>
    <mergeCell ref="A12117:G12117"/>
    <mergeCell ref="A12127:G12127"/>
    <mergeCell ref="I12127:J12127"/>
    <mergeCell ref="K12127:L12127"/>
    <mergeCell ref="M12127:N12127"/>
    <mergeCell ref="I12128:J12128"/>
    <mergeCell ref="K12128:L12128"/>
    <mergeCell ref="M12128:N12128"/>
    <mergeCell ref="A12128:G12128"/>
    <mergeCell ref="A12118:G12118"/>
    <mergeCell ref="I12118:J12118"/>
    <mergeCell ref="K12118:L12118"/>
    <mergeCell ref="M12118:N12118"/>
    <mergeCell ref="I12119:J12119"/>
    <mergeCell ref="K12119:L12119"/>
    <mergeCell ref="M12119:N12119"/>
    <mergeCell ref="A12119:G12119"/>
    <mergeCell ref="A12120:G12120"/>
    <mergeCell ref="I12120:J12120"/>
    <mergeCell ref="K12120:L12120"/>
    <mergeCell ref="M12120:N12120"/>
    <mergeCell ref="K12121:L12121"/>
    <mergeCell ref="M12121:N12121"/>
    <mergeCell ref="K12125:L12125"/>
    <mergeCell ref="M12125:N12125"/>
    <mergeCell ref="I12125:J12125"/>
    <mergeCell ref="I12126:J12126"/>
    <mergeCell ref="K12126:L12126"/>
    <mergeCell ref="M12126:N12126"/>
    <mergeCell ref="A12123:N12123"/>
    <mergeCell ref="A12124:G12124"/>
    <mergeCell ref="I12124:J12124"/>
    <mergeCell ref="K12124:L12124"/>
    <mergeCell ref="M12124:N12124"/>
    <mergeCell ref="A12125:G12125"/>
    <mergeCell ref="A12126:G12126"/>
    <mergeCell ref="I12370:J12370"/>
    <mergeCell ref="I12371:J12371"/>
    <mergeCell ref="K12371:L12371"/>
    <mergeCell ref="M12371:N12371"/>
    <mergeCell ref="K12372:L12372"/>
    <mergeCell ref="M12372:N12372"/>
    <mergeCell ref="K12376:L12376"/>
    <mergeCell ref="A12129:G12129"/>
    <mergeCell ref="I12129:J12129"/>
    <mergeCell ref="K12129:L12129"/>
    <mergeCell ref="M12129:N12129"/>
    <mergeCell ref="K12130:L12130"/>
    <mergeCell ref="M12130:N12130"/>
    <mergeCell ref="I12134:J12134"/>
    <mergeCell ref="I12135:J12135"/>
    <mergeCell ref="A12132:N12132"/>
    <mergeCell ref="A12133:G12133"/>
    <mergeCell ref="I12133:J12133"/>
    <mergeCell ref="M12133:N12133"/>
    <mergeCell ref="A12134:G12134"/>
    <mergeCell ref="M12134:N12134"/>
    <mergeCell ref="M12135:N12135"/>
    <mergeCell ref="I12368:J12368"/>
    <mergeCell ref="K12368:L12368"/>
    <mergeCell ref="M12368:N12368"/>
    <mergeCell ref="A12343:G12343"/>
    <mergeCell ref="A12344:G12344"/>
    <mergeCell ref="I12344:J12344"/>
    <mergeCell ref="M12344:N12344"/>
    <mergeCell ref="A12345:G12345"/>
    <mergeCell ref="M12345:N12345"/>
    <mergeCell ref="M12346:N12346"/>
    <mergeCell ref="I12355:J12355"/>
    <mergeCell ref="I12356:J12356"/>
    <mergeCell ref="K12356:L12356"/>
    <mergeCell ref="M12356:N12356"/>
    <mergeCell ref="A12346:G12346"/>
    <mergeCell ref="A12349:N12350"/>
    <mergeCell ref="A12354:N12354"/>
    <mergeCell ref="A12355:G12355"/>
    <mergeCell ref="K12355:L12355"/>
    <mergeCell ref="M12355:N12355"/>
    <mergeCell ref="A12356:G12356"/>
    <mergeCell ref="A12369:G12369"/>
    <mergeCell ref="I12369:J12369"/>
    <mergeCell ref="K12369:L12369"/>
    <mergeCell ref="I12137:J12137"/>
    <mergeCell ref="I12138:J12138"/>
    <mergeCell ref="I12180:J12180"/>
    <mergeCell ref="K12180:L12180"/>
    <mergeCell ref="I12177:J12177"/>
    <mergeCell ref="I12178:J12178"/>
    <mergeCell ref="A12179:G12179"/>
    <mergeCell ref="I12179:J12179"/>
    <mergeCell ref="K12179:L12179"/>
    <mergeCell ref="M12179:N12179"/>
    <mergeCell ref="M12180:N12180"/>
    <mergeCell ref="I12168:J12168"/>
    <mergeCell ref="I12169:J12169"/>
    <mergeCell ref="K12169:L12169"/>
    <mergeCell ref="M12169:N12169"/>
    <mergeCell ref="A12166:N12166"/>
    <mergeCell ref="K12167:L12167"/>
    <mergeCell ref="M12167:N12167"/>
    <mergeCell ref="K12365:L12365"/>
    <mergeCell ref="M12365:N12365"/>
    <mergeCell ref="A12367:G12367"/>
    <mergeCell ref="I12367:J12367"/>
    <mergeCell ref="K12367:L12367"/>
    <mergeCell ref="A12168:G12168"/>
    <mergeCell ref="A12169:G12169"/>
    <mergeCell ref="A12170:G12170"/>
    <mergeCell ref="I12170:J12170"/>
    <mergeCell ref="K12170:L12170"/>
    <mergeCell ref="M12367:N12367"/>
    <mergeCell ref="A12357:G12357"/>
    <mergeCell ref="I12357:J12357"/>
    <mergeCell ref="K12357:L12357"/>
    <mergeCell ref="M12357:N12357"/>
    <mergeCell ref="I12358:J12358"/>
    <mergeCell ref="K12358:L12358"/>
    <mergeCell ref="M12358:N12358"/>
    <mergeCell ref="A12358:G12358"/>
    <mergeCell ref="A12359:G12359"/>
    <mergeCell ref="K12364:L12364"/>
    <mergeCell ref="M12364:N12364"/>
    <mergeCell ref="A12365:G12365"/>
    <mergeCell ref="A12366:G12366"/>
    <mergeCell ref="I12388:J12388"/>
    <mergeCell ref="K12388:L12388"/>
    <mergeCell ref="I12385:J12385"/>
    <mergeCell ref="I12386:J12386"/>
    <mergeCell ref="A12387:G12387"/>
    <mergeCell ref="I12387:J12387"/>
    <mergeCell ref="K12387:L12387"/>
    <mergeCell ref="M12387:N12387"/>
    <mergeCell ref="M12388:N12388"/>
    <mergeCell ref="I12376:J12376"/>
    <mergeCell ref="I12377:J12377"/>
    <mergeCell ref="K12377:L12377"/>
    <mergeCell ref="M12377:N12377"/>
    <mergeCell ref="A12374:N12374"/>
    <mergeCell ref="A12375:G12375"/>
    <mergeCell ref="I12375:J12375"/>
    <mergeCell ref="K12375:L12375"/>
    <mergeCell ref="M12375:N12375"/>
    <mergeCell ref="A12376:G12376"/>
    <mergeCell ref="A12377:G12377"/>
    <mergeCell ref="A12378:G12378"/>
    <mergeCell ref="I12378:J12378"/>
    <mergeCell ref="K12378:L12378"/>
    <mergeCell ref="M12378:N12378"/>
    <mergeCell ref="I12379:J12379"/>
    <mergeCell ref="K12379:L12379"/>
    <mergeCell ref="M12379:N12379"/>
    <mergeCell ref="A12379:G12379"/>
    <mergeCell ref="A12380:G12380"/>
    <mergeCell ref="I12380:J12380"/>
    <mergeCell ref="K12380:L12380"/>
    <mergeCell ref="M12380:N12380"/>
    <mergeCell ref="K12381:L12381"/>
    <mergeCell ref="M12381:N12381"/>
    <mergeCell ref="M12170:N12170"/>
    <mergeCell ref="I12171:J12171"/>
    <mergeCell ref="K12370:L12370"/>
    <mergeCell ref="M12370:N12370"/>
    <mergeCell ref="K12171:L12171"/>
    <mergeCell ref="M12171:N12171"/>
    <mergeCell ref="K12399:L12399"/>
    <mergeCell ref="M12399:N12399"/>
    <mergeCell ref="A12401:N12402"/>
    <mergeCell ref="A12406:N12406"/>
    <mergeCell ref="A12407:G12407"/>
    <mergeCell ref="A12408:G12408"/>
    <mergeCell ref="A12389:G12389"/>
    <mergeCell ref="I12389:J12389"/>
    <mergeCell ref="K12389:L12389"/>
    <mergeCell ref="M12389:N12389"/>
    <mergeCell ref="K12390:L12390"/>
    <mergeCell ref="M12390:N12390"/>
    <mergeCell ref="A12409:G12409"/>
    <mergeCell ref="I12409:J12409"/>
    <mergeCell ref="K12409:L12409"/>
    <mergeCell ref="M12409:N12409"/>
    <mergeCell ref="I12410:J12410"/>
    <mergeCell ref="K12410:L12410"/>
    <mergeCell ref="M12410:N12410"/>
    <mergeCell ref="K12412:L12412"/>
    <mergeCell ref="M12412:N12412"/>
    <mergeCell ref="I12412:J12412"/>
    <mergeCell ref="I12413:J12413"/>
    <mergeCell ref="K12413:L12413"/>
    <mergeCell ref="M12413:N12413"/>
    <mergeCell ref="A12410:G12410"/>
    <mergeCell ref="A12411:G12411"/>
    <mergeCell ref="I12359:J12359"/>
    <mergeCell ref="K12359:L12359"/>
    <mergeCell ref="M12359:N12359"/>
    <mergeCell ref="A12360:G12360"/>
    <mergeCell ref="A12361:G12361"/>
    <mergeCell ref="I12363:J12363"/>
    <mergeCell ref="K12363:L12363"/>
    <mergeCell ref="K12361:L12361"/>
    <mergeCell ref="M12361:N12361"/>
    <mergeCell ref="A12362:G12362"/>
    <mergeCell ref="I12362:J12362"/>
    <mergeCell ref="K12362:L12362"/>
    <mergeCell ref="M12362:N12362"/>
    <mergeCell ref="M12363:N12363"/>
    <mergeCell ref="K12385:L12385"/>
    <mergeCell ref="M12385:N12385"/>
    <mergeCell ref="A12388:G12388"/>
    <mergeCell ref="M12369:N12369"/>
    <mergeCell ref="A12370:G12370"/>
    <mergeCell ref="A12371:G12371"/>
    <mergeCell ref="I12365:J12365"/>
    <mergeCell ref="I12366:J12366"/>
    <mergeCell ref="K12366:L12366"/>
    <mergeCell ref="M12366:N12366"/>
    <mergeCell ref="A12363:G12363"/>
    <mergeCell ref="A12364:G12364"/>
    <mergeCell ref="I12364:J12364"/>
    <mergeCell ref="I12411:J12411"/>
    <mergeCell ref="K12411:L12411"/>
    <mergeCell ref="M12411:N12411"/>
    <mergeCell ref="A12412:G12412"/>
    <mergeCell ref="A12413:G12413"/>
    <mergeCell ref="K12360:L12360"/>
    <mergeCell ref="M12360:N12360"/>
    <mergeCell ref="I12360:J12360"/>
    <mergeCell ref="I12361:J12361"/>
    <mergeCell ref="A12368:G12368"/>
    <mergeCell ref="I12439:J12439"/>
    <mergeCell ref="K12439:L12439"/>
    <mergeCell ref="M12439:N12439"/>
    <mergeCell ref="K12441:L12441"/>
    <mergeCell ref="M12441:N12441"/>
    <mergeCell ref="K12442:L12442"/>
    <mergeCell ref="M12442:N12442"/>
    <mergeCell ref="A12439:G12439"/>
    <mergeCell ref="A12440:G12440"/>
    <mergeCell ref="I12440:J12440"/>
    <mergeCell ref="K12440:L12440"/>
    <mergeCell ref="M12440:N12440"/>
    <mergeCell ref="A12441:G12441"/>
    <mergeCell ref="I12441:J12441"/>
    <mergeCell ref="K12446:L12446"/>
    <mergeCell ref="M12446:N12446"/>
    <mergeCell ref="I12446:J12446"/>
    <mergeCell ref="I12447:J12447"/>
    <mergeCell ref="K12447:L12447"/>
    <mergeCell ref="M12447:N12447"/>
    <mergeCell ref="A12444:N12444"/>
    <mergeCell ref="A12445:G12445"/>
    <mergeCell ref="I12445:J12445"/>
    <mergeCell ref="K12445:L12445"/>
    <mergeCell ref="M12445:N12445"/>
    <mergeCell ref="A12446:G12446"/>
    <mergeCell ref="A12447:G12447"/>
    <mergeCell ref="A12432:G12432"/>
    <mergeCell ref="I12432:J12432"/>
    <mergeCell ref="M12376:N12376"/>
    <mergeCell ref="K12386:L12386"/>
    <mergeCell ref="M12386:N12386"/>
    <mergeCell ref="A12383:N12383"/>
    <mergeCell ref="A12384:G12384"/>
    <mergeCell ref="I12384:J12384"/>
    <mergeCell ref="K12384:L12384"/>
    <mergeCell ref="M12384:N12384"/>
    <mergeCell ref="A12385:G12385"/>
    <mergeCell ref="A12386:G12386"/>
    <mergeCell ref="A12395:G12395"/>
    <mergeCell ref="A12396:G12396"/>
    <mergeCell ref="A12397:G12397"/>
    <mergeCell ref="A12398:G12398"/>
    <mergeCell ref="A12392:N12392"/>
    <mergeCell ref="A12393:G12393"/>
    <mergeCell ref="I12393:J12393"/>
    <mergeCell ref="M12393:N12393"/>
    <mergeCell ref="A12394:G12394"/>
    <mergeCell ref="M12394:N12394"/>
    <mergeCell ref="M12395:N12395"/>
    <mergeCell ref="I12394:J12394"/>
    <mergeCell ref="I12395:J12395"/>
    <mergeCell ref="I12396:J12396"/>
    <mergeCell ref="M12396:N12396"/>
    <mergeCell ref="I12397:J12397"/>
    <mergeCell ref="M12397:N12397"/>
    <mergeCell ref="I12398:J12398"/>
    <mergeCell ref="K12407:L12407"/>
    <mergeCell ref="M12407:N12407"/>
    <mergeCell ref="I12407:J12407"/>
    <mergeCell ref="I12408:J12408"/>
    <mergeCell ref="K12408:L12408"/>
    <mergeCell ref="M12408:N12408"/>
    <mergeCell ref="M12398:N12398"/>
    <mergeCell ref="A12457:G12457"/>
    <mergeCell ref="A12458:G12458"/>
    <mergeCell ref="A12459:G12459"/>
    <mergeCell ref="A12453:N12453"/>
    <mergeCell ref="A12454:G12454"/>
    <mergeCell ref="I12454:J12454"/>
    <mergeCell ref="M12454:N12454"/>
    <mergeCell ref="A12455:G12455"/>
    <mergeCell ref="M12455:N12455"/>
    <mergeCell ref="M12456:N12456"/>
    <mergeCell ref="A12414:G12414"/>
    <mergeCell ref="I12414:J12414"/>
    <mergeCell ref="K12414:L12414"/>
    <mergeCell ref="M12414:N12414"/>
    <mergeCell ref="I12415:J12415"/>
    <mergeCell ref="K12415:L12415"/>
    <mergeCell ref="M12415:N12415"/>
    <mergeCell ref="K12418:L12418"/>
    <mergeCell ref="M12418:N12418"/>
    <mergeCell ref="A12415:G12415"/>
    <mergeCell ref="A12416:G12416"/>
    <mergeCell ref="I12416:J12416"/>
    <mergeCell ref="K12416:L12416"/>
    <mergeCell ref="M12416:N12416"/>
    <mergeCell ref="A12417:G12417"/>
    <mergeCell ref="A12418:G12418"/>
    <mergeCell ref="I12420:J12420"/>
    <mergeCell ref="K12420:L12420"/>
    <mergeCell ref="I12417:J12417"/>
    <mergeCell ref="I12418:J12418"/>
    <mergeCell ref="A12419:G12419"/>
    <mergeCell ref="I12419:J12419"/>
    <mergeCell ref="K12419:L12419"/>
    <mergeCell ref="M12419:N12419"/>
    <mergeCell ref="M12420:N12420"/>
    <mergeCell ref="A12427:G12427"/>
    <mergeCell ref="A12428:G12428"/>
    <mergeCell ref="A12429:G12429"/>
    <mergeCell ref="I12429:J12429"/>
    <mergeCell ref="K12429:L12429"/>
    <mergeCell ref="M12429:N12429"/>
    <mergeCell ref="I12430:J12430"/>
    <mergeCell ref="K12430:L12430"/>
    <mergeCell ref="M12430:N12430"/>
    <mergeCell ref="A12430:G12430"/>
    <mergeCell ref="A12431:G12431"/>
    <mergeCell ref="I12431:J12431"/>
    <mergeCell ref="K12431:L12431"/>
    <mergeCell ref="M12431:N12431"/>
    <mergeCell ref="I12436:J12436"/>
    <mergeCell ref="I12437:J12437"/>
    <mergeCell ref="K12437:L12437"/>
    <mergeCell ref="M12437:N12437"/>
    <mergeCell ref="K12432:L12432"/>
    <mergeCell ref="M12432:N12432"/>
    <mergeCell ref="K12433:L12433"/>
    <mergeCell ref="M12433:N12433"/>
    <mergeCell ref="A12435:N12435"/>
    <mergeCell ref="A12436:G12436"/>
    <mergeCell ref="A12437:G12437"/>
    <mergeCell ref="A12438:G12438"/>
    <mergeCell ref="I12438:J12438"/>
    <mergeCell ref="K12438:L12438"/>
    <mergeCell ref="M12438:N12438"/>
    <mergeCell ref="K12417:L12417"/>
    <mergeCell ref="M12417:N12417"/>
    <mergeCell ref="K12422:L12422"/>
    <mergeCell ref="M12422:N12422"/>
    <mergeCell ref="A12424:G12424"/>
    <mergeCell ref="I12424:J12424"/>
    <mergeCell ref="K12424:L12424"/>
    <mergeCell ref="M12424:N12424"/>
    <mergeCell ref="I12425:J12425"/>
    <mergeCell ref="K12425:L12425"/>
    <mergeCell ref="M12425:N12425"/>
    <mergeCell ref="A12425:G12425"/>
    <mergeCell ref="A12426:G12426"/>
    <mergeCell ref="I12426:J12426"/>
    <mergeCell ref="K12426:L12426"/>
    <mergeCell ref="M12426:N12426"/>
    <mergeCell ref="I12422:J12422"/>
    <mergeCell ref="I12423:J12423"/>
    <mergeCell ref="K12423:L12423"/>
    <mergeCell ref="M12423:N12423"/>
    <mergeCell ref="A12420:G12420"/>
    <mergeCell ref="A12421:G12421"/>
    <mergeCell ref="I12421:J12421"/>
    <mergeCell ref="K12421:L12421"/>
    <mergeCell ref="M12421:N12421"/>
    <mergeCell ref="A12422:G12422"/>
    <mergeCell ref="A12423:G12423"/>
    <mergeCell ref="K12427:L12427"/>
    <mergeCell ref="M12427:N12427"/>
    <mergeCell ref="I12427:J12427"/>
    <mergeCell ref="I12428:J12428"/>
    <mergeCell ref="K12428:L12428"/>
    <mergeCell ref="M12428:N12428"/>
    <mergeCell ref="K12436:L12436"/>
    <mergeCell ref="M12436:N12436"/>
    <mergeCell ref="I12476:J12476"/>
    <mergeCell ref="K12476:L12476"/>
    <mergeCell ref="I12473:J12473"/>
    <mergeCell ref="I12474:J12474"/>
    <mergeCell ref="A12475:G12475"/>
    <mergeCell ref="I12475:J12475"/>
    <mergeCell ref="K12475:L12475"/>
    <mergeCell ref="M12475:N12475"/>
    <mergeCell ref="M12476:N12476"/>
    <mergeCell ref="A12470:G12470"/>
    <mergeCell ref="I12470:J12470"/>
    <mergeCell ref="K12470:L12470"/>
    <mergeCell ref="M12470:N12470"/>
    <mergeCell ref="I12471:J12471"/>
    <mergeCell ref="K12471:L12471"/>
    <mergeCell ref="M12471:N12471"/>
    <mergeCell ref="K12474:L12474"/>
    <mergeCell ref="M12474:N12474"/>
    <mergeCell ref="A12471:G12471"/>
    <mergeCell ref="A12472:G12472"/>
    <mergeCell ref="I12472:J12472"/>
    <mergeCell ref="K12472:L12472"/>
    <mergeCell ref="M12472:N12472"/>
    <mergeCell ref="A12473:G12473"/>
    <mergeCell ref="A12474:G12474"/>
    <mergeCell ref="I12455:J12455"/>
    <mergeCell ref="I12456:J12456"/>
    <mergeCell ref="I12457:J12457"/>
    <mergeCell ref="M12457:N12457"/>
    <mergeCell ref="I12458:J12458"/>
    <mergeCell ref="M12458:N12458"/>
    <mergeCell ref="I12459:J12459"/>
    <mergeCell ref="K12468:L12468"/>
    <mergeCell ref="M12468:N12468"/>
    <mergeCell ref="I12468:J12468"/>
    <mergeCell ref="I12469:J12469"/>
    <mergeCell ref="K12469:L12469"/>
    <mergeCell ref="M12469:N12469"/>
    <mergeCell ref="M12459:N12459"/>
    <mergeCell ref="K12460:L12460"/>
    <mergeCell ref="M12460:N12460"/>
    <mergeCell ref="A12462:N12463"/>
    <mergeCell ref="A12467:N12467"/>
    <mergeCell ref="A12468:G12468"/>
    <mergeCell ref="A12469:G12469"/>
    <mergeCell ref="K12473:L12473"/>
    <mergeCell ref="M12473:N12473"/>
    <mergeCell ref="A12448:G12448"/>
    <mergeCell ref="I12448:J12448"/>
    <mergeCell ref="K12448:L12448"/>
    <mergeCell ref="M12448:N12448"/>
    <mergeCell ref="I12449:J12449"/>
    <mergeCell ref="K12449:L12449"/>
    <mergeCell ref="M12449:N12449"/>
    <mergeCell ref="A12449:G12449"/>
    <mergeCell ref="A12450:G12450"/>
    <mergeCell ref="I12450:J12450"/>
    <mergeCell ref="K12450:L12450"/>
    <mergeCell ref="M12450:N12450"/>
    <mergeCell ref="K12451:L12451"/>
    <mergeCell ref="M12451:N12451"/>
    <mergeCell ref="A12456:G12456"/>
    <mergeCell ref="K12478:L12478"/>
    <mergeCell ref="M12478:N12478"/>
    <mergeCell ref="I12478:J12478"/>
    <mergeCell ref="I12479:J12479"/>
    <mergeCell ref="K12479:L12479"/>
    <mergeCell ref="M12479:N12479"/>
    <mergeCell ref="A12476:G12476"/>
    <mergeCell ref="A12477:G12477"/>
    <mergeCell ref="I12477:J12477"/>
    <mergeCell ref="K12477:L12477"/>
    <mergeCell ref="M12477:N12477"/>
    <mergeCell ref="A12478:G12478"/>
    <mergeCell ref="A12479:G12479"/>
    <mergeCell ref="A12480:G12480"/>
    <mergeCell ref="I12480:J12480"/>
    <mergeCell ref="K12480:L12480"/>
    <mergeCell ref="M12480:N12480"/>
    <mergeCell ref="I12481:J12481"/>
    <mergeCell ref="K12481:L12481"/>
    <mergeCell ref="M12481:N12481"/>
    <mergeCell ref="K12483:L12483"/>
    <mergeCell ref="M12483:N12483"/>
    <mergeCell ref="K12484:L12484"/>
    <mergeCell ref="M12484:N12484"/>
    <mergeCell ref="A12481:G12481"/>
    <mergeCell ref="A12482:G12482"/>
    <mergeCell ref="I12482:J12482"/>
    <mergeCell ref="K12482:L12482"/>
    <mergeCell ref="M12482:N12482"/>
    <mergeCell ref="A12483:G12483"/>
    <mergeCell ref="I12483:J12483"/>
    <mergeCell ref="K12488:L12488"/>
    <mergeCell ref="M12488:N12488"/>
    <mergeCell ref="K12498:L12498"/>
    <mergeCell ref="M12498:N12498"/>
    <mergeCell ref="A12527:G12527"/>
    <mergeCell ref="A12495:N12495"/>
    <mergeCell ref="A12496:G12496"/>
    <mergeCell ref="I12496:J12496"/>
    <mergeCell ref="K12496:L12496"/>
    <mergeCell ref="M12496:N12496"/>
    <mergeCell ref="A12497:G12497"/>
    <mergeCell ref="A12498:G12498"/>
    <mergeCell ref="I12488:J12488"/>
    <mergeCell ref="I12489:J12489"/>
    <mergeCell ref="K12489:L12489"/>
    <mergeCell ref="M12489:N12489"/>
    <mergeCell ref="A12486:N12486"/>
    <mergeCell ref="A12487:G12487"/>
    <mergeCell ref="I12487:J12487"/>
    <mergeCell ref="K12487:L12487"/>
    <mergeCell ref="M12487:N12487"/>
    <mergeCell ref="A12488:G12488"/>
    <mergeCell ref="A12489:G12489"/>
    <mergeCell ref="A12490:G12490"/>
    <mergeCell ref="I12490:J12490"/>
    <mergeCell ref="K12490:L12490"/>
    <mergeCell ref="M12490:N12490"/>
    <mergeCell ref="I12491:J12491"/>
    <mergeCell ref="K12491:L12491"/>
    <mergeCell ref="M12491:N12491"/>
    <mergeCell ref="A12491:G12491"/>
    <mergeCell ref="A12492:G12492"/>
    <mergeCell ref="I12492:J12492"/>
    <mergeCell ref="K12492:L12492"/>
    <mergeCell ref="M12492:N12492"/>
    <mergeCell ref="K12493:L12493"/>
    <mergeCell ref="M12493:N12493"/>
    <mergeCell ref="K12497:L12497"/>
    <mergeCell ref="M12497:N12497"/>
    <mergeCell ref="I12497:J12497"/>
    <mergeCell ref="I12498:J12498"/>
    <mergeCell ref="I12521:J12521"/>
    <mergeCell ref="I12522:J12522"/>
    <mergeCell ref="K12522:L12522"/>
    <mergeCell ref="M12522:N12522"/>
    <mergeCell ref="I12519:J12519"/>
    <mergeCell ref="K12519:L12519"/>
    <mergeCell ref="I12520:J12520"/>
    <mergeCell ref="K12520:L12520"/>
    <mergeCell ref="M12520:N12520"/>
    <mergeCell ref="K12521:L12521"/>
    <mergeCell ref="M12521:N12521"/>
    <mergeCell ref="I12527:J12527"/>
    <mergeCell ref="K12527:L12527"/>
    <mergeCell ref="K12525:L12525"/>
    <mergeCell ref="M12525:N12525"/>
    <mergeCell ref="A12526:G12526"/>
    <mergeCell ref="I12526:J12526"/>
    <mergeCell ref="K12526:L12526"/>
    <mergeCell ref="M12526:N12526"/>
    <mergeCell ref="M12527:N12527"/>
    <mergeCell ref="A12519:G12519"/>
    <mergeCell ref="A12520:G12520"/>
    <mergeCell ref="A12521:G12521"/>
    <mergeCell ref="A12522:G12522"/>
    <mergeCell ref="I12523:J12523"/>
    <mergeCell ref="K12523:L12523"/>
    <mergeCell ref="M12523:N12523"/>
    <mergeCell ref="A12523:G12523"/>
    <mergeCell ref="A12524:G12524"/>
    <mergeCell ref="I12524:J12524"/>
    <mergeCell ref="K12524:L12524"/>
    <mergeCell ref="M12524:N12524"/>
    <mergeCell ref="A12525:G12525"/>
    <mergeCell ref="I12525:J12525"/>
    <mergeCell ref="M12519:N12519"/>
    <mergeCell ref="A12499:G12499"/>
    <mergeCell ref="I12499:J12499"/>
    <mergeCell ref="K12499:L12499"/>
    <mergeCell ref="M12499:N12499"/>
    <mergeCell ref="M12500:N12500"/>
    <mergeCell ref="A12500:G12500"/>
    <mergeCell ref="A12503:N12503"/>
    <mergeCell ref="A12504:G12504"/>
    <mergeCell ref="I12504:J12504"/>
    <mergeCell ref="M12504:N12504"/>
    <mergeCell ref="I12505:J12505"/>
    <mergeCell ref="M12505:N12505"/>
    <mergeCell ref="I12507:J12507"/>
    <mergeCell ref="I12508:J12508"/>
    <mergeCell ref="I12509:J12509"/>
    <mergeCell ref="M12509:N12509"/>
    <mergeCell ref="K12510:L12510"/>
    <mergeCell ref="M12510:N12510"/>
    <mergeCell ref="A12508:G12508"/>
    <mergeCell ref="A12509:G12509"/>
    <mergeCell ref="A12505:G12505"/>
    <mergeCell ref="A12506:G12506"/>
    <mergeCell ref="I12506:J12506"/>
    <mergeCell ref="M12506:N12506"/>
    <mergeCell ref="A12507:G12507"/>
    <mergeCell ref="M12507:N12507"/>
    <mergeCell ref="M12508:N12508"/>
    <mergeCell ref="A12512:N12513"/>
    <mergeCell ref="A12517:N12517"/>
    <mergeCell ref="A12518:G12518"/>
    <mergeCell ref="I12518:J12518"/>
    <mergeCell ref="K12518:L12518"/>
    <mergeCell ref="M12518:N12518"/>
    <mergeCell ref="I12500:J12500"/>
    <mergeCell ref="K12500:L12500"/>
    <mergeCell ref="K12501:L12501"/>
    <mergeCell ref="M12501:N12501"/>
    <mergeCell ref="I12570:J12570"/>
    <mergeCell ref="I12558:J12558"/>
    <mergeCell ref="I12559:J12559"/>
    <mergeCell ref="M12559:N12559"/>
    <mergeCell ref="K12560:L12560"/>
    <mergeCell ref="M12560:N12560"/>
    <mergeCell ref="K12574:L12574"/>
    <mergeCell ref="M12574:N12574"/>
    <mergeCell ref="A12576:G12576"/>
    <mergeCell ref="I12576:J12576"/>
    <mergeCell ref="K12576:L12576"/>
    <mergeCell ref="M12576:N12576"/>
    <mergeCell ref="I12577:J12577"/>
    <mergeCell ref="K12577:L12577"/>
    <mergeCell ref="M12577:N12577"/>
    <mergeCell ref="A12577:G12577"/>
    <mergeCell ref="A12578:G12578"/>
    <mergeCell ref="I12578:J12578"/>
    <mergeCell ref="A12528:G12528"/>
    <mergeCell ref="I12528:J12528"/>
    <mergeCell ref="K12528:L12528"/>
    <mergeCell ref="M12528:N12528"/>
    <mergeCell ref="A12529:G12529"/>
    <mergeCell ref="A12530:G12530"/>
    <mergeCell ref="A12531:G12531"/>
    <mergeCell ref="I12531:J12531"/>
    <mergeCell ref="K12531:L12531"/>
    <mergeCell ref="M12531:N12531"/>
    <mergeCell ref="I12532:J12532"/>
    <mergeCell ref="K12532:L12532"/>
    <mergeCell ref="M12532:N12532"/>
    <mergeCell ref="A12532:G12532"/>
    <mergeCell ref="A12533:G12533"/>
    <mergeCell ref="I12533:J12533"/>
    <mergeCell ref="K12533:L12533"/>
    <mergeCell ref="M12533:N12533"/>
    <mergeCell ref="K12534:L12534"/>
    <mergeCell ref="M12534:N12534"/>
    <mergeCell ref="K12538:L12538"/>
    <mergeCell ref="M12538:N12538"/>
    <mergeCell ref="A12541:G12541"/>
    <mergeCell ref="K12529:L12529"/>
    <mergeCell ref="M12529:N12529"/>
    <mergeCell ref="K12539:L12539"/>
    <mergeCell ref="M12539:N12539"/>
    <mergeCell ref="A12536:N12536"/>
    <mergeCell ref="A12537:G12537"/>
    <mergeCell ref="I12537:J12537"/>
    <mergeCell ref="K12537:L12537"/>
    <mergeCell ref="M12537:N12537"/>
    <mergeCell ref="A12538:G12538"/>
    <mergeCell ref="A12539:G12539"/>
    <mergeCell ref="I12541:J12541"/>
    <mergeCell ref="K12541:L12541"/>
    <mergeCell ref="I12538:J12538"/>
    <mergeCell ref="I12539:J12539"/>
    <mergeCell ref="A12540:G12540"/>
    <mergeCell ref="I12540:J12540"/>
    <mergeCell ref="K12540:L12540"/>
    <mergeCell ref="M12540:N12540"/>
    <mergeCell ref="M12541:N12541"/>
    <mergeCell ref="I12529:J12529"/>
    <mergeCell ref="I12530:J12530"/>
    <mergeCell ref="K12530:L12530"/>
    <mergeCell ref="M12530:N12530"/>
    <mergeCell ref="A12558:G12558"/>
    <mergeCell ref="A12559:G12559"/>
    <mergeCell ref="A12562:N12563"/>
    <mergeCell ref="A12567:N12567"/>
    <mergeCell ref="I12568:J12568"/>
    <mergeCell ref="K12568:L12568"/>
    <mergeCell ref="M12568:N12568"/>
    <mergeCell ref="A12568:G12568"/>
    <mergeCell ref="A12569:G12569"/>
    <mergeCell ref="I12569:J12569"/>
    <mergeCell ref="K12569:L12569"/>
    <mergeCell ref="M12569:N12569"/>
    <mergeCell ref="A12542:G12542"/>
    <mergeCell ref="I12542:J12542"/>
    <mergeCell ref="K12542:L12542"/>
    <mergeCell ref="M12542:N12542"/>
    <mergeCell ref="K12543:L12543"/>
    <mergeCell ref="M12543:N12543"/>
    <mergeCell ref="A12550:G12550"/>
    <mergeCell ref="A12553:N12553"/>
    <mergeCell ref="A12554:G12554"/>
    <mergeCell ref="I12554:J12554"/>
    <mergeCell ref="M12554:N12554"/>
    <mergeCell ref="I12555:J12555"/>
    <mergeCell ref="M12555:N12555"/>
    <mergeCell ref="A12555:G12555"/>
    <mergeCell ref="A12556:G12556"/>
    <mergeCell ref="I12556:J12556"/>
    <mergeCell ref="M12556:N12556"/>
    <mergeCell ref="A12557:G12557"/>
    <mergeCell ref="M12557:N12557"/>
    <mergeCell ref="M12558:N12558"/>
    <mergeCell ref="I12572:J12572"/>
    <mergeCell ref="K12572:L12572"/>
    <mergeCell ref="K12570:L12570"/>
    <mergeCell ref="M12570:N12570"/>
    <mergeCell ref="A12571:G12571"/>
    <mergeCell ref="I12571:J12571"/>
    <mergeCell ref="K12571:L12571"/>
    <mergeCell ref="M12571:N12571"/>
    <mergeCell ref="M12572:N12572"/>
    <mergeCell ref="I12588:J12588"/>
    <mergeCell ref="I12589:J12589"/>
    <mergeCell ref="K12589:L12589"/>
    <mergeCell ref="M12589:N12589"/>
    <mergeCell ref="A12586:N12586"/>
    <mergeCell ref="A12587:G12587"/>
    <mergeCell ref="I12587:J12587"/>
    <mergeCell ref="K12587:L12587"/>
    <mergeCell ref="M12587:N12587"/>
    <mergeCell ref="A12588:G12588"/>
    <mergeCell ref="A12589:G12589"/>
    <mergeCell ref="K12547:L12547"/>
    <mergeCell ref="M12547:N12547"/>
    <mergeCell ref="I12547:J12547"/>
    <mergeCell ref="I12548:J12548"/>
    <mergeCell ref="K12548:L12548"/>
    <mergeCell ref="M12548:N12548"/>
    <mergeCell ref="K12551:L12551"/>
    <mergeCell ref="M12551:N12551"/>
    <mergeCell ref="A12545:N12545"/>
    <mergeCell ref="A12546:G12546"/>
    <mergeCell ref="I12546:J12546"/>
    <mergeCell ref="K12546:L12546"/>
    <mergeCell ref="M12546:N12546"/>
    <mergeCell ref="A12547:G12547"/>
    <mergeCell ref="A12548:G12548"/>
    <mergeCell ref="A12549:G12549"/>
    <mergeCell ref="I12549:J12549"/>
    <mergeCell ref="K12549:L12549"/>
    <mergeCell ref="M12549:N12549"/>
    <mergeCell ref="I12550:J12550"/>
    <mergeCell ref="K12550:L12550"/>
    <mergeCell ref="M12550:N12550"/>
    <mergeCell ref="I12557:J12557"/>
    <mergeCell ref="I12581:J12581"/>
    <mergeCell ref="I12574:J12574"/>
    <mergeCell ref="I12575:J12575"/>
    <mergeCell ref="K12575:L12575"/>
    <mergeCell ref="M12575:N12575"/>
    <mergeCell ref="A12572:G12572"/>
    <mergeCell ref="A12573:G12573"/>
    <mergeCell ref="I12573:J12573"/>
    <mergeCell ref="K12573:L12573"/>
    <mergeCell ref="M12573:N12573"/>
    <mergeCell ref="A12574:G12574"/>
    <mergeCell ref="A12575:G12575"/>
    <mergeCell ref="K12579:L12579"/>
    <mergeCell ref="M12579:N12579"/>
    <mergeCell ref="I12579:J12579"/>
    <mergeCell ref="I12580:J12580"/>
    <mergeCell ref="K12580:L12580"/>
    <mergeCell ref="M12580:N12580"/>
    <mergeCell ref="K12588:L12588"/>
    <mergeCell ref="M12588:N12588"/>
    <mergeCell ref="A12570:G12570"/>
    <mergeCell ref="K12598:L12598"/>
    <mergeCell ref="M12598:N12598"/>
    <mergeCell ref="A12595:N12595"/>
    <mergeCell ref="A12596:G12596"/>
    <mergeCell ref="I12596:J12596"/>
    <mergeCell ref="K12596:L12596"/>
    <mergeCell ref="M12596:N12596"/>
    <mergeCell ref="A12597:G12597"/>
    <mergeCell ref="A12598:G12598"/>
    <mergeCell ref="I12607:J12607"/>
    <mergeCell ref="I12608:J12608"/>
    <mergeCell ref="I12609:J12609"/>
    <mergeCell ref="M12609:N12609"/>
    <mergeCell ref="M12599:N12599"/>
    <mergeCell ref="M12600:N12600"/>
    <mergeCell ref="A12600:G12600"/>
    <mergeCell ref="A12603:N12603"/>
    <mergeCell ref="A12604:G12604"/>
    <mergeCell ref="I12604:J12604"/>
    <mergeCell ref="M12604:N12604"/>
    <mergeCell ref="I12605:J12605"/>
    <mergeCell ref="M12605:N12605"/>
    <mergeCell ref="M12610:N12610"/>
    <mergeCell ref="A12608:G12608"/>
    <mergeCell ref="A12609:G12609"/>
    <mergeCell ref="A12605:G12605"/>
    <mergeCell ref="A12606:G12606"/>
    <mergeCell ref="I12606:J12606"/>
    <mergeCell ref="M12606:N12606"/>
    <mergeCell ref="A12607:G12607"/>
    <mergeCell ref="M12607:N12607"/>
    <mergeCell ref="M12608:N12608"/>
    <mergeCell ref="A12579:G12579"/>
    <mergeCell ref="A12580:G12580"/>
    <mergeCell ref="A12581:G12581"/>
    <mergeCell ref="A12590:G12590"/>
    <mergeCell ref="I12590:J12590"/>
    <mergeCell ref="K12590:L12590"/>
    <mergeCell ref="M12590:N12590"/>
    <mergeCell ref="I12591:J12591"/>
    <mergeCell ref="K12591:L12591"/>
    <mergeCell ref="M12591:N12591"/>
    <mergeCell ref="A12591:G12591"/>
    <mergeCell ref="A12592:G12592"/>
    <mergeCell ref="I12592:J12592"/>
    <mergeCell ref="K12592:L12592"/>
    <mergeCell ref="M12592:N12592"/>
    <mergeCell ref="K12593:L12593"/>
    <mergeCell ref="M12593:N12593"/>
    <mergeCell ref="K12597:L12597"/>
    <mergeCell ref="M12597:N12597"/>
    <mergeCell ref="I12600:J12600"/>
    <mergeCell ref="K12600:L12600"/>
    <mergeCell ref="I12599:J12599"/>
    <mergeCell ref="K12599:L12599"/>
    <mergeCell ref="K12610:L12610"/>
    <mergeCell ref="M12623:N12623"/>
    <mergeCell ref="K12578:L12578"/>
    <mergeCell ref="M12578:N12578"/>
    <mergeCell ref="M12624:N12624"/>
    <mergeCell ref="I12624:J12624"/>
    <mergeCell ref="K12624:L12624"/>
    <mergeCell ref="I12625:J12625"/>
    <mergeCell ref="K12625:L12625"/>
    <mergeCell ref="M12625:N12625"/>
    <mergeCell ref="K12626:L12626"/>
    <mergeCell ref="M12626:N12626"/>
    <mergeCell ref="I12626:J12626"/>
    <mergeCell ref="I12627:J12627"/>
    <mergeCell ref="K12627:L12627"/>
    <mergeCell ref="M12627:N12627"/>
    <mergeCell ref="I12628:J12628"/>
    <mergeCell ref="K12628:L12628"/>
    <mergeCell ref="M12628:N12628"/>
    <mergeCell ref="K12631:L12631"/>
    <mergeCell ref="M12631:N12631"/>
    <mergeCell ref="I12629:J12629"/>
    <mergeCell ref="K12629:L12629"/>
    <mergeCell ref="M12629:N12629"/>
    <mergeCell ref="I12630:J12630"/>
    <mergeCell ref="K12630:L12630"/>
    <mergeCell ref="M12630:N12630"/>
    <mergeCell ref="I12631:J12631"/>
    <mergeCell ref="A12624:G12624"/>
    <mergeCell ref="A12625:G12625"/>
    <mergeCell ref="A12626:G12626"/>
    <mergeCell ref="A12627:G12627"/>
    <mergeCell ref="A12628:G12628"/>
    <mergeCell ref="A12629:G12629"/>
    <mergeCell ref="A12630:G12630"/>
    <mergeCell ref="K12581:L12581"/>
    <mergeCell ref="M12581:N12581"/>
    <mergeCell ref="I12582:J12582"/>
    <mergeCell ref="K12582:L12582"/>
    <mergeCell ref="M12582:N12582"/>
    <mergeCell ref="A12582:G12582"/>
    <mergeCell ref="A12583:G12583"/>
    <mergeCell ref="I12583:J12583"/>
    <mergeCell ref="K12583:L12583"/>
    <mergeCell ref="M12583:N12583"/>
    <mergeCell ref="K12584:L12584"/>
    <mergeCell ref="M12584:N12584"/>
    <mergeCell ref="A12619:G12619"/>
    <mergeCell ref="A12620:G12620"/>
    <mergeCell ref="A12621:G12621"/>
    <mergeCell ref="A12622:G12622"/>
    <mergeCell ref="K12622:L12622"/>
    <mergeCell ref="M12622:N12622"/>
    <mergeCell ref="A12612:N12613"/>
    <mergeCell ref="A12617:N12617"/>
    <mergeCell ref="A12618:G12618"/>
    <mergeCell ref="I12618:J12618"/>
    <mergeCell ref="K12618:L12618"/>
    <mergeCell ref="M12618:N12618"/>
    <mergeCell ref="M12619:N12619"/>
    <mergeCell ref="K12601:L12601"/>
    <mergeCell ref="M12601:N12601"/>
    <mergeCell ref="I12597:J12597"/>
    <mergeCell ref="I12598:J12598"/>
    <mergeCell ref="A12599:G12599"/>
    <mergeCell ref="A12171:G12171"/>
    <mergeCell ref="A12172:G12172"/>
    <mergeCell ref="I12172:J12172"/>
    <mergeCell ref="K12172:L12172"/>
    <mergeCell ref="M12172:N12172"/>
    <mergeCell ref="K12173:L12173"/>
    <mergeCell ref="M12173:N12173"/>
    <mergeCell ref="K12177:L12177"/>
    <mergeCell ref="M12177:N12177"/>
    <mergeCell ref="A12180:G12180"/>
    <mergeCell ref="A12181:G12181"/>
    <mergeCell ref="I12181:J12181"/>
    <mergeCell ref="K12181:L12181"/>
    <mergeCell ref="M12181:N12181"/>
    <mergeCell ref="K12182:L12182"/>
    <mergeCell ref="M12182:N12182"/>
    <mergeCell ref="A12149:G12149"/>
    <mergeCell ref="I12149:J12149"/>
    <mergeCell ref="K12149:L12149"/>
    <mergeCell ref="M12149:N12149"/>
    <mergeCell ref="I12150:J12150"/>
    <mergeCell ref="K12150:L12150"/>
    <mergeCell ref="M12150:N12150"/>
    <mergeCell ref="A12150:G12150"/>
    <mergeCell ref="A12151:G12151"/>
    <mergeCell ref="I12151:J12151"/>
    <mergeCell ref="K12151:L12151"/>
    <mergeCell ref="M12151:N12151"/>
    <mergeCell ref="A12152:G12152"/>
    <mergeCell ref="A12153:G12153"/>
    <mergeCell ref="I12155:J12155"/>
    <mergeCell ref="K12155:L12155"/>
    <mergeCell ref="K12153:L12153"/>
    <mergeCell ref="M12153:N12153"/>
    <mergeCell ref="A12154:G12154"/>
    <mergeCell ref="I12154:J12154"/>
    <mergeCell ref="K12154:L12154"/>
    <mergeCell ref="M12154:N12154"/>
    <mergeCell ref="M12155:N12155"/>
    <mergeCell ref="A12162:G12162"/>
    <mergeCell ref="A12163:G12163"/>
    <mergeCell ref="K12162:L12162"/>
    <mergeCell ref="M12162:N12162"/>
    <mergeCell ref="I12162:J12162"/>
    <mergeCell ref="I12163:J12163"/>
    <mergeCell ref="K12163:L12163"/>
    <mergeCell ref="M12163:N12163"/>
    <mergeCell ref="K12164:L12164"/>
    <mergeCell ref="M12164:N12164"/>
    <mergeCell ref="K12168:L12168"/>
    <mergeCell ref="M12168:N12168"/>
    <mergeCell ref="K12178:L12178"/>
    <mergeCell ref="M12178:N12178"/>
    <mergeCell ref="A12175:N12175"/>
    <mergeCell ref="A12176:G12176"/>
    <mergeCell ref="I12176:J12176"/>
    <mergeCell ref="K12176:L12176"/>
    <mergeCell ref="M12176:N12176"/>
    <mergeCell ref="A12177:G12177"/>
    <mergeCell ref="A12178:G12178"/>
    <mergeCell ref="A12167:G12167"/>
    <mergeCell ref="I12167:J12167"/>
    <mergeCell ref="A12135:G12135"/>
    <mergeCell ref="A12136:G12136"/>
    <mergeCell ref="I12136:J12136"/>
    <mergeCell ref="M12136:N12136"/>
    <mergeCell ref="A12137:G12137"/>
    <mergeCell ref="M12137:N12137"/>
    <mergeCell ref="M12138:N12138"/>
    <mergeCell ref="I12147:J12147"/>
    <mergeCell ref="I12148:J12148"/>
    <mergeCell ref="K12148:L12148"/>
    <mergeCell ref="M12148:N12148"/>
    <mergeCell ref="A12138:G12138"/>
    <mergeCell ref="A12141:N12142"/>
    <mergeCell ref="A12146:N12146"/>
    <mergeCell ref="A12147:G12147"/>
    <mergeCell ref="K12147:L12147"/>
    <mergeCell ref="M12147:N12147"/>
    <mergeCell ref="A12148:G12148"/>
    <mergeCell ref="K12152:L12152"/>
    <mergeCell ref="M12152:N12152"/>
    <mergeCell ref="I12152:J12152"/>
    <mergeCell ref="I12153:J12153"/>
    <mergeCell ref="K12157:L12157"/>
    <mergeCell ref="M12157:N12157"/>
    <mergeCell ref="A12159:G12159"/>
    <mergeCell ref="I12159:J12159"/>
    <mergeCell ref="K12159:L12159"/>
    <mergeCell ref="M12159:N12159"/>
    <mergeCell ref="I12160:J12160"/>
    <mergeCell ref="K12160:L12160"/>
    <mergeCell ref="M12160:N12160"/>
    <mergeCell ref="A12160:G12160"/>
    <mergeCell ref="A12161:G12161"/>
    <mergeCell ref="I12161:J12161"/>
    <mergeCell ref="K12161:L12161"/>
    <mergeCell ref="M12161:N12161"/>
    <mergeCell ref="I12157:J12157"/>
    <mergeCell ref="I12158:J12158"/>
    <mergeCell ref="K12158:L12158"/>
    <mergeCell ref="M12158:N12158"/>
    <mergeCell ref="A12155:G12155"/>
    <mergeCell ref="A12156:G12156"/>
    <mergeCell ref="I12156:J12156"/>
    <mergeCell ref="K12156:L12156"/>
    <mergeCell ref="M12156:N12156"/>
    <mergeCell ref="A12157:G12157"/>
    <mergeCell ref="A12158:G12158"/>
    <mergeCell ref="K12139:L12139"/>
    <mergeCell ref="M12139:N12139"/>
    <mergeCell ref="A12187:G12187"/>
    <mergeCell ref="A12188:G12188"/>
    <mergeCell ref="A12189:G12189"/>
    <mergeCell ref="A12190:G12190"/>
    <mergeCell ref="A12184:N12184"/>
    <mergeCell ref="A12185:G12185"/>
    <mergeCell ref="I12185:J12185"/>
    <mergeCell ref="M12185:N12185"/>
    <mergeCell ref="A12186:G12186"/>
    <mergeCell ref="M12186:N12186"/>
    <mergeCell ref="M12187:N12187"/>
    <mergeCell ref="I12186:J12186"/>
    <mergeCell ref="I12187:J12187"/>
    <mergeCell ref="I12188:J12188"/>
    <mergeCell ref="M12188:N12188"/>
    <mergeCell ref="I12189:J12189"/>
    <mergeCell ref="M12189:N12189"/>
    <mergeCell ref="I12190:J12190"/>
    <mergeCell ref="K12199:L12199"/>
    <mergeCell ref="M12199:N12199"/>
    <mergeCell ref="I12199:J12199"/>
    <mergeCell ref="I12200:J12200"/>
    <mergeCell ref="K12200:L12200"/>
    <mergeCell ref="M12200:N12200"/>
    <mergeCell ref="M12190:N12190"/>
    <mergeCell ref="K12191:L12191"/>
    <mergeCell ref="M12191:N12191"/>
    <mergeCell ref="A12193:N12194"/>
    <mergeCell ref="A12198:N12198"/>
    <mergeCell ref="A12199:G12199"/>
    <mergeCell ref="A12200:G12200"/>
    <mergeCell ref="A12206:G12206"/>
    <mergeCell ref="I12206:J12206"/>
    <mergeCell ref="K12206:L12206"/>
    <mergeCell ref="M12206:N12206"/>
    <mergeCell ref="I12207:J12207"/>
    <mergeCell ref="K12207:L12207"/>
    <mergeCell ref="M12207:N12207"/>
    <mergeCell ref="K12210:L12210"/>
    <mergeCell ref="M12210:N12210"/>
    <mergeCell ref="A12207:G12207"/>
    <mergeCell ref="A12208:G12208"/>
    <mergeCell ref="I12208:J12208"/>
    <mergeCell ref="K12208:L12208"/>
    <mergeCell ref="M12208:N12208"/>
    <mergeCell ref="A12209:G12209"/>
    <mergeCell ref="A12210:G12210"/>
    <mergeCell ref="I12212:J12212"/>
    <mergeCell ref="K12212:L12212"/>
    <mergeCell ref="I12209:J12209"/>
    <mergeCell ref="I12210:J12210"/>
    <mergeCell ref="A12211:G12211"/>
    <mergeCell ref="I12211:J12211"/>
    <mergeCell ref="K12211:L12211"/>
    <mergeCell ref="M12211:N12211"/>
    <mergeCell ref="M12212:N12212"/>
    <mergeCell ref="A12201:G12201"/>
    <mergeCell ref="I12201:J12201"/>
    <mergeCell ref="K12201:L12201"/>
    <mergeCell ref="M12201:N12201"/>
    <mergeCell ref="I12202:J12202"/>
    <mergeCell ref="K12202:L12202"/>
    <mergeCell ref="M12202:N12202"/>
    <mergeCell ref="K12204:L12204"/>
    <mergeCell ref="M12204:N12204"/>
    <mergeCell ref="I12204:J12204"/>
    <mergeCell ref="I12205:J12205"/>
    <mergeCell ref="K12205:L12205"/>
    <mergeCell ref="M12205:N12205"/>
    <mergeCell ref="A12202:G12202"/>
    <mergeCell ref="A12203:G12203"/>
    <mergeCell ref="I12203:J12203"/>
    <mergeCell ref="K12203:L12203"/>
    <mergeCell ref="M12203:N12203"/>
    <mergeCell ref="A12204:G12204"/>
    <mergeCell ref="A12205:G12205"/>
    <mergeCell ref="K12209:L12209"/>
    <mergeCell ref="M12209:N12209"/>
    <mergeCell ref="K12214:L12214"/>
    <mergeCell ref="M12214:N12214"/>
    <mergeCell ref="I12214:J12214"/>
    <mergeCell ref="I12215:J12215"/>
    <mergeCell ref="K12215:L12215"/>
    <mergeCell ref="M12215:N12215"/>
    <mergeCell ref="K12216:L12216"/>
    <mergeCell ref="M12216:N12216"/>
    <mergeCell ref="A12212:G12212"/>
    <mergeCell ref="A12213:G12213"/>
    <mergeCell ref="I12213:J12213"/>
    <mergeCell ref="K12213:L12213"/>
    <mergeCell ref="M12213:N12213"/>
    <mergeCell ref="A12214:G12214"/>
    <mergeCell ref="A12215:G12215"/>
    <mergeCell ref="K12220:L12220"/>
    <mergeCell ref="M12220:N12220"/>
    <mergeCell ref="I12220:J12220"/>
    <mergeCell ref="I12221:J12221"/>
    <mergeCell ref="K12221:L12221"/>
    <mergeCell ref="M12221:N12221"/>
    <mergeCell ref="A12218:N12218"/>
    <mergeCell ref="A12219:G12219"/>
    <mergeCell ref="I12219:J12219"/>
    <mergeCell ref="K12219:L12219"/>
    <mergeCell ref="M12219:N12219"/>
    <mergeCell ref="A12220:G12220"/>
    <mergeCell ref="A12221:G12221"/>
    <mergeCell ref="A12231:G12231"/>
    <mergeCell ref="I12231:J12231"/>
    <mergeCell ref="K12231:L12231"/>
    <mergeCell ref="M12231:N12231"/>
    <mergeCell ref="I12232:J12232"/>
    <mergeCell ref="K12232:L12232"/>
    <mergeCell ref="M12232:N12232"/>
    <mergeCell ref="A12232:G12232"/>
    <mergeCell ref="K12260:L12260"/>
    <mergeCell ref="M12260:N12260"/>
    <mergeCell ref="A12261:G12261"/>
    <mergeCell ref="A12262:G12262"/>
    <mergeCell ref="K12266:L12266"/>
    <mergeCell ref="M12266:N12266"/>
    <mergeCell ref="I12266:J12266"/>
    <mergeCell ref="I12267:J12267"/>
    <mergeCell ref="K12267:L12267"/>
    <mergeCell ref="M12267:N12267"/>
    <mergeCell ref="K12268:L12268"/>
    <mergeCell ref="M12268:N12268"/>
    <mergeCell ref="K12272:L12272"/>
    <mergeCell ref="A12233:G12233"/>
    <mergeCell ref="I12233:J12233"/>
    <mergeCell ref="K12233:L12233"/>
    <mergeCell ref="M12233:N12233"/>
    <mergeCell ref="K12234:L12234"/>
    <mergeCell ref="M12234:N12234"/>
    <mergeCell ref="I12238:J12238"/>
    <mergeCell ref="I12239:J12239"/>
    <mergeCell ref="A12236:N12236"/>
    <mergeCell ref="A12237:G12237"/>
    <mergeCell ref="I12237:J12237"/>
    <mergeCell ref="M12237:N12237"/>
    <mergeCell ref="A12238:G12238"/>
    <mergeCell ref="M12238:N12238"/>
    <mergeCell ref="M12239:N12239"/>
    <mergeCell ref="A12222:G12222"/>
    <mergeCell ref="I12222:J12222"/>
    <mergeCell ref="K12222:L12222"/>
    <mergeCell ref="M12222:N12222"/>
    <mergeCell ref="I12223:J12223"/>
    <mergeCell ref="K12223:L12223"/>
    <mergeCell ref="M12223:N12223"/>
    <mergeCell ref="A12223:G12223"/>
    <mergeCell ref="A12224:G12224"/>
    <mergeCell ref="I12224:J12224"/>
    <mergeCell ref="K12224:L12224"/>
    <mergeCell ref="M12224:N12224"/>
    <mergeCell ref="K12225:L12225"/>
    <mergeCell ref="M12225:N12225"/>
    <mergeCell ref="K12229:L12229"/>
    <mergeCell ref="M12229:N12229"/>
    <mergeCell ref="I12229:J12229"/>
    <mergeCell ref="I12230:J12230"/>
    <mergeCell ref="K12230:L12230"/>
    <mergeCell ref="M12230:N12230"/>
    <mergeCell ref="A12227:N12227"/>
    <mergeCell ref="A12228:G12228"/>
    <mergeCell ref="I12228:J12228"/>
    <mergeCell ref="K12228:L12228"/>
    <mergeCell ref="M12228:N12228"/>
    <mergeCell ref="A12229:G12229"/>
    <mergeCell ref="A12230:G12230"/>
    <mergeCell ref="K12261:L12261"/>
    <mergeCell ref="M12261:N12261"/>
    <mergeCell ref="A12263:G12263"/>
    <mergeCell ref="I12263:J12263"/>
    <mergeCell ref="K12263:L12263"/>
    <mergeCell ref="M12263:N12263"/>
    <mergeCell ref="I12264:J12264"/>
    <mergeCell ref="K12264:L12264"/>
    <mergeCell ref="M12264:N12264"/>
    <mergeCell ref="A12264:G12264"/>
    <mergeCell ref="A12265:G12265"/>
    <mergeCell ref="I12265:J12265"/>
    <mergeCell ref="K12265:L12265"/>
    <mergeCell ref="I12241:J12241"/>
    <mergeCell ref="I12242:J12242"/>
    <mergeCell ref="K12243:L12243"/>
    <mergeCell ref="M12243:N12243"/>
    <mergeCell ref="I12284:J12284"/>
    <mergeCell ref="K12284:L12284"/>
    <mergeCell ref="I12281:J12281"/>
    <mergeCell ref="I12282:J12282"/>
    <mergeCell ref="A12283:G12283"/>
    <mergeCell ref="I12283:J12283"/>
    <mergeCell ref="K12283:L12283"/>
    <mergeCell ref="M12283:N12283"/>
    <mergeCell ref="M12284:N12284"/>
    <mergeCell ref="I12272:J12272"/>
    <mergeCell ref="I12273:J12273"/>
    <mergeCell ref="K12273:L12273"/>
    <mergeCell ref="M12273:N12273"/>
    <mergeCell ref="A12270:N12270"/>
    <mergeCell ref="A12271:G12271"/>
    <mergeCell ref="I12271:J12271"/>
    <mergeCell ref="K12271:L12271"/>
    <mergeCell ref="M12271:N12271"/>
    <mergeCell ref="A12272:G12272"/>
    <mergeCell ref="A12273:G12273"/>
    <mergeCell ref="A12274:G12274"/>
    <mergeCell ref="I12274:J12274"/>
    <mergeCell ref="K12274:L12274"/>
    <mergeCell ref="M12274:N12274"/>
    <mergeCell ref="I12275:J12275"/>
    <mergeCell ref="K12275:L12275"/>
    <mergeCell ref="M12275:N12275"/>
    <mergeCell ref="A12275:G12275"/>
    <mergeCell ref="A12276:G12276"/>
    <mergeCell ref="I12276:J12276"/>
    <mergeCell ref="K12276:L12276"/>
    <mergeCell ref="M12276:N12276"/>
    <mergeCell ref="K12277:L12277"/>
    <mergeCell ref="M12277:N12277"/>
    <mergeCell ref="K12281:L12281"/>
    <mergeCell ref="M12281:N12281"/>
    <mergeCell ref="A12284:G12284"/>
    <mergeCell ref="M12265:N12265"/>
    <mergeCell ref="A12266:G12266"/>
    <mergeCell ref="A12267:G12267"/>
    <mergeCell ref="I12261:J12261"/>
    <mergeCell ref="I12262:J12262"/>
    <mergeCell ref="K12262:L12262"/>
    <mergeCell ref="M12262:N12262"/>
    <mergeCell ref="A12259:G12259"/>
    <mergeCell ref="A12260:G12260"/>
    <mergeCell ref="I12260:J12260"/>
    <mergeCell ref="A12253:G12253"/>
    <mergeCell ref="I12253:J12253"/>
    <mergeCell ref="K12253:L12253"/>
    <mergeCell ref="M12253:N12253"/>
    <mergeCell ref="I12254:J12254"/>
    <mergeCell ref="K12254:L12254"/>
    <mergeCell ref="M12254:N12254"/>
    <mergeCell ref="A12254:G12254"/>
    <mergeCell ref="A12255:G12255"/>
    <mergeCell ref="I12255:J12255"/>
    <mergeCell ref="K12255:L12255"/>
    <mergeCell ref="M12255:N12255"/>
    <mergeCell ref="A12256:G12256"/>
    <mergeCell ref="A12257:G12257"/>
    <mergeCell ref="I12259:J12259"/>
    <mergeCell ref="K12259:L12259"/>
    <mergeCell ref="K12257:L12257"/>
    <mergeCell ref="M12257:N12257"/>
    <mergeCell ref="A12258:G12258"/>
    <mergeCell ref="I12258:J12258"/>
    <mergeCell ref="K12258:L12258"/>
    <mergeCell ref="M12258:N12258"/>
    <mergeCell ref="M12259:N12259"/>
    <mergeCell ref="A12239:G12239"/>
    <mergeCell ref="A12240:G12240"/>
    <mergeCell ref="I12240:J12240"/>
    <mergeCell ref="M12240:N12240"/>
    <mergeCell ref="A12241:G12241"/>
    <mergeCell ref="M12241:N12241"/>
    <mergeCell ref="M12242:N12242"/>
    <mergeCell ref="I12251:J12251"/>
    <mergeCell ref="I12252:J12252"/>
    <mergeCell ref="K12252:L12252"/>
    <mergeCell ref="M12252:N12252"/>
    <mergeCell ref="A12242:G12242"/>
    <mergeCell ref="A12245:N12246"/>
    <mergeCell ref="A12250:N12250"/>
    <mergeCell ref="A12251:G12251"/>
    <mergeCell ref="K12251:L12251"/>
    <mergeCell ref="M12251:N12251"/>
    <mergeCell ref="A12252:G12252"/>
    <mergeCell ref="K12256:L12256"/>
    <mergeCell ref="M12256:N12256"/>
    <mergeCell ref="I12256:J12256"/>
    <mergeCell ref="I12257:J12257"/>
    <mergeCell ref="M12272:N12272"/>
    <mergeCell ref="K12282:L12282"/>
    <mergeCell ref="M12282:N12282"/>
    <mergeCell ref="A12279:N12279"/>
    <mergeCell ref="A12280:G12280"/>
    <mergeCell ref="I12280:J12280"/>
    <mergeCell ref="K12280:L12280"/>
    <mergeCell ref="M12280:N12280"/>
    <mergeCell ref="A12281:G12281"/>
    <mergeCell ref="A12282:G12282"/>
    <mergeCell ref="A12291:G12291"/>
    <mergeCell ref="A12292:G12292"/>
    <mergeCell ref="A12293:G12293"/>
    <mergeCell ref="A12294:G12294"/>
    <mergeCell ref="A12288:N12288"/>
    <mergeCell ref="A12289:G12289"/>
    <mergeCell ref="I12289:J12289"/>
    <mergeCell ref="M12289:N12289"/>
    <mergeCell ref="A12290:G12290"/>
    <mergeCell ref="M12290:N12290"/>
    <mergeCell ref="M12291:N12291"/>
    <mergeCell ref="I12290:J12290"/>
    <mergeCell ref="I12291:J12291"/>
    <mergeCell ref="I12292:J12292"/>
    <mergeCell ref="M12292:N12292"/>
    <mergeCell ref="I12293:J12293"/>
    <mergeCell ref="M12293:N12293"/>
    <mergeCell ref="I12294:J12294"/>
    <mergeCell ref="K12303:L12303"/>
    <mergeCell ref="M12303:N12303"/>
    <mergeCell ref="I12303:J12303"/>
    <mergeCell ref="I12304:J12304"/>
    <mergeCell ref="K12304:L12304"/>
    <mergeCell ref="M12304:N12304"/>
    <mergeCell ref="M12294:N12294"/>
    <mergeCell ref="K12295:L12295"/>
    <mergeCell ref="M12295:N12295"/>
    <mergeCell ref="A12297:N12298"/>
    <mergeCell ref="A12302:N12302"/>
    <mergeCell ref="A12303:G12303"/>
    <mergeCell ref="A12304:G12304"/>
    <mergeCell ref="A12285:G12285"/>
    <mergeCell ref="I12285:J12285"/>
    <mergeCell ref="K12285:L12285"/>
    <mergeCell ref="M12285:N12285"/>
    <mergeCell ref="K12286:L12286"/>
    <mergeCell ref="M12286:N12286"/>
    <mergeCell ref="A12310:G12310"/>
    <mergeCell ref="I12310:J12310"/>
    <mergeCell ref="K12310:L12310"/>
    <mergeCell ref="M12310:N12310"/>
    <mergeCell ref="I12311:J12311"/>
    <mergeCell ref="K12311:L12311"/>
    <mergeCell ref="M12311:N12311"/>
    <mergeCell ref="K12314:L12314"/>
    <mergeCell ref="M12314:N12314"/>
    <mergeCell ref="A12311:G12311"/>
    <mergeCell ref="A12312:G12312"/>
    <mergeCell ref="I12312:J12312"/>
    <mergeCell ref="K12312:L12312"/>
    <mergeCell ref="M12312:N12312"/>
    <mergeCell ref="A12313:G12313"/>
    <mergeCell ref="A12314:G12314"/>
    <mergeCell ref="I12316:J12316"/>
    <mergeCell ref="K12316:L12316"/>
    <mergeCell ref="I12313:J12313"/>
    <mergeCell ref="I12314:J12314"/>
    <mergeCell ref="A12315:G12315"/>
    <mergeCell ref="I12315:J12315"/>
    <mergeCell ref="K12315:L12315"/>
    <mergeCell ref="M12315:N12315"/>
    <mergeCell ref="M12316:N12316"/>
    <mergeCell ref="A12305:G12305"/>
    <mergeCell ref="I12305:J12305"/>
    <mergeCell ref="K12305:L12305"/>
    <mergeCell ref="M12305:N12305"/>
    <mergeCell ref="I12306:J12306"/>
    <mergeCell ref="K12306:L12306"/>
    <mergeCell ref="M12306:N12306"/>
    <mergeCell ref="K12308:L12308"/>
    <mergeCell ref="M12308:N12308"/>
    <mergeCell ref="I12308:J12308"/>
    <mergeCell ref="I12309:J12309"/>
    <mergeCell ref="K12309:L12309"/>
    <mergeCell ref="M12309:N12309"/>
    <mergeCell ref="A12306:G12306"/>
    <mergeCell ref="A12307:G12307"/>
    <mergeCell ref="I12307:J12307"/>
    <mergeCell ref="K12307:L12307"/>
    <mergeCell ref="M12307:N12307"/>
    <mergeCell ref="A12308:G12308"/>
    <mergeCell ref="A12309:G12309"/>
    <mergeCell ref="K12313:L12313"/>
    <mergeCell ref="M12313:N12313"/>
    <mergeCell ref="K12318:L12318"/>
    <mergeCell ref="M12318:N12318"/>
    <mergeCell ref="I12318:J12318"/>
    <mergeCell ref="I12319:J12319"/>
    <mergeCell ref="K12319:L12319"/>
    <mergeCell ref="M12319:N12319"/>
    <mergeCell ref="K12320:L12320"/>
    <mergeCell ref="M12320:N12320"/>
    <mergeCell ref="A12316:G12316"/>
    <mergeCell ref="A12317:G12317"/>
    <mergeCell ref="I12317:J12317"/>
    <mergeCell ref="K12317:L12317"/>
    <mergeCell ref="M12317:N12317"/>
    <mergeCell ref="A12318:G12318"/>
    <mergeCell ref="A12319:G12319"/>
    <mergeCell ref="K12324:L12324"/>
    <mergeCell ref="M12324:N12324"/>
    <mergeCell ref="I12324:J12324"/>
    <mergeCell ref="I12325:J12325"/>
    <mergeCell ref="K12325:L12325"/>
    <mergeCell ref="M12325:N12325"/>
    <mergeCell ref="A12322:N12322"/>
    <mergeCell ref="A12323:G12323"/>
    <mergeCell ref="I12323:J12323"/>
    <mergeCell ref="K12323:L12323"/>
    <mergeCell ref="M12323:N12323"/>
    <mergeCell ref="A12324:G12324"/>
    <mergeCell ref="A12325:G12325"/>
    <mergeCell ref="A12335:G12335"/>
    <mergeCell ref="I12335:J12335"/>
    <mergeCell ref="K12335:L12335"/>
    <mergeCell ref="M12335:N12335"/>
    <mergeCell ref="I12336:J12336"/>
    <mergeCell ref="K12336:L12336"/>
    <mergeCell ref="M12336:N12336"/>
    <mergeCell ref="A12336:G12336"/>
    <mergeCell ref="M12649:N12649"/>
    <mergeCell ref="I12650:J12650"/>
    <mergeCell ref="K12650:L12650"/>
    <mergeCell ref="M12650:N12650"/>
    <mergeCell ref="I12657:J12657"/>
    <mergeCell ref="I12658:J12658"/>
    <mergeCell ref="I12659:J12659"/>
    <mergeCell ref="M12659:N12659"/>
    <mergeCell ref="K12660:L12660"/>
    <mergeCell ref="M12660:N12660"/>
    <mergeCell ref="A12337:G12337"/>
    <mergeCell ref="I12337:J12337"/>
    <mergeCell ref="K12337:L12337"/>
    <mergeCell ref="M12337:N12337"/>
    <mergeCell ref="K12338:L12338"/>
    <mergeCell ref="M12338:N12338"/>
    <mergeCell ref="I12342:J12342"/>
    <mergeCell ref="I12343:J12343"/>
    <mergeCell ref="A12340:N12340"/>
    <mergeCell ref="A12341:G12341"/>
    <mergeCell ref="I12341:J12341"/>
    <mergeCell ref="M12341:N12341"/>
    <mergeCell ref="A12342:G12342"/>
    <mergeCell ref="M12342:N12342"/>
    <mergeCell ref="M12343:N12343"/>
    <mergeCell ref="A12326:G12326"/>
    <mergeCell ref="I12326:J12326"/>
    <mergeCell ref="K12326:L12326"/>
    <mergeCell ref="M12326:N12326"/>
    <mergeCell ref="I12327:J12327"/>
    <mergeCell ref="K12327:L12327"/>
    <mergeCell ref="M12327:N12327"/>
    <mergeCell ref="A12327:G12327"/>
    <mergeCell ref="A12328:G12328"/>
    <mergeCell ref="I12328:J12328"/>
    <mergeCell ref="K12328:L12328"/>
    <mergeCell ref="M12328:N12328"/>
    <mergeCell ref="K12329:L12329"/>
    <mergeCell ref="M12329:N12329"/>
    <mergeCell ref="K12333:L12333"/>
    <mergeCell ref="M12333:N12333"/>
    <mergeCell ref="I12333:J12333"/>
    <mergeCell ref="I12334:J12334"/>
    <mergeCell ref="K12334:L12334"/>
    <mergeCell ref="M12334:N12334"/>
    <mergeCell ref="A12331:N12331"/>
    <mergeCell ref="A12332:G12332"/>
    <mergeCell ref="I12332:J12332"/>
    <mergeCell ref="K12332:L12332"/>
    <mergeCell ref="M12332:N12332"/>
    <mergeCell ref="A12333:G12333"/>
    <mergeCell ref="A12334:G12334"/>
    <mergeCell ref="I12619:J12619"/>
    <mergeCell ref="K12619:L12619"/>
    <mergeCell ref="I12620:J12620"/>
    <mergeCell ref="K12620:L12620"/>
    <mergeCell ref="M12620:N12620"/>
    <mergeCell ref="K12621:L12621"/>
    <mergeCell ref="M12621:N12621"/>
    <mergeCell ref="I12621:J12621"/>
    <mergeCell ref="I12622:J12622"/>
    <mergeCell ref="A12623:G12623"/>
    <mergeCell ref="I12623:J12623"/>
    <mergeCell ref="K12623:L12623"/>
    <mergeCell ref="K12647:L12647"/>
    <mergeCell ref="M12647:N12647"/>
    <mergeCell ref="A12650:G12650"/>
    <mergeCell ref="A12653:N12653"/>
    <mergeCell ref="A12654:G12654"/>
    <mergeCell ref="I12654:J12654"/>
    <mergeCell ref="M12654:N12654"/>
    <mergeCell ref="I12655:J12655"/>
    <mergeCell ref="M12655:N12655"/>
    <mergeCell ref="A12655:G12655"/>
    <mergeCell ref="A12656:G12656"/>
    <mergeCell ref="I12656:J12656"/>
    <mergeCell ref="M12656:N12656"/>
    <mergeCell ref="A12657:G12657"/>
    <mergeCell ref="M12657:N12657"/>
    <mergeCell ref="M12658:N12658"/>
    <mergeCell ref="I12669:J12669"/>
    <mergeCell ref="K12669:L12669"/>
    <mergeCell ref="A12662:N12663"/>
    <mergeCell ref="A12667:N12667"/>
    <mergeCell ref="A12668:G12668"/>
    <mergeCell ref="I12668:J12668"/>
    <mergeCell ref="I12345:J12345"/>
    <mergeCell ref="I12346:J12346"/>
    <mergeCell ref="K12347:L12347"/>
    <mergeCell ref="M12347:N12347"/>
    <mergeCell ref="A12673:G12673"/>
    <mergeCell ref="I12673:J12673"/>
    <mergeCell ref="K12673:L12673"/>
    <mergeCell ref="M12673:N12673"/>
    <mergeCell ref="I12674:J12674"/>
    <mergeCell ref="K12674:L12674"/>
    <mergeCell ref="M12674:N12674"/>
    <mergeCell ref="A12674:G12674"/>
    <mergeCell ref="I12671:J12671"/>
    <mergeCell ref="I12672:J12672"/>
    <mergeCell ref="K12672:L12672"/>
    <mergeCell ref="M12672:N12672"/>
    <mergeCell ref="A12669:G12669"/>
    <mergeCell ref="A12670:G12670"/>
    <mergeCell ref="I12670:J12670"/>
    <mergeCell ref="K12670:L12670"/>
    <mergeCell ref="M12670:N12670"/>
    <mergeCell ref="A12671:G12671"/>
    <mergeCell ref="A12672:G12672"/>
    <mergeCell ref="K12668:L12668"/>
    <mergeCell ref="M12668:N12668"/>
    <mergeCell ref="M12669:N12669"/>
    <mergeCell ref="I12647:J12647"/>
    <mergeCell ref="I12648:J12648"/>
    <mergeCell ref="K12648:L12648"/>
    <mergeCell ref="M12648:N12648"/>
    <mergeCell ref="K12651:L12651"/>
    <mergeCell ref="M12651:N12651"/>
    <mergeCell ref="A12645:N12645"/>
    <mergeCell ref="A12646:G12646"/>
    <mergeCell ref="I12646:J12646"/>
    <mergeCell ref="K12646:L12646"/>
    <mergeCell ref="M12646:N12646"/>
    <mergeCell ref="A12647:G12647"/>
    <mergeCell ref="A12648:G12648"/>
    <mergeCell ref="A12649:G12649"/>
    <mergeCell ref="I12649:J12649"/>
    <mergeCell ref="K12649:L12649"/>
    <mergeCell ref="A12640:G12640"/>
    <mergeCell ref="I12640:J12640"/>
    <mergeCell ref="K12640:L12640"/>
    <mergeCell ref="M12640:N12640"/>
    <mergeCell ref="I12641:J12641"/>
    <mergeCell ref="K12641:L12641"/>
    <mergeCell ref="M12641:N12641"/>
    <mergeCell ref="A12641:G12641"/>
    <mergeCell ref="A12642:G12642"/>
    <mergeCell ref="I12642:J12642"/>
    <mergeCell ref="K12642:L12642"/>
    <mergeCell ref="M12642:N12642"/>
    <mergeCell ref="K12643:L12643"/>
    <mergeCell ref="M12643:N12643"/>
    <mergeCell ref="K12633:L12633"/>
    <mergeCell ref="M12633:N12633"/>
    <mergeCell ref="K12634:L12634"/>
    <mergeCell ref="M12634:N12634"/>
    <mergeCell ref="A12631:G12631"/>
    <mergeCell ref="A12632:G12632"/>
    <mergeCell ref="I12632:J12632"/>
    <mergeCell ref="K12632:L12632"/>
    <mergeCell ref="M12632:N12632"/>
    <mergeCell ref="A12633:G12633"/>
    <mergeCell ref="I12633:J12633"/>
    <mergeCell ref="K12638:L12638"/>
    <mergeCell ref="M12638:N12638"/>
    <mergeCell ref="I12638:J12638"/>
    <mergeCell ref="I12639:J12639"/>
    <mergeCell ref="K12639:L12639"/>
    <mergeCell ref="M12639:N12639"/>
    <mergeCell ref="A12636:N12636"/>
    <mergeCell ref="A12637:G12637"/>
    <mergeCell ref="I12637:J12637"/>
    <mergeCell ref="K12637:L12637"/>
    <mergeCell ref="M12637:N12637"/>
    <mergeCell ref="A12638:G12638"/>
    <mergeCell ref="A12639:G12639"/>
    <mergeCell ref="A12658:G12658"/>
    <mergeCell ref="A12659:G12659"/>
    <mergeCell ref="K12671:L12671"/>
    <mergeCell ref="M12671:N12671"/>
    <mergeCell ref="A12678:G12678"/>
    <mergeCell ref="I12678:J12678"/>
    <mergeCell ref="K12678:L12678"/>
    <mergeCell ref="M12678:N12678"/>
    <mergeCell ref="I12679:J12679"/>
    <mergeCell ref="K12679:L12679"/>
    <mergeCell ref="M12679:N12679"/>
    <mergeCell ref="A12679:G12679"/>
    <mergeCell ref="A12680:G12680"/>
    <mergeCell ref="I12680:J12680"/>
    <mergeCell ref="K12680:L12680"/>
    <mergeCell ref="M12680:N12680"/>
    <mergeCell ref="A12681:G12681"/>
    <mergeCell ref="I12681:J12681"/>
    <mergeCell ref="A12698:G12698"/>
    <mergeCell ref="I12698:J12698"/>
    <mergeCell ref="K12698:L12698"/>
    <mergeCell ref="M12698:N12698"/>
    <mergeCell ref="I12699:J12699"/>
    <mergeCell ref="K12699:L12699"/>
    <mergeCell ref="M12699:N12699"/>
    <mergeCell ref="A12699:G12699"/>
    <mergeCell ref="A12700:G12700"/>
    <mergeCell ref="I12700:J12700"/>
    <mergeCell ref="K12700:L12700"/>
    <mergeCell ref="M12700:N12700"/>
    <mergeCell ref="K12701:L12701"/>
    <mergeCell ref="M12701:N12701"/>
    <mergeCell ref="K12697:L12697"/>
    <mergeCell ref="M12697:N12697"/>
    <mergeCell ref="K12693:L12693"/>
    <mergeCell ref="M12693:N12693"/>
    <mergeCell ref="A12695:N12695"/>
    <mergeCell ref="A12696:G12696"/>
    <mergeCell ref="K12696:L12696"/>
    <mergeCell ref="M12696:N12696"/>
    <mergeCell ref="A12697:G12697"/>
    <mergeCell ref="I12683:J12683"/>
    <mergeCell ref="K12683:L12683"/>
    <mergeCell ref="K12684:L12684"/>
    <mergeCell ref="M12684:N12684"/>
    <mergeCell ref="A12675:G12675"/>
    <mergeCell ref="I12675:J12675"/>
    <mergeCell ref="K12675:L12675"/>
    <mergeCell ref="M12675:N12675"/>
    <mergeCell ref="A12676:G12676"/>
    <mergeCell ref="A12677:G12677"/>
    <mergeCell ref="K12676:L12676"/>
    <mergeCell ref="M12676:N12676"/>
    <mergeCell ref="I12676:J12676"/>
    <mergeCell ref="I12677:J12677"/>
    <mergeCell ref="K12677:L12677"/>
    <mergeCell ref="M12677:N12677"/>
    <mergeCell ref="I12705:J12705"/>
    <mergeCell ref="I12706:J12706"/>
    <mergeCell ref="A12703:N12703"/>
    <mergeCell ref="A12704:G12704"/>
    <mergeCell ref="I12704:J12704"/>
    <mergeCell ref="M12704:N12704"/>
    <mergeCell ref="A12705:G12705"/>
    <mergeCell ref="M12705:N12705"/>
    <mergeCell ref="M12706:N12706"/>
    <mergeCell ref="K12681:L12681"/>
    <mergeCell ref="M12681:N12681"/>
    <mergeCell ref="A12682:G12682"/>
    <mergeCell ref="I12682:J12682"/>
    <mergeCell ref="K12682:L12682"/>
    <mergeCell ref="M12682:N12682"/>
    <mergeCell ref="M12683:N12683"/>
    <mergeCell ref="A12688:G12688"/>
    <mergeCell ref="A12689:G12689"/>
    <mergeCell ref="A12690:G12690"/>
    <mergeCell ref="A12691:G12691"/>
    <mergeCell ref="A12692:G12692"/>
    <mergeCell ref="A12683:G12683"/>
    <mergeCell ref="A12686:N12686"/>
    <mergeCell ref="A12687:G12687"/>
    <mergeCell ref="I12687:J12687"/>
    <mergeCell ref="K12687:L12687"/>
    <mergeCell ref="M12687:N12687"/>
    <mergeCell ref="M12688:N12688"/>
    <mergeCell ref="I12688:J12688"/>
    <mergeCell ref="K12688:L12688"/>
    <mergeCell ref="I12689:J12689"/>
    <mergeCell ref="K12689:L12689"/>
    <mergeCell ref="M12689:N12689"/>
    <mergeCell ref="K12690:L12690"/>
    <mergeCell ref="M12690:N12690"/>
    <mergeCell ref="I12690:J12690"/>
    <mergeCell ref="I12691:J12691"/>
    <mergeCell ref="K12691:L12691"/>
    <mergeCell ref="M12691:N12691"/>
    <mergeCell ref="I12692:J12692"/>
    <mergeCell ref="K12692:L12692"/>
    <mergeCell ref="M12692:N12692"/>
    <mergeCell ref="I12696:J12696"/>
    <mergeCell ref="I12697:J12697"/>
    <mergeCell ref="I12708:J12708"/>
    <mergeCell ref="I12709:J12709"/>
    <mergeCell ref="K12710:L12710"/>
    <mergeCell ref="M12710:N12710"/>
    <mergeCell ref="A12720:G12720"/>
    <mergeCell ref="I12720:J12720"/>
    <mergeCell ref="K12720:L12720"/>
    <mergeCell ref="M12720:N12720"/>
    <mergeCell ref="I12721:J12721"/>
    <mergeCell ref="K12721:L12721"/>
    <mergeCell ref="M12721:N12721"/>
    <mergeCell ref="A12721:G12721"/>
    <mergeCell ref="A12722:G12722"/>
    <mergeCell ref="I12722:J12722"/>
    <mergeCell ref="K12722:L12722"/>
    <mergeCell ref="M12722:N12722"/>
    <mergeCell ref="A12723:G12723"/>
    <mergeCell ref="A12724:G12724"/>
    <mergeCell ref="I12726:J12726"/>
    <mergeCell ref="K12726:L12726"/>
    <mergeCell ref="K12724:L12724"/>
    <mergeCell ref="M12724:N12724"/>
    <mergeCell ref="A12725:G12725"/>
    <mergeCell ref="I12725:J12725"/>
    <mergeCell ref="K12725:L12725"/>
    <mergeCell ref="M12725:N12725"/>
    <mergeCell ref="M12726:N12726"/>
    <mergeCell ref="A12706:G12706"/>
    <mergeCell ref="A12707:G12707"/>
    <mergeCell ref="I12707:J12707"/>
    <mergeCell ref="M12707:N12707"/>
    <mergeCell ref="A12708:G12708"/>
    <mergeCell ref="M12708:N12708"/>
    <mergeCell ref="M12709:N12709"/>
    <mergeCell ref="I12718:J12718"/>
    <mergeCell ref="I12719:J12719"/>
    <mergeCell ref="K12719:L12719"/>
    <mergeCell ref="M12719:N12719"/>
    <mergeCell ref="A12709:G12709"/>
    <mergeCell ref="A12712:N12713"/>
    <mergeCell ref="A12717:N12717"/>
    <mergeCell ref="A12718:G12718"/>
    <mergeCell ref="K12718:L12718"/>
    <mergeCell ref="M12718:N12718"/>
    <mergeCell ref="A12719:G12719"/>
    <mergeCell ref="K12723:L12723"/>
    <mergeCell ref="M12723:N12723"/>
    <mergeCell ref="I12723:J12723"/>
    <mergeCell ref="I12724:J12724"/>
    <mergeCell ref="K12728:L12728"/>
    <mergeCell ref="M12728:N12728"/>
    <mergeCell ref="I12728:J12728"/>
    <mergeCell ref="I12729:J12729"/>
    <mergeCell ref="K12729:L12729"/>
    <mergeCell ref="M12729:N12729"/>
    <mergeCell ref="A12726:G12726"/>
    <mergeCell ref="A12727:G12727"/>
    <mergeCell ref="I12727:J12727"/>
    <mergeCell ref="K12727:L12727"/>
    <mergeCell ref="M12727:N12727"/>
    <mergeCell ref="A12728:G12728"/>
    <mergeCell ref="A12729:G12729"/>
    <mergeCell ref="A12730:G12730"/>
    <mergeCell ref="I12730:J12730"/>
    <mergeCell ref="K12730:L12730"/>
    <mergeCell ref="M12730:N12730"/>
    <mergeCell ref="I12731:J12731"/>
    <mergeCell ref="K12731:L12731"/>
    <mergeCell ref="M12731:N12731"/>
    <mergeCell ref="K12733:L12733"/>
    <mergeCell ref="M12733:N12733"/>
    <mergeCell ref="K12734:L12734"/>
    <mergeCell ref="M12734:N12734"/>
    <mergeCell ref="A12731:G12731"/>
    <mergeCell ref="A12732:G12732"/>
    <mergeCell ref="I12732:J12732"/>
    <mergeCell ref="K12732:L12732"/>
    <mergeCell ref="M12732:N12732"/>
    <mergeCell ref="A12733:G12733"/>
    <mergeCell ref="I12733:J12733"/>
    <mergeCell ref="K12738:L12738"/>
    <mergeCell ref="M12738:N12738"/>
    <mergeCell ref="A12745:N12745"/>
    <mergeCell ref="A12746:G12746"/>
    <mergeCell ref="I12746:J12746"/>
    <mergeCell ref="K12746:L12746"/>
    <mergeCell ref="M12746:N12746"/>
    <mergeCell ref="A12747:G12747"/>
    <mergeCell ref="A12748:G12748"/>
    <mergeCell ref="I12738:J12738"/>
    <mergeCell ref="I12739:J12739"/>
    <mergeCell ref="K12739:L12739"/>
    <mergeCell ref="M12739:N12739"/>
    <mergeCell ref="A12736:N12736"/>
    <mergeCell ref="A12737:G12737"/>
    <mergeCell ref="I12737:J12737"/>
    <mergeCell ref="K12737:L12737"/>
    <mergeCell ref="M12737:N12737"/>
    <mergeCell ref="A12738:G12738"/>
    <mergeCell ref="A12739:G12739"/>
    <mergeCell ref="A12740:G12740"/>
    <mergeCell ref="I12740:J12740"/>
    <mergeCell ref="K12740:L12740"/>
    <mergeCell ref="M12740:N12740"/>
    <mergeCell ref="I12741:J12741"/>
    <mergeCell ref="K12741:L12741"/>
    <mergeCell ref="M12741:N12741"/>
    <mergeCell ref="A12741:G12741"/>
    <mergeCell ref="A12742:G12742"/>
    <mergeCell ref="I12742:J12742"/>
    <mergeCell ref="K12742:L12742"/>
    <mergeCell ref="M12742:N12742"/>
    <mergeCell ref="K12743:L12743"/>
    <mergeCell ref="M12743:N12743"/>
    <mergeCell ref="K12747:L12747"/>
    <mergeCell ref="M12747:N12747"/>
    <mergeCell ref="I12747:J12747"/>
    <mergeCell ref="I12748:J12748"/>
    <mergeCell ref="I12769:J12769"/>
    <mergeCell ref="K12769:L12769"/>
    <mergeCell ref="I12770:J12770"/>
    <mergeCell ref="K12770:L12770"/>
    <mergeCell ref="M12770:N12770"/>
    <mergeCell ref="K12771:L12771"/>
    <mergeCell ref="M12771:N12771"/>
    <mergeCell ref="A12769:G12769"/>
    <mergeCell ref="A12770:G12770"/>
    <mergeCell ref="A12771:G12771"/>
    <mergeCell ref="A12772:G12772"/>
    <mergeCell ref="I12773:J12773"/>
    <mergeCell ref="K12773:L12773"/>
    <mergeCell ref="M12773:N12773"/>
    <mergeCell ref="A12773:G12773"/>
    <mergeCell ref="A12774:G12774"/>
    <mergeCell ref="I12774:J12774"/>
    <mergeCell ref="K12774:L12774"/>
    <mergeCell ref="M12774:N12774"/>
    <mergeCell ref="A12775:G12775"/>
    <mergeCell ref="I12775:J12775"/>
    <mergeCell ref="I12777:J12777"/>
    <mergeCell ref="K12777:L12777"/>
    <mergeCell ref="K12775:L12775"/>
    <mergeCell ref="M12775:N12775"/>
    <mergeCell ref="A12776:G12776"/>
    <mergeCell ref="I12776:J12776"/>
    <mergeCell ref="K12776:L12776"/>
    <mergeCell ref="M12776:N12776"/>
    <mergeCell ref="M12777:N12777"/>
    <mergeCell ref="M12769:N12769"/>
    <mergeCell ref="K12748:L12748"/>
    <mergeCell ref="M12748:N12748"/>
    <mergeCell ref="A12777:G12777"/>
    <mergeCell ref="A12778:G12778"/>
    <mergeCell ref="I12778:J12778"/>
    <mergeCell ref="K12778:L12778"/>
    <mergeCell ref="M12778:N12778"/>
    <mergeCell ref="A12779:G12779"/>
    <mergeCell ref="A12780:G12780"/>
    <mergeCell ref="A12781:G12781"/>
    <mergeCell ref="I12781:J12781"/>
    <mergeCell ref="K12781:L12781"/>
    <mergeCell ref="M12781:N12781"/>
    <mergeCell ref="I12782:J12782"/>
    <mergeCell ref="K12782:L12782"/>
    <mergeCell ref="M12782:N12782"/>
    <mergeCell ref="A12782:G12782"/>
    <mergeCell ref="A12783:G12783"/>
    <mergeCell ref="I12783:J12783"/>
    <mergeCell ref="K12783:L12783"/>
    <mergeCell ref="M12783:N12783"/>
    <mergeCell ref="K12784:L12784"/>
    <mergeCell ref="M12784:N12784"/>
    <mergeCell ref="K12788:L12788"/>
    <mergeCell ref="M12788:N12788"/>
    <mergeCell ref="A12791:G12791"/>
    <mergeCell ref="A12749:G12749"/>
    <mergeCell ref="I12749:J12749"/>
    <mergeCell ref="K12749:L12749"/>
    <mergeCell ref="M12749:N12749"/>
    <mergeCell ref="M12750:N12750"/>
    <mergeCell ref="A12750:G12750"/>
    <mergeCell ref="A12753:N12753"/>
    <mergeCell ref="A12754:G12754"/>
    <mergeCell ref="I12754:J12754"/>
    <mergeCell ref="M12754:N12754"/>
    <mergeCell ref="I12755:J12755"/>
    <mergeCell ref="M12755:N12755"/>
    <mergeCell ref="I12757:J12757"/>
    <mergeCell ref="I12758:J12758"/>
    <mergeCell ref="I12759:J12759"/>
    <mergeCell ref="M12759:N12759"/>
    <mergeCell ref="K12760:L12760"/>
    <mergeCell ref="M12760:N12760"/>
    <mergeCell ref="A12758:G12758"/>
    <mergeCell ref="A12759:G12759"/>
    <mergeCell ref="A12755:G12755"/>
    <mergeCell ref="A12756:G12756"/>
    <mergeCell ref="I12756:J12756"/>
    <mergeCell ref="M12756:N12756"/>
    <mergeCell ref="A12757:G12757"/>
    <mergeCell ref="M12757:N12757"/>
    <mergeCell ref="M12758:N12758"/>
    <mergeCell ref="A12762:N12763"/>
    <mergeCell ref="A12767:N12767"/>
    <mergeCell ref="A12768:G12768"/>
    <mergeCell ref="I12768:J12768"/>
    <mergeCell ref="K12768:L12768"/>
    <mergeCell ref="M12768:N12768"/>
    <mergeCell ref="I12750:J12750"/>
    <mergeCell ref="K12750:L12750"/>
    <mergeCell ref="K12751:L12751"/>
    <mergeCell ref="M12751:N12751"/>
    <mergeCell ref="I12771:J12771"/>
    <mergeCell ref="I12772:J12772"/>
    <mergeCell ref="K12772:L12772"/>
    <mergeCell ref="M12772:N12772"/>
    <mergeCell ref="A12812:N12813"/>
    <mergeCell ref="A12817:N12817"/>
    <mergeCell ref="I12818:J12818"/>
    <mergeCell ref="K12818:L12818"/>
    <mergeCell ref="M12818:N12818"/>
    <mergeCell ref="A12818:G12818"/>
    <mergeCell ref="A12819:G12819"/>
    <mergeCell ref="I12819:J12819"/>
    <mergeCell ref="K12819:L12819"/>
    <mergeCell ref="M12819:N12819"/>
    <mergeCell ref="A12820:G12820"/>
    <mergeCell ref="I12820:J12820"/>
    <mergeCell ref="K12779:L12779"/>
    <mergeCell ref="M12779:N12779"/>
    <mergeCell ref="K12789:L12789"/>
    <mergeCell ref="M12789:N12789"/>
    <mergeCell ref="A12786:N12786"/>
    <mergeCell ref="A12787:G12787"/>
    <mergeCell ref="I12787:J12787"/>
    <mergeCell ref="K12787:L12787"/>
    <mergeCell ref="M12787:N12787"/>
    <mergeCell ref="A12788:G12788"/>
    <mergeCell ref="A12789:G12789"/>
    <mergeCell ref="I12791:J12791"/>
    <mergeCell ref="K12791:L12791"/>
    <mergeCell ref="I12788:J12788"/>
    <mergeCell ref="I12789:J12789"/>
    <mergeCell ref="A12790:G12790"/>
    <mergeCell ref="I12790:J12790"/>
    <mergeCell ref="K12790:L12790"/>
    <mergeCell ref="M12790:N12790"/>
    <mergeCell ref="M12791:N12791"/>
    <mergeCell ref="I12779:J12779"/>
    <mergeCell ref="I12780:J12780"/>
    <mergeCell ref="K12780:L12780"/>
    <mergeCell ref="M12780:N12780"/>
    <mergeCell ref="K12797:L12797"/>
    <mergeCell ref="M12797:N12797"/>
    <mergeCell ref="I12797:J12797"/>
    <mergeCell ref="I12798:J12798"/>
    <mergeCell ref="K12798:L12798"/>
    <mergeCell ref="M12798:N12798"/>
    <mergeCell ref="K12801:L12801"/>
    <mergeCell ref="M12801:N12801"/>
    <mergeCell ref="A12795:N12795"/>
    <mergeCell ref="A12796:G12796"/>
    <mergeCell ref="I12796:J12796"/>
    <mergeCell ref="K12796:L12796"/>
    <mergeCell ref="M12796:N12796"/>
    <mergeCell ref="A12797:G12797"/>
    <mergeCell ref="A12798:G12798"/>
    <mergeCell ref="A12799:G12799"/>
    <mergeCell ref="I12799:J12799"/>
    <mergeCell ref="K12799:L12799"/>
    <mergeCell ref="M12799:N12799"/>
    <mergeCell ref="I12800:J12800"/>
    <mergeCell ref="K12800:L12800"/>
    <mergeCell ref="M12800:N12800"/>
    <mergeCell ref="I12807:J12807"/>
    <mergeCell ref="I12808:J12808"/>
    <mergeCell ref="I12809:J12809"/>
    <mergeCell ref="M12809:N12809"/>
    <mergeCell ref="K12810:L12810"/>
    <mergeCell ref="M12810:N12810"/>
    <mergeCell ref="A12792:G12792"/>
    <mergeCell ref="I12792:J12792"/>
    <mergeCell ref="K12792:L12792"/>
    <mergeCell ref="M12792:N12792"/>
    <mergeCell ref="K12793:L12793"/>
    <mergeCell ref="M12793:N12793"/>
    <mergeCell ref="A12800:G12800"/>
    <mergeCell ref="A12803:N12803"/>
    <mergeCell ref="A12804:G12804"/>
    <mergeCell ref="I12804:J12804"/>
    <mergeCell ref="M12804:N12804"/>
    <mergeCell ref="I12805:J12805"/>
    <mergeCell ref="M12805:N12805"/>
    <mergeCell ref="A12805:G12805"/>
    <mergeCell ref="A12806:G12806"/>
    <mergeCell ref="I12806:J12806"/>
    <mergeCell ref="M12806:N12806"/>
    <mergeCell ref="A12807:G12807"/>
    <mergeCell ref="M12807:N12807"/>
    <mergeCell ref="M12808:N12808"/>
    <mergeCell ref="A12808:G12808"/>
    <mergeCell ref="A12809:G12809"/>
    <mergeCell ref="M12850:N12850"/>
    <mergeCell ref="A12850:G12850"/>
    <mergeCell ref="A12853:N12853"/>
    <mergeCell ref="A12854:G12854"/>
    <mergeCell ref="I12854:J12854"/>
    <mergeCell ref="M12854:N12854"/>
    <mergeCell ref="I12855:J12855"/>
    <mergeCell ref="M12855:N12855"/>
    <mergeCell ref="I12857:J12857"/>
    <mergeCell ref="I12858:J12858"/>
    <mergeCell ref="I12859:J12859"/>
    <mergeCell ref="M12859:N12859"/>
    <mergeCell ref="M12827:N12827"/>
    <mergeCell ref="A12827:G12827"/>
    <mergeCell ref="A12828:G12828"/>
    <mergeCell ref="I12828:J12828"/>
    <mergeCell ref="K12828:L12828"/>
    <mergeCell ref="M12828:N12828"/>
    <mergeCell ref="A12829:G12829"/>
    <mergeCell ref="A12830:G12830"/>
    <mergeCell ref="I12824:J12824"/>
    <mergeCell ref="I12825:J12825"/>
    <mergeCell ref="K12825:L12825"/>
    <mergeCell ref="M12825:N12825"/>
    <mergeCell ref="A12822:G12822"/>
    <mergeCell ref="A12823:G12823"/>
    <mergeCell ref="I12823:J12823"/>
    <mergeCell ref="K12823:L12823"/>
    <mergeCell ref="M12823:N12823"/>
    <mergeCell ref="A12824:G12824"/>
    <mergeCell ref="A12825:G12825"/>
    <mergeCell ref="K12829:L12829"/>
    <mergeCell ref="M12829:N12829"/>
    <mergeCell ref="I12829:J12829"/>
    <mergeCell ref="I12830:J12830"/>
    <mergeCell ref="K12830:L12830"/>
    <mergeCell ref="M12830:N12830"/>
    <mergeCell ref="K12838:L12838"/>
    <mergeCell ref="M12838:N12838"/>
    <mergeCell ref="I12838:J12838"/>
    <mergeCell ref="A12841:G12841"/>
    <mergeCell ref="A12842:G12842"/>
    <mergeCell ref="A12868:G12868"/>
    <mergeCell ref="I12868:J12868"/>
    <mergeCell ref="K12868:L12868"/>
    <mergeCell ref="I12822:J12822"/>
    <mergeCell ref="K12822:L12822"/>
    <mergeCell ref="K12820:L12820"/>
    <mergeCell ref="M12820:N12820"/>
    <mergeCell ref="A12821:G12821"/>
    <mergeCell ref="I12821:J12821"/>
    <mergeCell ref="K12821:L12821"/>
    <mergeCell ref="M12821:N12821"/>
    <mergeCell ref="M12822:N12822"/>
    <mergeCell ref="I12839:J12839"/>
    <mergeCell ref="K12839:L12839"/>
    <mergeCell ref="M12839:N12839"/>
    <mergeCell ref="A12836:N12836"/>
    <mergeCell ref="A12837:G12837"/>
    <mergeCell ref="I12837:J12837"/>
    <mergeCell ref="K12837:L12837"/>
    <mergeCell ref="M12837:N12837"/>
    <mergeCell ref="A12838:G12838"/>
    <mergeCell ref="A12839:G12839"/>
    <mergeCell ref="A12840:G12840"/>
    <mergeCell ref="I12840:J12840"/>
    <mergeCell ref="K12840:L12840"/>
    <mergeCell ref="M12840:N12840"/>
    <mergeCell ref="I12841:J12841"/>
    <mergeCell ref="K12841:L12841"/>
    <mergeCell ref="M12841:N12841"/>
    <mergeCell ref="K12824:L12824"/>
    <mergeCell ref="M12824:N12824"/>
    <mergeCell ref="A12831:G12831"/>
    <mergeCell ref="I12831:J12831"/>
    <mergeCell ref="K12831:L12831"/>
    <mergeCell ref="M12831:N12831"/>
    <mergeCell ref="I12832:J12832"/>
    <mergeCell ref="K12832:L12832"/>
    <mergeCell ref="M12832:N12832"/>
    <mergeCell ref="A12832:G12832"/>
    <mergeCell ref="A12833:G12833"/>
    <mergeCell ref="I12833:J12833"/>
    <mergeCell ref="K12833:L12833"/>
    <mergeCell ref="M12833:N12833"/>
    <mergeCell ref="K12834:L12834"/>
    <mergeCell ref="M12834:N12834"/>
    <mergeCell ref="A12826:G12826"/>
    <mergeCell ref="I12826:J12826"/>
    <mergeCell ref="K12826:L12826"/>
    <mergeCell ref="M12826:N12826"/>
    <mergeCell ref="I12827:J12827"/>
    <mergeCell ref="K12827:L12827"/>
    <mergeCell ref="I12842:J12842"/>
    <mergeCell ref="K12842:L12842"/>
    <mergeCell ref="M12842:N12842"/>
    <mergeCell ref="K12843:L12843"/>
    <mergeCell ref="M12843:N12843"/>
    <mergeCell ref="K12847:L12847"/>
    <mergeCell ref="M12847:N12847"/>
    <mergeCell ref="I12850:J12850"/>
    <mergeCell ref="K12850:L12850"/>
    <mergeCell ref="K12851:L12851"/>
    <mergeCell ref="M12851:N12851"/>
    <mergeCell ref="I12871:J12871"/>
    <mergeCell ref="I12872:J12872"/>
    <mergeCell ref="K12872:L12872"/>
    <mergeCell ref="M12872:N12872"/>
    <mergeCell ref="I12869:J12869"/>
    <mergeCell ref="K12869:L12869"/>
    <mergeCell ref="I12870:J12870"/>
    <mergeCell ref="K12870:L12870"/>
    <mergeCell ref="M12870:N12870"/>
    <mergeCell ref="K12871:L12871"/>
    <mergeCell ref="M12871:N12871"/>
    <mergeCell ref="I12877:J12877"/>
    <mergeCell ref="K12877:L12877"/>
    <mergeCell ref="K12875:L12875"/>
    <mergeCell ref="M12875:N12875"/>
    <mergeCell ref="A12876:G12876"/>
    <mergeCell ref="I12876:J12876"/>
    <mergeCell ref="K12876:L12876"/>
    <mergeCell ref="M12876:N12876"/>
    <mergeCell ref="M12877:N12877"/>
    <mergeCell ref="M12868:N12868"/>
    <mergeCell ref="M12869:N12869"/>
    <mergeCell ref="K12848:L12848"/>
    <mergeCell ref="M12848:N12848"/>
    <mergeCell ref="A12845:N12845"/>
    <mergeCell ref="A12846:G12846"/>
    <mergeCell ref="I12846:J12846"/>
    <mergeCell ref="K12846:L12846"/>
    <mergeCell ref="M12846:N12846"/>
    <mergeCell ref="A12847:G12847"/>
    <mergeCell ref="A12848:G12848"/>
    <mergeCell ref="A12869:G12869"/>
    <mergeCell ref="A12870:G12870"/>
    <mergeCell ref="A12871:G12871"/>
    <mergeCell ref="A12872:G12872"/>
    <mergeCell ref="I12873:J12873"/>
    <mergeCell ref="K12873:L12873"/>
    <mergeCell ref="M12873:N12873"/>
    <mergeCell ref="A12873:G12873"/>
    <mergeCell ref="A12874:G12874"/>
    <mergeCell ref="I12874:J12874"/>
    <mergeCell ref="K12874:L12874"/>
    <mergeCell ref="M12874:N12874"/>
    <mergeCell ref="A12875:G12875"/>
    <mergeCell ref="I12875:J12875"/>
    <mergeCell ref="I12847:J12847"/>
    <mergeCell ref="I12848:J12848"/>
    <mergeCell ref="A12849:G12849"/>
    <mergeCell ref="I12849:J12849"/>
    <mergeCell ref="K12849:L12849"/>
    <mergeCell ref="M12849:N12849"/>
    <mergeCell ref="K12860:L12860"/>
    <mergeCell ref="M12860:N12860"/>
    <mergeCell ref="A12858:G12858"/>
    <mergeCell ref="A12859:G12859"/>
    <mergeCell ref="A12855:G12855"/>
    <mergeCell ref="A12856:G12856"/>
    <mergeCell ref="I12856:J12856"/>
    <mergeCell ref="M12856:N12856"/>
    <mergeCell ref="A12857:G12857"/>
    <mergeCell ref="M12857:N12857"/>
    <mergeCell ref="M12858:N12858"/>
    <mergeCell ref="A12862:N12863"/>
    <mergeCell ref="A12867:N12867"/>
    <mergeCell ref="K12889:L12889"/>
    <mergeCell ref="M12889:N12889"/>
    <mergeCell ref="A12886:N12886"/>
    <mergeCell ref="A12887:G12887"/>
    <mergeCell ref="I12887:J12887"/>
    <mergeCell ref="K12887:L12887"/>
    <mergeCell ref="M12887:N12887"/>
    <mergeCell ref="A12888:G12888"/>
    <mergeCell ref="A12889:G12889"/>
    <mergeCell ref="I12891:J12891"/>
    <mergeCell ref="K12891:L12891"/>
    <mergeCell ref="I12888:J12888"/>
    <mergeCell ref="I12889:J12889"/>
    <mergeCell ref="A12890:G12890"/>
    <mergeCell ref="I12890:J12890"/>
    <mergeCell ref="K12890:L12890"/>
    <mergeCell ref="M12890:N12890"/>
    <mergeCell ref="M12891:N12891"/>
    <mergeCell ref="I12879:J12879"/>
    <mergeCell ref="I12880:J12880"/>
    <mergeCell ref="K12880:L12880"/>
    <mergeCell ref="M12880:N12880"/>
    <mergeCell ref="A12877:G12877"/>
    <mergeCell ref="A12878:G12878"/>
    <mergeCell ref="I12878:J12878"/>
    <mergeCell ref="K12878:L12878"/>
    <mergeCell ref="M12878:N12878"/>
    <mergeCell ref="A12879:G12879"/>
    <mergeCell ref="A12880:G12880"/>
    <mergeCell ref="A12881:G12881"/>
    <mergeCell ref="I12881:J12881"/>
    <mergeCell ref="K12881:L12881"/>
    <mergeCell ref="M12881:N12881"/>
    <mergeCell ref="I12882:J12882"/>
    <mergeCell ref="K12882:L12882"/>
    <mergeCell ref="M12882:N12882"/>
    <mergeCell ref="A12882:G12882"/>
    <mergeCell ref="A12883:G12883"/>
    <mergeCell ref="I12883:J12883"/>
    <mergeCell ref="K12883:L12883"/>
    <mergeCell ref="M12883:N12883"/>
    <mergeCell ref="K12884:L12884"/>
    <mergeCell ref="M12884:N12884"/>
    <mergeCell ref="K12888:L12888"/>
    <mergeCell ref="M12888:N12888"/>
    <mergeCell ref="A12891:G12891"/>
    <mergeCell ref="K12879:L12879"/>
    <mergeCell ref="M12879:N12879"/>
    <mergeCell ref="A12892:G12892"/>
    <mergeCell ref="I12892:J12892"/>
    <mergeCell ref="K12892:L12892"/>
    <mergeCell ref="M12892:N12892"/>
    <mergeCell ref="K12893:L12893"/>
    <mergeCell ref="M12893:N12893"/>
    <mergeCell ref="A12900:G12900"/>
    <mergeCell ref="A12903:N12903"/>
    <mergeCell ref="A12904:G12904"/>
    <mergeCell ref="I12904:J12904"/>
    <mergeCell ref="M12904:N12904"/>
    <mergeCell ref="I12905:J12905"/>
    <mergeCell ref="M12905:N12905"/>
    <mergeCell ref="A12905:G12905"/>
    <mergeCell ref="A12906:G12906"/>
    <mergeCell ref="I12906:J12906"/>
    <mergeCell ref="M12906:N12906"/>
    <mergeCell ref="A12907:G12907"/>
    <mergeCell ref="M12907:N12907"/>
    <mergeCell ref="M12908:N12908"/>
    <mergeCell ref="A12908:G12908"/>
    <mergeCell ref="A12909:G12909"/>
    <mergeCell ref="A12912:N12913"/>
    <mergeCell ref="A12917:N12917"/>
    <mergeCell ref="I12918:J12918"/>
    <mergeCell ref="K12918:L12918"/>
    <mergeCell ref="M12918:N12918"/>
    <mergeCell ref="A12918:G12918"/>
    <mergeCell ref="A12919:G12919"/>
    <mergeCell ref="I12919:J12919"/>
    <mergeCell ref="K12919:L12919"/>
    <mergeCell ref="M12919:N12919"/>
    <mergeCell ref="A12920:G12920"/>
    <mergeCell ref="I12920:J12920"/>
    <mergeCell ref="K12920:L12920"/>
    <mergeCell ref="M12920:N12920"/>
    <mergeCell ref="I13171:J13171"/>
    <mergeCell ref="I13172:J13172"/>
    <mergeCell ref="K13172:L13172"/>
    <mergeCell ref="M13172:N13172"/>
    <mergeCell ref="I13169:J13169"/>
    <mergeCell ref="K13169:L13169"/>
    <mergeCell ref="I13170:J13170"/>
    <mergeCell ref="K13170:L13170"/>
    <mergeCell ref="M13170:N13170"/>
    <mergeCell ref="K13171:L13171"/>
    <mergeCell ref="A12921:G12921"/>
    <mergeCell ref="I12921:J12921"/>
    <mergeCell ref="K12921:L12921"/>
    <mergeCell ref="M12921:N12921"/>
    <mergeCell ref="M12922:N12922"/>
    <mergeCell ref="K12897:L12897"/>
    <mergeCell ref="M12897:N12897"/>
    <mergeCell ref="I12897:J12897"/>
    <mergeCell ref="I12898:J12898"/>
    <mergeCell ref="K12898:L12898"/>
    <mergeCell ref="M12898:N12898"/>
    <mergeCell ref="K12901:L12901"/>
    <mergeCell ref="M12901:N12901"/>
    <mergeCell ref="A12895:N12895"/>
    <mergeCell ref="A12896:G12896"/>
    <mergeCell ref="I12896:J12896"/>
    <mergeCell ref="K12896:L12896"/>
    <mergeCell ref="M12896:N12896"/>
    <mergeCell ref="A12897:G12897"/>
    <mergeCell ref="A12898:G12898"/>
    <mergeCell ref="A12899:G12899"/>
    <mergeCell ref="I12899:J12899"/>
    <mergeCell ref="K12899:L12899"/>
    <mergeCell ref="M12899:N12899"/>
    <mergeCell ref="I12900:J12900"/>
    <mergeCell ref="K12900:L12900"/>
    <mergeCell ref="M12900:N12900"/>
    <mergeCell ref="I12907:J12907"/>
    <mergeCell ref="I12908:J12908"/>
    <mergeCell ref="I12909:J12909"/>
    <mergeCell ref="M12909:N12909"/>
    <mergeCell ref="K12910:L12910"/>
    <mergeCell ref="M12910:N12910"/>
    <mergeCell ref="A13149:G13149"/>
    <mergeCell ref="I13149:J13149"/>
    <mergeCell ref="K13149:L13149"/>
    <mergeCell ref="M13149:N13149"/>
    <mergeCell ref="M13150:N13150"/>
    <mergeCell ref="A13150:G13150"/>
    <mergeCell ref="A13153:N13153"/>
    <mergeCell ref="A13154:G13154"/>
    <mergeCell ref="I13154:J13154"/>
    <mergeCell ref="M13154:N13154"/>
    <mergeCell ref="I13155:J13155"/>
    <mergeCell ref="M13155:N13155"/>
    <mergeCell ref="I13157:J13157"/>
    <mergeCell ref="I13158:J13158"/>
    <mergeCell ref="I13159:J13159"/>
    <mergeCell ref="M13159:N13159"/>
    <mergeCell ref="K13160:L13160"/>
    <mergeCell ref="M13160:N13160"/>
    <mergeCell ref="A13158:G13158"/>
    <mergeCell ref="A13159:G13159"/>
    <mergeCell ref="A13155:G13155"/>
    <mergeCell ref="A13156:G13156"/>
    <mergeCell ref="I13156:J13156"/>
    <mergeCell ref="M13156:N13156"/>
    <mergeCell ref="A13157:G13157"/>
    <mergeCell ref="M13157:N13157"/>
    <mergeCell ref="M13158:N13158"/>
    <mergeCell ref="A13162:N13163"/>
    <mergeCell ref="A13167:N13167"/>
    <mergeCell ref="A13168:G13168"/>
    <mergeCell ref="I13168:J13168"/>
    <mergeCell ref="K13168:L13168"/>
    <mergeCell ref="K13147:L13147"/>
    <mergeCell ref="M13147:N13147"/>
    <mergeCell ref="I13150:J13150"/>
    <mergeCell ref="K13150:L13150"/>
    <mergeCell ref="K13151:L13151"/>
    <mergeCell ref="M13151:N13151"/>
    <mergeCell ref="M13171:N13171"/>
    <mergeCell ref="I13177:J13177"/>
    <mergeCell ref="K13177:L13177"/>
    <mergeCell ref="K13175:L13175"/>
    <mergeCell ref="M13175:N13175"/>
    <mergeCell ref="A13176:G13176"/>
    <mergeCell ref="I13176:J13176"/>
    <mergeCell ref="K13176:L13176"/>
    <mergeCell ref="M13176:N13176"/>
    <mergeCell ref="M13177:N13177"/>
    <mergeCell ref="M13168:N13168"/>
    <mergeCell ref="M13169:N13169"/>
    <mergeCell ref="K13179:L13179"/>
    <mergeCell ref="M13179:N13179"/>
    <mergeCell ref="A13126:G13126"/>
    <mergeCell ref="I13126:J13126"/>
    <mergeCell ref="K13126:L13126"/>
    <mergeCell ref="M13126:N13126"/>
    <mergeCell ref="I13127:J13127"/>
    <mergeCell ref="K13127:L13127"/>
    <mergeCell ref="M13127:N13127"/>
    <mergeCell ref="A13127:G13127"/>
    <mergeCell ref="A13128:G13128"/>
    <mergeCell ref="I13128:J13128"/>
    <mergeCell ref="K13128:L13128"/>
    <mergeCell ref="M13128:N13128"/>
    <mergeCell ref="A13129:G13129"/>
    <mergeCell ref="A13130:G13130"/>
    <mergeCell ref="K13129:L13129"/>
    <mergeCell ref="M13129:N13129"/>
    <mergeCell ref="I13129:J13129"/>
    <mergeCell ref="I13130:J13130"/>
    <mergeCell ref="K13130:L13130"/>
    <mergeCell ref="M13130:N13130"/>
    <mergeCell ref="K13138:L13138"/>
    <mergeCell ref="M13138:N13138"/>
    <mergeCell ref="K13148:L13148"/>
    <mergeCell ref="M13148:N13148"/>
    <mergeCell ref="A13145:N13145"/>
    <mergeCell ref="A13146:G13146"/>
    <mergeCell ref="I13146:J13146"/>
    <mergeCell ref="K13146:L13146"/>
    <mergeCell ref="M13146:N13146"/>
    <mergeCell ref="A13147:G13147"/>
    <mergeCell ref="A13148:G13148"/>
    <mergeCell ref="I13138:J13138"/>
    <mergeCell ref="I13139:J13139"/>
    <mergeCell ref="K12973:L12973"/>
    <mergeCell ref="M12973:N12973"/>
    <mergeCell ref="A12973:G12973"/>
    <mergeCell ref="A12974:G12974"/>
    <mergeCell ref="I12974:J12974"/>
    <mergeCell ref="K12974:L12974"/>
    <mergeCell ref="M12974:N12974"/>
    <mergeCell ref="A12975:G12975"/>
    <mergeCell ref="I12975:J12975"/>
    <mergeCell ref="A12949:G12949"/>
    <mergeCell ref="I12949:J12949"/>
    <mergeCell ref="K12949:L12949"/>
    <mergeCell ref="M12949:N12949"/>
    <mergeCell ref="M12950:N12950"/>
    <mergeCell ref="A12950:G12950"/>
    <mergeCell ref="A12953:N12953"/>
    <mergeCell ref="A12954:G12954"/>
    <mergeCell ref="I12954:J12954"/>
    <mergeCell ref="M12954:N12954"/>
    <mergeCell ref="K13139:L13139"/>
    <mergeCell ref="A13169:G13169"/>
    <mergeCell ref="A13170:G13170"/>
    <mergeCell ref="A13171:G13171"/>
    <mergeCell ref="A13172:G13172"/>
    <mergeCell ref="I13173:J13173"/>
    <mergeCell ref="K13173:L13173"/>
    <mergeCell ref="M13173:N13173"/>
    <mergeCell ref="A13173:G13173"/>
    <mergeCell ref="A13174:G13174"/>
    <mergeCell ref="I13174:J13174"/>
    <mergeCell ref="K13174:L13174"/>
    <mergeCell ref="M13174:N13174"/>
    <mergeCell ref="A13175:G13175"/>
    <mergeCell ref="I13175:J13175"/>
    <mergeCell ref="I13147:J13147"/>
    <mergeCell ref="I13148:J13148"/>
    <mergeCell ref="I12955:J12955"/>
    <mergeCell ref="M12955:N12955"/>
    <mergeCell ref="I12957:J12957"/>
    <mergeCell ref="I12958:J12958"/>
    <mergeCell ref="I12959:J12959"/>
    <mergeCell ref="M12959:N12959"/>
    <mergeCell ref="K12960:L12960"/>
    <mergeCell ref="M12960:N12960"/>
    <mergeCell ref="A12958:G12958"/>
    <mergeCell ref="A12959:G12959"/>
    <mergeCell ref="A12955:G12955"/>
    <mergeCell ref="A12956:G12956"/>
    <mergeCell ref="I12956:J12956"/>
    <mergeCell ref="M12956:N12956"/>
    <mergeCell ref="A12957:G12957"/>
    <mergeCell ref="M12957:N12957"/>
    <mergeCell ref="M12958:N12958"/>
    <mergeCell ref="A12962:N12963"/>
    <mergeCell ref="A12967:N12967"/>
    <mergeCell ref="A12968:G12968"/>
    <mergeCell ref="I12968:J12968"/>
    <mergeCell ref="K12968:L12968"/>
    <mergeCell ref="M12968:N12968"/>
    <mergeCell ref="M12969:N12969"/>
    <mergeCell ref="K12979:L12979"/>
    <mergeCell ref="M12979:N12979"/>
    <mergeCell ref="A13012:N13013"/>
    <mergeCell ref="A13017:N13017"/>
    <mergeCell ref="A13141:G13141"/>
    <mergeCell ref="A13142:G13142"/>
    <mergeCell ref="I13142:J13142"/>
    <mergeCell ref="K13142:L13142"/>
    <mergeCell ref="M13142:N13142"/>
    <mergeCell ref="I13124:J13124"/>
    <mergeCell ref="I13125:J13125"/>
    <mergeCell ref="K13125:L13125"/>
    <mergeCell ref="M13125:N13125"/>
    <mergeCell ref="A13122:G13122"/>
    <mergeCell ref="A13123:G13123"/>
    <mergeCell ref="I13123:J13123"/>
    <mergeCell ref="K13123:L13123"/>
    <mergeCell ref="M13123:N13123"/>
    <mergeCell ref="A13124:G13124"/>
    <mergeCell ref="A13125:G13125"/>
    <mergeCell ref="M13139:N13139"/>
    <mergeCell ref="A13136:N13136"/>
    <mergeCell ref="A13137:G13137"/>
    <mergeCell ref="I13137:J13137"/>
    <mergeCell ref="K13137:L13137"/>
    <mergeCell ref="M13137:N13137"/>
    <mergeCell ref="A13138:G13138"/>
    <mergeCell ref="A13139:G13139"/>
    <mergeCell ref="A13140:G13140"/>
    <mergeCell ref="I13140:J13140"/>
    <mergeCell ref="K13140:L13140"/>
    <mergeCell ref="M13140:N13140"/>
    <mergeCell ref="I13141:J13141"/>
    <mergeCell ref="K13141:L13141"/>
    <mergeCell ref="M13141:N13141"/>
    <mergeCell ref="M12982:N12982"/>
    <mergeCell ref="A12982:G12982"/>
    <mergeCell ref="A12983:G12983"/>
    <mergeCell ref="I12983:J12983"/>
    <mergeCell ref="K12983:L12983"/>
    <mergeCell ref="M12983:N12983"/>
    <mergeCell ref="I13018:J13018"/>
    <mergeCell ref="K13018:L13018"/>
    <mergeCell ref="M13018:N13018"/>
    <mergeCell ref="A13018:G13018"/>
    <mergeCell ref="K12997:L12997"/>
    <mergeCell ref="M12997:N12997"/>
    <mergeCell ref="I12997:J12997"/>
    <mergeCell ref="I12998:J12998"/>
    <mergeCell ref="K12998:L12998"/>
    <mergeCell ref="M12998:N12998"/>
    <mergeCell ref="K13001:L13001"/>
    <mergeCell ref="M13001:N13001"/>
    <mergeCell ref="A12995:N12995"/>
    <mergeCell ref="A12996:G12996"/>
    <mergeCell ref="I12996:J12996"/>
    <mergeCell ref="K12996:L12996"/>
    <mergeCell ref="M12996:N12996"/>
    <mergeCell ref="A12997:G12997"/>
    <mergeCell ref="A12998:G12998"/>
    <mergeCell ref="A12999:G12999"/>
    <mergeCell ref="I12999:J12999"/>
    <mergeCell ref="K12999:L12999"/>
    <mergeCell ref="M12999:N12999"/>
    <mergeCell ref="I13000:J13000"/>
    <mergeCell ref="K13000:L13000"/>
    <mergeCell ref="M13000:N13000"/>
    <mergeCell ref="I13007:J13007"/>
    <mergeCell ref="A12926:G12926"/>
    <mergeCell ref="I12926:J12926"/>
    <mergeCell ref="K12926:L12926"/>
    <mergeCell ref="M12926:N12926"/>
    <mergeCell ref="I12927:J12927"/>
    <mergeCell ref="K12927:L12927"/>
    <mergeCell ref="M12927:N12927"/>
    <mergeCell ref="A12927:G12927"/>
    <mergeCell ref="A12928:G12928"/>
    <mergeCell ref="I12928:J12928"/>
    <mergeCell ref="K12928:L12928"/>
    <mergeCell ref="M12928:N12928"/>
    <mergeCell ref="A12929:G12929"/>
    <mergeCell ref="A12930:G12930"/>
    <mergeCell ref="I12924:J12924"/>
    <mergeCell ref="I12925:J12925"/>
    <mergeCell ref="K12925:L12925"/>
    <mergeCell ref="M12925:N12925"/>
    <mergeCell ref="A12922:G12922"/>
    <mergeCell ref="A12923:G12923"/>
    <mergeCell ref="I12923:J12923"/>
    <mergeCell ref="K12923:L12923"/>
    <mergeCell ref="M12923:N12923"/>
    <mergeCell ref="A12924:G12924"/>
    <mergeCell ref="A12925:G12925"/>
    <mergeCell ref="K12929:L12929"/>
    <mergeCell ref="M12929:N12929"/>
    <mergeCell ref="I12929:J12929"/>
    <mergeCell ref="I12930:J12930"/>
    <mergeCell ref="K12930:L12930"/>
    <mergeCell ref="M12930:N12930"/>
    <mergeCell ref="K12938:L12938"/>
    <mergeCell ref="M12938:N12938"/>
    <mergeCell ref="K12924:L12924"/>
    <mergeCell ref="M12924:N12924"/>
    <mergeCell ref="A12931:G12931"/>
    <mergeCell ref="I12931:J12931"/>
    <mergeCell ref="K12931:L12931"/>
    <mergeCell ref="M12931:N12931"/>
    <mergeCell ref="I12932:J12932"/>
    <mergeCell ref="K12932:L12932"/>
    <mergeCell ref="M12932:N12932"/>
    <mergeCell ref="A12932:G12932"/>
    <mergeCell ref="A12933:G12933"/>
    <mergeCell ref="I12933:J12933"/>
    <mergeCell ref="K12933:L12933"/>
    <mergeCell ref="M12933:N12933"/>
    <mergeCell ref="K12934:L12934"/>
    <mergeCell ref="M12934:N12934"/>
    <mergeCell ref="I12922:J12922"/>
    <mergeCell ref="K12922:L12922"/>
    <mergeCell ref="A12945:N12945"/>
    <mergeCell ref="A12946:G12946"/>
    <mergeCell ref="I12946:J12946"/>
    <mergeCell ref="K12946:L12946"/>
    <mergeCell ref="M12946:N12946"/>
    <mergeCell ref="A12947:G12947"/>
    <mergeCell ref="A12948:G12948"/>
    <mergeCell ref="I12938:J12938"/>
    <mergeCell ref="I12939:J12939"/>
    <mergeCell ref="K12939:L12939"/>
    <mergeCell ref="M12939:N12939"/>
    <mergeCell ref="A12936:N12936"/>
    <mergeCell ref="A12937:G12937"/>
    <mergeCell ref="I12937:J12937"/>
    <mergeCell ref="K12937:L12937"/>
    <mergeCell ref="M12937:N12937"/>
    <mergeCell ref="A12938:G12938"/>
    <mergeCell ref="A12939:G12939"/>
    <mergeCell ref="A12940:G12940"/>
    <mergeCell ref="I12940:J12940"/>
    <mergeCell ref="K12940:L12940"/>
    <mergeCell ref="M12940:N12940"/>
    <mergeCell ref="I12941:J12941"/>
    <mergeCell ref="K12941:L12941"/>
    <mergeCell ref="M12941:N12941"/>
    <mergeCell ref="A12941:G12941"/>
    <mergeCell ref="A12942:G12942"/>
    <mergeCell ref="I12942:J12942"/>
    <mergeCell ref="K12942:L12942"/>
    <mergeCell ref="M12942:N12942"/>
    <mergeCell ref="K12943:L12943"/>
    <mergeCell ref="M12943:N12943"/>
    <mergeCell ref="K12947:L12947"/>
    <mergeCell ref="M12947:N12947"/>
    <mergeCell ref="I12947:J12947"/>
    <mergeCell ref="I12948:J12948"/>
    <mergeCell ref="K12948:L12948"/>
    <mergeCell ref="M12948:N12948"/>
    <mergeCell ref="K12950:L12950"/>
    <mergeCell ref="K12951:L12951"/>
    <mergeCell ref="M12951:N12951"/>
    <mergeCell ref="I12971:J12971"/>
    <mergeCell ref="I12972:J12972"/>
    <mergeCell ref="K12972:L12972"/>
    <mergeCell ref="M12972:N12972"/>
    <mergeCell ref="I12969:J12969"/>
    <mergeCell ref="K12969:L12969"/>
    <mergeCell ref="I12970:J12970"/>
    <mergeCell ref="K12970:L12970"/>
    <mergeCell ref="M12970:N12970"/>
    <mergeCell ref="K12971:L12971"/>
    <mergeCell ref="M12971:N12971"/>
    <mergeCell ref="I12977:J12977"/>
    <mergeCell ref="K12977:L12977"/>
    <mergeCell ref="K12975:L12975"/>
    <mergeCell ref="M12975:N12975"/>
    <mergeCell ref="A12976:G12976"/>
    <mergeCell ref="I12976:J12976"/>
    <mergeCell ref="K12976:L12976"/>
    <mergeCell ref="M12976:N12976"/>
    <mergeCell ref="M12977:N12977"/>
    <mergeCell ref="K12989:L12989"/>
    <mergeCell ref="M12989:N12989"/>
    <mergeCell ref="A12986:N12986"/>
    <mergeCell ref="A12987:G12987"/>
    <mergeCell ref="I12987:J12987"/>
    <mergeCell ref="K12987:L12987"/>
    <mergeCell ref="M12987:N12987"/>
    <mergeCell ref="A12988:G12988"/>
    <mergeCell ref="A12989:G12989"/>
    <mergeCell ref="I12991:J12991"/>
    <mergeCell ref="K12991:L12991"/>
    <mergeCell ref="I12988:J12988"/>
    <mergeCell ref="I12989:J12989"/>
    <mergeCell ref="A12990:G12990"/>
    <mergeCell ref="I12990:J12990"/>
    <mergeCell ref="K12990:L12990"/>
    <mergeCell ref="M12990:N12990"/>
    <mergeCell ref="M12991:N12991"/>
    <mergeCell ref="I12979:J12979"/>
    <mergeCell ref="I12980:J12980"/>
    <mergeCell ref="K12980:L12980"/>
    <mergeCell ref="M12980:N12980"/>
    <mergeCell ref="A12977:G12977"/>
    <mergeCell ref="A12978:G12978"/>
    <mergeCell ref="I12978:J12978"/>
    <mergeCell ref="K12978:L12978"/>
    <mergeCell ref="M12978:N12978"/>
    <mergeCell ref="A12979:G12979"/>
    <mergeCell ref="A12980:G12980"/>
    <mergeCell ref="A12981:G12981"/>
    <mergeCell ref="I12981:J12981"/>
    <mergeCell ref="K12981:L12981"/>
    <mergeCell ref="M12981:N12981"/>
    <mergeCell ref="I12982:J12982"/>
    <mergeCell ref="K12982:L12982"/>
    <mergeCell ref="I12950:J12950"/>
    <mergeCell ref="A12969:G12969"/>
    <mergeCell ref="A12970:G12970"/>
    <mergeCell ref="A12971:G12971"/>
    <mergeCell ref="A12972:G12972"/>
    <mergeCell ref="I12973:J12973"/>
    <mergeCell ref="I13008:J13008"/>
    <mergeCell ref="I13009:J13009"/>
    <mergeCell ref="M13009:N13009"/>
    <mergeCell ref="K13010:L13010"/>
    <mergeCell ref="M13010:N13010"/>
    <mergeCell ref="K12984:L12984"/>
    <mergeCell ref="M12984:N12984"/>
    <mergeCell ref="K12988:L12988"/>
    <mergeCell ref="M12988:N12988"/>
    <mergeCell ref="A12991:G12991"/>
    <mergeCell ref="A12992:G12992"/>
    <mergeCell ref="I12992:J12992"/>
    <mergeCell ref="K12992:L12992"/>
    <mergeCell ref="M12992:N12992"/>
    <mergeCell ref="K12993:L12993"/>
    <mergeCell ref="M12993:N12993"/>
    <mergeCell ref="A13000:G13000"/>
    <mergeCell ref="A13003:N13003"/>
    <mergeCell ref="A13004:G13004"/>
    <mergeCell ref="I13004:J13004"/>
    <mergeCell ref="M13004:N13004"/>
    <mergeCell ref="I13005:J13005"/>
    <mergeCell ref="M13005:N13005"/>
    <mergeCell ref="A13005:G13005"/>
    <mergeCell ref="A13006:G13006"/>
    <mergeCell ref="I13006:J13006"/>
    <mergeCell ref="M13006:N13006"/>
    <mergeCell ref="A13007:G13007"/>
    <mergeCell ref="M13007:N13007"/>
    <mergeCell ref="M13008:N13008"/>
    <mergeCell ref="A13008:G13008"/>
    <mergeCell ref="A13009:G13009"/>
    <mergeCell ref="A13022:G13022"/>
    <mergeCell ref="A13023:G13023"/>
    <mergeCell ref="I13023:J13023"/>
    <mergeCell ref="K13023:L13023"/>
    <mergeCell ref="M13023:N13023"/>
    <mergeCell ref="A13024:G13024"/>
    <mergeCell ref="A13025:G13025"/>
    <mergeCell ref="K13029:L13029"/>
    <mergeCell ref="M13029:N13029"/>
    <mergeCell ref="I13029:J13029"/>
    <mergeCell ref="I13030:J13030"/>
    <mergeCell ref="K13030:L13030"/>
    <mergeCell ref="M13030:N13030"/>
    <mergeCell ref="K13038:L13038"/>
    <mergeCell ref="M13038:N13038"/>
    <mergeCell ref="I13038:J13038"/>
    <mergeCell ref="M13060:N13060"/>
    <mergeCell ref="A13058:G13058"/>
    <mergeCell ref="A13059:G13059"/>
    <mergeCell ref="A13055:G13055"/>
    <mergeCell ref="A13056:G13056"/>
    <mergeCell ref="I13056:J13056"/>
    <mergeCell ref="M13056:N13056"/>
    <mergeCell ref="A13057:G13057"/>
    <mergeCell ref="M13057:N13057"/>
    <mergeCell ref="M13058:N13058"/>
    <mergeCell ref="A13062:N13063"/>
    <mergeCell ref="A13067:N13067"/>
    <mergeCell ref="A13068:G13068"/>
    <mergeCell ref="I13068:J13068"/>
    <mergeCell ref="K13068:L13068"/>
    <mergeCell ref="A13019:G13019"/>
    <mergeCell ref="I13019:J13019"/>
    <mergeCell ref="K13019:L13019"/>
    <mergeCell ref="M13019:N13019"/>
    <mergeCell ref="A13020:G13020"/>
    <mergeCell ref="I13020:J13020"/>
    <mergeCell ref="I13022:J13022"/>
    <mergeCell ref="K13022:L13022"/>
    <mergeCell ref="K13020:L13020"/>
    <mergeCell ref="M13020:N13020"/>
    <mergeCell ref="A13021:G13021"/>
    <mergeCell ref="I13021:J13021"/>
    <mergeCell ref="K13021:L13021"/>
    <mergeCell ref="M13021:N13021"/>
    <mergeCell ref="M13022:N13022"/>
    <mergeCell ref="I13039:J13039"/>
    <mergeCell ref="K13039:L13039"/>
    <mergeCell ref="M13039:N13039"/>
    <mergeCell ref="A13036:N13036"/>
    <mergeCell ref="A13037:G13037"/>
    <mergeCell ref="I13037:J13037"/>
    <mergeCell ref="K13037:L13037"/>
    <mergeCell ref="M13037:N13037"/>
    <mergeCell ref="A13038:G13038"/>
    <mergeCell ref="A13039:G13039"/>
    <mergeCell ref="A13040:G13040"/>
    <mergeCell ref="I13040:J13040"/>
    <mergeCell ref="K13040:L13040"/>
    <mergeCell ref="M13040:N13040"/>
    <mergeCell ref="I13041:J13041"/>
    <mergeCell ref="K13041:L13041"/>
    <mergeCell ref="M13041:N13041"/>
    <mergeCell ref="K13024:L13024"/>
    <mergeCell ref="A13071:G13071"/>
    <mergeCell ref="A13072:G13072"/>
    <mergeCell ref="I13073:J13073"/>
    <mergeCell ref="K13073:L13073"/>
    <mergeCell ref="M13073:N13073"/>
    <mergeCell ref="A13073:G13073"/>
    <mergeCell ref="A13074:G13074"/>
    <mergeCell ref="I13074:J13074"/>
    <mergeCell ref="K13074:L13074"/>
    <mergeCell ref="M13074:N13074"/>
    <mergeCell ref="A13075:G13075"/>
    <mergeCell ref="I13075:J13075"/>
    <mergeCell ref="I13047:J13047"/>
    <mergeCell ref="I13048:J13048"/>
    <mergeCell ref="A13049:G13049"/>
    <mergeCell ref="I13049:J13049"/>
    <mergeCell ref="K13049:L13049"/>
    <mergeCell ref="M13049:N13049"/>
    <mergeCell ref="I13026:J13026"/>
    <mergeCell ref="K13026:L13026"/>
    <mergeCell ref="M13026:N13026"/>
    <mergeCell ref="I13027:J13027"/>
    <mergeCell ref="K13027:L13027"/>
    <mergeCell ref="M13027:N13027"/>
    <mergeCell ref="A13027:G13027"/>
    <mergeCell ref="A13028:G13028"/>
    <mergeCell ref="I13028:J13028"/>
    <mergeCell ref="K13028:L13028"/>
    <mergeCell ref="M13028:N13028"/>
    <mergeCell ref="A13029:G13029"/>
    <mergeCell ref="A13030:G13030"/>
    <mergeCell ref="I13024:J13024"/>
    <mergeCell ref="I13025:J13025"/>
    <mergeCell ref="K13025:L13025"/>
    <mergeCell ref="M13025:N13025"/>
    <mergeCell ref="M13024:N13024"/>
    <mergeCell ref="A13031:G13031"/>
    <mergeCell ref="I13031:J13031"/>
    <mergeCell ref="K13031:L13031"/>
    <mergeCell ref="M13031:N13031"/>
    <mergeCell ref="I13032:J13032"/>
    <mergeCell ref="K13032:L13032"/>
    <mergeCell ref="M13032:N13032"/>
    <mergeCell ref="A13032:G13032"/>
    <mergeCell ref="A13033:G13033"/>
    <mergeCell ref="I13033:J13033"/>
    <mergeCell ref="K13033:L13033"/>
    <mergeCell ref="M13033:N13033"/>
    <mergeCell ref="K13034:L13034"/>
    <mergeCell ref="M13034:N13034"/>
    <mergeCell ref="A13026:G13026"/>
    <mergeCell ref="M13050:N13050"/>
    <mergeCell ref="A13050:G13050"/>
    <mergeCell ref="A13053:N13053"/>
    <mergeCell ref="A13054:G13054"/>
    <mergeCell ref="I13054:J13054"/>
    <mergeCell ref="M13054:N13054"/>
    <mergeCell ref="I13055:J13055"/>
    <mergeCell ref="M13055:N13055"/>
    <mergeCell ref="I13057:J13057"/>
    <mergeCell ref="I13058:J13058"/>
    <mergeCell ref="I13059:J13059"/>
    <mergeCell ref="M13059:N13059"/>
    <mergeCell ref="K13060:L13060"/>
    <mergeCell ref="I13081:J13081"/>
    <mergeCell ref="K13081:L13081"/>
    <mergeCell ref="M13081:N13081"/>
    <mergeCell ref="I13082:J13082"/>
    <mergeCell ref="K13082:L13082"/>
    <mergeCell ref="M13082:N13082"/>
    <mergeCell ref="A13082:G13082"/>
    <mergeCell ref="A13083:G13083"/>
    <mergeCell ref="I13083:J13083"/>
    <mergeCell ref="K13083:L13083"/>
    <mergeCell ref="M13083:N13083"/>
    <mergeCell ref="K13084:L13084"/>
    <mergeCell ref="M13084:N13084"/>
    <mergeCell ref="K13088:L13088"/>
    <mergeCell ref="M13088:N13088"/>
    <mergeCell ref="A13091:G13091"/>
    <mergeCell ref="K13079:L13079"/>
    <mergeCell ref="M13079:N13079"/>
    <mergeCell ref="A13041:G13041"/>
    <mergeCell ref="A13042:G13042"/>
    <mergeCell ref="I13042:J13042"/>
    <mergeCell ref="K13042:L13042"/>
    <mergeCell ref="M13042:N13042"/>
    <mergeCell ref="K13043:L13043"/>
    <mergeCell ref="M13043:N13043"/>
    <mergeCell ref="K13047:L13047"/>
    <mergeCell ref="M13047:N13047"/>
    <mergeCell ref="I13050:J13050"/>
    <mergeCell ref="K13050:L13050"/>
    <mergeCell ref="K13051:L13051"/>
    <mergeCell ref="M13051:N13051"/>
    <mergeCell ref="I13071:J13071"/>
    <mergeCell ref="I13072:J13072"/>
    <mergeCell ref="K13072:L13072"/>
    <mergeCell ref="M13072:N13072"/>
    <mergeCell ref="I13069:J13069"/>
    <mergeCell ref="K13069:L13069"/>
    <mergeCell ref="I13070:J13070"/>
    <mergeCell ref="K13070:L13070"/>
    <mergeCell ref="M13070:N13070"/>
    <mergeCell ref="K13071:L13071"/>
    <mergeCell ref="M13071:N13071"/>
    <mergeCell ref="I13077:J13077"/>
    <mergeCell ref="K13077:L13077"/>
    <mergeCell ref="K13075:L13075"/>
    <mergeCell ref="M13075:N13075"/>
    <mergeCell ref="A13076:G13076"/>
    <mergeCell ref="I13076:J13076"/>
    <mergeCell ref="K13076:L13076"/>
    <mergeCell ref="M13076:N13076"/>
    <mergeCell ref="M13077:N13077"/>
    <mergeCell ref="M13068:N13068"/>
    <mergeCell ref="M13069:N13069"/>
    <mergeCell ref="K13048:L13048"/>
    <mergeCell ref="M13048:N13048"/>
    <mergeCell ref="A13045:N13045"/>
    <mergeCell ref="A13046:G13046"/>
    <mergeCell ref="I13046:J13046"/>
    <mergeCell ref="K13046:L13046"/>
    <mergeCell ref="M13046:N13046"/>
    <mergeCell ref="A13047:G13047"/>
    <mergeCell ref="A13048:G13048"/>
    <mergeCell ref="A13069:G13069"/>
    <mergeCell ref="A13070:G13070"/>
    <mergeCell ref="K13092:L13092"/>
    <mergeCell ref="M13092:N13092"/>
    <mergeCell ref="K13093:L13093"/>
    <mergeCell ref="M13093:N13093"/>
    <mergeCell ref="A13100:G13100"/>
    <mergeCell ref="A13103:N13103"/>
    <mergeCell ref="A13104:G13104"/>
    <mergeCell ref="I13104:J13104"/>
    <mergeCell ref="M13104:N13104"/>
    <mergeCell ref="I13105:J13105"/>
    <mergeCell ref="M13105:N13105"/>
    <mergeCell ref="A13105:G13105"/>
    <mergeCell ref="A13106:G13106"/>
    <mergeCell ref="I13106:J13106"/>
    <mergeCell ref="M13106:N13106"/>
    <mergeCell ref="A13107:G13107"/>
    <mergeCell ref="M13107:N13107"/>
    <mergeCell ref="M13108:N13108"/>
    <mergeCell ref="A13108:G13108"/>
    <mergeCell ref="K13089:L13089"/>
    <mergeCell ref="M13089:N13089"/>
    <mergeCell ref="A13086:N13086"/>
    <mergeCell ref="A13087:G13087"/>
    <mergeCell ref="I13087:J13087"/>
    <mergeCell ref="K13087:L13087"/>
    <mergeCell ref="M13087:N13087"/>
    <mergeCell ref="A13088:G13088"/>
    <mergeCell ref="A13089:G13089"/>
    <mergeCell ref="I13091:J13091"/>
    <mergeCell ref="K13091:L13091"/>
    <mergeCell ref="I13088:J13088"/>
    <mergeCell ref="I13089:J13089"/>
    <mergeCell ref="A13090:G13090"/>
    <mergeCell ref="I13090:J13090"/>
    <mergeCell ref="K13090:L13090"/>
    <mergeCell ref="M13090:N13090"/>
    <mergeCell ref="M13091:N13091"/>
    <mergeCell ref="I13079:J13079"/>
    <mergeCell ref="I13080:J13080"/>
    <mergeCell ref="K13080:L13080"/>
    <mergeCell ref="M13080:N13080"/>
    <mergeCell ref="A13077:G13077"/>
    <mergeCell ref="A13078:G13078"/>
    <mergeCell ref="I13078:J13078"/>
    <mergeCell ref="K13078:L13078"/>
    <mergeCell ref="M13078:N13078"/>
    <mergeCell ref="A13079:G13079"/>
    <mergeCell ref="A13080:G13080"/>
    <mergeCell ref="A13081:G13081"/>
    <mergeCell ref="A13109:G13109"/>
    <mergeCell ref="A13112:N13113"/>
    <mergeCell ref="A13117:N13117"/>
    <mergeCell ref="I13118:J13118"/>
    <mergeCell ref="K13118:L13118"/>
    <mergeCell ref="M13118:N13118"/>
    <mergeCell ref="A13118:G13118"/>
    <mergeCell ref="A13119:G13119"/>
    <mergeCell ref="I13119:J13119"/>
    <mergeCell ref="K13119:L13119"/>
    <mergeCell ref="M13119:N13119"/>
    <mergeCell ref="A13120:G13120"/>
    <mergeCell ref="I13120:J13120"/>
    <mergeCell ref="I13122:J13122"/>
    <mergeCell ref="K13122:L13122"/>
    <mergeCell ref="K13120:L13120"/>
    <mergeCell ref="M13120:N13120"/>
    <mergeCell ref="A13121:G13121"/>
    <mergeCell ref="I13121:J13121"/>
    <mergeCell ref="K13121:L13121"/>
    <mergeCell ref="M13121:N13121"/>
    <mergeCell ref="M13122:N13122"/>
    <mergeCell ref="K13097:L13097"/>
    <mergeCell ref="M13097:N13097"/>
    <mergeCell ref="I13097:J13097"/>
    <mergeCell ref="I13098:J13098"/>
    <mergeCell ref="K13098:L13098"/>
    <mergeCell ref="M13098:N13098"/>
    <mergeCell ref="K13101:L13101"/>
    <mergeCell ref="M13101:N13101"/>
    <mergeCell ref="A13095:N13095"/>
    <mergeCell ref="A13096:G13096"/>
    <mergeCell ref="I13096:J13096"/>
    <mergeCell ref="K13096:L13096"/>
    <mergeCell ref="M13096:N13096"/>
    <mergeCell ref="A13097:G13097"/>
    <mergeCell ref="A13098:G13098"/>
    <mergeCell ref="A13099:G13099"/>
    <mergeCell ref="I13099:J13099"/>
    <mergeCell ref="K13099:L13099"/>
    <mergeCell ref="M13099:N13099"/>
    <mergeCell ref="I13100:J13100"/>
    <mergeCell ref="K13100:L13100"/>
    <mergeCell ref="M13100:N13100"/>
    <mergeCell ref="I13107:J13107"/>
    <mergeCell ref="I13108:J13108"/>
    <mergeCell ref="I13109:J13109"/>
    <mergeCell ref="M13109:N13109"/>
    <mergeCell ref="K13110:L13110"/>
    <mergeCell ref="M13110:N13110"/>
    <mergeCell ref="A13092:G13092"/>
    <mergeCell ref="I13092:J13092"/>
    <mergeCell ref="K13124:L13124"/>
    <mergeCell ref="M13124:N13124"/>
    <mergeCell ref="A13131:G13131"/>
    <mergeCell ref="I13131:J13131"/>
    <mergeCell ref="K13131:L13131"/>
    <mergeCell ref="M13131:N13131"/>
    <mergeCell ref="I13132:J13132"/>
    <mergeCell ref="K13132:L13132"/>
    <mergeCell ref="M13132:N13132"/>
    <mergeCell ref="A13132:G13132"/>
    <mergeCell ref="A13133:G13133"/>
    <mergeCell ref="I13133:J13133"/>
    <mergeCell ref="K13133:L13133"/>
    <mergeCell ref="M13133:N13133"/>
    <mergeCell ref="K13134:L13134"/>
    <mergeCell ref="M13134:N13134"/>
    <mergeCell ref="I13191:J13191"/>
    <mergeCell ref="K13191:L13191"/>
    <mergeCell ref="I13188:J13188"/>
    <mergeCell ref="I13189:J13189"/>
    <mergeCell ref="A13190:G13190"/>
    <mergeCell ref="I13190:J13190"/>
    <mergeCell ref="K13190:L13190"/>
    <mergeCell ref="M13190:N13190"/>
    <mergeCell ref="M13191:N13191"/>
    <mergeCell ref="I13179:J13179"/>
    <mergeCell ref="I13180:J13180"/>
    <mergeCell ref="K13180:L13180"/>
    <mergeCell ref="M13180:N13180"/>
    <mergeCell ref="A13177:G13177"/>
    <mergeCell ref="A13178:G13178"/>
    <mergeCell ref="I13178:J13178"/>
    <mergeCell ref="K13178:L13178"/>
    <mergeCell ref="M13178:N13178"/>
    <mergeCell ref="A13179:G13179"/>
    <mergeCell ref="A13180:G13180"/>
    <mergeCell ref="A13181:G13181"/>
    <mergeCell ref="I13181:J13181"/>
    <mergeCell ref="K13181:L13181"/>
    <mergeCell ref="M13181:N13181"/>
    <mergeCell ref="I13182:J13182"/>
    <mergeCell ref="K13182:L13182"/>
    <mergeCell ref="M13182:N13182"/>
    <mergeCell ref="A13182:G13182"/>
    <mergeCell ref="A13183:G13183"/>
    <mergeCell ref="I13183:J13183"/>
    <mergeCell ref="K13183:L13183"/>
    <mergeCell ref="M13183:N13183"/>
    <mergeCell ref="K13184:L13184"/>
    <mergeCell ref="M13184:N13184"/>
    <mergeCell ref="K13188:L13188"/>
    <mergeCell ref="M13188:N13188"/>
    <mergeCell ref="A13191:G13191"/>
    <mergeCell ref="K13189:L13189"/>
    <mergeCell ref="M13189:N13189"/>
    <mergeCell ref="A13186:N13186"/>
    <mergeCell ref="A13187:G13187"/>
    <mergeCell ref="I13187:J13187"/>
    <mergeCell ref="K13187:L13187"/>
    <mergeCell ref="M13187:N13187"/>
    <mergeCell ref="A13188:G13188"/>
    <mergeCell ref="A13189:G13189"/>
    <mergeCell ref="K13143:L13143"/>
    <mergeCell ref="M13143:N13143"/>
    <mergeCell ref="A13192:G13192"/>
    <mergeCell ref="I13192:J13192"/>
    <mergeCell ref="K13192:L13192"/>
    <mergeCell ref="M13192:N13192"/>
    <mergeCell ref="K13193:L13193"/>
    <mergeCell ref="M13193:N13193"/>
    <mergeCell ref="A13200:G13200"/>
    <mergeCell ref="A13203:N13203"/>
    <mergeCell ref="A13204:G13204"/>
    <mergeCell ref="I13204:J13204"/>
    <mergeCell ref="M13204:N13204"/>
    <mergeCell ref="I13205:J13205"/>
    <mergeCell ref="M13205:N13205"/>
    <mergeCell ref="A13205:G13205"/>
    <mergeCell ref="A13206:G13206"/>
    <mergeCell ref="I13206:J13206"/>
    <mergeCell ref="M13206:N13206"/>
    <mergeCell ref="A13207:G13207"/>
    <mergeCell ref="M13207:N13207"/>
    <mergeCell ref="M13208:N13208"/>
    <mergeCell ref="A13208:G13208"/>
    <mergeCell ref="A13209:G13209"/>
    <mergeCell ref="A13212:N13213"/>
    <mergeCell ref="A13217:N13217"/>
    <mergeCell ref="I13218:J13218"/>
    <mergeCell ref="K13218:L13218"/>
    <mergeCell ref="M13218:N13218"/>
    <mergeCell ref="A13218:G13218"/>
    <mergeCell ref="A13219:G13219"/>
    <mergeCell ref="I13219:J13219"/>
    <mergeCell ref="K13219:L13219"/>
    <mergeCell ref="M13219:N13219"/>
    <mergeCell ref="A13220:G13220"/>
    <mergeCell ref="I13220:J13220"/>
    <mergeCell ref="A13469:G13469"/>
    <mergeCell ref="A13470:G13470"/>
    <mergeCell ref="A13471:G13471"/>
    <mergeCell ref="A13472:G13472"/>
    <mergeCell ref="I13473:J13473"/>
    <mergeCell ref="I13222:J13222"/>
    <mergeCell ref="K13222:L13222"/>
    <mergeCell ref="K13220:L13220"/>
    <mergeCell ref="M13220:N13220"/>
    <mergeCell ref="A13221:G13221"/>
    <mergeCell ref="I13221:J13221"/>
    <mergeCell ref="K13221:L13221"/>
    <mergeCell ref="M13221:N13221"/>
    <mergeCell ref="M13222:N13222"/>
    <mergeCell ref="K13197:L13197"/>
    <mergeCell ref="M13197:N13197"/>
    <mergeCell ref="I13197:J13197"/>
    <mergeCell ref="I13198:J13198"/>
    <mergeCell ref="K13198:L13198"/>
    <mergeCell ref="M13198:N13198"/>
    <mergeCell ref="K13201:L13201"/>
    <mergeCell ref="M13201:N13201"/>
    <mergeCell ref="A13195:N13195"/>
    <mergeCell ref="A13196:G13196"/>
    <mergeCell ref="I13196:J13196"/>
    <mergeCell ref="K13196:L13196"/>
    <mergeCell ref="M13196:N13196"/>
    <mergeCell ref="A13197:G13197"/>
    <mergeCell ref="A13198:G13198"/>
    <mergeCell ref="A13199:G13199"/>
    <mergeCell ref="I13199:J13199"/>
    <mergeCell ref="K13199:L13199"/>
    <mergeCell ref="M13199:N13199"/>
    <mergeCell ref="I13200:J13200"/>
    <mergeCell ref="K13200:L13200"/>
    <mergeCell ref="M13200:N13200"/>
    <mergeCell ref="I13207:J13207"/>
    <mergeCell ref="I13208:J13208"/>
    <mergeCell ref="I13209:J13209"/>
    <mergeCell ref="M13209:N13209"/>
    <mergeCell ref="K13210:L13210"/>
    <mergeCell ref="M13210:N13210"/>
    <mergeCell ref="I13455:J13455"/>
    <mergeCell ref="M13455:N13455"/>
    <mergeCell ref="I13457:J13457"/>
    <mergeCell ref="I13458:J13458"/>
    <mergeCell ref="I13459:J13459"/>
    <mergeCell ref="M13459:N13459"/>
    <mergeCell ref="K13460:L13460"/>
    <mergeCell ref="M13460:N13460"/>
    <mergeCell ref="A13458:G13458"/>
    <mergeCell ref="A13459:G13459"/>
    <mergeCell ref="A13455:G13455"/>
    <mergeCell ref="A13456:G13456"/>
    <mergeCell ref="I13456:J13456"/>
    <mergeCell ref="M13456:N13456"/>
    <mergeCell ref="A13457:G13457"/>
    <mergeCell ref="M13457:N13457"/>
    <mergeCell ref="M13458:N13458"/>
    <mergeCell ref="A13462:N13463"/>
    <mergeCell ref="A13467:N13467"/>
    <mergeCell ref="A13468:G13468"/>
    <mergeCell ref="I13468:J13468"/>
    <mergeCell ref="K13468:L13468"/>
    <mergeCell ref="I13547:J13547"/>
    <mergeCell ref="I13548:J13548"/>
    <mergeCell ref="A13549:G13549"/>
    <mergeCell ref="I13549:J13549"/>
    <mergeCell ref="K13549:L13549"/>
    <mergeCell ref="M13549:N13549"/>
    <mergeCell ref="M13550:N13550"/>
    <mergeCell ref="A13550:G13550"/>
    <mergeCell ref="A13553:N13553"/>
    <mergeCell ref="A13554:G13554"/>
    <mergeCell ref="I13554:J13554"/>
    <mergeCell ref="M13554:N13554"/>
    <mergeCell ref="I13555:J13555"/>
    <mergeCell ref="M13555:N13555"/>
    <mergeCell ref="I13557:J13557"/>
    <mergeCell ref="I13558:J13558"/>
    <mergeCell ref="I13559:J13559"/>
    <mergeCell ref="M13559:N13559"/>
    <mergeCell ref="A13522:G13522"/>
    <mergeCell ref="A13523:G13523"/>
    <mergeCell ref="I13523:J13523"/>
    <mergeCell ref="K13523:L13523"/>
    <mergeCell ref="M13523:N13523"/>
    <mergeCell ref="A13540:G13540"/>
    <mergeCell ref="I13540:J13540"/>
    <mergeCell ref="K13540:L13540"/>
    <mergeCell ref="M13540:N13540"/>
    <mergeCell ref="I13541:J13541"/>
    <mergeCell ref="K13541:L13541"/>
    <mergeCell ref="M13541:N13541"/>
    <mergeCell ref="A13541:G13541"/>
    <mergeCell ref="A13542:G13542"/>
    <mergeCell ref="I13542:J13542"/>
    <mergeCell ref="K13542:L13542"/>
    <mergeCell ref="M13542:N13542"/>
    <mergeCell ref="K13543:L13543"/>
    <mergeCell ref="M13543:N13543"/>
    <mergeCell ref="K13547:L13547"/>
    <mergeCell ref="M13547:N13547"/>
    <mergeCell ref="I13550:J13550"/>
    <mergeCell ref="K13550:L13550"/>
    <mergeCell ref="K13551:L13551"/>
    <mergeCell ref="M13551:N13551"/>
    <mergeCell ref="K13524:L13524"/>
    <mergeCell ref="M13524:N13524"/>
    <mergeCell ref="A13531:G13531"/>
    <mergeCell ref="I13531:J13531"/>
    <mergeCell ref="K13531:L13531"/>
    <mergeCell ref="M13531:N13531"/>
    <mergeCell ref="I13532:J13532"/>
    <mergeCell ref="K13532:L13532"/>
    <mergeCell ref="M13532:N13532"/>
    <mergeCell ref="A13532:G13532"/>
    <mergeCell ref="A13533:G13533"/>
    <mergeCell ref="I13533:J13533"/>
    <mergeCell ref="K13533:L13533"/>
    <mergeCell ref="M13533:N13533"/>
    <mergeCell ref="K13534:L13534"/>
    <mergeCell ref="M13534:N13534"/>
    <mergeCell ref="I13522:J13522"/>
    <mergeCell ref="K13522:L13522"/>
    <mergeCell ref="K13560:L13560"/>
    <mergeCell ref="M13560:N13560"/>
    <mergeCell ref="A13558:G13558"/>
    <mergeCell ref="A13559:G13559"/>
    <mergeCell ref="A13555:G13555"/>
    <mergeCell ref="A13556:G13556"/>
    <mergeCell ref="I13556:J13556"/>
    <mergeCell ref="M13556:N13556"/>
    <mergeCell ref="A13557:G13557"/>
    <mergeCell ref="M13557:N13557"/>
    <mergeCell ref="M13558:N13558"/>
    <mergeCell ref="A13562:N13563"/>
    <mergeCell ref="A13567:N13567"/>
    <mergeCell ref="A13568:G13568"/>
    <mergeCell ref="I13568:J13568"/>
    <mergeCell ref="K13568:L13568"/>
    <mergeCell ref="M13568:N13568"/>
    <mergeCell ref="M13569:N13569"/>
    <mergeCell ref="K13579:L13579"/>
    <mergeCell ref="M13579:N13579"/>
    <mergeCell ref="I13579:J13579"/>
    <mergeCell ref="I13580:J13580"/>
    <mergeCell ref="K13580:L13580"/>
    <mergeCell ref="M13580:N13580"/>
    <mergeCell ref="K13575:L13575"/>
    <mergeCell ref="M13575:N13575"/>
    <mergeCell ref="K13576:L13576"/>
    <mergeCell ref="M13576:N13576"/>
    <mergeCell ref="A13578:N13578"/>
    <mergeCell ref="A13579:G13579"/>
    <mergeCell ref="A13580:G13580"/>
    <mergeCell ref="A13581:G13581"/>
    <mergeCell ref="I13581:J13581"/>
    <mergeCell ref="K13581:L13581"/>
    <mergeCell ref="M13581:N13581"/>
    <mergeCell ref="I13571:J13571"/>
    <mergeCell ref="I13572:J13572"/>
    <mergeCell ref="K13572:L13572"/>
    <mergeCell ref="M13572:N13572"/>
    <mergeCell ref="I13569:J13569"/>
    <mergeCell ref="K13569:L13569"/>
    <mergeCell ref="I13570:J13570"/>
    <mergeCell ref="K13570:L13570"/>
    <mergeCell ref="M13570:N13570"/>
    <mergeCell ref="K13571:L13571"/>
    <mergeCell ref="M13571:N13571"/>
    <mergeCell ref="A13569:G13569"/>
    <mergeCell ref="A13570:G13570"/>
    <mergeCell ref="A13571:G13571"/>
    <mergeCell ref="A13572:G13572"/>
    <mergeCell ref="I13573:J13573"/>
    <mergeCell ref="K13573:L13573"/>
    <mergeCell ref="M13573:N13573"/>
    <mergeCell ref="A13573:G13573"/>
    <mergeCell ref="A13574:G13574"/>
    <mergeCell ref="I13574:J13574"/>
    <mergeCell ref="K13574:L13574"/>
    <mergeCell ref="M13574:N13574"/>
    <mergeCell ref="A13575:G13575"/>
    <mergeCell ref="I13575:J13575"/>
    <mergeCell ref="I13582:J13582"/>
    <mergeCell ref="K13582:L13582"/>
    <mergeCell ref="M13582:N13582"/>
    <mergeCell ref="K13584:L13584"/>
    <mergeCell ref="M13584:N13584"/>
    <mergeCell ref="K13585:L13585"/>
    <mergeCell ref="M13585:N13585"/>
    <mergeCell ref="A13582:G13582"/>
    <mergeCell ref="A13583:G13583"/>
    <mergeCell ref="I13583:J13583"/>
    <mergeCell ref="K13583:L13583"/>
    <mergeCell ref="M13583:N13583"/>
    <mergeCell ref="A13584:G13584"/>
    <mergeCell ref="I13584:J13584"/>
    <mergeCell ref="K13589:L13589"/>
    <mergeCell ref="M13589:N13589"/>
    <mergeCell ref="A13526:G13526"/>
    <mergeCell ref="I13526:J13526"/>
    <mergeCell ref="K13526:L13526"/>
    <mergeCell ref="M13526:N13526"/>
    <mergeCell ref="I13527:J13527"/>
    <mergeCell ref="K13527:L13527"/>
    <mergeCell ref="M13527:N13527"/>
    <mergeCell ref="A13527:G13527"/>
    <mergeCell ref="A13528:G13528"/>
    <mergeCell ref="I13528:J13528"/>
    <mergeCell ref="K13528:L13528"/>
    <mergeCell ref="M13528:N13528"/>
    <mergeCell ref="A13529:G13529"/>
    <mergeCell ref="A13530:G13530"/>
    <mergeCell ref="I13524:J13524"/>
    <mergeCell ref="I13525:J13525"/>
    <mergeCell ref="K13525:L13525"/>
    <mergeCell ref="M13525:N13525"/>
    <mergeCell ref="A13524:G13524"/>
    <mergeCell ref="A13525:G13525"/>
    <mergeCell ref="K13529:L13529"/>
    <mergeCell ref="M13529:N13529"/>
    <mergeCell ref="I13529:J13529"/>
    <mergeCell ref="I13530:J13530"/>
    <mergeCell ref="K13530:L13530"/>
    <mergeCell ref="M13530:N13530"/>
    <mergeCell ref="K13538:L13538"/>
    <mergeCell ref="M13538:N13538"/>
    <mergeCell ref="K13548:L13548"/>
    <mergeCell ref="M13548:N13548"/>
    <mergeCell ref="A13545:N13545"/>
    <mergeCell ref="A13546:G13546"/>
    <mergeCell ref="I13546:J13546"/>
    <mergeCell ref="K13546:L13546"/>
    <mergeCell ref="M13546:N13546"/>
    <mergeCell ref="A13547:G13547"/>
    <mergeCell ref="A13548:G13548"/>
    <mergeCell ref="I13538:J13538"/>
    <mergeCell ref="I13539:J13539"/>
    <mergeCell ref="K13539:L13539"/>
    <mergeCell ref="M13539:N13539"/>
    <mergeCell ref="A13536:N13536"/>
    <mergeCell ref="A13537:G13537"/>
    <mergeCell ref="I13537:J13537"/>
    <mergeCell ref="K13537:L13537"/>
    <mergeCell ref="M13537:N13537"/>
    <mergeCell ref="A13538:G13538"/>
    <mergeCell ref="A13539:G13539"/>
    <mergeCell ref="M13602:N13602"/>
    <mergeCell ref="K13603:L13603"/>
    <mergeCell ref="M13603:N13603"/>
    <mergeCell ref="I13598:J13598"/>
    <mergeCell ref="I13599:J13599"/>
    <mergeCell ref="I13600:J13600"/>
    <mergeCell ref="M13600:N13600"/>
    <mergeCell ref="I13601:J13601"/>
    <mergeCell ref="M13601:N13601"/>
    <mergeCell ref="I13602:J13602"/>
    <mergeCell ref="A13656:G13656"/>
    <mergeCell ref="I13656:J13656"/>
    <mergeCell ref="K13656:L13656"/>
    <mergeCell ref="M13656:N13656"/>
    <mergeCell ref="I13657:J13657"/>
    <mergeCell ref="K13657:L13657"/>
    <mergeCell ref="M13657:N13657"/>
    <mergeCell ref="A13657:G13657"/>
    <mergeCell ref="A13658:G13658"/>
    <mergeCell ref="I13658:J13658"/>
    <mergeCell ref="K13658:L13658"/>
    <mergeCell ref="M13658:N13658"/>
    <mergeCell ref="A13659:G13659"/>
    <mergeCell ref="A13660:G13660"/>
    <mergeCell ref="A13642:G13642"/>
    <mergeCell ref="A13643:G13643"/>
    <mergeCell ref="I13643:J13643"/>
    <mergeCell ref="M13643:N13643"/>
    <mergeCell ref="A13644:G13644"/>
    <mergeCell ref="M13644:N13644"/>
    <mergeCell ref="M13645:N13645"/>
    <mergeCell ref="I13654:J13654"/>
    <mergeCell ref="I13655:J13655"/>
    <mergeCell ref="K13655:L13655"/>
    <mergeCell ref="M13655:N13655"/>
    <mergeCell ref="A13645:G13645"/>
    <mergeCell ref="A13648:N13649"/>
    <mergeCell ref="A13653:N13653"/>
    <mergeCell ref="A13654:G13654"/>
    <mergeCell ref="K13654:L13654"/>
    <mergeCell ref="M13654:N13654"/>
    <mergeCell ref="A13655:G13655"/>
    <mergeCell ref="K13659:L13659"/>
    <mergeCell ref="M13659:N13659"/>
    <mergeCell ref="I13659:J13659"/>
    <mergeCell ref="I13660:J13660"/>
    <mergeCell ref="A13627:G13627"/>
    <mergeCell ref="I13627:J13627"/>
    <mergeCell ref="I13641:J13641"/>
    <mergeCell ref="I13642:J13642"/>
    <mergeCell ref="A13639:N13639"/>
    <mergeCell ref="A13640:G13640"/>
    <mergeCell ref="I13640:J13640"/>
    <mergeCell ref="M13640:N13640"/>
    <mergeCell ref="A13641:G13641"/>
    <mergeCell ref="M13641:N13641"/>
    <mergeCell ref="M13642:N13642"/>
    <mergeCell ref="K13632:L13632"/>
    <mergeCell ref="M13632:N13632"/>
    <mergeCell ref="I13632:J13632"/>
    <mergeCell ref="I13633:J13633"/>
    <mergeCell ref="K13633:L13633"/>
    <mergeCell ref="M13633:N13633"/>
    <mergeCell ref="A13630:N13630"/>
    <mergeCell ref="I13614:J13614"/>
    <mergeCell ref="K13614:L13614"/>
    <mergeCell ref="M13614:N13614"/>
    <mergeCell ref="I13615:J13615"/>
    <mergeCell ref="K13615:L13615"/>
    <mergeCell ref="M13615:N13615"/>
    <mergeCell ref="K13622:L13622"/>
    <mergeCell ref="M13622:N13622"/>
    <mergeCell ref="I13622:J13622"/>
    <mergeCell ref="I13623:J13623"/>
    <mergeCell ref="K13623:L13623"/>
    <mergeCell ref="M13623:N13623"/>
    <mergeCell ref="K13619:L13619"/>
    <mergeCell ref="M13619:N13619"/>
    <mergeCell ref="A13621:N13621"/>
    <mergeCell ref="A13622:G13622"/>
    <mergeCell ref="A13623:G13623"/>
    <mergeCell ref="A13624:G13624"/>
    <mergeCell ref="I13624:J13624"/>
    <mergeCell ref="K13624:L13624"/>
    <mergeCell ref="M13624:N13624"/>
    <mergeCell ref="I13625:J13625"/>
    <mergeCell ref="K13625:L13625"/>
    <mergeCell ref="M13625:N13625"/>
    <mergeCell ref="K13627:L13627"/>
    <mergeCell ref="M13627:N13627"/>
    <mergeCell ref="K13628:L13628"/>
    <mergeCell ref="M13628:N13628"/>
    <mergeCell ref="A13625:G13625"/>
    <mergeCell ref="A13626:G13626"/>
    <mergeCell ref="I13626:J13626"/>
    <mergeCell ref="K13626:L13626"/>
    <mergeCell ref="M13626:N13626"/>
    <mergeCell ref="I13589:J13589"/>
    <mergeCell ref="I13590:J13590"/>
    <mergeCell ref="K13590:L13590"/>
    <mergeCell ref="M13590:N13590"/>
    <mergeCell ref="A13587:N13587"/>
    <mergeCell ref="A13588:G13588"/>
    <mergeCell ref="I13588:J13588"/>
    <mergeCell ref="K13588:L13588"/>
    <mergeCell ref="M13588:N13588"/>
    <mergeCell ref="A13589:G13589"/>
    <mergeCell ref="A13590:G13590"/>
    <mergeCell ref="A13591:G13591"/>
    <mergeCell ref="I13591:J13591"/>
    <mergeCell ref="K13591:L13591"/>
    <mergeCell ref="M13591:N13591"/>
    <mergeCell ref="I13592:J13592"/>
    <mergeCell ref="K13592:L13592"/>
    <mergeCell ref="M13592:N13592"/>
    <mergeCell ref="A13592:G13592"/>
    <mergeCell ref="A13593:G13593"/>
    <mergeCell ref="I13593:J13593"/>
    <mergeCell ref="K13593:L13593"/>
    <mergeCell ref="M13593:N13593"/>
    <mergeCell ref="K13594:L13594"/>
    <mergeCell ref="M13594:N13594"/>
    <mergeCell ref="A13611:G13611"/>
    <mergeCell ref="A13612:G13612"/>
    <mergeCell ref="A13613:G13613"/>
    <mergeCell ref="A13614:G13614"/>
    <mergeCell ref="A13615:G13615"/>
    <mergeCell ref="A13616:G13616"/>
    <mergeCell ref="A13617:G13617"/>
    <mergeCell ref="A13618:G13618"/>
    <mergeCell ref="I13616:J13616"/>
    <mergeCell ref="K13616:L13616"/>
    <mergeCell ref="M13616:N13616"/>
    <mergeCell ref="I13617:J13617"/>
    <mergeCell ref="K13617:L13617"/>
    <mergeCell ref="M13617:N13617"/>
    <mergeCell ref="I13618:J13618"/>
    <mergeCell ref="K13618:L13618"/>
    <mergeCell ref="M13618:N13618"/>
    <mergeCell ref="A13596:N13596"/>
    <mergeCell ref="A13597:G13597"/>
    <mergeCell ref="I13597:J13597"/>
    <mergeCell ref="M13597:N13597"/>
    <mergeCell ref="A13598:G13598"/>
    <mergeCell ref="M13598:N13598"/>
    <mergeCell ref="M13599:N13599"/>
    <mergeCell ref="A13599:G13599"/>
    <mergeCell ref="A13600:G13600"/>
    <mergeCell ref="A13601:G13601"/>
    <mergeCell ref="A13602:G13602"/>
    <mergeCell ref="A13605:N13606"/>
    <mergeCell ref="A13610:N13610"/>
    <mergeCell ref="M13611:N13611"/>
    <mergeCell ref="I13611:J13611"/>
    <mergeCell ref="K13611:L13611"/>
    <mergeCell ref="I13612:J13612"/>
    <mergeCell ref="K13612:L13612"/>
    <mergeCell ref="M13612:N13612"/>
    <mergeCell ref="K13613:L13613"/>
    <mergeCell ref="M13613:N13613"/>
    <mergeCell ref="I13613:J13613"/>
    <mergeCell ref="A13631:G13631"/>
    <mergeCell ref="I13631:J13631"/>
    <mergeCell ref="K13631:L13631"/>
    <mergeCell ref="M13631:N13631"/>
    <mergeCell ref="A13632:G13632"/>
    <mergeCell ref="A13633:G13633"/>
    <mergeCell ref="A13634:G13634"/>
    <mergeCell ref="I13634:J13634"/>
    <mergeCell ref="K13634:L13634"/>
    <mergeCell ref="M13634:N13634"/>
    <mergeCell ref="I13635:J13635"/>
    <mergeCell ref="K13635:L13635"/>
    <mergeCell ref="M13635:N13635"/>
    <mergeCell ref="A13635:G13635"/>
    <mergeCell ref="A13636:G13636"/>
    <mergeCell ref="I13636:J13636"/>
    <mergeCell ref="K13636:L13636"/>
    <mergeCell ref="M13636:N13636"/>
    <mergeCell ref="K13637:L13637"/>
    <mergeCell ref="M13637:N13637"/>
    <mergeCell ref="I13644:J13644"/>
    <mergeCell ref="I13645:J13645"/>
    <mergeCell ref="K13646:L13646"/>
    <mergeCell ref="M13646:N13646"/>
    <mergeCell ref="I13677:J13677"/>
    <mergeCell ref="K13677:L13677"/>
    <mergeCell ref="I13674:J13674"/>
    <mergeCell ref="I13675:J13675"/>
    <mergeCell ref="A13676:G13676"/>
    <mergeCell ref="I13676:J13676"/>
    <mergeCell ref="K13676:L13676"/>
    <mergeCell ref="M13676:N13676"/>
    <mergeCell ref="M13677:N13677"/>
    <mergeCell ref="K13675:L13675"/>
    <mergeCell ref="M13675:N13675"/>
    <mergeCell ref="A13670:G13670"/>
    <mergeCell ref="I13670:J13670"/>
    <mergeCell ref="K13670:L13670"/>
    <mergeCell ref="M13670:N13670"/>
    <mergeCell ref="A13673:N13673"/>
    <mergeCell ref="A13674:G13674"/>
    <mergeCell ref="A13675:G13675"/>
    <mergeCell ref="K13662:L13662"/>
    <mergeCell ref="M13662:N13662"/>
    <mergeCell ref="K13660:L13660"/>
    <mergeCell ref="M13660:N13660"/>
    <mergeCell ref="A13661:G13661"/>
    <mergeCell ref="I13661:J13661"/>
    <mergeCell ref="K13661:L13661"/>
    <mergeCell ref="M13661:N13661"/>
    <mergeCell ref="A13664:N13664"/>
    <mergeCell ref="I13707:J13707"/>
    <mergeCell ref="I13708:J13708"/>
    <mergeCell ref="K13708:L13708"/>
    <mergeCell ref="M13708:N13708"/>
    <mergeCell ref="K13703:L13703"/>
    <mergeCell ref="M13703:N13703"/>
    <mergeCell ref="K13704:L13704"/>
    <mergeCell ref="M13704:N13704"/>
    <mergeCell ref="A13706:N13706"/>
    <mergeCell ref="A13707:G13707"/>
    <mergeCell ref="A13708:G13708"/>
    <mergeCell ref="A13709:G13709"/>
    <mergeCell ref="I13709:J13709"/>
    <mergeCell ref="K13709:L13709"/>
    <mergeCell ref="M13709:N13709"/>
    <mergeCell ref="I13710:J13710"/>
    <mergeCell ref="K13710:L13710"/>
    <mergeCell ref="M13710:N13710"/>
    <mergeCell ref="K13712:L13712"/>
    <mergeCell ref="M13712:N13712"/>
    <mergeCell ref="K13713:L13713"/>
    <mergeCell ref="M13713:N13713"/>
    <mergeCell ref="A13710:G13710"/>
    <mergeCell ref="A13711:G13711"/>
    <mergeCell ref="I13711:J13711"/>
    <mergeCell ref="K13711:L13711"/>
    <mergeCell ref="M13711:N13711"/>
    <mergeCell ref="A13712:G13712"/>
    <mergeCell ref="I13712:J13712"/>
    <mergeCell ref="K13717:L13717"/>
    <mergeCell ref="M13717:N13717"/>
    <mergeCell ref="I13717:J13717"/>
    <mergeCell ref="I13718:J13718"/>
    <mergeCell ref="K13718:L13718"/>
    <mergeCell ref="M13718:N13718"/>
    <mergeCell ref="A13715:N13715"/>
    <mergeCell ref="A13716:G13716"/>
    <mergeCell ref="I13716:J13716"/>
    <mergeCell ref="K13716:L13716"/>
    <mergeCell ref="M13716:N13716"/>
    <mergeCell ref="A13717:G13717"/>
    <mergeCell ref="A13718:G13718"/>
    <mergeCell ref="K13707:L13707"/>
    <mergeCell ref="M13707:N13707"/>
    <mergeCell ref="A13719:G13719"/>
    <mergeCell ref="I13719:J13719"/>
    <mergeCell ref="K13719:L13719"/>
    <mergeCell ref="M13719:N13719"/>
    <mergeCell ref="I13720:J13720"/>
    <mergeCell ref="K13720:L13720"/>
    <mergeCell ref="M13720:N13720"/>
    <mergeCell ref="A13720:G13720"/>
    <mergeCell ref="A13721:G13721"/>
    <mergeCell ref="I13721:J13721"/>
    <mergeCell ref="K13721:L13721"/>
    <mergeCell ref="M13721:N13721"/>
    <mergeCell ref="K13722:L13722"/>
    <mergeCell ref="M13722:N13722"/>
    <mergeCell ref="A13727:G13727"/>
    <mergeCell ref="A13728:G13728"/>
    <mergeCell ref="A13729:G13729"/>
    <mergeCell ref="A13730:G13730"/>
    <mergeCell ref="A13724:N13724"/>
    <mergeCell ref="A13725:G13725"/>
    <mergeCell ref="I13725:J13725"/>
    <mergeCell ref="M13725:N13725"/>
    <mergeCell ref="A13726:G13726"/>
    <mergeCell ref="M13726:N13726"/>
    <mergeCell ref="M13727:N13727"/>
    <mergeCell ref="I13726:J13726"/>
    <mergeCell ref="I13727:J13727"/>
    <mergeCell ref="I13728:J13728"/>
    <mergeCell ref="M13728:N13728"/>
    <mergeCell ref="I13729:J13729"/>
    <mergeCell ref="M13729:N13729"/>
    <mergeCell ref="I13730:J13730"/>
    <mergeCell ref="K13739:L13739"/>
    <mergeCell ref="M13739:N13739"/>
    <mergeCell ref="I13739:J13739"/>
    <mergeCell ref="I13740:J13740"/>
    <mergeCell ref="K13740:L13740"/>
    <mergeCell ref="M13740:N13740"/>
    <mergeCell ref="M13730:N13730"/>
    <mergeCell ref="K13731:L13731"/>
    <mergeCell ref="M13731:N13731"/>
    <mergeCell ref="A13733:N13734"/>
    <mergeCell ref="A13738:N13738"/>
    <mergeCell ref="A13739:G13739"/>
    <mergeCell ref="A13740:G13740"/>
    <mergeCell ref="K13744:L13744"/>
    <mergeCell ref="M13744:N13744"/>
    <mergeCell ref="K13749:L13749"/>
    <mergeCell ref="M13749:N13749"/>
    <mergeCell ref="I13749:J13749"/>
    <mergeCell ref="I13750:J13750"/>
    <mergeCell ref="K13750:L13750"/>
    <mergeCell ref="M13750:N13750"/>
    <mergeCell ref="I13744:J13744"/>
    <mergeCell ref="I13745:J13745"/>
    <mergeCell ref="K13746:L13746"/>
    <mergeCell ref="M13746:N13746"/>
    <mergeCell ref="A13748:N13748"/>
    <mergeCell ref="A13749:G13749"/>
    <mergeCell ref="A13750:G13750"/>
    <mergeCell ref="A13751:G13751"/>
    <mergeCell ref="I13751:J13751"/>
    <mergeCell ref="K13751:L13751"/>
    <mergeCell ref="M13751:N13751"/>
    <mergeCell ref="I13752:J13752"/>
    <mergeCell ref="K13752:L13752"/>
    <mergeCell ref="M13752:N13752"/>
    <mergeCell ref="K13754:L13754"/>
    <mergeCell ref="M13754:N13754"/>
    <mergeCell ref="A13741:G13741"/>
    <mergeCell ref="I13741:J13741"/>
    <mergeCell ref="K13741:L13741"/>
    <mergeCell ref="M13741:N13741"/>
    <mergeCell ref="I13742:J13742"/>
    <mergeCell ref="K13742:L13742"/>
    <mergeCell ref="M13742:N13742"/>
    <mergeCell ref="K13745:L13745"/>
    <mergeCell ref="M13745:N13745"/>
    <mergeCell ref="A13742:G13742"/>
    <mergeCell ref="A13743:G13743"/>
    <mergeCell ref="I13743:J13743"/>
    <mergeCell ref="K13743:L13743"/>
    <mergeCell ref="M13743:N13743"/>
    <mergeCell ref="A13744:G13744"/>
    <mergeCell ref="A13745:G13745"/>
    <mergeCell ref="K13755:L13755"/>
    <mergeCell ref="M13755:N13755"/>
    <mergeCell ref="A13752:G13752"/>
    <mergeCell ref="A13753:G13753"/>
    <mergeCell ref="I13753:J13753"/>
    <mergeCell ref="K13753:L13753"/>
    <mergeCell ref="M13753:N13753"/>
    <mergeCell ref="A13754:G13754"/>
    <mergeCell ref="I13754:J13754"/>
    <mergeCell ref="K13759:L13759"/>
    <mergeCell ref="M13759:N13759"/>
    <mergeCell ref="M13772:N13772"/>
    <mergeCell ref="K13773:L13773"/>
    <mergeCell ref="M13773:N13773"/>
    <mergeCell ref="I13768:J13768"/>
    <mergeCell ref="I13769:J13769"/>
    <mergeCell ref="I13770:J13770"/>
    <mergeCell ref="M13770:N13770"/>
    <mergeCell ref="I13771:J13771"/>
    <mergeCell ref="M13771:N13771"/>
    <mergeCell ref="I13772:J13772"/>
    <mergeCell ref="A13766:N13766"/>
    <mergeCell ref="A13767:G13767"/>
    <mergeCell ref="I13767:J13767"/>
    <mergeCell ref="M13767:N13767"/>
    <mergeCell ref="A13768:G13768"/>
    <mergeCell ref="M13768:N13768"/>
    <mergeCell ref="M13769:N13769"/>
    <mergeCell ref="A13769:G13769"/>
    <mergeCell ref="A13770:G13770"/>
    <mergeCell ref="A13771:G13771"/>
    <mergeCell ref="A13772:G13772"/>
    <mergeCell ref="A13775:N13776"/>
    <mergeCell ref="A13780:N13780"/>
    <mergeCell ref="M13781:N13781"/>
    <mergeCell ref="I13781:J13781"/>
    <mergeCell ref="K13781:L13781"/>
    <mergeCell ref="I13782:J13782"/>
    <mergeCell ref="K13782:L13782"/>
    <mergeCell ref="M13782:N13782"/>
    <mergeCell ref="K13783:L13783"/>
    <mergeCell ref="M13783:N13783"/>
    <mergeCell ref="I13783:J13783"/>
    <mergeCell ref="I13784:J13784"/>
    <mergeCell ref="K13784:L13784"/>
    <mergeCell ref="M13784:N13784"/>
    <mergeCell ref="I13785:J13785"/>
    <mergeCell ref="K13785:L13785"/>
    <mergeCell ref="M13785:N13785"/>
    <mergeCell ref="I13759:J13759"/>
    <mergeCell ref="I13760:J13760"/>
    <mergeCell ref="K13760:L13760"/>
    <mergeCell ref="M13760:N13760"/>
    <mergeCell ref="A13757:N13757"/>
    <mergeCell ref="A13758:G13758"/>
    <mergeCell ref="I13758:J13758"/>
    <mergeCell ref="K13758:L13758"/>
    <mergeCell ref="M13758:N13758"/>
    <mergeCell ref="A13759:G13759"/>
    <mergeCell ref="A13760:G13760"/>
    <mergeCell ref="A13761:G13761"/>
    <mergeCell ref="I13761:J13761"/>
    <mergeCell ref="K13761:L13761"/>
    <mergeCell ref="M13761:N13761"/>
    <mergeCell ref="I13762:J13762"/>
    <mergeCell ref="K13762:L13762"/>
    <mergeCell ref="M13762:N13762"/>
    <mergeCell ref="A13762:G13762"/>
    <mergeCell ref="A13763:G13763"/>
    <mergeCell ref="I13763:J13763"/>
    <mergeCell ref="K13763:L13763"/>
    <mergeCell ref="M13763:N13763"/>
    <mergeCell ref="K13764:L13764"/>
    <mergeCell ref="M13764:N13764"/>
    <mergeCell ref="A13781:G13781"/>
    <mergeCell ref="A13782:G13782"/>
    <mergeCell ref="A13783:G13783"/>
    <mergeCell ref="A13784:G13784"/>
    <mergeCell ref="A13785:G13785"/>
    <mergeCell ref="A13786:G13786"/>
    <mergeCell ref="A13787:G13787"/>
    <mergeCell ref="I13786:J13786"/>
    <mergeCell ref="K13786:L13786"/>
    <mergeCell ref="M13786:N13786"/>
    <mergeCell ref="I13787:J13787"/>
    <mergeCell ref="K13787:L13787"/>
    <mergeCell ref="M13787:N13787"/>
    <mergeCell ref="K13788:L13788"/>
    <mergeCell ref="A13802:G13802"/>
    <mergeCell ref="I13802:J13802"/>
    <mergeCell ref="K13802:L13802"/>
    <mergeCell ref="M13802:N13802"/>
    <mergeCell ref="I13803:J13803"/>
    <mergeCell ref="K13803:L13803"/>
    <mergeCell ref="M13803:N13803"/>
    <mergeCell ref="K13805:L13805"/>
    <mergeCell ref="M13805:N13805"/>
    <mergeCell ref="K13806:L13806"/>
    <mergeCell ref="M13806:N13806"/>
    <mergeCell ref="A13803:G13803"/>
    <mergeCell ref="A13804:G13804"/>
    <mergeCell ref="I13804:J13804"/>
    <mergeCell ref="K13804:L13804"/>
    <mergeCell ref="M13804:N13804"/>
    <mergeCell ref="A13805:G13805"/>
    <mergeCell ref="I13805:J13805"/>
    <mergeCell ref="A13811:G13811"/>
    <mergeCell ref="A13812:G13812"/>
    <mergeCell ref="A13813:G13813"/>
    <mergeCell ref="A13814:G13814"/>
    <mergeCell ref="A13808:N13808"/>
    <mergeCell ref="A13809:G13809"/>
    <mergeCell ref="I13809:J13809"/>
    <mergeCell ref="M13809:N13809"/>
    <mergeCell ref="A13810:G13810"/>
    <mergeCell ref="M13810:N13810"/>
    <mergeCell ref="M13811:N13811"/>
    <mergeCell ref="M13814:N13814"/>
    <mergeCell ref="K13815:L13815"/>
    <mergeCell ref="M13815:N13815"/>
    <mergeCell ref="I13810:J13810"/>
    <mergeCell ref="I13811:J13811"/>
    <mergeCell ref="I13812:J13812"/>
    <mergeCell ref="M13812:N13812"/>
    <mergeCell ref="I13813:J13813"/>
    <mergeCell ref="M13813:N13813"/>
    <mergeCell ref="I13814:J13814"/>
    <mergeCell ref="A13792:G13792"/>
    <mergeCell ref="A13793:G13793"/>
    <mergeCell ref="A13794:G13794"/>
    <mergeCell ref="A13795:G13795"/>
    <mergeCell ref="A13796:G13796"/>
    <mergeCell ref="M13788:N13788"/>
    <mergeCell ref="A13790:N13790"/>
    <mergeCell ref="A13791:G13791"/>
    <mergeCell ref="I13791:J13791"/>
    <mergeCell ref="K13791:L13791"/>
    <mergeCell ref="M13791:N13791"/>
    <mergeCell ref="M13792:N13792"/>
    <mergeCell ref="I13792:J13792"/>
    <mergeCell ref="K13792:L13792"/>
    <mergeCell ref="I13793:J13793"/>
    <mergeCell ref="K13793:L13793"/>
    <mergeCell ref="M13793:N13793"/>
    <mergeCell ref="K13794:L13794"/>
    <mergeCell ref="M13794:N13794"/>
    <mergeCell ref="I13794:J13794"/>
    <mergeCell ref="I13795:J13795"/>
    <mergeCell ref="K13795:L13795"/>
    <mergeCell ref="M13795:N13795"/>
    <mergeCell ref="I13796:J13796"/>
    <mergeCell ref="K13796:L13796"/>
    <mergeCell ref="M13796:N13796"/>
    <mergeCell ref="I13800:J13800"/>
    <mergeCell ref="I13801:J13801"/>
    <mergeCell ref="K13801:L13801"/>
    <mergeCell ref="M13801:N13801"/>
    <mergeCell ref="K13797:L13797"/>
    <mergeCell ref="M13797:N13797"/>
    <mergeCell ref="A13799:N13799"/>
    <mergeCell ref="A13800:G13800"/>
    <mergeCell ref="K13800:L13800"/>
    <mergeCell ref="M13800:N13800"/>
    <mergeCell ref="A13801:G13801"/>
    <mergeCell ref="K13679:L13679"/>
    <mergeCell ref="M13679:N13679"/>
    <mergeCell ref="K13680:L13680"/>
    <mergeCell ref="M13680:N13680"/>
    <mergeCell ref="A13677:G13677"/>
    <mergeCell ref="A13678:G13678"/>
    <mergeCell ref="I13678:J13678"/>
    <mergeCell ref="K13678:L13678"/>
    <mergeCell ref="M13678:N13678"/>
    <mergeCell ref="A13679:G13679"/>
    <mergeCell ref="I13679:J13679"/>
    <mergeCell ref="I13684:J13684"/>
    <mergeCell ref="I13685:J13685"/>
    <mergeCell ref="A13682:N13682"/>
    <mergeCell ref="A13683:G13683"/>
    <mergeCell ref="I13683:J13683"/>
    <mergeCell ref="M13683:N13683"/>
    <mergeCell ref="A13684:G13684"/>
    <mergeCell ref="M13684:N13684"/>
    <mergeCell ref="M13685:N13685"/>
    <mergeCell ref="A13665:G13665"/>
    <mergeCell ref="I13665:J13665"/>
    <mergeCell ref="K13665:L13665"/>
    <mergeCell ref="M13665:N13665"/>
    <mergeCell ref="I13666:J13666"/>
    <mergeCell ref="K13666:L13666"/>
    <mergeCell ref="M13666:N13666"/>
    <mergeCell ref="K13668:L13668"/>
    <mergeCell ref="M13668:N13668"/>
    <mergeCell ref="I13668:J13668"/>
    <mergeCell ref="I13669:J13669"/>
    <mergeCell ref="K13669:L13669"/>
    <mergeCell ref="M13669:N13669"/>
    <mergeCell ref="K13671:L13671"/>
    <mergeCell ref="M13671:N13671"/>
    <mergeCell ref="A13666:G13666"/>
    <mergeCell ref="A13667:G13667"/>
    <mergeCell ref="I13667:J13667"/>
    <mergeCell ref="K13667:L13667"/>
    <mergeCell ref="M13667:N13667"/>
    <mergeCell ref="A13668:G13668"/>
    <mergeCell ref="A13669:G13669"/>
    <mergeCell ref="K13674:L13674"/>
    <mergeCell ref="M13674:N13674"/>
    <mergeCell ref="I13687:J13687"/>
    <mergeCell ref="I13688:J13688"/>
    <mergeCell ref="K13689:L13689"/>
    <mergeCell ref="M13689:N13689"/>
    <mergeCell ref="A13699:G13699"/>
    <mergeCell ref="I13699:J13699"/>
    <mergeCell ref="K13699:L13699"/>
    <mergeCell ref="M13699:N13699"/>
    <mergeCell ref="I13700:J13700"/>
    <mergeCell ref="K13700:L13700"/>
    <mergeCell ref="M13700:N13700"/>
    <mergeCell ref="A13700:G13700"/>
    <mergeCell ref="A13701:G13701"/>
    <mergeCell ref="I13701:J13701"/>
    <mergeCell ref="K13701:L13701"/>
    <mergeCell ref="M13701:N13701"/>
    <mergeCell ref="A13702:G13702"/>
    <mergeCell ref="A13703:G13703"/>
    <mergeCell ref="A13685:G13685"/>
    <mergeCell ref="A13686:G13686"/>
    <mergeCell ref="I13686:J13686"/>
    <mergeCell ref="M13686:N13686"/>
    <mergeCell ref="A13687:G13687"/>
    <mergeCell ref="M13687:N13687"/>
    <mergeCell ref="M13688:N13688"/>
    <mergeCell ref="I13697:J13697"/>
    <mergeCell ref="I13698:J13698"/>
    <mergeCell ref="K13698:L13698"/>
    <mergeCell ref="M13698:N13698"/>
    <mergeCell ref="A13688:G13688"/>
    <mergeCell ref="A13691:N13692"/>
    <mergeCell ref="A13696:N13696"/>
    <mergeCell ref="A13697:G13697"/>
    <mergeCell ref="K13697:L13697"/>
    <mergeCell ref="M13697:N13697"/>
    <mergeCell ref="A13698:G13698"/>
    <mergeCell ref="K13702:L13702"/>
    <mergeCell ref="M13702:N13702"/>
    <mergeCell ref="I13702:J13702"/>
    <mergeCell ref="I13703:J13703"/>
    <mergeCell ref="I316:J316"/>
    <mergeCell ref="K316:L316"/>
    <mergeCell ref="M316:N316"/>
    <mergeCell ref="A313:N313"/>
    <mergeCell ref="A314:G314"/>
    <mergeCell ref="I314:J314"/>
    <mergeCell ref="K314:L314"/>
    <mergeCell ref="M314:N314"/>
    <mergeCell ref="A315:G315"/>
    <mergeCell ref="A316:G316"/>
    <mergeCell ref="A317:G317"/>
    <mergeCell ref="I317:J317"/>
    <mergeCell ref="K317:L317"/>
    <mergeCell ref="M317:N317"/>
    <mergeCell ref="I318:J318"/>
    <mergeCell ref="K318:L318"/>
    <mergeCell ref="M318:N318"/>
    <mergeCell ref="A318:G318"/>
    <mergeCell ref="A319:G319"/>
    <mergeCell ref="I319:J319"/>
    <mergeCell ref="K319:L319"/>
    <mergeCell ref="M319:N319"/>
    <mergeCell ref="K320:L320"/>
    <mergeCell ref="M320:N320"/>
    <mergeCell ref="A337:G337"/>
    <mergeCell ref="A338:G338"/>
    <mergeCell ref="A339:G339"/>
    <mergeCell ref="A340:G340"/>
    <mergeCell ref="A341:G341"/>
    <mergeCell ref="A342:G342"/>
    <mergeCell ref="A343:G343"/>
    <mergeCell ref="I342:J342"/>
    <mergeCell ref="K342:L342"/>
    <mergeCell ref="M342:N342"/>
    <mergeCell ref="I343:J343"/>
    <mergeCell ref="K343:L343"/>
    <mergeCell ref="M343:N343"/>
    <mergeCell ref="M328:N328"/>
    <mergeCell ref="K329:L329"/>
    <mergeCell ref="M329:N329"/>
    <mergeCell ref="I324:J324"/>
    <mergeCell ref="I325:J325"/>
    <mergeCell ref="I326:J326"/>
    <mergeCell ref="M326:N326"/>
    <mergeCell ref="I327:J327"/>
    <mergeCell ref="M327:N327"/>
    <mergeCell ref="I328:J328"/>
    <mergeCell ref="A322:N322"/>
    <mergeCell ref="A323:G323"/>
    <mergeCell ref="I323:J323"/>
    <mergeCell ref="M323:N323"/>
    <mergeCell ref="A324:G324"/>
    <mergeCell ref="M324:N324"/>
    <mergeCell ref="M325:N325"/>
    <mergeCell ref="A325:G325"/>
    <mergeCell ref="A326:G326"/>
    <mergeCell ref="A327:G327"/>
    <mergeCell ref="A328:G328"/>
    <mergeCell ref="A331:N332"/>
    <mergeCell ref="A336:N336"/>
    <mergeCell ref="M337:N337"/>
    <mergeCell ref="I337:J337"/>
    <mergeCell ref="K337:L337"/>
    <mergeCell ref="I338:J338"/>
    <mergeCell ref="K344:L344"/>
    <mergeCell ref="A348:G348"/>
    <mergeCell ref="A349:G349"/>
    <mergeCell ref="A350:G350"/>
    <mergeCell ref="A351:G351"/>
    <mergeCell ref="A352:G352"/>
    <mergeCell ref="M344:N344"/>
    <mergeCell ref="A346:N346"/>
    <mergeCell ref="A347:G347"/>
    <mergeCell ref="I347:J347"/>
    <mergeCell ref="K347:L347"/>
    <mergeCell ref="M347:N347"/>
    <mergeCell ref="M348:N348"/>
    <mergeCell ref="I348:J348"/>
    <mergeCell ref="K348:L348"/>
    <mergeCell ref="I349:J349"/>
    <mergeCell ref="K349:L349"/>
    <mergeCell ref="M349:N349"/>
    <mergeCell ref="K350:L350"/>
    <mergeCell ref="M350:N350"/>
    <mergeCell ref="I350:J350"/>
    <mergeCell ref="I351:J351"/>
    <mergeCell ref="K351:L351"/>
    <mergeCell ref="M351:N351"/>
    <mergeCell ref="I352:J352"/>
    <mergeCell ref="K352:L352"/>
    <mergeCell ref="M352:N352"/>
    <mergeCell ref="I356:J356"/>
    <mergeCell ref="I357:J357"/>
    <mergeCell ref="K357:L357"/>
    <mergeCell ref="M357:N357"/>
    <mergeCell ref="K353:L353"/>
    <mergeCell ref="M353:N353"/>
    <mergeCell ref="A355:N355"/>
    <mergeCell ref="A356:G356"/>
    <mergeCell ref="K356:L356"/>
    <mergeCell ref="M356:N356"/>
    <mergeCell ref="A357:G357"/>
    <mergeCell ref="A297:G297"/>
    <mergeCell ref="I297:J297"/>
    <mergeCell ref="K297:L297"/>
    <mergeCell ref="M297:N297"/>
    <mergeCell ref="I298:J298"/>
    <mergeCell ref="K298:L298"/>
    <mergeCell ref="M298:N298"/>
    <mergeCell ref="A298:G298"/>
    <mergeCell ref="A299:G299"/>
    <mergeCell ref="I299:J299"/>
    <mergeCell ref="K299:L299"/>
    <mergeCell ref="M299:N299"/>
    <mergeCell ref="A300:G300"/>
    <mergeCell ref="A301:G301"/>
    <mergeCell ref="A283:G283"/>
    <mergeCell ref="A284:G284"/>
    <mergeCell ref="I284:J284"/>
    <mergeCell ref="M284:N284"/>
    <mergeCell ref="A285:G285"/>
    <mergeCell ref="M285:N285"/>
    <mergeCell ref="M286:N286"/>
    <mergeCell ref="I295:J295"/>
    <mergeCell ref="I296:J296"/>
    <mergeCell ref="K296:L296"/>
    <mergeCell ref="M296:N296"/>
    <mergeCell ref="A286:G286"/>
    <mergeCell ref="A289:N290"/>
    <mergeCell ref="A294:N294"/>
    <mergeCell ref="A295:G295"/>
    <mergeCell ref="K295:L295"/>
    <mergeCell ref="M295:N295"/>
    <mergeCell ref="A296:G296"/>
    <mergeCell ref="K300:L300"/>
    <mergeCell ref="M300:N300"/>
    <mergeCell ref="I300:J300"/>
    <mergeCell ref="I301:J301"/>
    <mergeCell ref="I285:J285"/>
    <mergeCell ref="I286:J286"/>
    <mergeCell ref="K287:L287"/>
    <mergeCell ref="M287:N287"/>
    <mergeCell ref="K305:L305"/>
    <mergeCell ref="M305:N305"/>
    <mergeCell ref="I305:J305"/>
    <mergeCell ref="I306:J306"/>
    <mergeCell ref="K306:L306"/>
    <mergeCell ref="M306:N306"/>
    <mergeCell ref="K301:L301"/>
    <mergeCell ref="M301:N301"/>
    <mergeCell ref="K302:L302"/>
    <mergeCell ref="M302:N302"/>
    <mergeCell ref="A304:N304"/>
    <mergeCell ref="A305:G305"/>
    <mergeCell ref="A306:G306"/>
    <mergeCell ref="A307:G307"/>
    <mergeCell ref="I307:J307"/>
    <mergeCell ref="K307:L307"/>
    <mergeCell ref="M307:N307"/>
    <mergeCell ref="I308:J308"/>
    <mergeCell ref="K308:L308"/>
    <mergeCell ref="M308:N308"/>
    <mergeCell ref="K310:L310"/>
    <mergeCell ref="M310:N310"/>
    <mergeCell ref="K311:L311"/>
    <mergeCell ref="M311:N311"/>
    <mergeCell ref="A308:G308"/>
    <mergeCell ref="A309:G309"/>
    <mergeCell ref="I309:J309"/>
    <mergeCell ref="K309:L309"/>
    <mergeCell ref="M309:N309"/>
    <mergeCell ref="A310:G310"/>
    <mergeCell ref="I310:J310"/>
    <mergeCell ref="K315:L315"/>
    <mergeCell ref="M315:N315"/>
    <mergeCell ref="I315:J315"/>
    <mergeCell ref="K338:L338"/>
    <mergeCell ref="M338:N338"/>
    <mergeCell ref="K339:L339"/>
    <mergeCell ref="M339:N339"/>
    <mergeCell ref="I339:J339"/>
    <mergeCell ref="I340:J340"/>
    <mergeCell ref="K340:L340"/>
    <mergeCell ref="M340:N340"/>
    <mergeCell ref="I341:J341"/>
    <mergeCell ref="K341:L341"/>
    <mergeCell ref="M341:N341"/>
    <mergeCell ref="K399:L399"/>
    <mergeCell ref="M399:N399"/>
    <mergeCell ref="A396:N396"/>
    <mergeCell ref="A397:G397"/>
    <mergeCell ref="I397:J397"/>
    <mergeCell ref="K397:L397"/>
    <mergeCell ref="M397:N397"/>
    <mergeCell ref="A398:G398"/>
    <mergeCell ref="A399:G399"/>
    <mergeCell ref="A8:G8"/>
    <mergeCell ref="A9:G9"/>
    <mergeCell ref="A10:G10"/>
    <mergeCell ref="A11:G11"/>
    <mergeCell ref="A12:G12"/>
    <mergeCell ref="A1:N2"/>
    <mergeCell ref="A6:N6"/>
    <mergeCell ref="A7:G7"/>
    <mergeCell ref="I7:J7"/>
    <mergeCell ref="K7:L7"/>
    <mergeCell ref="M7:N7"/>
    <mergeCell ref="M8:N8"/>
    <mergeCell ref="I8:J8"/>
    <mergeCell ref="K8:L8"/>
    <mergeCell ref="I9:J9"/>
    <mergeCell ref="K9:L9"/>
    <mergeCell ref="M9:N9"/>
    <mergeCell ref="K10:L10"/>
    <mergeCell ref="M10:N10"/>
    <mergeCell ref="I10:J10"/>
    <mergeCell ref="I11:J11"/>
    <mergeCell ref="K11:L11"/>
    <mergeCell ref="M11:N11"/>
    <mergeCell ref="I12:J12"/>
    <mergeCell ref="K12:L12"/>
    <mergeCell ref="M12:N12"/>
    <mergeCell ref="I16:J16"/>
    <mergeCell ref="I17:J17"/>
    <mergeCell ref="K17:L17"/>
    <mergeCell ref="M17:N17"/>
    <mergeCell ref="K13:L13"/>
    <mergeCell ref="M13:N13"/>
    <mergeCell ref="A15:N15"/>
    <mergeCell ref="A16:G16"/>
    <mergeCell ref="K16:L16"/>
    <mergeCell ref="M16:N16"/>
    <mergeCell ref="A17:G17"/>
    <mergeCell ref="A18:G18"/>
    <mergeCell ref="I18:J18"/>
    <mergeCell ref="K18:L18"/>
    <mergeCell ref="M18:N18"/>
    <mergeCell ref="I19:J19"/>
    <mergeCell ref="K19:L19"/>
    <mergeCell ref="M19:N19"/>
    <mergeCell ref="K21:L21"/>
    <mergeCell ref="M21:N21"/>
    <mergeCell ref="K22:L22"/>
    <mergeCell ref="M22:N22"/>
    <mergeCell ref="A19:G19"/>
    <mergeCell ref="A20:G20"/>
    <mergeCell ref="I20:J20"/>
    <mergeCell ref="K20:L20"/>
    <mergeCell ref="M20:N20"/>
    <mergeCell ref="A21:G21"/>
    <mergeCell ref="I21:J21"/>
    <mergeCell ref="K26:L26"/>
    <mergeCell ref="M26:N26"/>
    <mergeCell ref="I26:J26"/>
    <mergeCell ref="I27:J27"/>
    <mergeCell ref="K27:L27"/>
    <mergeCell ref="M27:N27"/>
    <mergeCell ref="A24:N24"/>
    <mergeCell ref="A25:G25"/>
    <mergeCell ref="I25:J25"/>
    <mergeCell ref="K25:L25"/>
    <mergeCell ref="M25:N25"/>
    <mergeCell ref="A26:G26"/>
    <mergeCell ref="A27:G27"/>
    <mergeCell ref="K49:L49"/>
    <mergeCell ref="M49:N49"/>
    <mergeCell ref="M39:N39"/>
    <mergeCell ref="K40:L40"/>
    <mergeCell ref="M40:N40"/>
    <mergeCell ref="A42:N43"/>
    <mergeCell ref="A47:N47"/>
    <mergeCell ref="A48:G48"/>
    <mergeCell ref="A49:G49"/>
    <mergeCell ref="I51:J51"/>
    <mergeCell ref="K51:L51"/>
    <mergeCell ref="I48:J48"/>
    <mergeCell ref="I49:J49"/>
    <mergeCell ref="A50:G50"/>
    <mergeCell ref="I50:J50"/>
    <mergeCell ref="K50:L50"/>
    <mergeCell ref="M50:N50"/>
    <mergeCell ref="M51:N51"/>
    <mergeCell ref="K53:L53"/>
    <mergeCell ref="M53:N53"/>
    <mergeCell ref="K54:L54"/>
    <mergeCell ref="M54:N54"/>
    <mergeCell ref="A51:G51"/>
    <mergeCell ref="A52:G52"/>
    <mergeCell ref="I52:J52"/>
    <mergeCell ref="K52:L52"/>
    <mergeCell ref="M52:N52"/>
    <mergeCell ref="A53:G53"/>
    <mergeCell ref="I53:J53"/>
    <mergeCell ref="A28:G28"/>
    <mergeCell ref="I28:J28"/>
    <mergeCell ref="K28:L28"/>
    <mergeCell ref="M28:N28"/>
    <mergeCell ref="I29:J29"/>
    <mergeCell ref="K29:L29"/>
    <mergeCell ref="M29:N29"/>
    <mergeCell ref="A29:G29"/>
    <mergeCell ref="A30:G30"/>
    <mergeCell ref="I30:J30"/>
    <mergeCell ref="K30:L30"/>
    <mergeCell ref="M30:N30"/>
    <mergeCell ref="K31:L31"/>
    <mergeCell ref="M31:N31"/>
    <mergeCell ref="A36:G36"/>
    <mergeCell ref="A37:G37"/>
    <mergeCell ref="A38:G38"/>
    <mergeCell ref="A39:G39"/>
    <mergeCell ref="A33:N33"/>
    <mergeCell ref="A34:G34"/>
    <mergeCell ref="I34:J34"/>
    <mergeCell ref="M34:N34"/>
    <mergeCell ref="A35:G35"/>
    <mergeCell ref="M35:N35"/>
    <mergeCell ref="M36:N36"/>
    <mergeCell ref="I35:J35"/>
    <mergeCell ref="I36:J36"/>
    <mergeCell ref="I37:J37"/>
    <mergeCell ref="M37:N37"/>
    <mergeCell ref="I38:J38"/>
    <mergeCell ref="M38:N38"/>
    <mergeCell ref="I39:J39"/>
    <mergeCell ref="K48:L48"/>
    <mergeCell ref="M48:N48"/>
    <mergeCell ref="K58:L58"/>
    <mergeCell ref="M58:N58"/>
    <mergeCell ref="K68:L68"/>
    <mergeCell ref="M68:N68"/>
    <mergeCell ref="A65:N65"/>
    <mergeCell ref="A66:G66"/>
    <mergeCell ref="I66:J66"/>
    <mergeCell ref="K66:L66"/>
    <mergeCell ref="M66:N66"/>
    <mergeCell ref="A67:G67"/>
    <mergeCell ref="A68:G68"/>
    <mergeCell ref="I70:J70"/>
    <mergeCell ref="K70:L70"/>
    <mergeCell ref="I67:J67"/>
    <mergeCell ref="I68:J68"/>
    <mergeCell ref="A69:G69"/>
    <mergeCell ref="I69:J69"/>
    <mergeCell ref="K69:L69"/>
    <mergeCell ref="M69:N69"/>
    <mergeCell ref="M70:N70"/>
    <mergeCell ref="I58:J58"/>
    <mergeCell ref="I59:J59"/>
    <mergeCell ref="K59:L59"/>
    <mergeCell ref="M59:N59"/>
    <mergeCell ref="A56:N56"/>
    <mergeCell ref="A57:G57"/>
    <mergeCell ref="I57:J57"/>
    <mergeCell ref="K57:L57"/>
    <mergeCell ref="M57:N57"/>
    <mergeCell ref="A58:G58"/>
    <mergeCell ref="A59:G59"/>
    <mergeCell ref="A60:G60"/>
    <mergeCell ref="I60:J60"/>
    <mergeCell ref="K60:L60"/>
    <mergeCell ref="M60:N60"/>
    <mergeCell ref="I61:J61"/>
    <mergeCell ref="K61:L61"/>
    <mergeCell ref="M61:N61"/>
    <mergeCell ref="A61:G61"/>
    <mergeCell ref="A62:G62"/>
    <mergeCell ref="I62:J62"/>
    <mergeCell ref="K62:L62"/>
    <mergeCell ref="M62:N62"/>
    <mergeCell ref="K63:L63"/>
    <mergeCell ref="M63:N63"/>
    <mergeCell ref="K67:L67"/>
    <mergeCell ref="M67:N67"/>
    <mergeCell ref="A70:G70"/>
    <mergeCell ref="A71:G71"/>
    <mergeCell ref="I71:J71"/>
    <mergeCell ref="K71:L71"/>
    <mergeCell ref="M71:N71"/>
    <mergeCell ref="K72:L72"/>
    <mergeCell ref="M72:N72"/>
    <mergeCell ref="A77:G77"/>
    <mergeCell ref="A78:G78"/>
    <mergeCell ref="A79:G79"/>
    <mergeCell ref="A80:G80"/>
    <mergeCell ref="A74:N74"/>
    <mergeCell ref="A75:G75"/>
    <mergeCell ref="I75:J75"/>
    <mergeCell ref="M75:N75"/>
    <mergeCell ref="A76:G76"/>
    <mergeCell ref="M76:N76"/>
    <mergeCell ref="M77:N77"/>
    <mergeCell ref="I76:J76"/>
    <mergeCell ref="I77:J77"/>
    <mergeCell ref="I78:J78"/>
    <mergeCell ref="M78:N78"/>
    <mergeCell ref="I79:J79"/>
    <mergeCell ref="M79:N79"/>
    <mergeCell ref="I80:J80"/>
    <mergeCell ref="K89:L89"/>
    <mergeCell ref="M89:N89"/>
    <mergeCell ref="I89:J89"/>
    <mergeCell ref="I90:J90"/>
    <mergeCell ref="K90:L90"/>
    <mergeCell ref="M90:N90"/>
    <mergeCell ref="M80:N80"/>
    <mergeCell ref="K81:L81"/>
    <mergeCell ref="M81:N81"/>
    <mergeCell ref="A83:N84"/>
    <mergeCell ref="A88:N88"/>
    <mergeCell ref="A89:G89"/>
    <mergeCell ref="A90:G90"/>
    <mergeCell ref="A91:G91"/>
    <mergeCell ref="I91:J91"/>
    <mergeCell ref="K91:L91"/>
    <mergeCell ref="M91:N91"/>
    <mergeCell ref="I92:J92"/>
    <mergeCell ref="K92:L92"/>
    <mergeCell ref="M92:N92"/>
    <mergeCell ref="K94:L94"/>
    <mergeCell ref="M94:N94"/>
    <mergeCell ref="K95:L95"/>
    <mergeCell ref="M95:N95"/>
    <mergeCell ref="A92:G92"/>
    <mergeCell ref="A93:G93"/>
    <mergeCell ref="I93:J93"/>
    <mergeCell ref="K93:L93"/>
    <mergeCell ref="M93:N93"/>
    <mergeCell ref="A94:G94"/>
    <mergeCell ref="I94:J94"/>
    <mergeCell ref="K99:L99"/>
    <mergeCell ref="M99:N99"/>
    <mergeCell ref="I99:J99"/>
    <mergeCell ref="I100:J100"/>
    <mergeCell ref="K100:L100"/>
    <mergeCell ref="M100:N100"/>
    <mergeCell ref="A97:N97"/>
    <mergeCell ref="A98:G98"/>
    <mergeCell ref="I98:J98"/>
    <mergeCell ref="K98:L98"/>
    <mergeCell ref="M98:N98"/>
    <mergeCell ref="A99:G99"/>
    <mergeCell ref="A100:G100"/>
    <mergeCell ref="A110:G110"/>
    <mergeCell ref="I110:J110"/>
    <mergeCell ref="K110:L110"/>
    <mergeCell ref="M110:N110"/>
    <mergeCell ref="I111:J111"/>
    <mergeCell ref="K111:L111"/>
    <mergeCell ref="M111:N111"/>
    <mergeCell ref="A111:G111"/>
    <mergeCell ref="A112:G112"/>
    <mergeCell ref="I112:J112"/>
    <mergeCell ref="K112:L112"/>
    <mergeCell ref="M112:N112"/>
    <mergeCell ref="K113:L113"/>
    <mergeCell ref="M113:N113"/>
    <mergeCell ref="I117:J117"/>
    <mergeCell ref="I118:J118"/>
    <mergeCell ref="A115:N115"/>
    <mergeCell ref="A116:G116"/>
    <mergeCell ref="I116:J116"/>
    <mergeCell ref="M116:N116"/>
    <mergeCell ref="A117:G117"/>
    <mergeCell ref="M117:N117"/>
    <mergeCell ref="M118:N118"/>
    <mergeCell ref="A101:G101"/>
    <mergeCell ref="I101:J101"/>
    <mergeCell ref="K101:L101"/>
    <mergeCell ref="M101:N101"/>
    <mergeCell ref="I102:J102"/>
    <mergeCell ref="K102:L102"/>
    <mergeCell ref="M102:N102"/>
    <mergeCell ref="A102:G102"/>
    <mergeCell ref="A103:G103"/>
    <mergeCell ref="I103:J103"/>
    <mergeCell ref="K103:L103"/>
    <mergeCell ref="M103:N103"/>
    <mergeCell ref="K104:L104"/>
    <mergeCell ref="M104:N104"/>
    <mergeCell ref="K108:L108"/>
    <mergeCell ref="M108:N108"/>
    <mergeCell ref="I108:J108"/>
    <mergeCell ref="I109:J109"/>
    <mergeCell ref="K109:L109"/>
    <mergeCell ref="M109:N109"/>
    <mergeCell ref="A106:N106"/>
    <mergeCell ref="A107:G107"/>
    <mergeCell ref="I107:J107"/>
    <mergeCell ref="K107:L107"/>
    <mergeCell ref="M107:N107"/>
    <mergeCell ref="A108:G108"/>
    <mergeCell ref="A109:G109"/>
    <mergeCell ref="I120:J120"/>
    <mergeCell ref="I121:J121"/>
    <mergeCell ref="K122:L122"/>
    <mergeCell ref="M122:N122"/>
    <mergeCell ref="A132:G132"/>
    <mergeCell ref="I132:J132"/>
    <mergeCell ref="K132:L132"/>
    <mergeCell ref="M132:N132"/>
    <mergeCell ref="I133:J133"/>
    <mergeCell ref="K133:L133"/>
    <mergeCell ref="M133:N133"/>
    <mergeCell ref="A133:G133"/>
    <mergeCell ref="A134:G134"/>
    <mergeCell ref="I134:J134"/>
    <mergeCell ref="K134:L134"/>
    <mergeCell ref="M134:N134"/>
    <mergeCell ref="A135:G135"/>
    <mergeCell ref="A136:G136"/>
    <mergeCell ref="A118:G118"/>
    <mergeCell ref="A119:G119"/>
    <mergeCell ref="I119:J119"/>
    <mergeCell ref="M119:N119"/>
    <mergeCell ref="A120:G120"/>
    <mergeCell ref="M120:N120"/>
    <mergeCell ref="M121:N121"/>
    <mergeCell ref="I130:J130"/>
    <mergeCell ref="I131:J131"/>
    <mergeCell ref="K131:L131"/>
    <mergeCell ref="M131:N131"/>
    <mergeCell ref="A121:G121"/>
    <mergeCell ref="A124:N125"/>
    <mergeCell ref="A129:N129"/>
    <mergeCell ref="A130:G130"/>
    <mergeCell ref="K130:L130"/>
    <mergeCell ref="M130:N130"/>
    <mergeCell ref="A131:G131"/>
    <mergeCell ref="K135:L135"/>
    <mergeCell ref="M135:N135"/>
    <mergeCell ref="I135:J135"/>
    <mergeCell ref="I136:J136"/>
    <mergeCell ref="M162:N162"/>
    <mergeCell ref="I163:J163"/>
    <mergeCell ref="I172:J172"/>
    <mergeCell ref="K172:L172"/>
    <mergeCell ref="I173:J173"/>
    <mergeCell ref="K173:L173"/>
    <mergeCell ref="M173:N173"/>
    <mergeCell ref="K174:L174"/>
    <mergeCell ref="M174:N174"/>
    <mergeCell ref="K178:L178"/>
    <mergeCell ref="M178:N178"/>
    <mergeCell ref="I174:J174"/>
    <mergeCell ref="I175:J175"/>
    <mergeCell ref="K175:L175"/>
    <mergeCell ref="M175:N175"/>
    <mergeCell ref="I176:J176"/>
    <mergeCell ref="K176:L176"/>
    <mergeCell ref="M176:N176"/>
    <mergeCell ref="I177:J177"/>
    <mergeCell ref="K177:L177"/>
    <mergeCell ref="M177:N177"/>
    <mergeCell ref="A180:N180"/>
    <mergeCell ref="I181:J181"/>
    <mergeCell ref="K181:L181"/>
    <mergeCell ref="M181:N181"/>
    <mergeCell ref="A181:G181"/>
    <mergeCell ref="K140:L140"/>
    <mergeCell ref="M140:N140"/>
    <mergeCell ref="I140:J140"/>
    <mergeCell ref="I141:J141"/>
    <mergeCell ref="K141:L141"/>
    <mergeCell ref="M141:N141"/>
    <mergeCell ref="K136:L136"/>
    <mergeCell ref="M136:N136"/>
    <mergeCell ref="K137:L137"/>
    <mergeCell ref="M137:N137"/>
    <mergeCell ref="A139:N139"/>
    <mergeCell ref="A140:G140"/>
    <mergeCell ref="A141:G141"/>
    <mergeCell ref="A142:G142"/>
    <mergeCell ref="I142:J142"/>
    <mergeCell ref="K142:L142"/>
    <mergeCell ref="M142:N142"/>
    <mergeCell ref="I143:J143"/>
    <mergeCell ref="K143:L143"/>
    <mergeCell ref="M143:N143"/>
    <mergeCell ref="K145:L145"/>
    <mergeCell ref="M145:N145"/>
    <mergeCell ref="K146:L146"/>
    <mergeCell ref="M146:N146"/>
    <mergeCell ref="A143:G143"/>
    <mergeCell ref="A144:G144"/>
    <mergeCell ref="I144:J144"/>
    <mergeCell ref="K144:L144"/>
    <mergeCell ref="M144:N144"/>
    <mergeCell ref="A145:G145"/>
    <mergeCell ref="I145:J145"/>
    <mergeCell ref="K150:L150"/>
    <mergeCell ref="M150:N150"/>
    <mergeCell ref="A148:N148"/>
    <mergeCell ref="A149:G149"/>
    <mergeCell ref="I149:J149"/>
    <mergeCell ref="K149:L149"/>
    <mergeCell ref="M149:N149"/>
    <mergeCell ref="A182:G182"/>
    <mergeCell ref="I182:J182"/>
    <mergeCell ref="K182:L182"/>
    <mergeCell ref="M182:N182"/>
    <mergeCell ref="A183:G183"/>
    <mergeCell ref="I183:J183"/>
    <mergeCell ref="I185:J185"/>
    <mergeCell ref="K185:L185"/>
    <mergeCell ref="K183:L183"/>
    <mergeCell ref="M183:N183"/>
    <mergeCell ref="A184:G184"/>
    <mergeCell ref="I184:J184"/>
    <mergeCell ref="K184:L184"/>
    <mergeCell ref="M184:N184"/>
    <mergeCell ref="M185:N185"/>
    <mergeCell ref="A157:N157"/>
    <mergeCell ref="A158:G158"/>
    <mergeCell ref="I158:J158"/>
    <mergeCell ref="M158:N158"/>
    <mergeCell ref="A159:G159"/>
    <mergeCell ref="M159:N159"/>
    <mergeCell ref="M160:N160"/>
    <mergeCell ref="A160:G160"/>
    <mergeCell ref="A161:G161"/>
    <mergeCell ref="A162:G162"/>
    <mergeCell ref="A163:G163"/>
    <mergeCell ref="A166:N167"/>
    <mergeCell ref="A171:N171"/>
    <mergeCell ref="M172:N172"/>
    <mergeCell ref="I150:J150"/>
    <mergeCell ref="I151:J151"/>
    <mergeCell ref="K151:L151"/>
    <mergeCell ref="M151:N151"/>
    <mergeCell ref="A150:G150"/>
    <mergeCell ref="A151:G151"/>
    <mergeCell ref="A152:G152"/>
    <mergeCell ref="I152:J152"/>
    <mergeCell ref="K152:L152"/>
    <mergeCell ref="M152:N152"/>
    <mergeCell ref="I153:J153"/>
    <mergeCell ref="K153:L153"/>
    <mergeCell ref="M153:N153"/>
    <mergeCell ref="A153:G153"/>
    <mergeCell ref="A154:G154"/>
    <mergeCell ref="I154:J154"/>
    <mergeCell ref="K154:L154"/>
    <mergeCell ref="M154:N154"/>
    <mergeCell ref="K155:L155"/>
    <mergeCell ref="M155:N155"/>
    <mergeCell ref="A172:G172"/>
    <mergeCell ref="A173:G173"/>
    <mergeCell ref="A174:G174"/>
    <mergeCell ref="A175:G175"/>
    <mergeCell ref="A176:G176"/>
    <mergeCell ref="A177:G177"/>
    <mergeCell ref="A185:G185"/>
    <mergeCell ref="M163:N163"/>
    <mergeCell ref="K164:L164"/>
    <mergeCell ref="M164:N164"/>
    <mergeCell ref="I159:J159"/>
    <mergeCell ref="I160:J160"/>
    <mergeCell ref="I161:J161"/>
    <mergeCell ref="M161:N161"/>
    <mergeCell ref="I162:J162"/>
    <mergeCell ref="A186:G186"/>
    <mergeCell ref="I186:J186"/>
    <mergeCell ref="K186:L186"/>
    <mergeCell ref="M186:N186"/>
    <mergeCell ref="K187:L187"/>
    <mergeCell ref="M187:N187"/>
    <mergeCell ref="I200:J200"/>
    <mergeCell ref="I201:J201"/>
    <mergeCell ref="A198:N198"/>
    <mergeCell ref="A199:G199"/>
    <mergeCell ref="I199:J199"/>
    <mergeCell ref="M199:N199"/>
    <mergeCell ref="A200:G200"/>
    <mergeCell ref="M200:N200"/>
    <mergeCell ref="M201:N201"/>
    <mergeCell ref="K191:L191"/>
    <mergeCell ref="M191:N191"/>
    <mergeCell ref="I191:J191"/>
    <mergeCell ref="I192:J192"/>
    <mergeCell ref="K192:L192"/>
    <mergeCell ref="M192:N192"/>
    <mergeCell ref="A189:N189"/>
    <mergeCell ref="A190:G190"/>
    <mergeCell ref="I190:J190"/>
    <mergeCell ref="K190:L190"/>
    <mergeCell ref="M190:N190"/>
    <mergeCell ref="A191:G191"/>
    <mergeCell ref="A192:G192"/>
    <mergeCell ref="A193:G193"/>
    <mergeCell ref="I193:J193"/>
    <mergeCell ref="K193:L193"/>
    <mergeCell ref="M193:N193"/>
    <mergeCell ref="I194:J194"/>
    <mergeCell ref="K194:L194"/>
    <mergeCell ref="M194:N194"/>
    <mergeCell ref="A194:G194"/>
    <mergeCell ref="A195:G195"/>
    <mergeCell ref="I195:J195"/>
    <mergeCell ref="K195:L195"/>
    <mergeCell ref="M195:N195"/>
    <mergeCell ref="K196:L196"/>
    <mergeCell ref="M196:N196"/>
    <mergeCell ref="I203:J203"/>
    <mergeCell ref="I204:J204"/>
    <mergeCell ref="K205:L205"/>
    <mergeCell ref="M205:N205"/>
    <mergeCell ref="A201:G201"/>
    <mergeCell ref="A202:G202"/>
    <mergeCell ref="I202:J202"/>
    <mergeCell ref="M202:N202"/>
    <mergeCell ref="A203:G203"/>
    <mergeCell ref="M203:N203"/>
    <mergeCell ref="M204:N204"/>
    <mergeCell ref="I213:J213"/>
    <mergeCell ref="I214:J214"/>
    <mergeCell ref="K214:L214"/>
    <mergeCell ref="M214:N214"/>
    <mergeCell ref="A204:G204"/>
    <mergeCell ref="A207:N208"/>
    <mergeCell ref="A212:N212"/>
    <mergeCell ref="A213:G213"/>
    <mergeCell ref="K213:L213"/>
    <mergeCell ref="M213:N213"/>
    <mergeCell ref="A214:G214"/>
    <mergeCell ref="A215:G215"/>
    <mergeCell ref="I215:J215"/>
    <mergeCell ref="K215:L215"/>
    <mergeCell ref="M215:N215"/>
    <mergeCell ref="I216:J216"/>
    <mergeCell ref="K216:L216"/>
    <mergeCell ref="M216:N216"/>
    <mergeCell ref="K218:L218"/>
    <mergeCell ref="M218:N218"/>
    <mergeCell ref="K219:L219"/>
    <mergeCell ref="M219:N219"/>
    <mergeCell ref="A216:G216"/>
    <mergeCell ref="A217:G217"/>
    <mergeCell ref="I217:J217"/>
    <mergeCell ref="K217:L217"/>
    <mergeCell ref="M217:N217"/>
    <mergeCell ref="A218:G218"/>
    <mergeCell ref="I218:J218"/>
    <mergeCell ref="I263:J263"/>
    <mergeCell ref="K263:L263"/>
    <mergeCell ref="M263:N263"/>
    <mergeCell ref="A263:G263"/>
    <mergeCell ref="A264:G264"/>
    <mergeCell ref="I264:J264"/>
    <mergeCell ref="K264:L264"/>
    <mergeCell ref="M264:N264"/>
    <mergeCell ref="A265:G265"/>
    <mergeCell ref="I265:J265"/>
    <mergeCell ref="K223:L223"/>
    <mergeCell ref="M223:N223"/>
    <mergeCell ref="I223:J223"/>
    <mergeCell ref="I224:J224"/>
    <mergeCell ref="K224:L224"/>
    <mergeCell ref="M224:N224"/>
    <mergeCell ref="A221:N221"/>
    <mergeCell ref="A222:G222"/>
    <mergeCell ref="I222:J222"/>
    <mergeCell ref="K222:L222"/>
    <mergeCell ref="M222:N222"/>
    <mergeCell ref="A223:G223"/>
    <mergeCell ref="A224:G224"/>
    <mergeCell ref="A225:G225"/>
    <mergeCell ref="I225:J225"/>
    <mergeCell ref="K225:L225"/>
    <mergeCell ref="M225:N225"/>
    <mergeCell ref="I226:J226"/>
    <mergeCell ref="K226:L226"/>
    <mergeCell ref="M226:N226"/>
    <mergeCell ref="A226:G226"/>
    <mergeCell ref="A227:G227"/>
    <mergeCell ref="I227:J227"/>
    <mergeCell ref="K227:L227"/>
    <mergeCell ref="M227:N227"/>
    <mergeCell ref="K228:L228"/>
    <mergeCell ref="M228:N228"/>
    <mergeCell ref="K232:L232"/>
    <mergeCell ref="M232:N232"/>
    <mergeCell ref="M245:N245"/>
    <mergeCell ref="K246:L246"/>
    <mergeCell ref="M246:N246"/>
    <mergeCell ref="I241:J241"/>
    <mergeCell ref="I242:J242"/>
    <mergeCell ref="I243:J243"/>
    <mergeCell ref="M243:N243"/>
    <mergeCell ref="I244:J244"/>
    <mergeCell ref="M244:N244"/>
    <mergeCell ref="I245:J245"/>
    <mergeCell ref="A239:N239"/>
    <mergeCell ref="A240:G240"/>
    <mergeCell ref="I240:J240"/>
    <mergeCell ref="M240:N240"/>
    <mergeCell ref="A241:G241"/>
    <mergeCell ref="M241:N241"/>
    <mergeCell ref="M242:N242"/>
    <mergeCell ref="A242:G242"/>
    <mergeCell ref="A243:G243"/>
    <mergeCell ref="A244:G244"/>
    <mergeCell ref="A245:G245"/>
    <mergeCell ref="I267:J267"/>
    <mergeCell ref="K267:L267"/>
    <mergeCell ref="K265:L265"/>
    <mergeCell ref="M265:N265"/>
    <mergeCell ref="A266:G266"/>
    <mergeCell ref="I266:J266"/>
    <mergeCell ref="K266:L266"/>
    <mergeCell ref="M266:N266"/>
    <mergeCell ref="M267:N267"/>
    <mergeCell ref="I232:J232"/>
    <mergeCell ref="I233:J233"/>
    <mergeCell ref="K233:L233"/>
    <mergeCell ref="M233:N233"/>
    <mergeCell ref="A230:N230"/>
    <mergeCell ref="A231:G231"/>
    <mergeCell ref="I231:J231"/>
    <mergeCell ref="K231:L231"/>
    <mergeCell ref="M231:N231"/>
    <mergeCell ref="A232:G232"/>
    <mergeCell ref="A233:G233"/>
    <mergeCell ref="A234:G234"/>
    <mergeCell ref="I234:J234"/>
    <mergeCell ref="K234:L234"/>
    <mergeCell ref="M234:N234"/>
    <mergeCell ref="I235:J235"/>
    <mergeCell ref="K235:L235"/>
    <mergeCell ref="M235:N235"/>
    <mergeCell ref="A235:G235"/>
    <mergeCell ref="A236:G236"/>
    <mergeCell ref="I236:J236"/>
    <mergeCell ref="K236:L236"/>
    <mergeCell ref="M236:N236"/>
    <mergeCell ref="K237:L237"/>
    <mergeCell ref="M237:N237"/>
    <mergeCell ref="A254:G254"/>
    <mergeCell ref="A255:G255"/>
    <mergeCell ref="A256:G256"/>
    <mergeCell ref="A257:G257"/>
    <mergeCell ref="A258:G258"/>
    <mergeCell ref="A259:G259"/>
    <mergeCell ref="A267:G267"/>
    <mergeCell ref="A248:N249"/>
    <mergeCell ref="A253:N253"/>
    <mergeCell ref="M254:N254"/>
    <mergeCell ref="I254:J254"/>
    <mergeCell ref="K254:L254"/>
    <mergeCell ref="I255:J255"/>
    <mergeCell ref="K255:L255"/>
    <mergeCell ref="M255:N255"/>
    <mergeCell ref="K256:L256"/>
    <mergeCell ref="M256:N256"/>
    <mergeCell ref="K260:L260"/>
    <mergeCell ref="M260:N260"/>
    <mergeCell ref="I256:J256"/>
    <mergeCell ref="I257:J257"/>
    <mergeCell ref="K257:L257"/>
    <mergeCell ref="M257:N257"/>
    <mergeCell ref="I258:J258"/>
    <mergeCell ref="K258:L258"/>
    <mergeCell ref="M258:N258"/>
    <mergeCell ref="I259:J259"/>
    <mergeCell ref="K259:L259"/>
    <mergeCell ref="M259:N259"/>
    <mergeCell ref="A262:N262"/>
    <mergeCell ref="A268:G268"/>
    <mergeCell ref="I268:J268"/>
    <mergeCell ref="K268:L268"/>
    <mergeCell ref="M268:N268"/>
    <mergeCell ref="K269:L269"/>
    <mergeCell ref="M269:N269"/>
    <mergeCell ref="I282:J282"/>
    <mergeCell ref="I283:J283"/>
    <mergeCell ref="A280:N280"/>
    <mergeCell ref="A281:G281"/>
    <mergeCell ref="I281:J281"/>
    <mergeCell ref="M281:N281"/>
    <mergeCell ref="A282:G282"/>
    <mergeCell ref="M282:N282"/>
    <mergeCell ref="M283:N283"/>
    <mergeCell ref="K273:L273"/>
    <mergeCell ref="M273:N273"/>
    <mergeCell ref="I273:J273"/>
    <mergeCell ref="I274:J274"/>
    <mergeCell ref="K274:L274"/>
    <mergeCell ref="M274:N274"/>
    <mergeCell ref="A271:N271"/>
    <mergeCell ref="A272:G272"/>
    <mergeCell ref="I272:J272"/>
    <mergeCell ref="K272:L272"/>
    <mergeCell ref="M272:N272"/>
    <mergeCell ref="A273:G273"/>
    <mergeCell ref="A274:G274"/>
    <mergeCell ref="A275:G275"/>
    <mergeCell ref="I275:J275"/>
    <mergeCell ref="K275:L275"/>
    <mergeCell ref="M275:N275"/>
    <mergeCell ref="I276:J276"/>
    <mergeCell ref="K276:L276"/>
    <mergeCell ref="M276:N276"/>
    <mergeCell ref="A276:G276"/>
    <mergeCell ref="A277:G277"/>
    <mergeCell ref="I277:J277"/>
    <mergeCell ref="K277:L277"/>
    <mergeCell ref="M277:N277"/>
    <mergeCell ref="K278:L278"/>
    <mergeCell ref="M278:N278"/>
    <mergeCell ref="A358:G358"/>
    <mergeCell ref="I358:J358"/>
    <mergeCell ref="K358:L358"/>
    <mergeCell ref="M358:N358"/>
    <mergeCell ref="I359:J359"/>
    <mergeCell ref="K359:L359"/>
    <mergeCell ref="M359:N359"/>
    <mergeCell ref="K361:L361"/>
    <mergeCell ref="M361:N361"/>
    <mergeCell ref="K362:L362"/>
    <mergeCell ref="M362:N362"/>
    <mergeCell ref="A359:G359"/>
    <mergeCell ref="A360:G360"/>
    <mergeCell ref="I360:J360"/>
    <mergeCell ref="K360:L360"/>
    <mergeCell ref="M360:N360"/>
    <mergeCell ref="A361:G361"/>
    <mergeCell ref="I361:J361"/>
    <mergeCell ref="A367:G367"/>
    <mergeCell ref="A368:G368"/>
    <mergeCell ref="A369:G369"/>
    <mergeCell ref="A370:G370"/>
    <mergeCell ref="A364:N364"/>
    <mergeCell ref="A365:G365"/>
    <mergeCell ref="I365:J365"/>
    <mergeCell ref="M365:N365"/>
    <mergeCell ref="A366:G366"/>
    <mergeCell ref="M366:N366"/>
    <mergeCell ref="M367:N367"/>
    <mergeCell ref="I366:J366"/>
    <mergeCell ref="I367:J367"/>
    <mergeCell ref="I368:J368"/>
    <mergeCell ref="M368:N368"/>
    <mergeCell ref="I369:J369"/>
    <mergeCell ref="M369:N369"/>
    <mergeCell ref="I370:J370"/>
    <mergeCell ref="K379:L379"/>
    <mergeCell ref="M379:N379"/>
    <mergeCell ref="I379:J379"/>
    <mergeCell ref="I380:J380"/>
    <mergeCell ref="K380:L380"/>
    <mergeCell ref="M380:N380"/>
    <mergeCell ref="M370:N370"/>
    <mergeCell ref="K371:L371"/>
    <mergeCell ref="M371:N371"/>
    <mergeCell ref="A373:N374"/>
    <mergeCell ref="A378:N378"/>
    <mergeCell ref="A379:G379"/>
    <mergeCell ref="A380:G380"/>
    <mergeCell ref="A381:G381"/>
    <mergeCell ref="I381:J381"/>
    <mergeCell ref="K381:L381"/>
    <mergeCell ref="M381:N381"/>
    <mergeCell ref="I382:J382"/>
    <mergeCell ref="K382:L382"/>
    <mergeCell ref="M382:N382"/>
    <mergeCell ref="K384:L384"/>
    <mergeCell ref="M384:N384"/>
    <mergeCell ref="K385:L385"/>
    <mergeCell ref="M385:N385"/>
    <mergeCell ref="A382:G382"/>
    <mergeCell ref="A383:G383"/>
    <mergeCell ref="I383:J383"/>
    <mergeCell ref="K383:L383"/>
    <mergeCell ref="M383:N383"/>
    <mergeCell ref="A384:G384"/>
    <mergeCell ref="I384:J384"/>
    <mergeCell ref="K389:L389"/>
    <mergeCell ref="M389:N389"/>
    <mergeCell ref="I401:J401"/>
    <mergeCell ref="K401:L401"/>
    <mergeCell ref="I398:J398"/>
    <mergeCell ref="I399:J399"/>
    <mergeCell ref="A400:G400"/>
    <mergeCell ref="I400:J400"/>
    <mergeCell ref="K400:L400"/>
    <mergeCell ref="M400:N400"/>
    <mergeCell ref="M401:N401"/>
    <mergeCell ref="I389:J389"/>
    <mergeCell ref="I390:J390"/>
    <mergeCell ref="K390:L390"/>
    <mergeCell ref="M390:N390"/>
    <mergeCell ref="A387:N387"/>
    <mergeCell ref="A388:G388"/>
    <mergeCell ref="I388:J388"/>
    <mergeCell ref="K388:L388"/>
    <mergeCell ref="M388:N388"/>
    <mergeCell ref="A389:G389"/>
    <mergeCell ref="A390:G390"/>
    <mergeCell ref="A391:G391"/>
    <mergeCell ref="I391:J391"/>
    <mergeCell ref="K391:L391"/>
    <mergeCell ref="M391:N391"/>
    <mergeCell ref="I392:J392"/>
    <mergeCell ref="K392:L392"/>
    <mergeCell ref="M392:N392"/>
    <mergeCell ref="A392:G392"/>
    <mergeCell ref="A393:G393"/>
    <mergeCell ref="I393:J393"/>
    <mergeCell ref="K393:L393"/>
    <mergeCell ref="M393:N393"/>
    <mergeCell ref="K394:L394"/>
    <mergeCell ref="M394:N394"/>
    <mergeCell ref="K398:L398"/>
    <mergeCell ref="M398:N398"/>
    <mergeCell ref="A401:G401"/>
    <mergeCell ref="K441:L441"/>
    <mergeCell ref="M441:N441"/>
    <mergeCell ref="A402:G402"/>
    <mergeCell ref="I402:J402"/>
    <mergeCell ref="K402:L402"/>
    <mergeCell ref="M402:N402"/>
    <mergeCell ref="K403:L403"/>
    <mergeCell ref="M403:N403"/>
    <mergeCell ref="A408:G408"/>
    <mergeCell ref="A409:G409"/>
    <mergeCell ref="A410:G410"/>
    <mergeCell ref="A411:G411"/>
    <mergeCell ref="A405:N405"/>
    <mergeCell ref="A406:G406"/>
    <mergeCell ref="I406:J406"/>
    <mergeCell ref="M406:N406"/>
    <mergeCell ref="A407:G407"/>
    <mergeCell ref="M407:N407"/>
    <mergeCell ref="M408:N408"/>
    <mergeCell ref="I407:J407"/>
    <mergeCell ref="I408:J408"/>
    <mergeCell ref="I409:J409"/>
    <mergeCell ref="M409:N409"/>
    <mergeCell ref="I410:J410"/>
    <mergeCell ref="M410:N410"/>
    <mergeCell ref="I411:J411"/>
    <mergeCell ref="K420:L420"/>
    <mergeCell ref="M420:N420"/>
    <mergeCell ref="I420:J420"/>
    <mergeCell ref="I421:J421"/>
    <mergeCell ref="K421:L421"/>
    <mergeCell ref="M421:N421"/>
    <mergeCell ref="M411:N411"/>
    <mergeCell ref="K412:L412"/>
    <mergeCell ref="M412:N412"/>
    <mergeCell ref="A414:N415"/>
    <mergeCell ref="A419:N419"/>
    <mergeCell ref="A420:G420"/>
    <mergeCell ref="A421:G421"/>
    <mergeCell ref="A432:G432"/>
    <mergeCell ref="I432:J432"/>
    <mergeCell ref="K432:L432"/>
    <mergeCell ref="M432:N432"/>
    <mergeCell ref="I433:J433"/>
    <mergeCell ref="K433:L433"/>
    <mergeCell ref="M433:N433"/>
    <mergeCell ref="A433:G433"/>
    <mergeCell ref="A434:G434"/>
    <mergeCell ref="I434:J434"/>
    <mergeCell ref="K434:L434"/>
    <mergeCell ref="M434:N434"/>
    <mergeCell ref="K435:L435"/>
    <mergeCell ref="M435:N435"/>
    <mergeCell ref="K439:L439"/>
    <mergeCell ref="M439:N439"/>
    <mergeCell ref="I439:J439"/>
    <mergeCell ref="I440:J440"/>
    <mergeCell ref="K440:L440"/>
    <mergeCell ref="M440:N440"/>
    <mergeCell ref="A437:N437"/>
    <mergeCell ref="A438:G438"/>
    <mergeCell ref="I438:J438"/>
    <mergeCell ref="A469:G469"/>
    <mergeCell ref="A472:N472"/>
    <mergeCell ref="A473:G473"/>
    <mergeCell ref="I473:J473"/>
    <mergeCell ref="K473:L473"/>
    <mergeCell ref="M473:N473"/>
    <mergeCell ref="M474:N474"/>
    <mergeCell ref="I477:J477"/>
    <mergeCell ref="K477:L477"/>
    <mergeCell ref="M477:N477"/>
    <mergeCell ref="I478:J478"/>
    <mergeCell ref="K478:L478"/>
    <mergeCell ref="A449:G449"/>
    <mergeCell ref="A450:G450"/>
    <mergeCell ref="I450:J450"/>
    <mergeCell ref="M450:N450"/>
    <mergeCell ref="A451:G451"/>
    <mergeCell ref="M451:N451"/>
    <mergeCell ref="M452:N452"/>
    <mergeCell ref="I461:J461"/>
    <mergeCell ref="I462:J462"/>
    <mergeCell ref="K462:L462"/>
    <mergeCell ref="M462:N462"/>
    <mergeCell ref="A452:G452"/>
    <mergeCell ref="A455:N456"/>
    <mergeCell ref="A460:N460"/>
    <mergeCell ref="A461:G461"/>
    <mergeCell ref="K438:L438"/>
    <mergeCell ref="M438:N438"/>
    <mergeCell ref="A439:G439"/>
    <mergeCell ref="A440:G440"/>
    <mergeCell ref="A422:G422"/>
    <mergeCell ref="I422:J422"/>
    <mergeCell ref="K422:L422"/>
    <mergeCell ref="M422:N422"/>
    <mergeCell ref="I423:J423"/>
    <mergeCell ref="K423:L423"/>
    <mergeCell ref="M423:N423"/>
    <mergeCell ref="K425:L425"/>
    <mergeCell ref="M425:N425"/>
    <mergeCell ref="K426:L426"/>
    <mergeCell ref="M426:N426"/>
    <mergeCell ref="A423:G423"/>
    <mergeCell ref="A424:G424"/>
    <mergeCell ref="I424:J424"/>
    <mergeCell ref="K424:L424"/>
    <mergeCell ref="M424:N424"/>
    <mergeCell ref="A425:G425"/>
    <mergeCell ref="I425:J425"/>
    <mergeCell ref="K430:L430"/>
    <mergeCell ref="M430:N430"/>
    <mergeCell ref="I430:J430"/>
    <mergeCell ref="I431:J431"/>
    <mergeCell ref="K431:L431"/>
    <mergeCell ref="M431:N431"/>
    <mergeCell ref="A428:N428"/>
    <mergeCell ref="A429:G429"/>
    <mergeCell ref="I429:J429"/>
    <mergeCell ref="K429:L429"/>
    <mergeCell ref="M429:N429"/>
    <mergeCell ref="A430:G430"/>
    <mergeCell ref="A431:G431"/>
    <mergeCell ref="A441:G441"/>
    <mergeCell ref="I441:J441"/>
    <mergeCell ref="A495:G495"/>
    <mergeCell ref="I495:J495"/>
    <mergeCell ref="M495:N495"/>
    <mergeCell ref="A496:G496"/>
    <mergeCell ref="I496:J496"/>
    <mergeCell ref="K488:L488"/>
    <mergeCell ref="M488:N488"/>
    <mergeCell ref="A490:N490"/>
    <mergeCell ref="I491:J491"/>
    <mergeCell ref="M491:N491"/>
    <mergeCell ref="A491:G491"/>
    <mergeCell ref="A492:G492"/>
    <mergeCell ref="I492:J492"/>
    <mergeCell ref="M492:N492"/>
    <mergeCell ref="A493:G493"/>
    <mergeCell ref="M493:N493"/>
    <mergeCell ref="A494:G494"/>
    <mergeCell ref="M494:N494"/>
    <mergeCell ref="I485:J485"/>
    <mergeCell ref="K485:L485"/>
    <mergeCell ref="M485:N485"/>
    <mergeCell ref="A485:G485"/>
    <mergeCell ref="A486:G486"/>
    <mergeCell ref="I486:J486"/>
    <mergeCell ref="K486:L486"/>
    <mergeCell ref="M486:N486"/>
    <mergeCell ref="A487:G487"/>
    <mergeCell ref="I442:J442"/>
    <mergeCell ref="K442:L442"/>
    <mergeCell ref="M442:N442"/>
    <mergeCell ref="A442:G442"/>
    <mergeCell ref="A443:G443"/>
    <mergeCell ref="I443:J443"/>
    <mergeCell ref="K443:L443"/>
    <mergeCell ref="M443:N443"/>
    <mergeCell ref="K444:L444"/>
    <mergeCell ref="M444:N444"/>
    <mergeCell ref="I448:J448"/>
    <mergeCell ref="I449:J449"/>
    <mergeCell ref="A446:N446"/>
    <mergeCell ref="A447:G447"/>
    <mergeCell ref="I447:J447"/>
    <mergeCell ref="M447:N447"/>
    <mergeCell ref="A448:G448"/>
    <mergeCell ref="M448:N448"/>
    <mergeCell ref="M449:N449"/>
    <mergeCell ref="I469:J469"/>
    <mergeCell ref="K469:L469"/>
    <mergeCell ref="K470:L470"/>
    <mergeCell ref="M470:N470"/>
    <mergeCell ref="K483:L483"/>
    <mergeCell ref="M483:N483"/>
    <mergeCell ref="K479:L479"/>
    <mergeCell ref="M479:N479"/>
    <mergeCell ref="A481:N481"/>
    <mergeCell ref="A482:G482"/>
    <mergeCell ref="K482:L482"/>
    <mergeCell ref="M482:N482"/>
    <mergeCell ref="A483:G483"/>
    <mergeCell ref="A484:G484"/>
    <mergeCell ref="I484:J484"/>
    <mergeCell ref="K484:L484"/>
    <mergeCell ref="M484:N484"/>
    <mergeCell ref="A478:G478"/>
    <mergeCell ref="I451:J451"/>
    <mergeCell ref="I452:J452"/>
    <mergeCell ref="K453:L453"/>
    <mergeCell ref="M453:N453"/>
    <mergeCell ref="I506:J506"/>
    <mergeCell ref="K506:L506"/>
    <mergeCell ref="A499:N500"/>
    <mergeCell ref="A504:N504"/>
    <mergeCell ref="A505:G505"/>
    <mergeCell ref="I505:J505"/>
    <mergeCell ref="K505:L505"/>
    <mergeCell ref="M505:N505"/>
    <mergeCell ref="M506:N506"/>
    <mergeCell ref="K467:L467"/>
    <mergeCell ref="M467:N467"/>
    <mergeCell ref="A468:G468"/>
    <mergeCell ref="I468:J468"/>
    <mergeCell ref="K468:L468"/>
    <mergeCell ref="M468:N468"/>
    <mergeCell ref="M469:N469"/>
    <mergeCell ref="A474:G474"/>
    <mergeCell ref="A475:G475"/>
    <mergeCell ref="A476:G476"/>
    <mergeCell ref="A477:G477"/>
    <mergeCell ref="I474:J474"/>
    <mergeCell ref="K474:L474"/>
    <mergeCell ref="I475:J475"/>
    <mergeCell ref="K475:L475"/>
    <mergeCell ref="M475:N475"/>
    <mergeCell ref="K476:L476"/>
    <mergeCell ref="A463:G463"/>
    <mergeCell ref="I463:J463"/>
    <mergeCell ref="K463:L463"/>
    <mergeCell ref="M463:N463"/>
    <mergeCell ref="I464:J464"/>
    <mergeCell ref="K464:L464"/>
    <mergeCell ref="M464:N464"/>
    <mergeCell ref="A464:G464"/>
    <mergeCell ref="A465:G465"/>
    <mergeCell ref="I465:J465"/>
    <mergeCell ref="K465:L465"/>
    <mergeCell ref="M465:N465"/>
    <mergeCell ref="A466:G466"/>
    <mergeCell ref="A467:G467"/>
    <mergeCell ref="M476:N476"/>
    <mergeCell ref="I476:J476"/>
    <mergeCell ref="M478:N478"/>
    <mergeCell ref="K461:L461"/>
    <mergeCell ref="M461:N461"/>
    <mergeCell ref="A462:G462"/>
    <mergeCell ref="K466:L466"/>
    <mergeCell ref="M466:N466"/>
    <mergeCell ref="I466:J466"/>
    <mergeCell ref="I467:J467"/>
    <mergeCell ref="I482:J482"/>
    <mergeCell ref="I483:J483"/>
    <mergeCell ref="I487:J487"/>
    <mergeCell ref="K487:L487"/>
    <mergeCell ref="M487:N487"/>
    <mergeCell ref="M496:N496"/>
    <mergeCell ref="K497:L497"/>
    <mergeCell ref="M497:N497"/>
    <mergeCell ref="I493:J493"/>
    <mergeCell ref="I494:J494"/>
    <mergeCell ref="I509:J509"/>
    <mergeCell ref="K509:L509"/>
    <mergeCell ref="M509:N509"/>
    <mergeCell ref="A506:G506"/>
    <mergeCell ref="A507:G507"/>
    <mergeCell ref="I507:J507"/>
    <mergeCell ref="K507:L507"/>
    <mergeCell ref="M507:N507"/>
    <mergeCell ref="A508:G508"/>
    <mergeCell ref="A509:G509"/>
    <mergeCell ref="A510:G510"/>
    <mergeCell ref="I510:J510"/>
    <mergeCell ref="K510:L510"/>
    <mergeCell ref="M510:N510"/>
    <mergeCell ref="I511:J511"/>
    <mergeCell ref="K511:L511"/>
    <mergeCell ref="M511:N511"/>
    <mergeCell ref="K513:L513"/>
    <mergeCell ref="M513:N513"/>
    <mergeCell ref="K514:L514"/>
    <mergeCell ref="M514:N514"/>
    <mergeCell ref="A511:G511"/>
    <mergeCell ref="A512:G512"/>
    <mergeCell ref="I512:J512"/>
    <mergeCell ref="K512:L512"/>
    <mergeCell ref="M512:N512"/>
    <mergeCell ref="A513:G513"/>
    <mergeCell ref="I513:J513"/>
    <mergeCell ref="K508:L508"/>
    <mergeCell ref="M508:N508"/>
    <mergeCell ref="K518:L518"/>
    <mergeCell ref="M518:N518"/>
    <mergeCell ref="K528:L528"/>
    <mergeCell ref="M528:N528"/>
    <mergeCell ref="A525:N525"/>
    <mergeCell ref="A526:G526"/>
    <mergeCell ref="I526:J526"/>
    <mergeCell ref="K526:L526"/>
    <mergeCell ref="M526:N526"/>
    <mergeCell ref="A527:G527"/>
    <mergeCell ref="A528:G528"/>
    <mergeCell ref="I508:J508"/>
    <mergeCell ref="I530:J530"/>
    <mergeCell ref="K530:L530"/>
    <mergeCell ref="I527:J527"/>
    <mergeCell ref="I528:J528"/>
    <mergeCell ref="A529:G529"/>
    <mergeCell ref="I529:J529"/>
    <mergeCell ref="K529:L529"/>
    <mergeCell ref="M529:N529"/>
    <mergeCell ref="M530:N530"/>
    <mergeCell ref="I518:J518"/>
    <mergeCell ref="I519:J519"/>
    <mergeCell ref="K519:L519"/>
    <mergeCell ref="M519:N519"/>
    <mergeCell ref="A516:N516"/>
    <mergeCell ref="A517:G517"/>
    <mergeCell ref="I517:J517"/>
    <mergeCell ref="K517:L517"/>
    <mergeCell ref="M517:N517"/>
    <mergeCell ref="A518:G518"/>
    <mergeCell ref="A519:G519"/>
    <mergeCell ref="A520:G520"/>
    <mergeCell ref="I520:J520"/>
    <mergeCell ref="K520:L520"/>
    <mergeCell ref="M520:N520"/>
    <mergeCell ref="I521:J521"/>
    <mergeCell ref="K521:L521"/>
    <mergeCell ref="M521:N521"/>
    <mergeCell ref="A521:G521"/>
    <mergeCell ref="A522:G522"/>
    <mergeCell ref="I522:J522"/>
    <mergeCell ref="K522:L522"/>
    <mergeCell ref="M522:N522"/>
    <mergeCell ref="K523:L523"/>
    <mergeCell ref="M523:N523"/>
    <mergeCell ref="K527:L527"/>
    <mergeCell ref="M527:N527"/>
    <mergeCell ref="A530:G530"/>
    <mergeCell ref="A531:G531"/>
    <mergeCell ref="I531:J531"/>
    <mergeCell ref="K531:L531"/>
    <mergeCell ref="M531:N531"/>
    <mergeCell ref="K532:L532"/>
    <mergeCell ref="M532:N532"/>
    <mergeCell ref="A537:G537"/>
    <mergeCell ref="A538:G538"/>
    <mergeCell ref="A539:G539"/>
    <mergeCell ref="A540:G540"/>
    <mergeCell ref="A534:N534"/>
    <mergeCell ref="A535:G535"/>
    <mergeCell ref="I535:J535"/>
    <mergeCell ref="M535:N535"/>
    <mergeCell ref="A536:G536"/>
    <mergeCell ref="M536:N536"/>
    <mergeCell ref="M537:N537"/>
    <mergeCell ref="I536:J536"/>
    <mergeCell ref="I537:J537"/>
    <mergeCell ref="I538:J538"/>
    <mergeCell ref="M538:N538"/>
    <mergeCell ref="I539:J539"/>
    <mergeCell ref="M539:N539"/>
    <mergeCell ref="I540:J540"/>
    <mergeCell ref="K549:L549"/>
    <mergeCell ref="M549:N549"/>
    <mergeCell ref="I549:J549"/>
    <mergeCell ref="I550:J550"/>
    <mergeCell ref="K550:L550"/>
    <mergeCell ref="M550:N550"/>
    <mergeCell ref="M540:N540"/>
    <mergeCell ref="K541:L541"/>
    <mergeCell ref="M541:N541"/>
    <mergeCell ref="A543:N544"/>
    <mergeCell ref="A548:N548"/>
    <mergeCell ref="A549:G549"/>
    <mergeCell ref="A550:G550"/>
    <mergeCell ref="A551:G551"/>
    <mergeCell ref="I551:J551"/>
    <mergeCell ref="K551:L551"/>
    <mergeCell ref="M551:N551"/>
    <mergeCell ref="I552:J552"/>
    <mergeCell ref="K552:L552"/>
    <mergeCell ref="M552:N552"/>
    <mergeCell ref="K554:L554"/>
    <mergeCell ref="M554:N554"/>
    <mergeCell ref="K555:L555"/>
    <mergeCell ref="M555:N555"/>
    <mergeCell ref="A552:G552"/>
    <mergeCell ref="A553:G553"/>
    <mergeCell ref="I553:J553"/>
    <mergeCell ref="K553:L553"/>
    <mergeCell ref="M553:N553"/>
    <mergeCell ref="A554:G554"/>
    <mergeCell ref="I554:J554"/>
    <mergeCell ref="K559:L559"/>
    <mergeCell ref="M559:N559"/>
    <mergeCell ref="I559:J559"/>
    <mergeCell ref="I560:J560"/>
    <mergeCell ref="K560:L560"/>
    <mergeCell ref="M560:N560"/>
    <mergeCell ref="A557:N557"/>
    <mergeCell ref="A558:G558"/>
    <mergeCell ref="I558:J558"/>
    <mergeCell ref="K558:L558"/>
    <mergeCell ref="M558:N558"/>
    <mergeCell ref="A559:G559"/>
    <mergeCell ref="A560:G560"/>
    <mergeCell ref="A570:G570"/>
    <mergeCell ref="I570:J570"/>
    <mergeCell ref="K570:L570"/>
    <mergeCell ref="M570:N570"/>
    <mergeCell ref="I571:J571"/>
    <mergeCell ref="K571:L571"/>
    <mergeCell ref="M571:N571"/>
    <mergeCell ref="A571:G571"/>
    <mergeCell ref="A572:G572"/>
    <mergeCell ref="I572:J572"/>
    <mergeCell ref="K572:L572"/>
    <mergeCell ref="M572:N572"/>
    <mergeCell ref="K573:L573"/>
    <mergeCell ref="M573:N573"/>
    <mergeCell ref="I577:J577"/>
    <mergeCell ref="I578:J578"/>
    <mergeCell ref="A575:N575"/>
    <mergeCell ref="A576:G576"/>
    <mergeCell ref="I576:J576"/>
    <mergeCell ref="M576:N576"/>
    <mergeCell ref="A577:G577"/>
    <mergeCell ref="M577:N577"/>
    <mergeCell ref="M578:N578"/>
    <mergeCell ref="A561:G561"/>
    <mergeCell ref="I561:J561"/>
    <mergeCell ref="K561:L561"/>
    <mergeCell ref="M561:N561"/>
    <mergeCell ref="I562:J562"/>
    <mergeCell ref="K562:L562"/>
    <mergeCell ref="M562:N562"/>
    <mergeCell ref="A562:G562"/>
    <mergeCell ref="A563:G563"/>
    <mergeCell ref="I563:J563"/>
    <mergeCell ref="K563:L563"/>
    <mergeCell ref="M563:N563"/>
    <mergeCell ref="K564:L564"/>
    <mergeCell ref="M564:N564"/>
    <mergeCell ref="K568:L568"/>
    <mergeCell ref="M568:N568"/>
    <mergeCell ref="I568:J568"/>
    <mergeCell ref="I569:J569"/>
    <mergeCell ref="K569:L569"/>
    <mergeCell ref="M569:N569"/>
    <mergeCell ref="A566:N566"/>
    <mergeCell ref="A567:G567"/>
    <mergeCell ref="I567:J567"/>
    <mergeCell ref="K567:L567"/>
    <mergeCell ref="M567:N567"/>
    <mergeCell ref="A568:G568"/>
    <mergeCell ref="A569:G569"/>
    <mergeCell ref="I580:J580"/>
    <mergeCell ref="I581:J581"/>
    <mergeCell ref="K582:L582"/>
    <mergeCell ref="M582:N582"/>
    <mergeCell ref="A578:G578"/>
    <mergeCell ref="A579:G579"/>
    <mergeCell ref="I579:J579"/>
    <mergeCell ref="M579:N579"/>
    <mergeCell ref="A580:G580"/>
    <mergeCell ref="M580:N580"/>
    <mergeCell ref="M581:N581"/>
    <mergeCell ref="I590:J590"/>
    <mergeCell ref="I591:J591"/>
    <mergeCell ref="K591:L591"/>
    <mergeCell ref="M591:N591"/>
    <mergeCell ref="A581:G581"/>
    <mergeCell ref="A584:N585"/>
    <mergeCell ref="A589:N589"/>
    <mergeCell ref="A590:G590"/>
    <mergeCell ref="K590:L590"/>
    <mergeCell ref="M590:N590"/>
    <mergeCell ref="A591:G591"/>
    <mergeCell ref="A592:G592"/>
    <mergeCell ref="I592:J592"/>
    <mergeCell ref="K592:L592"/>
    <mergeCell ref="M592:N592"/>
    <mergeCell ref="I593:J593"/>
    <mergeCell ref="K593:L593"/>
    <mergeCell ref="M593:N593"/>
    <mergeCell ref="K595:L595"/>
    <mergeCell ref="M595:N595"/>
    <mergeCell ref="K596:L596"/>
    <mergeCell ref="M596:N596"/>
    <mergeCell ref="A593:G593"/>
    <mergeCell ref="A594:G594"/>
    <mergeCell ref="I594:J594"/>
    <mergeCell ref="K594:L594"/>
    <mergeCell ref="M594:N594"/>
    <mergeCell ref="A595:G595"/>
    <mergeCell ref="I595:J595"/>
    <mergeCell ref="K600:L600"/>
    <mergeCell ref="M600:N600"/>
    <mergeCell ref="I600:J600"/>
    <mergeCell ref="I601:J601"/>
    <mergeCell ref="K601:L601"/>
    <mergeCell ref="M601:N601"/>
    <mergeCell ref="A598:N598"/>
    <mergeCell ref="A599:G599"/>
    <mergeCell ref="I599:J599"/>
    <mergeCell ref="K599:L599"/>
    <mergeCell ref="M599:N599"/>
    <mergeCell ref="A600:G600"/>
    <mergeCell ref="A601:G601"/>
    <mergeCell ref="A602:G602"/>
    <mergeCell ref="I602:J602"/>
    <mergeCell ref="K602:L602"/>
    <mergeCell ref="M602:N602"/>
    <mergeCell ref="I603:J603"/>
    <mergeCell ref="K603:L603"/>
    <mergeCell ref="M603:N603"/>
    <mergeCell ref="A603:G603"/>
    <mergeCell ref="A604:G604"/>
    <mergeCell ref="I604:J604"/>
    <mergeCell ref="K604:L604"/>
    <mergeCell ref="M604:N604"/>
    <mergeCell ref="K605:L605"/>
    <mergeCell ref="M605:N605"/>
    <mergeCell ref="K609:L609"/>
    <mergeCell ref="M609:N609"/>
    <mergeCell ref="M622:N622"/>
    <mergeCell ref="K623:L623"/>
    <mergeCell ref="M623:N623"/>
    <mergeCell ref="I618:J618"/>
    <mergeCell ref="I619:J619"/>
    <mergeCell ref="I620:J620"/>
    <mergeCell ref="M620:N620"/>
    <mergeCell ref="I621:J621"/>
    <mergeCell ref="M621:N621"/>
    <mergeCell ref="I622:J622"/>
    <mergeCell ref="I609:J609"/>
    <mergeCell ref="I610:J610"/>
    <mergeCell ref="K610:L610"/>
    <mergeCell ref="M610:N610"/>
    <mergeCell ref="A607:N607"/>
    <mergeCell ref="A608:G608"/>
    <mergeCell ref="I608:J608"/>
    <mergeCell ref="K608:L608"/>
    <mergeCell ref="M608:N608"/>
    <mergeCell ref="A609:G609"/>
    <mergeCell ref="A610:G610"/>
    <mergeCell ref="A611:G611"/>
    <mergeCell ref="I611:J611"/>
    <mergeCell ref="K611:L611"/>
    <mergeCell ref="M611:N611"/>
    <mergeCell ref="I612:J612"/>
    <mergeCell ref="K612:L612"/>
    <mergeCell ref="M612:N612"/>
    <mergeCell ref="A612:G612"/>
    <mergeCell ref="A613:G613"/>
    <mergeCell ref="I613:J613"/>
    <mergeCell ref="K613:L613"/>
    <mergeCell ref="M613:N613"/>
    <mergeCell ref="K614:L614"/>
    <mergeCell ref="M614:N614"/>
    <mergeCell ref="I631:J631"/>
    <mergeCell ref="K631:L631"/>
    <mergeCell ref="I632:J632"/>
    <mergeCell ref="K632:L632"/>
    <mergeCell ref="M632:N632"/>
    <mergeCell ref="K633:L633"/>
    <mergeCell ref="M633:N633"/>
    <mergeCell ref="K637:L637"/>
    <mergeCell ref="M637:N637"/>
    <mergeCell ref="I633:J633"/>
    <mergeCell ref="I634:J634"/>
    <mergeCell ref="K634:L634"/>
    <mergeCell ref="M634:N634"/>
    <mergeCell ref="I635:J635"/>
    <mergeCell ref="K635:L635"/>
    <mergeCell ref="M635:N635"/>
    <mergeCell ref="I636:J636"/>
    <mergeCell ref="K636:L636"/>
    <mergeCell ref="M636:N636"/>
    <mergeCell ref="A639:N639"/>
    <mergeCell ref="I640:J640"/>
    <mergeCell ref="K640:L640"/>
    <mergeCell ref="M640:N640"/>
    <mergeCell ref="A640:G640"/>
    <mergeCell ref="A641:G641"/>
    <mergeCell ref="I641:J641"/>
    <mergeCell ref="K641:L641"/>
    <mergeCell ref="M641:N641"/>
    <mergeCell ref="A642:G642"/>
    <mergeCell ref="I642:J642"/>
    <mergeCell ref="I644:J644"/>
    <mergeCell ref="K644:L644"/>
    <mergeCell ref="K642:L642"/>
    <mergeCell ref="M642:N642"/>
    <mergeCell ref="A643:G643"/>
    <mergeCell ref="I643:J643"/>
    <mergeCell ref="K643:L643"/>
    <mergeCell ref="M643:N643"/>
    <mergeCell ref="M644:N644"/>
    <mergeCell ref="I682:J682"/>
    <mergeCell ref="I683:J683"/>
    <mergeCell ref="K683:L683"/>
    <mergeCell ref="M683:N683"/>
    <mergeCell ref="K678:L678"/>
    <mergeCell ref="M678:N678"/>
    <mergeCell ref="K679:L679"/>
    <mergeCell ref="M679:N679"/>
    <mergeCell ref="A681:N681"/>
    <mergeCell ref="A682:G682"/>
    <mergeCell ref="A683:G683"/>
    <mergeCell ref="A684:G684"/>
    <mergeCell ref="I684:J684"/>
    <mergeCell ref="K684:L684"/>
    <mergeCell ref="M684:N684"/>
    <mergeCell ref="I685:J685"/>
    <mergeCell ref="K685:L685"/>
    <mergeCell ref="M685:N685"/>
    <mergeCell ref="K687:L687"/>
    <mergeCell ref="M687:N687"/>
    <mergeCell ref="K688:L688"/>
    <mergeCell ref="M688:N688"/>
    <mergeCell ref="A685:G685"/>
    <mergeCell ref="A686:G686"/>
    <mergeCell ref="I686:J686"/>
    <mergeCell ref="K686:L686"/>
    <mergeCell ref="M686:N686"/>
    <mergeCell ref="A687:G687"/>
    <mergeCell ref="I687:J687"/>
    <mergeCell ref="K692:L692"/>
    <mergeCell ref="M692:N692"/>
    <mergeCell ref="I692:J692"/>
    <mergeCell ref="I693:J693"/>
    <mergeCell ref="K693:L693"/>
    <mergeCell ref="M693:N693"/>
    <mergeCell ref="A690:N690"/>
    <mergeCell ref="A691:G691"/>
    <mergeCell ref="I691:J691"/>
    <mergeCell ref="K691:L691"/>
    <mergeCell ref="M691:N691"/>
    <mergeCell ref="A692:G692"/>
    <mergeCell ref="A693:G693"/>
    <mergeCell ref="K682:L682"/>
    <mergeCell ref="M682:N682"/>
    <mergeCell ref="A694:G694"/>
    <mergeCell ref="I694:J694"/>
    <mergeCell ref="K694:L694"/>
    <mergeCell ref="M694:N694"/>
    <mergeCell ref="I695:J695"/>
    <mergeCell ref="K695:L695"/>
    <mergeCell ref="M695:N695"/>
    <mergeCell ref="A695:G695"/>
    <mergeCell ref="A696:G696"/>
    <mergeCell ref="I696:J696"/>
    <mergeCell ref="K696:L696"/>
    <mergeCell ref="M696:N696"/>
    <mergeCell ref="K697:L697"/>
    <mergeCell ref="M697:N697"/>
    <mergeCell ref="A702:G702"/>
    <mergeCell ref="A703:G703"/>
    <mergeCell ref="A704:G704"/>
    <mergeCell ref="A705:G705"/>
    <mergeCell ref="A699:N699"/>
    <mergeCell ref="A700:G700"/>
    <mergeCell ref="I700:J700"/>
    <mergeCell ref="M700:N700"/>
    <mergeCell ref="A701:G701"/>
    <mergeCell ref="M701:N701"/>
    <mergeCell ref="M702:N702"/>
    <mergeCell ref="A715:G715"/>
    <mergeCell ref="I715:J715"/>
    <mergeCell ref="K715:L715"/>
    <mergeCell ref="M715:N715"/>
    <mergeCell ref="I716:J716"/>
    <mergeCell ref="K716:L716"/>
    <mergeCell ref="M716:N716"/>
    <mergeCell ref="A716:G716"/>
    <mergeCell ref="A717:G717"/>
    <mergeCell ref="I717:J717"/>
    <mergeCell ref="K717:L717"/>
    <mergeCell ref="M717:N717"/>
    <mergeCell ref="A718:G718"/>
    <mergeCell ref="I718:J718"/>
    <mergeCell ref="I701:J701"/>
    <mergeCell ref="I702:J702"/>
    <mergeCell ref="I703:J703"/>
    <mergeCell ref="M703:N703"/>
    <mergeCell ref="I704:J704"/>
    <mergeCell ref="M704:N704"/>
    <mergeCell ref="I705:J705"/>
    <mergeCell ref="K713:L713"/>
    <mergeCell ref="M713:N713"/>
    <mergeCell ref="I713:J713"/>
    <mergeCell ref="I714:J714"/>
    <mergeCell ref="K714:L714"/>
    <mergeCell ref="M714:N714"/>
    <mergeCell ref="M705:N705"/>
    <mergeCell ref="K706:L706"/>
    <mergeCell ref="M706:N706"/>
    <mergeCell ref="A707:N708"/>
    <mergeCell ref="A712:N712"/>
    <mergeCell ref="A713:G713"/>
    <mergeCell ref="A714:G714"/>
    <mergeCell ref="K718:L718"/>
    <mergeCell ref="M718:N718"/>
    <mergeCell ref="K719:L719"/>
    <mergeCell ref="M719:N719"/>
    <mergeCell ref="K723:L723"/>
    <mergeCell ref="M723:N723"/>
    <mergeCell ref="A616:N616"/>
    <mergeCell ref="A617:G617"/>
    <mergeCell ref="I617:J617"/>
    <mergeCell ref="M617:N617"/>
    <mergeCell ref="A618:G618"/>
    <mergeCell ref="M618:N618"/>
    <mergeCell ref="M619:N619"/>
    <mergeCell ref="A619:G619"/>
    <mergeCell ref="A620:G620"/>
    <mergeCell ref="A621:G621"/>
    <mergeCell ref="A622:G622"/>
    <mergeCell ref="A625:N626"/>
    <mergeCell ref="A630:N630"/>
    <mergeCell ref="M631:N631"/>
    <mergeCell ref="A631:G631"/>
    <mergeCell ref="A632:G632"/>
    <mergeCell ref="A633:G633"/>
    <mergeCell ref="A634:G634"/>
    <mergeCell ref="A635:G635"/>
    <mergeCell ref="A636:G636"/>
    <mergeCell ref="A644:G644"/>
    <mergeCell ref="A645:G645"/>
    <mergeCell ref="I645:J645"/>
    <mergeCell ref="K645:L645"/>
    <mergeCell ref="M645:N645"/>
    <mergeCell ref="K646:L646"/>
    <mergeCell ref="M646:N646"/>
    <mergeCell ref="I659:J659"/>
    <mergeCell ref="I660:J660"/>
    <mergeCell ref="A657:N657"/>
    <mergeCell ref="A658:G658"/>
    <mergeCell ref="I658:J658"/>
    <mergeCell ref="M658:N658"/>
    <mergeCell ref="A659:G659"/>
    <mergeCell ref="M659:N659"/>
    <mergeCell ref="M660:N660"/>
    <mergeCell ref="K650:L650"/>
    <mergeCell ref="M650:N650"/>
    <mergeCell ref="I650:J650"/>
    <mergeCell ref="I651:J651"/>
    <mergeCell ref="K651:L651"/>
    <mergeCell ref="M651:N651"/>
    <mergeCell ref="A648:N648"/>
    <mergeCell ref="A649:G649"/>
    <mergeCell ref="I649:J649"/>
    <mergeCell ref="K649:L649"/>
    <mergeCell ref="M649:N649"/>
    <mergeCell ref="A650:G650"/>
    <mergeCell ref="A651:G651"/>
    <mergeCell ref="A652:G652"/>
    <mergeCell ref="I652:J652"/>
    <mergeCell ref="K652:L652"/>
    <mergeCell ref="M652:N652"/>
    <mergeCell ref="I653:J653"/>
    <mergeCell ref="K653:L653"/>
    <mergeCell ref="M653:N653"/>
    <mergeCell ref="A653:G653"/>
    <mergeCell ref="A654:G654"/>
    <mergeCell ref="I654:J654"/>
    <mergeCell ref="K654:L654"/>
    <mergeCell ref="M654:N654"/>
    <mergeCell ref="K655:L655"/>
    <mergeCell ref="M655:N655"/>
    <mergeCell ref="I662:J662"/>
    <mergeCell ref="I663:J663"/>
    <mergeCell ref="K664:L664"/>
    <mergeCell ref="M664:N664"/>
    <mergeCell ref="A674:G674"/>
    <mergeCell ref="I674:J674"/>
    <mergeCell ref="K674:L674"/>
    <mergeCell ref="M674:N674"/>
    <mergeCell ref="I675:J675"/>
    <mergeCell ref="K675:L675"/>
    <mergeCell ref="M675:N675"/>
    <mergeCell ref="A675:G675"/>
    <mergeCell ref="A676:G676"/>
    <mergeCell ref="I676:J676"/>
    <mergeCell ref="K676:L676"/>
    <mergeCell ref="M676:N676"/>
    <mergeCell ref="A677:G677"/>
    <mergeCell ref="A678:G678"/>
    <mergeCell ref="A660:G660"/>
    <mergeCell ref="A661:G661"/>
    <mergeCell ref="I661:J661"/>
    <mergeCell ref="M661:N661"/>
    <mergeCell ref="A662:G662"/>
    <mergeCell ref="M662:N662"/>
    <mergeCell ref="M663:N663"/>
    <mergeCell ref="I672:J672"/>
    <mergeCell ref="I673:J673"/>
    <mergeCell ref="K673:L673"/>
    <mergeCell ref="M673:N673"/>
    <mergeCell ref="A663:G663"/>
    <mergeCell ref="A666:N667"/>
    <mergeCell ref="A671:N671"/>
    <mergeCell ref="A672:G672"/>
    <mergeCell ref="K672:L672"/>
    <mergeCell ref="M672:N672"/>
    <mergeCell ref="A673:G673"/>
    <mergeCell ref="K677:L677"/>
    <mergeCell ref="M677:N677"/>
    <mergeCell ref="I677:J677"/>
    <mergeCell ref="I678:J678"/>
    <mergeCell ref="I1015:J1015"/>
    <mergeCell ref="I1016:J1016"/>
    <mergeCell ref="K1016:L1016"/>
    <mergeCell ref="M1016:N1016"/>
    <mergeCell ref="M786:N786"/>
    <mergeCell ref="K787:L787"/>
    <mergeCell ref="M787:N787"/>
    <mergeCell ref="A792:G792"/>
    <mergeCell ref="A793:G793"/>
    <mergeCell ref="A794:G794"/>
    <mergeCell ref="A795:G795"/>
    <mergeCell ref="A789:N789"/>
    <mergeCell ref="A790:G790"/>
    <mergeCell ref="I790:J790"/>
    <mergeCell ref="M790:N790"/>
    <mergeCell ref="A791:G791"/>
    <mergeCell ref="M791:N791"/>
    <mergeCell ref="M792:N792"/>
    <mergeCell ref="I735:J735"/>
    <mergeCell ref="K735:L735"/>
    <mergeCell ref="I732:J732"/>
    <mergeCell ref="I733:J733"/>
    <mergeCell ref="A734:G734"/>
    <mergeCell ref="I734:J734"/>
    <mergeCell ref="K734:L734"/>
    <mergeCell ref="M734:N734"/>
    <mergeCell ref="M735:N735"/>
    <mergeCell ref="A742:G742"/>
    <mergeCell ref="A743:G743"/>
    <mergeCell ref="A744:G744"/>
    <mergeCell ref="A745:G745"/>
    <mergeCell ref="A739:N739"/>
    <mergeCell ref="A740:G740"/>
    <mergeCell ref="I740:J740"/>
    <mergeCell ref="M740:N740"/>
    <mergeCell ref="A741:G741"/>
    <mergeCell ref="M741:N741"/>
    <mergeCell ref="M742:N742"/>
    <mergeCell ref="I741:J741"/>
    <mergeCell ref="I742:J742"/>
    <mergeCell ref="I743:J743"/>
    <mergeCell ref="M743:N743"/>
    <mergeCell ref="I744:J744"/>
    <mergeCell ref="M744:N744"/>
    <mergeCell ref="I745:J745"/>
    <mergeCell ref="K754:L754"/>
    <mergeCell ref="M754:N754"/>
    <mergeCell ref="I754:J754"/>
    <mergeCell ref="I755:J755"/>
    <mergeCell ref="K755:L755"/>
    <mergeCell ref="M755:N755"/>
    <mergeCell ref="M745:N745"/>
    <mergeCell ref="K746:L746"/>
    <mergeCell ref="M746:N746"/>
    <mergeCell ref="A748:N749"/>
    <mergeCell ref="A753:N753"/>
    <mergeCell ref="A754:G754"/>
    <mergeCell ref="A755:G755"/>
    <mergeCell ref="A761:G761"/>
    <mergeCell ref="I761:J761"/>
    <mergeCell ref="K761:L761"/>
    <mergeCell ref="M761:N761"/>
    <mergeCell ref="I762:J762"/>
    <mergeCell ref="K762:L762"/>
    <mergeCell ref="I1017:J1017"/>
    <mergeCell ref="K1017:L1017"/>
    <mergeCell ref="M1017:N1017"/>
    <mergeCell ref="I991:J991"/>
    <mergeCell ref="I992:J992"/>
    <mergeCell ref="K992:L992"/>
    <mergeCell ref="M992:N992"/>
    <mergeCell ref="A989:N989"/>
    <mergeCell ref="A990:G990"/>
    <mergeCell ref="I990:J990"/>
    <mergeCell ref="K990:L990"/>
    <mergeCell ref="M990:N990"/>
    <mergeCell ref="A991:G991"/>
    <mergeCell ref="A992:G992"/>
    <mergeCell ref="A993:G993"/>
    <mergeCell ref="I993:J993"/>
    <mergeCell ref="K993:L993"/>
    <mergeCell ref="M993:N993"/>
    <mergeCell ref="I994:J994"/>
    <mergeCell ref="K994:L994"/>
    <mergeCell ref="M994:N994"/>
    <mergeCell ref="A994:G994"/>
    <mergeCell ref="A995:G995"/>
    <mergeCell ref="I995:J995"/>
    <mergeCell ref="K995:L995"/>
    <mergeCell ref="M995:N995"/>
    <mergeCell ref="K996:L996"/>
    <mergeCell ref="M996:N996"/>
    <mergeCell ref="A1013:G1013"/>
    <mergeCell ref="A1014:G1014"/>
    <mergeCell ref="A1015:G1015"/>
    <mergeCell ref="A1016:G1016"/>
    <mergeCell ref="A1017:G1017"/>
    <mergeCell ref="M1004:N1004"/>
    <mergeCell ref="K1005:L1005"/>
    <mergeCell ref="M1005:N1005"/>
    <mergeCell ref="I1000:J1000"/>
    <mergeCell ref="I1001:J1001"/>
    <mergeCell ref="I1002:J1002"/>
    <mergeCell ref="M1002:N1002"/>
    <mergeCell ref="I1003:J1003"/>
    <mergeCell ref="M1003:N1003"/>
    <mergeCell ref="I1004:J1004"/>
    <mergeCell ref="A998:N998"/>
    <mergeCell ref="A999:G999"/>
    <mergeCell ref="I999:J999"/>
    <mergeCell ref="M999:N999"/>
    <mergeCell ref="A1000:G1000"/>
    <mergeCell ref="M1000:N1000"/>
    <mergeCell ref="M1001:N1001"/>
    <mergeCell ref="A1001:G1001"/>
    <mergeCell ref="A1002:G1002"/>
    <mergeCell ref="A1003:G1003"/>
    <mergeCell ref="A1004:G1004"/>
    <mergeCell ref="A1007:N1008"/>
    <mergeCell ref="A1012:N1012"/>
    <mergeCell ref="M1013:N1013"/>
    <mergeCell ref="I1013:J1013"/>
    <mergeCell ref="K1013:L1013"/>
    <mergeCell ref="I1014:J1014"/>
    <mergeCell ref="K1014:L1014"/>
    <mergeCell ref="M1014:N1014"/>
    <mergeCell ref="K1015:L1015"/>
    <mergeCell ref="M1015:N1015"/>
    <mergeCell ref="A1018:G1018"/>
    <mergeCell ref="A1019:G1019"/>
    <mergeCell ref="I1018:J1018"/>
    <mergeCell ref="K1018:L1018"/>
    <mergeCell ref="M1018:N1018"/>
    <mergeCell ref="I1019:J1019"/>
    <mergeCell ref="K1019:L1019"/>
    <mergeCell ref="M1019:N1019"/>
    <mergeCell ref="K1020:L1020"/>
    <mergeCell ref="A1024:G1024"/>
    <mergeCell ref="A1025:G1025"/>
    <mergeCell ref="A1026:G1026"/>
    <mergeCell ref="A1027:G1027"/>
    <mergeCell ref="A1028:G1028"/>
    <mergeCell ref="M1020:N1020"/>
    <mergeCell ref="A1022:N1022"/>
    <mergeCell ref="A1023:G1023"/>
    <mergeCell ref="I1023:J1023"/>
    <mergeCell ref="K1023:L1023"/>
    <mergeCell ref="M1023:N1023"/>
    <mergeCell ref="M1024:N1024"/>
    <mergeCell ref="I1024:J1024"/>
    <mergeCell ref="K1024:L1024"/>
    <mergeCell ref="I1025:J1025"/>
    <mergeCell ref="K1025:L1025"/>
    <mergeCell ref="M1025:N1025"/>
    <mergeCell ref="K1026:L1026"/>
    <mergeCell ref="M1026:N1026"/>
    <mergeCell ref="I1026:J1026"/>
    <mergeCell ref="I1027:J1027"/>
    <mergeCell ref="K1027:L1027"/>
    <mergeCell ref="M1027:N1027"/>
    <mergeCell ref="I1028:J1028"/>
    <mergeCell ref="K1028:L1028"/>
    <mergeCell ref="M1028:N1028"/>
    <mergeCell ref="I1032:J1032"/>
    <mergeCell ref="I1033:J1033"/>
    <mergeCell ref="K1033:L1033"/>
    <mergeCell ref="M1033:N1033"/>
    <mergeCell ref="K1029:L1029"/>
    <mergeCell ref="M1029:N1029"/>
    <mergeCell ref="A1031:N1031"/>
    <mergeCell ref="A1032:G1032"/>
    <mergeCell ref="K1032:L1032"/>
    <mergeCell ref="M1032:N1032"/>
    <mergeCell ref="A1033:G1033"/>
    <mergeCell ref="A1034:G1034"/>
    <mergeCell ref="I1034:J1034"/>
    <mergeCell ref="K1034:L1034"/>
    <mergeCell ref="M1034:N1034"/>
    <mergeCell ref="I1035:J1035"/>
    <mergeCell ref="K1035:L1035"/>
    <mergeCell ref="M1035:N1035"/>
    <mergeCell ref="K1037:L1037"/>
    <mergeCell ref="M1037:N1037"/>
    <mergeCell ref="K1038:L1038"/>
    <mergeCell ref="M1038:N1038"/>
    <mergeCell ref="A1035:G1035"/>
    <mergeCell ref="A1036:G1036"/>
    <mergeCell ref="I1036:J1036"/>
    <mergeCell ref="K1036:L1036"/>
    <mergeCell ref="M1036:N1036"/>
    <mergeCell ref="A1037:G1037"/>
    <mergeCell ref="I1037:J1037"/>
    <mergeCell ref="A1043:G1043"/>
    <mergeCell ref="A1044:G1044"/>
    <mergeCell ref="A1045:G1045"/>
    <mergeCell ref="A1046:G1046"/>
    <mergeCell ref="A1040:N1040"/>
    <mergeCell ref="A1041:G1041"/>
    <mergeCell ref="I1041:J1041"/>
    <mergeCell ref="M1041:N1041"/>
    <mergeCell ref="A1042:G1042"/>
    <mergeCell ref="M1042:N1042"/>
    <mergeCell ref="M1043:N1043"/>
    <mergeCell ref="I1042:J1042"/>
    <mergeCell ref="I1043:J1043"/>
    <mergeCell ref="I1044:J1044"/>
    <mergeCell ref="M1044:N1044"/>
    <mergeCell ref="I1045:J1045"/>
    <mergeCell ref="M1045:N1045"/>
    <mergeCell ref="I1046:J1046"/>
    <mergeCell ref="K1055:L1055"/>
    <mergeCell ref="M1055:N1055"/>
    <mergeCell ref="A1057:G1057"/>
    <mergeCell ref="I1057:J1057"/>
    <mergeCell ref="K1057:L1057"/>
    <mergeCell ref="M1057:N1057"/>
    <mergeCell ref="I1058:J1058"/>
    <mergeCell ref="K1058:L1058"/>
    <mergeCell ref="M1058:N1058"/>
    <mergeCell ref="A1058:G1058"/>
    <mergeCell ref="A1059:G1059"/>
    <mergeCell ref="I1059:J1059"/>
    <mergeCell ref="K1059:L1059"/>
    <mergeCell ref="M1059:N1059"/>
    <mergeCell ref="A1060:G1060"/>
    <mergeCell ref="A1061:G1061"/>
    <mergeCell ref="I1055:J1055"/>
    <mergeCell ref="I1056:J1056"/>
    <mergeCell ref="K1056:L1056"/>
    <mergeCell ref="M1056:N1056"/>
    <mergeCell ref="M1046:N1046"/>
    <mergeCell ref="K1047:L1047"/>
    <mergeCell ref="M1047:N1047"/>
    <mergeCell ref="A1049:N1050"/>
    <mergeCell ref="A1054:N1054"/>
    <mergeCell ref="A1055:G1055"/>
    <mergeCell ref="A1056:G1056"/>
    <mergeCell ref="K1060:L1060"/>
    <mergeCell ref="M1060:N1060"/>
    <mergeCell ref="I1060:J1060"/>
    <mergeCell ref="I1061:J1061"/>
    <mergeCell ref="K1061:L1061"/>
    <mergeCell ref="M1061:N1061"/>
    <mergeCell ref="K1062:L1062"/>
    <mergeCell ref="M1062:N1062"/>
    <mergeCell ref="K1066:L1066"/>
    <mergeCell ref="M1066:N1066"/>
    <mergeCell ref="K1076:L1076"/>
    <mergeCell ref="M1076:N1076"/>
    <mergeCell ref="A1073:N1073"/>
    <mergeCell ref="A1074:G1074"/>
    <mergeCell ref="I1074:J1074"/>
    <mergeCell ref="K1074:L1074"/>
    <mergeCell ref="M1074:N1074"/>
    <mergeCell ref="A1075:G1075"/>
    <mergeCell ref="A1076:G1076"/>
    <mergeCell ref="I1078:J1078"/>
    <mergeCell ref="K1078:L1078"/>
    <mergeCell ref="I1075:J1075"/>
    <mergeCell ref="I1076:J1076"/>
    <mergeCell ref="A1077:G1077"/>
    <mergeCell ref="I1077:J1077"/>
    <mergeCell ref="K1077:L1077"/>
    <mergeCell ref="M1077:N1077"/>
    <mergeCell ref="M1078:N1078"/>
    <mergeCell ref="I1066:J1066"/>
    <mergeCell ref="I1067:J1067"/>
    <mergeCell ref="K1067:L1067"/>
    <mergeCell ref="M1067:N1067"/>
    <mergeCell ref="A1064:N1064"/>
    <mergeCell ref="A1065:G1065"/>
    <mergeCell ref="I1065:J1065"/>
    <mergeCell ref="K1065:L1065"/>
    <mergeCell ref="M1065:N1065"/>
    <mergeCell ref="A1066:G1066"/>
    <mergeCell ref="A1067:G1067"/>
    <mergeCell ref="A1068:G1068"/>
    <mergeCell ref="I1068:J1068"/>
    <mergeCell ref="K1068:L1068"/>
    <mergeCell ref="M1068:N1068"/>
    <mergeCell ref="I1069:J1069"/>
    <mergeCell ref="K1069:L1069"/>
    <mergeCell ref="M1069:N1069"/>
    <mergeCell ref="A1069:G1069"/>
    <mergeCell ref="A1070:G1070"/>
    <mergeCell ref="I1070:J1070"/>
    <mergeCell ref="K1070:L1070"/>
    <mergeCell ref="M1070:N1070"/>
    <mergeCell ref="K1071:L1071"/>
    <mergeCell ref="M1071:N1071"/>
    <mergeCell ref="K1075:L1075"/>
    <mergeCell ref="M1075:N1075"/>
    <mergeCell ref="A1078:G1078"/>
    <mergeCell ref="A1079:G1079"/>
    <mergeCell ref="I1079:J1079"/>
    <mergeCell ref="K1079:L1079"/>
    <mergeCell ref="M1079:N1079"/>
    <mergeCell ref="K1080:L1080"/>
    <mergeCell ref="M1080:N1080"/>
    <mergeCell ref="A1085:G1085"/>
    <mergeCell ref="A1086:G1086"/>
    <mergeCell ref="A1087:G1087"/>
    <mergeCell ref="A1088:G1088"/>
    <mergeCell ref="A1082:N1082"/>
    <mergeCell ref="A1083:G1083"/>
    <mergeCell ref="I1083:J1083"/>
    <mergeCell ref="M1083:N1083"/>
    <mergeCell ref="A1084:G1084"/>
    <mergeCell ref="M1084:N1084"/>
    <mergeCell ref="M1085:N1085"/>
    <mergeCell ref="I1084:J1084"/>
    <mergeCell ref="I1085:J1085"/>
    <mergeCell ref="I1086:J1086"/>
    <mergeCell ref="M1086:N1086"/>
    <mergeCell ref="I1087:J1087"/>
    <mergeCell ref="M1087:N1087"/>
    <mergeCell ref="I1088:J1088"/>
    <mergeCell ref="K1097:L1097"/>
    <mergeCell ref="M1097:N1097"/>
    <mergeCell ref="I1097:J1097"/>
    <mergeCell ref="I1098:J1098"/>
    <mergeCell ref="K1098:L1098"/>
    <mergeCell ref="M1098:N1098"/>
    <mergeCell ref="M1088:N1088"/>
    <mergeCell ref="K1089:L1089"/>
    <mergeCell ref="M1089:N1089"/>
    <mergeCell ref="A1091:N1092"/>
    <mergeCell ref="A1096:N1096"/>
    <mergeCell ref="A1097:G1097"/>
    <mergeCell ref="A1098:G1098"/>
    <mergeCell ref="M1121:N1121"/>
    <mergeCell ref="K1122:L1122"/>
    <mergeCell ref="M1122:N1122"/>
    <mergeCell ref="K1109:L1109"/>
    <mergeCell ref="M1109:N1109"/>
    <mergeCell ref="A1106:N1106"/>
    <mergeCell ref="A1107:G1107"/>
    <mergeCell ref="I1107:J1107"/>
    <mergeCell ref="K1107:L1107"/>
    <mergeCell ref="M1107:N1107"/>
    <mergeCell ref="A1108:G1108"/>
    <mergeCell ref="A1109:G1109"/>
    <mergeCell ref="I1111:J1111"/>
    <mergeCell ref="K1111:L1111"/>
    <mergeCell ref="I1108:J1108"/>
    <mergeCell ref="I1109:J1109"/>
    <mergeCell ref="A1110:G1110"/>
    <mergeCell ref="I1110:J1110"/>
    <mergeCell ref="K1110:L1110"/>
    <mergeCell ref="M1110:N1110"/>
    <mergeCell ref="M1111:N1111"/>
    <mergeCell ref="A1099:G1099"/>
    <mergeCell ref="I1099:J1099"/>
    <mergeCell ref="K1099:L1099"/>
    <mergeCell ref="M1099:N1099"/>
    <mergeCell ref="I1100:J1100"/>
    <mergeCell ref="K1100:L1100"/>
    <mergeCell ref="M1100:N1100"/>
    <mergeCell ref="K1102:L1102"/>
    <mergeCell ref="M1102:N1102"/>
    <mergeCell ref="I1102:J1102"/>
    <mergeCell ref="I1103:J1103"/>
    <mergeCell ref="K1103:L1103"/>
    <mergeCell ref="M1103:N1103"/>
    <mergeCell ref="K1104:L1104"/>
    <mergeCell ref="M1104:N1104"/>
    <mergeCell ref="A1100:G1100"/>
    <mergeCell ref="A1101:G1101"/>
    <mergeCell ref="I1101:J1101"/>
    <mergeCell ref="K1101:L1101"/>
    <mergeCell ref="M1101:N1101"/>
    <mergeCell ref="A1102:G1102"/>
    <mergeCell ref="A1103:G1103"/>
    <mergeCell ref="K1108:L1108"/>
    <mergeCell ref="M1108:N1108"/>
    <mergeCell ref="A1111:G1111"/>
    <mergeCell ref="M1153:N1153"/>
    <mergeCell ref="A1154:G1154"/>
    <mergeCell ref="I1154:J1154"/>
    <mergeCell ref="A1127:G1127"/>
    <mergeCell ref="A1128:G1128"/>
    <mergeCell ref="I1128:J1128"/>
    <mergeCell ref="M1128:N1128"/>
    <mergeCell ref="A1129:G1129"/>
    <mergeCell ref="M1129:N1129"/>
    <mergeCell ref="M1130:N1130"/>
    <mergeCell ref="I1139:J1139"/>
    <mergeCell ref="I1140:J1140"/>
    <mergeCell ref="K1140:L1140"/>
    <mergeCell ref="M1140:N1140"/>
    <mergeCell ref="A1130:G1130"/>
    <mergeCell ref="A1133:N1134"/>
    <mergeCell ref="A1138:N1138"/>
    <mergeCell ref="A1139:G1139"/>
    <mergeCell ref="K1139:L1139"/>
    <mergeCell ref="M1139:N1139"/>
    <mergeCell ref="A1140:G1140"/>
    <mergeCell ref="K1144:L1144"/>
    <mergeCell ref="M1144:N1144"/>
    <mergeCell ref="I1144:J1144"/>
    <mergeCell ref="I1145:J1145"/>
    <mergeCell ref="A1112:G1112"/>
    <mergeCell ref="I1112:J1112"/>
    <mergeCell ref="K1112:L1112"/>
    <mergeCell ref="M1112:N1112"/>
    <mergeCell ref="K1113:L1113"/>
    <mergeCell ref="M1113:N1113"/>
    <mergeCell ref="I1126:J1126"/>
    <mergeCell ref="I1127:J1127"/>
    <mergeCell ref="A1124:N1124"/>
    <mergeCell ref="A1125:G1125"/>
    <mergeCell ref="I1125:J1125"/>
    <mergeCell ref="M1125:N1125"/>
    <mergeCell ref="A1126:G1126"/>
    <mergeCell ref="M1126:N1126"/>
    <mergeCell ref="M1127:N1127"/>
    <mergeCell ref="K1117:L1117"/>
    <mergeCell ref="M1117:N1117"/>
    <mergeCell ref="I1117:J1117"/>
    <mergeCell ref="I1118:J1118"/>
    <mergeCell ref="K1118:L1118"/>
    <mergeCell ref="M1118:N1118"/>
    <mergeCell ref="A1115:N1115"/>
    <mergeCell ref="A1116:G1116"/>
    <mergeCell ref="I1116:J1116"/>
    <mergeCell ref="K1116:L1116"/>
    <mergeCell ref="M1116:N1116"/>
    <mergeCell ref="A1117:G1117"/>
    <mergeCell ref="A1118:G1118"/>
    <mergeCell ref="A1119:G1119"/>
    <mergeCell ref="I1119:J1119"/>
    <mergeCell ref="K1119:L1119"/>
    <mergeCell ref="M1119:N1119"/>
    <mergeCell ref="I1120:J1120"/>
    <mergeCell ref="K1120:L1120"/>
    <mergeCell ref="M1120:N1120"/>
    <mergeCell ref="A1120:G1120"/>
    <mergeCell ref="A1121:G1121"/>
    <mergeCell ref="I1121:J1121"/>
    <mergeCell ref="K1121:L1121"/>
    <mergeCell ref="I1160:J1160"/>
    <mergeCell ref="K1160:L1160"/>
    <mergeCell ref="M1160:N1160"/>
    <mergeCell ref="A1158:G1158"/>
    <mergeCell ref="I1158:J1158"/>
    <mergeCell ref="K1158:L1158"/>
    <mergeCell ref="M1158:N1158"/>
    <mergeCell ref="A1159:G1159"/>
    <mergeCell ref="A1160:G1160"/>
    <mergeCell ref="A1161:G1161"/>
    <mergeCell ref="I1161:J1161"/>
    <mergeCell ref="K1161:L1161"/>
    <mergeCell ref="M1161:N1161"/>
    <mergeCell ref="I1162:J1162"/>
    <mergeCell ref="K1162:L1162"/>
    <mergeCell ref="M1162:N1162"/>
    <mergeCell ref="A1162:G1162"/>
    <mergeCell ref="A1163:G1163"/>
    <mergeCell ref="I1129:J1129"/>
    <mergeCell ref="I1130:J1130"/>
    <mergeCell ref="K1131:L1131"/>
    <mergeCell ref="M1131:N1131"/>
    <mergeCell ref="A1141:G1141"/>
    <mergeCell ref="I1141:J1141"/>
    <mergeCell ref="K1141:L1141"/>
    <mergeCell ref="M1141:N1141"/>
    <mergeCell ref="I1142:J1142"/>
    <mergeCell ref="K1142:L1142"/>
    <mergeCell ref="M1142:N1142"/>
    <mergeCell ref="A1142:G1142"/>
    <mergeCell ref="A1143:G1143"/>
    <mergeCell ref="I1143:J1143"/>
    <mergeCell ref="K1143:L1143"/>
    <mergeCell ref="M1143:N1143"/>
    <mergeCell ref="A1144:G1144"/>
    <mergeCell ref="A1145:G1145"/>
    <mergeCell ref="K1149:L1149"/>
    <mergeCell ref="M1149:N1149"/>
    <mergeCell ref="I1149:J1149"/>
    <mergeCell ref="I1150:J1150"/>
    <mergeCell ref="K1150:L1150"/>
    <mergeCell ref="M1150:N1150"/>
    <mergeCell ref="K1145:L1145"/>
    <mergeCell ref="M1145:N1145"/>
    <mergeCell ref="K1146:L1146"/>
    <mergeCell ref="M1146:N1146"/>
    <mergeCell ref="A1148:N1148"/>
    <mergeCell ref="A1149:G1149"/>
    <mergeCell ref="A1150:G1150"/>
    <mergeCell ref="A1151:G1151"/>
    <mergeCell ref="I1151:J1151"/>
    <mergeCell ref="K1151:L1151"/>
    <mergeCell ref="M1151:N1151"/>
    <mergeCell ref="I1152:J1152"/>
    <mergeCell ref="K1152:L1152"/>
    <mergeCell ref="M1152:N1152"/>
    <mergeCell ref="K1154:L1154"/>
    <mergeCell ref="M1154:N1154"/>
    <mergeCell ref="K1155:L1155"/>
    <mergeCell ref="M1155:N1155"/>
    <mergeCell ref="A1152:G1152"/>
    <mergeCell ref="A1153:G1153"/>
    <mergeCell ref="I1153:J1153"/>
    <mergeCell ref="K1153:L1153"/>
    <mergeCell ref="I1169:J1169"/>
    <mergeCell ref="I1170:J1170"/>
    <mergeCell ref="M1170:N1170"/>
    <mergeCell ref="I1171:J1171"/>
    <mergeCell ref="M1171:N1171"/>
    <mergeCell ref="I1172:J1172"/>
    <mergeCell ref="I1181:J1181"/>
    <mergeCell ref="K1181:L1181"/>
    <mergeCell ref="I1182:J1182"/>
    <mergeCell ref="K1182:L1182"/>
    <mergeCell ref="M1182:N1182"/>
    <mergeCell ref="K1183:L1183"/>
    <mergeCell ref="M1183:N1183"/>
    <mergeCell ref="I1183:J1183"/>
    <mergeCell ref="I1184:J1184"/>
    <mergeCell ref="K1184:L1184"/>
    <mergeCell ref="M1184:N1184"/>
    <mergeCell ref="I1185:J1185"/>
    <mergeCell ref="K1185:L1185"/>
    <mergeCell ref="M1185:N1185"/>
    <mergeCell ref="A1166:N1166"/>
    <mergeCell ref="A1167:G1167"/>
    <mergeCell ref="I1167:J1167"/>
    <mergeCell ref="M1167:N1167"/>
    <mergeCell ref="A1168:G1168"/>
    <mergeCell ref="M1168:N1168"/>
    <mergeCell ref="M1169:N1169"/>
    <mergeCell ref="A1169:G1169"/>
    <mergeCell ref="A1170:G1170"/>
    <mergeCell ref="A1171:G1171"/>
    <mergeCell ref="A1172:G1172"/>
    <mergeCell ref="A1175:N1176"/>
    <mergeCell ref="A1180:N1180"/>
    <mergeCell ref="M1181:N1181"/>
    <mergeCell ref="A1157:N1157"/>
    <mergeCell ref="K1188:L1188"/>
    <mergeCell ref="A1192:G1192"/>
    <mergeCell ref="A1193:G1193"/>
    <mergeCell ref="A1194:G1194"/>
    <mergeCell ref="A1195:G1195"/>
    <mergeCell ref="A1196:G1196"/>
    <mergeCell ref="M1188:N1188"/>
    <mergeCell ref="A1190:N1190"/>
    <mergeCell ref="A1191:G1191"/>
    <mergeCell ref="I1191:J1191"/>
    <mergeCell ref="K1191:L1191"/>
    <mergeCell ref="M1191:N1191"/>
    <mergeCell ref="M1192:N1192"/>
    <mergeCell ref="I1192:J1192"/>
    <mergeCell ref="K1192:L1192"/>
    <mergeCell ref="I1193:J1193"/>
    <mergeCell ref="K1193:L1193"/>
    <mergeCell ref="M1193:N1193"/>
    <mergeCell ref="K1194:L1194"/>
    <mergeCell ref="M1194:N1194"/>
    <mergeCell ref="I1194:J1194"/>
    <mergeCell ref="I1195:J1195"/>
    <mergeCell ref="K1195:L1195"/>
    <mergeCell ref="M1195:N1195"/>
    <mergeCell ref="I1196:J1196"/>
    <mergeCell ref="K1196:L1196"/>
    <mergeCell ref="M1196:N1196"/>
    <mergeCell ref="I1200:J1200"/>
    <mergeCell ref="I1201:J1201"/>
    <mergeCell ref="K1201:L1201"/>
    <mergeCell ref="M1201:N1201"/>
    <mergeCell ref="K1197:L1197"/>
    <mergeCell ref="M1197:N1197"/>
    <mergeCell ref="A1199:N1199"/>
    <mergeCell ref="A1200:G1200"/>
    <mergeCell ref="K1200:L1200"/>
    <mergeCell ref="M1200:N1200"/>
    <mergeCell ref="A1201:G1201"/>
    <mergeCell ref="K1159:L1159"/>
    <mergeCell ref="M1159:N1159"/>
    <mergeCell ref="I1159:J1159"/>
    <mergeCell ref="I1163:J1163"/>
    <mergeCell ref="K1163:L1163"/>
    <mergeCell ref="M1163:N1163"/>
    <mergeCell ref="K1164:L1164"/>
    <mergeCell ref="M1164:N1164"/>
    <mergeCell ref="A1181:G1181"/>
    <mergeCell ref="A1182:G1182"/>
    <mergeCell ref="A1183:G1183"/>
    <mergeCell ref="A1184:G1184"/>
    <mergeCell ref="A1185:G1185"/>
    <mergeCell ref="A1186:G1186"/>
    <mergeCell ref="A1187:G1187"/>
    <mergeCell ref="I1186:J1186"/>
    <mergeCell ref="K1186:L1186"/>
    <mergeCell ref="M1186:N1186"/>
    <mergeCell ref="I1187:J1187"/>
    <mergeCell ref="K1187:L1187"/>
    <mergeCell ref="M1187:N1187"/>
    <mergeCell ref="M1172:N1172"/>
    <mergeCell ref="K1173:L1173"/>
    <mergeCell ref="M1173:N1173"/>
    <mergeCell ref="I1168:J1168"/>
    <mergeCell ref="A1202:G1202"/>
    <mergeCell ref="I1202:J1202"/>
    <mergeCell ref="K1202:L1202"/>
    <mergeCell ref="M1202:N1202"/>
    <mergeCell ref="I1203:J1203"/>
    <mergeCell ref="K1203:L1203"/>
    <mergeCell ref="M1203:N1203"/>
    <mergeCell ref="K1205:L1205"/>
    <mergeCell ref="M1205:N1205"/>
    <mergeCell ref="K1206:L1206"/>
    <mergeCell ref="M1206:N1206"/>
    <mergeCell ref="A1203:G1203"/>
    <mergeCell ref="A1204:G1204"/>
    <mergeCell ref="I1204:J1204"/>
    <mergeCell ref="K1204:L1204"/>
    <mergeCell ref="M1204:N1204"/>
    <mergeCell ref="A1205:G1205"/>
    <mergeCell ref="I1205:J1205"/>
    <mergeCell ref="A1211:G1211"/>
    <mergeCell ref="A1212:G1212"/>
    <mergeCell ref="A1213:G1213"/>
    <mergeCell ref="A1214:G1214"/>
    <mergeCell ref="A1208:N1208"/>
    <mergeCell ref="A1209:G1209"/>
    <mergeCell ref="I1209:J1209"/>
    <mergeCell ref="M1209:N1209"/>
    <mergeCell ref="A1210:G1210"/>
    <mergeCell ref="M1210:N1210"/>
    <mergeCell ref="M1211:N1211"/>
    <mergeCell ref="I1210:J1210"/>
    <mergeCell ref="I1211:J1211"/>
    <mergeCell ref="I1212:J1212"/>
    <mergeCell ref="M1212:N1212"/>
    <mergeCell ref="I1213:J1213"/>
    <mergeCell ref="M1213:N1213"/>
    <mergeCell ref="I1214:J1214"/>
    <mergeCell ref="K1223:L1223"/>
    <mergeCell ref="M1223:N1223"/>
    <mergeCell ref="A1225:G1225"/>
    <mergeCell ref="I1225:J1225"/>
    <mergeCell ref="K1225:L1225"/>
    <mergeCell ref="M1225:N1225"/>
    <mergeCell ref="I1226:J1226"/>
    <mergeCell ref="K1226:L1226"/>
    <mergeCell ref="M1226:N1226"/>
    <mergeCell ref="A1226:G1226"/>
    <mergeCell ref="A1227:G1227"/>
    <mergeCell ref="I1227:J1227"/>
    <mergeCell ref="K1227:L1227"/>
    <mergeCell ref="M1227:N1227"/>
    <mergeCell ref="A1228:G1228"/>
    <mergeCell ref="A1229:G1229"/>
    <mergeCell ref="I1223:J1223"/>
    <mergeCell ref="I1224:J1224"/>
    <mergeCell ref="K1224:L1224"/>
    <mergeCell ref="M1224:N1224"/>
    <mergeCell ref="M1214:N1214"/>
    <mergeCell ref="K1215:L1215"/>
    <mergeCell ref="M1215:N1215"/>
    <mergeCell ref="A1217:N1218"/>
    <mergeCell ref="A1222:N1222"/>
    <mergeCell ref="A1223:G1223"/>
    <mergeCell ref="A1224:G1224"/>
    <mergeCell ref="K1228:L1228"/>
    <mergeCell ref="M1228:N1228"/>
    <mergeCell ref="I1228:J1228"/>
    <mergeCell ref="I1229:J1229"/>
    <mergeCell ref="K1229:L1229"/>
    <mergeCell ref="M1229:N1229"/>
    <mergeCell ref="K1230:L1230"/>
    <mergeCell ref="M1230:N1230"/>
    <mergeCell ref="K1234:L1234"/>
    <mergeCell ref="M1234:N1234"/>
    <mergeCell ref="K1244:L1244"/>
    <mergeCell ref="M1244:N1244"/>
    <mergeCell ref="A1241:N1241"/>
    <mergeCell ref="A1242:G1242"/>
    <mergeCell ref="I1242:J1242"/>
    <mergeCell ref="K1242:L1242"/>
    <mergeCell ref="M1242:N1242"/>
    <mergeCell ref="A1243:G1243"/>
    <mergeCell ref="A1244:G1244"/>
    <mergeCell ref="K773:L773"/>
    <mergeCell ref="M773:N773"/>
    <mergeCell ref="I773:J773"/>
    <mergeCell ref="I774:J774"/>
    <mergeCell ref="K774:L774"/>
    <mergeCell ref="M774:N774"/>
    <mergeCell ref="A771:N771"/>
    <mergeCell ref="A772:G772"/>
    <mergeCell ref="I772:J772"/>
    <mergeCell ref="K772:L772"/>
    <mergeCell ref="M772:N772"/>
    <mergeCell ref="A773:G773"/>
    <mergeCell ref="A774:G774"/>
    <mergeCell ref="A775:G775"/>
    <mergeCell ref="I775:J775"/>
    <mergeCell ref="K775:L775"/>
    <mergeCell ref="M775:N775"/>
    <mergeCell ref="I776:J776"/>
    <mergeCell ref="K776:L776"/>
    <mergeCell ref="M776:N776"/>
    <mergeCell ref="A776:G776"/>
    <mergeCell ref="A777:G777"/>
    <mergeCell ref="I777:J777"/>
    <mergeCell ref="K777:L777"/>
    <mergeCell ref="M777:N777"/>
    <mergeCell ref="K778:L778"/>
    <mergeCell ref="M778:N778"/>
    <mergeCell ref="K782:L782"/>
    <mergeCell ref="M782:N782"/>
    <mergeCell ref="I782:J782"/>
    <mergeCell ref="I783:J783"/>
    <mergeCell ref="K783:L783"/>
    <mergeCell ref="M783:N783"/>
    <mergeCell ref="A780:N780"/>
    <mergeCell ref="A781:G781"/>
    <mergeCell ref="I781:J781"/>
    <mergeCell ref="K781:L781"/>
    <mergeCell ref="M781:N781"/>
    <mergeCell ref="A782:G782"/>
    <mergeCell ref="A783:G783"/>
    <mergeCell ref="A784:G784"/>
    <mergeCell ref="I784:J784"/>
    <mergeCell ref="K784:L784"/>
    <mergeCell ref="M784:N784"/>
    <mergeCell ref="I785:J785"/>
    <mergeCell ref="K785:L785"/>
    <mergeCell ref="M785:N785"/>
    <mergeCell ref="A785:G785"/>
    <mergeCell ref="A786:G786"/>
    <mergeCell ref="I786:J786"/>
    <mergeCell ref="K786:L786"/>
    <mergeCell ref="I723:J723"/>
    <mergeCell ref="I724:J724"/>
    <mergeCell ref="K724:L724"/>
    <mergeCell ref="M724:N724"/>
    <mergeCell ref="A721:N721"/>
    <mergeCell ref="A722:G722"/>
    <mergeCell ref="I722:J722"/>
    <mergeCell ref="K722:L722"/>
    <mergeCell ref="M722:N722"/>
    <mergeCell ref="A723:G723"/>
    <mergeCell ref="A724:G724"/>
    <mergeCell ref="A725:G725"/>
    <mergeCell ref="I725:J725"/>
    <mergeCell ref="K725:L725"/>
    <mergeCell ref="M725:N725"/>
    <mergeCell ref="I726:J726"/>
    <mergeCell ref="K726:L726"/>
    <mergeCell ref="M726:N726"/>
    <mergeCell ref="A726:G726"/>
    <mergeCell ref="A727:G727"/>
    <mergeCell ref="I727:J727"/>
    <mergeCell ref="K727:L727"/>
    <mergeCell ref="M727:N727"/>
    <mergeCell ref="K728:L728"/>
    <mergeCell ref="M728:N728"/>
    <mergeCell ref="K732:L732"/>
    <mergeCell ref="M732:N732"/>
    <mergeCell ref="A735:G735"/>
    <mergeCell ref="A736:G736"/>
    <mergeCell ref="I736:J736"/>
    <mergeCell ref="K736:L736"/>
    <mergeCell ref="M736:N736"/>
    <mergeCell ref="K737:L737"/>
    <mergeCell ref="M737:N737"/>
    <mergeCell ref="K733:L733"/>
    <mergeCell ref="M733:N733"/>
    <mergeCell ref="A730:N730"/>
    <mergeCell ref="A731:G731"/>
    <mergeCell ref="I731:J731"/>
    <mergeCell ref="K731:L731"/>
    <mergeCell ref="M731:N731"/>
    <mergeCell ref="A732:G732"/>
    <mergeCell ref="A733:G733"/>
    <mergeCell ref="M762:N762"/>
    <mergeCell ref="K765:L765"/>
    <mergeCell ref="M765:N765"/>
    <mergeCell ref="A762:G762"/>
    <mergeCell ref="A763:G763"/>
    <mergeCell ref="I763:J763"/>
    <mergeCell ref="K763:L763"/>
    <mergeCell ref="M763:N763"/>
    <mergeCell ref="A764:G764"/>
    <mergeCell ref="A765:G765"/>
    <mergeCell ref="I767:J767"/>
    <mergeCell ref="K767:L767"/>
    <mergeCell ref="I764:J764"/>
    <mergeCell ref="I765:J765"/>
    <mergeCell ref="A766:G766"/>
    <mergeCell ref="I766:J766"/>
    <mergeCell ref="K766:L766"/>
    <mergeCell ref="M766:N766"/>
    <mergeCell ref="M767:N767"/>
    <mergeCell ref="A756:G756"/>
    <mergeCell ref="I756:J756"/>
    <mergeCell ref="K756:L756"/>
    <mergeCell ref="M756:N756"/>
    <mergeCell ref="I757:J757"/>
    <mergeCell ref="K757:L757"/>
    <mergeCell ref="M757:N757"/>
    <mergeCell ref="K759:L759"/>
    <mergeCell ref="M759:N759"/>
    <mergeCell ref="I759:J759"/>
    <mergeCell ref="I760:J760"/>
    <mergeCell ref="K760:L760"/>
    <mergeCell ref="M760:N760"/>
    <mergeCell ref="A757:G757"/>
    <mergeCell ref="A758:G758"/>
    <mergeCell ref="I758:J758"/>
    <mergeCell ref="K758:L758"/>
    <mergeCell ref="M758:N758"/>
    <mergeCell ref="A759:G759"/>
    <mergeCell ref="A760:G760"/>
    <mergeCell ref="K764:L764"/>
    <mergeCell ref="M764:N764"/>
    <mergeCell ref="A767:G767"/>
    <mergeCell ref="A768:G768"/>
    <mergeCell ref="I768:J768"/>
    <mergeCell ref="K768:L768"/>
    <mergeCell ref="M768:N768"/>
    <mergeCell ref="K769:L769"/>
    <mergeCell ref="M769:N769"/>
    <mergeCell ref="A806:G806"/>
    <mergeCell ref="I806:J806"/>
    <mergeCell ref="K806:L806"/>
    <mergeCell ref="M806:N806"/>
    <mergeCell ref="I807:J807"/>
    <mergeCell ref="K807:L807"/>
    <mergeCell ref="M807:N807"/>
    <mergeCell ref="K810:L810"/>
    <mergeCell ref="M810:N810"/>
    <mergeCell ref="A807:G807"/>
    <mergeCell ref="A808:G808"/>
    <mergeCell ref="I808:J808"/>
    <mergeCell ref="K808:L808"/>
    <mergeCell ref="M808:N808"/>
    <mergeCell ref="A809:G809"/>
    <mergeCell ref="A810:G810"/>
    <mergeCell ref="I791:J791"/>
    <mergeCell ref="I792:J792"/>
    <mergeCell ref="I793:J793"/>
    <mergeCell ref="M793:N793"/>
    <mergeCell ref="I794:J794"/>
    <mergeCell ref="M794:N794"/>
    <mergeCell ref="I795:J795"/>
    <mergeCell ref="K804:L804"/>
    <mergeCell ref="M804:N804"/>
    <mergeCell ref="I804:J804"/>
    <mergeCell ref="I805:J805"/>
    <mergeCell ref="K805:L805"/>
    <mergeCell ref="M805:N805"/>
    <mergeCell ref="M795:N795"/>
    <mergeCell ref="K796:L796"/>
    <mergeCell ref="M796:N796"/>
    <mergeCell ref="A798:N799"/>
    <mergeCell ref="A803:N803"/>
    <mergeCell ref="A804:G804"/>
    <mergeCell ref="A805:G805"/>
    <mergeCell ref="K809:L809"/>
    <mergeCell ref="M809:N809"/>
    <mergeCell ref="I848:J848"/>
    <mergeCell ref="I849:J849"/>
    <mergeCell ref="K849:L849"/>
    <mergeCell ref="M849:N849"/>
    <mergeCell ref="K814:L814"/>
    <mergeCell ref="M814:N814"/>
    <mergeCell ref="I814:J814"/>
    <mergeCell ref="I815:J815"/>
    <mergeCell ref="K815:L815"/>
    <mergeCell ref="M815:N815"/>
    <mergeCell ref="I809:J809"/>
    <mergeCell ref="I810:J810"/>
    <mergeCell ref="K811:L811"/>
    <mergeCell ref="M811:N811"/>
    <mergeCell ref="A813:N813"/>
    <mergeCell ref="A814:G814"/>
    <mergeCell ref="A815:G815"/>
    <mergeCell ref="A816:G816"/>
    <mergeCell ref="I816:J816"/>
    <mergeCell ref="K816:L816"/>
    <mergeCell ref="M816:N816"/>
    <mergeCell ref="I817:J817"/>
    <mergeCell ref="K817:L817"/>
    <mergeCell ref="M817:N817"/>
    <mergeCell ref="K819:L819"/>
    <mergeCell ref="M819:N819"/>
    <mergeCell ref="K820:L820"/>
    <mergeCell ref="M820:N820"/>
    <mergeCell ref="A817:G817"/>
    <mergeCell ref="A818:G818"/>
    <mergeCell ref="I818:J818"/>
    <mergeCell ref="K818:L818"/>
    <mergeCell ref="M818:N818"/>
    <mergeCell ref="A819:G819"/>
    <mergeCell ref="I819:J819"/>
    <mergeCell ref="K824:L824"/>
    <mergeCell ref="M824:N824"/>
    <mergeCell ref="I850:J850"/>
    <mergeCell ref="K850:L850"/>
    <mergeCell ref="M850:N850"/>
    <mergeCell ref="I824:J824"/>
    <mergeCell ref="I825:J825"/>
    <mergeCell ref="K825:L825"/>
    <mergeCell ref="M825:N825"/>
    <mergeCell ref="A822:N822"/>
    <mergeCell ref="A823:G823"/>
    <mergeCell ref="I823:J823"/>
    <mergeCell ref="K823:L823"/>
    <mergeCell ref="M823:N823"/>
    <mergeCell ref="A824:G824"/>
    <mergeCell ref="A825:G825"/>
    <mergeCell ref="A826:G826"/>
    <mergeCell ref="I826:J826"/>
    <mergeCell ref="K826:L826"/>
    <mergeCell ref="M826:N826"/>
    <mergeCell ref="I827:J827"/>
    <mergeCell ref="K827:L827"/>
    <mergeCell ref="M827:N827"/>
    <mergeCell ref="A827:G827"/>
    <mergeCell ref="A828:G828"/>
    <mergeCell ref="I828:J828"/>
    <mergeCell ref="K828:L828"/>
    <mergeCell ref="M828:N828"/>
    <mergeCell ref="K829:L829"/>
    <mergeCell ref="M829:N829"/>
    <mergeCell ref="A846:G846"/>
    <mergeCell ref="A847:G847"/>
    <mergeCell ref="A848:G848"/>
    <mergeCell ref="A849:G849"/>
    <mergeCell ref="A850:G850"/>
    <mergeCell ref="M837:N837"/>
    <mergeCell ref="K838:L838"/>
    <mergeCell ref="M838:N838"/>
    <mergeCell ref="I833:J833"/>
    <mergeCell ref="I834:J834"/>
    <mergeCell ref="I835:J835"/>
    <mergeCell ref="M835:N835"/>
    <mergeCell ref="I836:J836"/>
    <mergeCell ref="M836:N836"/>
    <mergeCell ref="I837:J837"/>
    <mergeCell ref="A831:N831"/>
    <mergeCell ref="A832:G832"/>
    <mergeCell ref="I832:J832"/>
    <mergeCell ref="M832:N832"/>
    <mergeCell ref="A833:G833"/>
    <mergeCell ref="M833:N833"/>
    <mergeCell ref="M834:N834"/>
    <mergeCell ref="A834:G834"/>
    <mergeCell ref="A835:G835"/>
    <mergeCell ref="A836:G836"/>
    <mergeCell ref="A837:G837"/>
    <mergeCell ref="A840:N841"/>
    <mergeCell ref="A845:N845"/>
    <mergeCell ref="M846:N846"/>
    <mergeCell ref="I846:J846"/>
    <mergeCell ref="K846:L846"/>
    <mergeCell ref="I847:J847"/>
    <mergeCell ref="K847:L847"/>
    <mergeCell ref="M847:N847"/>
    <mergeCell ref="K848:L848"/>
    <mergeCell ref="M848:N848"/>
    <mergeCell ref="A851:G851"/>
    <mergeCell ref="A852:G852"/>
    <mergeCell ref="I851:J851"/>
    <mergeCell ref="K851:L851"/>
    <mergeCell ref="M851:N851"/>
    <mergeCell ref="I852:J852"/>
    <mergeCell ref="K852:L852"/>
    <mergeCell ref="M852:N852"/>
    <mergeCell ref="K853:L853"/>
    <mergeCell ref="A857:G857"/>
    <mergeCell ref="A858:G858"/>
    <mergeCell ref="A859:G859"/>
    <mergeCell ref="A860:G860"/>
    <mergeCell ref="A861:G861"/>
    <mergeCell ref="M853:N853"/>
    <mergeCell ref="A855:N855"/>
    <mergeCell ref="A856:G856"/>
    <mergeCell ref="I856:J856"/>
    <mergeCell ref="K856:L856"/>
    <mergeCell ref="M856:N856"/>
    <mergeCell ref="M857:N857"/>
    <mergeCell ref="I857:J857"/>
    <mergeCell ref="K857:L857"/>
    <mergeCell ref="I858:J858"/>
    <mergeCell ref="K858:L858"/>
    <mergeCell ref="M858:N858"/>
    <mergeCell ref="K859:L859"/>
    <mergeCell ref="M859:N859"/>
    <mergeCell ref="I859:J859"/>
    <mergeCell ref="I860:J860"/>
    <mergeCell ref="K860:L860"/>
    <mergeCell ref="M860:N860"/>
    <mergeCell ref="I861:J861"/>
    <mergeCell ref="K861:L861"/>
    <mergeCell ref="M861:N861"/>
    <mergeCell ref="I865:J865"/>
    <mergeCell ref="I866:J866"/>
    <mergeCell ref="K866:L866"/>
    <mergeCell ref="M866:N866"/>
    <mergeCell ref="K862:L862"/>
    <mergeCell ref="M862:N862"/>
    <mergeCell ref="A864:N864"/>
    <mergeCell ref="A865:G865"/>
    <mergeCell ref="K865:L865"/>
    <mergeCell ref="M865:N865"/>
    <mergeCell ref="A866:G866"/>
    <mergeCell ref="A867:G867"/>
    <mergeCell ref="I867:J867"/>
    <mergeCell ref="K867:L867"/>
    <mergeCell ref="M867:N867"/>
    <mergeCell ref="I868:J868"/>
    <mergeCell ref="K868:L868"/>
    <mergeCell ref="M868:N868"/>
    <mergeCell ref="K870:L870"/>
    <mergeCell ref="M870:N870"/>
    <mergeCell ref="K871:L871"/>
    <mergeCell ref="M871:N871"/>
    <mergeCell ref="A868:G868"/>
    <mergeCell ref="A869:G869"/>
    <mergeCell ref="I869:J869"/>
    <mergeCell ref="K869:L869"/>
    <mergeCell ref="M869:N869"/>
    <mergeCell ref="A870:G870"/>
    <mergeCell ref="I870:J870"/>
    <mergeCell ref="A876:G876"/>
    <mergeCell ref="A877:G877"/>
    <mergeCell ref="A878:G878"/>
    <mergeCell ref="A879:G879"/>
    <mergeCell ref="A873:N873"/>
    <mergeCell ref="A874:G874"/>
    <mergeCell ref="I874:J874"/>
    <mergeCell ref="M874:N874"/>
    <mergeCell ref="A875:G875"/>
    <mergeCell ref="M875:N875"/>
    <mergeCell ref="M876:N876"/>
    <mergeCell ref="I875:J875"/>
    <mergeCell ref="I876:J876"/>
    <mergeCell ref="I877:J877"/>
    <mergeCell ref="M877:N877"/>
    <mergeCell ref="I878:J878"/>
    <mergeCell ref="M878:N878"/>
    <mergeCell ref="I879:J879"/>
    <mergeCell ref="K888:L888"/>
    <mergeCell ref="M888:N888"/>
    <mergeCell ref="A890:G890"/>
    <mergeCell ref="I890:J890"/>
    <mergeCell ref="K890:L890"/>
    <mergeCell ref="M890:N890"/>
    <mergeCell ref="I891:J891"/>
    <mergeCell ref="K891:L891"/>
    <mergeCell ref="M891:N891"/>
    <mergeCell ref="A891:G891"/>
    <mergeCell ref="A892:G892"/>
    <mergeCell ref="I892:J892"/>
    <mergeCell ref="K892:L892"/>
    <mergeCell ref="M892:N892"/>
    <mergeCell ref="A893:G893"/>
    <mergeCell ref="A894:G894"/>
    <mergeCell ref="I888:J888"/>
    <mergeCell ref="I889:J889"/>
    <mergeCell ref="K889:L889"/>
    <mergeCell ref="M889:N889"/>
    <mergeCell ref="M879:N879"/>
    <mergeCell ref="K880:L880"/>
    <mergeCell ref="M880:N880"/>
    <mergeCell ref="A882:N883"/>
    <mergeCell ref="A887:N887"/>
    <mergeCell ref="A888:G888"/>
    <mergeCell ref="A889:G889"/>
    <mergeCell ref="K893:L893"/>
    <mergeCell ref="M893:N893"/>
    <mergeCell ref="I893:J893"/>
    <mergeCell ref="I894:J894"/>
    <mergeCell ref="K894:L894"/>
    <mergeCell ref="M894:N894"/>
    <mergeCell ref="A929:N929"/>
    <mergeCell ref="A930:G930"/>
    <mergeCell ref="A931:G931"/>
    <mergeCell ref="K895:L895"/>
    <mergeCell ref="M895:N895"/>
    <mergeCell ref="K899:L899"/>
    <mergeCell ref="M899:N899"/>
    <mergeCell ref="K909:L909"/>
    <mergeCell ref="M909:N909"/>
    <mergeCell ref="A906:N906"/>
    <mergeCell ref="A907:G907"/>
    <mergeCell ref="I907:J907"/>
    <mergeCell ref="K907:L907"/>
    <mergeCell ref="M907:N907"/>
    <mergeCell ref="A908:G908"/>
    <mergeCell ref="A909:G909"/>
    <mergeCell ref="I911:J911"/>
    <mergeCell ref="K911:L911"/>
    <mergeCell ref="I908:J908"/>
    <mergeCell ref="I909:J909"/>
    <mergeCell ref="A910:G910"/>
    <mergeCell ref="I910:J910"/>
    <mergeCell ref="K910:L910"/>
    <mergeCell ref="M910:N910"/>
    <mergeCell ref="M911:N911"/>
    <mergeCell ref="I899:J899"/>
    <mergeCell ref="I900:J900"/>
    <mergeCell ref="K900:L900"/>
    <mergeCell ref="M900:N900"/>
    <mergeCell ref="A897:N897"/>
    <mergeCell ref="A898:G898"/>
    <mergeCell ref="I898:J898"/>
    <mergeCell ref="K898:L898"/>
    <mergeCell ref="M898:N898"/>
    <mergeCell ref="A899:G899"/>
    <mergeCell ref="A900:G900"/>
    <mergeCell ref="A901:G901"/>
    <mergeCell ref="I901:J901"/>
    <mergeCell ref="K901:L901"/>
    <mergeCell ref="M901:N901"/>
    <mergeCell ref="I902:J902"/>
    <mergeCell ref="K902:L902"/>
    <mergeCell ref="M902:N902"/>
    <mergeCell ref="A902:G902"/>
    <mergeCell ref="A903:G903"/>
    <mergeCell ref="I903:J903"/>
    <mergeCell ref="K903:L903"/>
    <mergeCell ref="M903:N903"/>
    <mergeCell ref="K904:L904"/>
    <mergeCell ref="M904:N904"/>
    <mergeCell ref="K908:L908"/>
    <mergeCell ref="M908:N908"/>
    <mergeCell ref="A911:G911"/>
    <mergeCell ref="M962:N962"/>
    <mergeCell ref="M963:N963"/>
    <mergeCell ref="I972:J972"/>
    <mergeCell ref="A963:G963"/>
    <mergeCell ref="A966:N967"/>
    <mergeCell ref="A971:N971"/>
    <mergeCell ref="A972:G972"/>
    <mergeCell ref="K972:L972"/>
    <mergeCell ref="M972:N972"/>
    <mergeCell ref="K976:L976"/>
    <mergeCell ref="M976:N976"/>
    <mergeCell ref="I976:J976"/>
    <mergeCell ref="I977:J977"/>
    <mergeCell ref="K981:L981"/>
    <mergeCell ref="M981:N981"/>
    <mergeCell ref="I981:J981"/>
    <mergeCell ref="I982:J982"/>
    <mergeCell ref="K982:L982"/>
    <mergeCell ref="M982:N982"/>
    <mergeCell ref="K977:L977"/>
    <mergeCell ref="M977:N977"/>
    <mergeCell ref="K978:L978"/>
    <mergeCell ref="M978:N978"/>
    <mergeCell ref="A980:N980"/>
    <mergeCell ref="A981:G981"/>
    <mergeCell ref="A982:G982"/>
    <mergeCell ref="A912:G912"/>
    <mergeCell ref="I912:J912"/>
    <mergeCell ref="K912:L912"/>
    <mergeCell ref="M912:N912"/>
    <mergeCell ref="K913:L913"/>
    <mergeCell ref="M913:N913"/>
    <mergeCell ref="A918:G918"/>
    <mergeCell ref="A919:G919"/>
    <mergeCell ref="A920:G920"/>
    <mergeCell ref="A921:G921"/>
    <mergeCell ref="A915:N915"/>
    <mergeCell ref="A916:G916"/>
    <mergeCell ref="I916:J916"/>
    <mergeCell ref="M916:N916"/>
    <mergeCell ref="A917:G917"/>
    <mergeCell ref="M917:N917"/>
    <mergeCell ref="M918:N918"/>
    <mergeCell ref="I917:J917"/>
    <mergeCell ref="I918:J918"/>
    <mergeCell ref="I919:J919"/>
    <mergeCell ref="M919:N919"/>
    <mergeCell ref="I920:J920"/>
    <mergeCell ref="M920:N920"/>
    <mergeCell ref="I921:J921"/>
    <mergeCell ref="K930:L930"/>
    <mergeCell ref="M930:N930"/>
    <mergeCell ref="I930:J930"/>
    <mergeCell ref="I931:J931"/>
    <mergeCell ref="K931:L931"/>
    <mergeCell ref="M931:N931"/>
    <mergeCell ref="M921:N921"/>
    <mergeCell ref="K922:L922"/>
    <mergeCell ref="M922:N922"/>
    <mergeCell ref="A924:N925"/>
    <mergeCell ref="A932:G932"/>
    <mergeCell ref="I932:J932"/>
    <mergeCell ref="K932:L932"/>
    <mergeCell ref="M932:N932"/>
    <mergeCell ref="A983:G983"/>
    <mergeCell ref="I983:J983"/>
    <mergeCell ref="K983:L983"/>
    <mergeCell ref="M983:N983"/>
    <mergeCell ref="I984:J984"/>
    <mergeCell ref="K984:L984"/>
    <mergeCell ref="M984:N984"/>
    <mergeCell ref="K986:L986"/>
    <mergeCell ref="M986:N986"/>
    <mergeCell ref="K987:L987"/>
    <mergeCell ref="M987:N987"/>
    <mergeCell ref="A984:G984"/>
    <mergeCell ref="A985:G985"/>
    <mergeCell ref="I985:J985"/>
    <mergeCell ref="K985:L985"/>
    <mergeCell ref="M985:N985"/>
    <mergeCell ref="A986:G986"/>
    <mergeCell ref="I986:J986"/>
    <mergeCell ref="K991:L991"/>
    <mergeCell ref="M991:N991"/>
    <mergeCell ref="K942:L942"/>
    <mergeCell ref="M942:N942"/>
    <mergeCell ref="A939:N939"/>
    <mergeCell ref="A940:G940"/>
    <mergeCell ref="I940:J940"/>
    <mergeCell ref="K940:L940"/>
    <mergeCell ref="M940:N940"/>
    <mergeCell ref="A941:G941"/>
    <mergeCell ref="A942:G942"/>
    <mergeCell ref="I944:J944"/>
    <mergeCell ref="K944:L944"/>
    <mergeCell ref="I941:J941"/>
    <mergeCell ref="I942:J942"/>
    <mergeCell ref="A943:G943"/>
    <mergeCell ref="I943:J943"/>
    <mergeCell ref="K943:L943"/>
    <mergeCell ref="M943:N943"/>
    <mergeCell ref="M944:N944"/>
    <mergeCell ref="M954:N954"/>
    <mergeCell ref="K955:L955"/>
    <mergeCell ref="M955:N955"/>
    <mergeCell ref="I962:J962"/>
    <mergeCell ref="I963:J963"/>
    <mergeCell ref="K964:L964"/>
    <mergeCell ref="M964:N964"/>
    <mergeCell ref="A973:G973"/>
    <mergeCell ref="I973:J973"/>
    <mergeCell ref="K973:L973"/>
    <mergeCell ref="M973:N973"/>
    <mergeCell ref="I974:J974"/>
    <mergeCell ref="K974:L974"/>
    <mergeCell ref="M974:N974"/>
    <mergeCell ref="A974:G974"/>
    <mergeCell ref="A975:G975"/>
    <mergeCell ref="I975:J975"/>
    <mergeCell ref="K975:L975"/>
    <mergeCell ref="M975:N975"/>
    <mergeCell ref="A976:G976"/>
    <mergeCell ref="A977:G977"/>
    <mergeCell ref="A960:G960"/>
    <mergeCell ref="A961:G961"/>
    <mergeCell ref="I961:J961"/>
    <mergeCell ref="M961:N961"/>
    <mergeCell ref="A962:G962"/>
    <mergeCell ref="I933:J933"/>
    <mergeCell ref="K933:L933"/>
    <mergeCell ref="M933:N933"/>
    <mergeCell ref="K935:L935"/>
    <mergeCell ref="M935:N935"/>
    <mergeCell ref="I935:J935"/>
    <mergeCell ref="I936:J936"/>
    <mergeCell ref="K936:L936"/>
    <mergeCell ref="M936:N936"/>
    <mergeCell ref="K937:L937"/>
    <mergeCell ref="M937:N937"/>
    <mergeCell ref="A933:G933"/>
    <mergeCell ref="A934:G934"/>
    <mergeCell ref="I934:J934"/>
    <mergeCell ref="K934:L934"/>
    <mergeCell ref="M934:N934"/>
    <mergeCell ref="A935:G935"/>
    <mergeCell ref="A936:G936"/>
    <mergeCell ref="K941:L941"/>
    <mergeCell ref="M941:N941"/>
    <mergeCell ref="A944:G944"/>
    <mergeCell ref="A945:G945"/>
    <mergeCell ref="I945:J945"/>
    <mergeCell ref="K945:L945"/>
    <mergeCell ref="M945:N945"/>
    <mergeCell ref="K946:L946"/>
    <mergeCell ref="M946:N946"/>
    <mergeCell ref="I959:J959"/>
    <mergeCell ref="I960:J960"/>
    <mergeCell ref="A957:N957"/>
    <mergeCell ref="A958:G958"/>
    <mergeCell ref="I958:J958"/>
    <mergeCell ref="M958:N958"/>
    <mergeCell ref="A959:G959"/>
    <mergeCell ref="M959:N959"/>
    <mergeCell ref="M960:N960"/>
    <mergeCell ref="K950:L950"/>
    <mergeCell ref="M950:N950"/>
    <mergeCell ref="I950:J950"/>
    <mergeCell ref="I951:J951"/>
    <mergeCell ref="K951:L951"/>
    <mergeCell ref="M951:N951"/>
    <mergeCell ref="A948:N948"/>
    <mergeCell ref="A949:G949"/>
    <mergeCell ref="I949:J949"/>
    <mergeCell ref="K949:L949"/>
    <mergeCell ref="M949:N949"/>
    <mergeCell ref="A950:G950"/>
    <mergeCell ref="A951:G951"/>
    <mergeCell ref="A952:G952"/>
    <mergeCell ref="I952:J952"/>
    <mergeCell ref="K952:L952"/>
    <mergeCell ref="M952:N952"/>
    <mergeCell ref="I953:J953"/>
    <mergeCell ref="K953:L953"/>
    <mergeCell ref="M953:N953"/>
    <mergeCell ref="A953:G953"/>
    <mergeCell ref="A954:G954"/>
    <mergeCell ref="I954:J954"/>
    <mergeCell ref="K954:L954"/>
    <mergeCell ref="I1246:J1246"/>
    <mergeCell ref="K1246:L1246"/>
    <mergeCell ref="I1243:J1243"/>
    <mergeCell ref="I1244:J1244"/>
    <mergeCell ref="A1245:G1245"/>
    <mergeCell ref="I1245:J1245"/>
    <mergeCell ref="K1245:L1245"/>
    <mergeCell ref="M1245:N1245"/>
    <mergeCell ref="M1246:N1246"/>
    <mergeCell ref="I1234:J1234"/>
    <mergeCell ref="I1235:J1235"/>
    <mergeCell ref="K1235:L1235"/>
    <mergeCell ref="M1235:N1235"/>
    <mergeCell ref="A1232:N1232"/>
    <mergeCell ref="A1233:G1233"/>
    <mergeCell ref="I1233:J1233"/>
    <mergeCell ref="K1233:L1233"/>
    <mergeCell ref="M1233:N1233"/>
    <mergeCell ref="A1234:G1234"/>
    <mergeCell ref="A1235:G1235"/>
    <mergeCell ref="A1236:G1236"/>
    <mergeCell ref="I1236:J1236"/>
    <mergeCell ref="K1236:L1236"/>
    <mergeCell ref="M1236:N1236"/>
    <mergeCell ref="I1237:J1237"/>
    <mergeCell ref="K1237:L1237"/>
    <mergeCell ref="M1237:N1237"/>
    <mergeCell ref="A1237:G1237"/>
    <mergeCell ref="A1238:G1238"/>
    <mergeCell ref="I1238:J1238"/>
    <mergeCell ref="K1238:L1238"/>
    <mergeCell ref="M1238:N1238"/>
    <mergeCell ref="K1239:L1239"/>
    <mergeCell ref="M1239:N1239"/>
    <mergeCell ref="K1243:L1243"/>
    <mergeCell ref="M1243:N1243"/>
    <mergeCell ref="A1246:G1246"/>
    <mergeCell ref="A1247:G1247"/>
    <mergeCell ref="I1247:J1247"/>
    <mergeCell ref="K1247:L1247"/>
    <mergeCell ref="M1247:N1247"/>
    <mergeCell ref="K1248:L1248"/>
    <mergeCell ref="M1248:N1248"/>
    <mergeCell ref="A1253:G1253"/>
    <mergeCell ref="A1254:G1254"/>
    <mergeCell ref="A1255:G1255"/>
    <mergeCell ref="A1256:G1256"/>
    <mergeCell ref="A1250:N1250"/>
    <mergeCell ref="A1251:G1251"/>
    <mergeCell ref="I1251:J1251"/>
    <mergeCell ref="M1251:N1251"/>
    <mergeCell ref="A1252:G1252"/>
    <mergeCell ref="M1252:N1252"/>
    <mergeCell ref="M1253:N1253"/>
    <mergeCell ref="I1252:J1252"/>
    <mergeCell ref="I1253:J1253"/>
    <mergeCell ref="I1254:J1254"/>
    <mergeCell ref="M1254:N1254"/>
    <mergeCell ref="I1255:J1255"/>
    <mergeCell ref="M1255:N1255"/>
    <mergeCell ref="I1256:J1256"/>
    <mergeCell ref="K1265:L1265"/>
    <mergeCell ref="M1265:N1265"/>
    <mergeCell ref="I1265:J1265"/>
    <mergeCell ref="I1266:J1266"/>
    <mergeCell ref="K1266:L1266"/>
    <mergeCell ref="M1266:N1266"/>
    <mergeCell ref="M1256:N1256"/>
    <mergeCell ref="K1257:L1257"/>
    <mergeCell ref="M1257:N1257"/>
    <mergeCell ref="A1259:N1260"/>
    <mergeCell ref="A1264:N1264"/>
    <mergeCell ref="A1265:G1265"/>
    <mergeCell ref="A1266:G1266"/>
    <mergeCell ref="K1277:L1277"/>
    <mergeCell ref="M1277:N1277"/>
    <mergeCell ref="A1274:N1274"/>
    <mergeCell ref="A1275:G1275"/>
    <mergeCell ref="I1275:J1275"/>
    <mergeCell ref="K1275:L1275"/>
    <mergeCell ref="M1275:N1275"/>
    <mergeCell ref="A1276:G1276"/>
    <mergeCell ref="A1277:G1277"/>
    <mergeCell ref="I1279:J1279"/>
    <mergeCell ref="K1279:L1279"/>
    <mergeCell ref="I1276:J1276"/>
    <mergeCell ref="I1277:J1277"/>
    <mergeCell ref="A1278:G1278"/>
    <mergeCell ref="I1278:J1278"/>
    <mergeCell ref="K1278:L1278"/>
    <mergeCell ref="M1278:N1278"/>
    <mergeCell ref="M1279:N1279"/>
    <mergeCell ref="A1267:G1267"/>
    <mergeCell ref="I1267:J1267"/>
    <mergeCell ref="K1267:L1267"/>
    <mergeCell ref="M1267:N1267"/>
    <mergeCell ref="I1268:J1268"/>
    <mergeCell ref="K1268:L1268"/>
    <mergeCell ref="M1268:N1268"/>
    <mergeCell ref="K1270:L1270"/>
    <mergeCell ref="M1270:N1270"/>
    <mergeCell ref="I1270:J1270"/>
    <mergeCell ref="I1271:J1271"/>
    <mergeCell ref="K1271:L1271"/>
    <mergeCell ref="M1271:N1271"/>
    <mergeCell ref="K1272:L1272"/>
    <mergeCell ref="M1272:N1272"/>
    <mergeCell ref="A1268:G1268"/>
    <mergeCell ref="A1269:G1269"/>
    <mergeCell ref="I1269:J1269"/>
    <mergeCell ref="K1269:L1269"/>
    <mergeCell ref="M1269:N1269"/>
    <mergeCell ref="A1270:G1270"/>
    <mergeCell ref="A1271:G1271"/>
    <mergeCell ref="K1276:L1276"/>
    <mergeCell ref="M1276:N1276"/>
    <mergeCell ref="A1279:G1279"/>
    <mergeCell ref="A1343:N1344"/>
    <mergeCell ref="A1348:N1348"/>
    <mergeCell ref="M1349:N1349"/>
    <mergeCell ref="I1327:J1327"/>
    <mergeCell ref="I1328:J1328"/>
    <mergeCell ref="K1328:L1328"/>
    <mergeCell ref="M1328:N1328"/>
    <mergeCell ref="A1325:N1325"/>
    <mergeCell ref="A1326:G1326"/>
    <mergeCell ref="I1326:J1326"/>
    <mergeCell ref="K1326:L1326"/>
    <mergeCell ref="M1326:N1326"/>
    <mergeCell ref="A1327:G1327"/>
    <mergeCell ref="A1328:G1328"/>
    <mergeCell ref="A1329:G1329"/>
    <mergeCell ref="I1329:J1329"/>
    <mergeCell ref="K1329:L1329"/>
    <mergeCell ref="M1329:N1329"/>
    <mergeCell ref="I1330:J1330"/>
    <mergeCell ref="K1330:L1330"/>
    <mergeCell ref="M1330:N1330"/>
    <mergeCell ref="A1330:G1330"/>
    <mergeCell ref="A1331:G1331"/>
    <mergeCell ref="I1331:J1331"/>
    <mergeCell ref="K1331:L1331"/>
    <mergeCell ref="M1331:N1331"/>
    <mergeCell ref="K1332:L1332"/>
    <mergeCell ref="M1332:N1332"/>
    <mergeCell ref="A1349:G1349"/>
    <mergeCell ref="M1298:N1298"/>
    <mergeCell ref="I1307:J1307"/>
    <mergeCell ref="I1308:J1308"/>
    <mergeCell ref="K1308:L1308"/>
    <mergeCell ref="M1308:N1308"/>
    <mergeCell ref="A1298:G1298"/>
    <mergeCell ref="A1301:N1302"/>
    <mergeCell ref="A1306:N1306"/>
    <mergeCell ref="A1307:G1307"/>
    <mergeCell ref="I1310:J1310"/>
    <mergeCell ref="K1310:L1310"/>
    <mergeCell ref="M1310:N1310"/>
    <mergeCell ref="A1310:G1310"/>
    <mergeCell ref="A1311:G1311"/>
    <mergeCell ref="I1311:J1311"/>
    <mergeCell ref="K1311:L1311"/>
    <mergeCell ref="M1311:N1311"/>
    <mergeCell ref="A1312:G1312"/>
    <mergeCell ref="A1313:G1313"/>
    <mergeCell ref="A1309:G1309"/>
    <mergeCell ref="I1309:J1309"/>
    <mergeCell ref="K1309:L1309"/>
    <mergeCell ref="M1309:N1309"/>
    <mergeCell ref="M1318:N1318"/>
    <mergeCell ref="K1313:L1313"/>
    <mergeCell ref="M1313:N1313"/>
    <mergeCell ref="K1314:L1314"/>
    <mergeCell ref="M1314:N1314"/>
    <mergeCell ref="A1316:N1316"/>
    <mergeCell ref="A1317:G1317"/>
    <mergeCell ref="A1318:G1318"/>
    <mergeCell ref="A1319:G1319"/>
    <mergeCell ref="I1319:J1319"/>
    <mergeCell ref="K1319:L1319"/>
    <mergeCell ref="M1319:N1319"/>
    <mergeCell ref="A1295:G1295"/>
    <mergeCell ref="A1296:G1296"/>
    <mergeCell ref="I1296:J1296"/>
    <mergeCell ref="M1296:N1296"/>
    <mergeCell ref="A1297:G1297"/>
    <mergeCell ref="M1297:N1297"/>
    <mergeCell ref="K1307:L1307"/>
    <mergeCell ref="M1307:N1307"/>
    <mergeCell ref="A1308:G1308"/>
    <mergeCell ref="K1312:L1312"/>
    <mergeCell ref="M1312:N1312"/>
    <mergeCell ref="I1312:J1312"/>
    <mergeCell ref="I1313:J1313"/>
    <mergeCell ref="K1317:L1317"/>
    <mergeCell ref="M1317:N1317"/>
    <mergeCell ref="I1317:J1317"/>
    <mergeCell ref="I1318:J1318"/>
    <mergeCell ref="K1318:L1318"/>
    <mergeCell ref="A1280:G1280"/>
    <mergeCell ref="I1280:J1280"/>
    <mergeCell ref="K1280:L1280"/>
    <mergeCell ref="M1280:N1280"/>
    <mergeCell ref="K1281:L1281"/>
    <mergeCell ref="M1281:N1281"/>
    <mergeCell ref="I1294:J1294"/>
    <mergeCell ref="I1295:J1295"/>
    <mergeCell ref="A1292:N1292"/>
    <mergeCell ref="A1293:G1293"/>
    <mergeCell ref="I1293:J1293"/>
    <mergeCell ref="M1293:N1293"/>
    <mergeCell ref="A1294:G1294"/>
    <mergeCell ref="M1294:N1294"/>
    <mergeCell ref="M1295:N1295"/>
    <mergeCell ref="K1285:L1285"/>
    <mergeCell ref="M1285:N1285"/>
    <mergeCell ref="I1285:J1285"/>
    <mergeCell ref="I1286:J1286"/>
    <mergeCell ref="K1286:L1286"/>
    <mergeCell ref="M1286:N1286"/>
    <mergeCell ref="A1283:N1283"/>
    <mergeCell ref="A1284:G1284"/>
    <mergeCell ref="I1284:J1284"/>
    <mergeCell ref="K1284:L1284"/>
    <mergeCell ref="M1284:N1284"/>
    <mergeCell ref="A1285:G1285"/>
    <mergeCell ref="A1286:G1286"/>
    <mergeCell ref="A1287:G1287"/>
    <mergeCell ref="I1287:J1287"/>
    <mergeCell ref="K1287:L1287"/>
    <mergeCell ref="M1287:N1287"/>
    <mergeCell ref="I1288:J1288"/>
    <mergeCell ref="K1288:L1288"/>
    <mergeCell ref="M1288:N1288"/>
    <mergeCell ref="A1288:G1288"/>
    <mergeCell ref="A1289:G1289"/>
    <mergeCell ref="I1289:J1289"/>
    <mergeCell ref="K1289:L1289"/>
    <mergeCell ref="M1289:N1289"/>
    <mergeCell ref="K1290:L1290"/>
    <mergeCell ref="M1290:N1290"/>
    <mergeCell ref="I1297:J1297"/>
    <mergeCell ref="I1298:J1298"/>
    <mergeCell ref="K1299:L1299"/>
    <mergeCell ref="M1299:N1299"/>
    <mergeCell ref="I1320:J1320"/>
    <mergeCell ref="K1320:L1320"/>
    <mergeCell ref="M1320:N1320"/>
    <mergeCell ref="K1322:L1322"/>
    <mergeCell ref="M1322:N1322"/>
    <mergeCell ref="K1323:L1323"/>
    <mergeCell ref="M1323:N1323"/>
    <mergeCell ref="A1320:G1320"/>
    <mergeCell ref="A1321:G1321"/>
    <mergeCell ref="I1321:J1321"/>
    <mergeCell ref="K1321:L1321"/>
    <mergeCell ref="M1321:N1321"/>
    <mergeCell ref="A1322:G1322"/>
    <mergeCell ref="I1322:J1322"/>
    <mergeCell ref="K1327:L1327"/>
    <mergeCell ref="M1327:N1327"/>
    <mergeCell ref="M1340:N1340"/>
    <mergeCell ref="K1341:L1341"/>
    <mergeCell ref="M1341:N1341"/>
    <mergeCell ref="I1336:J1336"/>
    <mergeCell ref="I1337:J1337"/>
    <mergeCell ref="I1338:J1338"/>
    <mergeCell ref="M1338:N1338"/>
    <mergeCell ref="I1339:J1339"/>
    <mergeCell ref="M1339:N1339"/>
    <mergeCell ref="I1340:J1340"/>
    <mergeCell ref="A1334:N1334"/>
    <mergeCell ref="A1335:G1335"/>
    <mergeCell ref="I1335:J1335"/>
    <mergeCell ref="M1335:N1335"/>
    <mergeCell ref="A1336:G1336"/>
    <mergeCell ref="M1336:N1336"/>
    <mergeCell ref="M1337:N1337"/>
    <mergeCell ref="A1337:G1337"/>
    <mergeCell ref="A1338:G1338"/>
    <mergeCell ref="A1339:G1339"/>
    <mergeCell ref="A1340:G1340"/>
    <mergeCell ref="I1349:J1349"/>
    <mergeCell ref="K1349:L1349"/>
    <mergeCell ref="I1350:J1350"/>
    <mergeCell ref="K1350:L1350"/>
    <mergeCell ref="M1350:N1350"/>
    <mergeCell ref="K1351:L1351"/>
    <mergeCell ref="M1351:N1351"/>
    <mergeCell ref="I1351:J1351"/>
    <mergeCell ref="I1352:J1352"/>
    <mergeCell ref="K1352:L1352"/>
    <mergeCell ref="M1352:N1352"/>
    <mergeCell ref="I1353:J1353"/>
    <mergeCell ref="K1353:L1353"/>
    <mergeCell ref="M1353:N1353"/>
    <mergeCell ref="A1360:G1360"/>
    <mergeCell ref="A1361:G1361"/>
    <mergeCell ref="A1362:G1362"/>
    <mergeCell ref="A1363:G1363"/>
    <mergeCell ref="A1364:G1364"/>
    <mergeCell ref="M1356:N1356"/>
    <mergeCell ref="A1358:N1358"/>
    <mergeCell ref="A1359:G1359"/>
    <mergeCell ref="I1359:J1359"/>
    <mergeCell ref="K1359:L1359"/>
    <mergeCell ref="M1359:N1359"/>
    <mergeCell ref="M1360:N1360"/>
    <mergeCell ref="I1360:J1360"/>
    <mergeCell ref="K1360:L1360"/>
    <mergeCell ref="I1361:J1361"/>
    <mergeCell ref="K1361:L1361"/>
    <mergeCell ref="M1361:N1361"/>
    <mergeCell ref="K1362:L1362"/>
    <mergeCell ref="M1362:N1362"/>
    <mergeCell ref="I1362:J1362"/>
    <mergeCell ref="I1363:J1363"/>
    <mergeCell ref="K1363:L1363"/>
    <mergeCell ref="M1363:N1363"/>
    <mergeCell ref="I1364:J1364"/>
    <mergeCell ref="K1364:L1364"/>
    <mergeCell ref="M1364:N1364"/>
    <mergeCell ref="A1350:G1350"/>
    <mergeCell ref="A1351:G1351"/>
    <mergeCell ref="A1352:G1352"/>
    <mergeCell ref="A1353:G1353"/>
    <mergeCell ref="A1354:G1354"/>
    <mergeCell ref="A1355:G1355"/>
    <mergeCell ref="I1354:J1354"/>
    <mergeCell ref="K1354:L1354"/>
    <mergeCell ref="M1354:N1354"/>
    <mergeCell ref="I1355:J1355"/>
    <mergeCell ref="K1355:L1355"/>
    <mergeCell ref="M1355:N1355"/>
    <mergeCell ref="K1356:L1356"/>
    <mergeCell ref="I1368:J1368"/>
    <mergeCell ref="I1369:J1369"/>
    <mergeCell ref="K1369:L1369"/>
    <mergeCell ref="M1369:N1369"/>
    <mergeCell ref="K1365:L1365"/>
    <mergeCell ref="M1365:N1365"/>
    <mergeCell ref="A1367:N1367"/>
    <mergeCell ref="A1368:G1368"/>
    <mergeCell ref="K1368:L1368"/>
    <mergeCell ref="M1368:N1368"/>
    <mergeCell ref="A1369:G1369"/>
    <mergeCell ref="A1370:G1370"/>
    <mergeCell ref="I1370:J1370"/>
    <mergeCell ref="K1370:L1370"/>
    <mergeCell ref="M1370:N1370"/>
    <mergeCell ref="I1371:J1371"/>
    <mergeCell ref="K1371:L1371"/>
    <mergeCell ref="M1371:N1371"/>
    <mergeCell ref="K1373:L1373"/>
    <mergeCell ref="M1373:N1373"/>
    <mergeCell ref="K1374:L1374"/>
    <mergeCell ref="M1374:N1374"/>
    <mergeCell ref="A1371:G1371"/>
    <mergeCell ref="A1372:G1372"/>
    <mergeCell ref="I1372:J1372"/>
    <mergeCell ref="K1372:L1372"/>
    <mergeCell ref="M1372:N1372"/>
    <mergeCell ref="A1373:G1373"/>
    <mergeCell ref="I1373:J1373"/>
    <mergeCell ref="A1379:G1379"/>
    <mergeCell ref="A1380:G1380"/>
    <mergeCell ref="A1381:G1381"/>
    <mergeCell ref="A1382:G1382"/>
    <mergeCell ref="A1376:N1376"/>
    <mergeCell ref="A1377:G1377"/>
    <mergeCell ref="I1377:J1377"/>
    <mergeCell ref="M1377:N1377"/>
    <mergeCell ref="A1378:G1378"/>
    <mergeCell ref="M1378:N1378"/>
    <mergeCell ref="M1379:N1379"/>
    <mergeCell ref="I1378:J1378"/>
    <mergeCell ref="I1379:J1379"/>
    <mergeCell ref="I1380:J1380"/>
    <mergeCell ref="M1380:N1380"/>
    <mergeCell ref="I1381:J1381"/>
    <mergeCell ref="M1381:N1381"/>
    <mergeCell ref="I1382:J1382"/>
    <mergeCell ref="K1391:L1391"/>
    <mergeCell ref="M1391:N1391"/>
    <mergeCell ref="A1393:G1393"/>
    <mergeCell ref="I1393:J1393"/>
    <mergeCell ref="K1393:L1393"/>
    <mergeCell ref="M1393:N1393"/>
    <mergeCell ref="I1394:J1394"/>
    <mergeCell ref="K1394:L1394"/>
    <mergeCell ref="M1394:N1394"/>
    <mergeCell ref="A1394:G1394"/>
    <mergeCell ref="A1395:G1395"/>
    <mergeCell ref="I1395:J1395"/>
    <mergeCell ref="K1395:L1395"/>
    <mergeCell ref="M1395:N1395"/>
    <mergeCell ref="A1396:G1396"/>
    <mergeCell ref="A1397:G1397"/>
    <mergeCell ref="I1391:J1391"/>
    <mergeCell ref="I1392:J1392"/>
    <mergeCell ref="K1392:L1392"/>
    <mergeCell ref="M1392:N1392"/>
    <mergeCell ref="M1382:N1382"/>
    <mergeCell ref="K1383:L1383"/>
    <mergeCell ref="M1383:N1383"/>
    <mergeCell ref="A1385:N1386"/>
    <mergeCell ref="A1390:N1390"/>
    <mergeCell ref="A1391:G1391"/>
    <mergeCell ref="A1392:G1392"/>
    <mergeCell ref="K1396:L1396"/>
    <mergeCell ref="M1396:N1396"/>
    <mergeCell ref="I1396:J1396"/>
    <mergeCell ref="I1397:J1397"/>
    <mergeCell ref="K1397:L1397"/>
    <mergeCell ref="M1397:N1397"/>
    <mergeCell ref="K1398:L1398"/>
    <mergeCell ref="M1398:N1398"/>
    <mergeCell ref="K1402:L1402"/>
    <mergeCell ref="M1402:N1402"/>
    <mergeCell ref="K1412:L1412"/>
    <mergeCell ref="M1412:N1412"/>
    <mergeCell ref="A1409:N1409"/>
    <mergeCell ref="A1410:G1410"/>
    <mergeCell ref="I1410:J1410"/>
    <mergeCell ref="K1410:L1410"/>
    <mergeCell ref="M1410:N1410"/>
    <mergeCell ref="A1411:G1411"/>
    <mergeCell ref="A1412:G1412"/>
    <mergeCell ref="I1414:J1414"/>
    <mergeCell ref="K1414:L1414"/>
    <mergeCell ref="I1411:J1411"/>
    <mergeCell ref="I1412:J1412"/>
    <mergeCell ref="A1413:G1413"/>
    <mergeCell ref="I1413:J1413"/>
    <mergeCell ref="K1413:L1413"/>
    <mergeCell ref="M1413:N1413"/>
    <mergeCell ref="M1414:N1414"/>
    <mergeCell ref="I1402:J1402"/>
    <mergeCell ref="I1403:J1403"/>
    <mergeCell ref="K1403:L1403"/>
    <mergeCell ref="M1403:N1403"/>
    <mergeCell ref="A1400:N1400"/>
    <mergeCell ref="A1401:G1401"/>
    <mergeCell ref="I1401:J1401"/>
    <mergeCell ref="K1401:L1401"/>
    <mergeCell ref="M1401:N1401"/>
    <mergeCell ref="A1402:G1402"/>
    <mergeCell ref="A1403:G1403"/>
    <mergeCell ref="A1404:G1404"/>
    <mergeCell ref="I1404:J1404"/>
    <mergeCell ref="K1404:L1404"/>
    <mergeCell ref="M1404:N1404"/>
    <mergeCell ref="I1405:J1405"/>
    <mergeCell ref="K1405:L1405"/>
    <mergeCell ref="M1405:N1405"/>
    <mergeCell ref="A1405:G1405"/>
    <mergeCell ref="A1406:G1406"/>
    <mergeCell ref="I1406:J1406"/>
    <mergeCell ref="K1406:L1406"/>
    <mergeCell ref="M1406:N1406"/>
    <mergeCell ref="K1407:L1407"/>
    <mergeCell ref="M1407:N1407"/>
    <mergeCell ref="K1411:L1411"/>
    <mergeCell ref="M1411:N1411"/>
    <mergeCell ref="A1414:G1414"/>
    <mergeCell ref="A1415:G1415"/>
    <mergeCell ref="I1415:J1415"/>
    <mergeCell ref="K1415:L1415"/>
    <mergeCell ref="M1415:N1415"/>
    <mergeCell ref="K1416:L1416"/>
    <mergeCell ref="M1416:N1416"/>
    <mergeCell ref="A1421:G1421"/>
    <mergeCell ref="A1422:G1422"/>
    <mergeCell ref="A1423:G1423"/>
    <mergeCell ref="A1424:G1424"/>
    <mergeCell ref="A1418:N1418"/>
    <mergeCell ref="A1419:G1419"/>
    <mergeCell ref="I1419:J1419"/>
    <mergeCell ref="M1419:N1419"/>
    <mergeCell ref="A1420:G1420"/>
    <mergeCell ref="M1420:N1420"/>
    <mergeCell ref="M1421:N1421"/>
    <mergeCell ref="I1420:J1420"/>
    <mergeCell ref="I1421:J1421"/>
    <mergeCell ref="I1422:J1422"/>
    <mergeCell ref="M1422:N1422"/>
    <mergeCell ref="I1423:J1423"/>
    <mergeCell ref="M1423:N1423"/>
    <mergeCell ref="I1424:J1424"/>
    <mergeCell ref="K1433:L1433"/>
    <mergeCell ref="M1433:N1433"/>
    <mergeCell ref="I1433:J1433"/>
    <mergeCell ref="I1434:J1434"/>
    <mergeCell ref="K1434:L1434"/>
    <mergeCell ref="M1434:N1434"/>
    <mergeCell ref="M1424:N1424"/>
    <mergeCell ref="K1425:L1425"/>
    <mergeCell ref="M1425:N1425"/>
    <mergeCell ref="A1427:N1428"/>
    <mergeCell ref="A1432:N1432"/>
    <mergeCell ref="A1433:G1433"/>
    <mergeCell ref="A1434:G1434"/>
    <mergeCell ref="A1464:G1464"/>
    <mergeCell ref="I1464:J1464"/>
    <mergeCell ref="M1464:N1464"/>
    <mergeCell ref="A1465:G1465"/>
    <mergeCell ref="M1465:N1465"/>
    <mergeCell ref="M1466:N1466"/>
    <mergeCell ref="I1475:J1475"/>
    <mergeCell ref="I1476:J1476"/>
    <mergeCell ref="K1476:L1476"/>
    <mergeCell ref="M1476:N1476"/>
    <mergeCell ref="A1466:G1466"/>
    <mergeCell ref="A1469:N1470"/>
    <mergeCell ref="A1474:N1474"/>
    <mergeCell ref="A1475:G1475"/>
    <mergeCell ref="K1475:L1475"/>
    <mergeCell ref="M1475:N1475"/>
    <mergeCell ref="A1476:G1476"/>
    <mergeCell ref="K1480:L1480"/>
    <mergeCell ref="M1480:N1480"/>
    <mergeCell ref="I1480:J1480"/>
    <mergeCell ref="I1481:J1481"/>
    <mergeCell ref="K1485:L1485"/>
    <mergeCell ref="M1485:N1485"/>
    <mergeCell ref="I1485:J1485"/>
    <mergeCell ref="I1486:J1486"/>
    <mergeCell ref="K1486:L1486"/>
    <mergeCell ref="M1486:N1486"/>
    <mergeCell ref="K1481:L1481"/>
    <mergeCell ref="M1481:N1481"/>
    <mergeCell ref="K1482:L1482"/>
    <mergeCell ref="M1482:N1482"/>
    <mergeCell ref="A1484:N1484"/>
    <mergeCell ref="A1485:G1485"/>
    <mergeCell ref="A1486:G1486"/>
    <mergeCell ref="A1456:G1456"/>
    <mergeCell ref="A1457:G1457"/>
    <mergeCell ref="I1457:J1457"/>
    <mergeCell ref="K1457:L1457"/>
    <mergeCell ref="A1487:G1487"/>
    <mergeCell ref="I1487:J1487"/>
    <mergeCell ref="K1487:L1487"/>
    <mergeCell ref="M1487:N1487"/>
    <mergeCell ref="I1488:J1488"/>
    <mergeCell ref="K1488:L1488"/>
    <mergeCell ref="M1488:N1488"/>
    <mergeCell ref="K1490:L1490"/>
    <mergeCell ref="M1490:N1490"/>
    <mergeCell ref="K1491:L1491"/>
    <mergeCell ref="M1491:N1491"/>
    <mergeCell ref="A1488:G1488"/>
    <mergeCell ref="A1489:G1489"/>
    <mergeCell ref="I1489:J1489"/>
    <mergeCell ref="K1489:L1489"/>
    <mergeCell ref="M1489:N1489"/>
    <mergeCell ref="A1490:G1490"/>
    <mergeCell ref="I1490:J1490"/>
    <mergeCell ref="K1495:L1495"/>
    <mergeCell ref="M1495:N1495"/>
    <mergeCell ref="K1445:L1445"/>
    <mergeCell ref="M1445:N1445"/>
    <mergeCell ref="A1442:N1442"/>
    <mergeCell ref="A1443:G1443"/>
    <mergeCell ref="I1443:J1443"/>
    <mergeCell ref="K1443:L1443"/>
    <mergeCell ref="M1443:N1443"/>
    <mergeCell ref="A1444:G1444"/>
    <mergeCell ref="A1445:G1445"/>
    <mergeCell ref="I1447:J1447"/>
    <mergeCell ref="K1447:L1447"/>
    <mergeCell ref="I1444:J1444"/>
    <mergeCell ref="I1445:J1445"/>
    <mergeCell ref="A1446:G1446"/>
    <mergeCell ref="I1446:J1446"/>
    <mergeCell ref="K1446:L1446"/>
    <mergeCell ref="M1446:N1446"/>
    <mergeCell ref="M1447:N1447"/>
    <mergeCell ref="M1457:N1457"/>
    <mergeCell ref="K1458:L1458"/>
    <mergeCell ref="M1458:N1458"/>
    <mergeCell ref="I1465:J1465"/>
    <mergeCell ref="I1466:J1466"/>
    <mergeCell ref="K1467:L1467"/>
    <mergeCell ref="M1467:N1467"/>
    <mergeCell ref="A1477:G1477"/>
    <mergeCell ref="I1477:J1477"/>
    <mergeCell ref="K1477:L1477"/>
    <mergeCell ref="M1477:N1477"/>
    <mergeCell ref="I1478:J1478"/>
    <mergeCell ref="K1478:L1478"/>
    <mergeCell ref="M1478:N1478"/>
    <mergeCell ref="A1478:G1478"/>
    <mergeCell ref="A1479:G1479"/>
    <mergeCell ref="I1479:J1479"/>
    <mergeCell ref="K1479:L1479"/>
    <mergeCell ref="M1479:N1479"/>
    <mergeCell ref="A1480:G1480"/>
    <mergeCell ref="A1481:G1481"/>
    <mergeCell ref="A1463:G1463"/>
    <mergeCell ref="I1519:J1519"/>
    <mergeCell ref="I1520:J1520"/>
    <mergeCell ref="K1520:L1520"/>
    <mergeCell ref="M1520:N1520"/>
    <mergeCell ref="A1435:G1435"/>
    <mergeCell ref="I1435:J1435"/>
    <mergeCell ref="K1435:L1435"/>
    <mergeCell ref="M1435:N1435"/>
    <mergeCell ref="I1436:J1436"/>
    <mergeCell ref="K1436:L1436"/>
    <mergeCell ref="M1436:N1436"/>
    <mergeCell ref="K1438:L1438"/>
    <mergeCell ref="M1438:N1438"/>
    <mergeCell ref="I1438:J1438"/>
    <mergeCell ref="I1439:J1439"/>
    <mergeCell ref="K1439:L1439"/>
    <mergeCell ref="M1439:N1439"/>
    <mergeCell ref="K1440:L1440"/>
    <mergeCell ref="M1440:N1440"/>
    <mergeCell ref="A1436:G1436"/>
    <mergeCell ref="A1437:G1437"/>
    <mergeCell ref="I1437:J1437"/>
    <mergeCell ref="K1437:L1437"/>
    <mergeCell ref="M1437:N1437"/>
    <mergeCell ref="A1438:G1438"/>
    <mergeCell ref="A1439:G1439"/>
    <mergeCell ref="K1444:L1444"/>
    <mergeCell ref="M1444:N1444"/>
    <mergeCell ref="A1447:G1447"/>
    <mergeCell ref="A1448:G1448"/>
    <mergeCell ref="I1448:J1448"/>
    <mergeCell ref="K1448:L1448"/>
    <mergeCell ref="M1448:N1448"/>
    <mergeCell ref="K1449:L1449"/>
    <mergeCell ref="M1449:N1449"/>
    <mergeCell ref="I1462:J1462"/>
    <mergeCell ref="I1463:J1463"/>
    <mergeCell ref="A1460:N1460"/>
    <mergeCell ref="A1461:G1461"/>
    <mergeCell ref="I1461:J1461"/>
    <mergeCell ref="M1461:N1461"/>
    <mergeCell ref="A1462:G1462"/>
    <mergeCell ref="M1462:N1462"/>
    <mergeCell ref="M1463:N1463"/>
    <mergeCell ref="K1453:L1453"/>
    <mergeCell ref="M1453:N1453"/>
    <mergeCell ref="I1453:J1453"/>
    <mergeCell ref="I1454:J1454"/>
    <mergeCell ref="K1454:L1454"/>
    <mergeCell ref="M1454:N1454"/>
    <mergeCell ref="A1451:N1451"/>
    <mergeCell ref="A1452:G1452"/>
    <mergeCell ref="I1452:J1452"/>
    <mergeCell ref="K1452:L1452"/>
    <mergeCell ref="M1452:N1452"/>
    <mergeCell ref="A1453:G1453"/>
    <mergeCell ref="A1454:G1454"/>
    <mergeCell ref="A1455:G1455"/>
    <mergeCell ref="I1455:J1455"/>
    <mergeCell ref="K1455:L1455"/>
    <mergeCell ref="M1455:N1455"/>
    <mergeCell ref="I1456:J1456"/>
    <mergeCell ref="K1456:L1456"/>
    <mergeCell ref="M1456:N1456"/>
    <mergeCell ref="I1521:J1521"/>
    <mergeCell ref="K1521:L1521"/>
    <mergeCell ref="M1521:N1521"/>
    <mergeCell ref="I1495:J1495"/>
    <mergeCell ref="I1496:J1496"/>
    <mergeCell ref="K1496:L1496"/>
    <mergeCell ref="M1496:N1496"/>
    <mergeCell ref="A1493:N1493"/>
    <mergeCell ref="A1494:G1494"/>
    <mergeCell ref="I1494:J1494"/>
    <mergeCell ref="K1494:L1494"/>
    <mergeCell ref="M1494:N1494"/>
    <mergeCell ref="A1495:G1495"/>
    <mergeCell ref="A1496:G1496"/>
    <mergeCell ref="A1497:G1497"/>
    <mergeCell ref="I1497:J1497"/>
    <mergeCell ref="K1497:L1497"/>
    <mergeCell ref="M1497:N1497"/>
    <mergeCell ref="I1498:J1498"/>
    <mergeCell ref="K1498:L1498"/>
    <mergeCell ref="M1498:N1498"/>
    <mergeCell ref="A1498:G1498"/>
    <mergeCell ref="A1499:G1499"/>
    <mergeCell ref="I1499:J1499"/>
    <mergeCell ref="K1499:L1499"/>
    <mergeCell ref="M1499:N1499"/>
    <mergeCell ref="K1500:L1500"/>
    <mergeCell ref="M1500:N1500"/>
    <mergeCell ref="A1517:G1517"/>
    <mergeCell ref="A1518:G1518"/>
    <mergeCell ref="A1519:G1519"/>
    <mergeCell ref="A1520:G1520"/>
    <mergeCell ref="A1521:G1521"/>
    <mergeCell ref="M1508:N1508"/>
    <mergeCell ref="K1509:L1509"/>
    <mergeCell ref="M1509:N1509"/>
    <mergeCell ref="I1504:J1504"/>
    <mergeCell ref="I1505:J1505"/>
    <mergeCell ref="I1506:J1506"/>
    <mergeCell ref="M1506:N1506"/>
    <mergeCell ref="I1507:J1507"/>
    <mergeCell ref="M1507:N1507"/>
    <mergeCell ref="I1508:J1508"/>
    <mergeCell ref="A1502:N1502"/>
    <mergeCell ref="A1503:G1503"/>
    <mergeCell ref="I1503:J1503"/>
    <mergeCell ref="M1503:N1503"/>
    <mergeCell ref="A1504:G1504"/>
    <mergeCell ref="M1504:N1504"/>
    <mergeCell ref="M1505:N1505"/>
    <mergeCell ref="A1505:G1505"/>
    <mergeCell ref="A1506:G1506"/>
    <mergeCell ref="A1507:G1507"/>
    <mergeCell ref="A1508:G1508"/>
    <mergeCell ref="A1511:N1512"/>
    <mergeCell ref="A1516:N1516"/>
    <mergeCell ref="M1517:N1517"/>
    <mergeCell ref="I1517:J1517"/>
    <mergeCell ref="K1517:L1517"/>
    <mergeCell ref="I1518:J1518"/>
    <mergeCell ref="K1518:L1518"/>
    <mergeCell ref="M1518:N1518"/>
    <mergeCell ref="K1519:L1519"/>
    <mergeCell ref="M1519:N1519"/>
    <mergeCell ref="A1522:G1522"/>
    <mergeCell ref="A1523:G1523"/>
    <mergeCell ref="A1524:G1524"/>
    <mergeCell ref="I1522:J1522"/>
    <mergeCell ref="K1522:L1522"/>
    <mergeCell ref="M1522:N1522"/>
    <mergeCell ref="I1523:J1523"/>
    <mergeCell ref="K1523:L1523"/>
    <mergeCell ref="M1523:N1523"/>
    <mergeCell ref="I1524:J1524"/>
    <mergeCell ref="K1528:L1528"/>
    <mergeCell ref="M1528:N1528"/>
    <mergeCell ref="I1528:J1528"/>
    <mergeCell ref="I1529:J1529"/>
    <mergeCell ref="K1529:L1529"/>
    <mergeCell ref="M1529:N1529"/>
    <mergeCell ref="K1524:L1524"/>
    <mergeCell ref="M1524:N1524"/>
    <mergeCell ref="K1525:L1525"/>
    <mergeCell ref="M1525:N1525"/>
    <mergeCell ref="A1527:N1527"/>
    <mergeCell ref="A1528:G1528"/>
    <mergeCell ref="A1529:G1529"/>
    <mergeCell ref="A1530:G1530"/>
    <mergeCell ref="I1530:J1530"/>
    <mergeCell ref="K1530:L1530"/>
    <mergeCell ref="M1530:N1530"/>
    <mergeCell ref="I1531:J1531"/>
    <mergeCell ref="K1531:L1531"/>
    <mergeCell ref="M1531:N1531"/>
    <mergeCell ref="K1533:L1533"/>
    <mergeCell ref="M1533:N1533"/>
    <mergeCell ref="K1534:L1534"/>
    <mergeCell ref="M1534:N1534"/>
    <mergeCell ref="A1531:G1531"/>
    <mergeCell ref="A1532:G1532"/>
    <mergeCell ref="I1532:J1532"/>
    <mergeCell ref="K1532:L1532"/>
    <mergeCell ref="M1532:N1532"/>
    <mergeCell ref="A1533:G1533"/>
    <mergeCell ref="I1533:J1533"/>
    <mergeCell ref="I1547:J1547"/>
    <mergeCell ref="I1548:J1548"/>
    <mergeCell ref="A1545:N1545"/>
    <mergeCell ref="A1546:G1546"/>
    <mergeCell ref="I1546:J1546"/>
    <mergeCell ref="M1546:N1546"/>
    <mergeCell ref="A1547:G1547"/>
    <mergeCell ref="M1547:N1547"/>
    <mergeCell ref="M1548:N1548"/>
    <mergeCell ref="K1538:L1538"/>
    <mergeCell ref="M1538:N1538"/>
    <mergeCell ref="I1538:J1538"/>
    <mergeCell ref="I1539:J1539"/>
    <mergeCell ref="K1539:L1539"/>
    <mergeCell ref="M1539:N1539"/>
    <mergeCell ref="A1536:N1536"/>
    <mergeCell ref="A1537:G1537"/>
    <mergeCell ref="I1537:J1537"/>
    <mergeCell ref="K1537:L1537"/>
    <mergeCell ref="M1537:N1537"/>
    <mergeCell ref="A1538:G1538"/>
    <mergeCell ref="A1539:G1539"/>
    <mergeCell ref="A1540:G1540"/>
    <mergeCell ref="I1540:J1540"/>
    <mergeCell ref="K1540:L1540"/>
    <mergeCell ref="M1540:N1540"/>
    <mergeCell ref="I1541:J1541"/>
    <mergeCell ref="K1541:L1541"/>
    <mergeCell ref="M1541:N1541"/>
    <mergeCell ref="A1541:G1541"/>
    <mergeCell ref="A1542:G1542"/>
    <mergeCell ref="I1542:J1542"/>
    <mergeCell ref="K1542:L1542"/>
    <mergeCell ref="M1542:N1542"/>
    <mergeCell ref="K1543:L1543"/>
    <mergeCell ref="M1543:N1543"/>
    <mergeCell ref="I1550:J1550"/>
    <mergeCell ref="I1551:J1551"/>
    <mergeCell ref="K1552:L1552"/>
    <mergeCell ref="M1552:N1552"/>
    <mergeCell ref="A1562:G1562"/>
    <mergeCell ref="I1562:J1562"/>
    <mergeCell ref="K1562:L1562"/>
    <mergeCell ref="M1562:N1562"/>
    <mergeCell ref="I1563:J1563"/>
    <mergeCell ref="K1563:L1563"/>
    <mergeCell ref="M1563:N1563"/>
    <mergeCell ref="A1563:G1563"/>
    <mergeCell ref="A1564:G1564"/>
    <mergeCell ref="I1564:J1564"/>
    <mergeCell ref="K1564:L1564"/>
    <mergeCell ref="M1564:N1564"/>
    <mergeCell ref="A1565:G1565"/>
    <mergeCell ref="A1566:G1566"/>
    <mergeCell ref="A1548:G1548"/>
    <mergeCell ref="A1549:G1549"/>
    <mergeCell ref="I1549:J1549"/>
    <mergeCell ref="M1549:N1549"/>
    <mergeCell ref="A1550:G1550"/>
    <mergeCell ref="M1550:N1550"/>
    <mergeCell ref="M1551:N1551"/>
    <mergeCell ref="I1560:J1560"/>
    <mergeCell ref="I1561:J1561"/>
    <mergeCell ref="K1561:L1561"/>
    <mergeCell ref="M1561:N1561"/>
    <mergeCell ref="A1551:G1551"/>
    <mergeCell ref="A1554:N1555"/>
    <mergeCell ref="A1559:N1559"/>
    <mergeCell ref="A1560:G1560"/>
    <mergeCell ref="K1560:L1560"/>
    <mergeCell ref="M1560:N1560"/>
    <mergeCell ref="A1561:G1561"/>
    <mergeCell ref="K1565:L1565"/>
    <mergeCell ref="M1565:N1565"/>
    <mergeCell ref="I1565:J1565"/>
    <mergeCell ref="I1566:J1566"/>
    <mergeCell ref="I1604:J1604"/>
    <mergeCell ref="I1605:J1605"/>
    <mergeCell ref="K1605:L1605"/>
    <mergeCell ref="M1605:N1605"/>
    <mergeCell ref="K1570:L1570"/>
    <mergeCell ref="M1570:N1570"/>
    <mergeCell ref="I1570:J1570"/>
    <mergeCell ref="I1571:J1571"/>
    <mergeCell ref="K1571:L1571"/>
    <mergeCell ref="M1571:N1571"/>
    <mergeCell ref="K1566:L1566"/>
    <mergeCell ref="M1566:N1566"/>
    <mergeCell ref="K1567:L1567"/>
    <mergeCell ref="M1567:N1567"/>
    <mergeCell ref="A1569:N1569"/>
    <mergeCell ref="A1570:G1570"/>
    <mergeCell ref="A1571:G1571"/>
    <mergeCell ref="A1572:G1572"/>
    <mergeCell ref="I1572:J1572"/>
    <mergeCell ref="K1572:L1572"/>
    <mergeCell ref="M1572:N1572"/>
    <mergeCell ref="I1573:J1573"/>
    <mergeCell ref="K1573:L1573"/>
    <mergeCell ref="M1573:N1573"/>
    <mergeCell ref="K1575:L1575"/>
    <mergeCell ref="M1575:N1575"/>
    <mergeCell ref="K1576:L1576"/>
    <mergeCell ref="M1576:N1576"/>
    <mergeCell ref="A1573:G1573"/>
    <mergeCell ref="A1574:G1574"/>
    <mergeCell ref="I1574:J1574"/>
    <mergeCell ref="K1574:L1574"/>
    <mergeCell ref="M1574:N1574"/>
    <mergeCell ref="A1575:G1575"/>
    <mergeCell ref="I1575:J1575"/>
    <mergeCell ref="K1580:L1580"/>
    <mergeCell ref="M1580:N1580"/>
    <mergeCell ref="I1606:J1606"/>
    <mergeCell ref="K1606:L1606"/>
    <mergeCell ref="M1606:N1606"/>
    <mergeCell ref="I1580:J1580"/>
    <mergeCell ref="I1581:J1581"/>
    <mergeCell ref="K1581:L1581"/>
    <mergeCell ref="M1581:N1581"/>
    <mergeCell ref="A1578:N1578"/>
    <mergeCell ref="A1579:G1579"/>
    <mergeCell ref="I1579:J1579"/>
    <mergeCell ref="K1579:L1579"/>
    <mergeCell ref="M1579:N1579"/>
    <mergeCell ref="A1580:G1580"/>
    <mergeCell ref="A1581:G1581"/>
    <mergeCell ref="A1582:G1582"/>
    <mergeCell ref="I1582:J1582"/>
    <mergeCell ref="K1582:L1582"/>
    <mergeCell ref="M1582:N1582"/>
    <mergeCell ref="I1583:J1583"/>
    <mergeCell ref="K1583:L1583"/>
    <mergeCell ref="M1583:N1583"/>
    <mergeCell ref="A1583:G1583"/>
    <mergeCell ref="A1584:G1584"/>
    <mergeCell ref="I1584:J1584"/>
    <mergeCell ref="K1584:L1584"/>
    <mergeCell ref="M1584:N1584"/>
    <mergeCell ref="K1585:L1585"/>
    <mergeCell ref="M1585:N1585"/>
    <mergeCell ref="A1602:G1602"/>
    <mergeCell ref="A1603:G1603"/>
    <mergeCell ref="A1604:G1604"/>
    <mergeCell ref="A1605:G1605"/>
    <mergeCell ref="A1606:G1606"/>
    <mergeCell ref="M1593:N1593"/>
    <mergeCell ref="K1594:L1594"/>
    <mergeCell ref="M1594:N1594"/>
    <mergeCell ref="I1589:J1589"/>
    <mergeCell ref="I1590:J1590"/>
    <mergeCell ref="I1591:J1591"/>
    <mergeCell ref="M1591:N1591"/>
    <mergeCell ref="I1592:J1592"/>
    <mergeCell ref="M1592:N1592"/>
    <mergeCell ref="I1593:J1593"/>
    <mergeCell ref="A1587:N1587"/>
    <mergeCell ref="A1588:G1588"/>
    <mergeCell ref="I1588:J1588"/>
    <mergeCell ref="M1588:N1588"/>
    <mergeCell ref="A1589:G1589"/>
    <mergeCell ref="M1589:N1589"/>
    <mergeCell ref="M1590:N1590"/>
    <mergeCell ref="A1590:G1590"/>
    <mergeCell ref="A1591:G1591"/>
    <mergeCell ref="A1592:G1592"/>
    <mergeCell ref="A1593:G1593"/>
    <mergeCell ref="A1596:N1597"/>
    <mergeCell ref="A1601:N1601"/>
    <mergeCell ref="M1602:N1602"/>
    <mergeCell ref="I1602:J1602"/>
    <mergeCell ref="K1602:L1602"/>
    <mergeCell ref="I1603:J1603"/>
    <mergeCell ref="K1603:L1603"/>
    <mergeCell ref="M1603:N1603"/>
    <mergeCell ref="K1604:L1604"/>
    <mergeCell ref="M1604:N1604"/>
    <mergeCell ref="A1607:G1607"/>
    <mergeCell ref="A1608:G1608"/>
    <mergeCell ref="I1607:J1607"/>
    <mergeCell ref="K1607:L1607"/>
    <mergeCell ref="M1607:N1607"/>
    <mergeCell ref="I1608:J1608"/>
    <mergeCell ref="K1608:L1608"/>
    <mergeCell ref="M1608:N1608"/>
    <mergeCell ref="K1609:L1609"/>
    <mergeCell ref="A1613:G1613"/>
    <mergeCell ref="A1614:G1614"/>
    <mergeCell ref="A1615:G1615"/>
    <mergeCell ref="A1616:G1616"/>
    <mergeCell ref="A1617:G1617"/>
    <mergeCell ref="M1609:N1609"/>
    <mergeCell ref="A1611:N1611"/>
    <mergeCell ref="A1612:G1612"/>
    <mergeCell ref="I1612:J1612"/>
    <mergeCell ref="K1612:L1612"/>
    <mergeCell ref="M1612:N1612"/>
    <mergeCell ref="M1613:N1613"/>
    <mergeCell ref="I1613:J1613"/>
    <mergeCell ref="K1613:L1613"/>
    <mergeCell ref="I1614:J1614"/>
    <mergeCell ref="K1614:L1614"/>
    <mergeCell ref="M1614:N1614"/>
    <mergeCell ref="K1615:L1615"/>
    <mergeCell ref="M1615:N1615"/>
    <mergeCell ref="I1615:J1615"/>
    <mergeCell ref="I1616:J1616"/>
    <mergeCell ref="K1616:L1616"/>
    <mergeCell ref="M1616:N1616"/>
    <mergeCell ref="I1617:J1617"/>
    <mergeCell ref="K1617:L1617"/>
    <mergeCell ref="M1617:N1617"/>
    <mergeCell ref="I1621:J1621"/>
    <mergeCell ref="I1622:J1622"/>
    <mergeCell ref="K1622:L1622"/>
    <mergeCell ref="M1622:N1622"/>
    <mergeCell ref="K1618:L1618"/>
    <mergeCell ref="M1618:N1618"/>
    <mergeCell ref="A1620:N1620"/>
    <mergeCell ref="A1621:G1621"/>
    <mergeCell ref="K1621:L1621"/>
    <mergeCell ref="M1621:N1621"/>
    <mergeCell ref="A1622:G1622"/>
    <mergeCell ref="A1623:G1623"/>
    <mergeCell ref="I1623:J1623"/>
    <mergeCell ref="K1623:L1623"/>
    <mergeCell ref="M1623:N1623"/>
    <mergeCell ref="I1624:J1624"/>
    <mergeCell ref="K1624:L1624"/>
    <mergeCell ref="M1624:N1624"/>
    <mergeCell ref="K1626:L1626"/>
    <mergeCell ref="M1626:N1626"/>
    <mergeCell ref="K1627:L1627"/>
    <mergeCell ref="M1627:N1627"/>
    <mergeCell ref="A1624:G1624"/>
    <mergeCell ref="A1625:G1625"/>
    <mergeCell ref="I1625:J1625"/>
    <mergeCell ref="K1625:L1625"/>
    <mergeCell ref="M1625:N1625"/>
    <mergeCell ref="A1626:G1626"/>
    <mergeCell ref="I1626:J1626"/>
    <mergeCell ref="A1632:G1632"/>
    <mergeCell ref="A1633:G1633"/>
    <mergeCell ref="A1634:G1634"/>
    <mergeCell ref="A1635:G1635"/>
    <mergeCell ref="A1629:N1629"/>
    <mergeCell ref="A1630:G1630"/>
    <mergeCell ref="I1630:J1630"/>
    <mergeCell ref="M1630:N1630"/>
    <mergeCell ref="A1631:G1631"/>
    <mergeCell ref="M1631:N1631"/>
    <mergeCell ref="M1632:N1632"/>
    <mergeCell ref="I1631:J1631"/>
    <mergeCell ref="I1632:J1632"/>
    <mergeCell ref="I1633:J1633"/>
    <mergeCell ref="M1633:N1633"/>
    <mergeCell ref="I1634:J1634"/>
    <mergeCell ref="M1634:N1634"/>
    <mergeCell ref="I1635:J1635"/>
    <mergeCell ref="K1644:L1644"/>
    <mergeCell ref="M1644:N1644"/>
    <mergeCell ref="A1646:G1646"/>
    <mergeCell ref="I1646:J1646"/>
    <mergeCell ref="K1646:L1646"/>
    <mergeCell ref="M1646:N1646"/>
    <mergeCell ref="I1647:J1647"/>
    <mergeCell ref="K1647:L1647"/>
    <mergeCell ref="M1647:N1647"/>
    <mergeCell ref="A1647:G1647"/>
    <mergeCell ref="A1648:G1648"/>
    <mergeCell ref="I1648:J1648"/>
    <mergeCell ref="K1648:L1648"/>
    <mergeCell ref="M1648:N1648"/>
    <mergeCell ref="A1649:G1649"/>
    <mergeCell ref="A1650:G1650"/>
    <mergeCell ref="I1644:J1644"/>
    <mergeCell ref="I1645:J1645"/>
    <mergeCell ref="K1645:L1645"/>
    <mergeCell ref="M1645:N1645"/>
    <mergeCell ref="M1635:N1635"/>
    <mergeCell ref="K1636:L1636"/>
    <mergeCell ref="M1636:N1636"/>
    <mergeCell ref="A1638:N1639"/>
    <mergeCell ref="A1643:N1643"/>
    <mergeCell ref="A1644:G1644"/>
    <mergeCell ref="A1645:G1645"/>
    <mergeCell ref="K1649:L1649"/>
    <mergeCell ref="M1649:N1649"/>
    <mergeCell ref="I1649:J1649"/>
    <mergeCell ref="I1650:J1650"/>
    <mergeCell ref="K1650:L1650"/>
    <mergeCell ref="M1650:N1650"/>
    <mergeCell ref="K1651:L1651"/>
    <mergeCell ref="M1651:N1651"/>
    <mergeCell ref="K1655:L1655"/>
    <mergeCell ref="M1655:N1655"/>
    <mergeCell ref="K1665:L1665"/>
    <mergeCell ref="M1665:N1665"/>
    <mergeCell ref="A1662:N1662"/>
    <mergeCell ref="A1663:G1663"/>
    <mergeCell ref="I1663:J1663"/>
    <mergeCell ref="K1663:L1663"/>
    <mergeCell ref="M1663:N1663"/>
    <mergeCell ref="A1664:G1664"/>
    <mergeCell ref="A1665:G1665"/>
    <mergeCell ref="I1667:J1667"/>
    <mergeCell ref="K1667:L1667"/>
    <mergeCell ref="I1664:J1664"/>
    <mergeCell ref="I1665:J1665"/>
    <mergeCell ref="A1666:G1666"/>
    <mergeCell ref="I1666:J1666"/>
    <mergeCell ref="K1666:L1666"/>
    <mergeCell ref="M1666:N1666"/>
    <mergeCell ref="M1667:N1667"/>
    <mergeCell ref="I1655:J1655"/>
    <mergeCell ref="I1656:J1656"/>
    <mergeCell ref="K1656:L1656"/>
    <mergeCell ref="M1656:N1656"/>
    <mergeCell ref="A1653:N1653"/>
    <mergeCell ref="A1654:G1654"/>
    <mergeCell ref="I1654:J1654"/>
    <mergeCell ref="K1654:L1654"/>
    <mergeCell ref="M1654:N1654"/>
    <mergeCell ref="A1655:G1655"/>
    <mergeCell ref="A1656:G1656"/>
    <mergeCell ref="A1657:G1657"/>
    <mergeCell ref="I1657:J1657"/>
    <mergeCell ref="K1657:L1657"/>
    <mergeCell ref="M1657:N1657"/>
    <mergeCell ref="I1658:J1658"/>
    <mergeCell ref="K1658:L1658"/>
    <mergeCell ref="M1658:N1658"/>
    <mergeCell ref="A1658:G1658"/>
    <mergeCell ref="A1659:G1659"/>
    <mergeCell ref="I1659:J1659"/>
    <mergeCell ref="K1659:L1659"/>
    <mergeCell ref="M1659:N1659"/>
    <mergeCell ref="K1660:L1660"/>
    <mergeCell ref="M1660:N1660"/>
    <mergeCell ref="K1664:L1664"/>
    <mergeCell ref="M1664:N1664"/>
    <mergeCell ref="A1667:G1667"/>
    <mergeCell ref="A1668:G1668"/>
    <mergeCell ref="I1668:J1668"/>
    <mergeCell ref="K1668:L1668"/>
    <mergeCell ref="M1668:N1668"/>
    <mergeCell ref="K1669:L1669"/>
    <mergeCell ref="M1669:N1669"/>
    <mergeCell ref="A1674:G1674"/>
    <mergeCell ref="A1675:G1675"/>
    <mergeCell ref="A1676:G1676"/>
    <mergeCell ref="A1677:G1677"/>
    <mergeCell ref="A1671:N1671"/>
    <mergeCell ref="A1672:G1672"/>
    <mergeCell ref="I1672:J1672"/>
    <mergeCell ref="M1672:N1672"/>
    <mergeCell ref="A1673:G1673"/>
    <mergeCell ref="M1673:N1673"/>
    <mergeCell ref="M1674:N1674"/>
    <mergeCell ref="I1673:J1673"/>
    <mergeCell ref="I1674:J1674"/>
    <mergeCell ref="I1675:J1675"/>
    <mergeCell ref="M1675:N1675"/>
    <mergeCell ref="I1676:J1676"/>
    <mergeCell ref="M1676:N1676"/>
    <mergeCell ref="I1677:J1677"/>
    <mergeCell ref="K1686:L1686"/>
    <mergeCell ref="M1686:N1686"/>
    <mergeCell ref="I1686:J1686"/>
    <mergeCell ref="I1687:J1687"/>
    <mergeCell ref="K1687:L1687"/>
    <mergeCell ref="M1687:N1687"/>
    <mergeCell ref="M1677:N1677"/>
    <mergeCell ref="K1678:L1678"/>
    <mergeCell ref="M1678:N1678"/>
    <mergeCell ref="A1680:N1681"/>
    <mergeCell ref="A1685:N1685"/>
    <mergeCell ref="A1686:G1686"/>
    <mergeCell ref="A1687:G1687"/>
    <mergeCell ref="A1717:G1717"/>
    <mergeCell ref="I1717:J1717"/>
    <mergeCell ref="M1717:N1717"/>
    <mergeCell ref="A1718:G1718"/>
    <mergeCell ref="M1718:N1718"/>
    <mergeCell ref="M1719:N1719"/>
    <mergeCell ref="I1728:J1728"/>
    <mergeCell ref="I1729:J1729"/>
    <mergeCell ref="K1729:L1729"/>
    <mergeCell ref="M1729:N1729"/>
    <mergeCell ref="A1719:G1719"/>
    <mergeCell ref="A1722:N1723"/>
    <mergeCell ref="A1727:N1727"/>
    <mergeCell ref="A1728:G1728"/>
    <mergeCell ref="K1728:L1728"/>
    <mergeCell ref="M1728:N1728"/>
    <mergeCell ref="A1729:G1729"/>
    <mergeCell ref="K1733:L1733"/>
    <mergeCell ref="M1733:N1733"/>
    <mergeCell ref="I1733:J1733"/>
    <mergeCell ref="I1734:J1734"/>
    <mergeCell ref="K1738:L1738"/>
    <mergeCell ref="M1738:N1738"/>
    <mergeCell ref="I1738:J1738"/>
    <mergeCell ref="I1739:J1739"/>
    <mergeCell ref="K1739:L1739"/>
    <mergeCell ref="M1739:N1739"/>
    <mergeCell ref="K1734:L1734"/>
    <mergeCell ref="M1734:N1734"/>
    <mergeCell ref="K1735:L1735"/>
    <mergeCell ref="M1735:N1735"/>
    <mergeCell ref="A1737:N1737"/>
    <mergeCell ref="A1738:G1738"/>
    <mergeCell ref="A1739:G1739"/>
    <mergeCell ref="A1709:G1709"/>
    <mergeCell ref="A1710:G1710"/>
    <mergeCell ref="I1710:J1710"/>
    <mergeCell ref="K1710:L1710"/>
    <mergeCell ref="A1740:G1740"/>
    <mergeCell ref="I1740:J1740"/>
    <mergeCell ref="K1740:L1740"/>
    <mergeCell ref="M1740:N1740"/>
    <mergeCell ref="I1741:J1741"/>
    <mergeCell ref="K1741:L1741"/>
    <mergeCell ref="M1741:N1741"/>
    <mergeCell ref="K1743:L1743"/>
    <mergeCell ref="M1743:N1743"/>
    <mergeCell ref="K1744:L1744"/>
    <mergeCell ref="M1744:N1744"/>
    <mergeCell ref="A1741:G1741"/>
    <mergeCell ref="A1742:G1742"/>
    <mergeCell ref="I1742:J1742"/>
    <mergeCell ref="K1742:L1742"/>
    <mergeCell ref="M1742:N1742"/>
    <mergeCell ref="A1743:G1743"/>
    <mergeCell ref="I1743:J1743"/>
    <mergeCell ref="K1748:L1748"/>
    <mergeCell ref="M1748:N1748"/>
    <mergeCell ref="K1698:L1698"/>
    <mergeCell ref="M1698:N1698"/>
    <mergeCell ref="A1695:N1695"/>
    <mergeCell ref="A1696:G1696"/>
    <mergeCell ref="I1696:J1696"/>
    <mergeCell ref="K1696:L1696"/>
    <mergeCell ref="M1696:N1696"/>
    <mergeCell ref="A1697:G1697"/>
    <mergeCell ref="A1698:G1698"/>
    <mergeCell ref="I1700:J1700"/>
    <mergeCell ref="K1700:L1700"/>
    <mergeCell ref="I1697:J1697"/>
    <mergeCell ref="I1698:J1698"/>
    <mergeCell ref="A1699:G1699"/>
    <mergeCell ref="I1699:J1699"/>
    <mergeCell ref="K1699:L1699"/>
    <mergeCell ref="M1699:N1699"/>
    <mergeCell ref="M1700:N1700"/>
    <mergeCell ref="M1710:N1710"/>
    <mergeCell ref="K1711:L1711"/>
    <mergeCell ref="M1711:N1711"/>
    <mergeCell ref="I1718:J1718"/>
    <mergeCell ref="I1719:J1719"/>
    <mergeCell ref="K1720:L1720"/>
    <mergeCell ref="M1720:N1720"/>
    <mergeCell ref="A1730:G1730"/>
    <mergeCell ref="I1730:J1730"/>
    <mergeCell ref="K1730:L1730"/>
    <mergeCell ref="M1730:N1730"/>
    <mergeCell ref="I1731:J1731"/>
    <mergeCell ref="K1731:L1731"/>
    <mergeCell ref="M1731:N1731"/>
    <mergeCell ref="A1731:G1731"/>
    <mergeCell ref="A1732:G1732"/>
    <mergeCell ref="I1732:J1732"/>
    <mergeCell ref="K1732:L1732"/>
    <mergeCell ref="M1732:N1732"/>
    <mergeCell ref="A1733:G1733"/>
    <mergeCell ref="A1734:G1734"/>
    <mergeCell ref="A1716:G1716"/>
    <mergeCell ref="I1772:J1772"/>
    <mergeCell ref="I1773:J1773"/>
    <mergeCell ref="K1773:L1773"/>
    <mergeCell ref="M1773:N1773"/>
    <mergeCell ref="A1688:G1688"/>
    <mergeCell ref="I1688:J1688"/>
    <mergeCell ref="K1688:L1688"/>
    <mergeCell ref="M1688:N1688"/>
    <mergeCell ref="I1689:J1689"/>
    <mergeCell ref="K1689:L1689"/>
    <mergeCell ref="M1689:N1689"/>
    <mergeCell ref="K1691:L1691"/>
    <mergeCell ref="M1691:N1691"/>
    <mergeCell ref="I1691:J1691"/>
    <mergeCell ref="I1692:J1692"/>
    <mergeCell ref="K1692:L1692"/>
    <mergeCell ref="M1692:N1692"/>
    <mergeCell ref="K1693:L1693"/>
    <mergeCell ref="M1693:N1693"/>
    <mergeCell ref="A1689:G1689"/>
    <mergeCell ref="A1690:G1690"/>
    <mergeCell ref="I1690:J1690"/>
    <mergeCell ref="K1690:L1690"/>
    <mergeCell ref="M1690:N1690"/>
    <mergeCell ref="A1691:G1691"/>
    <mergeCell ref="A1692:G1692"/>
    <mergeCell ref="K1697:L1697"/>
    <mergeCell ref="M1697:N1697"/>
    <mergeCell ref="A1700:G1700"/>
    <mergeCell ref="A1701:G1701"/>
    <mergeCell ref="I1701:J1701"/>
    <mergeCell ref="K1701:L1701"/>
    <mergeCell ref="M1701:N1701"/>
    <mergeCell ref="K1702:L1702"/>
    <mergeCell ref="M1702:N1702"/>
    <mergeCell ref="I1715:J1715"/>
    <mergeCell ref="I1716:J1716"/>
    <mergeCell ref="A1713:N1713"/>
    <mergeCell ref="A1714:G1714"/>
    <mergeCell ref="I1714:J1714"/>
    <mergeCell ref="M1714:N1714"/>
    <mergeCell ref="A1715:G1715"/>
    <mergeCell ref="M1715:N1715"/>
    <mergeCell ref="M1716:N1716"/>
    <mergeCell ref="K1706:L1706"/>
    <mergeCell ref="M1706:N1706"/>
    <mergeCell ref="I1706:J1706"/>
    <mergeCell ref="I1707:J1707"/>
    <mergeCell ref="K1707:L1707"/>
    <mergeCell ref="M1707:N1707"/>
    <mergeCell ref="A1704:N1704"/>
    <mergeCell ref="A1705:G1705"/>
    <mergeCell ref="I1705:J1705"/>
    <mergeCell ref="K1705:L1705"/>
    <mergeCell ref="M1705:N1705"/>
    <mergeCell ref="A1706:G1706"/>
    <mergeCell ref="A1707:G1707"/>
    <mergeCell ref="A1708:G1708"/>
    <mergeCell ref="I1708:J1708"/>
    <mergeCell ref="K1708:L1708"/>
    <mergeCell ref="M1708:N1708"/>
    <mergeCell ref="I1709:J1709"/>
    <mergeCell ref="K1709:L1709"/>
    <mergeCell ref="M1709:N1709"/>
    <mergeCell ref="I1774:J1774"/>
    <mergeCell ref="K1774:L1774"/>
    <mergeCell ref="M1774:N1774"/>
    <mergeCell ref="I1748:J1748"/>
    <mergeCell ref="I1749:J1749"/>
    <mergeCell ref="K1749:L1749"/>
    <mergeCell ref="M1749:N1749"/>
    <mergeCell ref="A1746:N1746"/>
    <mergeCell ref="A1747:G1747"/>
    <mergeCell ref="I1747:J1747"/>
    <mergeCell ref="K1747:L1747"/>
    <mergeCell ref="M1747:N1747"/>
    <mergeCell ref="A1748:G1748"/>
    <mergeCell ref="A1749:G1749"/>
    <mergeCell ref="A1750:G1750"/>
    <mergeCell ref="I1750:J1750"/>
    <mergeCell ref="K1750:L1750"/>
    <mergeCell ref="M1750:N1750"/>
    <mergeCell ref="I1751:J1751"/>
    <mergeCell ref="K1751:L1751"/>
    <mergeCell ref="M1751:N1751"/>
    <mergeCell ref="A1751:G1751"/>
    <mergeCell ref="A1752:G1752"/>
    <mergeCell ref="I1752:J1752"/>
    <mergeCell ref="K1752:L1752"/>
    <mergeCell ref="M1752:N1752"/>
    <mergeCell ref="K1753:L1753"/>
    <mergeCell ref="M1753:N1753"/>
    <mergeCell ref="A1770:G1770"/>
    <mergeCell ref="A1771:G1771"/>
    <mergeCell ref="A1772:G1772"/>
    <mergeCell ref="A1773:G1773"/>
    <mergeCell ref="A1774:G1774"/>
    <mergeCell ref="M1761:N1761"/>
    <mergeCell ref="K1762:L1762"/>
    <mergeCell ref="M1762:N1762"/>
    <mergeCell ref="I1757:J1757"/>
    <mergeCell ref="I1758:J1758"/>
    <mergeCell ref="I1759:J1759"/>
    <mergeCell ref="M1759:N1759"/>
    <mergeCell ref="I1760:J1760"/>
    <mergeCell ref="M1760:N1760"/>
    <mergeCell ref="I1761:J1761"/>
    <mergeCell ref="A1755:N1755"/>
    <mergeCell ref="A1756:G1756"/>
    <mergeCell ref="I1756:J1756"/>
    <mergeCell ref="M1756:N1756"/>
    <mergeCell ref="A1757:G1757"/>
    <mergeCell ref="M1757:N1757"/>
    <mergeCell ref="M1758:N1758"/>
    <mergeCell ref="A1758:G1758"/>
    <mergeCell ref="A1759:G1759"/>
    <mergeCell ref="A1760:G1760"/>
    <mergeCell ref="A1761:G1761"/>
    <mergeCell ref="A1764:N1765"/>
    <mergeCell ref="A1769:N1769"/>
    <mergeCell ref="M1770:N1770"/>
    <mergeCell ref="I1770:J1770"/>
    <mergeCell ref="K1770:L1770"/>
    <mergeCell ref="I1771:J1771"/>
    <mergeCell ref="K1771:L1771"/>
    <mergeCell ref="M1771:N1771"/>
    <mergeCell ref="K1772:L1772"/>
    <mergeCell ref="M1772:N1772"/>
    <mergeCell ref="A1775:G1775"/>
    <mergeCell ref="A1776:G1776"/>
    <mergeCell ref="I1775:J1775"/>
    <mergeCell ref="K1775:L1775"/>
    <mergeCell ref="M1775:N1775"/>
    <mergeCell ref="I1776:J1776"/>
    <mergeCell ref="K1776:L1776"/>
    <mergeCell ref="M1776:N1776"/>
    <mergeCell ref="K1777:L1777"/>
    <mergeCell ref="A1781:G1781"/>
    <mergeCell ref="A1782:G1782"/>
    <mergeCell ref="A1783:G1783"/>
    <mergeCell ref="A1784:G1784"/>
    <mergeCell ref="A1785:G1785"/>
    <mergeCell ref="M1777:N1777"/>
    <mergeCell ref="A1779:N1779"/>
    <mergeCell ref="A1780:G1780"/>
    <mergeCell ref="I1780:J1780"/>
    <mergeCell ref="K1780:L1780"/>
    <mergeCell ref="M1780:N1780"/>
    <mergeCell ref="M1781:N1781"/>
    <mergeCell ref="I1781:J1781"/>
    <mergeCell ref="K1781:L1781"/>
    <mergeCell ref="I1782:J1782"/>
    <mergeCell ref="K1782:L1782"/>
    <mergeCell ref="M1782:N1782"/>
    <mergeCell ref="K1783:L1783"/>
    <mergeCell ref="M1783:N1783"/>
    <mergeCell ref="I1783:J1783"/>
    <mergeCell ref="I1784:J1784"/>
    <mergeCell ref="K1784:L1784"/>
    <mergeCell ref="M1784:N1784"/>
    <mergeCell ref="I1785:J1785"/>
    <mergeCell ref="K1785:L1785"/>
    <mergeCell ref="M1785:N1785"/>
    <mergeCell ref="I1789:J1789"/>
    <mergeCell ref="I1790:J1790"/>
    <mergeCell ref="K1790:L1790"/>
    <mergeCell ref="M1790:N1790"/>
    <mergeCell ref="K1786:L1786"/>
    <mergeCell ref="M1786:N1786"/>
    <mergeCell ref="A1788:N1788"/>
    <mergeCell ref="A1789:G1789"/>
    <mergeCell ref="K1789:L1789"/>
    <mergeCell ref="M1789:N1789"/>
    <mergeCell ref="A1790:G1790"/>
    <mergeCell ref="A1791:G1791"/>
    <mergeCell ref="I1791:J1791"/>
    <mergeCell ref="K1791:L1791"/>
    <mergeCell ref="M1791:N1791"/>
    <mergeCell ref="I1792:J1792"/>
    <mergeCell ref="K1792:L1792"/>
    <mergeCell ref="M1792:N1792"/>
    <mergeCell ref="K1794:L1794"/>
    <mergeCell ref="M1794:N1794"/>
    <mergeCell ref="K1795:L1795"/>
    <mergeCell ref="M1795:N1795"/>
    <mergeCell ref="A1792:G1792"/>
    <mergeCell ref="A1793:G1793"/>
    <mergeCell ref="I1793:J1793"/>
    <mergeCell ref="K1793:L1793"/>
    <mergeCell ref="M1793:N1793"/>
    <mergeCell ref="A1794:G1794"/>
    <mergeCell ref="I1794:J1794"/>
    <mergeCell ref="A1800:G1800"/>
    <mergeCell ref="A1801:G1801"/>
    <mergeCell ref="A1802:G1802"/>
    <mergeCell ref="A1803:G1803"/>
    <mergeCell ref="A1797:N1797"/>
    <mergeCell ref="A1798:G1798"/>
    <mergeCell ref="I1798:J1798"/>
    <mergeCell ref="M1798:N1798"/>
    <mergeCell ref="A1799:G1799"/>
    <mergeCell ref="M1799:N1799"/>
    <mergeCell ref="M1800:N1800"/>
    <mergeCell ref="I1799:J1799"/>
    <mergeCell ref="I1800:J1800"/>
    <mergeCell ref="I1801:J1801"/>
    <mergeCell ref="M1801:N1801"/>
    <mergeCell ref="I1802:J1802"/>
    <mergeCell ref="M1802:N1802"/>
    <mergeCell ref="I1803:J1803"/>
    <mergeCell ref="K1812:L1812"/>
    <mergeCell ref="M1812:N1812"/>
    <mergeCell ref="A1814:G1814"/>
    <mergeCell ref="I1814:J1814"/>
    <mergeCell ref="K1814:L1814"/>
    <mergeCell ref="M1814:N1814"/>
    <mergeCell ref="I1815:J1815"/>
    <mergeCell ref="K1815:L1815"/>
    <mergeCell ref="M1815:N1815"/>
    <mergeCell ref="A1815:G1815"/>
    <mergeCell ref="A1816:G1816"/>
    <mergeCell ref="I1816:J1816"/>
    <mergeCell ref="K1816:L1816"/>
    <mergeCell ref="M1816:N1816"/>
    <mergeCell ref="A1817:G1817"/>
    <mergeCell ref="A1818:G1818"/>
    <mergeCell ref="I1812:J1812"/>
    <mergeCell ref="I1813:J1813"/>
    <mergeCell ref="K1813:L1813"/>
    <mergeCell ref="M1813:N1813"/>
    <mergeCell ref="M1803:N1803"/>
    <mergeCell ref="K1804:L1804"/>
    <mergeCell ref="M1804:N1804"/>
    <mergeCell ref="A1806:N1807"/>
    <mergeCell ref="A1811:N1811"/>
    <mergeCell ref="A1812:G1812"/>
    <mergeCell ref="A1813:G1813"/>
    <mergeCell ref="K1817:L1817"/>
    <mergeCell ref="M1817:N1817"/>
    <mergeCell ref="I1817:J1817"/>
    <mergeCell ref="I1818:J1818"/>
    <mergeCell ref="K1818:L1818"/>
    <mergeCell ref="M1818:N1818"/>
    <mergeCell ref="K1819:L1819"/>
    <mergeCell ref="M1819:N1819"/>
    <mergeCell ref="K1823:L1823"/>
    <mergeCell ref="M1823:N1823"/>
    <mergeCell ref="K1833:L1833"/>
    <mergeCell ref="M1833:N1833"/>
    <mergeCell ref="A1830:N1830"/>
    <mergeCell ref="A1831:G1831"/>
    <mergeCell ref="I1831:J1831"/>
    <mergeCell ref="K1831:L1831"/>
    <mergeCell ref="M1831:N1831"/>
    <mergeCell ref="A1832:G1832"/>
    <mergeCell ref="A1833:G1833"/>
    <mergeCell ref="I1835:J1835"/>
    <mergeCell ref="K1835:L1835"/>
    <mergeCell ref="I1832:J1832"/>
    <mergeCell ref="I1833:J1833"/>
    <mergeCell ref="A1834:G1834"/>
    <mergeCell ref="I1834:J1834"/>
    <mergeCell ref="K1834:L1834"/>
    <mergeCell ref="M1834:N1834"/>
    <mergeCell ref="M1835:N1835"/>
    <mergeCell ref="I1823:J1823"/>
    <mergeCell ref="I1824:J1824"/>
    <mergeCell ref="K1824:L1824"/>
    <mergeCell ref="M1824:N1824"/>
    <mergeCell ref="A1821:N1821"/>
    <mergeCell ref="A1822:G1822"/>
    <mergeCell ref="I1822:J1822"/>
    <mergeCell ref="K1822:L1822"/>
    <mergeCell ref="M1822:N1822"/>
    <mergeCell ref="A1823:G1823"/>
    <mergeCell ref="A1824:G1824"/>
    <mergeCell ref="A1825:G1825"/>
    <mergeCell ref="I1825:J1825"/>
    <mergeCell ref="K1825:L1825"/>
    <mergeCell ref="M1825:N1825"/>
    <mergeCell ref="I1826:J1826"/>
    <mergeCell ref="K1826:L1826"/>
    <mergeCell ref="M1826:N1826"/>
    <mergeCell ref="A1826:G1826"/>
    <mergeCell ref="A1827:G1827"/>
    <mergeCell ref="I1827:J1827"/>
    <mergeCell ref="K1827:L1827"/>
    <mergeCell ref="M1827:N1827"/>
    <mergeCell ref="K1828:L1828"/>
    <mergeCell ref="M1828:N1828"/>
    <mergeCell ref="K1832:L1832"/>
    <mergeCell ref="M1832:N1832"/>
    <mergeCell ref="A1835:G1835"/>
    <mergeCell ref="A1836:G1836"/>
    <mergeCell ref="I1836:J1836"/>
    <mergeCell ref="K1836:L1836"/>
    <mergeCell ref="M1836:N1836"/>
    <mergeCell ref="K1837:L1837"/>
    <mergeCell ref="M1837:N1837"/>
    <mergeCell ref="A1842:G1842"/>
    <mergeCell ref="A1843:G1843"/>
    <mergeCell ref="A1844:G1844"/>
    <mergeCell ref="A1845:G1845"/>
    <mergeCell ref="A1839:N1839"/>
    <mergeCell ref="A1840:G1840"/>
    <mergeCell ref="I1840:J1840"/>
    <mergeCell ref="M1840:N1840"/>
    <mergeCell ref="A1841:G1841"/>
    <mergeCell ref="M1841:N1841"/>
    <mergeCell ref="M1842:N1842"/>
    <mergeCell ref="I1841:J1841"/>
    <mergeCell ref="I1842:J1842"/>
    <mergeCell ref="I1843:J1843"/>
    <mergeCell ref="M1843:N1843"/>
    <mergeCell ref="I1844:J1844"/>
    <mergeCell ref="M1844:N1844"/>
    <mergeCell ref="I1845:J1845"/>
    <mergeCell ref="K1854:L1854"/>
    <mergeCell ref="M1854:N1854"/>
    <mergeCell ref="I1854:J1854"/>
    <mergeCell ref="I1855:J1855"/>
    <mergeCell ref="K1855:L1855"/>
    <mergeCell ref="M1855:N1855"/>
    <mergeCell ref="M1845:N1845"/>
    <mergeCell ref="K1846:L1846"/>
    <mergeCell ref="M1846:N1846"/>
    <mergeCell ref="A1848:N1849"/>
    <mergeCell ref="A1853:N1853"/>
    <mergeCell ref="A1854:G1854"/>
    <mergeCell ref="A1855:G1855"/>
    <mergeCell ref="M1878:N1878"/>
    <mergeCell ref="K1879:L1879"/>
    <mergeCell ref="M1879:N1879"/>
    <mergeCell ref="K1866:L1866"/>
    <mergeCell ref="M1866:N1866"/>
    <mergeCell ref="A1863:N1863"/>
    <mergeCell ref="A1864:G1864"/>
    <mergeCell ref="I1864:J1864"/>
    <mergeCell ref="K1864:L1864"/>
    <mergeCell ref="M1864:N1864"/>
    <mergeCell ref="A1865:G1865"/>
    <mergeCell ref="A1866:G1866"/>
    <mergeCell ref="I1868:J1868"/>
    <mergeCell ref="K1868:L1868"/>
    <mergeCell ref="I1865:J1865"/>
    <mergeCell ref="I1866:J1866"/>
    <mergeCell ref="A1867:G1867"/>
    <mergeCell ref="I1867:J1867"/>
    <mergeCell ref="K1867:L1867"/>
    <mergeCell ref="M1867:N1867"/>
    <mergeCell ref="M1868:N1868"/>
    <mergeCell ref="A1856:G1856"/>
    <mergeCell ref="I1856:J1856"/>
    <mergeCell ref="K1856:L1856"/>
    <mergeCell ref="M1856:N1856"/>
    <mergeCell ref="I1857:J1857"/>
    <mergeCell ref="K1857:L1857"/>
    <mergeCell ref="M1857:N1857"/>
    <mergeCell ref="K1859:L1859"/>
    <mergeCell ref="M1859:N1859"/>
    <mergeCell ref="I1859:J1859"/>
    <mergeCell ref="I1860:J1860"/>
    <mergeCell ref="K1860:L1860"/>
    <mergeCell ref="M1860:N1860"/>
    <mergeCell ref="K1861:L1861"/>
    <mergeCell ref="M1861:N1861"/>
    <mergeCell ref="A1857:G1857"/>
    <mergeCell ref="A1858:G1858"/>
    <mergeCell ref="I1858:J1858"/>
    <mergeCell ref="K1858:L1858"/>
    <mergeCell ref="M1858:N1858"/>
    <mergeCell ref="A1859:G1859"/>
    <mergeCell ref="A1860:G1860"/>
    <mergeCell ref="K1865:L1865"/>
    <mergeCell ref="M1865:N1865"/>
    <mergeCell ref="A1868:G1868"/>
    <mergeCell ref="M1910:N1910"/>
    <mergeCell ref="A1911:G1911"/>
    <mergeCell ref="I1911:J1911"/>
    <mergeCell ref="A1884:G1884"/>
    <mergeCell ref="A1885:G1885"/>
    <mergeCell ref="I1885:J1885"/>
    <mergeCell ref="M1885:N1885"/>
    <mergeCell ref="A1886:G1886"/>
    <mergeCell ref="M1886:N1886"/>
    <mergeCell ref="M1887:N1887"/>
    <mergeCell ref="I1896:J1896"/>
    <mergeCell ref="I1897:J1897"/>
    <mergeCell ref="K1897:L1897"/>
    <mergeCell ref="M1897:N1897"/>
    <mergeCell ref="A1887:G1887"/>
    <mergeCell ref="A1890:N1891"/>
    <mergeCell ref="A1895:N1895"/>
    <mergeCell ref="A1896:G1896"/>
    <mergeCell ref="K1896:L1896"/>
    <mergeCell ref="M1896:N1896"/>
    <mergeCell ref="A1897:G1897"/>
    <mergeCell ref="K1901:L1901"/>
    <mergeCell ref="M1901:N1901"/>
    <mergeCell ref="I1901:J1901"/>
    <mergeCell ref="I1902:J1902"/>
    <mergeCell ref="A1869:G1869"/>
    <mergeCell ref="I1869:J1869"/>
    <mergeCell ref="K1869:L1869"/>
    <mergeCell ref="M1869:N1869"/>
    <mergeCell ref="K1870:L1870"/>
    <mergeCell ref="M1870:N1870"/>
    <mergeCell ref="I1883:J1883"/>
    <mergeCell ref="I1884:J1884"/>
    <mergeCell ref="A1881:N1881"/>
    <mergeCell ref="A1882:G1882"/>
    <mergeCell ref="I1882:J1882"/>
    <mergeCell ref="M1882:N1882"/>
    <mergeCell ref="A1883:G1883"/>
    <mergeCell ref="M1883:N1883"/>
    <mergeCell ref="M1884:N1884"/>
    <mergeCell ref="K1874:L1874"/>
    <mergeCell ref="M1874:N1874"/>
    <mergeCell ref="I1874:J1874"/>
    <mergeCell ref="I1875:J1875"/>
    <mergeCell ref="K1875:L1875"/>
    <mergeCell ref="M1875:N1875"/>
    <mergeCell ref="A1872:N1872"/>
    <mergeCell ref="A1873:G1873"/>
    <mergeCell ref="I1873:J1873"/>
    <mergeCell ref="K1873:L1873"/>
    <mergeCell ref="M1873:N1873"/>
    <mergeCell ref="A1874:G1874"/>
    <mergeCell ref="A1875:G1875"/>
    <mergeCell ref="A1876:G1876"/>
    <mergeCell ref="I1876:J1876"/>
    <mergeCell ref="K1876:L1876"/>
    <mergeCell ref="M1876:N1876"/>
    <mergeCell ref="I1877:J1877"/>
    <mergeCell ref="K1877:L1877"/>
    <mergeCell ref="M1877:N1877"/>
    <mergeCell ref="A1877:G1877"/>
    <mergeCell ref="A1878:G1878"/>
    <mergeCell ref="I1878:J1878"/>
    <mergeCell ref="K1878:L1878"/>
    <mergeCell ref="I1917:J1917"/>
    <mergeCell ref="K1917:L1917"/>
    <mergeCell ref="M1917:N1917"/>
    <mergeCell ref="A1915:G1915"/>
    <mergeCell ref="I1915:J1915"/>
    <mergeCell ref="K1915:L1915"/>
    <mergeCell ref="M1915:N1915"/>
    <mergeCell ref="A1916:G1916"/>
    <mergeCell ref="A1917:G1917"/>
    <mergeCell ref="A1918:G1918"/>
    <mergeCell ref="I1918:J1918"/>
    <mergeCell ref="K1918:L1918"/>
    <mergeCell ref="M1918:N1918"/>
    <mergeCell ref="I1919:J1919"/>
    <mergeCell ref="K1919:L1919"/>
    <mergeCell ref="M1919:N1919"/>
    <mergeCell ref="A1919:G1919"/>
    <mergeCell ref="A1920:G1920"/>
    <mergeCell ref="I1886:J1886"/>
    <mergeCell ref="I1887:J1887"/>
    <mergeCell ref="K1888:L1888"/>
    <mergeCell ref="M1888:N1888"/>
    <mergeCell ref="A1898:G1898"/>
    <mergeCell ref="I1898:J1898"/>
    <mergeCell ref="K1898:L1898"/>
    <mergeCell ref="M1898:N1898"/>
    <mergeCell ref="I1899:J1899"/>
    <mergeCell ref="K1899:L1899"/>
    <mergeCell ref="M1899:N1899"/>
    <mergeCell ref="A1899:G1899"/>
    <mergeCell ref="A1900:G1900"/>
    <mergeCell ref="I1900:J1900"/>
    <mergeCell ref="K1900:L1900"/>
    <mergeCell ref="M1900:N1900"/>
    <mergeCell ref="A1901:G1901"/>
    <mergeCell ref="A1902:G1902"/>
    <mergeCell ref="K1906:L1906"/>
    <mergeCell ref="M1906:N1906"/>
    <mergeCell ref="I1906:J1906"/>
    <mergeCell ref="I1907:J1907"/>
    <mergeCell ref="K1907:L1907"/>
    <mergeCell ref="M1907:N1907"/>
    <mergeCell ref="K1902:L1902"/>
    <mergeCell ref="M1902:N1902"/>
    <mergeCell ref="K1903:L1903"/>
    <mergeCell ref="M1903:N1903"/>
    <mergeCell ref="A1905:N1905"/>
    <mergeCell ref="A1906:G1906"/>
    <mergeCell ref="A1907:G1907"/>
    <mergeCell ref="A1908:G1908"/>
    <mergeCell ref="I1908:J1908"/>
    <mergeCell ref="K1908:L1908"/>
    <mergeCell ref="M1908:N1908"/>
    <mergeCell ref="I1909:J1909"/>
    <mergeCell ref="K1909:L1909"/>
    <mergeCell ref="M1909:N1909"/>
    <mergeCell ref="K1911:L1911"/>
    <mergeCell ref="M1911:N1911"/>
    <mergeCell ref="K1912:L1912"/>
    <mergeCell ref="M1912:N1912"/>
    <mergeCell ref="A1909:G1909"/>
    <mergeCell ref="A1910:G1910"/>
    <mergeCell ref="I1910:J1910"/>
    <mergeCell ref="K1910:L1910"/>
    <mergeCell ref="I1926:J1926"/>
    <mergeCell ref="I1927:J1927"/>
    <mergeCell ref="M1927:N1927"/>
    <mergeCell ref="I1928:J1928"/>
    <mergeCell ref="M1928:N1928"/>
    <mergeCell ref="I1929:J1929"/>
    <mergeCell ref="I1938:J1938"/>
    <mergeCell ref="K1938:L1938"/>
    <mergeCell ref="I1939:J1939"/>
    <mergeCell ref="K1939:L1939"/>
    <mergeCell ref="M1939:N1939"/>
    <mergeCell ref="K1940:L1940"/>
    <mergeCell ref="M1940:N1940"/>
    <mergeCell ref="I1940:J1940"/>
    <mergeCell ref="I1941:J1941"/>
    <mergeCell ref="K1941:L1941"/>
    <mergeCell ref="M1941:N1941"/>
    <mergeCell ref="I1942:J1942"/>
    <mergeCell ref="K1942:L1942"/>
    <mergeCell ref="M1942:N1942"/>
    <mergeCell ref="A1923:N1923"/>
    <mergeCell ref="A1924:G1924"/>
    <mergeCell ref="I1924:J1924"/>
    <mergeCell ref="M1924:N1924"/>
    <mergeCell ref="A1925:G1925"/>
    <mergeCell ref="M1925:N1925"/>
    <mergeCell ref="M1926:N1926"/>
    <mergeCell ref="A1926:G1926"/>
    <mergeCell ref="A1927:G1927"/>
    <mergeCell ref="A1928:G1928"/>
    <mergeCell ref="A1929:G1929"/>
    <mergeCell ref="A1932:N1933"/>
    <mergeCell ref="A1937:N1937"/>
    <mergeCell ref="M1938:N1938"/>
    <mergeCell ref="A1914:N1914"/>
    <mergeCell ref="K1945:L1945"/>
    <mergeCell ref="A1949:G1949"/>
    <mergeCell ref="A1950:G1950"/>
    <mergeCell ref="A1951:G1951"/>
    <mergeCell ref="A1952:G1952"/>
    <mergeCell ref="A1953:G1953"/>
    <mergeCell ref="M1945:N1945"/>
    <mergeCell ref="A1947:N1947"/>
    <mergeCell ref="A1948:G1948"/>
    <mergeCell ref="I1948:J1948"/>
    <mergeCell ref="K1948:L1948"/>
    <mergeCell ref="M1948:N1948"/>
    <mergeCell ref="M1949:N1949"/>
    <mergeCell ref="I1949:J1949"/>
    <mergeCell ref="K1949:L1949"/>
    <mergeCell ref="I1950:J1950"/>
    <mergeCell ref="K1950:L1950"/>
    <mergeCell ref="M1950:N1950"/>
    <mergeCell ref="K1951:L1951"/>
    <mergeCell ref="M1951:N1951"/>
    <mergeCell ref="I1951:J1951"/>
    <mergeCell ref="I1952:J1952"/>
    <mergeCell ref="K1952:L1952"/>
    <mergeCell ref="M1952:N1952"/>
    <mergeCell ref="I1953:J1953"/>
    <mergeCell ref="K1953:L1953"/>
    <mergeCell ref="M1953:N1953"/>
    <mergeCell ref="I1957:J1957"/>
    <mergeCell ref="I1958:J1958"/>
    <mergeCell ref="K1958:L1958"/>
    <mergeCell ref="M1958:N1958"/>
    <mergeCell ref="K1954:L1954"/>
    <mergeCell ref="M1954:N1954"/>
    <mergeCell ref="A1956:N1956"/>
    <mergeCell ref="A1957:G1957"/>
    <mergeCell ref="K1957:L1957"/>
    <mergeCell ref="M1957:N1957"/>
    <mergeCell ref="A1958:G1958"/>
    <mergeCell ref="K1916:L1916"/>
    <mergeCell ref="M1916:N1916"/>
    <mergeCell ref="I1916:J1916"/>
    <mergeCell ref="I1920:J1920"/>
    <mergeCell ref="K1920:L1920"/>
    <mergeCell ref="M1920:N1920"/>
    <mergeCell ref="K1921:L1921"/>
    <mergeCell ref="M1921:N1921"/>
    <mergeCell ref="A1938:G1938"/>
    <mergeCell ref="A1939:G1939"/>
    <mergeCell ref="A1940:G1940"/>
    <mergeCell ref="A1941:G1941"/>
    <mergeCell ref="A1942:G1942"/>
    <mergeCell ref="A1943:G1943"/>
    <mergeCell ref="A1944:G1944"/>
    <mergeCell ref="I1943:J1943"/>
    <mergeCell ref="K1943:L1943"/>
    <mergeCell ref="M1943:N1943"/>
    <mergeCell ref="I1944:J1944"/>
    <mergeCell ref="K1944:L1944"/>
    <mergeCell ref="M1944:N1944"/>
    <mergeCell ref="M1929:N1929"/>
    <mergeCell ref="K1930:L1930"/>
    <mergeCell ref="M1930:N1930"/>
    <mergeCell ref="I1925:J1925"/>
    <mergeCell ref="A1959:G1959"/>
    <mergeCell ref="I1959:J1959"/>
    <mergeCell ref="K1959:L1959"/>
    <mergeCell ref="M1959:N1959"/>
    <mergeCell ref="I1960:J1960"/>
    <mergeCell ref="K1960:L1960"/>
    <mergeCell ref="M1960:N1960"/>
    <mergeCell ref="K1962:L1962"/>
    <mergeCell ref="M1962:N1962"/>
    <mergeCell ref="K1963:L1963"/>
    <mergeCell ref="M1963:N1963"/>
    <mergeCell ref="A1960:G1960"/>
    <mergeCell ref="A1961:G1961"/>
    <mergeCell ref="I1961:J1961"/>
    <mergeCell ref="K1961:L1961"/>
    <mergeCell ref="M1961:N1961"/>
    <mergeCell ref="A1962:G1962"/>
    <mergeCell ref="I1962:J1962"/>
    <mergeCell ref="A1968:G1968"/>
    <mergeCell ref="A1969:G1969"/>
    <mergeCell ref="A1970:G1970"/>
    <mergeCell ref="A1971:G1971"/>
    <mergeCell ref="A1965:N1965"/>
    <mergeCell ref="A1966:G1966"/>
    <mergeCell ref="I1966:J1966"/>
    <mergeCell ref="M1966:N1966"/>
    <mergeCell ref="A1967:G1967"/>
    <mergeCell ref="M1967:N1967"/>
    <mergeCell ref="M1968:N1968"/>
    <mergeCell ref="I1967:J1967"/>
    <mergeCell ref="I1968:J1968"/>
    <mergeCell ref="I1969:J1969"/>
    <mergeCell ref="M1969:N1969"/>
    <mergeCell ref="I1970:J1970"/>
    <mergeCell ref="M1970:N1970"/>
    <mergeCell ref="I1971:J1971"/>
    <mergeCell ref="K1980:L1980"/>
    <mergeCell ref="M1980:N1980"/>
    <mergeCell ref="A1982:G1982"/>
    <mergeCell ref="I1982:J1982"/>
    <mergeCell ref="K1982:L1982"/>
    <mergeCell ref="M1982:N1982"/>
    <mergeCell ref="I1983:J1983"/>
    <mergeCell ref="K1983:L1983"/>
    <mergeCell ref="M1983:N1983"/>
    <mergeCell ref="A1983:G1983"/>
    <mergeCell ref="A1984:G1984"/>
    <mergeCell ref="I1984:J1984"/>
    <mergeCell ref="K1984:L1984"/>
    <mergeCell ref="M1984:N1984"/>
    <mergeCell ref="A1985:G1985"/>
    <mergeCell ref="A1986:G1986"/>
    <mergeCell ref="I1980:J1980"/>
    <mergeCell ref="I1981:J1981"/>
    <mergeCell ref="K1981:L1981"/>
    <mergeCell ref="M1981:N1981"/>
    <mergeCell ref="M1971:N1971"/>
    <mergeCell ref="K1972:L1972"/>
    <mergeCell ref="M1972:N1972"/>
    <mergeCell ref="A1974:N1975"/>
    <mergeCell ref="A1979:N1979"/>
    <mergeCell ref="A1980:G1980"/>
    <mergeCell ref="A1981:G1981"/>
    <mergeCell ref="K1985:L1985"/>
    <mergeCell ref="M1985:N1985"/>
    <mergeCell ref="I1985:J1985"/>
    <mergeCell ref="I1986:J1986"/>
    <mergeCell ref="K1986:L1986"/>
    <mergeCell ref="M1986:N1986"/>
    <mergeCell ref="K1987:L1987"/>
    <mergeCell ref="M1987:N1987"/>
    <mergeCell ref="K1991:L1991"/>
    <mergeCell ref="M1991:N1991"/>
    <mergeCell ref="K2001:L2001"/>
    <mergeCell ref="M2001:N2001"/>
    <mergeCell ref="A1998:N1998"/>
    <mergeCell ref="A1999:G1999"/>
    <mergeCell ref="I1999:J1999"/>
    <mergeCell ref="K1999:L1999"/>
    <mergeCell ref="M1999:N1999"/>
    <mergeCell ref="A2000:G2000"/>
    <mergeCell ref="A2001:G2001"/>
    <mergeCell ref="A2259:N2259"/>
    <mergeCell ref="A2260:G2260"/>
    <mergeCell ref="I2260:J2260"/>
    <mergeCell ref="M2260:N2260"/>
    <mergeCell ref="A2261:G2261"/>
    <mergeCell ref="M2261:N2261"/>
    <mergeCell ref="M2262:N2262"/>
    <mergeCell ref="A2262:G2262"/>
    <mergeCell ref="A2263:G2263"/>
    <mergeCell ref="A2264:G2264"/>
    <mergeCell ref="A2265:G2265"/>
    <mergeCell ref="A2268:N2269"/>
    <mergeCell ref="A2273:N2273"/>
    <mergeCell ref="M2274:N2274"/>
    <mergeCell ref="I2274:J2274"/>
    <mergeCell ref="K2274:L2274"/>
    <mergeCell ref="I2275:J2275"/>
    <mergeCell ref="K2275:L2275"/>
    <mergeCell ref="M2275:N2275"/>
    <mergeCell ref="K2276:L2276"/>
    <mergeCell ref="M2276:N2276"/>
    <mergeCell ref="I2276:J2276"/>
    <mergeCell ref="A2009:G2009"/>
    <mergeCell ref="M2009:N2009"/>
    <mergeCell ref="M2010:N2010"/>
    <mergeCell ref="I2009:J2009"/>
    <mergeCell ref="I2010:J2010"/>
    <mergeCell ref="I2011:J2011"/>
    <mergeCell ref="M2011:N2011"/>
    <mergeCell ref="I2012:J2012"/>
    <mergeCell ref="M2012:N2012"/>
    <mergeCell ref="I2013:J2013"/>
    <mergeCell ref="K2022:L2022"/>
    <mergeCell ref="M2022:N2022"/>
    <mergeCell ref="I2022:J2022"/>
    <mergeCell ref="I2023:J2023"/>
    <mergeCell ref="K2023:L2023"/>
    <mergeCell ref="M2023:N2023"/>
    <mergeCell ref="M2013:N2013"/>
    <mergeCell ref="K2014:L2014"/>
    <mergeCell ref="M2014:N2014"/>
    <mergeCell ref="A2016:N2017"/>
    <mergeCell ref="A2021:N2021"/>
    <mergeCell ref="A2022:G2022"/>
    <mergeCell ref="A2023:G2023"/>
    <mergeCell ref="K2034:L2034"/>
    <mergeCell ref="M2034:N2034"/>
    <mergeCell ref="A2031:N2031"/>
    <mergeCell ref="A2032:G2032"/>
    <mergeCell ref="I2032:J2032"/>
    <mergeCell ref="K2032:L2032"/>
    <mergeCell ref="I2277:J2277"/>
    <mergeCell ref="K2277:L2277"/>
    <mergeCell ref="M2277:N2277"/>
    <mergeCell ref="I2278:J2278"/>
    <mergeCell ref="K2278:L2278"/>
    <mergeCell ref="M2278:N2278"/>
    <mergeCell ref="I2252:J2252"/>
    <mergeCell ref="I2253:J2253"/>
    <mergeCell ref="K2253:L2253"/>
    <mergeCell ref="M2253:N2253"/>
    <mergeCell ref="A2250:N2250"/>
    <mergeCell ref="A2251:G2251"/>
    <mergeCell ref="I2251:J2251"/>
    <mergeCell ref="K2251:L2251"/>
    <mergeCell ref="M2251:N2251"/>
    <mergeCell ref="A2252:G2252"/>
    <mergeCell ref="A2253:G2253"/>
    <mergeCell ref="A2254:G2254"/>
    <mergeCell ref="I2254:J2254"/>
    <mergeCell ref="K2254:L2254"/>
    <mergeCell ref="M2254:N2254"/>
    <mergeCell ref="I2255:J2255"/>
    <mergeCell ref="K2255:L2255"/>
    <mergeCell ref="M2255:N2255"/>
    <mergeCell ref="A2255:G2255"/>
    <mergeCell ref="A2256:G2256"/>
    <mergeCell ref="I2256:J2256"/>
    <mergeCell ref="K2256:L2256"/>
    <mergeCell ref="M2256:N2256"/>
    <mergeCell ref="K2257:L2257"/>
    <mergeCell ref="M2257:N2257"/>
    <mergeCell ref="A2274:G2274"/>
    <mergeCell ref="A2275:G2275"/>
    <mergeCell ref="A2276:G2276"/>
    <mergeCell ref="A2277:G2277"/>
    <mergeCell ref="A2278:G2278"/>
    <mergeCell ref="M2265:N2265"/>
    <mergeCell ref="K2266:L2266"/>
    <mergeCell ref="M2266:N2266"/>
    <mergeCell ref="I2261:J2261"/>
    <mergeCell ref="I2262:J2262"/>
    <mergeCell ref="I2263:J2263"/>
    <mergeCell ref="M2263:N2263"/>
    <mergeCell ref="I2264:J2264"/>
    <mergeCell ref="M2264:N2264"/>
    <mergeCell ref="I2265:J2265"/>
    <mergeCell ref="A2279:G2279"/>
    <mergeCell ref="A2280:G2280"/>
    <mergeCell ref="I2279:J2279"/>
    <mergeCell ref="K2279:L2279"/>
    <mergeCell ref="M2279:N2279"/>
    <mergeCell ref="I2280:J2280"/>
    <mergeCell ref="K2280:L2280"/>
    <mergeCell ref="M2280:N2280"/>
    <mergeCell ref="K2281:L2281"/>
    <mergeCell ref="A2285:G2285"/>
    <mergeCell ref="A2286:G2286"/>
    <mergeCell ref="A2287:G2287"/>
    <mergeCell ref="A2288:G2288"/>
    <mergeCell ref="A2289:G2289"/>
    <mergeCell ref="M2281:N2281"/>
    <mergeCell ref="A2283:N2283"/>
    <mergeCell ref="A2284:G2284"/>
    <mergeCell ref="I2284:J2284"/>
    <mergeCell ref="K2284:L2284"/>
    <mergeCell ref="M2284:N2284"/>
    <mergeCell ref="M2285:N2285"/>
    <mergeCell ref="I2285:J2285"/>
    <mergeCell ref="K2285:L2285"/>
    <mergeCell ref="I2286:J2286"/>
    <mergeCell ref="K2286:L2286"/>
    <mergeCell ref="M2286:N2286"/>
    <mergeCell ref="K2287:L2287"/>
    <mergeCell ref="M2287:N2287"/>
    <mergeCell ref="I2287:J2287"/>
    <mergeCell ref="I2288:J2288"/>
    <mergeCell ref="K2288:L2288"/>
    <mergeCell ref="M2288:N2288"/>
    <mergeCell ref="I2289:J2289"/>
    <mergeCell ref="K2289:L2289"/>
    <mergeCell ref="M2289:N2289"/>
    <mergeCell ref="I2293:J2293"/>
    <mergeCell ref="I2294:J2294"/>
    <mergeCell ref="K2294:L2294"/>
    <mergeCell ref="M2294:N2294"/>
    <mergeCell ref="K2290:L2290"/>
    <mergeCell ref="M2290:N2290"/>
    <mergeCell ref="A2292:N2292"/>
    <mergeCell ref="A2293:G2293"/>
    <mergeCell ref="K2293:L2293"/>
    <mergeCell ref="M2293:N2293"/>
    <mergeCell ref="A2294:G2294"/>
    <mergeCell ref="A2295:G2295"/>
    <mergeCell ref="I2295:J2295"/>
    <mergeCell ref="K2295:L2295"/>
    <mergeCell ref="M2295:N2295"/>
    <mergeCell ref="I2296:J2296"/>
    <mergeCell ref="K2296:L2296"/>
    <mergeCell ref="M2296:N2296"/>
    <mergeCell ref="K2298:L2298"/>
    <mergeCell ref="M2298:N2298"/>
    <mergeCell ref="K2299:L2299"/>
    <mergeCell ref="M2299:N2299"/>
    <mergeCell ref="A2296:G2296"/>
    <mergeCell ref="A2297:G2297"/>
    <mergeCell ref="I2297:J2297"/>
    <mergeCell ref="K2297:L2297"/>
    <mergeCell ref="M2297:N2297"/>
    <mergeCell ref="A2298:G2298"/>
    <mergeCell ref="I2298:J2298"/>
    <mergeCell ref="A2304:G2304"/>
    <mergeCell ref="A2305:G2305"/>
    <mergeCell ref="A2306:G2306"/>
    <mergeCell ref="A2307:G2307"/>
    <mergeCell ref="A2301:N2301"/>
    <mergeCell ref="A2302:G2302"/>
    <mergeCell ref="I2302:J2302"/>
    <mergeCell ref="M2302:N2302"/>
    <mergeCell ref="A2303:G2303"/>
    <mergeCell ref="M2303:N2303"/>
    <mergeCell ref="M2304:N2304"/>
    <mergeCell ref="I2303:J2303"/>
    <mergeCell ref="I2304:J2304"/>
    <mergeCell ref="I2305:J2305"/>
    <mergeCell ref="M2305:N2305"/>
    <mergeCell ref="I2306:J2306"/>
    <mergeCell ref="M2306:N2306"/>
    <mergeCell ref="I2307:J2307"/>
    <mergeCell ref="K2316:L2316"/>
    <mergeCell ref="M2316:N2316"/>
    <mergeCell ref="A2318:G2318"/>
    <mergeCell ref="I2318:J2318"/>
    <mergeCell ref="K2318:L2318"/>
    <mergeCell ref="M2318:N2318"/>
    <mergeCell ref="I2319:J2319"/>
    <mergeCell ref="K2319:L2319"/>
    <mergeCell ref="M2319:N2319"/>
    <mergeCell ref="A2319:G2319"/>
    <mergeCell ref="A2320:G2320"/>
    <mergeCell ref="I2320:J2320"/>
    <mergeCell ref="K2320:L2320"/>
    <mergeCell ref="M2320:N2320"/>
    <mergeCell ref="A2321:G2321"/>
    <mergeCell ref="A2322:G2322"/>
    <mergeCell ref="I2316:J2316"/>
    <mergeCell ref="I2317:J2317"/>
    <mergeCell ref="K2317:L2317"/>
    <mergeCell ref="M2317:N2317"/>
    <mergeCell ref="M2307:N2307"/>
    <mergeCell ref="K2308:L2308"/>
    <mergeCell ref="M2308:N2308"/>
    <mergeCell ref="A2310:N2311"/>
    <mergeCell ref="A2315:N2315"/>
    <mergeCell ref="A2316:G2316"/>
    <mergeCell ref="A2317:G2317"/>
    <mergeCell ref="K2321:L2321"/>
    <mergeCell ref="M2321:N2321"/>
    <mergeCell ref="I2321:J2321"/>
    <mergeCell ref="I2322:J2322"/>
    <mergeCell ref="K2322:L2322"/>
    <mergeCell ref="M2322:N2322"/>
    <mergeCell ref="K2323:L2323"/>
    <mergeCell ref="M2323:N2323"/>
    <mergeCell ref="K2327:L2327"/>
    <mergeCell ref="M2327:N2327"/>
    <mergeCell ref="K2337:L2337"/>
    <mergeCell ref="M2337:N2337"/>
    <mergeCell ref="A2334:N2334"/>
    <mergeCell ref="A2335:G2335"/>
    <mergeCell ref="I2335:J2335"/>
    <mergeCell ref="K2335:L2335"/>
    <mergeCell ref="M2335:N2335"/>
    <mergeCell ref="A2336:G2336"/>
    <mergeCell ref="A2337:G2337"/>
    <mergeCell ref="I2339:J2339"/>
    <mergeCell ref="K2339:L2339"/>
    <mergeCell ref="I2336:J2336"/>
    <mergeCell ref="I2337:J2337"/>
    <mergeCell ref="A2338:G2338"/>
    <mergeCell ref="I2338:J2338"/>
    <mergeCell ref="K2338:L2338"/>
    <mergeCell ref="M2338:N2338"/>
    <mergeCell ref="M2339:N2339"/>
    <mergeCell ref="I2327:J2327"/>
    <mergeCell ref="I2328:J2328"/>
    <mergeCell ref="K2328:L2328"/>
    <mergeCell ref="M2328:N2328"/>
    <mergeCell ref="A2325:N2325"/>
    <mergeCell ref="A2326:G2326"/>
    <mergeCell ref="I2326:J2326"/>
    <mergeCell ref="K2326:L2326"/>
    <mergeCell ref="M2326:N2326"/>
    <mergeCell ref="A2327:G2327"/>
    <mergeCell ref="A2328:G2328"/>
    <mergeCell ref="A2329:G2329"/>
    <mergeCell ref="I2329:J2329"/>
    <mergeCell ref="K2329:L2329"/>
    <mergeCell ref="M2329:N2329"/>
    <mergeCell ref="I2330:J2330"/>
    <mergeCell ref="K2330:L2330"/>
    <mergeCell ref="M2330:N2330"/>
    <mergeCell ref="A2330:G2330"/>
    <mergeCell ref="A2331:G2331"/>
    <mergeCell ref="I2331:J2331"/>
    <mergeCell ref="K2331:L2331"/>
    <mergeCell ref="M2331:N2331"/>
    <mergeCell ref="K2332:L2332"/>
    <mergeCell ref="M2332:N2332"/>
    <mergeCell ref="K2336:L2336"/>
    <mergeCell ref="M2336:N2336"/>
    <mergeCell ref="A2339:G2339"/>
    <mergeCell ref="A2340:G2340"/>
    <mergeCell ref="I2340:J2340"/>
    <mergeCell ref="K2340:L2340"/>
    <mergeCell ref="M2340:N2340"/>
    <mergeCell ref="K2341:L2341"/>
    <mergeCell ref="M2341:N2341"/>
    <mergeCell ref="A2346:G2346"/>
    <mergeCell ref="A2347:G2347"/>
    <mergeCell ref="A2348:G2348"/>
    <mergeCell ref="A2349:G2349"/>
    <mergeCell ref="A2343:N2343"/>
    <mergeCell ref="A2344:G2344"/>
    <mergeCell ref="I2344:J2344"/>
    <mergeCell ref="M2344:N2344"/>
    <mergeCell ref="A2345:G2345"/>
    <mergeCell ref="M2345:N2345"/>
    <mergeCell ref="M2346:N2346"/>
    <mergeCell ref="I2345:J2345"/>
    <mergeCell ref="I2346:J2346"/>
    <mergeCell ref="I2347:J2347"/>
    <mergeCell ref="M2347:N2347"/>
    <mergeCell ref="I2348:J2348"/>
    <mergeCell ref="M2348:N2348"/>
    <mergeCell ref="I2349:J2349"/>
    <mergeCell ref="K2358:L2358"/>
    <mergeCell ref="M2358:N2358"/>
    <mergeCell ref="I2358:J2358"/>
    <mergeCell ref="I2359:J2359"/>
    <mergeCell ref="K2359:L2359"/>
    <mergeCell ref="M2359:N2359"/>
    <mergeCell ref="M2349:N2349"/>
    <mergeCell ref="K2350:L2350"/>
    <mergeCell ref="M2350:N2350"/>
    <mergeCell ref="A2352:N2353"/>
    <mergeCell ref="A2357:N2357"/>
    <mergeCell ref="A2358:G2358"/>
    <mergeCell ref="A2359:G2359"/>
    <mergeCell ref="M2382:N2382"/>
    <mergeCell ref="K2383:L2383"/>
    <mergeCell ref="M2383:N2383"/>
    <mergeCell ref="K2370:L2370"/>
    <mergeCell ref="M2370:N2370"/>
    <mergeCell ref="A2367:N2367"/>
    <mergeCell ref="A2368:G2368"/>
    <mergeCell ref="I2368:J2368"/>
    <mergeCell ref="K2368:L2368"/>
    <mergeCell ref="M2368:N2368"/>
    <mergeCell ref="A2369:G2369"/>
    <mergeCell ref="A2370:G2370"/>
    <mergeCell ref="I2372:J2372"/>
    <mergeCell ref="K2372:L2372"/>
    <mergeCell ref="I2369:J2369"/>
    <mergeCell ref="I2370:J2370"/>
    <mergeCell ref="A2371:G2371"/>
    <mergeCell ref="I2371:J2371"/>
    <mergeCell ref="K2371:L2371"/>
    <mergeCell ref="M2371:N2371"/>
    <mergeCell ref="M2372:N2372"/>
    <mergeCell ref="A2360:G2360"/>
    <mergeCell ref="I2360:J2360"/>
    <mergeCell ref="K2360:L2360"/>
    <mergeCell ref="M2360:N2360"/>
    <mergeCell ref="I2361:J2361"/>
    <mergeCell ref="K2361:L2361"/>
    <mergeCell ref="M2361:N2361"/>
    <mergeCell ref="K2363:L2363"/>
    <mergeCell ref="M2363:N2363"/>
    <mergeCell ref="I2363:J2363"/>
    <mergeCell ref="I2364:J2364"/>
    <mergeCell ref="K2364:L2364"/>
    <mergeCell ref="M2364:N2364"/>
    <mergeCell ref="K2365:L2365"/>
    <mergeCell ref="M2365:N2365"/>
    <mergeCell ref="A2361:G2361"/>
    <mergeCell ref="A2362:G2362"/>
    <mergeCell ref="I2362:J2362"/>
    <mergeCell ref="K2362:L2362"/>
    <mergeCell ref="M2362:N2362"/>
    <mergeCell ref="A2363:G2363"/>
    <mergeCell ref="A2364:G2364"/>
    <mergeCell ref="K2369:L2369"/>
    <mergeCell ref="M2369:N2369"/>
    <mergeCell ref="A2372:G2372"/>
    <mergeCell ref="M2414:N2414"/>
    <mergeCell ref="A2415:G2415"/>
    <mergeCell ref="I2415:J2415"/>
    <mergeCell ref="A2388:G2388"/>
    <mergeCell ref="A2389:G2389"/>
    <mergeCell ref="I2389:J2389"/>
    <mergeCell ref="M2389:N2389"/>
    <mergeCell ref="A2390:G2390"/>
    <mergeCell ref="M2390:N2390"/>
    <mergeCell ref="M2391:N2391"/>
    <mergeCell ref="I2400:J2400"/>
    <mergeCell ref="I2401:J2401"/>
    <mergeCell ref="K2401:L2401"/>
    <mergeCell ref="M2401:N2401"/>
    <mergeCell ref="A2391:G2391"/>
    <mergeCell ref="A2394:N2395"/>
    <mergeCell ref="A2399:N2399"/>
    <mergeCell ref="A2400:G2400"/>
    <mergeCell ref="K2400:L2400"/>
    <mergeCell ref="M2400:N2400"/>
    <mergeCell ref="A2401:G2401"/>
    <mergeCell ref="K2405:L2405"/>
    <mergeCell ref="M2405:N2405"/>
    <mergeCell ref="I2405:J2405"/>
    <mergeCell ref="I2406:J2406"/>
    <mergeCell ref="A2373:G2373"/>
    <mergeCell ref="I2373:J2373"/>
    <mergeCell ref="K2373:L2373"/>
    <mergeCell ref="M2373:N2373"/>
    <mergeCell ref="K2374:L2374"/>
    <mergeCell ref="M2374:N2374"/>
    <mergeCell ref="I2387:J2387"/>
    <mergeCell ref="I2388:J2388"/>
    <mergeCell ref="A2385:N2385"/>
    <mergeCell ref="A2386:G2386"/>
    <mergeCell ref="I2386:J2386"/>
    <mergeCell ref="M2386:N2386"/>
    <mergeCell ref="A2387:G2387"/>
    <mergeCell ref="M2387:N2387"/>
    <mergeCell ref="M2388:N2388"/>
    <mergeCell ref="K2378:L2378"/>
    <mergeCell ref="M2378:N2378"/>
    <mergeCell ref="I2378:J2378"/>
    <mergeCell ref="I2379:J2379"/>
    <mergeCell ref="K2379:L2379"/>
    <mergeCell ref="M2379:N2379"/>
    <mergeCell ref="A2376:N2376"/>
    <mergeCell ref="A2377:G2377"/>
    <mergeCell ref="I2377:J2377"/>
    <mergeCell ref="K2377:L2377"/>
    <mergeCell ref="M2377:N2377"/>
    <mergeCell ref="A2378:G2378"/>
    <mergeCell ref="A2379:G2379"/>
    <mergeCell ref="A2380:G2380"/>
    <mergeCell ref="I2380:J2380"/>
    <mergeCell ref="K2380:L2380"/>
    <mergeCell ref="M2380:N2380"/>
    <mergeCell ref="I2381:J2381"/>
    <mergeCell ref="K2381:L2381"/>
    <mergeCell ref="M2381:N2381"/>
    <mergeCell ref="A2381:G2381"/>
    <mergeCell ref="A2382:G2382"/>
    <mergeCell ref="I2382:J2382"/>
    <mergeCell ref="K2382:L2382"/>
    <mergeCell ref="I2421:J2421"/>
    <mergeCell ref="K2421:L2421"/>
    <mergeCell ref="M2421:N2421"/>
    <mergeCell ref="A2419:G2419"/>
    <mergeCell ref="I2419:J2419"/>
    <mergeCell ref="K2419:L2419"/>
    <mergeCell ref="M2419:N2419"/>
    <mergeCell ref="A2420:G2420"/>
    <mergeCell ref="A2421:G2421"/>
    <mergeCell ref="A2422:G2422"/>
    <mergeCell ref="I2422:J2422"/>
    <mergeCell ref="K2422:L2422"/>
    <mergeCell ref="M2422:N2422"/>
    <mergeCell ref="I2423:J2423"/>
    <mergeCell ref="K2423:L2423"/>
    <mergeCell ref="M2423:N2423"/>
    <mergeCell ref="A2423:G2423"/>
    <mergeCell ref="A2424:G2424"/>
    <mergeCell ref="I2390:J2390"/>
    <mergeCell ref="I2391:J2391"/>
    <mergeCell ref="K2392:L2392"/>
    <mergeCell ref="M2392:N2392"/>
    <mergeCell ref="A2402:G2402"/>
    <mergeCell ref="I2402:J2402"/>
    <mergeCell ref="K2402:L2402"/>
    <mergeCell ref="M2402:N2402"/>
    <mergeCell ref="I2403:J2403"/>
    <mergeCell ref="K2403:L2403"/>
    <mergeCell ref="M2403:N2403"/>
    <mergeCell ref="A2403:G2403"/>
    <mergeCell ref="A2404:G2404"/>
    <mergeCell ref="I2404:J2404"/>
    <mergeCell ref="K2404:L2404"/>
    <mergeCell ref="M2404:N2404"/>
    <mergeCell ref="A2405:G2405"/>
    <mergeCell ref="A2406:G2406"/>
    <mergeCell ref="K2410:L2410"/>
    <mergeCell ref="M2410:N2410"/>
    <mergeCell ref="I2410:J2410"/>
    <mergeCell ref="I2411:J2411"/>
    <mergeCell ref="K2411:L2411"/>
    <mergeCell ref="M2411:N2411"/>
    <mergeCell ref="K2406:L2406"/>
    <mergeCell ref="M2406:N2406"/>
    <mergeCell ref="K2407:L2407"/>
    <mergeCell ref="M2407:N2407"/>
    <mergeCell ref="A2409:N2409"/>
    <mergeCell ref="A2410:G2410"/>
    <mergeCell ref="A2411:G2411"/>
    <mergeCell ref="A2412:G2412"/>
    <mergeCell ref="I2412:J2412"/>
    <mergeCell ref="K2412:L2412"/>
    <mergeCell ref="M2412:N2412"/>
    <mergeCell ref="I2413:J2413"/>
    <mergeCell ref="K2413:L2413"/>
    <mergeCell ref="M2413:N2413"/>
    <mergeCell ref="K2415:L2415"/>
    <mergeCell ref="M2415:N2415"/>
    <mergeCell ref="K2416:L2416"/>
    <mergeCell ref="M2416:N2416"/>
    <mergeCell ref="A2413:G2413"/>
    <mergeCell ref="A2414:G2414"/>
    <mergeCell ref="I2414:J2414"/>
    <mergeCell ref="K2414:L2414"/>
    <mergeCell ref="I2430:J2430"/>
    <mergeCell ref="I2431:J2431"/>
    <mergeCell ref="M2431:N2431"/>
    <mergeCell ref="I2432:J2432"/>
    <mergeCell ref="M2432:N2432"/>
    <mergeCell ref="I2433:J2433"/>
    <mergeCell ref="I2442:J2442"/>
    <mergeCell ref="K2442:L2442"/>
    <mergeCell ref="I2443:J2443"/>
    <mergeCell ref="K2443:L2443"/>
    <mergeCell ref="M2443:N2443"/>
    <mergeCell ref="K2444:L2444"/>
    <mergeCell ref="M2444:N2444"/>
    <mergeCell ref="I2444:J2444"/>
    <mergeCell ref="I2445:J2445"/>
    <mergeCell ref="K2445:L2445"/>
    <mergeCell ref="M2445:N2445"/>
    <mergeCell ref="I2446:J2446"/>
    <mergeCell ref="K2446:L2446"/>
    <mergeCell ref="M2446:N2446"/>
    <mergeCell ref="A2427:N2427"/>
    <mergeCell ref="A2428:G2428"/>
    <mergeCell ref="I2428:J2428"/>
    <mergeCell ref="M2428:N2428"/>
    <mergeCell ref="A2429:G2429"/>
    <mergeCell ref="M2429:N2429"/>
    <mergeCell ref="M2430:N2430"/>
    <mergeCell ref="A2430:G2430"/>
    <mergeCell ref="A2431:G2431"/>
    <mergeCell ref="A2432:G2432"/>
    <mergeCell ref="A2433:G2433"/>
    <mergeCell ref="A2436:N2437"/>
    <mergeCell ref="A2441:N2441"/>
    <mergeCell ref="M2442:N2442"/>
    <mergeCell ref="A2418:N2418"/>
    <mergeCell ref="K2449:L2449"/>
    <mergeCell ref="A2453:G2453"/>
    <mergeCell ref="A2454:G2454"/>
    <mergeCell ref="A2455:G2455"/>
    <mergeCell ref="A2456:G2456"/>
    <mergeCell ref="A2457:G2457"/>
    <mergeCell ref="M2449:N2449"/>
    <mergeCell ref="A2451:N2451"/>
    <mergeCell ref="A2452:G2452"/>
    <mergeCell ref="I2452:J2452"/>
    <mergeCell ref="K2452:L2452"/>
    <mergeCell ref="M2452:N2452"/>
    <mergeCell ref="M2453:N2453"/>
    <mergeCell ref="I2453:J2453"/>
    <mergeCell ref="K2453:L2453"/>
    <mergeCell ref="I2454:J2454"/>
    <mergeCell ref="K2454:L2454"/>
    <mergeCell ref="M2454:N2454"/>
    <mergeCell ref="K2455:L2455"/>
    <mergeCell ref="M2455:N2455"/>
    <mergeCell ref="I2455:J2455"/>
    <mergeCell ref="I2456:J2456"/>
    <mergeCell ref="K2456:L2456"/>
    <mergeCell ref="M2456:N2456"/>
    <mergeCell ref="I2457:J2457"/>
    <mergeCell ref="K2457:L2457"/>
    <mergeCell ref="M2457:N2457"/>
    <mergeCell ref="I2461:J2461"/>
    <mergeCell ref="I2462:J2462"/>
    <mergeCell ref="K2462:L2462"/>
    <mergeCell ref="M2462:N2462"/>
    <mergeCell ref="K2458:L2458"/>
    <mergeCell ref="M2458:N2458"/>
    <mergeCell ref="A2460:N2460"/>
    <mergeCell ref="A2461:G2461"/>
    <mergeCell ref="K2461:L2461"/>
    <mergeCell ref="M2461:N2461"/>
    <mergeCell ref="A2462:G2462"/>
    <mergeCell ref="K2420:L2420"/>
    <mergeCell ref="M2420:N2420"/>
    <mergeCell ref="I2420:J2420"/>
    <mergeCell ref="I2424:J2424"/>
    <mergeCell ref="K2424:L2424"/>
    <mergeCell ref="M2424:N2424"/>
    <mergeCell ref="K2425:L2425"/>
    <mergeCell ref="M2425:N2425"/>
    <mergeCell ref="A2442:G2442"/>
    <mergeCell ref="A2443:G2443"/>
    <mergeCell ref="A2444:G2444"/>
    <mergeCell ref="A2445:G2445"/>
    <mergeCell ref="A2446:G2446"/>
    <mergeCell ref="A2447:G2447"/>
    <mergeCell ref="A2448:G2448"/>
    <mergeCell ref="I2447:J2447"/>
    <mergeCell ref="K2447:L2447"/>
    <mergeCell ref="M2447:N2447"/>
    <mergeCell ref="I2448:J2448"/>
    <mergeCell ref="K2448:L2448"/>
    <mergeCell ref="M2448:N2448"/>
    <mergeCell ref="M2433:N2433"/>
    <mergeCell ref="K2434:L2434"/>
    <mergeCell ref="M2434:N2434"/>
    <mergeCell ref="I2429:J2429"/>
    <mergeCell ref="A2463:G2463"/>
    <mergeCell ref="I2463:J2463"/>
    <mergeCell ref="K2463:L2463"/>
    <mergeCell ref="M2463:N2463"/>
    <mergeCell ref="I2464:J2464"/>
    <mergeCell ref="K2464:L2464"/>
    <mergeCell ref="M2464:N2464"/>
    <mergeCell ref="K2466:L2466"/>
    <mergeCell ref="M2466:N2466"/>
    <mergeCell ref="K2467:L2467"/>
    <mergeCell ref="M2467:N2467"/>
    <mergeCell ref="A2464:G2464"/>
    <mergeCell ref="A2465:G2465"/>
    <mergeCell ref="I2465:J2465"/>
    <mergeCell ref="K2465:L2465"/>
    <mergeCell ref="M2465:N2465"/>
    <mergeCell ref="A2466:G2466"/>
    <mergeCell ref="I2466:J2466"/>
    <mergeCell ref="A2472:G2472"/>
    <mergeCell ref="A2473:G2473"/>
    <mergeCell ref="A2474:G2474"/>
    <mergeCell ref="A2475:G2475"/>
    <mergeCell ref="A2469:N2469"/>
    <mergeCell ref="A2470:G2470"/>
    <mergeCell ref="I2470:J2470"/>
    <mergeCell ref="M2470:N2470"/>
    <mergeCell ref="A2471:G2471"/>
    <mergeCell ref="M2471:N2471"/>
    <mergeCell ref="M2472:N2472"/>
    <mergeCell ref="I2471:J2471"/>
    <mergeCell ref="I2472:J2472"/>
    <mergeCell ref="I2473:J2473"/>
    <mergeCell ref="M2473:N2473"/>
    <mergeCell ref="I2474:J2474"/>
    <mergeCell ref="M2474:N2474"/>
    <mergeCell ref="I2475:J2475"/>
    <mergeCell ref="K2484:L2484"/>
    <mergeCell ref="M2484:N2484"/>
    <mergeCell ref="A2486:G2486"/>
    <mergeCell ref="I2486:J2486"/>
    <mergeCell ref="K2486:L2486"/>
    <mergeCell ref="M2486:N2486"/>
    <mergeCell ref="I2487:J2487"/>
    <mergeCell ref="K2487:L2487"/>
    <mergeCell ref="M2487:N2487"/>
    <mergeCell ref="A2487:G2487"/>
    <mergeCell ref="A2488:G2488"/>
    <mergeCell ref="I2488:J2488"/>
    <mergeCell ref="K2488:L2488"/>
    <mergeCell ref="M2488:N2488"/>
    <mergeCell ref="A2489:G2489"/>
    <mergeCell ref="A2490:G2490"/>
    <mergeCell ref="I2484:J2484"/>
    <mergeCell ref="I2485:J2485"/>
    <mergeCell ref="K2485:L2485"/>
    <mergeCell ref="M2485:N2485"/>
    <mergeCell ref="M2475:N2475"/>
    <mergeCell ref="K2476:L2476"/>
    <mergeCell ref="M2476:N2476"/>
    <mergeCell ref="A2478:N2479"/>
    <mergeCell ref="A2483:N2483"/>
    <mergeCell ref="A2484:G2484"/>
    <mergeCell ref="A2485:G2485"/>
    <mergeCell ref="K2489:L2489"/>
    <mergeCell ref="M2489:N2489"/>
    <mergeCell ref="I2489:J2489"/>
    <mergeCell ref="I2490:J2490"/>
    <mergeCell ref="K2490:L2490"/>
    <mergeCell ref="M2490:N2490"/>
    <mergeCell ref="K2491:L2491"/>
    <mergeCell ref="M2491:N2491"/>
    <mergeCell ref="K2495:L2495"/>
    <mergeCell ref="M2495:N2495"/>
    <mergeCell ref="K2505:L2505"/>
    <mergeCell ref="M2505:N2505"/>
    <mergeCell ref="A2502:N2502"/>
    <mergeCell ref="A2503:G2503"/>
    <mergeCell ref="I2503:J2503"/>
    <mergeCell ref="K2503:L2503"/>
    <mergeCell ref="M2503:N2503"/>
    <mergeCell ref="A2504:G2504"/>
    <mergeCell ref="A2505:G2505"/>
    <mergeCell ref="I2003:J2003"/>
    <mergeCell ref="K2003:L2003"/>
    <mergeCell ref="I2000:J2000"/>
    <mergeCell ref="I2001:J2001"/>
    <mergeCell ref="A2002:G2002"/>
    <mergeCell ref="I2002:J2002"/>
    <mergeCell ref="K2002:L2002"/>
    <mergeCell ref="M2002:N2002"/>
    <mergeCell ref="M2003:N2003"/>
    <mergeCell ref="I1991:J1991"/>
    <mergeCell ref="I1992:J1992"/>
    <mergeCell ref="K1992:L1992"/>
    <mergeCell ref="M1992:N1992"/>
    <mergeCell ref="A1989:N1989"/>
    <mergeCell ref="A1990:G1990"/>
    <mergeCell ref="I1990:J1990"/>
    <mergeCell ref="K1990:L1990"/>
    <mergeCell ref="M1990:N1990"/>
    <mergeCell ref="A1991:G1991"/>
    <mergeCell ref="A1992:G1992"/>
    <mergeCell ref="A1993:G1993"/>
    <mergeCell ref="I1993:J1993"/>
    <mergeCell ref="K1993:L1993"/>
    <mergeCell ref="M1993:N1993"/>
    <mergeCell ref="I1994:J1994"/>
    <mergeCell ref="K1994:L1994"/>
    <mergeCell ref="M1994:N1994"/>
    <mergeCell ref="A1994:G1994"/>
    <mergeCell ref="A1995:G1995"/>
    <mergeCell ref="I1995:J1995"/>
    <mergeCell ref="K1995:L1995"/>
    <mergeCell ref="M1995:N1995"/>
    <mergeCell ref="K1996:L1996"/>
    <mergeCell ref="M1996:N1996"/>
    <mergeCell ref="K2000:L2000"/>
    <mergeCell ref="M2000:N2000"/>
    <mergeCell ref="A2003:G2003"/>
    <mergeCell ref="A2004:G2004"/>
    <mergeCell ref="I2004:J2004"/>
    <mergeCell ref="K2004:L2004"/>
    <mergeCell ref="M2004:N2004"/>
    <mergeCell ref="K2005:L2005"/>
    <mergeCell ref="M2005:N2005"/>
    <mergeCell ref="A2010:G2010"/>
    <mergeCell ref="A2011:G2011"/>
    <mergeCell ref="A2012:G2012"/>
    <mergeCell ref="A2013:G2013"/>
    <mergeCell ref="A2007:N2007"/>
    <mergeCell ref="A2008:G2008"/>
    <mergeCell ref="I2008:J2008"/>
    <mergeCell ref="M2008:N2008"/>
    <mergeCell ref="M2032:N2032"/>
    <mergeCell ref="A2033:G2033"/>
    <mergeCell ref="A2034:G2034"/>
    <mergeCell ref="I2036:J2036"/>
    <mergeCell ref="K2036:L2036"/>
    <mergeCell ref="I2033:J2033"/>
    <mergeCell ref="I2034:J2034"/>
    <mergeCell ref="A2035:G2035"/>
    <mergeCell ref="I2035:J2035"/>
    <mergeCell ref="K2035:L2035"/>
    <mergeCell ref="M2035:N2035"/>
    <mergeCell ref="M2036:N2036"/>
    <mergeCell ref="A2024:G2024"/>
    <mergeCell ref="I2024:J2024"/>
    <mergeCell ref="K2024:L2024"/>
    <mergeCell ref="M2024:N2024"/>
    <mergeCell ref="I2025:J2025"/>
    <mergeCell ref="K2025:L2025"/>
    <mergeCell ref="M2025:N2025"/>
    <mergeCell ref="K2027:L2027"/>
    <mergeCell ref="M2027:N2027"/>
    <mergeCell ref="I2027:J2027"/>
    <mergeCell ref="I2028:J2028"/>
    <mergeCell ref="K2028:L2028"/>
    <mergeCell ref="M2028:N2028"/>
    <mergeCell ref="K2029:L2029"/>
    <mergeCell ref="M2029:N2029"/>
    <mergeCell ref="A2025:G2025"/>
    <mergeCell ref="A2026:G2026"/>
    <mergeCell ref="I2026:J2026"/>
    <mergeCell ref="K2026:L2026"/>
    <mergeCell ref="M2026:N2026"/>
    <mergeCell ref="A2027:G2027"/>
    <mergeCell ref="A2028:G2028"/>
    <mergeCell ref="K2033:L2033"/>
    <mergeCell ref="M2033:N2033"/>
    <mergeCell ref="A2036:G2036"/>
    <mergeCell ref="A2100:N2101"/>
    <mergeCell ref="A2105:N2105"/>
    <mergeCell ref="M2106:N2106"/>
    <mergeCell ref="I2084:J2084"/>
    <mergeCell ref="I2085:J2085"/>
    <mergeCell ref="K2085:L2085"/>
    <mergeCell ref="M2085:N2085"/>
    <mergeCell ref="A2082:N2082"/>
    <mergeCell ref="A2083:G2083"/>
    <mergeCell ref="I2083:J2083"/>
    <mergeCell ref="K2083:L2083"/>
    <mergeCell ref="M2083:N2083"/>
    <mergeCell ref="A2084:G2084"/>
    <mergeCell ref="A2085:G2085"/>
    <mergeCell ref="A2086:G2086"/>
    <mergeCell ref="I2086:J2086"/>
    <mergeCell ref="K2086:L2086"/>
    <mergeCell ref="M2086:N2086"/>
    <mergeCell ref="I2087:J2087"/>
    <mergeCell ref="K2087:L2087"/>
    <mergeCell ref="M2087:N2087"/>
    <mergeCell ref="A2087:G2087"/>
    <mergeCell ref="A2088:G2088"/>
    <mergeCell ref="I2088:J2088"/>
    <mergeCell ref="K2088:L2088"/>
    <mergeCell ref="M2088:N2088"/>
    <mergeCell ref="K2089:L2089"/>
    <mergeCell ref="M2089:N2089"/>
    <mergeCell ref="A2106:G2106"/>
    <mergeCell ref="M2055:N2055"/>
    <mergeCell ref="I2064:J2064"/>
    <mergeCell ref="I2065:J2065"/>
    <mergeCell ref="K2065:L2065"/>
    <mergeCell ref="M2065:N2065"/>
    <mergeCell ref="A2055:G2055"/>
    <mergeCell ref="A2058:N2059"/>
    <mergeCell ref="A2063:N2063"/>
    <mergeCell ref="A2064:G2064"/>
    <mergeCell ref="I2067:J2067"/>
    <mergeCell ref="K2067:L2067"/>
    <mergeCell ref="M2067:N2067"/>
    <mergeCell ref="A2067:G2067"/>
    <mergeCell ref="A2068:G2068"/>
    <mergeCell ref="I2068:J2068"/>
    <mergeCell ref="K2068:L2068"/>
    <mergeCell ref="M2068:N2068"/>
    <mergeCell ref="A2069:G2069"/>
    <mergeCell ref="A2070:G2070"/>
    <mergeCell ref="A2066:G2066"/>
    <mergeCell ref="I2066:J2066"/>
    <mergeCell ref="K2066:L2066"/>
    <mergeCell ref="M2066:N2066"/>
    <mergeCell ref="M2075:N2075"/>
    <mergeCell ref="K2070:L2070"/>
    <mergeCell ref="M2070:N2070"/>
    <mergeCell ref="K2071:L2071"/>
    <mergeCell ref="M2071:N2071"/>
    <mergeCell ref="A2073:N2073"/>
    <mergeCell ref="A2074:G2074"/>
    <mergeCell ref="A2075:G2075"/>
    <mergeCell ref="A2076:G2076"/>
    <mergeCell ref="I2076:J2076"/>
    <mergeCell ref="K2076:L2076"/>
    <mergeCell ref="M2076:N2076"/>
    <mergeCell ref="A2052:G2052"/>
    <mergeCell ref="A2053:G2053"/>
    <mergeCell ref="I2053:J2053"/>
    <mergeCell ref="M2053:N2053"/>
    <mergeCell ref="A2054:G2054"/>
    <mergeCell ref="M2054:N2054"/>
    <mergeCell ref="K2064:L2064"/>
    <mergeCell ref="M2064:N2064"/>
    <mergeCell ref="A2065:G2065"/>
    <mergeCell ref="K2069:L2069"/>
    <mergeCell ref="M2069:N2069"/>
    <mergeCell ref="I2069:J2069"/>
    <mergeCell ref="I2070:J2070"/>
    <mergeCell ref="K2074:L2074"/>
    <mergeCell ref="M2074:N2074"/>
    <mergeCell ref="I2074:J2074"/>
    <mergeCell ref="I2075:J2075"/>
    <mergeCell ref="K2075:L2075"/>
    <mergeCell ref="A2037:G2037"/>
    <mergeCell ref="I2037:J2037"/>
    <mergeCell ref="K2037:L2037"/>
    <mergeCell ref="M2037:N2037"/>
    <mergeCell ref="K2038:L2038"/>
    <mergeCell ref="M2038:N2038"/>
    <mergeCell ref="I2051:J2051"/>
    <mergeCell ref="I2052:J2052"/>
    <mergeCell ref="A2049:N2049"/>
    <mergeCell ref="A2050:G2050"/>
    <mergeCell ref="I2050:J2050"/>
    <mergeCell ref="M2050:N2050"/>
    <mergeCell ref="A2051:G2051"/>
    <mergeCell ref="M2051:N2051"/>
    <mergeCell ref="M2052:N2052"/>
    <mergeCell ref="K2042:L2042"/>
    <mergeCell ref="M2042:N2042"/>
    <mergeCell ref="I2042:J2042"/>
    <mergeCell ref="I2043:J2043"/>
    <mergeCell ref="K2043:L2043"/>
    <mergeCell ref="M2043:N2043"/>
    <mergeCell ref="A2040:N2040"/>
    <mergeCell ref="A2041:G2041"/>
    <mergeCell ref="I2041:J2041"/>
    <mergeCell ref="K2041:L2041"/>
    <mergeCell ref="M2041:N2041"/>
    <mergeCell ref="A2042:G2042"/>
    <mergeCell ref="A2043:G2043"/>
    <mergeCell ref="A2044:G2044"/>
    <mergeCell ref="I2044:J2044"/>
    <mergeCell ref="K2044:L2044"/>
    <mergeCell ref="M2044:N2044"/>
    <mergeCell ref="I2045:J2045"/>
    <mergeCell ref="K2045:L2045"/>
    <mergeCell ref="M2045:N2045"/>
    <mergeCell ref="A2045:G2045"/>
    <mergeCell ref="A2046:G2046"/>
    <mergeCell ref="I2046:J2046"/>
    <mergeCell ref="K2046:L2046"/>
    <mergeCell ref="M2046:N2046"/>
    <mergeCell ref="K2047:L2047"/>
    <mergeCell ref="M2047:N2047"/>
    <mergeCell ref="I2054:J2054"/>
    <mergeCell ref="I2055:J2055"/>
    <mergeCell ref="K2056:L2056"/>
    <mergeCell ref="M2056:N2056"/>
    <mergeCell ref="I2077:J2077"/>
    <mergeCell ref="K2077:L2077"/>
    <mergeCell ref="M2077:N2077"/>
    <mergeCell ref="K2079:L2079"/>
    <mergeCell ref="M2079:N2079"/>
    <mergeCell ref="K2080:L2080"/>
    <mergeCell ref="M2080:N2080"/>
    <mergeCell ref="A2077:G2077"/>
    <mergeCell ref="A2078:G2078"/>
    <mergeCell ref="I2078:J2078"/>
    <mergeCell ref="K2078:L2078"/>
    <mergeCell ref="M2078:N2078"/>
    <mergeCell ref="A2079:G2079"/>
    <mergeCell ref="I2079:J2079"/>
    <mergeCell ref="K2084:L2084"/>
    <mergeCell ref="M2084:N2084"/>
    <mergeCell ref="M2097:N2097"/>
    <mergeCell ref="K2098:L2098"/>
    <mergeCell ref="M2098:N2098"/>
    <mergeCell ref="I2093:J2093"/>
    <mergeCell ref="I2094:J2094"/>
    <mergeCell ref="I2095:J2095"/>
    <mergeCell ref="M2095:N2095"/>
    <mergeCell ref="I2096:J2096"/>
    <mergeCell ref="M2096:N2096"/>
    <mergeCell ref="I2097:J2097"/>
    <mergeCell ref="A2091:N2091"/>
    <mergeCell ref="A2092:G2092"/>
    <mergeCell ref="I2092:J2092"/>
    <mergeCell ref="M2092:N2092"/>
    <mergeCell ref="A2093:G2093"/>
    <mergeCell ref="M2093:N2093"/>
    <mergeCell ref="M2094:N2094"/>
    <mergeCell ref="A2094:G2094"/>
    <mergeCell ref="A2095:G2095"/>
    <mergeCell ref="A2096:G2096"/>
    <mergeCell ref="A2097:G2097"/>
    <mergeCell ref="I2106:J2106"/>
    <mergeCell ref="K2106:L2106"/>
    <mergeCell ref="I2107:J2107"/>
    <mergeCell ref="K2107:L2107"/>
    <mergeCell ref="M2107:N2107"/>
    <mergeCell ref="K2108:L2108"/>
    <mergeCell ref="M2108:N2108"/>
    <mergeCell ref="I2108:J2108"/>
    <mergeCell ref="I2109:J2109"/>
    <mergeCell ref="K2109:L2109"/>
    <mergeCell ref="M2109:N2109"/>
    <mergeCell ref="I2110:J2110"/>
    <mergeCell ref="K2110:L2110"/>
    <mergeCell ref="M2110:N2110"/>
    <mergeCell ref="A2117:G2117"/>
    <mergeCell ref="A2118:G2118"/>
    <mergeCell ref="A2119:G2119"/>
    <mergeCell ref="A2120:G2120"/>
    <mergeCell ref="A2121:G2121"/>
    <mergeCell ref="M2113:N2113"/>
    <mergeCell ref="A2115:N2115"/>
    <mergeCell ref="A2116:G2116"/>
    <mergeCell ref="I2116:J2116"/>
    <mergeCell ref="K2116:L2116"/>
    <mergeCell ref="M2116:N2116"/>
    <mergeCell ref="M2117:N2117"/>
    <mergeCell ref="I2117:J2117"/>
    <mergeCell ref="K2117:L2117"/>
    <mergeCell ref="I2118:J2118"/>
    <mergeCell ref="K2118:L2118"/>
    <mergeCell ref="M2118:N2118"/>
    <mergeCell ref="K2119:L2119"/>
    <mergeCell ref="M2119:N2119"/>
    <mergeCell ref="I2119:J2119"/>
    <mergeCell ref="I2120:J2120"/>
    <mergeCell ref="K2120:L2120"/>
    <mergeCell ref="M2120:N2120"/>
    <mergeCell ref="I2121:J2121"/>
    <mergeCell ref="K2121:L2121"/>
    <mergeCell ref="M2121:N2121"/>
    <mergeCell ref="A2107:G2107"/>
    <mergeCell ref="A2108:G2108"/>
    <mergeCell ref="A2109:G2109"/>
    <mergeCell ref="A2110:G2110"/>
    <mergeCell ref="A2111:G2111"/>
    <mergeCell ref="A2112:G2112"/>
    <mergeCell ref="I2111:J2111"/>
    <mergeCell ref="K2111:L2111"/>
    <mergeCell ref="M2111:N2111"/>
    <mergeCell ref="I2112:J2112"/>
    <mergeCell ref="K2112:L2112"/>
    <mergeCell ref="M2112:N2112"/>
    <mergeCell ref="K2113:L2113"/>
    <mergeCell ref="I2125:J2125"/>
    <mergeCell ref="I2126:J2126"/>
    <mergeCell ref="K2126:L2126"/>
    <mergeCell ref="M2126:N2126"/>
    <mergeCell ref="K2122:L2122"/>
    <mergeCell ref="M2122:N2122"/>
    <mergeCell ref="A2124:N2124"/>
    <mergeCell ref="A2125:G2125"/>
    <mergeCell ref="K2125:L2125"/>
    <mergeCell ref="M2125:N2125"/>
    <mergeCell ref="A2126:G2126"/>
    <mergeCell ref="A2127:G2127"/>
    <mergeCell ref="I2127:J2127"/>
    <mergeCell ref="K2127:L2127"/>
    <mergeCell ref="M2127:N2127"/>
    <mergeCell ref="I2128:J2128"/>
    <mergeCell ref="K2128:L2128"/>
    <mergeCell ref="M2128:N2128"/>
    <mergeCell ref="K2130:L2130"/>
    <mergeCell ref="M2130:N2130"/>
    <mergeCell ref="K2131:L2131"/>
    <mergeCell ref="M2131:N2131"/>
    <mergeCell ref="A2128:G2128"/>
    <mergeCell ref="A2129:G2129"/>
    <mergeCell ref="I2129:J2129"/>
    <mergeCell ref="K2129:L2129"/>
    <mergeCell ref="M2129:N2129"/>
    <mergeCell ref="A2130:G2130"/>
    <mergeCell ref="I2130:J2130"/>
    <mergeCell ref="A2136:G2136"/>
    <mergeCell ref="A2137:G2137"/>
    <mergeCell ref="A2138:G2138"/>
    <mergeCell ref="A2139:G2139"/>
    <mergeCell ref="A2133:N2133"/>
    <mergeCell ref="A2134:G2134"/>
    <mergeCell ref="I2134:J2134"/>
    <mergeCell ref="M2134:N2134"/>
    <mergeCell ref="A2135:G2135"/>
    <mergeCell ref="M2135:N2135"/>
    <mergeCell ref="M2136:N2136"/>
    <mergeCell ref="I2135:J2135"/>
    <mergeCell ref="I2136:J2136"/>
    <mergeCell ref="I2137:J2137"/>
    <mergeCell ref="M2137:N2137"/>
    <mergeCell ref="I2138:J2138"/>
    <mergeCell ref="M2138:N2138"/>
    <mergeCell ref="I2139:J2139"/>
    <mergeCell ref="K2148:L2148"/>
    <mergeCell ref="M2148:N2148"/>
    <mergeCell ref="A2150:G2150"/>
    <mergeCell ref="I2150:J2150"/>
    <mergeCell ref="K2150:L2150"/>
    <mergeCell ref="M2150:N2150"/>
    <mergeCell ref="I2151:J2151"/>
    <mergeCell ref="K2151:L2151"/>
    <mergeCell ref="M2151:N2151"/>
    <mergeCell ref="A2151:G2151"/>
    <mergeCell ref="A2152:G2152"/>
    <mergeCell ref="I2152:J2152"/>
    <mergeCell ref="K2152:L2152"/>
    <mergeCell ref="M2152:N2152"/>
    <mergeCell ref="A2153:G2153"/>
    <mergeCell ref="A2154:G2154"/>
    <mergeCell ref="I2148:J2148"/>
    <mergeCell ref="I2149:J2149"/>
    <mergeCell ref="K2149:L2149"/>
    <mergeCell ref="M2149:N2149"/>
    <mergeCell ref="M2139:N2139"/>
    <mergeCell ref="K2140:L2140"/>
    <mergeCell ref="M2140:N2140"/>
    <mergeCell ref="A2142:N2143"/>
    <mergeCell ref="A2147:N2147"/>
    <mergeCell ref="A2148:G2148"/>
    <mergeCell ref="A2149:G2149"/>
    <mergeCell ref="K2153:L2153"/>
    <mergeCell ref="M2153:N2153"/>
    <mergeCell ref="I2153:J2153"/>
    <mergeCell ref="I2154:J2154"/>
    <mergeCell ref="K2154:L2154"/>
    <mergeCell ref="M2154:N2154"/>
    <mergeCell ref="A2189:N2189"/>
    <mergeCell ref="A2190:G2190"/>
    <mergeCell ref="A2191:G2191"/>
    <mergeCell ref="K2155:L2155"/>
    <mergeCell ref="M2155:N2155"/>
    <mergeCell ref="K2159:L2159"/>
    <mergeCell ref="M2159:N2159"/>
    <mergeCell ref="K2169:L2169"/>
    <mergeCell ref="M2169:N2169"/>
    <mergeCell ref="A2166:N2166"/>
    <mergeCell ref="A2167:G2167"/>
    <mergeCell ref="I2167:J2167"/>
    <mergeCell ref="K2167:L2167"/>
    <mergeCell ref="M2167:N2167"/>
    <mergeCell ref="A2168:G2168"/>
    <mergeCell ref="A2169:G2169"/>
    <mergeCell ref="I2171:J2171"/>
    <mergeCell ref="K2171:L2171"/>
    <mergeCell ref="I2168:J2168"/>
    <mergeCell ref="I2169:J2169"/>
    <mergeCell ref="A2170:G2170"/>
    <mergeCell ref="I2170:J2170"/>
    <mergeCell ref="K2170:L2170"/>
    <mergeCell ref="M2170:N2170"/>
    <mergeCell ref="M2171:N2171"/>
    <mergeCell ref="I2159:J2159"/>
    <mergeCell ref="I2160:J2160"/>
    <mergeCell ref="K2160:L2160"/>
    <mergeCell ref="M2160:N2160"/>
    <mergeCell ref="A2157:N2157"/>
    <mergeCell ref="A2158:G2158"/>
    <mergeCell ref="I2158:J2158"/>
    <mergeCell ref="K2158:L2158"/>
    <mergeCell ref="M2158:N2158"/>
    <mergeCell ref="A2159:G2159"/>
    <mergeCell ref="A2160:G2160"/>
    <mergeCell ref="A2161:G2161"/>
    <mergeCell ref="I2161:J2161"/>
    <mergeCell ref="K2161:L2161"/>
    <mergeCell ref="M2161:N2161"/>
    <mergeCell ref="I2162:J2162"/>
    <mergeCell ref="K2162:L2162"/>
    <mergeCell ref="M2162:N2162"/>
    <mergeCell ref="A2162:G2162"/>
    <mergeCell ref="A2163:G2163"/>
    <mergeCell ref="I2163:J2163"/>
    <mergeCell ref="K2163:L2163"/>
    <mergeCell ref="M2163:N2163"/>
    <mergeCell ref="K2164:L2164"/>
    <mergeCell ref="M2164:N2164"/>
    <mergeCell ref="K2168:L2168"/>
    <mergeCell ref="M2168:N2168"/>
    <mergeCell ref="A2171:G2171"/>
    <mergeCell ref="M2222:N2222"/>
    <mergeCell ref="M2223:N2223"/>
    <mergeCell ref="I2232:J2232"/>
    <mergeCell ref="I2233:J2233"/>
    <mergeCell ref="K2233:L2233"/>
    <mergeCell ref="M2233:N2233"/>
    <mergeCell ref="A2223:G2223"/>
    <mergeCell ref="A2226:N2227"/>
    <mergeCell ref="A2231:N2231"/>
    <mergeCell ref="A2232:G2232"/>
    <mergeCell ref="K2232:L2232"/>
    <mergeCell ref="M2232:N2232"/>
    <mergeCell ref="A2233:G2233"/>
    <mergeCell ref="K2237:L2237"/>
    <mergeCell ref="M2237:N2237"/>
    <mergeCell ref="I2237:J2237"/>
    <mergeCell ref="I2238:J2238"/>
    <mergeCell ref="K2242:L2242"/>
    <mergeCell ref="M2242:N2242"/>
    <mergeCell ref="I2242:J2242"/>
    <mergeCell ref="I2243:J2243"/>
    <mergeCell ref="K2243:L2243"/>
    <mergeCell ref="M2243:N2243"/>
    <mergeCell ref="K2238:L2238"/>
    <mergeCell ref="M2238:N2238"/>
    <mergeCell ref="K2239:L2239"/>
    <mergeCell ref="M2239:N2239"/>
    <mergeCell ref="A2241:N2241"/>
    <mergeCell ref="A2242:G2242"/>
    <mergeCell ref="A2243:G2243"/>
    <mergeCell ref="A2172:G2172"/>
    <mergeCell ref="I2172:J2172"/>
    <mergeCell ref="K2172:L2172"/>
    <mergeCell ref="M2172:N2172"/>
    <mergeCell ref="K2173:L2173"/>
    <mergeCell ref="M2173:N2173"/>
    <mergeCell ref="A2178:G2178"/>
    <mergeCell ref="A2179:G2179"/>
    <mergeCell ref="A2180:G2180"/>
    <mergeCell ref="A2181:G2181"/>
    <mergeCell ref="A2175:N2175"/>
    <mergeCell ref="A2176:G2176"/>
    <mergeCell ref="I2176:J2176"/>
    <mergeCell ref="M2176:N2176"/>
    <mergeCell ref="A2177:G2177"/>
    <mergeCell ref="M2177:N2177"/>
    <mergeCell ref="M2178:N2178"/>
    <mergeCell ref="I2177:J2177"/>
    <mergeCell ref="I2178:J2178"/>
    <mergeCell ref="I2179:J2179"/>
    <mergeCell ref="M2179:N2179"/>
    <mergeCell ref="I2180:J2180"/>
    <mergeCell ref="M2180:N2180"/>
    <mergeCell ref="I2181:J2181"/>
    <mergeCell ref="K2190:L2190"/>
    <mergeCell ref="M2190:N2190"/>
    <mergeCell ref="I2190:J2190"/>
    <mergeCell ref="I2191:J2191"/>
    <mergeCell ref="K2191:L2191"/>
    <mergeCell ref="M2191:N2191"/>
    <mergeCell ref="M2181:N2181"/>
    <mergeCell ref="K2182:L2182"/>
    <mergeCell ref="M2182:N2182"/>
    <mergeCell ref="A2184:N2185"/>
    <mergeCell ref="A2244:G2244"/>
    <mergeCell ref="I2244:J2244"/>
    <mergeCell ref="K2244:L2244"/>
    <mergeCell ref="M2244:N2244"/>
    <mergeCell ref="I2245:J2245"/>
    <mergeCell ref="K2245:L2245"/>
    <mergeCell ref="M2245:N2245"/>
    <mergeCell ref="K2247:L2247"/>
    <mergeCell ref="M2247:N2247"/>
    <mergeCell ref="K2248:L2248"/>
    <mergeCell ref="M2248:N2248"/>
    <mergeCell ref="A2245:G2245"/>
    <mergeCell ref="A2246:G2246"/>
    <mergeCell ref="I2246:J2246"/>
    <mergeCell ref="K2246:L2246"/>
    <mergeCell ref="M2246:N2246"/>
    <mergeCell ref="A2247:G2247"/>
    <mergeCell ref="I2247:J2247"/>
    <mergeCell ref="K2252:L2252"/>
    <mergeCell ref="M2252:N2252"/>
    <mergeCell ref="K2202:L2202"/>
    <mergeCell ref="M2202:N2202"/>
    <mergeCell ref="A2199:N2199"/>
    <mergeCell ref="A2200:G2200"/>
    <mergeCell ref="I2200:J2200"/>
    <mergeCell ref="K2200:L2200"/>
    <mergeCell ref="M2200:N2200"/>
    <mergeCell ref="A2201:G2201"/>
    <mergeCell ref="A2202:G2202"/>
    <mergeCell ref="I2204:J2204"/>
    <mergeCell ref="K2204:L2204"/>
    <mergeCell ref="I2201:J2201"/>
    <mergeCell ref="I2202:J2202"/>
    <mergeCell ref="A2203:G2203"/>
    <mergeCell ref="I2203:J2203"/>
    <mergeCell ref="K2203:L2203"/>
    <mergeCell ref="M2203:N2203"/>
    <mergeCell ref="M2204:N2204"/>
    <mergeCell ref="M2214:N2214"/>
    <mergeCell ref="K2215:L2215"/>
    <mergeCell ref="M2215:N2215"/>
    <mergeCell ref="I2222:J2222"/>
    <mergeCell ref="I2223:J2223"/>
    <mergeCell ref="K2224:L2224"/>
    <mergeCell ref="M2224:N2224"/>
    <mergeCell ref="A2234:G2234"/>
    <mergeCell ref="I2234:J2234"/>
    <mergeCell ref="K2234:L2234"/>
    <mergeCell ref="M2234:N2234"/>
    <mergeCell ref="I2235:J2235"/>
    <mergeCell ref="K2235:L2235"/>
    <mergeCell ref="M2235:N2235"/>
    <mergeCell ref="A2235:G2235"/>
    <mergeCell ref="A2236:G2236"/>
    <mergeCell ref="I2236:J2236"/>
    <mergeCell ref="K2236:L2236"/>
    <mergeCell ref="M2236:N2236"/>
    <mergeCell ref="A2237:G2237"/>
    <mergeCell ref="A2238:G2238"/>
    <mergeCell ref="A2220:G2220"/>
    <mergeCell ref="A2221:G2221"/>
    <mergeCell ref="I2221:J2221"/>
    <mergeCell ref="M2221:N2221"/>
    <mergeCell ref="A2222:G2222"/>
    <mergeCell ref="A2192:G2192"/>
    <mergeCell ref="I2192:J2192"/>
    <mergeCell ref="K2192:L2192"/>
    <mergeCell ref="M2192:N2192"/>
    <mergeCell ref="I2193:J2193"/>
    <mergeCell ref="K2193:L2193"/>
    <mergeCell ref="M2193:N2193"/>
    <mergeCell ref="K2195:L2195"/>
    <mergeCell ref="M2195:N2195"/>
    <mergeCell ref="I2195:J2195"/>
    <mergeCell ref="I2196:J2196"/>
    <mergeCell ref="K2196:L2196"/>
    <mergeCell ref="M2196:N2196"/>
    <mergeCell ref="K2197:L2197"/>
    <mergeCell ref="M2197:N2197"/>
    <mergeCell ref="A2193:G2193"/>
    <mergeCell ref="A2194:G2194"/>
    <mergeCell ref="I2194:J2194"/>
    <mergeCell ref="K2194:L2194"/>
    <mergeCell ref="M2194:N2194"/>
    <mergeCell ref="A2195:G2195"/>
    <mergeCell ref="A2196:G2196"/>
    <mergeCell ref="K2201:L2201"/>
    <mergeCell ref="M2201:N2201"/>
    <mergeCell ref="A2204:G2204"/>
    <mergeCell ref="A2205:G2205"/>
    <mergeCell ref="I2205:J2205"/>
    <mergeCell ref="K2205:L2205"/>
    <mergeCell ref="M2205:N2205"/>
    <mergeCell ref="K2206:L2206"/>
    <mergeCell ref="M2206:N2206"/>
    <mergeCell ref="I2219:J2219"/>
    <mergeCell ref="I2220:J2220"/>
    <mergeCell ref="A2217:N2217"/>
    <mergeCell ref="A2218:G2218"/>
    <mergeCell ref="I2218:J2218"/>
    <mergeCell ref="M2218:N2218"/>
    <mergeCell ref="A2219:G2219"/>
    <mergeCell ref="M2219:N2219"/>
    <mergeCell ref="M2220:N2220"/>
    <mergeCell ref="K2210:L2210"/>
    <mergeCell ref="M2210:N2210"/>
    <mergeCell ref="I2210:J2210"/>
    <mergeCell ref="I2211:J2211"/>
    <mergeCell ref="K2211:L2211"/>
    <mergeCell ref="M2211:N2211"/>
    <mergeCell ref="A2208:N2208"/>
    <mergeCell ref="A2209:G2209"/>
    <mergeCell ref="I2209:J2209"/>
    <mergeCell ref="K2209:L2209"/>
    <mergeCell ref="M2209:N2209"/>
    <mergeCell ref="A2210:G2210"/>
    <mergeCell ref="A2211:G2211"/>
    <mergeCell ref="A2212:G2212"/>
    <mergeCell ref="I2212:J2212"/>
    <mergeCell ref="K2212:L2212"/>
    <mergeCell ref="M2212:N2212"/>
    <mergeCell ref="I2213:J2213"/>
    <mergeCell ref="K2213:L2213"/>
    <mergeCell ref="M2213:N2213"/>
    <mergeCell ref="A2213:G2213"/>
    <mergeCell ref="A2214:G2214"/>
    <mergeCell ref="I2214:J2214"/>
    <mergeCell ref="K2214:L2214"/>
    <mergeCell ref="I2507:J2507"/>
    <mergeCell ref="K2507:L2507"/>
    <mergeCell ref="I2504:J2504"/>
    <mergeCell ref="I2505:J2505"/>
    <mergeCell ref="A2506:G2506"/>
    <mergeCell ref="I2506:J2506"/>
    <mergeCell ref="K2506:L2506"/>
    <mergeCell ref="M2506:N2506"/>
    <mergeCell ref="M2507:N2507"/>
    <mergeCell ref="I2495:J2495"/>
    <mergeCell ref="I2496:J2496"/>
    <mergeCell ref="K2496:L2496"/>
    <mergeCell ref="M2496:N2496"/>
    <mergeCell ref="A2493:N2493"/>
    <mergeCell ref="A2494:G2494"/>
    <mergeCell ref="I2494:J2494"/>
    <mergeCell ref="K2494:L2494"/>
    <mergeCell ref="M2494:N2494"/>
    <mergeCell ref="A2495:G2495"/>
    <mergeCell ref="A2496:G2496"/>
    <mergeCell ref="A2497:G2497"/>
    <mergeCell ref="I2497:J2497"/>
    <mergeCell ref="K2497:L2497"/>
    <mergeCell ref="M2497:N2497"/>
    <mergeCell ref="I2498:J2498"/>
    <mergeCell ref="K2498:L2498"/>
    <mergeCell ref="M2498:N2498"/>
    <mergeCell ref="A2498:G2498"/>
    <mergeCell ref="A2499:G2499"/>
    <mergeCell ref="I2499:J2499"/>
    <mergeCell ref="K2499:L2499"/>
    <mergeCell ref="M2499:N2499"/>
    <mergeCell ref="K2500:L2500"/>
    <mergeCell ref="M2500:N2500"/>
    <mergeCell ref="K2504:L2504"/>
    <mergeCell ref="M2504:N2504"/>
    <mergeCell ref="A2507:G2507"/>
    <mergeCell ref="A2508:G2508"/>
    <mergeCell ref="I2508:J2508"/>
    <mergeCell ref="K2508:L2508"/>
    <mergeCell ref="M2508:N2508"/>
    <mergeCell ref="K2509:L2509"/>
    <mergeCell ref="M2509:N2509"/>
    <mergeCell ref="A2514:G2514"/>
    <mergeCell ref="A2515:G2515"/>
    <mergeCell ref="A2516:G2516"/>
    <mergeCell ref="A2517:G2517"/>
    <mergeCell ref="A2511:N2511"/>
    <mergeCell ref="A2512:G2512"/>
    <mergeCell ref="I2512:J2512"/>
    <mergeCell ref="M2512:N2512"/>
    <mergeCell ref="A2513:G2513"/>
    <mergeCell ref="M2513:N2513"/>
    <mergeCell ref="M2514:N2514"/>
    <mergeCell ref="I2513:J2513"/>
    <mergeCell ref="I2514:J2514"/>
    <mergeCell ref="I2515:J2515"/>
    <mergeCell ref="M2515:N2515"/>
    <mergeCell ref="I2516:J2516"/>
    <mergeCell ref="M2516:N2516"/>
    <mergeCell ref="I2517:J2517"/>
    <mergeCell ref="K2526:L2526"/>
    <mergeCell ref="M2526:N2526"/>
    <mergeCell ref="I2526:J2526"/>
    <mergeCell ref="I2527:J2527"/>
    <mergeCell ref="K2527:L2527"/>
    <mergeCell ref="M2527:N2527"/>
    <mergeCell ref="M2517:N2517"/>
    <mergeCell ref="K2518:L2518"/>
    <mergeCell ref="M2518:N2518"/>
    <mergeCell ref="A2520:N2521"/>
    <mergeCell ref="A2525:N2525"/>
    <mergeCell ref="A2526:G2526"/>
    <mergeCell ref="A2527:G2527"/>
    <mergeCell ref="K2538:L2538"/>
    <mergeCell ref="M2538:N2538"/>
    <mergeCell ref="A2535:N2535"/>
    <mergeCell ref="A2536:G2536"/>
    <mergeCell ref="I2536:J2536"/>
    <mergeCell ref="K2536:L2536"/>
    <mergeCell ref="M2536:N2536"/>
    <mergeCell ref="A2537:G2537"/>
    <mergeCell ref="A2538:G2538"/>
    <mergeCell ref="I2540:J2540"/>
    <mergeCell ref="K2540:L2540"/>
    <mergeCell ref="I2537:J2537"/>
    <mergeCell ref="I2538:J2538"/>
    <mergeCell ref="A2539:G2539"/>
    <mergeCell ref="I2539:J2539"/>
    <mergeCell ref="K2539:L2539"/>
    <mergeCell ref="M2539:N2539"/>
    <mergeCell ref="M2540:N2540"/>
    <mergeCell ref="A2528:G2528"/>
    <mergeCell ref="I2528:J2528"/>
    <mergeCell ref="K2528:L2528"/>
    <mergeCell ref="M2528:N2528"/>
    <mergeCell ref="I2529:J2529"/>
    <mergeCell ref="K2529:L2529"/>
    <mergeCell ref="M2529:N2529"/>
    <mergeCell ref="K2531:L2531"/>
    <mergeCell ref="M2531:N2531"/>
    <mergeCell ref="I2531:J2531"/>
    <mergeCell ref="I2532:J2532"/>
    <mergeCell ref="K2532:L2532"/>
    <mergeCell ref="M2532:N2532"/>
    <mergeCell ref="K2533:L2533"/>
    <mergeCell ref="M2533:N2533"/>
    <mergeCell ref="A2529:G2529"/>
    <mergeCell ref="A2530:G2530"/>
    <mergeCell ref="I2530:J2530"/>
    <mergeCell ref="K2530:L2530"/>
    <mergeCell ref="M2530:N2530"/>
    <mergeCell ref="A2531:G2531"/>
    <mergeCell ref="A2532:G2532"/>
    <mergeCell ref="K2537:L2537"/>
    <mergeCell ref="M2537:N2537"/>
    <mergeCell ref="A2540:G2540"/>
    <mergeCell ref="A2604:N2605"/>
    <mergeCell ref="A2609:N2609"/>
    <mergeCell ref="M2610:N2610"/>
    <mergeCell ref="I2588:J2588"/>
    <mergeCell ref="I2589:J2589"/>
    <mergeCell ref="K2589:L2589"/>
    <mergeCell ref="M2589:N2589"/>
    <mergeCell ref="A2586:N2586"/>
    <mergeCell ref="A2587:G2587"/>
    <mergeCell ref="I2587:J2587"/>
    <mergeCell ref="K2587:L2587"/>
    <mergeCell ref="M2587:N2587"/>
    <mergeCell ref="A2588:G2588"/>
    <mergeCell ref="A2589:G2589"/>
    <mergeCell ref="A2590:G2590"/>
    <mergeCell ref="I2590:J2590"/>
    <mergeCell ref="K2590:L2590"/>
    <mergeCell ref="M2590:N2590"/>
    <mergeCell ref="I2591:J2591"/>
    <mergeCell ref="K2591:L2591"/>
    <mergeCell ref="M2591:N2591"/>
    <mergeCell ref="A2591:G2591"/>
    <mergeCell ref="A2592:G2592"/>
    <mergeCell ref="I2592:J2592"/>
    <mergeCell ref="K2592:L2592"/>
    <mergeCell ref="M2592:N2592"/>
    <mergeCell ref="K2593:L2593"/>
    <mergeCell ref="M2593:N2593"/>
    <mergeCell ref="A2610:G2610"/>
    <mergeCell ref="M2559:N2559"/>
    <mergeCell ref="I2568:J2568"/>
    <mergeCell ref="I2569:J2569"/>
    <mergeCell ref="K2569:L2569"/>
    <mergeCell ref="M2569:N2569"/>
    <mergeCell ref="A2559:G2559"/>
    <mergeCell ref="A2562:N2563"/>
    <mergeCell ref="A2567:N2567"/>
    <mergeCell ref="A2568:G2568"/>
    <mergeCell ref="I2571:J2571"/>
    <mergeCell ref="K2571:L2571"/>
    <mergeCell ref="M2571:N2571"/>
    <mergeCell ref="A2571:G2571"/>
    <mergeCell ref="A2572:G2572"/>
    <mergeCell ref="I2572:J2572"/>
    <mergeCell ref="K2572:L2572"/>
    <mergeCell ref="M2572:N2572"/>
    <mergeCell ref="A2573:G2573"/>
    <mergeCell ref="A2574:G2574"/>
    <mergeCell ref="A2570:G2570"/>
    <mergeCell ref="I2570:J2570"/>
    <mergeCell ref="K2570:L2570"/>
    <mergeCell ref="M2570:N2570"/>
    <mergeCell ref="M2579:N2579"/>
    <mergeCell ref="K2574:L2574"/>
    <mergeCell ref="M2574:N2574"/>
    <mergeCell ref="K2575:L2575"/>
    <mergeCell ref="M2575:N2575"/>
    <mergeCell ref="A2577:N2577"/>
    <mergeCell ref="A2578:G2578"/>
    <mergeCell ref="A2579:G2579"/>
    <mergeCell ref="A2580:G2580"/>
    <mergeCell ref="I2580:J2580"/>
    <mergeCell ref="K2580:L2580"/>
    <mergeCell ref="M2580:N2580"/>
    <mergeCell ref="A2556:G2556"/>
    <mergeCell ref="A2557:G2557"/>
    <mergeCell ref="I2557:J2557"/>
    <mergeCell ref="M2557:N2557"/>
    <mergeCell ref="A2558:G2558"/>
    <mergeCell ref="M2558:N2558"/>
    <mergeCell ref="K2568:L2568"/>
    <mergeCell ref="M2568:N2568"/>
    <mergeCell ref="A2569:G2569"/>
    <mergeCell ref="K2573:L2573"/>
    <mergeCell ref="M2573:N2573"/>
    <mergeCell ref="I2573:J2573"/>
    <mergeCell ref="I2574:J2574"/>
    <mergeCell ref="K2578:L2578"/>
    <mergeCell ref="M2578:N2578"/>
    <mergeCell ref="I2578:J2578"/>
    <mergeCell ref="I2579:J2579"/>
    <mergeCell ref="K2579:L2579"/>
    <mergeCell ref="A2541:G2541"/>
    <mergeCell ref="I2541:J2541"/>
    <mergeCell ref="K2541:L2541"/>
    <mergeCell ref="M2541:N2541"/>
    <mergeCell ref="K2542:L2542"/>
    <mergeCell ref="M2542:N2542"/>
    <mergeCell ref="I2555:J2555"/>
    <mergeCell ref="I2556:J2556"/>
    <mergeCell ref="A2553:N2553"/>
    <mergeCell ref="A2554:G2554"/>
    <mergeCell ref="I2554:J2554"/>
    <mergeCell ref="M2554:N2554"/>
    <mergeCell ref="A2555:G2555"/>
    <mergeCell ref="M2555:N2555"/>
    <mergeCell ref="M2556:N2556"/>
    <mergeCell ref="K2546:L2546"/>
    <mergeCell ref="M2546:N2546"/>
    <mergeCell ref="I2546:J2546"/>
    <mergeCell ref="I2547:J2547"/>
    <mergeCell ref="K2547:L2547"/>
    <mergeCell ref="M2547:N2547"/>
    <mergeCell ref="A2544:N2544"/>
    <mergeCell ref="A2545:G2545"/>
    <mergeCell ref="I2545:J2545"/>
    <mergeCell ref="K2545:L2545"/>
    <mergeCell ref="M2545:N2545"/>
    <mergeCell ref="A2546:G2546"/>
    <mergeCell ref="A2547:G2547"/>
    <mergeCell ref="A2548:G2548"/>
    <mergeCell ref="I2548:J2548"/>
    <mergeCell ref="K2548:L2548"/>
    <mergeCell ref="M2548:N2548"/>
    <mergeCell ref="I2549:J2549"/>
    <mergeCell ref="K2549:L2549"/>
    <mergeCell ref="M2549:N2549"/>
    <mergeCell ref="A2549:G2549"/>
    <mergeCell ref="A2550:G2550"/>
    <mergeCell ref="I2550:J2550"/>
    <mergeCell ref="K2550:L2550"/>
    <mergeCell ref="M2550:N2550"/>
    <mergeCell ref="K2551:L2551"/>
    <mergeCell ref="M2551:N2551"/>
    <mergeCell ref="I2558:J2558"/>
    <mergeCell ref="I2559:J2559"/>
    <mergeCell ref="K2560:L2560"/>
    <mergeCell ref="M2560:N2560"/>
    <mergeCell ref="I2581:J2581"/>
    <mergeCell ref="K2581:L2581"/>
    <mergeCell ref="M2581:N2581"/>
    <mergeCell ref="K2583:L2583"/>
    <mergeCell ref="M2583:N2583"/>
    <mergeCell ref="K2584:L2584"/>
    <mergeCell ref="M2584:N2584"/>
    <mergeCell ref="A2581:G2581"/>
    <mergeCell ref="A2582:G2582"/>
    <mergeCell ref="I2582:J2582"/>
    <mergeCell ref="K2582:L2582"/>
    <mergeCell ref="M2582:N2582"/>
    <mergeCell ref="A2583:G2583"/>
    <mergeCell ref="I2583:J2583"/>
    <mergeCell ref="K2588:L2588"/>
    <mergeCell ref="M2588:N2588"/>
    <mergeCell ref="M2601:N2601"/>
    <mergeCell ref="K2602:L2602"/>
    <mergeCell ref="M2602:N2602"/>
    <mergeCell ref="I2597:J2597"/>
    <mergeCell ref="I2598:J2598"/>
    <mergeCell ref="I2599:J2599"/>
    <mergeCell ref="M2599:N2599"/>
    <mergeCell ref="I2600:J2600"/>
    <mergeCell ref="M2600:N2600"/>
    <mergeCell ref="I2601:J2601"/>
    <mergeCell ref="A2595:N2595"/>
    <mergeCell ref="A2596:G2596"/>
    <mergeCell ref="I2596:J2596"/>
    <mergeCell ref="M2596:N2596"/>
    <mergeCell ref="A2597:G2597"/>
    <mergeCell ref="M2597:N2597"/>
    <mergeCell ref="M2598:N2598"/>
    <mergeCell ref="A2598:G2598"/>
    <mergeCell ref="A2599:G2599"/>
    <mergeCell ref="A2600:G2600"/>
    <mergeCell ref="A2601:G2601"/>
    <mergeCell ref="I2610:J2610"/>
    <mergeCell ref="K2610:L2610"/>
    <mergeCell ref="I2611:J2611"/>
    <mergeCell ref="K2611:L2611"/>
    <mergeCell ref="M2611:N2611"/>
    <mergeCell ref="K2612:L2612"/>
    <mergeCell ref="M2612:N2612"/>
    <mergeCell ref="I2612:J2612"/>
    <mergeCell ref="I2613:J2613"/>
    <mergeCell ref="K2613:L2613"/>
    <mergeCell ref="M2613:N2613"/>
    <mergeCell ref="I2614:J2614"/>
    <mergeCell ref="K2614:L2614"/>
    <mergeCell ref="M2614:N2614"/>
    <mergeCell ref="A2621:G2621"/>
    <mergeCell ref="A2622:G2622"/>
    <mergeCell ref="A2623:G2623"/>
    <mergeCell ref="A2624:G2624"/>
    <mergeCell ref="A2625:G2625"/>
    <mergeCell ref="M2617:N2617"/>
    <mergeCell ref="A2619:N2619"/>
    <mergeCell ref="A2620:G2620"/>
    <mergeCell ref="I2620:J2620"/>
    <mergeCell ref="K2620:L2620"/>
    <mergeCell ref="M2620:N2620"/>
    <mergeCell ref="M2621:N2621"/>
    <mergeCell ref="I2621:J2621"/>
    <mergeCell ref="K2621:L2621"/>
    <mergeCell ref="I2622:J2622"/>
    <mergeCell ref="K2622:L2622"/>
    <mergeCell ref="M2622:N2622"/>
    <mergeCell ref="K2623:L2623"/>
    <mergeCell ref="M2623:N2623"/>
    <mergeCell ref="I2623:J2623"/>
    <mergeCell ref="I2624:J2624"/>
    <mergeCell ref="K2624:L2624"/>
    <mergeCell ref="M2624:N2624"/>
    <mergeCell ref="I2625:J2625"/>
    <mergeCell ref="K2625:L2625"/>
    <mergeCell ref="M2625:N2625"/>
    <mergeCell ref="A2611:G2611"/>
    <mergeCell ref="A2612:G2612"/>
    <mergeCell ref="A2613:G2613"/>
    <mergeCell ref="A2614:G2614"/>
    <mergeCell ref="A2615:G2615"/>
    <mergeCell ref="A2616:G2616"/>
    <mergeCell ref="I2615:J2615"/>
    <mergeCell ref="K2615:L2615"/>
    <mergeCell ref="M2615:N2615"/>
    <mergeCell ref="I2616:J2616"/>
    <mergeCell ref="K2616:L2616"/>
    <mergeCell ref="M2616:N2616"/>
    <mergeCell ref="K2617:L2617"/>
    <mergeCell ref="I2629:J2629"/>
    <mergeCell ref="I2630:J2630"/>
    <mergeCell ref="K2630:L2630"/>
    <mergeCell ref="M2630:N2630"/>
    <mergeCell ref="K2626:L2626"/>
    <mergeCell ref="M2626:N2626"/>
    <mergeCell ref="A2628:N2628"/>
    <mergeCell ref="A2629:G2629"/>
    <mergeCell ref="K2629:L2629"/>
    <mergeCell ref="M2629:N2629"/>
    <mergeCell ref="A2630:G2630"/>
    <mergeCell ref="A2631:G2631"/>
    <mergeCell ref="I2631:J2631"/>
    <mergeCell ref="K2631:L2631"/>
    <mergeCell ref="M2631:N2631"/>
    <mergeCell ref="I2632:J2632"/>
    <mergeCell ref="K2632:L2632"/>
    <mergeCell ref="M2632:N2632"/>
    <mergeCell ref="K2634:L2634"/>
    <mergeCell ref="M2634:N2634"/>
    <mergeCell ref="K2635:L2635"/>
    <mergeCell ref="M2635:N2635"/>
    <mergeCell ref="A2632:G2632"/>
    <mergeCell ref="A2633:G2633"/>
    <mergeCell ref="I2633:J2633"/>
    <mergeCell ref="K2633:L2633"/>
    <mergeCell ref="M2633:N2633"/>
    <mergeCell ref="A2634:G2634"/>
    <mergeCell ref="I2634:J2634"/>
    <mergeCell ref="A2640:G2640"/>
    <mergeCell ref="A2641:G2641"/>
    <mergeCell ref="A2642:G2642"/>
    <mergeCell ref="A2643:G2643"/>
    <mergeCell ref="A2637:N2637"/>
    <mergeCell ref="A2638:G2638"/>
    <mergeCell ref="I2638:J2638"/>
    <mergeCell ref="M2638:N2638"/>
    <mergeCell ref="A2639:G2639"/>
    <mergeCell ref="M2639:N2639"/>
    <mergeCell ref="M2640:N2640"/>
    <mergeCell ref="I2639:J2639"/>
    <mergeCell ref="I2640:J2640"/>
    <mergeCell ref="I2641:J2641"/>
    <mergeCell ref="M2641:N2641"/>
    <mergeCell ref="I2642:J2642"/>
    <mergeCell ref="M2642:N2642"/>
    <mergeCell ref="I2643:J2643"/>
    <mergeCell ref="K2652:L2652"/>
    <mergeCell ref="M2652:N2652"/>
    <mergeCell ref="A2654:G2654"/>
    <mergeCell ref="I2654:J2654"/>
    <mergeCell ref="K2654:L2654"/>
    <mergeCell ref="M2654:N2654"/>
    <mergeCell ref="I2655:J2655"/>
    <mergeCell ref="K2655:L2655"/>
    <mergeCell ref="M2655:N2655"/>
    <mergeCell ref="A2655:G2655"/>
    <mergeCell ref="A2656:G2656"/>
    <mergeCell ref="I2656:J2656"/>
    <mergeCell ref="K2656:L2656"/>
    <mergeCell ref="M2656:N2656"/>
    <mergeCell ref="A2657:G2657"/>
    <mergeCell ref="A2658:G2658"/>
    <mergeCell ref="I2652:J2652"/>
    <mergeCell ref="I2653:J2653"/>
    <mergeCell ref="K2653:L2653"/>
    <mergeCell ref="M2653:N2653"/>
    <mergeCell ref="M2643:N2643"/>
    <mergeCell ref="K2644:L2644"/>
    <mergeCell ref="M2644:N2644"/>
    <mergeCell ref="A2646:N2647"/>
    <mergeCell ref="A2651:N2651"/>
    <mergeCell ref="A2652:G2652"/>
    <mergeCell ref="A2653:G2653"/>
    <mergeCell ref="K2657:L2657"/>
    <mergeCell ref="M2657:N2657"/>
    <mergeCell ref="I2657:J2657"/>
    <mergeCell ref="I2658:J2658"/>
    <mergeCell ref="K2658:L2658"/>
    <mergeCell ref="M2658:N2658"/>
    <mergeCell ref="K2659:L2659"/>
    <mergeCell ref="M2659:N2659"/>
    <mergeCell ref="K2663:L2663"/>
    <mergeCell ref="M2663:N2663"/>
    <mergeCell ref="K2673:L2673"/>
    <mergeCell ref="M2673:N2673"/>
    <mergeCell ref="A2670:N2670"/>
    <mergeCell ref="A2671:G2671"/>
    <mergeCell ref="I2671:J2671"/>
    <mergeCell ref="K2671:L2671"/>
    <mergeCell ref="M2671:N2671"/>
    <mergeCell ref="A2672:G2672"/>
    <mergeCell ref="A2673:G2673"/>
    <mergeCell ref="I2675:J2675"/>
    <mergeCell ref="K2675:L2675"/>
    <mergeCell ref="I2672:J2672"/>
    <mergeCell ref="I2673:J2673"/>
    <mergeCell ref="A2674:G2674"/>
    <mergeCell ref="I2674:J2674"/>
    <mergeCell ref="K2674:L2674"/>
    <mergeCell ref="M2674:N2674"/>
    <mergeCell ref="M2675:N2675"/>
    <mergeCell ref="I2663:J2663"/>
    <mergeCell ref="I2664:J2664"/>
    <mergeCell ref="K2664:L2664"/>
    <mergeCell ref="M2664:N2664"/>
    <mergeCell ref="A2661:N2661"/>
    <mergeCell ref="A2662:G2662"/>
    <mergeCell ref="I2662:J2662"/>
    <mergeCell ref="K2662:L2662"/>
    <mergeCell ref="M2662:N2662"/>
    <mergeCell ref="A2663:G2663"/>
    <mergeCell ref="A2664:G2664"/>
    <mergeCell ref="A2665:G2665"/>
    <mergeCell ref="I2665:J2665"/>
    <mergeCell ref="K2665:L2665"/>
    <mergeCell ref="M2665:N2665"/>
    <mergeCell ref="I2666:J2666"/>
    <mergeCell ref="K2666:L2666"/>
    <mergeCell ref="M2666:N2666"/>
    <mergeCell ref="A2666:G2666"/>
    <mergeCell ref="A2667:G2667"/>
    <mergeCell ref="I2667:J2667"/>
    <mergeCell ref="K2667:L2667"/>
    <mergeCell ref="M2667:N2667"/>
    <mergeCell ref="K2668:L2668"/>
    <mergeCell ref="M2668:N2668"/>
    <mergeCell ref="K2672:L2672"/>
    <mergeCell ref="M2672:N2672"/>
    <mergeCell ref="A2675:G2675"/>
    <mergeCell ref="A2676:G2676"/>
    <mergeCell ref="I2676:J2676"/>
    <mergeCell ref="K2676:L2676"/>
    <mergeCell ref="M2676:N2676"/>
    <mergeCell ref="K2677:L2677"/>
    <mergeCell ref="M2677:N2677"/>
    <mergeCell ref="A2682:G2682"/>
    <mergeCell ref="A2683:G2683"/>
    <mergeCell ref="A2684:G2684"/>
    <mergeCell ref="A2685:G2685"/>
    <mergeCell ref="A2679:N2679"/>
    <mergeCell ref="A2680:G2680"/>
    <mergeCell ref="I2680:J2680"/>
    <mergeCell ref="M2680:N2680"/>
    <mergeCell ref="A2681:G2681"/>
    <mergeCell ref="M2681:N2681"/>
    <mergeCell ref="M2682:N2682"/>
    <mergeCell ref="I2681:J2681"/>
    <mergeCell ref="I2682:J2682"/>
    <mergeCell ref="I2683:J2683"/>
    <mergeCell ref="M2683:N2683"/>
    <mergeCell ref="I2684:J2684"/>
    <mergeCell ref="M2684:N2684"/>
    <mergeCell ref="I2685:J2685"/>
    <mergeCell ref="K2694:L2694"/>
    <mergeCell ref="M2694:N2694"/>
    <mergeCell ref="I2694:J2694"/>
    <mergeCell ref="I2695:J2695"/>
    <mergeCell ref="K2695:L2695"/>
    <mergeCell ref="M2695:N2695"/>
    <mergeCell ref="M2685:N2685"/>
    <mergeCell ref="K2686:L2686"/>
    <mergeCell ref="M2686:N2686"/>
    <mergeCell ref="A2688:N2689"/>
    <mergeCell ref="A2693:N2693"/>
    <mergeCell ref="A2694:G2694"/>
    <mergeCell ref="A2695:G2695"/>
    <mergeCell ref="A2725:G2725"/>
    <mergeCell ref="I2725:J2725"/>
    <mergeCell ref="M2725:N2725"/>
    <mergeCell ref="A2726:G2726"/>
    <mergeCell ref="M2726:N2726"/>
    <mergeCell ref="M2727:N2727"/>
    <mergeCell ref="I2736:J2736"/>
    <mergeCell ref="I2737:J2737"/>
    <mergeCell ref="K2737:L2737"/>
    <mergeCell ref="M2737:N2737"/>
    <mergeCell ref="A2727:G2727"/>
    <mergeCell ref="A2730:N2731"/>
    <mergeCell ref="A2735:N2735"/>
    <mergeCell ref="A2736:G2736"/>
    <mergeCell ref="K2736:L2736"/>
    <mergeCell ref="M2736:N2736"/>
    <mergeCell ref="A2737:G2737"/>
    <mergeCell ref="K2741:L2741"/>
    <mergeCell ref="M2741:N2741"/>
    <mergeCell ref="I2741:J2741"/>
    <mergeCell ref="I2742:J2742"/>
    <mergeCell ref="K2746:L2746"/>
    <mergeCell ref="M2746:N2746"/>
    <mergeCell ref="I2746:J2746"/>
    <mergeCell ref="I2747:J2747"/>
    <mergeCell ref="K2747:L2747"/>
    <mergeCell ref="M2747:N2747"/>
    <mergeCell ref="K2742:L2742"/>
    <mergeCell ref="M2742:N2742"/>
    <mergeCell ref="K2743:L2743"/>
    <mergeCell ref="M2743:N2743"/>
    <mergeCell ref="A2745:N2745"/>
    <mergeCell ref="A2746:G2746"/>
    <mergeCell ref="A2747:G2747"/>
    <mergeCell ref="A2717:G2717"/>
    <mergeCell ref="A2718:G2718"/>
    <mergeCell ref="I2718:J2718"/>
    <mergeCell ref="K2718:L2718"/>
    <mergeCell ref="A2748:G2748"/>
    <mergeCell ref="I2748:J2748"/>
    <mergeCell ref="K2748:L2748"/>
    <mergeCell ref="M2748:N2748"/>
    <mergeCell ref="I2749:J2749"/>
    <mergeCell ref="K2749:L2749"/>
    <mergeCell ref="M2749:N2749"/>
    <mergeCell ref="K2751:L2751"/>
    <mergeCell ref="M2751:N2751"/>
    <mergeCell ref="K2752:L2752"/>
    <mergeCell ref="M2752:N2752"/>
    <mergeCell ref="A2749:G2749"/>
    <mergeCell ref="A2750:G2750"/>
    <mergeCell ref="I2750:J2750"/>
    <mergeCell ref="K2750:L2750"/>
    <mergeCell ref="M2750:N2750"/>
    <mergeCell ref="A2751:G2751"/>
    <mergeCell ref="I2751:J2751"/>
    <mergeCell ref="K2756:L2756"/>
    <mergeCell ref="M2756:N2756"/>
    <mergeCell ref="K2706:L2706"/>
    <mergeCell ref="M2706:N2706"/>
    <mergeCell ref="A2703:N2703"/>
    <mergeCell ref="A2704:G2704"/>
    <mergeCell ref="I2704:J2704"/>
    <mergeCell ref="K2704:L2704"/>
    <mergeCell ref="M2704:N2704"/>
    <mergeCell ref="A2705:G2705"/>
    <mergeCell ref="A2706:G2706"/>
    <mergeCell ref="I2708:J2708"/>
    <mergeCell ref="K2708:L2708"/>
    <mergeCell ref="I2705:J2705"/>
    <mergeCell ref="I2706:J2706"/>
    <mergeCell ref="A2707:G2707"/>
    <mergeCell ref="I2707:J2707"/>
    <mergeCell ref="K2707:L2707"/>
    <mergeCell ref="M2707:N2707"/>
    <mergeCell ref="M2708:N2708"/>
    <mergeCell ref="M2718:N2718"/>
    <mergeCell ref="K2719:L2719"/>
    <mergeCell ref="M2719:N2719"/>
    <mergeCell ref="I2726:J2726"/>
    <mergeCell ref="I2727:J2727"/>
    <mergeCell ref="K2728:L2728"/>
    <mergeCell ref="M2728:N2728"/>
    <mergeCell ref="A2738:G2738"/>
    <mergeCell ref="I2738:J2738"/>
    <mergeCell ref="K2738:L2738"/>
    <mergeCell ref="M2738:N2738"/>
    <mergeCell ref="I2739:J2739"/>
    <mergeCell ref="K2739:L2739"/>
    <mergeCell ref="M2739:N2739"/>
    <mergeCell ref="A2739:G2739"/>
    <mergeCell ref="A2740:G2740"/>
    <mergeCell ref="I2740:J2740"/>
    <mergeCell ref="K2740:L2740"/>
    <mergeCell ref="M2740:N2740"/>
    <mergeCell ref="A2741:G2741"/>
    <mergeCell ref="A2742:G2742"/>
    <mergeCell ref="A2724:G2724"/>
    <mergeCell ref="I2780:J2780"/>
    <mergeCell ref="I2781:J2781"/>
    <mergeCell ref="K2781:L2781"/>
    <mergeCell ref="M2781:N2781"/>
    <mergeCell ref="A2696:G2696"/>
    <mergeCell ref="I2696:J2696"/>
    <mergeCell ref="K2696:L2696"/>
    <mergeCell ref="M2696:N2696"/>
    <mergeCell ref="I2697:J2697"/>
    <mergeCell ref="K2697:L2697"/>
    <mergeCell ref="M2697:N2697"/>
    <mergeCell ref="K2699:L2699"/>
    <mergeCell ref="M2699:N2699"/>
    <mergeCell ref="I2699:J2699"/>
    <mergeCell ref="I2700:J2700"/>
    <mergeCell ref="K2700:L2700"/>
    <mergeCell ref="M2700:N2700"/>
    <mergeCell ref="K2701:L2701"/>
    <mergeCell ref="M2701:N2701"/>
    <mergeCell ref="A2697:G2697"/>
    <mergeCell ref="A2698:G2698"/>
    <mergeCell ref="I2698:J2698"/>
    <mergeCell ref="K2698:L2698"/>
    <mergeCell ref="M2698:N2698"/>
    <mergeCell ref="A2699:G2699"/>
    <mergeCell ref="A2700:G2700"/>
    <mergeCell ref="K2705:L2705"/>
    <mergeCell ref="M2705:N2705"/>
    <mergeCell ref="A2708:G2708"/>
    <mergeCell ref="A2709:G2709"/>
    <mergeCell ref="I2709:J2709"/>
    <mergeCell ref="K2709:L2709"/>
    <mergeCell ref="M2709:N2709"/>
    <mergeCell ref="K2710:L2710"/>
    <mergeCell ref="M2710:N2710"/>
    <mergeCell ref="I2723:J2723"/>
    <mergeCell ref="I2724:J2724"/>
    <mergeCell ref="A2721:N2721"/>
    <mergeCell ref="A2722:G2722"/>
    <mergeCell ref="I2722:J2722"/>
    <mergeCell ref="M2722:N2722"/>
    <mergeCell ref="A2723:G2723"/>
    <mergeCell ref="M2723:N2723"/>
    <mergeCell ref="M2724:N2724"/>
    <mergeCell ref="K2714:L2714"/>
    <mergeCell ref="M2714:N2714"/>
    <mergeCell ref="I2714:J2714"/>
    <mergeCell ref="I2715:J2715"/>
    <mergeCell ref="K2715:L2715"/>
    <mergeCell ref="M2715:N2715"/>
    <mergeCell ref="A2712:N2712"/>
    <mergeCell ref="A2713:G2713"/>
    <mergeCell ref="I2713:J2713"/>
    <mergeCell ref="K2713:L2713"/>
    <mergeCell ref="M2713:N2713"/>
    <mergeCell ref="A2714:G2714"/>
    <mergeCell ref="A2715:G2715"/>
    <mergeCell ref="A2716:G2716"/>
    <mergeCell ref="I2716:J2716"/>
    <mergeCell ref="K2716:L2716"/>
    <mergeCell ref="M2716:N2716"/>
    <mergeCell ref="I2717:J2717"/>
    <mergeCell ref="K2717:L2717"/>
    <mergeCell ref="M2717:N2717"/>
    <mergeCell ref="I2782:J2782"/>
    <mergeCell ref="K2782:L2782"/>
    <mergeCell ref="M2782:N2782"/>
    <mergeCell ref="I2756:J2756"/>
    <mergeCell ref="I2757:J2757"/>
    <mergeCell ref="K2757:L2757"/>
    <mergeCell ref="M2757:N2757"/>
    <mergeCell ref="A2754:N2754"/>
    <mergeCell ref="A2755:G2755"/>
    <mergeCell ref="I2755:J2755"/>
    <mergeCell ref="K2755:L2755"/>
    <mergeCell ref="M2755:N2755"/>
    <mergeCell ref="A2756:G2756"/>
    <mergeCell ref="A2757:G2757"/>
    <mergeCell ref="A2758:G2758"/>
    <mergeCell ref="I2758:J2758"/>
    <mergeCell ref="K2758:L2758"/>
    <mergeCell ref="M2758:N2758"/>
    <mergeCell ref="I2759:J2759"/>
    <mergeCell ref="K2759:L2759"/>
    <mergeCell ref="M2759:N2759"/>
    <mergeCell ref="A2759:G2759"/>
    <mergeCell ref="A2760:G2760"/>
    <mergeCell ref="I2760:J2760"/>
    <mergeCell ref="K2760:L2760"/>
    <mergeCell ref="M2760:N2760"/>
    <mergeCell ref="K2761:L2761"/>
    <mergeCell ref="M2761:N2761"/>
    <mergeCell ref="A2778:G2778"/>
    <mergeCell ref="A2779:G2779"/>
    <mergeCell ref="A2780:G2780"/>
    <mergeCell ref="A2781:G2781"/>
    <mergeCell ref="A2782:G2782"/>
    <mergeCell ref="M2769:N2769"/>
    <mergeCell ref="K2770:L2770"/>
    <mergeCell ref="M2770:N2770"/>
    <mergeCell ref="I2765:J2765"/>
    <mergeCell ref="I2766:J2766"/>
    <mergeCell ref="I2767:J2767"/>
    <mergeCell ref="M2767:N2767"/>
    <mergeCell ref="I2768:J2768"/>
    <mergeCell ref="M2768:N2768"/>
    <mergeCell ref="I2769:J2769"/>
    <mergeCell ref="A2763:N2763"/>
    <mergeCell ref="A2764:G2764"/>
    <mergeCell ref="I2764:J2764"/>
    <mergeCell ref="M2764:N2764"/>
    <mergeCell ref="A2765:G2765"/>
    <mergeCell ref="M2765:N2765"/>
    <mergeCell ref="M2766:N2766"/>
    <mergeCell ref="A2766:G2766"/>
    <mergeCell ref="A2767:G2767"/>
    <mergeCell ref="A2768:G2768"/>
    <mergeCell ref="A2769:G2769"/>
    <mergeCell ref="A2772:N2773"/>
    <mergeCell ref="A2777:N2777"/>
    <mergeCell ref="M2778:N2778"/>
    <mergeCell ref="I2778:J2778"/>
    <mergeCell ref="K2778:L2778"/>
    <mergeCell ref="I2779:J2779"/>
    <mergeCell ref="K2779:L2779"/>
    <mergeCell ref="M2779:N2779"/>
    <mergeCell ref="K2780:L2780"/>
    <mergeCell ref="M2780:N2780"/>
    <mergeCell ref="A2783:G2783"/>
    <mergeCell ref="A2784:G2784"/>
    <mergeCell ref="I2783:J2783"/>
    <mergeCell ref="K2783:L2783"/>
    <mergeCell ref="M2783:N2783"/>
    <mergeCell ref="I2784:J2784"/>
    <mergeCell ref="K2784:L2784"/>
    <mergeCell ref="M2784:N2784"/>
    <mergeCell ref="K2785:L2785"/>
    <mergeCell ref="A2789:G2789"/>
    <mergeCell ref="A2790:G2790"/>
    <mergeCell ref="A2791:G2791"/>
    <mergeCell ref="A2792:G2792"/>
    <mergeCell ref="A2793:G2793"/>
    <mergeCell ref="M2785:N2785"/>
    <mergeCell ref="A2787:N2787"/>
    <mergeCell ref="A2788:G2788"/>
    <mergeCell ref="I2788:J2788"/>
    <mergeCell ref="K2788:L2788"/>
    <mergeCell ref="M2788:N2788"/>
    <mergeCell ref="M2789:N2789"/>
    <mergeCell ref="I2789:J2789"/>
    <mergeCell ref="K2789:L2789"/>
    <mergeCell ref="I2790:J2790"/>
    <mergeCell ref="K2790:L2790"/>
    <mergeCell ref="M2790:N2790"/>
    <mergeCell ref="K2791:L2791"/>
    <mergeCell ref="M2791:N2791"/>
    <mergeCell ref="I2791:J2791"/>
    <mergeCell ref="I2792:J2792"/>
    <mergeCell ref="K2792:L2792"/>
    <mergeCell ref="M2792:N2792"/>
    <mergeCell ref="I2793:J2793"/>
    <mergeCell ref="K2793:L2793"/>
    <mergeCell ref="M2793:N2793"/>
    <mergeCell ref="I2797:J2797"/>
    <mergeCell ref="I2798:J2798"/>
    <mergeCell ref="K2798:L2798"/>
    <mergeCell ref="M2798:N2798"/>
    <mergeCell ref="K2794:L2794"/>
    <mergeCell ref="M2794:N2794"/>
    <mergeCell ref="A2796:N2796"/>
    <mergeCell ref="A2797:G2797"/>
    <mergeCell ref="K2797:L2797"/>
    <mergeCell ref="M2797:N2797"/>
    <mergeCell ref="A2798:G2798"/>
    <mergeCell ref="A2799:G2799"/>
    <mergeCell ref="I2799:J2799"/>
    <mergeCell ref="K2799:L2799"/>
    <mergeCell ref="M2799:N2799"/>
    <mergeCell ref="I2800:J2800"/>
    <mergeCell ref="K2800:L2800"/>
    <mergeCell ref="M2800:N2800"/>
    <mergeCell ref="K2802:L2802"/>
    <mergeCell ref="M2802:N2802"/>
    <mergeCell ref="K2803:L2803"/>
    <mergeCell ref="M2803:N2803"/>
    <mergeCell ref="A2800:G2800"/>
    <mergeCell ref="A2801:G2801"/>
    <mergeCell ref="I2801:J2801"/>
    <mergeCell ref="K2801:L2801"/>
    <mergeCell ref="M2801:N2801"/>
    <mergeCell ref="A2802:G2802"/>
    <mergeCell ref="I2802:J2802"/>
    <mergeCell ref="A2808:G2808"/>
    <mergeCell ref="A2809:G2809"/>
    <mergeCell ref="A2810:G2810"/>
    <mergeCell ref="A2811:G2811"/>
    <mergeCell ref="A2805:N2805"/>
    <mergeCell ref="A2806:G2806"/>
    <mergeCell ref="I2806:J2806"/>
    <mergeCell ref="M2806:N2806"/>
    <mergeCell ref="A2807:G2807"/>
    <mergeCell ref="M2807:N2807"/>
    <mergeCell ref="M2808:N2808"/>
    <mergeCell ref="I2807:J2807"/>
    <mergeCell ref="I2808:J2808"/>
    <mergeCell ref="I2809:J2809"/>
    <mergeCell ref="M2809:N2809"/>
    <mergeCell ref="I2810:J2810"/>
    <mergeCell ref="M2810:N2810"/>
    <mergeCell ref="I2811:J2811"/>
    <mergeCell ref="K2820:L2820"/>
    <mergeCell ref="M2820:N2820"/>
    <mergeCell ref="A2822:G2822"/>
    <mergeCell ref="I2822:J2822"/>
    <mergeCell ref="K2822:L2822"/>
    <mergeCell ref="M2822:N2822"/>
    <mergeCell ref="I2823:J2823"/>
    <mergeCell ref="K2823:L2823"/>
    <mergeCell ref="M2823:N2823"/>
    <mergeCell ref="A2823:G2823"/>
    <mergeCell ref="A2824:G2824"/>
    <mergeCell ref="I2824:J2824"/>
    <mergeCell ref="K2824:L2824"/>
    <mergeCell ref="M2824:N2824"/>
    <mergeCell ref="A2825:G2825"/>
    <mergeCell ref="A2826:G2826"/>
    <mergeCell ref="I2820:J2820"/>
    <mergeCell ref="I2821:J2821"/>
    <mergeCell ref="K2821:L2821"/>
    <mergeCell ref="M2821:N2821"/>
    <mergeCell ref="M2811:N2811"/>
    <mergeCell ref="K2812:L2812"/>
    <mergeCell ref="M2812:N2812"/>
    <mergeCell ref="A2814:N2815"/>
    <mergeCell ref="A2819:N2819"/>
    <mergeCell ref="A2820:G2820"/>
    <mergeCell ref="A2821:G2821"/>
    <mergeCell ref="K2825:L2825"/>
    <mergeCell ref="M2825:N2825"/>
    <mergeCell ref="I2825:J2825"/>
    <mergeCell ref="I2826:J2826"/>
    <mergeCell ref="K2826:L2826"/>
    <mergeCell ref="M2826:N2826"/>
    <mergeCell ref="K2827:L2827"/>
    <mergeCell ref="M2827:N2827"/>
    <mergeCell ref="K2831:L2831"/>
    <mergeCell ref="M2831:N2831"/>
    <mergeCell ref="K2841:L2841"/>
    <mergeCell ref="M2841:N2841"/>
    <mergeCell ref="A2838:N2838"/>
    <mergeCell ref="A2839:G2839"/>
    <mergeCell ref="I2839:J2839"/>
    <mergeCell ref="K2839:L2839"/>
    <mergeCell ref="M2839:N2839"/>
    <mergeCell ref="A2840:G2840"/>
    <mergeCell ref="A2841:G2841"/>
    <mergeCell ref="I2843:J2843"/>
    <mergeCell ref="K2843:L2843"/>
    <mergeCell ref="I2840:J2840"/>
    <mergeCell ref="I2841:J2841"/>
    <mergeCell ref="A2842:G2842"/>
    <mergeCell ref="I2842:J2842"/>
    <mergeCell ref="K2842:L2842"/>
    <mergeCell ref="M2842:N2842"/>
    <mergeCell ref="M2843:N2843"/>
    <mergeCell ref="I2831:J2831"/>
    <mergeCell ref="I2832:J2832"/>
    <mergeCell ref="K2832:L2832"/>
    <mergeCell ref="M2832:N2832"/>
    <mergeCell ref="A2829:N2829"/>
    <mergeCell ref="A2830:G2830"/>
    <mergeCell ref="I2830:J2830"/>
    <mergeCell ref="K2830:L2830"/>
    <mergeCell ref="M2830:N2830"/>
    <mergeCell ref="A2831:G2831"/>
    <mergeCell ref="A2832:G2832"/>
    <mergeCell ref="A2833:G2833"/>
    <mergeCell ref="I2833:J2833"/>
    <mergeCell ref="K2833:L2833"/>
    <mergeCell ref="M2833:N2833"/>
    <mergeCell ref="I2834:J2834"/>
    <mergeCell ref="K2834:L2834"/>
    <mergeCell ref="M2834:N2834"/>
    <mergeCell ref="A2834:G2834"/>
    <mergeCell ref="A2835:G2835"/>
    <mergeCell ref="I2835:J2835"/>
    <mergeCell ref="K2835:L2835"/>
    <mergeCell ref="M2835:N2835"/>
    <mergeCell ref="K2836:L2836"/>
    <mergeCell ref="M2836:N2836"/>
    <mergeCell ref="K2840:L2840"/>
    <mergeCell ref="M2840:N2840"/>
    <mergeCell ref="A2843:G2843"/>
    <mergeCell ref="A2844:G2844"/>
    <mergeCell ref="I2844:J2844"/>
    <mergeCell ref="K2844:L2844"/>
    <mergeCell ref="M2844:N2844"/>
    <mergeCell ref="K2845:L2845"/>
    <mergeCell ref="M2845:N2845"/>
    <mergeCell ref="A2850:G2850"/>
    <mergeCell ref="A2851:G2851"/>
    <mergeCell ref="A2852:G2852"/>
    <mergeCell ref="A2853:G2853"/>
    <mergeCell ref="A2847:N2847"/>
    <mergeCell ref="A2848:G2848"/>
    <mergeCell ref="I2848:J2848"/>
    <mergeCell ref="M2848:N2848"/>
    <mergeCell ref="A2849:G2849"/>
    <mergeCell ref="M2849:N2849"/>
    <mergeCell ref="M2850:N2850"/>
    <mergeCell ref="I2849:J2849"/>
    <mergeCell ref="I2850:J2850"/>
    <mergeCell ref="I2851:J2851"/>
    <mergeCell ref="M2851:N2851"/>
    <mergeCell ref="I2852:J2852"/>
    <mergeCell ref="M2852:N2852"/>
    <mergeCell ref="I2853:J2853"/>
    <mergeCell ref="K2862:L2862"/>
    <mergeCell ref="M2862:N2862"/>
    <mergeCell ref="I2862:J2862"/>
    <mergeCell ref="I2863:J2863"/>
    <mergeCell ref="K2863:L2863"/>
    <mergeCell ref="M2863:N2863"/>
    <mergeCell ref="M2853:N2853"/>
    <mergeCell ref="K2854:L2854"/>
    <mergeCell ref="M2854:N2854"/>
    <mergeCell ref="A2856:N2857"/>
    <mergeCell ref="A2861:N2861"/>
    <mergeCell ref="A2862:G2862"/>
    <mergeCell ref="A2863:G2863"/>
    <mergeCell ref="K2874:L2874"/>
    <mergeCell ref="M2874:N2874"/>
    <mergeCell ref="A2871:N2871"/>
    <mergeCell ref="A2872:G2872"/>
    <mergeCell ref="I2872:J2872"/>
    <mergeCell ref="K2872:L2872"/>
    <mergeCell ref="M2872:N2872"/>
    <mergeCell ref="A2873:G2873"/>
    <mergeCell ref="A2874:G2874"/>
    <mergeCell ref="I2876:J2876"/>
    <mergeCell ref="K2876:L2876"/>
    <mergeCell ref="I2873:J2873"/>
    <mergeCell ref="I2874:J2874"/>
    <mergeCell ref="A2875:G2875"/>
    <mergeCell ref="I2875:J2875"/>
    <mergeCell ref="K2875:L2875"/>
    <mergeCell ref="M2875:N2875"/>
    <mergeCell ref="M2876:N2876"/>
    <mergeCell ref="A2864:G2864"/>
    <mergeCell ref="I2864:J2864"/>
    <mergeCell ref="K2864:L2864"/>
    <mergeCell ref="M2864:N2864"/>
    <mergeCell ref="I2865:J2865"/>
    <mergeCell ref="K2865:L2865"/>
    <mergeCell ref="M2865:N2865"/>
    <mergeCell ref="K2867:L2867"/>
    <mergeCell ref="M2867:N2867"/>
    <mergeCell ref="I2867:J2867"/>
    <mergeCell ref="I2868:J2868"/>
    <mergeCell ref="K2868:L2868"/>
    <mergeCell ref="M2868:N2868"/>
    <mergeCell ref="K2869:L2869"/>
    <mergeCell ref="M2869:N2869"/>
    <mergeCell ref="A2865:G2865"/>
    <mergeCell ref="A2866:G2866"/>
    <mergeCell ref="I2866:J2866"/>
    <mergeCell ref="K2866:L2866"/>
    <mergeCell ref="M2866:N2866"/>
    <mergeCell ref="A2867:G2867"/>
    <mergeCell ref="A2868:G2868"/>
    <mergeCell ref="K2873:L2873"/>
    <mergeCell ref="M2873:N2873"/>
    <mergeCell ref="A2876:G2876"/>
    <mergeCell ref="A2877:G2877"/>
    <mergeCell ref="I2877:J2877"/>
    <mergeCell ref="K2877:L2877"/>
    <mergeCell ref="M2877:N2877"/>
    <mergeCell ref="K2878:L2878"/>
    <mergeCell ref="M2878:N2878"/>
    <mergeCell ref="A3228:G3228"/>
    <mergeCell ref="A3229:G3229"/>
    <mergeCell ref="I3229:J3229"/>
    <mergeCell ref="M3229:N3229"/>
    <mergeCell ref="A3230:G3230"/>
    <mergeCell ref="M3230:N3230"/>
    <mergeCell ref="M3231:N3231"/>
    <mergeCell ref="I3240:J3240"/>
    <mergeCell ref="I3241:J3241"/>
    <mergeCell ref="K3241:L3241"/>
    <mergeCell ref="M3241:N3241"/>
    <mergeCell ref="A3231:G3231"/>
    <mergeCell ref="A3234:N3235"/>
    <mergeCell ref="A3239:N3239"/>
    <mergeCell ref="A3240:G3240"/>
    <mergeCell ref="K3240:L3240"/>
    <mergeCell ref="M3240:N3240"/>
    <mergeCell ref="A3241:G3241"/>
    <mergeCell ref="K3245:L3245"/>
    <mergeCell ref="M3245:N3245"/>
    <mergeCell ref="I3245:J3245"/>
    <mergeCell ref="I3246:J3246"/>
    <mergeCell ref="K3250:L3250"/>
    <mergeCell ref="M3250:N3250"/>
    <mergeCell ref="I3250:J3250"/>
    <mergeCell ref="I3251:J3251"/>
    <mergeCell ref="K3251:L3251"/>
    <mergeCell ref="M3251:N3251"/>
    <mergeCell ref="K3246:L3246"/>
    <mergeCell ref="M3246:N3246"/>
    <mergeCell ref="K3247:L3247"/>
    <mergeCell ref="M3247:N3247"/>
    <mergeCell ref="A3249:N3249"/>
    <mergeCell ref="A3250:G3250"/>
    <mergeCell ref="A3251:G3251"/>
    <mergeCell ref="A3200:G3200"/>
    <mergeCell ref="I3200:J3200"/>
    <mergeCell ref="K3200:L3200"/>
    <mergeCell ref="M3200:N3200"/>
    <mergeCell ref="I3201:J3201"/>
    <mergeCell ref="K3201:L3201"/>
    <mergeCell ref="M3201:N3201"/>
    <mergeCell ref="K3203:L3203"/>
    <mergeCell ref="M3203:N3203"/>
    <mergeCell ref="I3203:J3203"/>
    <mergeCell ref="I3204:J3204"/>
    <mergeCell ref="K3204:L3204"/>
    <mergeCell ref="M3204:N3204"/>
    <mergeCell ref="K3205:L3205"/>
    <mergeCell ref="M3205:N3205"/>
    <mergeCell ref="A3201:G3201"/>
    <mergeCell ref="A3202:G3202"/>
    <mergeCell ref="I3202:J3202"/>
    <mergeCell ref="K3202:L3202"/>
    <mergeCell ref="M3202:N3202"/>
    <mergeCell ref="A3203:G3203"/>
    <mergeCell ref="A3204:G3204"/>
    <mergeCell ref="I3217:J3217"/>
    <mergeCell ref="K3210:L3210"/>
    <mergeCell ref="M3210:N3210"/>
    <mergeCell ref="A3207:N3207"/>
    <mergeCell ref="A3208:G3208"/>
    <mergeCell ref="I3208:J3208"/>
    <mergeCell ref="K3208:L3208"/>
    <mergeCell ref="M3208:N3208"/>
    <mergeCell ref="A3209:G3209"/>
    <mergeCell ref="A3210:G3210"/>
    <mergeCell ref="I3212:J3212"/>
    <mergeCell ref="K3212:L3212"/>
    <mergeCell ref="I3209:J3209"/>
    <mergeCell ref="I3210:J3210"/>
    <mergeCell ref="A3211:G3211"/>
    <mergeCell ref="I3211:J3211"/>
    <mergeCell ref="K3211:L3211"/>
    <mergeCell ref="M3211:N3211"/>
    <mergeCell ref="M3212:N3212"/>
    <mergeCell ref="K3209:L3209"/>
    <mergeCell ref="M3209:N3209"/>
    <mergeCell ref="A3212:G3212"/>
    <mergeCell ref="A3213:G3213"/>
    <mergeCell ref="I3213:J3213"/>
    <mergeCell ref="K3213:L3213"/>
    <mergeCell ref="M3213:N3213"/>
    <mergeCell ref="K3214:L3214"/>
    <mergeCell ref="M3214:N3214"/>
    <mergeCell ref="I3227:J3227"/>
    <mergeCell ref="I3228:J3228"/>
    <mergeCell ref="A3225:N3225"/>
    <mergeCell ref="A3226:G3226"/>
    <mergeCell ref="I3226:J3226"/>
    <mergeCell ref="M3226:N3226"/>
    <mergeCell ref="A3227:G3227"/>
    <mergeCell ref="M3227:N3227"/>
    <mergeCell ref="M3228:N3228"/>
    <mergeCell ref="K3218:L3218"/>
    <mergeCell ref="M3218:N3218"/>
    <mergeCell ref="I3218:J3218"/>
    <mergeCell ref="I3219:J3219"/>
    <mergeCell ref="K3219:L3219"/>
    <mergeCell ref="M3219:N3219"/>
    <mergeCell ref="A3216:N3216"/>
    <mergeCell ref="A3217:G3217"/>
    <mergeCell ref="K3217:L3217"/>
    <mergeCell ref="M3217:N3217"/>
    <mergeCell ref="A3218:G3218"/>
    <mergeCell ref="A3219:G3219"/>
    <mergeCell ref="A3220:G3220"/>
    <mergeCell ref="I3220:J3220"/>
    <mergeCell ref="K3220:L3220"/>
    <mergeCell ref="M3220:N3220"/>
    <mergeCell ref="I3221:J3221"/>
    <mergeCell ref="K3221:L3221"/>
    <mergeCell ref="M3221:N3221"/>
    <mergeCell ref="A3221:G3221"/>
    <mergeCell ref="A3222:G3222"/>
    <mergeCell ref="I3222:J3222"/>
    <mergeCell ref="K3222:L3222"/>
    <mergeCell ref="M3222:N3222"/>
    <mergeCell ref="K3223:L3223"/>
    <mergeCell ref="M3223:N3223"/>
    <mergeCell ref="A3252:G3252"/>
    <mergeCell ref="I3252:J3252"/>
    <mergeCell ref="K3252:L3252"/>
    <mergeCell ref="M3252:N3252"/>
    <mergeCell ref="I3253:J3253"/>
    <mergeCell ref="K3253:L3253"/>
    <mergeCell ref="M3253:N3253"/>
    <mergeCell ref="K3255:L3255"/>
    <mergeCell ref="M3255:N3255"/>
    <mergeCell ref="K3256:L3256"/>
    <mergeCell ref="M3256:N3256"/>
    <mergeCell ref="A3253:G3253"/>
    <mergeCell ref="A3254:G3254"/>
    <mergeCell ref="I3254:J3254"/>
    <mergeCell ref="K3254:L3254"/>
    <mergeCell ref="M3254:N3254"/>
    <mergeCell ref="A3255:G3255"/>
    <mergeCell ref="I3255:J3255"/>
    <mergeCell ref="K3260:L3260"/>
    <mergeCell ref="M3260:N3260"/>
    <mergeCell ref="I3285:J3285"/>
    <mergeCell ref="K3285:L3285"/>
    <mergeCell ref="M3285:N3285"/>
    <mergeCell ref="I3230:J3230"/>
    <mergeCell ref="I3231:J3231"/>
    <mergeCell ref="K3232:L3232"/>
    <mergeCell ref="M3232:N3232"/>
    <mergeCell ref="A3242:G3242"/>
    <mergeCell ref="I3242:J3242"/>
    <mergeCell ref="K3242:L3242"/>
    <mergeCell ref="M3242:N3242"/>
    <mergeCell ref="I3243:J3243"/>
    <mergeCell ref="K3243:L3243"/>
    <mergeCell ref="M3243:N3243"/>
    <mergeCell ref="A3243:G3243"/>
    <mergeCell ref="A3244:G3244"/>
    <mergeCell ref="I3244:J3244"/>
    <mergeCell ref="K3244:L3244"/>
    <mergeCell ref="M3244:N3244"/>
    <mergeCell ref="A3245:G3245"/>
    <mergeCell ref="A3246:G3246"/>
    <mergeCell ref="M3273:N3273"/>
    <mergeCell ref="K3274:L3274"/>
    <mergeCell ref="M3274:N3274"/>
    <mergeCell ref="I3269:J3269"/>
    <mergeCell ref="I3270:J3270"/>
    <mergeCell ref="I3271:J3271"/>
    <mergeCell ref="M3271:N3271"/>
    <mergeCell ref="I3272:J3272"/>
    <mergeCell ref="M3272:N3272"/>
    <mergeCell ref="I3273:J3273"/>
    <mergeCell ref="A3267:N3267"/>
    <mergeCell ref="A3268:G3268"/>
    <mergeCell ref="I3268:J3268"/>
    <mergeCell ref="M3268:N3268"/>
    <mergeCell ref="A3269:G3269"/>
    <mergeCell ref="M3269:N3269"/>
    <mergeCell ref="M3270:N3270"/>
    <mergeCell ref="A3270:G3270"/>
    <mergeCell ref="A3271:G3271"/>
    <mergeCell ref="A3272:G3272"/>
    <mergeCell ref="A3273:G3273"/>
    <mergeCell ref="I3286:J3286"/>
    <mergeCell ref="K3286:L3286"/>
    <mergeCell ref="M3286:N3286"/>
    <mergeCell ref="I3260:J3260"/>
    <mergeCell ref="I3261:J3261"/>
    <mergeCell ref="K3261:L3261"/>
    <mergeCell ref="M3261:N3261"/>
    <mergeCell ref="A3258:N3258"/>
    <mergeCell ref="A3259:G3259"/>
    <mergeCell ref="I3259:J3259"/>
    <mergeCell ref="K3259:L3259"/>
    <mergeCell ref="M3259:N3259"/>
    <mergeCell ref="A3260:G3260"/>
    <mergeCell ref="A3261:G3261"/>
    <mergeCell ref="A3262:G3262"/>
    <mergeCell ref="I3262:J3262"/>
    <mergeCell ref="K3262:L3262"/>
    <mergeCell ref="M3262:N3262"/>
    <mergeCell ref="I3263:J3263"/>
    <mergeCell ref="K3263:L3263"/>
    <mergeCell ref="M3263:N3263"/>
    <mergeCell ref="A3263:G3263"/>
    <mergeCell ref="A3264:G3264"/>
    <mergeCell ref="I3264:J3264"/>
    <mergeCell ref="K3264:L3264"/>
    <mergeCell ref="M3264:N3264"/>
    <mergeCell ref="K3265:L3265"/>
    <mergeCell ref="M3265:N3265"/>
    <mergeCell ref="A3282:G3282"/>
    <mergeCell ref="A3283:G3283"/>
    <mergeCell ref="A3284:G3284"/>
    <mergeCell ref="A3285:G3285"/>
    <mergeCell ref="A3286:G3286"/>
    <mergeCell ref="A3276:N3277"/>
    <mergeCell ref="A3281:N3281"/>
    <mergeCell ref="M3282:N3282"/>
    <mergeCell ref="I3282:J3282"/>
    <mergeCell ref="K3282:L3282"/>
    <mergeCell ref="I3283:J3283"/>
    <mergeCell ref="K3283:L3283"/>
    <mergeCell ref="M3283:N3283"/>
    <mergeCell ref="K3284:L3284"/>
    <mergeCell ref="M3284:N3284"/>
    <mergeCell ref="I3284:J3284"/>
    <mergeCell ref="A3287:G3287"/>
    <mergeCell ref="A3288:G3288"/>
    <mergeCell ref="I3287:J3287"/>
    <mergeCell ref="K3287:L3287"/>
    <mergeCell ref="M3287:N3287"/>
    <mergeCell ref="I3288:J3288"/>
    <mergeCell ref="K3288:L3288"/>
    <mergeCell ref="M3288:N3288"/>
    <mergeCell ref="K3289:L3289"/>
    <mergeCell ref="A3293:G3293"/>
    <mergeCell ref="A3294:G3294"/>
    <mergeCell ref="A3295:G3295"/>
    <mergeCell ref="A3296:G3296"/>
    <mergeCell ref="A3297:G3297"/>
    <mergeCell ref="M3289:N3289"/>
    <mergeCell ref="A3291:N3291"/>
    <mergeCell ref="A3292:G3292"/>
    <mergeCell ref="I3292:J3292"/>
    <mergeCell ref="K3292:L3292"/>
    <mergeCell ref="M3292:N3292"/>
    <mergeCell ref="M3293:N3293"/>
    <mergeCell ref="I3293:J3293"/>
    <mergeCell ref="K3293:L3293"/>
    <mergeCell ref="I3294:J3294"/>
    <mergeCell ref="K3294:L3294"/>
    <mergeCell ref="M3294:N3294"/>
    <mergeCell ref="K3295:L3295"/>
    <mergeCell ref="M3295:N3295"/>
    <mergeCell ref="I3295:J3295"/>
    <mergeCell ref="I3296:J3296"/>
    <mergeCell ref="K3296:L3296"/>
    <mergeCell ref="M3296:N3296"/>
    <mergeCell ref="I3297:J3297"/>
    <mergeCell ref="K3297:L3297"/>
    <mergeCell ref="M3297:N3297"/>
    <mergeCell ref="I3301:J3301"/>
    <mergeCell ref="I3302:J3302"/>
    <mergeCell ref="K3302:L3302"/>
    <mergeCell ref="M3302:N3302"/>
    <mergeCell ref="K3298:L3298"/>
    <mergeCell ref="M3298:N3298"/>
    <mergeCell ref="A3300:N3300"/>
    <mergeCell ref="A3301:G3301"/>
    <mergeCell ref="K3301:L3301"/>
    <mergeCell ref="M3301:N3301"/>
    <mergeCell ref="A3302:G3302"/>
    <mergeCell ref="A3303:G3303"/>
    <mergeCell ref="I3303:J3303"/>
    <mergeCell ref="K3303:L3303"/>
    <mergeCell ref="M3303:N3303"/>
    <mergeCell ref="I3304:J3304"/>
    <mergeCell ref="K3304:L3304"/>
    <mergeCell ref="M3304:N3304"/>
    <mergeCell ref="K3306:L3306"/>
    <mergeCell ref="M3306:N3306"/>
    <mergeCell ref="K3307:L3307"/>
    <mergeCell ref="M3307:N3307"/>
    <mergeCell ref="A3304:G3304"/>
    <mergeCell ref="A3305:G3305"/>
    <mergeCell ref="I3305:J3305"/>
    <mergeCell ref="K3305:L3305"/>
    <mergeCell ref="M3305:N3305"/>
    <mergeCell ref="A3306:G3306"/>
    <mergeCell ref="I3306:J3306"/>
    <mergeCell ref="A3312:G3312"/>
    <mergeCell ref="A3313:G3313"/>
    <mergeCell ref="A3314:G3314"/>
    <mergeCell ref="A3315:G3315"/>
    <mergeCell ref="A3309:N3309"/>
    <mergeCell ref="A3310:G3310"/>
    <mergeCell ref="I3310:J3310"/>
    <mergeCell ref="M3310:N3310"/>
    <mergeCell ref="A3311:G3311"/>
    <mergeCell ref="M3311:N3311"/>
    <mergeCell ref="M3312:N3312"/>
    <mergeCell ref="I3311:J3311"/>
    <mergeCell ref="I3312:J3312"/>
    <mergeCell ref="I3313:J3313"/>
    <mergeCell ref="M3313:N3313"/>
    <mergeCell ref="I3314:J3314"/>
    <mergeCell ref="M3314:N3314"/>
    <mergeCell ref="I3315:J3315"/>
    <mergeCell ref="K3324:L3324"/>
    <mergeCell ref="M3324:N3324"/>
    <mergeCell ref="A3326:G3326"/>
    <mergeCell ref="I3326:J3326"/>
    <mergeCell ref="K3326:L3326"/>
    <mergeCell ref="M3326:N3326"/>
    <mergeCell ref="I3327:J3327"/>
    <mergeCell ref="K3327:L3327"/>
    <mergeCell ref="M3327:N3327"/>
    <mergeCell ref="A3327:G3327"/>
    <mergeCell ref="A3328:G3328"/>
    <mergeCell ref="I3328:J3328"/>
    <mergeCell ref="K3328:L3328"/>
    <mergeCell ref="M3328:N3328"/>
    <mergeCell ref="A3329:G3329"/>
    <mergeCell ref="A3330:G3330"/>
    <mergeCell ref="I3324:J3324"/>
    <mergeCell ref="I3325:J3325"/>
    <mergeCell ref="K3325:L3325"/>
    <mergeCell ref="M3325:N3325"/>
    <mergeCell ref="M3315:N3315"/>
    <mergeCell ref="K3316:L3316"/>
    <mergeCell ref="M3316:N3316"/>
    <mergeCell ref="A3318:N3319"/>
    <mergeCell ref="A3323:N3323"/>
    <mergeCell ref="A3324:G3324"/>
    <mergeCell ref="A3325:G3325"/>
    <mergeCell ref="K3329:L3329"/>
    <mergeCell ref="M3329:N3329"/>
    <mergeCell ref="I3329:J3329"/>
    <mergeCell ref="I3330:J3330"/>
    <mergeCell ref="K3330:L3330"/>
    <mergeCell ref="M3330:N3330"/>
    <mergeCell ref="K3331:L3331"/>
    <mergeCell ref="M3331:N3331"/>
    <mergeCell ref="K3335:L3335"/>
    <mergeCell ref="M3335:N3335"/>
    <mergeCell ref="K3345:L3345"/>
    <mergeCell ref="M3345:N3345"/>
    <mergeCell ref="A3342:N3342"/>
    <mergeCell ref="A3343:G3343"/>
    <mergeCell ref="I3343:J3343"/>
    <mergeCell ref="K3343:L3343"/>
    <mergeCell ref="M3343:N3343"/>
    <mergeCell ref="A3344:G3344"/>
    <mergeCell ref="A3345:G3345"/>
    <mergeCell ref="I3347:J3347"/>
    <mergeCell ref="K3347:L3347"/>
    <mergeCell ref="I3344:J3344"/>
    <mergeCell ref="I3345:J3345"/>
    <mergeCell ref="A3346:G3346"/>
    <mergeCell ref="I3346:J3346"/>
    <mergeCell ref="K3346:L3346"/>
    <mergeCell ref="M3346:N3346"/>
    <mergeCell ref="M3347:N3347"/>
    <mergeCell ref="I3335:J3335"/>
    <mergeCell ref="I3336:J3336"/>
    <mergeCell ref="K3336:L3336"/>
    <mergeCell ref="M3336:N3336"/>
    <mergeCell ref="A3333:N3333"/>
    <mergeCell ref="A3334:G3334"/>
    <mergeCell ref="I3334:J3334"/>
    <mergeCell ref="K3334:L3334"/>
    <mergeCell ref="M3334:N3334"/>
    <mergeCell ref="A3335:G3335"/>
    <mergeCell ref="A3336:G3336"/>
    <mergeCell ref="A3337:G3337"/>
    <mergeCell ref="I3337:J3337"/>
    <mergeCell ref="K3337:L3337"/>
    <mergeCell ref="M3337:N3337"/>
    <mergeCell ref="I3338:J3338"/>
    <mergeCell ref="K3338:L3338"/>
    <mergeCell ref="M3338:N3338"/>
    <mergeCell ref="A3338:G3338"/>
    <mergeCell ref="A3339:G3339"/>
    <mergeCell ref="I3339:J3339"/>
    <mergeCell ref="K3339:L3339"/>
    <mergeCell ref="M3339:N3339"/>
    <mergeCell ref="K3340:L3340"/>
    <mergeCell ref="M3340:N3340"/>
    <mergeCell ref="K3344:L3344"/>
    <mergeCell ref="M3344:N3344"/>
    <mergeCell ref="A3347:G3347"/>
    <mergeCell ref="A3348:G3348"/>
    <mergeCell ref="I3348:J3348"/>
    <mergeCell ref="K3348:L3348"/>
    <mergeCell ref="M3348:N3348"/>
    <mergeCell ref="K3349:L3349"/>
    <mergeCell ref="M3349:N3349"/>
    <mergeCell ref="A3354:G3354"/>
    <mergeCell ref="A3355:G3355"/>
    <mergeCell ref="A3356:G3356"/>
    <mergeCell ref="A3357:G3357"/>
    <mergeCell ref="A3351:N3351"/>
    <mergeCell ref="A3352:G3352"/>
    <mergeCell ref="I3352:J3352"/>
    <mergeCell ref="M3352:N3352"/>
    <mergeCell ref="A3353:G3353"/>
    <mergeCell ref="M3353:N3353"/>
    <mergeCell ref="M3354:N3354"/>
    <mergeCell ref="I3353:J3353"/>
    <mergeCell ref="I3354:J3354"/>
    <mergeCell ref="I3355:J3355"/>
    <mergeCell ref="M3355:N3355"/>
    <mergeCell ref="I3356:J3356"/>
    <mergeCell ref="M3356:N3356"/>
    <mergeCell ref="I3357:J3357"/>
    <mergeCell ref="K3366:L3366"/>
    <mergeCell ref="M3366:N3366"/>
    <mergeCell ref="I3366:J3366"/>
    <mergeCell ref="I3367:J3367"/>
    <mergeCell ref="K3367:L3367"/>
    <mergeCell ref="M3367:N3367"/>
    <mergeCell ref="M3357:N3357"/>
    <mergeCell ref="K3358:L3358"/>
    <mergeCell ref="M3358:N3358"/>
    <mergeCell ref="A3360:N3361"/>
    <mergeCell ref="A3365:N3365"/>
    <mergeCell ref="A3366:G3366"/>
    <mergeCell ref="A3367:G3367"/>
    <mergeCell ref="M3390:N3390"/>
    <mergeCell ref="K3391:L3391"/>
    <mergeCell ref="M3391:N3391"/>
    <mergeCell ref="K3378:L3378"/>
    <mergeCell ref="M3378:N3378"/>
    <mergeCell ref="A3375:N3375"/>
    <mergeCell ref="A3376:G3376"/>
    <mergeCell ref="I3376:J3376"/>
    <mergeCell ref="K3376:L3376"/>
    <mergeCell ref="M3376:N3376"/>
    <mergeCell ref="A3377:G3377"/>
    <mergeCell ref="A3378:G3378"/>
    <mergeCell ref="I3380:J3380"/>
    <mergeCell ref="K3380:L3380"/>
    <mergeCell ref="I3377:J3377"/>
    <mergeCell ref="I3378:J3378"/>
    <mergeCell ref="A3379:G3379"/>
    <mergeCell ref="I3379:J3379"/>
    <mergeCell ref="K3379:L3379"/>
    <mergeCell ref="M3379:N3379"/>
    <mergeCell ref="M3380:N3380"/>
    <mergeCell ref="A3368:G3368"/>
    <mergeCell ref="I3368:J3368"/>
    <mergeCell ref="K3368:L3368"/>
    <mergeCell ref="M3368:N3368"/>
    <mergeCell ref="I3369:J3369"/>
    <mergeCell ref="K3369:L3369"/>
    <mergeCell ref="M3369:N3369"/>
    <mergeCell ref="K3371:L3371"/>
    <mergeCell ref="M3371:N3371"/>
    <mergeCell ref="I3371:J3371"/>
    <mergeCell ref="I3372:J3372"/>
    <mergeCell ref="K3372:L3372"/>
    <mergeCell ref="M3372:N3372"/>
    <mergeCell ref="K3373:L3373"/>
    <mergeCell ref="M3373:N3373"/>
    <mergeCell ref="A3369:G3369"/>
    <mergeCell ref="A3370:G3370"/>
    <mergeCell ref="I3370:J3370"/>
    <mergeCell ref="K3370:L3370"/>
    <mergeCell ref="M3370:N3370"/>
    <mergeCell ref="A3371:G3371"/>
    <mergeCell ref="A3372:G3372"/>
    <mergeCell ref="K3377:L3377"/>
    <mergeCell ref="M3377:N3377"/>
    <mergeCell ref="A3380:G3380"/>
    <mergeCell ref="M3422:N3422"/>
    <mergeCell ref="A3423:G3423"/>
    <mergeCell ref="I3423:J3423"/>
    <mergeCell ref="A3396:G3396"/>
    <mergeCell ref="A3397:G3397"/>
    <mergeCell ref="I3397:J3397"/>
    <mergeCell ref="M3397:N3397"/>
    <mergeCell ref="A3398:G3398"/>
    <mergeCell ref="M3398:N3398"/>
    <mergeCell ref="M3399:N3399"/>
    <mergeCell ref="I3408:J3408"/>
    <mergeCell ref="I3409:J3409"/>
    <mergeCell ref="K3409:L3409"/>
    <mergeCell ref="M3409:N3409"/>
    <mergeCell ref="A3399:G3399"/>
    <mergeCell ref="A3402:N3403"/>
    <mergeCell ref="A3407:N3407"/>
    <mergeCell ref="A3408:G3408"/>
    <mergeCell ref="K3408:L3408"/>
    <mergeCell ref="M3408:N3408"/>
    <mergeCell ref="A3409:G3409"/>
    <mergeCell ref="K3413:L3413"/>
    <mergeCell ref="M3413:N3413"/>
    <mergeCell ref="I3413:J3413"/>
    <mergeCell ref="I3414:J3414"/>
    <mergeCell ref="A3381:G3381"/>
    <mergeCell ref="I3381:J3381"/>
    <mergeCell ref="K3381:L3381"/>
    <mergeCell ref="M3381:N3381"/>
    <mergeCell ref="K3382:L3382"/>
    <mergeCell ref="M3382:N3382"/>
    <mergeCell ref="I3395:J3395"/>
    <mergeCell ref="I3396:J3396"/>
    <mergeCell ref="A3393:N3393"/>
    <mergeCell ref="A3394:G3394"/>
    <mergeCell ref="I3394:J3394"/>
    <mergeCell ref="M3394:N3394"/>
    <mergeCell ref="A3395:G3395"/>
    <mergeCell ref="M3395:N3395"/>
    <mergeCell ref="M3396:N3396"/>
    <mergeCell ref="K3386:L3386"/>
    <mergeCell ref="M3386:N3386"/>
    <mergeCell ref="I3386:J3386"/>
    <mergeCell ref="I3387:J3387"/>
    <mergeCell ref="K3387:L3387"/>
    <mergeCell ref="M3387:N3387"/>
    <mergeCell ref="A3384:N3384"/>
    <mergeCell ref="A3385:G3385"/>
    <mergeCell ref="I3385:J3385"/>
    <mergeCell ref="K3385:L3385"/>
    <mergeCell ref="M3385:N3385"/>
    <mergeCell ref="A3386:G3386"/>
    <mergeCell ref="A3387:G3387"/>
    <mergeCell ref="A3388:G3388"/>
    <mergeCell ref="I3388:J3388"/>
    <mergeCell ref="K3388:L3388"/>
    <mergeCell ref="M3388:N3388"/>
    <mergeCell ref="I3389:J3389"/>
    <mergeCell ref="K3389:L3389"/>
    <mergeCell ref="M3389:N3389"/>
    <mergeCell ref="A3389:G3389"/>
    <mergeCell ref="A3390:G3390"/>
    <mergeCell ref="I3390:J3390"/>
    <mergeCell ref="K3390:L3390"/>
    <mergeCell ref="I3429:J3429"/>
    <mergeCell ref="K3429:L3429"/>
    <mergeCell ref="M3429:N3429"/>
    <mergeCell ref="A3427:G3427"/>
    <mergeCell ref="I3427:J3427"/>
    <mergeCell ref="K3427:L3427"/>
    <mergeCell ref="M3427:N3427"/>
    <mergeCell ref="A3428:G3428"/>
    <mergeCell ref="A3429:G3429"/>
    <mergeCell ref="A3430:G3430"/>
    <mergeCell ref="I3430:J3430"/>
    <mergeCell ref="K3430:L3430"/>
    <mergeCell ref="M3430:N3430"/>
    <mergeCell ref="I3431:J3431"/>
    <mergeCell ref="K3431:L3431"/>
    <mergeCell ref="M3431:N3431"/>
    <mergeCell ref="A3431:G3431"/>
    <mergeCell ref="A3432:G3432"/>
    <mergeCell ref="I3398:J3398"/>
    <mergeCell ref="I3399:J3399"/>
    <mergeCell ref="K3400:L3400"/>
    <mergeCell ref="M3400:N3400"/>
    <mergeCell ref="A3410:G3410"/>
    <mergeCell ref="I3410:J3410"/>
    <mergeCell ref="K3410:L3410"/>
    <mergeCell ref="M3410:N3410"/>
    <mergeCell ref="I3411:J3411"/>
    <mergeCell ref="K3411:L3411"/>
    <mergeCell ref="M3411:N3411"/>
    <mergeCell ref="A3411:G3411"/>
    <mergeCell ref="A3412:G3412"/>
    <mergeCell ref="I3412:J3412"/>
    <mergeCell ref="K3412:L3412"/>
    <mergeCell ref="M3412:N3412"/>
    <mergeCell ref="A3413:G3413"/>
    <mergeCell ref="A3414:G3414"/>
    <mergeCell ref="K3418:L3418"/>
    <mergeCell ref="M3418:N3418"/>
    <mergeCell ref="I3418:J3418"/>
    <mergeCell ref="I3419:J3419"/>
    <mergeCell ref="K3419:L3419"/>
    <mergeCell ref="M3419:N3419"/>
    <mergeCell ref="K3414:L3414"/>
    <mergeCell ref="M3414:N3414"/>
    <mergeCell ref="K3415:L3415"/>
    <mergeCell ref="M3415:N3415"/>
    <mergeCell ref="A3417:N3417"/>
    <mergeCell ref="A3418:G3418"/>
    <mergeCell ref="A3419:G3419"/>
    <mergeCell ref="A3420:G3420"/>
    <mergeCell ref="I3420:J3420"/>
    <mergeCell ref="K3420:L3420"/>
    <mergeCell ref="M3420:N3420"/>
    <mergeCell ref="I3421:J3421"/>
    <mergeCell ref="K3421:L3421"/>
    <mergeCell ref="M3421:N3421"/>
    <mergeCell ref="K3423:L3423"/>
    <mergeCell ref="M3423:N3423"/>
    <mergeCell ref="K3424:L3424"/>
    <mergeCell ref="M3424:N3424"/>
    <mergeCell ref="A3421:G3421"/>
    <mergeCell ref="A3422:G3422"/>
    <mergeCell ref="I3422:J3422"/>
    <mergeCell ref="K3422:L3422"/>
    <mergeCell ref="I3438:J3438"/>
    <mergeCell ref="I3439:J3439"/>
    <mergeCell ref="M3439:N3439"/>
    <mergeCell ref="I3440:J3440"/>
    <mergeCell ref="M3440:N3440"/>
    <mergeCell ref="I3441:J3441"/>
    <mergeCell ref="I3450:J3450"/>
    <mergeCell ref="K3450:L3450"/>
    <mergeCell ref="I3451:J3451"/>
    <mergeCell ref="K3451:L3451"/>
    <mergeCell ref="M3451:N3451"/>
    <mergeCell ref="K3452:L3452"/>
    <mergeCell ref="M3452:N3452"/>
    <mergeCell ref="I3452:J3452"/>
    <mergeCell ref="I3453:J3453"/>
    <mergeCell ref="K3453:L3453"/>
    <mergeCell ref="M3453:N3453"/>
    <mergeCell ref="I3454:J3454"/>
    <mergeCell ref="K3454:L3454"/>
    <mergeCell ref="M3454:N3454"/>
    <mergeCell ref="A3435:N3435"/>
    <mergeCell ref="A3436:G3436"/>
    <mergeCell ref="I3436:J3436"/>
    <mergeCell ref="M3436:N3436"/>
    <mergeCell ref="A3437:G3437"/>
    <mergeCell ref="M3437:N3437"/>
    <mergeCell ref="M3438:N3438"/>
    <mergeCell ref="A3438:G3438"/>
    <mergeCell ref="A3439:G3439"/>
    <mergeCell ref="A3440:G3440"/>
    <mergeCell ref="A3441:G3441"/>
    <mergeCell ref="A3444:N3445"/>
    <mergeCell ref="A3449:N3449"/>
    <mergeCell ref="M3450:N3450"/>
    <mergeCell ref="A3426:N3426"/>
    <mergeCell ref="K3457:L3457"/>
    <mergeCell ref="A3461:G3461"/>
    <mergeCell ref="A3462:G3462"/>
    <mergeCell ref="A3463:G3463"/>
    <mergeCell ref="A3464:G3464"/>
    <mergeCell ref="A3465:G3465"/>
    <mergeCell ref="M3457:N3457"/>
    <mergeCell ref="A3459:N3459"/>
    <mergeCell ref="A3460:G3460"/>
    <mergeCell ref="I3460:J3460"/>
    <mergeCell ref="K3460:L3460"/>
    <mergeCell ref="M3460:N3460"/>
    <mergeCell ref="M3461:N3461"/>
    <mergeCell ref="I3461:J3461"/>
    <mergeCell ref="K3461:L3461"/>
    <mergeCell ref="I3462:J3462"/>
    <mergeCell ref="K3462:L3462"/>
    <mergeCell ref="M3462:N3462"/>
    <mergeCell ref="K3463:L3463"/>
    <mergeCell ref="M3463:N3463"/>
    <mergeCell ref="I3463:J3463"/>
    <mergeCell ref="I3464:J3464"/>
    <mergeCell ref="K3464:L3464"/>
    <mergeCell ref="M3464:N3464"/>
    <mergeCell ref="I3465:J3465"/>
    <mergeCell ref="K3465:L3465"/>
    <mergeCell ref="M3465:N3465"/>
    <mergeCell ref="I3469:J3469"/>
    <mergeCell ref="I3470:J3470"/>
    <mergeCell ref="K3470:L3470"/>
    <mergeCell ref="M3470:N3470"/>
    <mergeCell ref="K3466:L3466"/>
    <mergeCell ref="M3466:N3466"/>
    <mergeCell ref="A3468:N3468"/>
    <mergeCell ref="A3469:G3469"/>
    <mergeCell ref="K3469:L3469"/>
    <mergeCell ref="M3469:N3469"/>
    <mergeCell ref="A3470:G3470"/>
    <mergeCell ref="K3428:L3428"/>
    <mergeCell ref="M3428:N3428"/>
    <mergeCell ref="I3428:J3428"/>
    <mergeCell ref="I3432:J3432"/>
    <mergeCell ref="K3432:L3432"/>
    <mergeCell ref="M3432:N3432"/>
    <mergeCell ref="K3433:L3433"/>
    <mergeCell ref="M3433:N3433"/>
    <mergeCell ref="A3450:G3450"/>
    <mergeCell ref="A3451:G3451"/>
    <mergeCell ref="A3452:G3452"/>
    <mergeCell ref="A3453:G3453"/>
    <mergeCell ref="A3454:G3454"/>
    <mergeCell ref="A3455:G3455"/>
    <mergeCell ref="A3456:G3456"/>
    <mergeCell ref="I3455:J3455"/>
    <mergeCell ref="K3455:L3455"/>
    <mergeCell ref="M3455:N3455"/>
    <mergeCell ref="I3456:J3456"/>
    <mergeCell ref="K3456:L3456"/>
    <mergeCell ref="M3456:N3456"/>
    <mergeCell ref="M3441:N3441"/>
    <mergeCell ref="K3442:L3442"/>
    <mergeCell ref="M3442:N3442"/>
    <mergeCell ref="I3437:J3437"/>
    <mergeCell ref="A3471:G3471"/>
    <mergeCell ref="I3471:J3471"/>
    <mergeCell ref="K3471:L3471"/>
    <mergeCell ref="M3471:N3471"/>
    <mergeCell ref="I3472:J3472"/>
    <mergeCell ref="K3472:L3472"/>
    <mergeCell ref="M3472:N3472"/>
    <mergeCell ref="K3474:L3474"/>
    <mergeCell ref="M3474:N3474"/>
    <mergeCell ref="K3475:L3475"/>
    <mergeCell ref="M3475:N3475"/>
    <mergeCell ref="A3472:G3472"/>
    <mergeCell ref="A3473:G3473"/>
    <mergeCell ref="I3473:J3473"/>
    <mergeCell ref="K3473:L3473"/>
    <mergeCell ref="M3473:N3473"/>
    <mergeCell ref="A3474:G3474"/>
    <mergeCell ref="I3474:J3474"/>
    <mergeCell ref="A3480:G3480"/>
    <mergeCell ref="A3481:G3481"/>
    <mergeCell ref="A3482:G3482"/>
    <mergeCell ref="A3483:G3483"/>
    <mergeCell ref="A3477:N3477"/>
    <mergeCell ref="A3478:G3478"/>
    <mergeCell ref="I3478:J3478"/>
    <mergeCell ref="M3478:N3478"/>
    <mergeCell ref="A3479:G3479"/>
    <mergeCell ref="M3479:N3479"/>
    <mergeCell ref="M3480:N3480"/>
    <mergeCell ref="I3479:J3479"/>
    <mergeCell ref="I3480:J3480"/>
    <mergeCell ref="I3481:J3481"/>
    <mergeCell ref="M3481:N3481"/>
    <mergeCell ref="I3482:J3482"/>
    <mergeCell ref="M3482:N3482"/>
    <mergeCell ref="I3483:J3483"/>
    <mergeCell ref="K3492:L3492"/>
    <mergeCell ref="M3492:N3492"/>
    <mergeCell ref="A3494:G3494"/>
    <mergeCell ref="I3494:J3494"/>
    <mergeCell ref="K3494:L3494"/>
    <mergeCell ref="M3494:N3494"/>
    <mergeCell ref="I3495:J3495"/>
    <mergeCell ref="K3495:L3495"/>
    <mergeCell ref="M3495:N3495"/>
    <mergeCell ref="A3495:G3495"/>
    <mergeCell ref="A3496:G3496"/>
    <mergeCell ref="I3496:J3496"/>
    <mergeCell ref="K3496:L3496"/>
    <mergeCell ref="M3496:N3496"/>
    <mergeCell ref="A3497:G3497"/>
    <mergeCell ref="A3498:G3498"/>
    <mergeCell ref="I3492:J3492"/>
    <mergeCell ref="I3493:J3493"/>
    <mergeCell ref="K3493:L3493"/>
    <mergeCell ref="M3493:N3493"/>
    <mergeCell ref="M3483:N3483"/>
    <mergeCell ref="K3484:L3484"/>
    <mergeCell ref="M3484:N3484"/>
    <mergeCell ref="A3486:N3487"/>
    <mergeCell ref="A3491:N3491"/>
    <mergeCell ref="A3492:G3492"/>
    <mergeCell ref="A3493:G3493"/>
    <mergeCell ref="K3497:L3497"/>
    <mergeCell ref="M3497:N3497"/>
    <mergeCell ref="I3497:J3497"/>
    <mergeCell ref="I3498:J3498"/>
    <mergeCell ref="K3498:L3498"/>
    <mergeCell ref="M3498:N3498"/>
    <mergeCell ref="K3499:L3499"/>
    <mergeCell ref="M3499:N3499"/>
    <mergeCell ref="K3503:L3503"/>
    <mergeCell ref="M3503:N3503"/>
    <mergeCell ref="K3513:L3513"/>
    <mergeCell ref="M3513:N3513"/>
    <mergeCell ref="A3510:N3510"/>
    <mergeCell ref="A3511:G3511"/>
    <mergeCell ref="I3511:J3511"/>
    <mergeCell ref="K3511:L3511"/>
    <mergeCell ref="M3511:N3511"/>
    <mergeCell ref="A3512:G3512"/>
    <mergeCell ref="A3513:G3513"/>
    <mergeCell ref="I2891:J2891"/>
    <mergeCell ref="I2892:J2892"/>
    <mergeCell ref="A2889:N2889"/>
    <mergeCell ref="A2890:G2890"/>
    <mergeCell ref="I2890:J2890"/>
    <mergeCell ref="M2890:N2890"/>
    <mergeCell ref="A2891:G2891"/>
    <mergeCell ref="M2891:N2891"/>
    <mergeCell ref="M2892:N2892"/>
    <mergeCell ref="K2882:L2882"/>
    <mergeCell ref="M2882:N2882"/>
    <mergeCell ref="I2882:J2882"/>
    <mergeCell ref="I2883:J2883"/>
    <mergeCell ref="K2883:L2883"/>
    <mergeCell ref="M2883:N2883"/>
    <mergeCell ref="A2880:N2880"/>
    <mergeCell ref="A2881:G2881"/>
    <mergeCell ref="I2881:J2881"/>
    <mergeCell ref="K2881:L2881"/>
    <mergeCell ref="M2881:N2881"/>
    <mergeCell ref="A2882:G2882"/>
    <mergeCell ref="A2883:G2883"/>
    <mergeCell ref="A2884:G2884"/>
    <mergeCell ref="I2884:J2884"/>
    <mergeCell ref="K2884:L2884"/>
    <mergeCell ref="M2884:N2884"/>
    <mergeCell ref="I2885:J2885"/>
    <mergeCell ref="K2885:L2885"/>
    <mergeCell ref="M2885:N2885"/>
    <mergeCell ref="A2885:G2885"/>
    <mergeCell ref="A2886:G2886"/>
    <mergeCell ref="I2886:J2886"/>
    <mergeCell ref="K2886:L2886"/>
    <mergeCell ref="M2886:N2886"/>
    <mergeCell ref="K2887:L2887"/>
    <mergeCell ref="M2887:N2887"/>
    <mergeCell ref="I2894:J2894"/>
    <mergeCell ref="I2895:J2895"/>
    <mergeCell ref="K2896:L2896"/>
    <mergeCell ref="M2896:N2896"/>
    <mergeCell ref="A2906:G2906"/>
    <mergeCell ref="I2906:J2906"/>
    <mergeCell ref="K2906:L2906"/>
    <mergeCell ref="M2906:N2906"/>
    <mergeCell ref="I2907:J2907"/>
    <mergeCell ref="K2907:L2907"/>
    <mergeCell ref="M2907:N2907"/>
    <mergeCell ref="A2907:G2907"/>
    <mergeCell ref="A2908:G2908"/>
    <mergeCell ref="I2908:J2908"/>
    <mergeCell ref="K2908:L2908"/>
    <mergeCell ref="M2908:N2908"/>
    <mergeCell ref="A2909:G2909"/>
    <mergeCell ref="A2910:G2910"/>
    <mergeCell ref="A2892:G2892"/>
    <mergeCell ref="A2893:G2893"/>
    <mergeCell ref="I2893:J2893"/>
    <mergeCell ref="M2893:N2893"/>
    <mergeCell ref="A2894:G2894"/>
    <mergeCell ref="M2894:N2894"/>
    <mergeCell ref="M2895:N2895"/>
    <mergeCell ref="I2904:J2904"/>
    <mergeCell ref="I2905:J2905"/>
    <mergeCell ref="K2905:L2905"/>
    <mergeCell ref="M2905:N2905"/>
    <mergeCell ref="A2895:G2895"/>
    <mergeCell ref="A2898:N2899"/>
    <mergeCell ref="A2903:N2903"/>
    <mergeCell ref="A2904:G2904"/>
    <mergeCell ref="K2904:L2904"/>
    <mergeCell ref="M2904:N2904"/>
    <mergeCell ref="A2905:G2905"/>
    <mergeCell ref="K2909:L2909"/>
    <mergeCell ref="M2909:N2909"/>
    <mergeCell ref="I2909:J2909"/>
    <mergeCell ref="I2910:J2910"/>
    <mergeCell ref="K2914:L2914"/>
    <mergeCell ref="M2914:N2914"/>
    <mergeCell ref="I2914:J2914"/>
    <mergeCell ref="I2915:J2915"/>
    <mergeCell ref="K2915:L2915"/>
    <mergeCell ref="M2915:N2915"/>
    <mergeCell ref="K2910:L2910"/>
    <mergeCell ref="M2910:N2910"/>
    <mergeCell ref="K2911:L2911"/>
    <mergeCell ref="M2911:N2911"/>
    <mergeCell ref="A2913:N2913"/>
    <mergeCell ref="A2914:G2914"/>
    <mergeCell ref="A2915:G2915"/>
    <mergeCell ref="A2916:G2916"/>
    <mergeCell ref="I2916:J2916"/>
    <mergeCell ref="K2916:L2916"/>
    <mergeCell ref="M2916:N2916"/>
    <mergeCell ref="I2917:J2917"/>
    <mergeCell ref="K2917:L2917"/>
    <mergeCell ref="M2917:N2917"/>
    <mergeCell ref="K2919:L2919"/>
    <mergeCell ref="M2919:N2919"/>
    <mergeCell ref="K2920:L2920"/>
    <mergeCell ref="M2920:N2920"/>
    <mergeCell ref="A2917:G2917"/>
    <mergeCell ref="A2918:G2918"/>
    <mergeCell ref="I2918:J2918"/>
    <mergeCell ref="K2918:L2918"/>
    <mergeCell ref="M2918:N2918"/>
    <mergeCell ref="A2919:G2919"/>
    <mergeCell ref="I2919:J2919"/>
    <mergeCell ref="K2924:L2924"/>
    <mergeCell ref="M2924:N2924"/>
    <mergeCell ref="M2937:N2937"/>
    <mergeCell ref="K2938:L2938"/>
    <mergeCell ref="M2938:N2938"/>
    <mergeCell ref="I2933:J2933"/>
    <mergeCell ref="I2934:J2934"/>
    <mergeCell ref="I2935:J2935"/>
    <mergeCell ref="M2935:N2935"/>
    <mergeCell ref="I2936:J2936"/>
    <mergeCell ref="M2936:N2936"/>
    <mergeCell ref="I2937:J2937"/>
    <mergeCell ref="I2946:J2946"/>
    <mergeCell ref="K2946:L2946"/>
    <mergeCell ref="I2947:J2947"/>
    <mergeCell ref="K2947:L2947"/>
    <mergeCell ref="M2947:N2947"/>
    <mergeCell ref="K2948:L2948"/>
    <mergeCell ref="M2948:N2948"/>
    <mergeCell ref="I2948:J2948"/>
    <mergeCell ref="I2949:J2949"/>
    <mergeCell ref="K2949:L2949"/>
    <mergeCell ref="M2949:N2949"/>
    <mergeCell ref="I2950:J2950"/>
    <mergeCell ref="K2950:L2950"/>
    <mergeCell ref="M2950:N2950"/>
    <mergeCell ref="A2931:N2931"/>
    <mergeCell ref="A2932:G2932"/>
    <mergeCell ref="I2932:J2932"/>
    <mergeCell ref="M2932:N2932"/>
    <mergeCell ref="A2933:G2933"/>
    <mergeCell ref="M2933:N2933"/>
    <mergeCell ref="M2934:N2934"/>
    <mergeCell ref="A2934:G2934"/>
    <mergeCell ref="A2935:G2935"/>
    <mergeCell ref="A2936:G2936"/>
    <mergeCell ref="A2937:G2937"/>
    <mergeCell ref="A2940:N2941"/>
    <mergeCell ref="A2945:N2945"/>
    <mergeCell ref="M2946:N2946"/>
    <mergeCell ref="I2924:J2924"/>
    <mergeCell ref="I2925:J2925"/>
    <mergeCell ref="K2925:L2925"/>
    <mergeCell ref="M2925:N2925"/>
    <mergeCell ref="A2922:N2922"/>
    <mergeCell ref="A2923:G2923"/>
    <mergeCell ref="I2923:J2923"/>
    <mergeCell ref="K2923:L2923"/>
    <mergeCell ref="M2923:N2923"/>
    <mergeCell ref="A2924:G2924"/>
    <mergeCell ref="A2925:G2925"/>
    <mergeCell ref="A2926:G2926"/>
    <mergeCell ref="I2926:J2926"/>
    <mergeCell ref="K2926:L2926"/>
    <mergeCell ref="M2926:N2926"/>
    <mergeCell ref="I2927:J2927"/>
    <mergeCell ref="K2927:L2927"/>
    <mergeCell ref="M2927:N2927"/>
    <mergeCell ref="A2927:G2927"/>
    <mergeCell ref="A2928:G2928"/>
    <mergeCell ref="I2928:J2928"/>
    <mergeCell ref="K2928:L2928"/>
    <mergeCell ref="M2928:N2928"/>
    <mergeCell ref="K2929:L2929"/>
    <mergeCell ref="M2929:N2929"/>
    <mergeCell ref="A2946:G2946"/>
    <mergeCell ref="A2947:G2947"/>
    <mergeCell ref="A2948:G2948"/>
    <mergeCell ref="A2949:G2949"/>
    <mergeCell ref="A2950:G2950"/>
    <mergeCell ref="A2951:G2951"/>
    <mergeCell ref="A2952:G2952"/>
    <mergeCell ref="I2951:J2951"/>
    <mergeCell ref="K2951:L2951"/>
    <mergeCell ref="M2951:N2951"/>
    <mergeCell ref="I2952:J2952"/>
    <mergeCell ref="K2952:L2952"/>
    <mergeCell ref="M2952:N2952"/>
    <mergeCell ref="K2953:L2953"/>
    <mergeCell ref="A2957:G2957"/>
    <mergeCell ref="A2958:G2958"/>
    <mergeCell ref="A2959:G2959"/>
    <mergeCell ref="A2960:G2960"/>
    <mergeCell ref="A2961:G2961"/>
    <mergeCell ref="M2953:N2953"/>
    <mergeCell ref="A2955:N2955"/>
    <mergeCell ref="A2956:G2956"/>
    <mergeCell ref="I2956:J2956"/>
    <mergeCell ref="K2956:L2956"/>
    <mergeCell ref="M2956:N2956"/>
    <mergeCell ref="M2957:N2957"/>
    <mergeCell ref="I2957:J2957"/>
    <mergeCell ref="K2957:L2957"/>
    <mergeCell ref="I2958:J2958"/>
    <mergeCell ref="K2958:L2958"/>
    <mergeCell ref="M2958:N2958"/>
    <mergeCell ref="K2959:L2959"/>
    <mergeCell ref="M2959:N2959"/>
    <mergeCell ref="I2959:J2959"/>
    <mergeCell ref="I2960:J2960"/>
    <mergeCell ref="K2960:L2960"/>
    <mergeCell ref="M2960:N2960"/>
    <mergeCell ref="I2961:J2961"/>
    <mergeCell ref="K2961:L2961"/>
    <mergeCell ref="M2961:N2961"/>
    <mergeCell ref="I2965:J2965"/>
    <mergeCell ref="I2966:J2966"/>
    <mergeCell ref="K2966:L2966"/>
    <mergeCell ref="M2966:N2966"/>
    <mergeCell ref="K2962:L2962"/>
    <mergeCell ref="M2962:N2962"/>
    <mergeCell ref="A2964:N2964"/>
    <mergeCell ref="A2965:G2965"/>
    <mergeCell ref="K2965:L2965"/>
    <mergeCell ref="M2965:N2965"/>
    <mergeCell ref="A2966:G2966"/>
    <mergeCell ref="A2967:G2967"/>
    <mergeCell ref="I2967:J2967"/>
    <mergeCell ref="K2967:L2967"/>
    <mergeCell ref="M2967:N2967"/>
    <mergeCell ref="I2968:J2968"/>
    <mergeCell ref="K2968:L2968"/>
    <mergeCell ref="M2968:N2968"/>
    <mergeCell ref="K2970:L2970"/>
    <mergeCell ref="M2970:N2970"/>
    <mergeCell ref="K2971:L2971"/>
    <mergeCell ref="M2971:N2971"/>
    <mergeCell ref="A2968:G2968"/>
    <mergeCell ref="A2969:G2969"/>
    <mergeCell ref="I2969:J2969"/>
    <mergeCell ref="K2969:L2969"/>
    <mergeCell ref="M2969:N2969"/>
    <mergeCell ref="A2970:G2970"/>
    <mergeCell ref="I2970:J2970"/>
    <mergeCell ref="A2976:G2976"/>
    <mergeCell ref="A2977:G2977"/>
    <mergeCell ref="A2978:G2978"/>
    <mergeCell ref="A2979:G2979"/>
    <mergeCell ref="A2973:N2973"/>
    <mergeCell ref="A2974:G2974"/>
    <mergeCell ref="I2974:J2974"/>
    <mergeCell ref="M2974:N2974"/>
    <mergeCell ref="A2975:G2975"/>
    <mergeCell ref="M2975:N2975"/>
    <mergeCell ref="M2976:N2976"/>
    <mergeCell ref="I2975:J2975"/>
    <mergeCell ref="I2976:J2976"/>
    <mergeCell ref="I2977:J2977"/>
    <mergeCell ref="M2977:N2977"/>
    <mergeCell ref="I2978:J2978"/>
    <mergeCell ref="M2978:N2978"/>
    <mergeCell ref="I2979:J2979"/>
    <mergeCell ref="K2988:L2988"/>
    <mergeCell ref="M2988:N2988"/>
    <mergeCell ref="A2990:G2990"/>
    <mergeCell ref="I2990:J2990"/>
    <mergeCell ref="K2990:L2990"/>
    <mergeCell ref="M2990:N2990"/>
    <mergeCell ref="I2991:J2991"/>
    <mergeCell ref="K2991:L2991"/>
    <mergeCell ref="M2991:N2991"/>
    <mergeCell ref="A2991:G2991"/>
    <mergeCell ref="A2992:G2992"/>
    <mergeCell ref="I2992:J2992"/>
    <mergeCell ref="K2992:L2992"/>
    <mergeCell ref="M2992:N2992"/>
    <mergeCell ref="A2993:G2993"/>
    <mergeCell ref="A2994:G2994"/>
    <mergeCell ref="I2988:J2988"/>
    <mergeCell ref="I2989:J2989"/>
    <mergeCell ref="K2989:L2989"/>
    <mergeCell ref="M2989:N2989"/>
    <mergeCell ref="M2979:N2979"/>
    <mergeCell ref="K2980:L2980"/>
    <mergeCell ref="M2980:N2980"/>
    <mergeCell ref="A2982:N2983"/>
    <mergeCell ref="A2987:N2987"/>
    <mergeCell ref="A2988:G2988"/>
    <mergeCell ref="A2989:G2989"/>
    <mergeCell ref="K2993:L2993"/>
    <mergeCell ref="M2993:N2993"/>
    <mergeCell ref="I2993:J2993"/>
    <mergeCell ref="I2994:J2994"/>
    <mergeCell ref="K2994:L2994"/>
    <mergeCell ref="M2994:N2994"/>
    <mergeCell ref="K2995:L2995"/>
    <mergeCell ref="M2995:N2995"/>
    <mergeCell ref="K2999:L2999"/>
    <mergeCell ref="M2999:N2999"/>
    <mergeCell ref="K3009:L3009"/>
    <mergeCell ref="M3009:N3009"/>
    <mergeCell ref="A3006:N3006"/>
    <mergeCell ref="A3007:G3007"/>
    <mergeCell ref="I3007:J3007"/>
    <mergeCell ref="K3007:L3007"/>
    <mergeCell ref="M3007:N3007"/>
    <mergeCell ref="A3008:G3008"/>
    <mergeCell ref="A3009:G3009"/>
    <mergeCell ref="I3011:J3011"/>
    <mergeCell ref="K3011:L3011"/>
    <mergeCell ref="I3008:J3008"/>
    <mergeCell ref="I3009:J3009"/>
    <mergeCell ref="A3010:G3010"/>
    <mergeCell ref="I3010:J3010"/>
    <mergeCell ref="K3010:L3010"/>
    <mergeCell ref="M3010:N3010"/>
    <mergeCell ref="M3011:N3011"/>
    <mergeCell ref="I2999:J2999"/>
    <mergeCell ref="I3000:J3000"/>
    <mergeCell ref="K3000:L3000"/>
    <mergeCell ref="M3000:N3000"/>
    <mergeCell ref="A2997:N2997"/>
    <mergeCell ref="A2998:G2998"/>
    <mergeCell ref="I2998:J2998"/>
    <mergeCell ref="K2998:L2998"/>
    <mergeCell ref="M2998:N2998"/>
    <mergeCell ref="A2999:G2999"/>
    <mergeCell ref="A3000:G3000"/>
    <mergeCell ref="A3001:G3001"/>
    <mergeCell ref="I3001:J3001"/>
    <mergeCell ref="K3001:L3001"/>
    <mergeCell ref="M3001:N3001"/>
    <mergeCell ref="I3002:J3002"/>
    <mergeCell ref="K3002:L3002"/>
    <mergeCell ref="M3002:N3002"/>
    <mergeCell ref="A3002:G3002"/>
    <mergeCell ref="A3003:G3003"/>
    <mergeCell ref="I3003:J3003"/>
    <mergeCell ref="K3003:L3003"/>
    <mergeCell ref="M3003:N3003"/>
    <mergeCell ref="K3004:L3004"/>
    <mergeCell ref="M3004:N3004"/>
    <mergeCell ref="K3008:L3008"/>
    <mergeCell ref="M3008:N3008"/>
    <mergeCell ref="A3011:G3011"/>
    <mergeCell ref="A3012:G3012"/>
    <mergeCell ref="I3012:J3012"/>
    <mergeCell ref="K3012:L3012"/>
    <mergeCell ref="M3012:N3012"/>
    <mergeCell ref="K3013:L3013"/>
    <mergeCell ref="M3013:N3013"/>
    <mergeCell ref="A3018:G3018"/>
    <mergeCell ref="A3019:G3019"/>
    <mergeCell ref="A3020:G3020"/>
    <mergeCell ref="A3021:G3021"/>
    <mergeCell ref="A3015:N3015"/>
    <mergeCell ref="A3016:G3016"/>
    <mergeCell ref="I3016:J3016"/>
    <mergeCell ref="M3016:N3016"/>
    <mergeCell ref="A3017:G3017"/>
    <mergeCell ref="M3017:N3017"/>
    <mergeCell ref="M3018:N3018"/>
    <mergeCell ref="I3017:J3017"/>
    <mergeCell ref="I3018:J3018"/>
    <mergeCell ref="I3019:J3019"/>
    <mergeCell ref="M3019:N3019"/>
    <mergeCell ref="I3020:J3020"/>
    <mergeCell ref="M3020:N3020"/>
    <mergeCell ref="I3021:J3021"/>
    <mergeCell ref="K3030:L3030"/>
    <mergeCell ref="M3030:N3030"/>
    <mergeCell ref="I3030:J3030"/>
    <mergeCell ref="I3031:J3031"/>
    <mergeCell ref="K3031:L3031"/>
    <mergeCell ref="M3031:N3031"/>
    <mergeCell ref="M3021:N3021"/>
    <mergeCell ref="K3022:L3022"/>
    <mergeCell ref="M3022:N3022"/>
    <mergeCell ref="A3024:N3025"/>
    <mergeCell ref="A3029:N3029"/>
    <mergeCell ref="A3030:G3030"/>
    <mergeCell ref="A3031:G3031"/>
    <mergeCell ref="K3042:L3042"/>
    <mergeCell ref="M3042:N3042"/>
    <mergeCell ref="A3039:N3039"/>
    <mergeCell ref="A3040:G3040"/>
    <mergeCell ref="I3040:J3040"/>
    <mergeCell ref="K3040:L3040"/>
    <mergeCell ref="M3040:N3040"/>
    <mergeCell ref="A3041:G3041"/>
    <mergeCell ref="A3042:G3042"/>
    <mergeCell ref="I3044:J3044"/>
    <mergeCell ref="K3044:L3044"/>
    <mergeCell ref="I3041:J3041"/>
    <mergeCell ref="I3042:J3042"/>
    <mergeCell ref="A3043:G3043"/>
    <mergeCell ref="I3043:J3043"/>
    <mergeCell ref="K3043:L3043"/>
    <mergeCell ref="M3043:N3043"/>
    <mergeCell ref="M3044:N3044"/>
    <mergeCell ref="A3032:G3032"/>
    <mergeCell ref="I3032:J3032"/>
    <mergeCell ref="K3032:L3032"/>
    <mergeCell ref="M3032:N3032"/>
    <mergeCell ref="I3033:J3033"/>
    <mergeCell ref="K3033:L3033"/>
    <mergeCell ref="M3033:N3033"/>
    <mergeCell ref="K3035:L3035"/>
    <mergeCell ref="M3035:N3035"/>
    <mergeCell ref="I3035:J3035"/>
    <mergeCell ref="I3036:J3036"/>
    <mergeCell ref="K3036:L3036"/>
    <mergeCell ref="M3036:N3036"/>
    <mergeCell ref="K3037:L3037"/>
    <mergeCell ref="M3037:N3037"/>
    <mergeCell ref="A3033:G3033"/>
    <mergeCell ref="A3034:G3034"/>
    <mergeCell ref="I3034:J3034"/>
    <mergeCell ref="K3034:L3034"/>
    <mergeCell ref="M3034:N3034"/>
    <mergeCell ref="A3035:G3035"/>
    <mergeCell ref="A3036:G3036"/>
    <mergeCell ref="K3041:L3041"/>
    <mergeCell ref="M3041:N3041"/>
    <mergeCell ref="A3044:G3044"/>
    <mergeCell ref="A3108:N3109"/>
    <mergeCell ref="A3113:N3113"/>
    <mergeCell ref="M3114:N3114"/>
    <mergeCell ref="I3092:J3092"/>
    <mergeCell ref="I3093:J3093"/>
    <mergeCell ref="K3093:L3093"/>
    <mergeCell ref="M3093:N3093"/>
    <mergeCell ref="A3090:N3090"/>
    <mergeCell ref="A3091:G3091"/>
    <mergeCell ref="I3091:J3091"/>
    <mergeCell ref="K3091:L3091"/>
    <mergeCell ref="M3091:N3091"/>
    <mergeCell ref="A3092:G3092"/>
    <mergeCell ref="A3093:G3093"/>
    <mergeCell ref="A3094:G3094"/>
    <mergeCell ref="I3094:J3094"/>
    <mergeCell ref="K3094:L3094"/>
    <mergeCell ref="M3094:N3094"/>
    <mergeCell ref="I3095:J3095"/>
    <mergeCell ref="K3095:L3095"/>
    <mergeCell ref="M3095:N3095"/>
    <mergeCell ref="A3095:G3095"/>
    <mergeCell ref="A3096:G3096"/>
    <mergeCell ref="I3096:J3096"/>
    <mergeCell ref="K3096:L3096"/>
    <mergeCell ref="M3096:N3096"/>
    <mergeCell ref="K3097:L3097"/>
    <mergeCell ref="M3097:N3097"/>
    <mergeCell ref="A3114:G3114"/>
    <mergeCell ref="M3063:N3063"/>
    <mergeCell ref="I3072:J3072"/>
    <mergeCell ref="I3073:J3073"/>
    <mergeCell ref="K3073:L3073"/>
    <mergeCell ref="M3073:N3073"/>
    <mergeCell ref="A3063:G3063"/>
    <mergeCell ref="A3066:N3067"/>
    <mergeCell ref="A3071:N3071"/>
    <mergeCell ref="A3072:G3072"/>
    <mergeCell ref="I3075:J3075"/>
    <mergeCell ref="K3075:L3075"/>
    <mergeCell ref="M3075:N3075"/>
    <mergeCell ref="A3075:G3075"/>
    <mergeCell ref="A3076:G3076"/>
    <mergeCell ref="I3076:J3076"/>
    <mergeCell ref="K3076:L3076"/>
    <mergeCell ref="M3076:N3076"/>
    <mergeCell ref="A3077:G3077"/>
    <mergeCell ref="A3078:G3078"/>
    <mergeCell ref="A3074:G3074"/>
    <mergeCell ref="I3074:J3074"/>
    <mergeCell ref="K3074:L3074"/>
    <mergeCell ref="M3074:N3074"/>
    <mergeCell ref="M3083:N3083"/>
    <mergeCell ref="K3078:L3078"/>
    <mergeCell ref="M3078:N3078"/>
    <mergeCell ref="K3079:L3079"/>
    <mergeCell ref="M3079:N3079"/>
    <mergeCell ref="A3081:N3081"/>
    <mergeCell ref="A3082:G3082"/>
    <mergeCell ref="A3083:G3083"/>
    <mergeCell ref="A3084:G3084"/>
    <mergeCell ref="I3084:J3084"/>
    <mergeCell ref="K3084:L3084"/>
    <mergeCell ref="M3084:N3084"/>
    <mergeCell ref="A3060:G3060"/>
    <mergeCell ref="A3061:G3061"/>
    <mergeCell ref="I3061:J3061"/>
    <mergeCell ref="M3061:N3061"/>
    <mergeCell ref="A3062:G3062"/>
    <mergeCell ref="M3062:N3062"/>
    <mergeCell ref="K3072:L3072"/>
    <mergeCell ref="M3072:N3072"/>
    <mergeCell ref="A3073:G3073"/>
    <mergeCell ref="K3077:L3077"/>
    <mergeCell ref="M3077:N3077"/>
    <mergeCell ref="I3077:J3077"/>
    <mergeCell ref="I3078:J3078"/>
    <mergeCell ref="K3082:L3082"/>
    <mergeCell ref="M3082:N3082"/>
    <mergeCell ref="I3082:J3082"/>
    <mergeCell ref="I3083:J3083"/>
    <mergeCell ref="K3083:L3083"/>
    <mergeCell ref="A3045:G3045"/>
    <mergeCell ref="I3045:J3045"/>
    <mergeCell ref="K3045:L3045"/>
    <mergeCell ref="M3045:N3045"/>
    <mergeCell ref="K3046:L3046"/>
    <mergeCell ref="M3046:N3046"/>
    <mergeCell ref="I3059:J3059"/>
    <mergeCell ref="I3060:J3060"/>
    <mergeCell ref="A3057:N3057"/>
    <mergeCell ref="A3058:G3058"/>
    <mergeCell ref="I3058:J3058"/>
    <mergeCell ref="M3058:N3058"/>
    <mergeCell ref="A3059:G3059"/>
    <mergeCell ref="M3059:N3059"/>
    <mergeCell ref="M3060:N3060"/>
    <mergeCell ref="K3050:L3050"/>
    <mergeCell ref="M3050:N3050"/>
    <mergeCell ref="I3050:J3050"/>
    <mergeCell ref="I3051:J3051"/>
    <mergeCell ref="K3051:L3051"/>
    <mergeCell ref="M3051:N3051"/>
    <mergeCell ref="A3048:N3048"/>
    <mergeCell ref="A3049:G3049"/>
    <mergeCell ref="I3049:J3049"/>
    <mergeCell ref="K3049:L3049"/>
    <mergeCell ref="M3049:N3049"/>
    <mergeCell ref="A3050:G3050"/>
    <mergeCell ref="A3051:G3051"/>
    <mergeCell ref="A3052:G3052"/>
    <mergeCell ref="I3052:J3052"/>
    <mergeCell ref="K3052:L3052"/>
    <mergeCell ref="M3052:N3052"/>
    <mergeCell ref="I3053:J3053"/>
    <mergeCell ref="K3053:L3053"/>
    <mergeCell ref="M3053:N3053"/>
    <mergeCell ref="A3053:G3053"/>
    <mergeCell ref="A3054:G3054"/>
    <mergeCell ref="I3054:J3054"/>
    <mergeCell ref="K3054:L3054"/>
    <mergeCell ref="M3054:N3054"/>
    <mergeCell ref="K3055:L3055"/>
    <mergeCell ref="M3055:N3055"/>
    <mergeCell ref="I3062:J3062"/>
    <mergeCell ref="I3063:J3063"/>
    <mergeCell ref="K3064:L3064"/>
    <mergeCell ref="M3064:N3064"/>
    <mergeCell ref="I3085:J3085"/>
    <mergeCell ref="K3085:L3085"/>
    <mergeCell ref="M3085:N3085"/>
    <mergeCell ref="K3087:L3087"/>
    <mergeCell ref="M3087:N3087"/>
    <mergeCell ref="K3088:L3088"/>
    <mergeCell ref="M3088:N3088"/>
    <mergeCell ref="A3085:G3085"/>
    <mergeCell ref="A3086:G3086"/>
    <mergeCell ref="I3086:J3086"/>
    <mergeCell ref="K3086:L3086"/>
    <mergeCell ref="M3086:N3086"/>
    <mergeCell ref="A3087:G3087"/>
    <mergeCell ref="I3087:J3087"/>
    <mergeCell ref="K3092:L3092"/>
    <mergeCell ref="M3092:N3092"/>
    <mergeCell ref="M3105:N3105"/>
    <mergeCell ref="K3106:L3106"/>
    <mergeCell ref="M3106:N3106"/>
    <mergeCell ref="I3101:J3101"/>
    <mergeCell ref="I3102:J3102"/>
    <mergeCell ref="I3103:J3103"/>
    <mergeCell ref="M3103:N3103"/>
    <mergeCell ref="I3104:J3104"/>
    <mergeCell ref="M3104:N3104"/>
    <mergeCell ref="I3105:J3105"/>
    <mergeCell ref="A3099:N3099"/>
    <mergeCell ref="A3100:G3100"/>
    <mergeCell ref="I3100:J3100"/>
    <mergeCell ref="M3100:N3100"/>
    <mergeCell ref="A3101:G3101"/>
    <mergeCell ref="M3101:N3101"/>
    <mergeCell ref="M3102:N3102"/>
    <mergeCell ref="A3102:G3102"/>
    <mergeCell ref="A3103:G3103"/>
    <mergeCell ref="A3104:G3104"/>
    <mergeCell ref="A3105:G3105"/>
    <mergeCell ref="I3114:J3114"/>
    <mergeCell ref="K3114:L3114"/>
    <mergeCell ref="I3115:J3115"/>
    <mergeCell ref="K3115:L3115"/>
    <mergeCell ref="M3115:N3115"/>
    <mergeCell ref="K3116:L3116"/>
    <mergeCell ref="M3116:N3116"/>
    <mergeCell ref="I3116:J3116"/>
    <mergeCell ref="I3117:J3117"/>
    <mergeCell ref="K3117:L3117"/>
    <mergeCell ref="M3117:N3117"/>
    <mergeCell ref="I3118:J3118"/>
    <mergeCell ref="K3118:L3118"/>
    <mergeCell ref="M3118:N3118"/>
    <mergeCell ref="A3125:G3125"/>
    <mergeCell ref="A3126:G3126"/>
    <mergeCell ref="A3127:G3127"/>
    <mergeCell ref="A3128:G3128"/>
    <mergeCell ref="A3129:G3129"/>
    <mergeCell ref="M3121:N3121"/>
    <mergeCell ref="A3123:N3123"/>
    <mergeCell ref="A3124:G3124"/>
    <mergeCell ref="I3124:J3124"/>
    <mergeCell ref="K3124:L3124"/>
    <mergeCell ref="M3124:N3124"/>
    <mergeCell ref="M3125:N3125"/>
    <mergeCell ref="I3125:J3125"/>
    <mergeCell ref="K3125:L3125"/>
    <mergeCell ref="I3126:J3126"/>
    <mergeCell ref="K3126:L3126"/>
    <mergeCell ref="M3126:N3126"/>
    <mergeCell ref="K3127:L3127"/>
    <mergeCell ref="M3127:N3127"/>
    <mergeCell ref="I3127:J3127"/>
    <mergeCell ref="I3128:J3128"/>
    <mergeCell ref="K3128:L3128"/>
    <mergeCell ref="M3128:N3128"/>
    <mergeCell ref="I3129:J3129"/>
    <mergeCell ref="K3129:L3129"/>
    <mergeCell ref="M3129:N3129"/>
    <mergeCell ref="A3115:G3115"/>
    <mergeCell ref="A3116:G3116"/>
    <mergeCell ref="A3117:G3117"/>
    <mergeCell ref="A3118:G3118"/>
    <mergeCell ref="A3119:G3119"/>
    <mergeCell ref="A3120:G3120"/>
    <mergeCell ref="I3119:J3119"/>
    <mergeCell ref="K3119:L3119"/>
    <mergeCell ref="M3119:N3119"/>
    <mergeCell ref="I3120:J3120"/>
    <mergeCell ref="K3120:L3120"/>
    <mergeCell ref="M3120:N3120"/>
    <mergeCell ref="K3121:L3121"/>
    <mergeCell ref="I3133:J3133"/>
    <mergeCell ref="I3134:J3134"/>
    <mergeCell ref="K3134:L3134"/>
    <mergeCell ref="M3134:N3134"/>
    <mergeCell ref="K3130:L3130"/>
    <mergeCell ref="M3130:N3130"/>
    <mergeCell ref="A3132:N3132"/>
    <mergeCell ref="A3133:G3133"/>
    <mergeCell ref="K3133:L3133"/>
    <mergeCell ref="M3133:N3133"/>
    <mergeCell ref="A3134:G3134"/>
    <mergeCell ref="A3135:G3135"/>
    <mergeCell ref="I3135:J3135"/>
    <mergeCell ref="K3135:L3135"/>
    <mergeCell ref="M3135:N3135"/>
    <mergeCell ref="I3136:J3136"/>
    <mergeCell ref="K3136:L3136"/>
    <mergeCell ref="M3136:N3136"/>
    <mergeCell ref="K3138:L3138"/>
    <mergeCell ref="M3138:N3138"/>
    <mergeCell ref="K3139:L3139"/>
    <mergeCell ref="M3139:N3139"/>
    <mergeCell ref="A3136:G3136"/>
    <mergeCell ref="A3137:G3137"/>
    <mergeCell ref="I3137:J3137"/>
    <mergeCell ref="K3137:L3137"/>
    <mergeCell ref="M3137:N3137"/>
    <mergeCell ref="A3138:G3138"/>
    <mergeCell ref="I3138:J3138"/>
    <mergeCell ref="A3144:G3144"/>
    <mergeCell ref="A3145:G3145"/>
    <mergeCell ref="A3146:G3146"/>
    <mergeCell ref="A3147:G3147"/>
    <mergeCell ref="A3141:N3141"/>
    <mergeCell ref="A3142:G3142"/>
    <mergeCell ref="I3142:J3142"/>
    <mergeCell ref="M3142:N3142"/>
    <mergeCell ref="A3143:G3143"/>
    <mergeCell ref="M3143:N3143"/>
    <mergeCell ref="M3144:N3144"/>
    <mergeCell ref="I3143:J3143"/>
    <mergeCell ref="I3144:J3144"/>
    <mergeCell ref="I3145:J3145"/>
    <mergeCell ref="M3145:N3145"/>
    <mergeCell ref="I3146:J3146"/>
    <mergeCell ref="M3146:N3146"/>
    <mergeCell ref="I3147:J3147"/>
    <mergeCell ref="K3156:L3156"/>
    <mergeCell ref="M3156:N3156"/>
    <mergeCell ref="A3158:G3158"/>
    <mergeCell ref="I3158:J3158"/>
    <mergeCell ref="K3158:L3158"/>
    <mergeCell ref="M3158:N3158"/>
    <mergeCell ref="I3159:J3159"/>
    <mergeCell ref="K3159:L3159"/>
    <mergeCell ref="M3159:N3159"/>
    <mergeCell ref="A3159:G3159"/>
    <mergeCell ref="A3160:G3160"/>
    <mergeCell ref="I3160:J3160"/>
    <mergeCell ref="K3160:L3160"/>
    <mergeCell ref="M3160:N3160"/>
    <mergeCell ref="A3161:G3161"/>
    <mergeCell ref="A3162:G3162"/>
    <mergeCell ref="I3156:J3156"/>
    <mergeCell ref="I3157:J3157"/>
    <mergeCell ref="K3157:L3157"/>
    <mergeCell ref="M3157:N3157"/>
    <mergeCell ref="M3147:N3147"/>
    <mergeCell ref="K3148:L3148"/>
    <mergeCell ref="M3148:N3148"/>
    <mergeCell ref="A3150:N3151"/>
    <mergeCell ref="A3155:N3155"/>
    <mergeCell ref="A3156:G3156"/>
    <mergeCell ref="A3157:G3157"/>
    <mergeCell ref="K3161:L3161"/>
    <mergeCell ref="M3161:N3161"/>
    <mergeCell ref="I3161:J3161"/>
    <mergeCell ref="I3162:J3162"/>
    <mergeCell ref="K3162:L3162"/>
    <mergeCell ref="M3162:N3162"/>
    <mergeCell ref="K3163:L3163"/>
    <mergeCell ref="M3163:N3163"/>
    <mergeCell ref="K3167:L3167"/>
    <mergeCell ref="M3167:N3167"/>
    <mergeCell ref="K3177:L3177"/>
    <mergeCell ref="M3177:N3177"/>
    <mergeCell ref="A3174:N3174"/>
    <mergeCell ref="A3175:G3175"/>
    <mergeCell ref="I3175:J3175"/>
    <mergeCell ref="K3175:L3175"/>
    <mergeCell ref="M3175:N3175"/>
    <mergeCell ref="A3176:G3176"/>
    <mergeCell ref="A3177:G3177"/>
    <mergeCell ref="I3179:J3179"/>
    <mergeCell ref="K3179:L3179"/>
    <mergeCell ref="I3176:J3176"/>
    <mergeCell ref="I3177:J3177"/>
    <mergeCell ref="A3178:G3178"/>
    <mergeCell ref="I3178:J3178"/>
    <mergeCell ref="K3178:L3178"/>
    <mergeCell ref="M3178:N3178"/>
    <mergeCell ref="M3179:N3179"/>
    <mergeCell ref="I3167:J3167"/>
    <mergeCell ref="I3168:J3168"/>
    <mergeCell ref="K3168:L3168"/>
    <mergeCell ref="M3168:N3168"/>
    <mergeCell ref="A3165:N3165"/>
    <mergeCell ref="A3166:G3166"/>
    <mergeCell ref="I3166:J3166"/>
    <mergeCell ref="K3166:L3166"/>
    <mergeCell ref="M3166:N3166"/>
    <mergeCell ref="A3167:G3167"/>
    <mergeCell ref="A3168:G3168"/>
    <mergeCell ref="A3169:G3169"/>
    <mergeCell ref="I3169:J3169"/>
    <mergeCell ref="K3169:L3169"/>
    <mergeCell ref="M3169:N3169"/>
    <mergeCell ref="I3170:J3170"/>
    <mergeCell ref="K3170:L3170"/>
    <mergeCell ref="M3170:N3170"/>
    <mergeCell ref="A3170:G3170"/>
    <mergeCell ref="A3171:G3171"/>
    <mergeCell ref="I3171:J3171"/>
    <mergeCell ref="K3171:L3171"/>
    <mergeCell ref="M3171:N3171"/>
    <mergeCell ref="K3172:L3172"/>
    <mergeCell ref="M3172:N3172"/>
    <mergeCell ref="K3176:L3176"/>
    <mergeCell ref="M3176:N3176"/>
    <mergeCell ref="A3179:G3179"/>
    <mergeCell ref="A3180:G3180"/>
    <mergeCell ref="I3180:J3180"/>
    <mergeCell ref="K3180:L3180"/>
    <mergeCell ref="M3180:N3180"/>
    <mergeCell ref="K3181:L3181"/>
    <mergeCell ref="M3181:N3181"/>
    <mergeCell ref="A3186:G3186"/>
    <mergeCell ref="A3187:G3187"/>
    <mergeCell ref="A3188:G3188"/>
    <mergeCell ref="A3189:G3189"/>
    <mergeCell ref="A3183:N3183"/>
    <mergeCell ref="A3184:G3184"/>
    <mergeCell ref="I3184:J3184"/>
    <mergeCell ref="M3184:N3184"/>
    <mergeCell ref="A3185:G3185"/>
    <mergeCell ref="M3185:N3185"/>
    <mergeCell ref="M3186:N3186"/>
    <mergeCell ref="I3185:J3185"/>
    <mergeCell ref="I3186:J3186"/>
    <mergeCell ref="I3187:J3187"/>
    <mergeCell ref="M3187:N3187"/>
    <mergeCell ref="I3188:J3188"/>
    <mergeCell ref="M3188:N3188"/>
    <mergeCell ref="I3189:J3189"/>
    <mergeCell ref="K3198:L3198"/>
    <mergeCell ref="M3198:N3198"/>
    <mergeCell ref="I3198:J3198"/>
    <mergeCell ref="I3199:J3199"/>
    <mergeCell ref="K3199:L3199"/>
    <mergeCell ref="M3199:N3199"/>
    <mergeCell ref="M3189:N3189"/>
    <mergeCell ref="K3190:L3190"/>
    <mergeCell ref="M3190:N3190"/>
    <mergeCell ref="A3192:N3193"/>
    <mergeCell ref="A3197:N3197"/>
    <mergeCell ref="A3198:G3198"/>
    <mergeCell ref="A3199:G3199"/>
    <mergeCell ref="I3515:J3515"/>
    <mergeCell ref="K3515:L3515"/>
    <mergeCell ref="I3512:J3512"/>
    <mergeCell ref="I3513:J3513"/>
    <mergeCell ref="A3514:G3514"/>
    <mergeCell ref="I3514:J3514"/>
    <mergeCell ref="K3514:L3514"/>
    <mergeCell ref="M3514:N3514"/>
    <mergeCell ref="M3515:N3515"/>
    <mergeCell ref="I3503:J3503"/>
    <mergeCell ref="I3504:J3504"/>
    <mergeCell ref="K3504:L3504"/>
    <mergeCell ref="M3504:N3504"/>
    <mergeCell ref="A3501:N3501"/>
    <mergeCell ref="A3502:G3502"/>
    <mergeCell ref="I3502:J3502"/>
    <mergeCell ref="K3502:L3502"/>
    <mergeCell ref="M3502:N3502"/>
    <mergeCell ref="A3503:G3503"/>
    <mergeCell ref="A3504:G3504"/>
    <mergeCell ref="A3505:G3505"/>
    <mergeCell ref="I3505:J3505"/>
    <mergeCell ref="K3505:L3505"/>
    <mergeCell ref="M3505:N3505"/>
    <mergeCell ref="I3506:J3506"/>
    <mergeCell ref="K3506:L3506"/>
    <mergeCell ref="M3506:N3506"/>
    <mergeCell ref="A3506:G3506"/>
    <mergeCell ref="A3507:G3507"/>
    <mergeCell ref="I3507:J3507"/>
    <mergeCell ref="K3507:L3507"/>
    <mergeCell ref="M3507:N3507"/>
    <mergeCell ref="K3508:L3508"/>
    <mergeCell ref="M3508:N3508"/>
    <mergeCell ref="K3512:L3512"/>
    <mergeCell ref="M3512:N3512"/>
    <mergeCell ref="A3515:G3515"/>
    <mergeCell ref="A3516:G3516"/>
    <mergeCell ref="I3516:J3516"/>
    <mergeCell ref="K3516:L3516"/>
    <mergeCell ref="M3516:N3516"/>
    <mergeCell ref="K3517:L3517"/>
    <mergeCell ref="M3517:N3517"/>
    <mergeCell ref="A3522:G3522"/>
    <mergeCell ref="A3523:G3523"/>
    <mergeCell ref="A3524:G3524"/>
    <mergeCell ref="A3525:G3525"/>
    <mergeCell ref="A3519:N3519"/>
    <mergeCell ref="A3520:G3520"/>
    <mergeCell ref="I3520:J3520"/>
    <mergeCell ref="M3520:N3520"/>
    <mergeCell ref="A3521:G3521"/>
    <mergeCell ref="M3521:N3521"/>
    <mergeCell ref="M3522:N3522"/>
    <mergeCell ref="I3521:J3521"/>
    <mergeCell ref="I3522:J3522"/>
    <mergeCell ref="I3523:J3523"/>
    <mergeCell ref="M3523:N3523"/>
    <mergeCell ref="I3524:J3524"/>
    <mergeCell ref="M3524:N3524"/>
    <mergeCell ref="I3525:J3525"/>
    <mergeCell ref="K3534:L3534"/>
    <mergeCell ref="M3534:N3534"/>
    <mergeCell ref="I3534:J3534"/>
    <mergeCell ref="I3535:J3535"/>
    <mergeCell ref="K3535:L3535"/>
    <mergeCell ref="M3535:N3535"/>
    <mergeCell ref="M3525:N3525"/>
    <mergeCell ref="K3526:L3526"/>
    <mergeCell ref="M3526:N3526"/>
    <mergeCell ref="A3528:N3529"/>
    <mergeCell ref="A3533:N3533"/>
    <mergeCell ref="A3534:G3534"/>
    <mergeCell ref="A3535:G3535"/>
    <mergeCell ref="K3546:L3546"/>
    <mergeCell ref="M3546:N3546"/>
    <mergeCell ref="A3543:N3543"/>
    <mergeCell ref="A3544:G3544"/>
    <mergeCell ref="I3544:J3544"/>
    <mergeCell ref="K3544:L3544"/>
    <mergeCell ref="M3544:N3544"/>
    <mergeCell ref="A3545:G3545"/>
    <mergeCell ref="A3546:G3546"/>
    <mergeCell ref="I3548:J3548"/>
    <mergeCell ref="K3548:L3548"/>
    <mergeCell ref="I3545:J3545"/>
    <mergeCell ref="I3546:J3546"/>
    <mergeCell ref="A3547:G3547"/>
    <mergeCell ref="I3547:J3547"/>
    <mergeCell ref="K3547:L3547"/>
    <mergeCell ref="M3547:N3547"/>
    <mergeCell ref="M3548:N3548"/>
    <mergeCell ref="A3536:G3536"/>
    <mergeCell ref="I3536:J3536"/>
    <mergeCell ref="K3536:L3536"/>
    <mergeCell ref="M3536:N3536"/>
    <mergeCell ref="I3537:J3537"/>
    <mergeCell ref="K3537:L3537"/>
    <mergeCell ref="M3537:N3537"/>
    <mergeCell ref="K3539:L3539"/>
    <mergeCell ref="M3539:N3539"/>
    <mergeCell ref="I3539:J3539"/>
    <mergeCell ref="I3540:J3540"/>
    <mergeCell ref="K3540:L3540"/>
    <mergeCell ref="M3540:N3540"/>
    <mergeCell ref="K3541:L3541"/>
    <mergeCell ref="M3541:N3541"/>
    <mergeCell ref="A3537:G3537"/>
    <mergeCell ref="A3538:G3538"/>
    <mergeCell ref="I3538:J3538"/>
    <mergeCell ref="K3538:L3538"/>
    <mergeCell ref="M3538:N3538"/>
    <mergeCell ref="A3539:G3539"/>
    <mergeCell ref="A3540:G3540"/>
    <mergeCell ref="K3545:L3545"/>
    <mergeCell ref="M3545:N3545"/>
    <mergeCell ref="A3548:G3548"/>
    <mergeCell ref="A3612:N3613"/>
    <mergeCell ref="A3617:N3617"/>
    <mergeCell ref="M3618:N3618"/>
    <mergeCell ref="I3596:J3596"/>
    <mergeCell ref="I3597:J3597"/>
    <mergeCell ref="K3597:L3597"/>
    <mergeCell ref="M3597:N3597"/>
    <mergeCell ref="A3594:N3594"/>
    <mergeCell ref="A3595:G3595"/>
    <mergeCell ref="I3595:J3595"/>
    <mergeCell ref="K3595:L3595"/>
    <mergeCell ref="M3595:N3595"/>
    <mergeCell ref="A3596:G3596"/>
    <mergeCell ref="A3597:G3597"/>
    <mergeCell ref="A3598:G3598"/>
    <mergeCell ref="I3598:J3598"/>
    <mergeCell ref="K3598:L3598"/>
    <mergeCell ref="M3598:N3598"/>
    <mergeCell ref="I3599:J3599"/>
    <mergeCell ref="K3599:L3599"/>
    <mergeCell ref="M3599:N3599"/>
    <mergeCell ref="A3599:G3599"/>
    <mergeCell ref="A3600:G3600"/>
    <mergeCell ref="I3600:J3600"/>
    <mergeCell ref="K3600:L3600"/>
    <mergeCell ref="M3600:N3600"/>
    <mergeCell ref="K3601:L3601"/>
    <mergeCell ref="M3601:N3601"/>
    <mergeCell ref="A3618:G3618"/>
    <mergeCell ref="M3567:N3567"/>
    <mergeCell ref="I3576:J3576"/>
    <mergeCell ref="I3577:J3577"/>
    <mergeCell ref="K3577:L3577"/>
    <mergeCell ref="M3577:N3577"/>
    <mergeCell ref="A3567:G3567"/>
    <mergeCell ref="A3570:N3571"/>
    <mergeCell ref="A3575:N3575"/>
    <mergeCell ref="A3576:G3576"/>
    <mergeCell ref="I3579:J3579"/>
    <mergeCell ref="K3579:L3579"/>
    <mergeCell ref="M3579:N3579"/>
    <mergeCell ref="A3579:G3579"/>
    <mergeCell ref="A3580:G3580"/>
    <mergeCell ref="I3580:J3580"/>
    <mergeCell ref="K3580:L3580"/>
    <mergeCell ref="M3580:N3580"/>
    <mergeCell ref="A3581:G3581"/>
    <mergeCell ref="A3582:G3582"/>
    <mergeCell ref="A3578:G3578"/>
    <mergeCell ref="I3578:J3578"/>
    <mergeCell ref="K3578:L3578"/>
    <mergeCell ref="M3578:N3578"/>
    <mergeCell ref="M3587:N3587"/>
    <mergeCell ref="K3582:L3582"/>
    <mergeCell ref="M3582:N3582"/>
    <mergeCell ref="K3583:L3583"/>
    <mergeCell ref="M3583:N3583"/>
    <mergeCell ref="A3585:N3585"/>
    <mergeCell ref="A3586:G3586"/>
    <mergeCell ref="A3587:G3587"/>
    <mergeCell ref="A3588:G3588"/>
    <mergeCell ref="I3588:J3588"/>
    <mergeCell ref="K3588:L3588"/>
    <mergeCell ref="M3588:N3588"/>
    <mergeCell ref="A3564:G3564"/>
    <mergeCell ref="A3565:G3565"/>
    <mergeCell ref="I3565:J3565"/>
    <mergeCell ref="M3565:N3565"/>
    <mergeCell ref="A3566:G3566"/>
    <mergeCell ref="M3566:N3566"/>
    <mergeCell ref="K3576:L3576"/>
    <mergeCell ref="M3576:N3576"/>
    <mergeCell ref="A3577:G3577"/>
    <mergeCell ref="K3581:L3581"/>
    <mergeCell ref="M3581:N3581"/>
    <mergeCell ref="I3581:J3581"/>
    <mergeCell ref="I3582:J3582"/>
    <mergeCell ref="K3586:L3586"/>
    <mergeCell ref="M3586:N3586"/>
    <mergeCell ref="I3586:J3586"/>
    <mergeCell ref="I3587:J3587"/>
    <mergeCell ref="K3587:L3587"/>
    <mergeCell ref="A3549:G3549"/>
    <mergeCell ref="I3549:J3549"/>
    <mergeCell ref="K3549:L3549"/>
    <mergeCell ref="M3549:N3549"/>
    <mergeCell ref="K3550:L3550"/>
    <mergeCell ref="M3550:N3550"/>
    <mergeCell ref="I3563:J3563"/>
    <mergeCell ref="I3564:J3564"/>
    <mergeCell ref="A3561:N3561"/>
    <mergeCell ref="A3562:G3562"/>
    <mergeCell ref="I3562:J3562"/>
    <mergeCell ref="M3562:N3562"/>
    <mergeCell ref="A3563:G3563"/>
    <mergeCell ref="M3563:N3563"/>
    <mergeCell ref="M3564:N3564"/>
    <mergeCell ref="K3554:L3554"/>
    <mergeCell ref="M3554:N3554"/>
    <mergeCell ref="I3554:J3554"/>
    <mergeCell ref="I3555:J3555"/>
    <mergeCell ref="K3555:L3555"/>
    <mergeCell ref="M3555:N3555"/>
    <mergeCell ref="A3552:N3552"/>
    <mergeCell ref="A3553:G3553"/>
    <mergeCell ref="I3553:J3553"/>
    <mergeCell ref="K3553:L3553"/>
    <mergeCell ref="M3553:N3553"/>
    <mergeCell ref="A3554:G3554"/>
    <mergeCell ref="A3555:G3555"/>
    <mergeCell ref="A3556:G3556"/>
    <mergeCell ref="I3556:J3556"/>
    <mergeCell ref="K3556:L3556"/>
    <mergeCell ref="M3556:N3556"/>
    <mergeCell ref="I3557:J3557"/>
    <mergeCell ref="K3557:L3557"/>
    <mergeCell ref="M3557:N3557"/>
    <mergeCell ref="A3557:G3557"/>
    <mergeCell ref="A3558:G3558"/>
    <mergeCell ref="I3558:J3558"/>
    <mergeCell ref="K3558:L3558"/>
    <mergeCell ref="M3558:N3558"/>
    <mergeCell ref="K3559:L3559"/>
    <mergeCell ref="M3559:N3559"/>
    <mergeCell ref="I3566:J3566"/>
    <mergeCell ref="I3567:J3567"/>
    <mergeCell ref="K3568:L3568"/>
    <mergeCell ref="M3568:N3568"/>
    <mergeCell ref="I3589:J3589"/>
    <mergeCell ref="K3589:L3589"/>
    <mergeCell ref="M3589:N3589"/>
    <mergeCell ref="K3591:L3591"/>
    <mergeCell ref="M3591:N3591"/>
    <mergeCell ref="K3592:L3592"/>
    <mergeCell ref="M3592:N3592"/>
    <mergeCell ref="A3589:G3589"/>
    <mergeCell ref="A3590:G3590"/>
    <mergeCell ref="I3590:J3590"/>
    <mergeCell ref="K3590:L3590"/>
    <mergeCell ref="M3590:N3590"/>
    <mergeCell ref="A3591:G3591"/>
    <mergeCell ref="I3591:J3591"/>
    <mergeCell ref="K3596:L3596"/>
    <mergeCell ref="M3596:N3596"/>
    <mergeCell ref="M3609:N3609"/>
    <mergeCell ref="K3610:L3610"/>
    <mergeCell ref="M3610:N3610"/>
    <mergeCell ref="I3605:J3605"/>
    <mergeCell ref="I3606:J3606"/>
    <mergeCell ref="I3607:J3607"/>
    <mergeCell ref="M3607:N3607"/>
    <mergeCell ref="I3608:J3608"/>
    <mergeCell ref="M3608:N3608"/>
    <mergeCell ref="I3609:J3609"/>
    <mergeCell ref="A3603:N3603"/>
    <mergeCell ref="A3604:G3604"/>
    <mergeCell ref="I3604:J3604"/>
    <mergeCell ref="M3604:N3604"/>
    <mergeCell ref="A3605:G3605"/>
    <mergeCell ref="M3605:N3605"/>
    <mergeCell ref="M3606:N3606"/>
    <mergeCell ref="A3606:G3606"/>
    <mergeCell ref="A3607:G3607"/>
    <mergeCell ref="A3608:G3608"/>
    <mergeCell ref="A3609:G3609"/>
    <mergeCell ref="I3618:J3618"/>
    <mergeCell ref="K3618:L3618"/>
    <mergeCell ref="I3619:J3619"/>
    <mergeCell ref="K3619:L3619"/>
    <mergeCell ref="M3619:N3619"/>
    <mergeCell ref="K3620:L3620"/>
    <mergeCell ref="M3620:N3620"/>
    <mergeCell ref="I3620:J3620"/>
    <mergeCell ref="I3621:J3621"/>
    <mergeCell ref="K3621:L3621"/>
    <mergeCell ref="M3621:N3621"/>
    <mergeCell ref="I3622:J3622"/>
    <mergeCell ref="K3622:L3622"/>
    <mergeCell ref="M3622:N3622"/>
    <mergeCell ref="A3629:G3629"/>
    <mergeCell ref="A3630:G3630"/>
    <mergeCell ref="A3631:G3631"/>
    <mergeCell ref="A3632:G3632"/>
    <mergeCell ref="A3633:G3633"/>
    <mergeCell ref="M3625:N3625"/>
    <mergeCell ref="A3627:N3627"/>
    <mergeCell ref="A3628:G3628"/>
    <mergeCell ref="I3628:J3628"/>
    <mergeCell ref="K3628:L3628"/>
    <mergeCell ref="M3628:N3628"/>
    <mergeCell ref="M3629:N3629"/>
    <mergeCell ref="I3629:J3629"/>
    <mergeCell ref="K3629:L3629"/>
    <mergeCell ref="I3630:J3630"/>
    <mergeCell ref="K3630:L3630"/>
    <mergeCell ref="M3630:N3630"/>
    <mergeCell ref="K3631:L3631"/>
    <mergeCell ref="M3631:N3631"/>
    <mergeCell ref="I3631:J3631"/>
    <mergeCell ref="I3632:J3632"/>
    <mergeCell ref="K3632:L3632"/>
    <mergeCell ref="M3632:N3632"/>
    <mergeCell ref="I3633:J3633"/>
    <mergeCell ref="K3633:L3633"/>
    <mergeCell ref="M3633:N3633"/>
    <mergeCell ref="A3619:G3619"/>
    <mergeCell ref="A3620:G3620"/>
    <mergeCell ref="A3621:G3621"/>
    <mergeCell ref="A3622:G3622"/>
    <mergeCell ref="A3623:G3623"/>
    <mergeCell ref="A3624:G3624"/>
    <mergeCell ref="I3623:J3623"/>
    <mergeCell ref="K3623:L3623"/>
    <mergeCell ref="M3623:N3623"/>
    <mergeCell ref="I3624:J3624"/>
    <mergeCell ref="K3624:L3624"/>
    <mergeCell ref="M3624:N3624"/>
    <mergeCell ref="K3625:L3625"/>
    <mergeCell ref="I3637:J3637"/>
    <mergeCell ref="I3638:J3638"/>
    <mergeCell ref="K3638:L3638"/>
    <mergeCell ref="M3638:N3638"/>
    <mergeCell ref="K3634:L3634"/>
    <mergeCell ref="M3634:N3634"/>
    <mergeCell ref="A3636:N3636"/>
    <mergeCell ref="A3637:G3637"/>
    <mergeCell ref="K3637:L3637"/>
    <mergeCell ref="M3637:N3637"/>
    <mergeCell ref="A3638:G3638"/>
    <mergeCell ref="A3639:G3639"/>
    <mergeCell ref="I3639:J3639"/>
    <mergeCell ref="K3639:L3639"/>
    <mergeCell ref="M3639:N3639"/>
    <mergeCell ref="I3640:J3640"/>
    <mergeCell ref="K3640:L3640"/>
    <mergeCell ref="M3640:N3640"/>
    <mergeCell ref="K3642:L3642"/>
    <mergeCell ref="M3642:N3642"/>
    <mergeCell ref="K3643:L3643"/>
    <mergeCell ref="M3643:N3643"/>
    <mergeCell ref="A3640:G3640"/>
    <mergeCell ref="A3641:G3641"/>
    <mergeCell ref="I3641:J3641"/>
    <mergeCell ref="K3641:L3641"/>
    <mergeCell ref="M3641:N3641"/>
    <mergeCell ref="A3642:G3642"/>
    <mergeCell ref="I3642:J3642"/>
    <mergeCell ref="A3648:G3648"/>
    <mergeCell ref="A3649:G3649"/>
    <mergeCell ref="A3650:G3650"/>
    <mergeCell ref="A3651:G3651"/>
    <mergeCell ref="A3645:N3645"/>
    <mergeCell ref="A3646:G3646"/>
    <mergeCell ref="I3646:J3646"/>
    <mergeCell ref="M3646:N3646"/>
    <mergeCell ref="A3647:G3647"/>
    <mergeCell ref="M3647:N3647"/>
    <mergeCell ref="M3648:N3648"/>
    <mergeCell ref="I3647:J3647"/>
    <mergeCell ref="I3648:J3648"/>
    <mergeCell ref="I3649:J3649"/>
    <mergeCell ref="M3649:N3649"/>
    <mergeCell ref="I3650:J3650"/>
    <mergeCell ref="M3650:N3650"/>
    <mergeCell ref="I3651:J3651"/>
    <mergeCell ref="K3660:L3660"/>
    <mergeCell ref="M3660:N3660"/>
    <mergeCell ref="A3662:G3662"/>
    <mergeCell ref="I3662:J3662"/>
    <mergeCell ref="K3662:L3662"/>
    <mergeCell ref="M3662:N3662"/>
    <mergeCell ref="I3663:J3663"/>
    <mergeCell ref="K3663:L3663"/>
    <mergeCell ref="M3663:N3663"/>
    <mergeCell ref="A3663:G3663"/>
    <mergeCell ref="A3664:G3664"/>
    <mergeCell ref="I3664:J3664"/>
    <mergeCell ref="K3664:L3664"/>
    <mergeCell ref="M3664:N3664"/>
    <mergeCell ref="A3665:G3665"/>
    <mergeCell ref="A3666:G3666"/>
    <mergeCell ref="I3660:J3660"/>
    <mergeCell ref="I3661:J3661"/>
    <mergeCell ref="K3661:L3661"/>
    <mergeCell ref="M3661:N3661"/>
    <mergeCell ref="M3651:N3651"/>
    <mergeCell ref="K3652:L3652"/>
    <mergeCell ref="M3652:N3652"/>
    <mergeCell ref="A3654:N3655"/>
    <mergeCell ref="A3659:N3659"/>
    <mergeCell ref="A3660:G3660"/>
    <mergeCell ref="A3661:G3661"/>
    <mergeCell ref="K3665:L3665"/>
    <mergeCell ref="M3665:N3665"/>
    <mergeCell ref="I3665:J3665"/>
    <mergeCell ref="I3666:J3666"/>
    <mergeCell ref="K3666:L3666"/>
    <mergeCell ref="M3666:N3666"/>
    <mergeCell ref="K3667:L3667"/>
    <mergeCell ref="M3667:N3667"/>
    <mergeCell ref="K3671:L3671"/>
    <mergeCell ref="M3671:N3671"/>
    <mergeCell ref="K3681:L3681"/>
    <mergeCell ref="M3681:N3681"/>
    <mergeCell ref="A3678:N3678"/>
    <mergeCell ref="A3679:G3679"/>
    <mergeCell ref="I3679:J3679"/>
    <mergeCell ref="K3679:L3679"/>
    <mergeCell ref="M3679:N3679"/>
    <mergeCell ref="A3680:G3680"/>
    <mergeCell ref="A3681:G3681"/>
    <mergeCell ref="I3683:J3683"/>
    <mergeCell ref="K3683:L3683"/>
    <mergeCell ref="I3680:J3680"/>
    <mergeCell ref="I3681:J3681"/>
    <mergeCell ref="A3682:G3682"/>
    <mergeCell ref="I3682:J3682"/>
    <mergeCell ref="K3682:L3682"/>
    <mergeCell ref="M3682:N3682"/>
    <mergeCell ref="M3683:N3683"/>
    <mergeCell ref="I3671:J3671"/>
    <mergeCell ref="I3672:J3672"/>
    <mergeCell ref="K3672:L3672"/>
    <mergeCell ref="M3672:N3672"/>
    <mergeCell ref="A3669:N3669"/>
    <mergeCell ref="A3670:G3670"/>
    <mergeCell ref="I3670:J3670"/>
    <mergeCell ref="K3670:L3670"/>
    <mergeCell ref="M3670:N3670"/>
    <mergeCell ref="A3671:G3671"/>
    <mergeCell ref="A3672:G3672"/>
    <mergeCell ref="A3673:G3673"/>
    <mergeCell ref="I3673:J3673"/>
    <mergeCell ref="K3673:L3673"/>
    <mergeCell ref="M3673:N3673"/>
    <mergeCell ref="I3674:J3674"/>
    <mergeCell ref="K3674:L3674"/>
    <mergeCell ref="M3674:N3674"/>
    <mergeCell ref="A3674:G3674"/>
    <mergeCell ref="A3675:G3675"/>
    <mergeCell ref="I3675:J3675"/>
    <mergeCell ref="K3675:L3675"/>
    <mergeCell ref="M3675:N3675"/>
    <mergeCell ref="K3676:L3676"/>
    <mergeCell ref="M3676:N3676"/>
    <mergeCell ref="K3680:L3680"/>
    <mergeCell ref="M3680:N3680"/>
    <mergeCell ref="A3683:G3683"/>
    <mergeCell ref="A3684:G3684"/>
    <mergeCell ref="I3684:J3684"/>
    <mergeCell ref="K3684:L3684"/>
    <mergeCell ref="M3684:N3684"/>
    <mergeCell ref="K3685:L3685"/>
    <mergeCell ref="M3685:N3685"/>
    <mergeCell ref="A3690:G3690"/>
    <mergeCell ref="A3691:G3691"/>
    <mergeCell ref="A3692:G3692"/>
    <mergeCell ref="A3693:G3693"/>
    <mergeCell ref="A3687:N3687"/>
    <mergeCell ref="A3688:G3688"/>
    <mergeCell ref="I3688:J3688"/>
    <mergeCell ref="M3688:N3688"/>
    <mergeCell ref="A3689:G3689"/>
    <mergeCell ref="M3689:N3689"/>
    <mergeCell ref="M3690:N3690"/>
    <mergeCell ref="I3689:J3689"/>
    <mergeCell ref="I3690:J3690"/>
    <mergeCell ref="I3691:J3691"/>
    <mergeCell ref="M3691:N3691"/>
    <mergeCell ref="I3692:J3692"/>
    <mergeCell ref="M3692:N3692"/>
    <mergeCell ref="I3693:J3693"/>
    <mergeCell ref="K3702:L3702"/>
    <mergeCell ref="M3702:N3702"/>
    <mergeCell ref="I3702:J3702"/>
    <mergeCell ref="I3703:J3703"/>
    <mergeCell ref="K3703:L3703"/>
    <mergeCell ref="M3703:N3703"/>
    <mergeCell ref="M3693:N3693"/>
    <mergeCell ref="K3694:L3694"/>
    <mergeCell ref="M3694:N3694"/>
    <mergeCell ref="A3696:N3697"/>
    <mergeCell ref="A3701:N3701"/>
    <mergeCell ref="A3702:G3702"/>
    <mergeCell ref="A3703:G3703"/>
    <mergeCell ref="A3733:G3733"/>
    <mergeCell ref="I3733:J3733"/>
    <mergeCell ref="M3733:N3733"/>
    <mergeCell ref="A3734:G3734"/>
    <mergeCell ref="M3734:N3734"/>
    <mergeCell ref="M3735:N3735"/>
    <mergeCell ref="I3744:J3744"/>
    <mergeCell ref="I3745:J3745"/>
    <mergeCell ref="K3745:L3745"/>
    <mergeCell ref="M3745:N3745"/>
    <mergeCell ref="A3735:G3735"/>
    <mergeCell ref="A3738:N3739"/>
    <mergeCell ref="A3743:N3743"/>
    <mergeCell ref="A3744:G3744"/>
    <mergeCell ref="K3744:L3744"/>
    <mergeCell ref="M3744:N3744"/>
    <mergeCell ref="A3745:G3745"/>
    <mergeCell ref="K3749:L3749"/>
    <mergeCell ref="M3749:N3749"/>
    <mergeCell ref="I3749:J3749"/>
    <mergeCell ref="I3750:J3750"/>
    <mergeCell ref="K3754:L3754"/>
    <mergeCell ref="M3754:N3754"/>
    <mergeCell ref="I3754:J3754"/>
    <mergeCell ref="I3755:J3755"/>
    <mergeCell ref="K3755:L3755"/>
    <mergeCell ref="M3755:N3755"/>
    <mergeCell ref="K3750:L3750"/>
    <mergeCell ref="M3750:N3750"/>
    <mergeCell ref="K3751:L3751"/>
    <mergeCell ref="M3751:N3751"/>
    <mergeCell ref="A3753:N3753"/>
    <mergeCell ref="A3754:G3754"/>
    <mergeCell ref="A3755:G3755"/>
    <mergeCell ref="A3725:G3725"/>
    <mergeCell ref="A3726:G3726"/>
    <mergeCell ref="I3726:J3726"/>
    <mergeCell ref="K3726:L3726"/>
    <mergeCell ref="A3756:G3756"/>
    <mergeCell ref="I3756:J3756"/>
    <mergeCell ref="K3756:L3756"/>
    <mergeCell ref="M3756:N3756"/>
    <mergeCell ref="I3757:J3757"/>
    <mergeCell ref="K3757:L3757"/>
    <mergeCell ref="M3757:N3757"/>
    <mergeCell ref="K3759:L3759"/>
    <mergeCell ref="M3759:N3759"/>
    <mergeCell ref="K3760:L3760"/>
    <mergeCell ref="M3760:N3760"/>
    <mergeCell ref="A3757:G3757"/>
    <mergeCell ref="A3758:G3758"/>
    <mergeCell ref="I3758:J3758"/>
    <mergeCell ref="K3758:L3758"/>
    <mergeCell ref="M3758:N3758"/>
    <mergeCell ref="A3759:G3759"/>
    <mergeCell ref="I3759:J3759"/>
    <mergeCell ref="K3764:L3764"/>
    <mergeCell ref="M3764:N3764"/>
    <mergeCell ref="K3714:L3714"/>
    <mergeCell ref="M3714:N3714"/>
    <mergeCell ref="A3711:N3711"/>
    <mergeCell ref="A3712:G3712"/>
    <mergeCell ref="I3712:J3712"/>
    <mergeCell ref="K3712:L3712"/>
    <mergeCell ref="M3712:N3712"/>
    <mergeCell ref="A3713:G3713"/>
    <mergeCell ref="A3714:G3714"/>
    <mergeCell ref="I3716:J3716"/>
    <mergeCell ref="K3716:L3716"/>
    <mergeCell ref="I3713:J3713"/>
    <mergeCell ref="I3714:J3714"/>
    <mergeCell ref="A3715:G3715"/>
    <mergeCell ref="I3715:J3715"/>
    <mergeCell ref="K3715:L3715"/>
    <mergeCell ref="M3715:N3715"/>
    <mergeCell ref="M3716:N3716"/>
    <mergeCell ref="M3726:N3726"/>
    <mergeCell ref="K3727:L3727"/>
    <mergeCell ref="M3727:N3727"/>
    <mergeCell ref="I3734:J3734"/>
    <mergeCell ref="I3735:J3735"/>
    <mergeCell ref="K3736:L3736"/>
    <mergeCell ref="M3736:N3736"/>
    <mergeCell ref="A3746:G3746"/>
    <mergeCell ref="I3746:J3746"/>
    <mergeCell ref="K3746:L3746"/>
    <mergeCell ref="M3746:N3746"/>
    <mergeCell ref="I3747:J3747"/>
    <mergeCell ref="K3747:L3747"/>
    <mergeCell ref="M3747:N3747"/>
    <mergeCell ref="A3747:G3747"/>
    <mergeCell ref="A3748:G3748"/>
    <mergeCell ref="I3748:J3748"/>
    <mergeCell ref="K3748:L3748"/>
    <mergeCell ref="M3748:N3748"/>
    <mergeCell ref="A3749:G3749"/>
    <mergeCell ref="A3750:G3750"/>
    <mergeCell ref="A3732:G3732"/>
    <mergeCell ref="I3788:J3788"/>
    <mergeCell ref="I3789:J3789"/>
    <mergeCell ref="K3789:L3789"/>
    <mergeCell ref="M3789:N3789"/>
    <mergeCell ref="A3704:G3704"/>
    <mergeCell ref="I3704:J3704"/>
    <mergeCell ref="K3704:L3704"/>
    <mergeCell ref="M3704:N3704"/>
    <mergeCell ref="I3705:J3705"/>
    <mergeCell ref="K3705:L3705"/>
    <mergeCell ref="M3705:N3705"/>
    <mergeCell ref="K3707:L3707"/>
    <mergeCell ref="M3707:N3707"/>
    <mergeCell ref="I3707:J3707"/>
    <mergeCell ref="I3708:J3708"/>
    <mergeCell ref="K3708:L3708"/>
    <mergeCell ref="M3708:N3708"/>
    <mergeCell ref="K3709:L3709"/>
    <mergeCell ref="M3709:N3709"/>
    <mergeCell ref="A3705:G3705"/>
    <mergeCell ref="A3706:G3706"/>
    <mergeCell ref="I3706:J3706"/>
    <mergeCell ref="K3706:L3706"/>
    <mergeCell ref="M3706:N3706"/>
    <mergeCell ref="A3707:G3707"/>
    <mergeCell ref="A3708:G3708"/>
    <mergeCell ref="K3713:L3713"/>
    <mergeCell ref="M3713:N3713"/>
    <mergeCell ref="A3716:G3716"/>
    <mergeCell ref="A3717:G3717"/>
    <mergeCell ref="I3717:J3717"/>
    <mergeCell ref="K3717:L3717"/>
    <mergeCell ref="M3717:N3717"/>
    <mergeCell ref="K3718:L3718"/>
    <mergeCell ref="M3718:N3718"/>
    <mergeCell ref="I3731:J3731"/>
    <mergeCell ref="I3732:J3732"/>
    <mergeCell ref="A3729:N3729"/>
    <mergeCell ref="A3730:G3730"/>
    <mergeCell ref="I3730:J3730"/>
    <mergeCell ref="M3730:N3730"/>
    <mergeCell ref="A3731:G3731"/>
    <mergeCell ref="M3731:N3731"/>
    <mergeCell ref="M3732:N3732"/>
    <mergeCell ref="K3722:L3722"/>
    <mergeCell ref="M3722:N3722"/>
    <mergeCell ref="I3722:J3722"/>
    <mergeCell ref="I3723:J3723"/>
    <mergeCell ref="K3723:L3723"/>
    <mergeCell ref="M3723:N3723"/>
    <mergeCell ref="A3720:N3720"/>
    <mergeCell ref="A3721:G3721"/>
    <mergeCell ref="I3721:J3721"/>
    <mergeCell ref="K3721:L3721"/>
    <mergeCell ref="M3721:N3721"/>
    <mergeCell ref="A3722:G3722"/>
    <mergeCell ref="A3723:G3723"/>
    <mergeCell ref="A3724:G3724"/>
    <mergeCell ref="I3724:J3724"/>
    <mergeCell ref="K3724:L3724"/>
    <mergeCell ref="M3724:N3724"/>
    <mergeCell ref="I3725:J3725"/>
    <mergeCell ref="K3725:L3725"/>
    <mergeCell ref="M3725:N3725"/>
    <mergeCell ref="I3790:J3790"/>
    <mergeCell ref="K3790:L3790"/>
    <mergeCell ref="M3790:N3790"/>
    <mergeCell ref="I3764:J3764"/>
    <mergeCell ref="I3765:J3765"/>
    <mergeCell ref="K3765:L3765"/>
    <mergeCell ref="M3765:N3765"/>
    <mergeCell ref="A3762:N3762"/>
    <mergeCell ref="A3763:G3763"/>
    <mergeCell ref="I3763:J3763"/>
    <mergeCell ref="K3763:L3763"/>
    <mergeCell ref="M3763:N3763"/>
    <mergeCell ref="A3764:G3764"/>
    <mergeCell ref="A3765:G3765"/>
    <mergeCell ref="A3766:G3766"/>
    <mergeCell ref="I3766:J3766"/>
    <mergeCell ref="K3766:L3766"/>
    <mergeCell ref="M3766:N3766"/>
    <mergeCell ref="I3767:J3767"/>
    <mergeCell ref="K3767:L3767"/>
    <mergeCell ref="M3767:N3767"/>
    <mergeCell ref="A3767:G3767"/>
    <mergeCell ref="A3768:G3768"/>
    <mergeCell ref="I3768:J3768"/>
    <mergeCell ref="K3768:L3768"/>
    <mergeCell ref="M3768:N3768"/>
    <mergeCell ref="K3769:L3769"/>
    <mergeCell ref="M3769:N3769"/>
    <mergeCell ref="A3786:G3786"/>
    <mergeCell ref="A3787:G3787"/>
    <mergeCell ref="A3788:G3788"/>
    <mergeCell ref="A3789:G3789"/>
    <mergeCell ref="A3790:G3790"/>
    <mergeCell ref="M3777:N3777"/>
    <mergeCell ref="K3778:L3778"/>
    <mergeCell ref="M3778:N3778"/>
    <mergeCell ref="I3773:J3773"/>
    <mergeCell ref="I3774:J3774"/>
    <mergeCell ref="I3775:J3775"/>
    <mergeCell ref="M3775:N3775"/>
    <mergeCell ref="I3776:J3776"/>
    <mergeCell ref="M3776:N3776"/>
    <mergeCell ref="I3777:J3777"/>
    <mergeCell ref="A3771:N3771"/>
    <mergeCell ref="A3772:G3772"/>
    <mergeCell ref="I3772:J3772"/>
    <mergeCell ref="M3772:N3772"/>
    <mergeCell ref="A3773:G3773"/>
    <mergeCell ref="M3773:N3773"/>
    <mergeCell ref="M3774:N3774"/>
    <mergeCell ref="A3774:G3774"/>
    <mergeCell ref="A3775:G3775"/>
    <mergeCell ref="A3776:G3776"/>
    <mergeCell ref="A3777:G3777"/>
    <mergeCell ref="A3780:N3781"/>
    <mergeCell ref="A3785:N3785"/>
    <mergeCell ref="M3786:N3786"/>
    <mergeCell ref="I3786:J3786"/>
    <mergeCell ref="K3786:L3786"/>
    <mergeCell ref="I3787:J3787"/>
    <mergeCell ref="K3787:L3787"/>
    <mergeCell ref="M3787:N3787"/>
    <mergeCell ref="K3788:L3788"/>
    <mergeCell ref="M3788:N3788"/>
    <mergeCell ref="A3791:G3791"/>
    <mergeCell ref="A3792:G3792"/>
    <mergeCell ref="I3791:J3791"/>
    <mergeCell ref="K3791:L3791"/>
    <mergeCell ref="M3791:N3791"/>
    <mergeCell ref="I3792:J3792"/>
    <mergeCell ref="K3792:L3792"/>
    <mergeCell ref="M3792:N3792"/>
    <mergeCell ref="K3793:L3793"/>
    <mergeCell ref="A3797:G3797"/>
    <mergeCell ref="A3798:G3798"/>
    <mergeCell ref="A3799:G3799"/>
    <mergeCell ref="A3800:G3800"/>
    <mergeCell ref="A3801:G3801"/>
    <mergeCell ref="M3793:N3793"/>
    <mergeCell ref="A3795:N3795"/>
    <mergeCell ref="A3796:G3796"/>
    <mergeCell ref="I3796:J3796"/>
    <mergeCell ref="K3796:L3796"/>
    <mergeCell ref="M3796:N3796"/>
    <mergeCell ref="M3797:N3797"/>
    <mergeCell ref="I3797:J3797"/>
    <mergeCell ref="K3797:L3797"/>
    <mergeCell ref="I3798:J3798"/>
    <mergeCell ref="K3798:L3798"/>
    <mergeCell ref="M3798:N3798"/>
    <mergeCell ref="K3799:L3799"/>
    <mergeCell ref="M3799:N3799"/>
    <mergeCell ref="I3799:J3799"/>
    <mergeCell ref="I3800:J3800"/>
    <mergeCell ref="K3800:L3800"/>
    <mergeCell ref="M3800:N3800"/>
    <mergeCell ref="I3801:J3801"/>
    <mergeCell ref="K3801:L3801"/>
    <mergeCell ref="M3801:N3801"/>
    <mergeCell ref="I3805:J3805"/>
    <mergeCell ref="I3806:J3806"/>
    <mergeCell ref="K3806:L3806"/>
    <mergeCell ref="M3806:N3806"/>
    <mergeCell ref="K3802:L3802"/>
    <mergeCell ref="M3802:N3802"/>
    <mergeCell ref="A3804:N3804"/>
    <mergeCell ref="A3805:G3805"/>
    <mergeCell ref="K3805:L3805"/>
    <mergeCell ref="M3805:N3805"/>
    <mergeCell ref="A3806:G3806"/>
    <mergeCell ref="A3807:G3807"/>
    <mergeCell ref="I3807:J3807"/>
    <mergeCell ref="K3807:L3807"/>
    <mergeCell ref="M3807:N3807"/>
    <mergeCell ref="I3808:J3808"/>
    <mergeCell ref="K3808:L3808"/>
    <mergeCell ref="M3808:N3808"/>
    <mergeCell ref="K3810:L3810"/>
    <mergeCell ref="M3810:N3810"/>
    <mergeCell ref="K3811:L3811"/>
    <mergeCell ref="M3811:N3811"/>
    <mergeCell ref="A3808:G3808"/>
    <mergeCell ref="A3809:G3809"/>
    <mergeCell ref="I3809:J3809"/>
    <mergeCell ref="K3809:L3809"/>
    <mergeCell ref="M3809:N3809"/>
    <mergeCell ref="A3810:G3810"/>
    <mergeCell ref="I3810:J3810"/>
    <mergeCell ref="A3816:G3816"/>
    <mergeCell ref="A3817:G3817"/>
    <mergeCell ref="A3818:G3818"/>
    <mergeCell ref="A3819:G3819"/>
    <mergeCell ref="A3813:N3813"/>
    <mergeCell ref="A3814:G3814"/>
    <mergeCell ref="I3814:J3814"/>
    <mergeCell ref="M3814:N3814"/>
    <mergeCell ref="A3815:G3815"/>
    <mergeCell ref="M3815:N3815"/>
    <mergeCell ref="M3816:N3816"/>
    <mergeCell ref="I3815:J3815"/>
    <mergeCell ref="I3816:J3816"/>
    <mergeCell ref="I3817:J3817"/>
    <mergeCell ref="M3817:N3817"/>
    <mergeCell ref="I3818:J3818"/>
    <mergeCell ref="M3818:N3818"/>
    <mergeCell ref="I3819:J3819"/>
    <mergeCell ref="K3828:L3828"/>
    <mergeCell ref="M3828:N3828"/>
    <mergeCell ref="A3830:G3830"/>
    <mergeCell ref="I3830:J3830"/>
    <mergeCell ref="K3830:L3830"/>
    <mergeCell ref="M3830:N3830"/>
    <mergeCell ref="I3831:J3831"/>
    <mergeCell ref="K3831:L3831"/>
    <mergeCell ref="M3831:N3831"/>
    <mergeCell ref="A3831:G3831"/>
    <mergeCell ref="A3832:G3832"/>
    <mergeCell ref="I3832:J3832"/>
    <mergeCell ref="K3832:L3832"/>
    <mergeCell ref="M3832:N3832"/>
    <mergeCell ref="A3833:G3833"/>
    <mergeCell ref="A3834:G3834"/>
    <mergeCell ref="I3828:J3828"/>
    <mergeCell ref="I3829:J3829"/>
    <mergeCell ref="K3829:L3829"/>
    <mergeCell ref="M3829:N3829"/>
    <mergeCell ref="M3819:N3819"/>
    <mergeCell ref="K3820:L3820"/>
    <mergeCell ref="M3820:N3820"/>
    <mergeCell ref="A3822:N3823"/>
    <mergeCell ref="A3827:N3827"/>
    <mergeCell ref="A3828:G3828"/>
    <mergeCell ref="A3829:G3829"/>
    <mergeCell ref="K3833:L3833"/>
    <mergeCell ref="M3833:N3833"/>
    <mergeCell ref="I3833:J3833"/>
    <mergeCell ref="I3834:J3834"/>
    <mergeCell ref="K3834:L3834"/>
    <mergeCell ref="M3834:N3834"/>
    <mergeCell ref="K3835:L3835"/>
    <mergeCell ref="M3835:N3835"/>
    <mergeCell ref="K3839:L3839"/>
    <mergeCell ref="M3839:N3839"/>
    <mergeCell ref="K3849:L3849"/>
    <mergeCell ref="M3849:N3849"/>
    <mergeCell ref="A3846:N3846"/>
    <mergeCell ref="A3847:G3847"/>
    <mergeCell ref="I3847:J3847"/>
    <mergeCell ref="K3847:L3847"/>
    <mergeCell ref="M3847:N3847"/>
    <mergeCell ref="A3848:G3848"/>
    <mergeCell ref="A3849:G3849"/>
    <mergeCell ref="I3851:J3851"/>
    <mergeCell ref="K3851:L3851"/>
    <mergeCell ref="I3848:J3848"/>
    <mergeCell ref="I3849:J3849"/>
    <mergeCell ref="A3850:G3850"/>
    <mergeCell ref="I3850:J3850"/>
    <mergeCell ref="K3850:L3850"/>
    <mergeCell ref="M3850:N3850"/>
    <mergeCell ref="M3851:N3851"/>
    <mergeCell ref="I3839:J3839"/>
    <mergeCell ref="I3840:J3840"/>
    <mergeCell ref="K3840:L3840"/>
    <mergeCell ref="M3840:N3840"/>
    <mergeCell ref="A3837:N3837"/>
    <mergeCell ref="A3838:G3838"/>
    <mergeCell ref="I3838:J3838"/>
    <mergeCell ref="K3838:L3838"/>
    <mergeCell ref="M3838:N3838"/>
    <mergeCell ref="A3839:G3839"/>
    <mergeCell ref="A3840:G3840"/>
    <mergeCell ref="A3841:G3841"/>
    <mergeCell ref="I3841:J3841"/>
    <mergeCell ref="K3841:L3841"/>
    <mergeCell ref="M3841:N3841"/>
    <mergeCell ref="I3842:J3842"/>
    <mergeCell ref="K3842:L3842"/>
    <mergeCell ref="M3842:N3842"/>
    <mergeCell ref="A3842:G3842"/>
    <mergeCell ref="A3843:G3843"/>
    <mergeCell ref="I3843:J3843"/>
    <mergeCell ref="K3843:L3843"/>
    <mergeCell ref="M3843:N3843"/>
    <mergeCell ref="K3844:L3844"/>
    <mergeCell ref="M3844:N3844"/>
    <mergeCell ref="K3848:L3848"/>
    <mergeCell ref="M3848:N3848"/>
    <mergeCell ref="A3851:G3851"/>
    <mergeCell ref="A3852:G3852"/>
    <mergeCell ref="I3852:J3852"/>
    <mergeCell ref="K3852:L3852"/>
    <mergeCell ref="M3852:N3852"/>
    <mergeCell ref="K3853:L3853"/>
    <mergeCell ref="M3853:N3853"/>
    <mergeCell ref="A3858:G3858"/>
    <mergeCell ref="A3859:G3859"/>
    <mergeCell ref="A3860:G3860"/>
    <mergeCell ref="A3861:G3861"/>
    <mergeCell ref="A3855:N3855"/>
    <mergeCell ref="A3856:G3856"/>
    <mergeCell ref="I3856:J3856"/>
    <mergeCell ref="M3856:N3856"/>
    <mergeCell ref="A3857:G3857"/>
    <mergeCell ref="M3857:N3857"/>
    <mergeCell ref="M3858:N3858"/>
    <mergeCell ref="I3857:J3857"/>
    <mergeCell ref="I3858:J3858"/>
    <mergeCell ref="I3859:J3859"/>
    <mergeCell ref="M3859:N3859"/>
    <mergeCell ref="I3860:J3860"/>
    <mergeCell ref="M3860:N3860"/>
    <mergeCell ref="I3861:J3861"/>
    <mergeCell ref="K3870:L3870"/>
    <mergeCell ref="M3870:N3870"/>
    <mergeCell ref="I3870:J3870"/>
    <mergeCell ref="I3871:J3871"/>
    <mergeCell ref="K3871:L3871"/>
    <mergeCell ref="M3871:N3871"/>
    <mergeCell ref="M3861:N3861"/>
    <mergeCell ref="K3862:L3862"/>
    <mergeCell ref="M3862:N3862"/>
    <mergeCell ref="A3864:N3865"/>
    <mergeCell ref="A3869:N3869"/>
    <mergeCell ref="A3870:G3870"/>
    <mergeCell ref="A3871:G3871"/>
    <mergeCell ref="K3882:L3882"/>
    <mergeCell ref="M3882:N3882"/>
    <mergeCell ref="A3879:N3879"/>
    <mergeCell ref="A3880:G3880"/>
    <mergeCell ref="I3880:J3880"/>
    <mergeCell ref="K3880:L3880"/>
    <mergeCell ref="M3880:N3880"/>
    <mergeCell ref="A3881:G3881"/>
    <mergeCell ref="A3882:G3882"/>
    <mergeCell ref="I3884:J3884"/>
    <mergeCell ref="K3884:L3884"/>
    <mergeCell ref="I3881:J3881"/>
    <mergeCell ref="I3882:J3882"/>
    <mergeCell ref="A3883:G3883"/>
    <mergeCell ref="I3883:J3883"/>
    <mergeCell ref="K3883:L3883"/>
    <mergeCell ref="M3883:N3883"/>
    <mergeCell ref="M3884:N3884"/>
    <mergeCell ref="A3872:G3872"/>
    <mergeCell ref="I3872:J3872"/>
    <mergeCell ref="K3872:L3872"/>
    <mergeCell ref="M3872:N3872"/>
    <mergeCell ref="I3873:J3873"/>
    <mergeCell ref="K3873:L3873"/>
    <mergeCell ref="M3873:N3873"/>
    <mergeCell ref="K3875:L3875"/>
    <mergeCell ref="M3875:N3875"/>
    <mergeCell ref="I3875:J3875"/>
    <mergeCell ref="I3876:J3876"/>
    <mergeCell ref="K3876:L3876"/>
    <mergeCell ref="M3876:N3876"/>
    <mergeCell ref="K3877:L3877"/>
    <mergeCell ref="M3877:N3877"/>
    <mergeCell ref="A3873:G3873"/>
    <mergeCell ref="A3874:G3874"/>
    <mergeCell ref="I3874:J3874"/>
    <mergeCell ref="K3874:L3874"/>
    <mergeCell ref="M3874:N3874"/>
    <mergeCell ref="A3875:G3875"/>
    <mergeCell ref="A3876:G3876"/>
    <mergeCell ref="K3881:L3881"/>
    <mergeCell ref="M3881:N3881"/>
    <mergeCell ref="A3884:G3884"/>
    <mergeCell ref="A3885:G3885"/>
    <mergeCell ref="I3885:J3885"/>
    <mergeCell ref="K3885:L3885"/>
    <mergeCell ref="M3885:N3885"/>
    <mergeCell ref="K3886:L3886"/>
    <mergeCell ref="M3886:N3886"/>
    <mergeCell ref="A4139:G4139"/>
    <mergeCell ref="I4139:J4139"/>
    <mergeCell ref="K4139:L4139"/>
    <mergeCell ref="M4139:N4139"/>
    <mergeCell ref="I4140:J4140"/>
    <mergeCell ref="K4140:L4140"/>
    <mergeCell ref="M4140:N4140"/>
    <mergeCell ref="A4140:G4140"/>
    <mergeCell ref="A4143:N4143"/>
    <mergeCell ref="A4144:G4144"/>
    <mergeCell ref="I4144:J4144"/>
    <mergeCell ref="K4144:L4144"/>
    <mergeCell ref="M4144:N4144"/>
    <mergeCell ref="A4145:G4145"/>
    <mergeCell ref="M4145:N4145"/>
    <mergeCell ref="K4149:L4149"/>
    <mergeCell ref="M4149:N4149"/>
    <mergeCell ref="K4150:L4150"/>
    <mergeCell ref="M4150:N4150"/>
    <mergeCell ref="A4147:G4147"/>
    <mergeCell ref="A4148:G4148"/>
    <mergeCell ref="I4148:J4148"/>
    <mergeCell ref="K4148:L4148"/>
    <mergeCell ref="M4148:N4148"/>
    <mergeCell ref="A4149:G4149"/>
    <mergeCell ref="I4149:J4149"/>
    <mergeCell ref="I4154:J4154"/>
    <mergeCell ref="A3918:G3918"/>
    <mergeCell ref="A3900:G3900"/>
    <mergeCell ref="A3901:G3901"/>
    <mergeCell ref="I3901:J3901"/>
    <mergeCell ref="M3901:N3901"/>
    <mergeCell ref="A3902:G3902"/>
    <mergeCell ref="M3902:N3902"/>
    <mergeCell ref="M3903:N3903"/>
    <mergeCell ref="I3912:J3912"/>
    <mergeCell ref="I3913:J3913"/>
    <mergeCell ref="K3913:L3913"/>
    <mergeCell ref="M3913:N3913"/>
    <mergeCell ref="A3903:G3903"/>
    <mergeCell ref="A3906:N3907"/>
    <mergeCell ref="A3911:N3911"/>
    <mergeCell ref="A3912:G3912"/>
    <mergeCell ref="K3912:L3912"/>
    <mergeCell ref="M3912:N3912"/>
    <mergeCell ref="A3913:G3913"/>
    <mergeCell ref="K3917:L3917"/>
    <mergeCell ref="M3917:N3917"/>
    <mergeCell ref="I3917:J3917"/>
    <mergeCell ref="I3918:J3918"/>
    <mergeCell ref="K3922:L3922"/>
    <mergeCell ref="M3922:N3922"/>
    <mergeCell ref="I3922:J3922"/>
    <mergeCell ref="I3923:J3923"/>
    <mergeCell ref="K3923:L3923"/>
    <mergeCell ref="M3923:N3923"/>
    <mergeCell ref="K3918:L3918"/>
    <mergeCell ref="M3918:N3918"/>
    <mergeCell ref="A4124:G4124"/>
    <mergeCell ref="A4125:G4125"/>
    <mergeCell ref="A4126:G4126"/>
    <mergeCell ref="A4127:G4127"/>
    <mergeCell ref="A4128:G4128"/>
    <mergeCell ref="A4129:G4129"/>
    <mergeCell ref="A4130:G4130"/>
    <mergeCell ref="A4131:G4131"/>
    <mergeCell ref="A4134:N4134"/>
    <mergeCell ref="I4135:J4135"/>
    <mergeCell ref="K4135:L4135"/>
    <mergeCell ref="M4135:N4135"/>
    <mergeCell ref="K4137:L4137"/>
    <mergeCell ref="M4137:N4137"/>
    <mergeCell ref="I4137:J4137"/>
    <mergeCell ref="I4138:J4138"/>
    <mergeCell ref="K4138:L4138"/>
    <mergeCell ref="M4138:N4138"/>
    <mergeCell ref="K4141:L4141"/>
    <mergeCell ref="M4141:N4141"/>
    <mergeCell ref="A4135:G4135"/>
    <mergeCell ref="A4136:G4136"/>
    <mergeCell ref="I4136:J4136"/>
    <mergeCell ref="K4136:L4136"/>
    <mergeCell ref="M4136:N4136"/>
    <mergeCell ref="A4137:G4137"/>
    <mergeCell ref="A4138:G4138"/>
    <mergeCell ref="K4129:L4129"/>
    <mergeCell ref="M4129:N4129"/>
    <mergeCell ref="I4127:J4127"/>
    <mergeCell ref="K4127:L4127"/>
    <mergeCell ref="M4127:N4127"/>
    <mergeCell ref="I4128:J4128"/>
    <mergeCell ref="K4128:L4128"/>
    <mergeCell ref="M4128:N4128"/>
    <mergeCell ref="I4129:J4129"/>
    <mergeCell ref="K4124:L4124"/>
    <mergeCell ref="M4124:N4124"/>
    <mergeCell ref="I4130:J4130"/>
    <mergeCell ref="K4130:L4130"/>
    <mergeCell ref="M4130:N4130"/>
    <mergeCell ref="I4131:J4131"/>
    <mergeCell ref="K4131:L4131"/>
    <mergeCell ref="M4131:N4131"/>
    <mergeCell ref="K4132:L4132"/>
    <mergeCell ref="M4132:N4132"/>
    <mergeCell ref="I4124:J4124"/>
    <mergeCell ref="I4125:J4125"/>
    <mergeCell ref="K4125:L4125"/>
    <mergeCell ref="M4125:N4125"/>
    <mergeCell ref="I4126:J4126"/>
    <mergeCell ref="K4126:L4126"/>
    <mergeCell ref="M4126:N4126"/>
    <mergeCell ref="K4187:L4187"/>
    <mergeCell ref="M4187:N4187"/>
    <mergeCell ref="I4187:J4187"/>
    <mergeCell ref="I4188:J4188"/>
    <mergeCell ref="K4188:L4188"/>
    <mergeCell ref="M4188:N4188"/>
    <mergeCell ref="A4185:N4185"/>
    <mergeCell ref="A4186:G4186"/>
    <mergeCell ref="I4186:J4186"/>
    <mergeCell ref="K4186:L4186"/>
    <mergeCell ref="M4186:N4186"/>
    <mergeCell ref="A4187:G4187"/>
    <mergeCell ref="A4188:G4188"/>
    <mergeCell ref="A4189:G4189"/>
    <mergeCell ref="I4189:J4189"/>
    <mergeCell ref="K4189:L4189"/>
    <mergeCell ref="M4189:N4189"/>
    <mergeCell ref="I4190:J4190"/>
    <mergeCell ref="K4190:L4190"/>
    <mergeCell ref="M4190:N4190"/>
    <mergeCell ref="A4190:G4190"/>
    <mergeCell ref="A4191:G4191"/>
    <mergeCell ref="I4191:J4191"/>
    <mergeCell ref="K4191:L4191"/>
    <mergeCell ref="I4157:J4157"/>
    <mergeCell ref="I4158:J4158"/>
    <mergeCell ref="K4159:L4159"/>
    <mergeCell ref="M4159:N4159"/>
    <mergeCell ref="A4169:G4169"/>
    <mergeCell ref="I4169:J4169"/>
    <mergeCell ref="K4169:L4169"/>
    <mergeCell ref="M4169:N4169"/>
    <mergeCell ref="I4170:J4170"/>
    <mergeCell ref="K4170:L4170"/>
    <mergeCell ref="M4170:N4170"/>
    <mergeCell ref="A4170:G4170"/>
    <mergeCell ref="A4171:G4171"/>
    <mergeCell ref="I4171:J4171"/>
    <mergeCell ref="K4171:L4171"/>
    <mergeCell ref="M4171:N4171"/>
    <mergeCell ref="A4172:G4172"/>
    <mergeCell ref="A4173:G4173"/>
    <mergeCell ref="A4157:G4157"/>
    <mergeCell ref="M4157:N4157"/>
    <mergeCell ref="M4158:N4158"/>
    <mergeCell ref="I4167:J4167"/>
    <mergeCell ref="I4168:J4168"/>
    <mergeCell ref="K4168:L4168"/>
    <mergeCell ref="M4168:N4168"/>
    <mergeCell ref="A4158:G4158"/>
    <mergeCell ref="A4161:N4162"/>
    <mergeCell ref="A4166:N4166"/>
    <mergeCell ref="A4167:G4167"/>
    <mergeCell ref="K4167:L4167"/>
    <mergeCell ref="M4167:N4167"/>
    <mergeCell ref="A4168:G4168"/>
    <mergeCell ref="K4172:L4172"/>
    <mergeCell ref="M4172:N4172"/>
    <mergeCell ref="I4172:J4172"/>
    <mergeCell ref="I4173:J4173"/>
    <mergeCell ref="M4191:N4191"/>
    <mergeCell ref="A4211:G4211"/>
    <mergeCell ref="I4211:J4211"/>
    <mergeCell ref="K4211:L4211"/>
    <mergeCell ref="M4211:N4211"/>
    <mergeCell ref="I4212:J4212"/>
    <mergeCell ref="K4212:L4212"/>
    <mergeCell ref="M4212:N4212"/>
    <mergeCell ref="K4215:L4215"/>
    <mergeCell ref="M4215:N4215"/>
    <mergeCell ref="A4212:G4212"/>
    <mergeCell ref="A4213:G4213"/>
    <mergeCell ref="I4213:J4213"/>
    <mergeCell ref="K4213:L4213"/>
    <mergeCell ref="M4213:N4213"/>
    <mergeCell ref="A4214:G4214"/>
    <mergeCell ref="A4215:G4215"/>
    <mergeCell ref="I4196:J4196"/>
    <mergeCell ref="I4197:J4197"/>
    <mergeCell ref="I4198:J4198"/>
    <mergeCell ref="M4198:N4198"/>
    <mergeCell ref="I4199:J4199"/>
    <mergeCell ref="M4199:N4199"/>
    <mergeCell ref="I4200:J4200"/>
    <mergeCell ref="K4209:L4209"/>
    <mergeCell ref="M4209:N4209"/>
    <mergeCell ref="I4209:J4209"/>
    <mergeCell ref="I4210:J4210"/>
    <mergeCell ref="K4210:L4210"/>
    <mergeCell ref="M4210:N4210"/>
    <mergeCell ref="M4200:N4200"/>
    <mergeCell ref="K4201:L4201"/>
    <mergeCell ref="M4201:N4201"/>
    <mergeCell ref="A4203:N4204"/>
    <mergeCell ref="A4208:N4208"/>
    <mergeCell ref="A4209:G4209"/>
    <mergeCell ref="A4210:G4210"/>
    <mergeCell ref="K4214:L4214"/>
    <mergeCell ref="M4214:N4214"/>
    <mergeCell ref="K4219:L4219"/>
    <mergeCell ref="M4219:N4219"/>
    <mergeCell ref="I4219:J4219"/>
    <mergeCell ref="I4220:J4220"/>
    <mergeCell ref="K4220:L4220"/>
    <mergeCell ref="M4220:N4220"/>
    <mergeCell ref="I4214:J4214"/>
    <mergeCell ref="I4215:J4215"/>
    <mergeCell ref="K4216:L4216"/>
    <mergeCell ref="M4216:N4216"/>
    <mergeCell ref="A4218:N4218"/>
    <mergeCell ref="A4219:G4219"/>
    <mergeCell ref="A4220:G4220"/>
    <mergeCell ref="A4221:G4221"/>
    <mergeCell ref="I4221:J4221"/>
    <mergeCell ref="K4221:L4221"/>
    <mergeCell ref="M4221:N4221"/>
    <mergeCell ref="I4222:J4222"/>
    <mergeCell ref="K4222:L4222"/>
    <mergeCell ref="M4222:N4222"/>
    <mergeCell ref="K4224:L4224"/>
    <mergeCell ref="M4224:N4224"/>
    <mergeCell ref="K4225:L4225"/>
    <mergeCell ref="M4225:N4225"/>
    <mergeCell ref="A4222:G4222"/>
    <mergeCell ref="A4223:G4223"/>
    <mergeCell ref="I4223:J4223"/>
    <mergeCell ref="K4223:L4223"/>
    <mergeCell ref="M4223:N4223"/>
    <mergeCell ref="A4224:G4224"/>
    <mergeCell ref="I4224:J4224"/>
    <mergeCell ref="K4229:L4229"/>
    <mergeCell ref="M4229:N4229"/>
    <mergeCell ref="M4242:N4242"/>
    <mergeCell ref="K4243:L4243"/>
    <mergeCell ref="M4243:N4243"/>
    <mergeCell ref="I4238:J4238"/>
    <mergeCell ref="I4239:J4239"/>
    <mergeCell ref="I4240:J4240"/>
    <mergeCell ref="M4240:N4240"/>
    <mergeCell ref="I4241:J4241"/>
    <mergeCell ref="M4241:N4241"/>
    <mergeCell ref="I4242:J4242"/>
    <mergeCell ref="A4236:N4236"/>
    <mergeCell ref="A4237:G4237"/>
    <mergeCell ref="I4237:J4237"/>
    <mergeCell ref="M4237:N4237"/>
    <mergeCell ref="A4238:G4238"/>
    <mergeCell ref="M4238:N4238"/>
    <mergeCell ref="M4239:N4239"/>
    <mergeCell ref="A4239:G4239"/>
    <mergeCell ref="A4240:G4240"/>
    <mergeCell ref="A4241:G4241"/>
    <mergeCell ref="A4242:G4242"/>
    <mergeCell ref="A4245:N4246"/>
    <mergeCell ref="A4250:N4250"/>
    <mergeCell ref="M4251:N4251"/>
    <mergeCell ref="I4251:J4251"/>
    <mergeCell ref="K4251:L4251"/>
    <mergeCell ref="I4252:J4252"/>
    <mergeCell ref="K4252:L4252"/>
    <mergeCell ref="M4252:N4252"/>
    <mergeCell ref="K4253:L4253"/>
    <mergeCell ref="M4253:N4253"/>
    <mergeCell ref="I4253:J4253"/>
    <mergeCell ref="I4254:J4254"/>
    <mergeCell ref="K4254:L4254"/>
    <mergeCell ref="M4254:N4254"/>
    <mergeCell ref="I3902:J3902"/>
    <mergeCell ref="I3903:J3903"/>
    <mergeCell ref="K3904:L3904"/>
    <mergeCell ref="M3904:N3904"/>
    <mergeCell ref="A3914:G3914"/>
    <mergeCell ref="I3914:J3914"/>
    <mergeCell ref="K3914:L3914"/>
    <mergeCell ref="M3914:N3914"/>
    <mergeCell ref="I3915:J3915"/>
    <mergeCell ref="K3915:L3915"/>
    <mergeCell ref="M3915:N3915"/>
    <mergeCell ref="A3915:G3915"/>
    <mergeCell ref="A3916:G3916"/>
    <mergeCell ref="I3916:J3916"/>
    <mergeCell ref="K3916:L3916"/>
    <mergeCell ref="M3916:N3916"/>
    <mergeCell ref="A3917:G3917"/>
    <mergeCell ref="A4256:G4256"/>
    <mergeCell ref="A4257:G4257"/>
    <mergeCell ref="I4256:J4256"/>
    <mergeCell ref="K4256:L4256"/>
    <mergeCell ref="M4256:N4256"/>
    <mergeCell ref="I4257:J4257"/>
    <mergeCell ref="K4257:L4257"/>
    <mergeCell ref="M4257:N4257"/>
    <mergeCell ref="K4258:L4258"/>
    <mergeCell ref="A4262:G4262"/>
    <mergeCell ref="A4263:G4263"/>
    <mergeCell ref="A4264:G4264"/>
    <mergeCell ref="A4265:G4265"/>
    <mergeCell ref="A4266:G4266"/>
    <mergeCell ref="M4258:N4258"/>
    <mergeCell ref="A4260:N4260"/>
    <mergeCell ref="A4261:G4261"/>
    <mergeCell ref="I4261:J4261"/>
    <mergeCell ref="K4261:L4261"/>
    <mergeCell ref="M4261:N4261"/>
    <mergeCell ref="M4262:N4262"/>
    <mergeCell ref="I4262:J4262"/>
    <mergeCell ref="K4262:L4262"/>
    <mergeCell ref="I4263:J4263"/>
    <mergeCell ref="K4263:L4263"/>
    <mergeCell ref="M4263:N4263"/>
    <mergeCell ref="K4264:L4264"/>
    <mergeCell ref="M4264:N4264"/>
    <mergeCell ref="I4264:J4264"/>
    <mergeCell ref="I4265:J4265"/>
    <mergeCell ref="K4265:L4265"/>
    <mergeCell ref="M4265:N4265"/>
    <mergeCell ref="I4266:J4266"/>
    <mergeCell ref="K4266:L4266"/>
    <mergeCell ref="M4266:N4266"/>
    <mergeCell ref="I4255:J4255"/>
    <mergeCell ref="K4255:L4255"/>
    <mergeCell ref="M4255:N4255"/>
    <mergeCell ref="I4229:J4229"/>
    <mergeCell ref="I4230:J4230"/>
    <mergeCell ref="K4230:L4230"/>
    <mergeCell ref="M4230:N4230"/>
    <mergeCell ref="A4227:N4227"/>
    <mergeCell ref="A4228:G4228"/>
    <mergeCell ref="I4228:J4228"/>
    <mergeCell ref="K4228:L4228"/>
    <mergeCell ref="M4228:N4228"/>
    <mergeCell ref="I3899:J3899"/>
    <mergeCell ref="I3900:J3900"/>
    <mergeCell ref="A3897:N3897"/>
    <mergeCell ref="A3898:G3898"/>
    <mergeCell ref="I3898:J3898"/>
    <mergeCell ref="M3898:N3898"/>
    <mergeCell ref="A3899:G3899"/>
    <mergeCell ref="M3899:N3899"/>
    <mergeCell ref="M3900:N3900"/>
    <mergeCell ref="K3890:L3890"/>
    <mergeCell ref="M3890:N3890"/>
    <mergeCell ref="I3890:J3890"/>
    <mergeCell ref="I3891:J3891"/>
    <mergeCell ref="K3891:L3891"/>
    <mergeCell ref="M3891:N3891"/>
    <mergeCell ref="A3888:N3888"/>
    <mergeCell ref="A3889:G3889"/>
    <mergeCell ref="I3889:J3889"/>
    <mergeCell ref="K3889:L3889"/>
    <mergeCell ref="M3889:N3889"/>
    <mergeCell ref="A3890:G3890"/>
    <mergeCell ref="A3891:G3891"/>
    <mergeCell ref="A3892:G3892"/>
    <mergeCell ref="I3892:J3892"/>
    <mergeCell ref="K3892:L3892"/>
    <mergeCell ref="M3892:N3892"/>
    <mergeCell ref="I3893:J3893"/>
    <mergeCell ref="K3893:L3893"/>
    <mergeCell ref="M3893:N3893"/>
    <mergeCell ref="A3893:G3893"/>
    <mergeCell ref="A3894:G3894"/>
    <mergeCell ref="I3894:J3894"/>
    <mergeCell ref="K3894:L3894"/>
    <mergeCell ref="M3894:N3894"/>
    <mergeCell ref="K3895:L3895"/>
    <mergeCell ref="M3895:N3895"/>
    <mergeCell ref="K3919:L3919"/>
    <mergeCell ref="M3919:N3919"/>
    <mergeCell ref="A3921:N3921"/>
    <mergeCell ref="A3922:G3922"/>
    <mergeCell ref="A3923:G3923"/>
    <mergeCell ref="A3924:G3924"/>
    <mergeCell ref="I3924:J3924"/>
    <mergeCell ref="K3924:L3924"/>
    <mergeCell ref="M3924:N3924"/>
    <mergeCell ref="I3925:J3925"/>
    <mergeCell ref="K3925:L3925"/>
    <mergeCell ref="M3925:N3925"/>
    <mergeCell ref="K3927:L3927"/>
    <mergeCell ref="M3927:N3927"/>
    <mergeCell ref="K3928:L3928"/>
    <mergeCell ref="M3928:N3928"/>
    <mergeCell ref="A3925:G3925"/>
    <mergeCell ref="A3926:G3926"/>
    <mergeCell ref="I3926:J3926"/>
    <mergeCell ref="K3926:L3926"/>
    <mergeCell ref="M3926:N3926"/>
    <mergeCell ref="A3927:G3927"/>
    <mergeCell ref="I3927:J3927"/>
    <mergeCell ref="K3932:L3932"/>
    <mergeCell ref="M3932:N3932"/>
    <mergeCell ref="M3945:N3945"/>
    <mergeCell ref="K3946:L3946"/>
    <mergeCell ref="M3946:N3946"/>
    <mergeCell ref="I3941:J3941"/>
    <mergeCell ref="I3942:J3942"/>
    <mergeCell ref="I3943:J3943"/>
    <mergeCell ref="M3943:N3943"/>
    <mergeCell ref="I3944:J3944"/>
    <mergeCell ref="M3944:N3944"/>
    <mergeCell ref="I3945:J3945"/>
    <mergeCell ref="I3954:J3954"/>
    <mergeCell ref="K3954:L3954"/>
    <mergeCell ref="I3955:J3955"/>
    <mergeCell ref="K3955:L3955"/>
    <mergeCell ref="M3955:N3955"/>
    <mergeCell ref="K3956:L3956"/>
    <mergeCell ref="M3956:N3956"/>
    <mergeCell ref="I3956:J3956"/>
    <mergeCell ref="I3957:J3957"/>
    <mergeCell ref="K3957:L3957"/>
    <mergeCell ref="M3957:N3957"/>
    <mergeCell ref="I3958:J3958"/>
    <mergeCell ref="K3958:L3958"/>
    <mergeCell ref="M3958:N3958"/>
    <mergeCell ref="A3939:N3939"/>
    <mergeCell ref="A3940:G3940"/>
    <mergeCell ref="I3940:J3940"/>
    <mergeCell ref="M3940:N3940"/>
    <mergeCell ref="A3941:G3941"/>
    <mergeCell ref="M3941:N3941"/>
    <mergeCell ref="M3942:N3942"/>
    <mergeCell ref="A3942:G3942"/>
    <mergeCell ref="A3943:G3943"/>
    <mergeCell ref="A3944:G3944"/>
    <mergeCell ref="A3945:G3945"/>
    <mergeCell ref="A3948:N3949"/>
    <mergeCell ref="A3953:N3953"/>
    <mergeCell ref="M3954:N3954"/>
    <mergeCell ref="I3932:J3932"/>
    <mergeCell ref="I3933:J3933"/>
    <mergeCell ref="K3933:L3933"/>
    <mergeCell ref="M3933:N3933"/>
    <mergeCell ref="A3930:N3930"/>
    <mergeCell ref="A3931:G3931"/>
    <mergeCell ref="I3931:J3931"/>
    <mergeCell ref="K3931:L3931"/>
    <mergeCell ref="M3931:N3931"/>
    <mergeCell ref="A3932:G3932"/>
    <mergeCell ref="A3933:G3933"/>
    <mergeCell ref="A3934:G3934"/>
    <mergeCell ref="I3934:J3934"/>
    <mergeCell ref="K3934:L3934"/>
    <mergeCell ref="M3934:N3934"/>
    <mergeCell ref="I3935:J3935"/>
    <mergeCell ref="K3935:L3935"/>
    <mergeCell ref="M3935:N3935"/>
    <mergeCell ref="A3935:G3935"/>
    <mergeCell ref="A3936:G3936"/>
    <mergeCell ref="I3936:J3936"/>
    <mergeCell ref="K3936:L3936"/>
    <mergeCell ref="M3936:N3936"/>
    <mergeCell ref="K3937:L3937"/>
    <mergeCell ref="M3937:N3937"/>
    <mergeCell ref="A3954:G3954"/>
    <mergeCell ref="A3955:G3955"/>
    <mergeCell ref="A3956:G3956"/>
    <mergeCell ref="A3957:G3957"/>
    <mergeCell ref="A3958:G3958"/>
    <mergeCell ref="A3959:G3959"/>
    <mergeCell ref="A3960:G3960"/>
    <mergeCell ref="I3959:J3959"/>
    <mergeCell ref="K3959:L3959"/>
    <mergeCell ref="M3959:N3959"/>
    <mergeCell ref="I3960:J3960"/>
    <mergeCell ref="K3960:L3960"/>
    <mergeCell ref="M3960:N3960"/>
    <mergeCell ref="K3961:L3961"/>
    <mergeCell ref="A3965:G3965"/>
    <mergeCell ref="A3966:G3966"/>
    <mergeCell ref="A3967:G3967"/>
    <mergeCell ref="A3968:G3968"/>
    <mergeCell ref="A3969:G3969"/>
    <mergeCell ref="M3961:N3961"/>
    <mergeCell ref="A3963:N3963"/>
    <mergeCell ref="A3964:G3964"/>
    <mergeCell ref="I3964:J3964"/>
    <mergeCell ref="K3964:L3964"/>
    <mergeCell ref="M3964:N3964"/>
    <mergeCell ref="M3965:N3965"/>
    <mergeCell ref="I3965:J3965"/>
    <mergeCell ref="K3965:L3965"/>
    <mergeCell ref="I3966:J3966"/>
    <mergeCell ref="K3966:L3966"/>
    <mergeCell ref="M3966:N3966"/>
    <mergeCell ref="K3967:L3967"/>
    <mergeCell ref="M3967:N3967"/>
    <mergeCell ref="I3967:J3967"/>
    <mergeCell ref="I3968:J3968"/>
    <mergeCell ref="K3968:L3968"/>
    <mergeCell ref="M3968:N3968"/>
    <mergeCell ref="I3969:J3969"/>
    <mergeCell ref="K3969:L3969"/>
    <mergeCell ref="M3969:N3969"/>
    <mergeCell ref="I3973:J3973"/>
    <mergeCell ref="I3974:J3974"/>
    <mergeCell ref="K3974:L3974"/>
    <mergeCell ref="M3974:N3974"/>
    <mergeCell ref="K3970:L3970"/>
    <mergeCell ref="M3970:N3970"/>
    <mergeCell ref="A3972:N3972"/>
    <mergeCell ref="A3973:G3973"/>
    <mergeCell ref="K3973:L3973"/>
    <mergeCell ref="M3973:N3973"/>
    <mergeCell ref="A3974:G3974"/>
    <mergeCell ref="A3975:G3975"/>
    <mergeCell ref="I3975:J3975"/>
    <mergeCell ref="K3975:L3975"/>
    <mergeCell ref="M3975:N3975"/>
    <mergeCell ref="I3976:J3976"/>
    <mergeCell ref="K3976:L3976"/>
    <mergeCell ref="M3976:N3976"/>
    <mergeCell ref="K3978:L3978"/>
    <mergeCell ref="M3978:N3978"/>
    <mergeCell ref="K3979:L3979"/>
    <mergeCell ref="M3979:N3979"/>
    <mergeCell ref="A3976:G3976"/>
    <mergeCell ref="A3977:G3977"/>
    <mergeCell ref="I3977:J3977"/>
    <mergeCell ref="K3977:L3977"/>
    <mergeCell ref="M3977:N3977"/>
    <mergeCell ref="A3978:G3978"/>
    <mergeCell ref="I3978:J3978"/>
    <mergeCell ref="A3984:G3984"/>
    <mergeCell ref="A3985:G3985"/>
    <mergeCell ref="A3986:G3986"/>
    <mergeCell ref="A3987:G3987"/>
    <mergeCell ref="A3981:N3981"/>
    <mergeCell ref="A3982:G3982"/>
    <mergeCell ref="I3982:J3982"/>
    <mergeCell ref="M3982:N3982"/>
    <mergeCell ref="A3983:G3983"/>
    <mergeCell ref="M3983:N3983"/>
    <mergeCell ref="M3984:N3984"/>
    <mergeCell ref="I3983:J3983"/>
    <mergeCell ref="I3984:J3984"/>
    <mergeCell ref="I3985:J3985"/>
    <mergeCell ref="M3985:N3985"/>
    <mergeCell ref="I3986:J3986"/>
    <mergeCell ref="M3986:N3986"/>
    <mergeCell ref="I3987:J3987"/>
    <mergeCell ref="K3996:L3996"/>
    <mergeCell ref="M3996:N3996"/>
    <mergeCell ref="A3998:G3998"/>
    <mergeCell ref="I3998:J3998"/>
    <mergeCell ref="K3998:L3998"/>
    <mergeCell ref="M3998:N3998"/>
    <mergeCell ref="I3999:J3999"/>
    <mergeCell ref="K3999:L3999"/>
    <mergeCell ref="M3999:N3999"/>
    <mergeCell ref="A3999:G3999"/>
    <mergeCell ref="A4000:G4000"/>
    <mergeCell ref="I4000:J4000"/>
    <mergeCell ref="K4000:L4000"/>
    <mergeCell ref="M4000:N4000"/>
    <mergeCell ref="A4001:G4001"/>
    <mergeCell ref="A4002:G4002"/>
    <mergeCell ref="I3996:J3996"/>
    <mergeCell ref="I3997:J3997"/>
    <mergeCell ref="K3997:L3997"/>
    <mergeCell ref="M3997:N3997"/>
    <mergeCell ref="M3987:N3987"/>
    <mergeCell ref="K3988:L3988"/>
    <mergeCell ref="M3988:N3988"/>
    <mergeCell ref="A3990:N3991"/>
    <mergeCell ref="A3995:N3995"/>
    <mergeCell ref="A3996:G3996"/>
    <mergeCell ref="A3997:G3997"/>
    <mergeCell ref="K4001:L4001"/>
    <mergeCell ref="M4001:N4001"/>
    <mergeCell ref="I4001:J4001"/>
    <mergeCell ref="I4002:J4002"/>
    <mergeCell ref="K4002:L4002"/>
    <mergeCell ref="M4002:N4002"/>
    <mergeCell ref="K4003:L4003"/>
    <mergeCell ref="M4003:N4003"/>
    <mergeCell ref="K4007:L4007"/>
    <mergeCell ref="M4007:N4007"/>
    <mergeCell ref="K4017:L4017"/>
    <mergeCell ref="M4017:N4017"/>
    <mergeCell ref="A4014:N4014"/>
    <mergeCell ref="A4015:G4015"/>
    <mergeCell ref="I4015:J4015"/>
    <mergeCell ref="K4015:L4015"/>
    <mergeCell ref="M4015:N4015"/>
    <mergeCell ref="A4016:G4016"/>
    <mergeCell ref="A4017:G4017"/>
    <mergeCell ref="I4019:J4019"/>
    <mergeCell ref="K4019:L4019"/>
    <mergeCell ref="I4016:J4016"/>
    <mergeCell ref="I4017:J4017"/>
    <mergeCell ref="A4018:G4018"/>
    <mergeCell ref="I4018:J4018"/>
    <mergeCell ref="K4018:L4018"/>
    <mergeCell ref="M4018:N4018"/>
    <mergeCell ref="M4019:N4019"/>
    <mergeCell ref="I4007:J4007"/>
    <mergeCell ref="I4008:J4008"/>
    <mergeCell ref="K4008:L4008"/>
    <mergeCell ref="M4008:N4008"/>
    <mergeCell ref="A4005:N4005"/>
    <mergeCell ref="A4006:G4006"/>
    <mergeCell ref="I4006:J4006"/>
    <mergeCell ref="K4006:L4006"/>
    <mergeCell ref="M4006:N4006"/>
    <mergeCell ref="A4007:G4007"/>
    <mergeCell ref="A4008:G4008"/>
    <mergeCell ref="A4009:G4009"/>
    <mergeCell ref="I4009:J4009"/>
    <mergeCell ref="K4009:L4009"/>
    <mergeCell ref="M4009:N4009"/>
    <mergeCell ref="I4010:J4010"/>
    <mergeCell ref="K4010:L4010"/>
    <mergeCell ref="M4010:N4010"/>
    <mergeCell ref="A4010:G4010"/>
    <mergeCell ref="A4011:G4011"/>
    <mergeCell ref="I4011:J4011"/>
    <mergeCell ref="K4011:L4011"/>
    <mergeCell ref="M4011:N4011"/>
    <mergeCell ref="K4012:L4012"/>
    <mergeCell ref="M4012:N4012"/>
    <mergeCell ref="K4016:L4016"/>
    <mergeCell ref="M4016:N4016"/>
    <mergeCell ref="A4019:G4019"/>
    <mergeCell ref="A4020:G4020"/>
    <mergeCell ref="I4020:J4020"/>
    <mergeCell ref="K4020:L4020"/>
    <mergeCell ref="M4020:N4020"/>
    <mergeCell ref="K4021:L4021"/>
    <mergeCell ref="M4021:N4021"/>
    <mergeCell ref="A4026:G4026"/>
    <mergeCell ref="A4027:G4027"/>
    <mergeCell ref="A4028:G4028"/>
    <mergeCell ref="A4029:G4029"/>
    <mergeCell ref="A4023:N4023"/>
    <mergeCell ref="A4024:G4024"/>
    <mergeCell ref="I4024:J4024"/>
    <mergeCell ref="M4024:N4024"/>
    <mergeCell ref="A4025:G4025"/>
    <mergeCell ref="M4025:N4025"/>
    <mergeCell ref="M4026:N4026"/>
    <mergeCell ref="I4025:J4025"/>
    <mergeCell ref="I4026:J4026"/>
    <mergeCell ref="I4027:J4027"/>
    <mergeCell ref="M4027:N4027"/>
    <mergeCell ref="I4028:J4028"/>
    <mergeCell ref="M4028:N4028"/>
    <mergeCell ref="I4029:J4029"/>
    <mergeCell ref="K4038:L4038"/>
    <mergeCell ref="M4038:N4038"/>
    <mergeCell ref="I4038:J4038"/>
    <mergeCell ref="I4039:J4039"/>
    <mergeCell ref="K4039:L4039"/>
    <mergeCell ref="M4039:N4039"/>
    <mergeCell ref="M4029:N4029"/>
    <mergeCell ref="K4030:L4030"/>
    <mergeCell ref="M4030:N4030"/>
    <mergeCell ref="A4032:N4033"/>
    <mergeCell ref="A4037:N4037"/>
    <mergeCell ref="A4038:G4038"/>
    <mergeCell ref="A4039:G4039"/>
    <mergeCell ref="K4050:L4050"/>
    <mergeCell ref="M4050:N4050"/>
    <mergeCell ref="A4047:N4047"/>
    <mergeCell ref="A4048:G4048"/>
    <mergeCell ref="I4048:J4048"/>
    <mergeCell ref="K4048:L4048"/>
    <mergeCell ref="M4048:N4048"/>
    <mergeCell ref="A4049:G4049"/>
    <mergeCell ref="A4050:G4050"/>
    <mergeCell ref="I4052:J4052"/>
    <mergeCell ref="K4052:L4052"/>
    <mergeCell ref="I4049:J4049"/>
    <mergeCell ref="I4050:J4050"/>
    <mergeCell ref="A4051:G4051"/>
    <mergeCell ref="I4051:J4051"/>
    <mergeCell ref="K4051:L4051"/>
    <mergeCell ref="M4051:N4051"/>
    <mergeCell ref="M4052:N4052"/>
    <mergeCell ref="A4040:G4040"/>
    <mergeCell ref="I4040:J4040"/>
    <mergeCell ref="K4040:L4040"/>
    <mergeCell ref="M4040:N4040"/>
    <mergeCell ref="I4041:J4041"/>
    <mergeCell ref="K4041:L4041"/>
    <mergeCell ref="M4041:N4041"/>
    <mergeCell ref="K4043:L4043"/>
    <mergeCell ref="M4043:N4043"/>
    <mergeCell ref="I4043:J4043"/>
    <mergeCell ref="I4044:J4044"/>
    <mergeCell ref="K4044:L4044"/>
    <mergeCell ref="M4044:N4044"/>
    <mergeCell ref="K4045:L4045"/>
    <mergeCell ref="M4045:N4045"/>
    <mergeCell ref="A4041:G4041"/>
    <mergeCell ref="A4042:G4042"/>
    <mergeCell ref="I4042:J4042"/>
    <mergeCell ref="K4042:L4042"/>
    <mergeCell ref="M4042:N4042"/>
    <mergeCell ref="A4043:G4043"/>
    <mergeCell ref="A4044:G4044"/>
    <mergeCell ref="K4049:L4049"/>
    <mergeCell ref="M4049:N4049"/>
    <mergeCell ref="A4052:G4052"/>
    <mergeCell ref="A4053:G4053"/>
    <mergeCell ref="I4053:J4053"/>
    <mergeCell ref="K4053:L4053"/>
    <mergeCell ref="M4053:N4053"/>
    <mergeCell ref="K4054:L4054"/>
    <mergeCell ref="M4054:N4054"/>
    <mergeCell ref="I4067:J4067"/>
    <mergeCell ref="I4068:J4068"/>
    <mergeCell ref="A4065:N4065"/>
    <mergeCell ref="A4066:G4066"/>
    <mergeCell ref="I4066:J4066"/>
    <mergeCell ref="M4066:N4066"/>
    <mergeCell ref="A4067:G4067"/>
    <mergeCell ref="M4067:N4067"/>
    <mergeCell ref="M4068:N4068"/>
    <mergeCell ref="A4107:N4107"/>
    <mergeCell ref="A4108:G4108"/>
    <mergeCell ref="I4108:J4108"/>
    <mergeCell ref="M4108:N4108"/>
    <mergeCell ref="A4109:G4109"/>
    <mergeCell ref="M4109:N4109"/>
    <mergeCell ref="M4110:N4110"/>
    <mergeCell ref="A4110:G4110"/>
    <mergeCell ref="A4111:G4111"/>
    <mergeCell ref="A4112:G4112"/>
    <mergeCell ref="A4113:G4113"/>
    <mergeCell ref="A4116:N4117"/>
    <mergeCell ref="A4121:N4121"/>
    <mergeCell ref="M4122:N4122"/>
    <mergeCell ref="I4100:J4100"/>
    <mergeCell ref="I4101:J4101"/>
    <mergeCell ref="K4101:L4101"/>
    <mergeCell ref="M4101:N4101"/>
    <mergeCell ref="A4098:N4098"/>
    <mergeCell ref="A4099:G4099"/>
    <mergeCell ref="I4099:J4099"/>
    <mergeCell ref="K4099:L4099"/>
    <mergeCell ref="M4099:N4099"/>
    <mergeCell ref="A4100:G4100"/>
    <mergeCell ref="A4101:G4101"/>
    <mergeCell ref="A4102:G4102"/>
    <mergeCell ref="I4102:J4102"/>
    <mergeCell ref="K4102:L4102"/>
    <mergeCell ref="M4102:N4102"/>
    <mergeCell ref="I4103:J4103"/>
    <mergeCell ref="K4103:L4103"/>
    <mergeCell ref="M4103:N4103"/>
    <mergeCell ref="A4103:G4103"/>
    <mergeCell ref="A4104:G4104"/>
    <mergeCell ref="I4104:J4104"/>
    <mergeCell ref="K4104:L4104"/>
    <mergeCell ref="M4104:N4104"/>
    <mergeCell ref="K4105:L4105"/>
    <mergeCell ref="M4105:N4105"/>
    <mergeCell ref="K4058:L4058"/>
    <mergeCell ref="M4058:N4058"/>
    <mergeCell ref="I4058:J4058"/>
    <mergeCell ref="I4059:J4059"/>
    <mergeCell ref="K4059:L4059"/>
    <mergeCell ref="M4059:N4059"/>
    <mergeCell ref="A4056:N4056"/>
    <mergeCell ref="A4057:G4057"/>
    <mergeCell ref="I4057:J4057"/>
    <mergeCell ref="K4057:L4057"/>
    <mergeCell ref="M4057:N4057"/>
    <mergeCell ref="A4058:G4058"/>
    <mergeCell ref="A4059:G4059"/>
    <mergeCell ref="A4060:G4060"/>
    <mergeCell ref="I4060:J4060"/>
    <mergeCell ref="K4060:L4060"/>
    <mergeCell ref="M4060:N4060"/>
    <mergeCell ref="I4061:J4061"/>
    <mergeCell ref="K4061:L4061"/>
    <mergeCell ref="M4061:N4061"/>
    <mergeCell ref="A4061:G4061"/>
    <mergeCell ref="A4062:G4062"/>
    <mergeCell ref="I4062:J4062"/>
    <mergeCell ref="K4062:L4062"/>
    <mergeCell ref="M4062:N4062"/>
    <mergeCell ref="K4063:L4063"/>
    <mergeCell ref="M4063:N4063"/>
    <mergeCell ref="I4070:J4070"/>
    <mergeCell ref="I4071:J4071"/>
    <mergeCell ref="K4072:L4072"/>
    <mergeCell ref="M4072:N4072"/>
    <mergeCell ref="A4082:G4082"/>
    <mergeCell ref="I4082:J4082"/>
    <mergeCell ref="K4082:L4082"/>
    <mergeCell ref="M4082:N4082"/>
    <mergeCell ref="I4083:J4083"/>
    <mergeCell ref="K4083:L4083"/>
    <mergeCell ref="M4083:N4083"/>
    <mergeCell ref="A4083:G4083"/>
    <mergeCell ref="A4084:G4084"/>
    <mergeCell ref="I4084:J4084"/>
    <mergeCell ref="K4084:L4084"/>
    <mergeCell ref="M4084:N4084"/>
    <mergeCell ref="A4085:G4085"/>
    <mergeCell ref="A4086:G4086"/>
    <mergeCell ref="A4068:G4068"/>
    <mergeCell ref="A4069:G4069"/>
    <mergeCell ref="I4069:J4069"/>
    <mergeCell ref="M4069:N4069"/>
    <mergeCell ref="A4070:G4070"/>
    <mergeCell ref="M4070:N4070"/>
    <mergeCell ref="M4071:N4071"/>
    <mergeCell ref="I4080:J4080"/>
    <mergeCell ref="I4081:J4081"/>
    <mergeCell ref="K4081:L4081"/>
    <mergeCell ref="M4081:N4081"/>
    <mergeCell ref="A4071:G4071"/>
    <mergeCell ref="A4074:N4075"/>
    <mergeCell ref="A4079:N4079"/>
    <mergeCell ref="A4080:G4080"/>
    <mergeCell ref="K4080:L4080"/>
    <mergeCell ref="M4080:N4080"/>
    <mergeCell ref="A4081:G4081"/>
    <mergeCell ref="K4085:L4085"/>
    <mergeCell ref="M4085:N4085"/>
    <mergeCell ref="I4085:J4085"/>
    <mergeCell ref="I4086:J4086"/>
    <mergeCell ref="K4090:L4090"/>
    <mergeCell ref="M4090:N4090"/>
    <mergeCell ref="I4090:J4090"/>
    <mergeCell ref="I4091:J4091"/>
    <mergeCell ref="K4091:L4091"/>
    <mergeCell ref="M4091:N4091"/>
    <mergeCell ref="K4086:L4086"/>
    <mergeCell ref="M4086:N4086"/>
    <mergeCell ref="K4087:L4087"/>
    <mergeCell ref="M4087:N4087"/>
    <mergeCell ref="A4089:N4089"/>
    <mergeCell ref="A4090:G4090"/>
    <mergeCell ref="A4091:G4091"/>
    <mergeCell ref="A4092:G4092"/>
    <mergeCell ref="I4092:J4092"/>
    <mergeCell ref="K4092:L4092"/>
    <mergeCell ref="M4092:N4092"/>
    <mergeCell ref="I4093:J4093"/>
    <mergeCell ref="K4093:L4093"/>
    <mergeCell ref="M4093:N4093"/>
    <mergeCell ref="K4095:L4095"/>
    <mergeCell ref="M4095:N4095"/>
    <mergeCell ref="K4096:L4096"/>
    <mergeCell ref="M4096:N4096"/>
    <mergeCell ref="A4093:G4093"/>
    <mergeCell ref="A4094:G4094"/>
    <mergeCell ref="I4094:J4094"/>
    <mergeCell ref="K4094:L4094"/>
    <mergeCell ref="M4094:N4094"/>
    <mergeCell ref="A4095:G4095"/>
    <mergeCell ref="I4095:J4095"/>
    <mergeCell ref="K4100:L4100"/>
    <mergeCell ref="M4100:N4100"/>
    <mergeCell ref="M4113:N4113"/>
    <mergeCell ref="K4114:L4114"/>
    <mergeCell ref="M4114:N4114"/>
    <mergeCell ref="I4109:J4109"/>
    <mergeCell ref="I4110:J4110"/>
    <mergeCell ref="I4111:J4111"/>
    <mergeCell ref="M4111:N4111"/>
    <mergeCell ref="I4112:J4112"/>
    <mergeCell ref="M4112:N4112"/>
    <mergeCell ref="I4113:J4113"/>
    <mergeCell ref="I4122:J4122"/>
    <mergeCell ref="K4122:L4122"/>
    <mergeCell ref="I4123:J4123"/>
    <mergeCell ref="K4123:L4123"/>
    <mergeCell ref="M4123:N4123"/>
    <mergeCell ref="A4122:G4122"/>
    <mergeCell ref="A4123:G4123"/>
    <mergeCell ref="K4147:L4147"/>
    <mergeCell ref="I4145:J4145"/>
    <mergeCell ref="K4145:L4145"/>
    <mergeCell ref="A4146:G4146"/>
    <mergeCell ref="I4146:J4146"/>
    <mergeCell ref="K4146:L4146"/>
    <mergeCell ref="M4146:N4146"/>
    <mergeCell ref="M4147:N4147"/>
    <mergeCell ref="I4177:J4177"/>
    <mergeCell ref="I4178:J4178"/>
    <mergeCell ref="K4178:L4178"/>
    <mergeCell ref="M4178:N4178"/>
    <mergeCell ref="K4173:L4173"/>
    <mergeCell ref="M4173:N4173"/>
    <mergeCell ref="K4174:L4174"/>
    <mergeCell ref="M4174:N4174"/>
    <mergeCell ref="A4176:N4176"/>
    <mergeCell ref="A4177:G4177"/>
    <mergeCell ref="A4178:G4178"/>
    <mergeCell ref="A4179:G4179"/>
    <mergeCell ref="I4179:J4179"/>
    <mergeCell ref="K4179:L4179"/>
    <mergeCell ref="M4179:N4179"/>
    <mergeCell ref="I4180:J4180"/>
    <mergeCell ref="K4180:L4180"/>
    <mergeCell ref="M4180:N4180"/>
    <mergeCell ref="K4182:L4182"/>
    <mergeCell ref="M4182:N4182"/>
    <mergeCell ref="K4183:L4183"/>
    <mergeCell ref="M4183:N4183"/>
    <mergeCell ref="A4180:G4180"/>
    <mergeCell ref="A4181:G4181"/>
    <mergeCell ref="I4181:J4181"/>
    <mergeCell ref="K4181:L4181"/>
    <mergeCell ref="M4181:N4181"/>
    <mergeCell ref="A4182:G4182"/>
    <mergeCell ref="I4182:J4182"/>
    <mergeCell ref="K4177:L4177"/>
    <mergeCell ref="M4177:N4177"/>
    <mergeCell ref="A4155:G4155"/>
    <mergeCell ref="A4156:G4156"/>
    <mergeCell ref="I4156:J4156"/>
    <mergeCell ref="M4156:N4156"/>
    <mergeCell ref="I4155:J4155"/>
    <mergeCell ref="A4152:N4152"/>
    <mergeCell ref="A4153:G4153"/>
    <mergeCell ref="I4153:J4153"/>
    <mergeCell ref="M4153:N4153"/>
    <mergeCell ref="A4154:G4154"/>
    <mergeCell ref="M4154:N4154"/>
    <mergeCell ref="M4155:N4155"/>
    <mergeCell ref="I4147:J4147"/>
    <mergeCell ref="K4192:L4192"/>
    <mergeCell ref="M4192:N4192"/>
    <mergeCell ref="A4197:G4197"/>
    <mergeCell ref="A4198:G4198"/>
    <mergeCell ref="A4199:G4199"/>
    <mergeCell ref="A4200:G4200"/>
    <mergeCell ref="A4194:N4194"/>
    <mergeCell ref="A4195:G4195"/>
    <mergeCell ref="I4195:J4195"/>
    <mergeCell ref="M4195:N4195"/>
    <mergeCell ref="A4196:G4196"/>
    <mergeCell ref="M4196:N4196"/>
    <mergeCell ref="M4197:N4197"/>
    <mergeCell ref="A4272:G4272"/>
    <mergeCell ref="I4272:J4272"/>
    <mergeCell ref="K4272:L4272"/>
    <mergeCell ref="M4272:N4272"/>
    <mergeCell ref="I4273:J4273"/>
    <mergeCell ref="K4273:L4273"/>
    <mergeCell ref="M4273:N4273"/>
    <mergeCell ref="K4275:L4275"/>
    <mergeCell ref="M4275:N4275"/>
    <mergeCell ref="K4276:L4276"/>
    <mergeCell ref="M4276:N4276"/>
    <mergeCell ref="A4273:G4273"/>
    <mergeCell ref="A4274:G4274"/>
    <mergeCell ref="I4274:J4274"/>
    <mergeCell ref="K4274:L4274"/>
    <mergeCell ref="M4274:N4274"/>
    <mergeCell ref="A4275:G4275"/>
    <mergeCell ref="I4275:J4275"/>
    <mergeCell ref="A4281:G4281"/>
    <mergeCell ref="I4270:J4270"/>
    <mergeCell ref="I4271:J4271"/>
    <mergeCell ref="K4271:L4271"/>
    <mergeCell ref="M4271:N4271"/>
    <mergeCell ref="K4267:L4267"/>
    <mergeCell ref="M4267:N4267"/>
    <mergeCell ref="A4269:N4269"/>
    <mergeCell ref="A4270:G4270"/>
    <mergeCell ref="K4270:L4270"/>
    <mergeCell ref="M4270:N4270"/>
    <mergeCell ref="A4271:G4271"/>
    <mergeCell ref="A4229:G4229"/>
    <mergeCell ref="A4230:G4230"/>
    <mergeCell ref="A4231:G4231"/>
    <mergeCell ref="I4231:J4231"/>
    <mergeCell ref="K4231:L4231"/>
    <mergeCell ref="M4231:N4231"/>
    <mergeCell ref="I4232:J4232"/>
    <mergeCell ref="K4232:L4232"/>
    <mergeCell ref="M4232:N4232"/>
    <mergeCell ref="A4232:G4232"/>
    <mergeCell ref="A4233:G4233"/>
    <mergeCell ref="I4233:J4233"/>
    <mergeCell ref="K4233:L4233"/>
    <mergeCell ref="M4233:N4233"/>
    <mergeCell ref="K4234:L4234"/>
    <mergeCell ref="M4234:N4234"/>
    <mergeCell ref="A4251:G4251"/>
    <mergeCell ref="A4252:G4252"/>
    <mergeCell ref="A4253:G4253"/>
    <mergeCell ref="A4254:G4254"/>
    <mergeCell ref="A4255:G4255"/>
    <mergeCell ref="A4282:G4282"/>
    <mergeCell ref="A4283:G4283"/>
    <mergeCell ref="A4284:G4284"/>
    <mergeCell ref="A4278:N4278"/>
    <mergeCell ref="A4279:G4279"/>
    <mergeCell ref="I4279:J4279"/>
    <mergeCell ref="M4279:N4279"/>
    <mergeCell ref="A4280:G4280"/>
    <mergeCell ref="M4280:N4280"/>
    <mergeCell ref="M4281:N4281"/>
    <mergeCell ref="I4280:J4280"/>
    <mergeCell ref="I4281:J4281"/>
    <mergeCell ref="I4282:J4282"/>
    <mergeCell ref="M4282:N4282"/>
    <mergeCell ref="I4283:J4283"/>
    <mergeCell ref="M4283:N4283"/>
    <mergeCell ref="I4284:J4284"/>
    <mergeCell ref="K4293:L4293"/>
    <mergeCell ref="M4293:N4293"/>
    <mergeCell ref="A4295:G4295"/>
    <mergeCell ref="I4295:J4295"/>
    <mergeCell ref="K4295:L4295"/>
    <mergeCell ref="M4295:N4295"/>
    <mergeCell ref="I4296:J4296"/>
    <mergeCell ref="K4296:L4296"/>
    <mergeCell ref="M4296:N4296"/>
    <mergeCell ref="A4296:G4296"/>
    <mergeCell ref="A4297:G4297"/>
    <mergeCell ref="I4297:J4297"/>
    <mergeCell ref="K4297:L4297"/>
    <mergeCell ref="M4297:N4297"/>
    <mergeCell ref="A4298:G4298"/>
    <mergeCell ref="A4299:G4299"/>
    <mergeCell ref="I4293:J4293"/>
    <mergeCell ref="I4294:J4294"/>
    <mergeCell ref="K4294:L4294"/>
    <mergeCell ref="M4294:N4294"/>
    <mergeCell ref="M4284:N4284"/>
    <mergeCell ref="K4285:L4285"/>
    <mergeCell ref="M4285:N4285"/>
    <mergeCell ref="A4287:N4288"/>
    <mergeCell ref="A4292:N4292"/>
    <mergeCell ref="A4293:G4293"/>
    <mergeCell ref="A4294:G4294"/>
    <mergeCell ref="K4298:L4298"/>
    <mergeCell ref="M4298:N4298"/>
    <mergeCell ref="I4298:J4298"/>
    <mergeCell ref="I4299:J4299"/>
    <mergeCell ref="K4299:L4299"/>
    <mergeCell ref="M4299:N4299"/>
    <mergeCell ref="A4300:G4300"/>
    <mergeCell ref="I4300:J4300"/>
    <mergeCell ref="K4300:L4300"/>
    <mergeCell ref="M4300:N4300"/>
    <mergeCell ref="I4301:J4301"/>
    <mergeCell ref="K4301:L4301"/>
    <mergeCell ref="M4301:N4301"/>
    <mergeCell ref="A4301:G4301"/>
    <mergeCell ref="A4304:N4304"/>
    <mergeCell ref="A4305:G4305"/>
    <mergeCell ref="I4305:J4305"/>
    <mergeCell ref="K4305:L4305"/>
    <mergeCell ref="M4305:N4305"/>
    <mergeCell ref="A4306:G4306"/>
    <mergeCell ref="M4306:N4306"/>
    <mergeCell ref="I4308:J4308"/>
    <mergeCell ref="K4308:L4308"/>
    <mergeCell ref="I4306:J4306"/>
    <mergeCell ref="K4306:L4306"/>
    <mergeCell ref="A4307:G4307"/>
    <mergeCell ref="I4307:J4307"/>
    <mergeCell ref="K4307:L4307"/>
    <mergeCell ref="M4307:N4307"/>
    <mergeCell ref="M4308:N4308"/>
    <mergeCell ref="K4310:L4310"/>
    <mergeCell ref="M4310:N4310"/>
    <mergeCell ref="K4311:L4311"/>
    <mergeCell ref="M4311:N4311"/>
    <mergeCell ref="A4308:G4308"/>
    <mergeCell ref="A4309:G4309"/>
    <mergeCell ref="I4309:J4309"/>
    <mergeCell ref="K4309:L4309"/>
    <mergeCell ref="M4309:N4309"/>
    <mergeCell ref="A4310:G4310"/>
    <mergeCell ref="I4310:J4310"/>
    <mergeCell ref="K4302:L4302"/>
    <mergeCell ref="M4302:N4302"/>
    <mergeCell ref="I4367:J4367"/>
    <mergeCell ref="I4368:J4368"/>
    <mergeCell ref="I4363:J4363"/>
    <mergeCell ref="K4363:L4363"/>
    <mergeCell ref="M4363:N4363"/>
    <mergeCell ref="A4366:N4366"/>
    <mergeCell ref="A4367:G4367"/>
    <mergeCell ref="M4367:N4367"/>
    <mergeCell ref="M4368:N4368"/>
    <mergeCell ref="A4349:G4349"/>
    <mergeCell ref="A4350:G4350"/>
    <mergeCell ref="A4351:G4351"/>
    <mergeCell ref="A4352:G4352"/>
    <mergeCell ref="A4353:G4353"/>
    <mergeCell ref="A4354:G4354"/>
    <mergeCell ref="I4345:J4345"/>
    <mergeCell ref="K4345:L4345"/>
    <mergeCell ref="M4345:N4345"/>
    <mergeCell ref="K4346:L4346"/>
    <mergeCell ref="M4346:N4346"/>
    <mergeCell ref="A4348:N4348"/>
    <mergeCell ref="M4349:N4349"/>
    <mergeCell ref="I4349:J4349"/>
    <mergeCell ref="K4349:L4349"/>
    <mergeCell ref="I4350:J4350"/>
    <mergeCell ref="K4350:L4350"/>
    <mergeCell ref="M4350:N4350"/>
    <mergeCell ref="K4351:L4351"/>
    <mergeCell ref="M4351:N4351"/>
    <mergeCell ref="I4351:J4351"/>
    <mergeCell ref="I4352:J4352"/>
    <mergeCell ref="K4352:L4352"/>
    <mergeCell ref="M4352:N4352"/>
    <mergeCell ref="I4353:J4353"/>
    <mergeCell ref="K4353:L4353"/>
    <mergeCell ref="M4353:N4353"/>
    <mergeCell ref="A4358:G4358"/>
    <mergeCell ref="A4359:G4359"/>
    <mergeCell ref="A4360:G4360"/>
    <mergeCell ref="A4361:G4361"/>
    <mergeCell ref="A4362:G4362"/>
    <mergeCell ref="A4363:G4363"/>
    <mergeCell ref="I4354:J4354"/>
    <mergeCell ref="K4354:L4354"/>
    <mergeCell ref="M4354:N4354"/>
    <mergeCell ref="K4355:L4355"/>
    <mergeCell ref="M4355:N4355"/>
    <mergeCell ref="A4357:N4357"/>
    <mergeCell ref="M4358:N4358"/>
    <mergeCell ref="A4371:G4371"/>
    <mergeCell ref="A4372:G4372"/>
    <mergeCell ref="I4372:J4372"/>
    <mergeCell ref="M4372:N4372"/>
    <mergeCell ref="K4373:L4373"/>
    <mergeCell ref="M4373:N4373"/>
    <mergeCell ref="A4375:N4376"/>
    <mergeCell ref="A4384:G4384"/>
    <mergeCell ref="I4384:J4384"/>
    <mergeCell ref="K4384:L4384"/>
    <mergeCell ref="M4384:N4384"/>
    <mergeCell ref="I4385:J4385"/>
    <mergeCell ref="K4385:L4385"/>
    <mergeCell ref="M4385:N4385"/>
    <mergeCell ref="A4385:G4385"/>
    <mergeCell ref="A4386:G4386"/>
    <mergeCell ref="I4386:J4386"/>
    <mergeCell ref="K4386:L4386"/>
    <mergeCell ref="M4386:N4386"/>
    <mergeCell ref="A4387:G4387"/>
    <mergeCell ref="A4388:G4388"/>
    <mergeCell ref="K4382:L4382"/>
    <mergeCell ref="M4382:N4382"/>
    <mergeCell ref="I4382:J4382"/>
    <mergeCell ref="I4383:J4383"/>
    <mergeCell ref="K4383:L4383"/>
    <mergeCell ref="M4383:N4383"/>
    <mergeCell ref="A4380:N4380"/>
    <mergeCell ref="A4381:G4381"/>
    <mergeCell ref="I4381:J4381"/>
    <mergeCell ref="K4381:L4381"/>
    <mergeCell ref="M4381:N4381"/>
    <mergeCell ref="A4382:G4382"/>
    <mergeCell ref="A4383:G4383"/>
    <mergeCell ref="K4387:L4387"/>
    <mergeCell ref="M4387:N4387"/>
    <mergeCell ref="I4387:J4387"/>
    <mergeCell ref="I4388:J4388"/>
    <mergeCell ref="K4390:L4390"/>
    <mergeCell ref="M4390:N4390"/>
    <mergeCell ref="K4388:L4388"/>
    <mergeCell ref="M4388:N4388"/>
    <mergeCell ref="A4389:G4389"/>
    <mergeCell ref="I4389:J4389"/>
    <mergeCell ref="K4389:L4389"/>
    <mergeCell ref="M4389:N4389"/>
    <mergeCell ref="A4392:N4392"/>
    <mergeCell ref="A4322:N4322"/>
    <mergeCell ref="A4323:G4323"/>
    <mergeCell ref="I4323:J4323"/>
    <mergeCell ref="M4323:N4323"/>
    <mergeCell ref="A4324:G4324"/>
    <mergeCell ref="M4324:N4324"/>
    <mergeCell ref="M4325:N4325"/>
    <mergeCell ref="A4325:G4325"/>
    <mergeCell ref="A4326:G4326"/>
    <mergeCell ref="A4327:G4327"/>
    <mergeCell ref="A4328:G4328"/>
    <mergeCell ref="A4331:N4332"/>
    <mergeCell ref="A4336:N4336"/>
    <mergeCell ref="M4337:N4337"/>
    <mergeCell ref="I4337:J4337"/>
    <mergeCell ref="K4337:L4337"/>
    <mergeCell ref="I4338:J4338"/>
    <mergeCell ref="K4338:L4338"/>
    <mergeCell ref="M4338:N4338"/>
    <mergeCell ref="K4339:L4339"/>
    <mergeCell ref="M4339:N4339"/>
    <mergeCell ref="I4339:J4339"/>
    <mergeCell ref="I4340:J4340"/>
    <mergeCell ref="K4340:L4340"/>
    <mergeCell ref="M4340:N4340"/>
    <mergeCell ref="I4341:J4341"/>
    <mergeCell ref="K4341:L4341"/>
    <mergeCell ref="M4341:N4341"/>
    <mergeCell ref="A4344:G4344"/>
    <mergeCell ref="A4345:G4345"/>
    <mergeCell ref="A4337:G4337"/>
    <mergeCell ref="A4338:G4338"/>
    <mergeCell ref="A4339:G4339"/>
    <mergeCell ref="A4340:G4340"/>
    <mergeCell ref="A4341:G4341"/>
    <mergeCell ref="A4342:G4342"/>
    <mergeCell ref="A4343:G4343"/>
    <mergeCell ref="I4359:J4359"/>
    <mergeCell ref="K4359:L4359"/>
    <mergeCell ref="M4359:N4359"/>
    <mergeCell ref="K4360:L4360"/>
    <mergeCell ref="M4360:N4360"/>
    <mergeCell ref="K4364:L4364"/>
    <mergeCell ref="M4364:N4364"/>
    <mergeCell ref="I4360:J4360"/>
    <mergeCell ref="I4361:J4361"/>
    <mergeCell ref="K4361:L4361"/>
    <mergeCell ref="M4361:N4361"/>
    <mergeCell ref="I4362:J4362"/>
    <mergeCell ref="K4362:L4362"/>
    <mergeCell ref="M4362:N4362"/>
    <mergeCell ref="I4370:J4370"/>
    <mergeCell ref="I4371:J4371"/>
    <mergeCell ref="A4368:G4368"/>
    <mergeCell ref="A4369:G4369"/>
    <mergeCell ref="M4316:N4316"/>
    <mergeCell ref="A4313:N4313"/>
    <mergeCell ref="A4314:G4314"/>
    <mergeCell ref="I4314:J4314"/>
    <mergeCell ref="K4314:L4314"/>
    <mergeCell ref="M4314:N4314"/>
    <mergeCell ref="A4315:G4315"/>
    <mergeCell ref="A4316:G4316"/>
    <mergeCell ref="A4317:G4317"/>
    <mergeCell ref="I4317:J4317"/>
    <mergeCell ref="K4317:L4317"/>
    <mergeCell ref="M4317:N4317"/>
    <mergeCell ref="I4318:J4318"/>
    <mergeCell ref="K4318:L4318"/>
    <mergeCell ref="M4318:N4318"/>
    <mergeCell ref="A4318:G4318"/>
    <mergeCell ref="A4319:G4319"/>
    <mergeCell ref="I4319:J4319"/>
    <mergeCell ref="K4319:L4319"/>
    <mergeCell ref="M4319:N4319"/>
    <mergeCell ref="K4320:L4320"/>
    <mergeCell ref="M4320:N4320"/>
    <mergeCell ref="K4344:L4344"/>
    <mergeCell ref="M4344:N4344"/>
    <mergeCell ref="I4342:J4342"/>
    <mergeCell ref="K4342:L4342"/>
    <mergeCell ref="M4342:N4342"/>
    <mergeCell ref="I4343:J4343"/>
    <mergeCell ref="K4343:L4343"/>
    <mergeCell ref="M4343:N4343"/>
    <mergeCell ref="I4344:J4344"/>
    <mergeCell ref="I4358:J4358"/>
    <mergeCell ref="K4358:L4358"/>
    <mergeCell ref="K4315:L4315"/>
    <mergeCell ref="M4315:N4315"/>
    <mergeCell ref="M4328:N4328"/>
    <mergeCell ref="K4329:L4329"/>
    <mergeCell ref="M4329:N4329"/>
    <mergeCell ref="I4324:J4324"/>
    <mergeCell ref="I4325:J4325"/>
    <mergeCell ref="I4326:J4326"/>
    <mergeCell ref="M4326:N4326"/>
    <mergeCell ref="I4327:J4327"/>
    <mergeCell ref="M4327:N4327"/>
    <mergeCell ref="I4328:J4328"/>
    <mergeCell ref="I4315:J4315"/>
    <mergeCell ref="I4316:J4316"/>
    <mergeCell ref="K4316:L4316"/>
    <mergeCell ref="I4369:J4369"/>
    <mergeCell ref="M4369:N4369"/>
    <mergeCell ref="A4370:G4370"/>
    <mergeCell ref="M4370:N4370"/>
    <mergeCell ref="M4371:N4371"/>
    <mergeCell ref="I4405:J4405"/>
    <mergeCell ref="K4405:L4405"/>
    <mergeCell ref="I4402:J4402"/>
    <mergeCell ref="I4403:J4403"/>
    <mergeCell ref="A4404:G4404"/>
    <mergeCell ref="I4404:J4404"/>
    <mergeCell ref="K4404:L4404"/>
    <mergeCell ref="M4404:N4404"/>
    <mergeCell ref="M4405:N4405"/>
    <mergeCell ref="K4447:L4447"/>
    <mergeCell ref="M4447:N4447"/>
    <mergeCell ref="K4443:L4443"/>
    <mergeCell ref="M4443:N4443"/>
    <mergeCell ref="A4445:N4445"/>
    <mergeCell ref="A4446:G4446"/>
    <mergeCell ref="K4446:L4446"/>
    <mergeCell ref="M4446:N4446"/>
    <mergeCell ref="A4447:G4447"/>
    <mergeCell ref="K4431:L4431"/>
    <mergeCell ref="M4431:N4431"/>
    <mergeCell ref="A4432:G4432"/>
    <mergeCell ref="I4432:J4432"/>
    <mergeCell ref="K4432:L4432"/>
    <mergeCell ref="M4432:N4432"/>
    <mergeCell ref="M4433:N4433"/>
    <mergeCell ref="A4438:G4438"/>
    <mergeCell ref="A4439:G4439"/>
    <mergeCell ref="A4440:G4440"/>
    <mergeCell ref="A4441:G4441"/>
    <mergeCell ref="A4442:G4442"/>
    <mergeCell ref="A4433:G4433"/>
    <mergeCell ref="A4436:N4436"/>
    <mergeCell ref="A4437:G4437"/>
    <mergeCell ref="I4437:J4437"/>
    <mergeCell ref="K4437:L4437"/>
    <mergeCell ref="M4437:N4437"/>
    <mergeCell ref="M4438:N4438"/>
    <mergeCell ref="I4438:J4438"/>
    <mergeCell ref="K4438:L4438"/>
    <mergeCell ref="I4439:J4439"/>
    <mergeCell ref="K4439:L4439"/>
    <mergeCell ref="M4439:N4439"/>
    <mergeCell ref="K4440:L4440"/>
    <mergeCell ref="M4440:N4440"/>
    <mergeCell ref="I4440:J4440"/>
    <mergeCell ref="I4441:J4441"/>
    <mergeCell ref="K4441:L4441"/>
    <mergeCell ref="M4441:N4441"/>
    <mergeCell ref="I4442:J4442"/>
    <mergeCell ref="K4442:L4442"/>
    <mergeCell ref="M4442:N4442"/>
    <mergeCell ref="I4446:J4446"/>
    <mergeCell ref="I4447:J4447"/>
    <mergeCell ref="K4428:L4428"/>
    <mergeCell ref="M4428:N4428"/>
    <mergeCell ref="A4428:G4428"/>
    <mergeCell ref="A4429:G4429"/>
    <mergeCell ref="I4429:J4429"/>
    <mergeCell ref="K4429:L4429"/>
    <mergeCell ref="K4403:L4403"/>
    <mergeCell ref="M4403:N4403"/>
    <mergeCell ref="A4398:G4398"/>
    <mergeCell ref="I4398:J4398"/>
    <mergeCell ref="K4398:L4398"/>
    <mergeCell ref="M4398:N4398"/>
    <mergeCell ref="A4401:N4401"/>
    <mergeCell ref="A4402:G4402"/>
    <mergeCell ref="A4403:G4403"/>
    <mergeCell ref="K4407:L4407"/>
    <mergeCell ref="M4407:N4407"/>
    <mergeCell ref="K4408:L4408"/>
    <mergeCell ref="M4408:N4408"/>
    <mergeCell ref="A4405:G4405"/>
    <mergeCell ref="A4406:G4406"/>
    <mergeCell ref="I4406:J4406"/>
    <mergeCell ref="K4406:L4406"/>
    <mergeCell ref="M4406:N4406"/>
    <mergeCell ref="A4407:G4407"/>
    <mergeCell ref="I4407:J4407"/>
    <mergeCell ref="I4412:J4412"/>
    <mergeCell ref="I4413:J4413"/>
    <mergeCell ref="A4410:N4410"/>
    <mergeCell ref="A4411:G4411"/>
    <mergeCell ref="I4411:J4411"/>
    <mergeCell ref="M4411:N4411"/>
    <mergeCell ref="A4412:G4412"/>
    <mergeCell ref="M4412:N4412"/>
    <mergeCell ref="M4413:N4413"/>
    <mergeCell ref="A4393:G4393"/>
    <mergeCell ref="I4393:J4393"/>
    <mergeCell ref="K4393:L4393"/>
    <mergeCell ref="M4393:N4393"/>
    <mergeCell ref="I4394:J4394"/>
    <mergeCell ref="K4394:L4394"/>
    <mergeCell ref="M4394:N4394"/>
    <mergeCell ref="K4396:L4396"/>
    <mergeCell ref="M4396:N4396"/>
    <mergeCell ref="I4396:J4396"/>
    <mergeCell ref="I4397:J4397"/>
    <mergeCell ref="K4397:L4397"/>
    <mergeCell ref="M4397:N4397"/>
    <mergeCell ref="K4399:L4399"/>
    <mergeCell ref="M4399:N4399"/>
    <mergeCell ref="A4394:G4394"/>
    <mergeCell ref="A4395:G4395"/>
    <mergeCell ref="I4395:J4395"/>
    <mergeCell ref="K4395:L4395"/>
    <mergeCell ref="M4395:N4395"/>
    <mergeCell ref="A4396:G4396"/>
    <mergeCell ref="A4397:G4397"/>
    <mergeCell ref="K4402:L4402"/>
    <mergeCell ref="M4402:N4402"/>
    <mergeCell ref="A4493:G4493"/>
    <mergeCell ref="A4494:G4494"/>
    <mergeCell ref="I4494:J4494"/>
    <mergeCell ref="K4494:L4494"/>
    <mergeCell ref="M4494:N4494"/>
    <mergeCell ref="A4495:G4495"/>
    <mergeCell ref="I4495:J4495"/>
    <mergeCell ref="K4495:L4495"/>
    <mergeCell ref="M4429:N4429"/>
    <mergeCell ref="A4430:G4430"/>
    <mergeCell ref="A4431:G4431"/>
    <mergeCell ref="A4413:G4413"/>
    <mergeCell ref="A4414:G4414"/>
    <mergeCell ref="I4414:J4414"/>
    <mergeCell ref="M4414:N4414"/>
    <mergeCell ref="A4415:G4415"/>
    <mergeCell ref="M4415:N4415"/>
    <mergeCell ref="M4416:N4416"/>
    <mergeCell ref="I4425:J4425"/>
    <mergeCell ref="I4426:J4426"/>
    <mergeCell ref="K4426:L4426"/>
    <mergeCell ref="M4426:N4426"/>
    <mergeCell ref="A4416:G4416"/>
    <mergeCell ref="A4419:N4420"/>
    <mergeCell ref="A4424:N4424"/>
    <mergeCell ref="A4425:G4425"/>
    <mergeCell ref="K4425:L4425"/>
    <mergeCell ref="M4425:N4425"/>
    <mergeCell ref="A4426:G4426"/>
    <mergeCell ref="K4430:L4430"/>
    <mergeCell ref="M4430:N4430"/>
    <mergeCell ref="I4430:J4430"/>
    <mergeCell ref="I4431:J4431"/>
    <mergeCell ref="I4433:J4433"/>
    <mergeCell ref="K4433:L4433"/>
    <mergeCell ref="K4434:L4434"/>
    <mergeCell ref="M4434:N4434"/>
    <mergeCell ref="I4471:J4471"/>
    <mergeCell ref="I4472:J4472"/>
    <mergeCell ref="K4472:L4472"/>
    <mergeCell ref="M4472:N4472"/>
    <mergeCell ref="I4469:J4469"/>
    <mergeCell ref="K4469:L4469"/>
    <mergeCell ref="I4470:J4470"/>
    <mergeCell ref="K4470:L4470"/>
    <mergeCell ref="M4470:N4470"/>
    <mergeCell ref="K4471:L4471"/>
    <mergeCell ref="M4471:N4471"/>
    <mergeCell ref="K4451:L4451"/>
    <mergeCell ref="M4451:N4451"/>
    <mergeCell ref="I4415:J4415"/>
    <mergeCell ref="I4416:J4416"/>
    <mergeCell ref="K4417:L4417"/>
    <mergeCell ref="M4417:N4417"/>
    <mergeCell ref="A4427:G4427"/>
    <mergeCell ref="I4427:J4427"/>
    <mergeCell ref="K4427:L4427"/>
    <mergeCell ref="M4427:N4427"/>
    <mergeCell ref="I4428:J4428"/>
    <mergeCell ref="I4477:J4477"/>
    <mergeCell ref="K4477:L4477"/>
    <mergeCell ref="K4478:L4478"/>
    <mergeCell ref="M4478:N4478"/>
    <mergeCell ref="K4491:L4491"/>
    <mergeCell ref="M4491:N4491"/>
    <mergeCell ref="K4487:L4487"/>
    <mergeCell ref="M4487:N4487"/>
    <mergeCell ref="I4514:J4514"/>
    <mergeCell ref="K4514:L4514"/>
    <mergeCell ref="A4507:N4508"/>
    <mergeCell ref="A4512:N4512"/>
    <mergeCell ref="A4513:G4513"/>
    <mergeCell ref="I4513:J4513"/>
    <mergeCell ref="K4513:L4513"/>
    <mergeCell ref="M4513:N4513"/>
    <mergeCell ref="M4514:N4514"/>
    <mergeCell ref="K4475:L4475"/>
    <mergeCell ref="M4475:N4475"/>
    <mergeCell ref="A4476:G4476"/>
    <mergeCell ref="I4476:J4476"/>
    <mergeCell ref="K4476:L4476"/>
    <mergeCell ref="M4476:N4476"/>
    <mergeCell ref="M4477:N4477"/>
    <mergeCell ref="A4482:G4482"/>
    <mergeCell ref="A4483:G4483"/>
    <mergeCell ref="A4484:G4484"/>
    <mergeCell ref="A4485:G4485"/>
    <mergeCell ref="A4486:G4486"/>
    <mergeCell ref="A4477:G4477"/>
    <mergeCell ref="A4480:N4480"/>
    <mergeCell ref="A4481:G4481"/>
    <mergeCell ref="I4481:J4481"/>
    <mergeCell ref="K4481:L4481"/>
    <mergeCell ref="M4481:N4481"/>
    <mergeCell ref="M4482:N4482"/>
    <mergeCell ref="I4482:J4482"/>
    <mergeCell ref="K4482:L4482"/>
    <mergeCell ref="I4483:J4483"/>
    <mergeCell ref="K4483:L4483"/>
    <mergeCell ref="M4483:N4483"/>
    <mergeCell ref="K4484:L4484"/>
    <mergeCell ref="M4484:N4484"/>
    <mergeCell ref="I4484:J4484"/>
    <mergeCell ref="I4485:J4485"/>
    <mergeCell ref="K4485:L4485"/>
    <mergeCell ref="M4485:N4485"/>
    <mergeCell ref="I4486:J4486"/>
    <mergeCell ref="K4486:L4486"/>
    <mergeCell ref="M4486:N4486"/>
    <mergeCell ref="I4490:J4490"/>
    <mergeCell ref="I4491:J4491"/>
    <mergeCell ref="A4489:N4489"/>
    <mergeCell ref="A4490:G4490"/>
    <mergeCell ref="K4490:L4490"/>
    <mergeCell ref="M4490:N4490"/>
    <mergeCell ref="A4491:G4491"/>
    <mergeCell ref="A4492:G4492"/>
    <mergeCell ref="I4492:J4492"/>
    <mergeCell ref="K4492:L4492"/>
    <mergeCell ref="M4492:N4492"/>
    <mergeCell ref="I4493:J4493"/>
    <mergeCell ref="K4493:L4493"/>
    <mergeCell ref="M4493:N4493"/>
    <mergeCell ref="M4495:N4495"/>
    <mergeCell ref="K4496:L4496"/>
    <mergeCell ref="M4496:N4496"/>
    <mergeCell ref="A4498:N4498"/>
    <mergeCell ref="I4499:J4499"/>
    <mergeCell ref="A4469:G4469"/>
    <mergeCell ref="A4470:G4470"/>
    <mergeCell ref="A4471:G4471"/>
    <mergeCell ref="A4472:G4472"/>
    <mergeCell ref="I4473:J4473"/>
    <mergeCell ref="K4473:L4473"/>
    <mergeCell ref="M4473:N4473"/>
    <mergeCell ref="A4473:G4473"/>
    <mergeCell ref="A4474:G4474"/>
    <mergeCell ref="I4474:J4474"/>
    <mergeCell ref="K4474:L4474"/>
    <mergeCell ref="M4474:N4474"/>
    <mergeCell ref="A4475:G4475"/>
    <mergeCell ref="I4475:J4475"/>
    <mergeCell ref="A4448:G4448"/>
    <mergeCell ref="I4448:J4448"/>
    <mergeCell ref="K4448:L4448"/>
    <mergeCell ref="M4448:N4448"/>
    <mergeCell ref="I4449:J4449"/>
    <mergeCell ref="K4449:L4449"/>
    <mergeCell ref="M4449:N4449"/>
    <mergeCell ref="A4449:G4449"/>
    <mergeCell ref="A4450:G4450"/>
    <mergeCell ref="I4450:J4450"/>
    <mergeCell ref="K4450:L4450"/>
    <mergeCell ref="M4450:N4450"/>
    <mergeCell ref="A4451:G4451"/>
    <mergeCell ref="I4451:J4451"/>
    <mergeCell ref="M4455:N4455"/>
    <mergeCell ref="M4456:N4456"/>
    <mergeCell ref="M4458:N4458"/>
    <mergeCell ref="M4459:N4459"/>
    <mergeCell ref="M4460:N4460"/>
    <mergeCell ref="M4461:N4461"/>
    <mergeCell ref="I4456:J4456"/>
    <mergeCell ref="I4457:J4457"/>
    <mergeCell ref="I4458:J4458"/>
    <mergeCell ref="I4459:J4459"/>
    <mergeCell ref="I4460:J4460"/>
    <mergeCell ref="K4461:L4461"/>
    <mergeCell ref="K4452:L4452"/>
    <mergeCell ref="M4452:N4452"/>
    <mergeCell ref="A4454:N4454"/>
    <mergeCell ref="A4455:G4455"/>
    <mergeCell ref="I4455:J4455"/>
    <mergeCell ref="A4456:G4456"/>
    <mergeCell ref="M4457:N4457"/>
    <mergeCell ref="A4457:G4457"/>
    <mergeCell ref="A4458:G4458"/>
    <mergeCell ref="A4459:G4459"/>
    <mergeCell ref="A4460:G4460"/>
    <mergeCell ref="A4463:N4464"/>
    <mergeCell ref="A4468:N4468"/>
    <mergeCell ref="M4469:N4469"/>
    <mergeCell ref="M4499:N4499"/>
    <mergeCell ref="A4499:G4499"/>
    <mergeCell ref="A4500:G4500"/>
    <mergeCell ref="I4500:J4500"/>
    <mergeCell ref="M4500:N4500"/>
    <mergeCell ref="A4501:G4501"/>
    <mergeCell ref="M4501:N4501"/>
    <mergeCell ref="A4502:G4502"/>
    <mergeCell ref="M4502:N4502"/>
    <mergeCell ref="M4504:N4504"/>
    <mergeCell ref="K4505:L4505"/>
    <mergeCell ref="M4505:N4505"/>
    <mergeCell ref="I4501:J4501"/>
    <mergeCell ref="I4502:J4502"/>
    <mergeCell ref="A4503:G4503"/>
    <mergeCell ref="I4503:J4503"/>
    <mergeCell ref="M4503:N4503"/>
    <mergeCell ref="A4504:G4504"/>
    <mergeCell ref="I4504:J4504"/>
    <mergeCell ref="I4516:J4516"/>
    <mergeCell ref="I4517:J4517"/>
    <mergeCell ref="K4517:L4517"/>
    <mergeCell ref="M4517:N4517"/>
    <mergeCell ref="A4514:G4514"/>
    <mergeCell ref="A4515:G4515"/>
    <mergeCell ref="I4515:J4515"/>
    <mergeCell ref="K4515:L4515"/>
    <mergeCell ref="M4515:N4515"/>
    <mergeCell ref="A4516:G4516"/>
    <mergeCell ref="A4517:G4517"/>
    <mergeCell ref="K4516:L4516"/>
    <mergeCell ref="M4516:N4516"/>
    <mergeCell ref="A4518:G4518"/>
    <mergeCell ref="I4518:J4518"/>
    <mergeCell ref="K4518:L4518"/>
    <mergeCell ref="M4518:N4518"/>
    <mergeCell ref="I4519:J4519"/>
    <mergeCell ref="K4519:L4519"/>
    <mergeCell ref="M4519:N4519"/>
    <mergeCell ref="K4521:L4521"/>
    <mergeCell ref="M4521:N4521"/>
    <mergeCell ref="K4522:L4522"/>
    <mergeCell ref="M4522:N4522"/>
    <mergeCell ref="A4519:G4519"/>
    <mergeCell ref="A4520:G4520"/>
    <mergeCell ref="I4520:J4520"/>
    <mergeCell ref="K4520:L4520"/>
    <mergeCell ref="M4520:N4520"/>
    <mergeCell ref="A4521:G4521"/>
    <mergeCell ref="I4521:J4521"/>
    <mergeCell ref="K4526:L4526"/>
    <mergeCell ref="M4526:N4526"/>
    <mergeCell ref="K4536:L4536"/>
    <mergeCell ref="M4536:N4536"/>
    <mergeCell ref="A4533:N4533"/>
    <mergeCell ref="A4534:G4534"/>
    <mergeCell ref="I4534:J4534"/>
    <mergeCell ref="K4534:L4534"/>
    <mergeCell ref="M4534:N4534"/>
    <mergeCell ref="A4535:G4535"/>
    <mergeCell ref="A4536:G4536"/>
    <mergeCell ref="I4538:J4538"/>
    <mergeCell ref="K4538:L4538"/>
    <mergeCell ref="I4535:J4535"/>
    <mergeCell ref="I4536:J4536"/>
    <mergeCell ref="A4537:G4537"/>
    <mergeCell ref="I4537:J4537"/>
    <mergeCell ref="K4537:L4537"/>
    <mergeCell ref="M4537:N4537"/>
    <mergeCell ref="M4538:N4538"/>
    <mergeCell ref="I4526:J4526"/>
    <mergeCell ref="I4527:J4527"/>
    <mergeCell ref="K4527:L4527"/>
    <mergeCell ref="M4527:N4527"/>
    <mergeCell ref="A4524:N4524"/>
    <mergeCell ref="A4525:G4525"/>
    <mergeCell ref="I4525:J4525"/>
    <mergeCell ref="K4525:L4525"/>
    <mergeCell ref="M4525:N4525"/>
    <mergeCell ref="A4526:G4526"/>
    <mergeCell ref="A4527:G4527"/>
    <mergeCell ref="A4528:G4528"/>
    <mergeCell ref="I4528:J4528"/>
    <mergeCell ref="K4528:L4528"/>
    <mergeCell ref="M4528:N4528"/>
    <mergeCell ref="I4529:J4529"/>
    <mergeCell ref="K4529:L4529"/>
    <mergeCell ref="M4529:N4529"/>
    <mergeCell ref="A4529:G4529"/>
    <mergeCell ref="A4530:G4530"/>
    <mergeCell ref="I4530:J4530"/>
    <mergeCell ref="K4530:L4530"/>
    <mergeCell ref="M4530:N4530"/>
    <mergeCell ref="K4531:L4531"/>
    <mergeCell ref="M4531:N4531"/>
    <mergeCell ref="K4535:L4535"/>
    <mergeCell ref="M4535:N4535"/>
    <mergeCell ref="A4538:G4538"/>
    <mergeCell ref="A4539:G4539"/>
    <mergeCell ref="I4539:J4539"/>
    <mergeCell ref="K4539:L4539"/>
    <mergeCell ref="M4539:N4539"/>
    <mergeCell ref="K4540:L4540"/>
    <mergeCell ref="M4540:N4540"/>
    <mergeCell ref="A4545:G4545"/>
    <mergeCell ref="A4546:G4546"/>
    <mergeCell ref="A4547:G4547"/>
    <mergeCell ref="A4548:G4548"/>
    <mergeCell ref="A4542:N4542"/>
    <mergeCell ref="A4543:G4543"/>
    <mergeCell ref="I4543:J4543"/>
    <mergeCell ref="M4543:N4543"/>
    <mergeCell ref="A4544:G4544"/>
    <mergeCell ref="M4544:N4544"/>
    <mergeCell ref="M4545:N4545"/>
    <mergeCell ref="I4544:J4544"/>
    <mergeCell ref="I4545:J4545"/>
    <mergeCell ref="I4546:J4546"/>
    <mergeCell ref="M4546:N4546"/>
    <mergeCell ref="I4547:J4547"/>
    <mergeCell ref="M4547:N4547"/>
    <mergeCell ref="I4548:J4548"/>
    <mergeCell ref="K4557:L4557"/>
    <mergeCell ref="M4557:N4557"/>
    <mergeCell ref="I4557:J4557"/>
    <mergeCell ref="I4558:J4558"/>
    <mergeCell ref="K4558:L4558"/>
    <mergeCell ref="M4558:N4558"/>
    <mergeCell ref="M4548:N4548"/>
    <mergeCell ref="K4549:L4549"/>
    <mergeCell ref="M4549:N4549"/>
    <mergeCell ref="A4551:N4552"/>
    <mergeCell ref="A4556:N4556"/>
    <mergeCell ref="A4557:G4557"/>
    <mergeCell ref="A4558:G4558"/>
    <mergeCell ref="A4559:G4559"/>
    <mergeCell ref="I4559:J4559"/>
    <mergeCell ref="K4559:L4559"/>
    <mergeCell ref="M4559:N4559"/>
    <mergeCell ref="I4560:J4560"/>
    <mergeCell ref="K4560:L4560"/>
    <mergeCell ref="M4560:N4560"/>
    <mergeCell ref="K4562:L4562"/>
    <mergeCell ref="M4562:N4562"/>
    <mergeCell ref="K4563:L4563"/>
    <mergeCell ref="M4563:N4563"/>
    <mergeCell ref="A4560:G4560"/>
    <mergeCell ref="A4561:G4561"/>
    <mergeCell ref="I4561:J4561"/>
    <mergeCell ref="K4561:L4561"/>
    <mergeCell ref="M4561:N4561"/>
    <mergeCell ref="A4562:G4562"/>
    <mergeCell ref="I4562:J4562"/>
    <mergeCell ref="K4567:L4567"/>
    <mergeCell ref="M4567:N4567"/>
    <mergeCell ref="I4567:J4567"/>
    <mergeCell ref="I4568:J4568"/>
    <mergeCell ref="K4568:L4568"/>
    <mergeCell ref="M4568:N4568"/>
    <mergeCell ref="A4565:N4565"/>
    <mergeCell ref="A4566:G4566"/>
    <mergeCell ref="I4566:J4566"/>
    <mergeCell ref="K4566:L4566"/>
    <mergeCell ref="M4566:N4566"/>
    <mergeCell ref="A4567:G4567"/>
    <mergeCell ref="A4568:G4568"/>
    <mergeCell ref="A4578:G4578"/>
    <mergeCell ref="I4578:J4578"/>
    <mergeCell ref="K4578:L4578"/>
    <mergeCell ref="M4578:N4578"/>
    <mergeCell ref="I4579:J4579"/>
    <mergeCell ref="K4579:L4579"/>
    <mergeCell ref="M4579:N4579"/>
    <mergeCell ref="A4579:G4579"/>
    <mergeCell ref="A4580:G4580"/>
    <mergeCell ref="I4580:J4580"/>
    <mergeCell ref="K4580:L4580"/>
    <mergeCell ref="M4580:N4580"/>
    <mergeCell ref="K4581:L4581"/>
    <mergeCell ref="M4581:N4581"/>
    <mergeCell ref="I4585:J4585"/>
    <mergeCell ref="I4586:J4586"/>
    <mergeCell ref="A4583:N4583"/>
    <mergeCell ref="A4584:G4584"/>
    <mergeCell ref="I4584:J4584"/>
    <mergeCell ref="M4584:N4584"/>
    <mergeCell ref="A4585:G4585"/>
    <mergeCell ref="M4585:N4585"/>
    <mergeCell ref="M4586:N4586"/>
    <mergeCell ref="A4569:G4569"/>
    <mergeCell ref="I4569:J4569"/>
    <mergeCell ref="K4569:L4569"/>
    <mergeCell ref="M4569:N4569"/>
    <mergeCell ref="I4570:J4570"/>
    <mergeCell ref="K4570:L4570"/>
    <mergeCell ref="M4570:N4570"/>
    <mergeCell ref="A4570:G4570"/>
    <mergeCell ref="A4571:G4571"/>
    <mergeCell ref="I4571:J4571"/>
    <mergeCell ref="K4571:L4571"/>
    <mergeCell ref="M4571:N4571"/>
    <mergeCell ref="K4572:L4572"/>
    <mergeCell ref="M4572:N4572"/>
    <mergeCell ref="K4576:L4576"/>
    <mergeCell ref="M4576:N4576"/>
    <mergeCell ref="I4576:J4576"/>
    <mergeCell ref="I4577:J4577"/>
    <mergeCell ref="K4577:L4577"/>
    <mergeCell ref="M4577:N4577"/>
    <mergeCell ref="A4574:N4574"/>
    <mergeCell ref="A4575:G4575"/>
    <mergeCell ref="I4575:J4575"/>
    <mergeCell ref="K4575:L4575"/>
    <mergeCell ref="M4575:N4575"/>
    <mergeCell ref="A4576:G4576"/>
    <mergeCell ref="A4577:G4577"/>
    <mergeCell ref="I4588:J4588"/>
    <mergeCell ref="I4589:J4589"/>
    <mergeCell ref="K4590:L4590"/>
    <mergeCell ref="M4590:N4590"/>
    <mergeCell ref="A4586:G4586"/>
    <mergeCell ref="A4587:G4587"/>
    <mergeCell ref="I4587:J4587"/>
    <mergeCell ref="M4587:N4587"/>
    <mergeCell ref="A4588:G4588"/>
    <mergeCell ref="M4588:N4588"/>
    <mergeCell ref="M4589:N4589"/>
    <mergeCell ref="I4598:J4598"/>
    <mergeCell ref="I4599:J4599"/>
    <mergeCell ref="K4599:L4599"/>
    <mergeCell ref="M4599:N4599"/>
    <mergeCell ref="A4589:G4589"/>
    <mergeCell ref="A4592:N4593"/>
    <mergeCell ref="A4597:N4597"/>
    <mergeCell ref="A4598:G4598"/>
    <mergeCell ref="K4598:L4598"/>
    <mergeCell ref="M4598:N4598"/>
    <mergeCell ref="A4599:G4599"/>
    <mergeCell ref="A4600:G4600"/>
    <mergeCell ref="I4600:J4600"/>
    <mergeCell ref="K4600:L4600"/>
    <mergeCell ref="M4600:N4600"/>
    <mergeCell ref="I4601:J4601"/>
    <mergeCell ref="K4601:L4601"/>
    <mergeCell ref="M4601:N4601"/>
    <mergeCell ref="K4603:L4603"/>
    <mergeCell ref="M4603:N4603"/>
    <mergeCell ref="K4604:L4604"/>
    <mergeCell ref="M4604:N4604"/>
    <mergeCell ref="A4601:G4601"/>
    <mergeCell ref="A4602:G4602"/>
    <mergeCell ref="I4602:J4602"/>
    <mergeCell ref="K4602:L4602"/>
    <mergeCell ref="M4602:N4602"/>
    <mergeCell ref="A4603:G4603"/>
    <mergeCell ref="I4603:J4603"/>
    <mergeCell ref="K4608:L4608"/>
    <mergeCell ref="M4608:N4608"/>
    <mergeCell ref="I4608:J4608"/>
    <mergeCell ref="I4609:J4609"/>
    <mergeCell ref="K4609:L4609"/>
    <mergeCell ref="M4609:N4609"/>
    <mergeCell ref="A4606:N4606"/>
    <mergeCell ref="A4607:G4607"/>
    <mergeCell ref="I4607:J4607"/>
    <mergeCell ref="K4607:L4607"/>
    <mergeCell ref="M4607:N4607"/>
    <mergeCell ref="A4608:G4608"/>
    <mergeCell ref="A4609:G4609"/>
    <mergeCell ref="A4610:G4610"/>
    <mergeCell ref="I4610:J4610"/>
    <mergeCell ref="K4610:L4610"/>
    <mergeCell ref="M4610:N4610"/>
    <mergeCell ref="I4611:J4611"/>
    <mergeCell ref="K4611:L4611"/>
    <mergeCell ref="M4611:N4611"/>
    <mergeCell ref="A4611:G4611"/>
    <mergeCell ref="A4612:G4612"/>
    <mergeCell ref="I4612:J4612"/>
    <mergeCell ref="K4612:L4612"/>
    <mergeCell ref="M4612:N4612"/>
    <mergeCell ref="K4613:L4613"/>
    <mergeCell ref="M4613:N4613"/>
    <mergeCell ref="K4617:L4617"/>
    <mergeCell ref="M4617:N4617"/>
    <mergeCell ref="M4630:N4630"/>
    <mergeCell ref="K4631:L4631"/>
    <mergeCell ref="M4631:N4631"/>
    <mergeCell ref="I4626:J4626"/>
    <mergeCell ref="I4627:J4627"/>
    <mergeCell ref="I4628:J4628"/>
    <mergeCell ref="M4628:N4628"/>
    <mergeCell ref="I4629:J4629"/>
    <mergeCell ref="M4629:N4629"/>
    <mergeCell ref="I4630:J4630"/>
    <mergeCell ref="A4624:N4624"/>
    <mergeCell ref="A4625:G4625"/>
    <mergeCell ref="I4625:J4625"/>
    <mergeCell ref="M4625:N4625"/>
    <mergeCell ref="A4626:G4626"/>
    <mergeCell ref="M4626:N4626"/>
    <mergeCell ref="M4627:N4627"/>
    <mergeCell ref="A4627:G4627"/>
    <mergeCell ref="A4628:G4628"/>
    <mergeCell ref="A4629:G4629"/>
    <mergeCell ref="A4630:G4630"/>
    <mergeCell ref="K4645:L4645"/>
    <mergeCell ref="M4645:N4645"/>
    <mergeCell ref="I4641:J4641"/>
    <mergeCell ref="I4642:J4642"/>
    <mergeCell ref="K4642:L4642"/>
    <mergeCell ref="M4642:N4642"/>
    <mergeCell ref="I4643:J4643"/>
    <mergeCell ref="K4643:L4643"/>
    <mergeCell ref="M4643:N4643"/>
    <mergeCell ref="I4644:J4644"/>
    <mergeCell ref="K4644:L4644"/>
    <mergeCell ref="M4644:N4644"/>
    <mergeCell ref="A4647:N4647"/>
    <mergeCell ref="I4648:J4648"/>
    <mergeCell ref="K4648:L4648"/>
    <mergeCell ref="M4648:N4648"/>
    <mergeCell ref="A4648:G4648"/>
    <mergeCell ref="A4649:G4649"/>
    <mergeCell ref="I4649:J4649"/>
    <mergeCell ref="K4649:L4649"/>
    <mergeCell ref="M4649:N4649"/>
    <mergeCell ref="A4650:G4650"/>
    <mergeCell ref="I4650:J4650"/>
    <mergeCell ref="I4652:J4652"/>
    <mergeCell ref="K4652:L4652"/>
    <mergeCell ref="K4650:L4650"/>
    <mergeCell ref="M4650:N4650"/>
    <mergeCell ref="A4651:G4651"/>
    <mergeCell ref="I4651:J4651"/>
    <mergeCell ref="K4651:L4651"/>
    <mergeCell ref="M4651:N4651"/>
    <mergeCell ref="M4652:N4652"/>
    <mergeCell ref="A4644:G4644"/>
    <mergeCell ref="A4652:G4652"/>
    <mergeCell ref="A4633:N4634"/>
    <mergeCell ref="A4638:N4638"/>
    <mergeCell ref="M4639:N4639"/>
    <mergeCell ref="I4617:J4617"/>
    <mergeCell ref="I4618:J4618"/>
    <mergeCell ref="K4618:L4618"/>
    <mergeCell ref="M4618:N4618"/>
    <mergeCell ref="A4615:N4615"/>
    <mergeCell ref="A4616:G4616"/>
    <mergeCell ref="I4616:J4616"/>
    <mergeCell ref="K4616:L4616"/>
    <mergeCell ref="M4616:N4616"/>
    <mergeCell ref="A4617:G4617"/>
    <mergeCell ref="A4618:G4618"/>
    <mergeCell ref="A4619:G4619"/>
    <mergeCell ref="I4619:J4619"/>
    <mergeCell ref="K4619:L4619"/>
    <mergeCell ref="M4619:N4619"/>
    <mergeCell ref="I4620:J4620"/>
    <mergeCell ref="K4620:L4620"/>
    <mergeCell ref="M4620:N4620"/>
    <mergeCell ref="A4620:G4620"/>
    <mergeCell ref="A4621:G4621"/>
    <mergeCell ref="I4621:J4621"/>
    <mergeCell ref="K4621:L4621"/>
    <mergeCell ref="M4621:N4621"/>
    <mergeCell ref="K4622:L4622"/>
    <mergeCell ref="M4622:N4622"/>
    <mergeCell ref="A4639:G4639"/>
    <mergeCell ref="A4640:G4640"/>
    <mergeCell ref="A4641:G4641"/>
    <mergeCell ref="A4642:G4642"/>
    <mergeCell ref="A4643:G4643"/>
    <mergeCell ref="I4639:J4639"/>
    <mergeCell ref="K4639:L4639"/>
    <mergeCell ref="I4640:J4640"/>
    <mergeCell ref="K4640:L4640"/>
    <mergeCell ref="M4640:N4640"/>
    <mergeCell ref="K4641:L4641"/>
    <mergeCell ref="M4641:N4641"/>
    <mergeCell ref="A4653:G4653"/>
    <mergeCell ref="I4653:J4653"/>
    <mergeCell ref="K4653:L4653"/>
    <mergeCell ref="M4653:N4653"/>
    <mergeCell ref="K4654:L4654"/>
    <mergeCell ref="M4654:N4654"/>
    <mergeCell ref="I4667:J4667"/>
    <mergeCell ref="I4668:J4668"/>
    <mergeCell ref="A4665:N4665"/>
    <mergeCell ref="A4666:G4666"/>
    <mergeCell ref="I4666:J4666"/>
    <mergeCell ref="M4666:N4666"/>
    <mergeCell ref="A4667:G4667"/>
    <mergeCell ref="M4667:N4667"/>
    <mergeCell ref="M4668:N4668"/>
    <mergeCell ref="K4658:L4658"/>
    <mergeCell ref="M4658:N4658"/>
    <mergeCell ref="I4658:J4658"/>
    <mergeCell ref="I4659:J4659"/>
    <mergeCell ref="K4659:L4659"/>
    <mergeCell ref="M4659:N4659"/>
    <mergeCell ref="A4656:N4656"/>
    <mergeCell ref="A4657:G4657"/>
    <mergeCell ref="I4657:J4657"/>
    <mergeCell ref="K4657:L4657"/>
    <mergeCell ref="M4657:N4657"/>
    <mergeCell ref="A4658:G4658"/>
    <mergeCell ref="A4659:G4659"/>
    <mergeCell ref="A4660:G4660"/>
    <mergeCell ref="I4660:J4660"/>
    <mergeCell ref="K4660:L4660"/>
    <mergeCell ref="M4660:N4660"/>
    <mergeCell ref="I4661:J4661"/>
    <mergeCell ref="K4661:L4661"/>
    <mergeCell ref="M4661:N4661"/>
    <mergeCell ref="A4661:G4661"/>
    <mergeCell ref="A4662:G4662"/>
    <mergeCell ref="I4662:J4662"/>
    <mergeCell ref="K4662:L4662"/>
    <mergeCell ref="M4662:N4662"/>
    <mergeCell ref="K4663:L4663"/>
    <mergeCell ref="M4663:N4663"/>
    <mergeCell ref="I4670:J4670"/>
    <mergeCell ref="I4671:J4671"/>
    <mergeCell ref="K4672:L4672"/>
    <mergeCell ref="M4672:N4672"/>
    <mergeCell ref="A4668:G4668"/>
    <mergeCell ref="A4669:G4669"/>
    <mergeCell ref="I4669:J4669"/>
    <mergeCell ref="M4669:N4669"/>
    <mergeCell ref="A4670:G4670"/>
    <mergeCell ref="M4670:N4670"/>
    <mergeCell ref="M4671:N4671"/>
    <mergeCell ref="I4680:J4680"/>
    <mergeCell ref="I4681:J4681"/>
    <mergeCell ref="K4681:L4681"/>
    <mergeCell ref="M4681:N4681"/>
    <mergeCell ref="A4671:G4671"/>
    <mergeCell ref="A4674:N4675"/>
    <mergeCell ref="A4679:N4679"/>
    <mergeCell ref="A4680:G4680"/>
    <mergeCell ref="K4680:L4680"/>
    <mergeCell ref="M4680:N4680"/>
    <mergeCell ref="A4681:G4681"/>
    <mergeCell ref="A4682:G4682"/>
    <mergeCell ref="I4682:J4682"/>
    <mergeCell ref="K4682:L4682"/>
    <mergeCell ref="M4682:N4682"/>
    <mergeCell ref="I4683:J4683"/>
    <mergeCell ref="K4683:L4683"/>
    <mergeCell ref="M4683:N4683"/>
    <mergeCell ref="K4685:L4685"/>
    <mergeCell ref="M4685:N4685"/>
    <mergeCell ref="K4686:L4686"/>
    <mergeCell ref="M4686:N4686"/>
    <mergeCell ref="A4683:G4683"/>
    <mergeCell ref="A4684:G4684"/>
    <mergeCell ref="I4684:J4684"/>
    <mergeCell ref="K4684:L4684"/>
    <mergeCell ref="M4684:N4684"/>
    <mergeCell ref="A4685:G4685"/>
    <mergeCell ref="I4685:J4685"/>
    <mergeCell ref="K4690:L4690"/>
    <mergeCell ref="M4690:N4690"/>
    <mergeCell ref="I4690:J4690"/>
    <mergeCell ref="I4691:J4691"/>
    <mergeCell ref="K4691:L4691"/>
    <mergeCell ref="M4691:N4691"/>
    <mergeCell ref="A4688:N4688"/>
    <mergeCell ref="A4689:G4689"/>
    <mergeCell ref="I4689:J4689"/>
    <mergeCell ref="K4689:L4689"/>
    <mergeCell ref="M4689:N4689"/>
    <mergeCell ref="A4690:G4690"/>
    <mergeCell ref="A4691:G4691"/>
    <mergeCell ref="A4692:G4692"/>
    <mergeCell ref="I4692:J4692"/>
    <mergeCell ref="K4692:L4692"/>
    <mergeCell ref="M4692:N4692"/>
    <mergeCell ref="I4693:J4693"/>
    <mergeCell ref="K4693:L4693"/>
    <mergeCell ref="M4693:N4693"/>
    <mergeCell ref="A4693:G4693"/>
    <mergeCell ref="A4694:G4694"/>
    <mergeCell ref="I4694:J4694"/>
    <mergeCell ref="K4694:L4694"/>
    <mergeCell ref="M4694:N4694"/>
    <mergeCell ref="K4695:L4695"/>
    <mergeCell ref="M4695:N4695"/>
    <mergeCell ref="K4699:L4699"/>
    <mergeCell ref="M4699:N4699"/>
    <mergeCell ref="I4721:J4721"/>
    <mergeCell ref="K4721:L4721"/>
    <mergeCell ref="A4714:N4715"/>
    <mergeCell ref="A4719:N4719"/>
    <mergeCell ref="A4720:G4720"/>
    <mergeCell ref="I4720:J4720"/>
    <mergeCell ref="K4720:L4720"/>
    <mergeCell ref="M4720:N4720"/>
    <mergeCell ref="M4721:N4721"/>
    <mergeCell ref="A4702:G4702"/>
    <mergeCell ref="A4705:N4705"/>
    <mergeCell ref="A4706:G4706"/>
    <mergeCell ref="I4706:J4706"/>
    <mergeCell ref="M4706:N4706"/>
    <mergeCell ref="I4707:J4707"/>
    <mergeCell ref="M4707:N4707"/>
    <mergeCell ref="A4707:G4707"/>
    <mergeCell ref="A4708:G4708"/>
    <mergeCell ref="I4708:J4708"/>
    <mergeCell ref="M4708:N4708"/>
    <mergeCell ref="A4709:G4709"/>
    <mergeCell ref="M4709:N4709"/>
    <mergeCell ref="M4710:N4710"/>
    <mergeCell ref="I4699:J4699"/>
    <mergeCell ref="I4700:J4700"/>
    <mergeCell ref="K4700:L4700"/>
    <mergeCell ref="M4700:N4700"/>
    <mergeCell ref="K4703:L4703"/>
    <mergeCell ref="M4703:N4703"/>
    <mergeCell ref="A4697:N4697"/>
    <mergeCell ref="A4698:G4698"/>
    <mergeCell ref="I4698:J4698"/>
    <mergeCell ref="K4698:L4698"/>
    <mergeCell ref="M4698:N4698"/>
    <mergeCell ref="A4699:G4699"/>
    <mergeCell ref="I4735:J4735"/>
    <mergeCell ref="K4735:L4735"/>
    <mergeCell ref="M4735:N4735"/>
    <mergeCell ref="I4736:J4736"/>
    <mergeCell ref="K4736:L4736"/>
    <mergeCell ref="M4736:N4736"/>
    <mergeCell ref="A4736:G4736"/>
    <mergeCell ref="A4737:G4737"/>
    <mergeCell ref="I4737:J4737"/>
    <mergeCell ref="K4737:L4737"/>
    <mergeCell ref="M4737:N4737"/>
    <mergeCell ref="K4738:L4738"/>
    <mergeCell ref="M4738:N4738"/>
    <mergeCell ref="K4742:L4742"/>
    <mergeCell ref="M4742:N4742"/>
    <mergeCell ref="A4745:G4745"/>
    <mergeCell ref="A4700:G4700"/>
    <mergeCell ref="A4701:G4701"/>
    <mergeCell ref="I4701:J4701"/>
    <mergeCell ref="K4701:L4701"/>
    <mergeCell ref="M4701:N4701"/>
    <mergeCell ref="I4702:J4702"/>
    <mergeCell ref="K4702:L4702"/>
    <mergeCell ref="M4702:N4702"/>
    <mergeCell ref="I4709:J4709"/>
    <mergeCell ref="I4710:J4710"/>
    <mergeCell ref="I4711:J4711"/>
    <mergeCell ref="M4711:N4711"/>
    <mergeCell ref="K4712:L4712"/>
    <mergeCell ref="M4712:N4712"/>
    <mergeCell ref="A4710:G4710"/>
    <mergeCell ref="A4711:G4711"/>
    <mergeCell ref="K4723:L4723"/>
    <mergeCell ref="M4723:N4723"/>
    <mergeCell ref="I4723:J4723"/>
    <mergeCell ref="I4724:J4724"/>
    <mergeCell ref="K4724:L4724"/>
    <mergeCell ref="M4724:N4724"/>
    <mergeCell ref="A4721:G4721"/>
    <mergeCell ref="A4722:G4722"/>
    <mergeCell ref="I4722:J4722"/>
    <mergeCell ref="K4722:L4722"/>
    <mergeCell ref="M4722:N4722"/>
    <mergeCell ref="A4723:G4723"/>
    <mergeCell ref="A4724:G4724"/>
    <mergeCell ref="A4725:G4725"/>
    <mergeCell ref="I4725:J4725"/>
    <mergeCell ref="K4725:L4725"/>
    <mergeCell ref="M4725:N4725"/>
    <mergeCell ref="K4766:L4766"/>
    <mergeCell ref="M4766:N4766"/>
    <mergeCell ref="I4767:J4767"/>
    <mergeCell ref="K4767:L4767"/>
    <mergeCell ref="M4767:N4767"/>
    <mergeCell ref="K4769:L4769"/>
    <mergeCell ref="M4769:N4769"/>
    <mergeCell ref="I4769:J4769"/>
    <mergeCell ref="I4770:J4770"/>
    <mergeCell ref="K4770:L4770"/>
    <mergeCell ref="M4770:N4770"/>
    <mergeCell ref="K4773:L4773"/>
    <mergeCell ref="M4773:N4773"/>
    <mergeCell ref="A4767:G4767"/>
    <mergeCell ref="A4768:G4768"/>
    <mergeCell ref="I4768:J4768"/>
    <mergeCell ref="K4768:L4768"/>
    <mergeCell ref="M4768:N4768"/>
    <mergeCell ref="I4726:J4726"/>
    <mergeCell ref="K4726:L4726"/>
    <mergeCell ref="M4726:N4726"/>
    <mergeCell ref="K4728:L4728"/>
    <mergeCell ref="M4728:N4728"/>
    <mergeCell ref="K4729:L4729"/>
    <mergeCell ref="M4729:N4729"/>
    <mergeCell ref="A4726:G4726"/>
    <mergeCell ref="A4727:G4727"/>
    <mergeCell ref="I4727:J4727"/>
    <mergeCell ref="K4727:L4727"/>
    <mergeCell ref="M4727:N4727"/>
    <mergeCell ref="A4728:G4728"/>
    <mergeCell ref="I4728:J4728"/>
    <mergeCell ref="K4733:L4733"/>
    <mergeCell ref="M4733:N4733"/>
    <mergeCell ref="K4743:L4743"/>
    <mergeCell ref="M4743:N4743"/>
    <mergeCell ref="A4740:N4740"/>
    <mergeCell ref="A4741:G4741"/>
    <mergeCell ref="I4741:J4741"/>
    <mergeCell ref="K4741:L4741"/>
    <mergeCell ref="M4741:N4741"/>
    <mergeCell ref="A4742:G4742"/>
    <mergeCell ref="A4743:G4743"/>
    <mergeCell ref="I4745:J4745"/>
    <mergeCell ref="K4745:L4745"/>
    <mergeCell ref="I4742:J4742"/>
    <mergeCell ref="I4743:J4743"/>
    <mergeCell ref="A4744:G4744"/>
    <mergeCell ref="I4744:J4744"/>
    <mergeCell ref="K4744:L4744"/>
    <mergeCell ref="M4744:N4744"/>
    <mergeCell ref="M4745:N4745"/>
    <mergeCell ref="I4733:J4733"/>
    <mergeCell ref="I4734:J4734"/>
    <mergeCell ref="K4734:L4734"/>
    <mergeCell ref="M4734:N4734"/>
    <mergeCell ref="A4731:N4731"/>
    <mergeCell ref="A4732:G4732"/>
    <mergeCell ref="I4732:J4732"/>
    <mergeCell ref="K4732:L4732"/>
    <mergeCell ref="M4732:N4732"/>
    <mergeCell ref="A4733:G4733"/>
    <mergeCell ref="A4734:G4734"/>
    <mergeCell ref="A4735:G4735"/>
    <mergeCell ref="K4782:L4782"/>
    <mergeCell ref="M4782:N4782"/>
    <mergeCell ref="A4784:N4784"/>
    <mergeCell ref="A4785:G4785"/>
    <mergeCell ref="K4785:L4785"/>
    <mergeCell ref="M4785:N4785"/>
    <mergeCell ref="A4786:G4786"/>
    <mergeCell ref="I4788:J4788"/>
    <mergeCell ref="K4788:L4788"/>
    <mergeCell ref="I4785:J4785"/>
    <mergeCell ref="I4786:J4786"/>
    <mergeCell ref="A4787:G4787"/>
    <mergeCell ref="I4787:J4787"/>
    <mergeCell ref="K4787:L4787"/>
    <mergeCell ref="M4787:N4787"/>
    <mergeCell ref="M4788:N4788"/>
    <mergeCell ref="K4790:L4790"/>
    <mergeCell ref="M4790:N4790"/>
    <mergeCell ref="K4791:L4791"/>
    <mergeCell ref="M4791:N4791"/>
    <mergeCell ref="A4788:G4788"/>
    <mergeCell ref="A4789:G4789"/>
    <mergeCell ref="I4789:J4789"/>
    <mergeCell ref="K4789:L4789"/>
    <mergeCell ref="M4789:N4789"/>
    <mergeCell ref="A4746:G4746"/>
    <mergeCell ref="I4746:J4746"/>
    <mergeCell ref="K4746:L4746"/>
    <mergeCell ref="M4746:N4746"/>
    <mergeCell ref="K4747:L4747"/>
    <mergeCell ref="M4747:N4747"/>
    <mergeCell ref="A4752:G4752"/>
    <mergeCell ref="A4753:G4753"/>
    <mergeCell ref="A4754:G4754"/>
    <mergeCell ref="A4755:G4755"/>
    <mergeCell ref="A4749:N4749"/>
    <mergeCell ref="A4750:G4750"/>
    <mergeCell ref="I4750:J4750"/>
    <mergeCell ref="M4750:N4750"/>
    <mergeCell ref="A4751:G4751"/>
    <mergeCell ref="M4751:N4751"/>
    <mergeCell ref="M4752:N4752"/>
    <mergeCell ref="I4751:J4751"/>
    <mergeCell ref="I4752:J4752"/>
    <mergeCell ref="I4753:J4753"/>
    <mergeCell ref="M4753:N4753"/>
    <mergeCell ref="I4754:J4754"/>
    <mergeCell ref="M4754:N4754"/>
    <mergeCell ref="I4755:J4755"/>
    <mergeCell ref="K4764:L4764"/>
    <mergeCell ref="M4764:N4764"/>
    <mergeCell ref="I4764:J4764"/>
    <mergeCell ref="I4765:J4765"/>
    <mergeCell ref="K4765:L4765"/>
    <mergeCell ref="M4765:N4765"/>
    <mergeCell ref="M4755:N4755"/>
    <mergeCell ref="K4756:L4756"/>
    <mergeCell ref="M4756:N4756"/>
    <mergeCell ref="A4758:N4759"/>
    <mergeCell ref="A4763:N4763"/>
    <mergeCell ref="A4764:G4764"/>
    <mergeCell ref="A4765:G4765"/>
    <mergeCell ref="A4766:G4766"/>
    <mergeCell ref="I4766:J4766"/>
    <mergeCell ref="A4769:G4769"/>
    <mergeCell ref="A4770:G4770"/>
    <mergeCell ref="A4777:G4777"/>
    <mergeCell ref="A4778:G4778"/>
    <mergeCell ref="A4779:G4779"/>
    <mergeCell ref="A4780:G4780"/>
    <mergeCell ref="A4781:G4781"/>
    <mergeCell ref="A4771:G4771"/>
    <mergeCell ref="I4771:J4771"/>
    <mergeCell ref="K4771:L4771"/>
    <mergeCell ref="M4771:N4771"/>
    <mergeCell ref="I4772:J4772"/>
    <mergeCell ref="K4772:L4772"/>
    <mergeCell ref="M4772:N4772"/>
    <mergeCell ref="A4772:G4772"/>
    <mergeCell ref="A4775:N4775"/>
    <mergeCell ref="A4776:G4776"/>
    <mergeCell ref="I4776:J4776"/>
    <mergeCell ref="K4776:L4776"/>
    <mergeCell ref="M4776:N4776"/>
    <mergeCell ref="M4777:N4777"/>
    <mergeCell ref="I4777:J4777"/>
    <mergeCell ref="K4777:L4777"/>
    <mergeCell ref="I4778:J4778"/>
    <mergeCell ref="K4778:L4778"/>
    <mergeCell ref="M4778:N4778"/>
    <mergeCell ref="K4779:L4779"/>
    <mergeCell ref="M4779:N4779"/>
    <mergeCell ref="I4779:J4779"/>
    <mergeCell ref="I4780:J4780"/>
    <mergeCell ref="K4780:L4780"/>
    <mergeCell ref="M4780:N4780"/>
    <mergeCell ref="I4781:J4781"/>
    <mergeCell ref="K4781:L4781"/>
    <mergeCell ref="M4781:N4781"/>
    <mergeCell ref="K4786:L4786"/>
    <mergeCell ref="M4786:N4786"/>
    <mergeCell ref="I4816:J4816"/>
    <mergeCell ref="K4816:L4816"/>
    <mergeCell ref="A4846:N4847"/>
    <mergeCell ref="A4851:N4851"/>
    <mergeCell ref="A4852:G4852"/>
    <mergeCell ref="I4852:J4852"/>
    <mergeCell ref="K4852:L4852"/>
    <mergeCell ref="M4852:N4852"/>
    <mergeCell ref="M4853:N4853"/>
    <mergeCell ref="K4814:L4814"/>
    <mergeCell ref="M4814:N4814"/>
    <mergeCell ref="A4815:G4815"/>
    <mergeCell ref="I4815:J4815"/>
    <mergeCell ref="K4815:L4815"/>
    <mergeCell ref="M4815:N4815"/>
    <mergeCell ref="M4816:N4816"/>
    <mergeCell ref="A4821:G4821"/>
    <mergeCell ref="A4822:G4822"/>
    <mergeCell ref="A4823:G4823"/>
    <mergeCell ref="A4824:G4824"/>
    <mergeCell ref="A4825:G4825"/>
    <mergeCell ref="A4816:G4816"/>
    <mergeCell ref="A4819:N4819"/>
    <mergeCell ref="A4820:G4820"/>
    <mergeCell ref="I4820:J4820"/>
    <mergeCell ref="K4820:L4820"/>
    <mergeCell ref="M4820:N4820"/>
    <mergeCell ref="M4821:N4821"/>
    <mergeCell ref="I4821:J4821"/>
    <mergeCell ref="K4821:L4821"/>
    <mergeCell ref="I4822:J4822"/>
    <mergeCell ref="K4822:L4822"/>
    <mergeCell ref="M4822:N4822"/>
    <mergeCell ref="K4823:L4823"/>
    <mergeCell ref="A4810:G4810"/>
    <mergeCell ref="I4810:J4810"/>
    <mergeCell ref="K4810:L4810"/>
    <mergeCell ref="M4810:N4810"/>
    <mergeCell ref="I4811:J4811"/>
    <mergeCell ref="K4811:L4811"/>
    <mergeCell ref="M4811:N4811"/>
    <mergeCell ref="M4823:N4823"/>
    <mergeCell ref="I4823:J4823"/>
    <mergeCell ref="I4824:J4824"/>
    <mergeCell ref="K4824:L4824"/>
    <mergeCell ref="M4824:N4824"/>
    <mergeCell ref="I4825:J4825"/>
    <mergeCell ref="K4825:L4825"/>
    <mergeCell ref="M4825:N4825"/>
    <mergeCell ref="I4829:J4829"/>
    <mergeCell ref="I4830:J4830"/>
    <mergeCell ref="M4817:N4817"/>
    <mergeCell ref="K4830:L4830"/>
    <mergeCell ref="M4830:N4830"/>
    <mergeCell ref="K4826:L4826"/>
    <mergeCell ref="A4796:G4796"/>
    <mergeCell ref="A4797:G4797"/>
    <mergeCell ref="I4797:J4797"/>
    <mergeCell ref="M4797:N4797"/>
    <mergeCell ref="A4798:G4798"/>
    <mergeCell ref="M4798:N4798"/>
    <mergeCell ref="M4799:N4799"/>
    <mergeCell ref="I4808:J4808"/>
    <mergeCell ref="I4809:J4809"/>
    <mergeCell ref="K4809:L4809"/>
    <mergeCell ref="M4809:N4809"/>
    <mergeCell ref="A4799:G4799"/>
    <mergeCell ref="A4802:N4803"/>
    <mergeCell ref="A4807:N4807"/>
    <mergeCell ref="A4808:G4808"/>
    <mergeCell ref="K4808:L4808"/>
    <mergeCell ref="M4808:N4808"/>
    <mergeCell ref="A4809:G4809"/>
    <mergeCell ref="K4813:L4813"/>
    <mergeCell ref="M4813:N4813"/>
    <mergeCell ref="I4813:J4813"/>
    <mergeCell ref="I4814:J4814"/>
    <mergeCell ref="A4790:G4790"/>
    <mergeCell ref="I4790:J4790"/>
    <mergeCell ref="I4795:J4795"/>
    <mergeCell ref="I4796:J4796"/>
    <mergeCell ref="A4793:N4793"/>
    <mergeCell ref="A4794:G4794"/>
    <mergeCell ref="I4794:J4794"/>
    <mergeCell ref="M4794:N4794"/>
    <mergeCell ref="A4795:G4795"/>
    <mergeCell ref="M4795:N4795"/>
    <mergeCell ref="M4796:N4796"/>
    <mergeCell ref="M4843:N4843"/>
    <mergeCell ref="K4844:L4844"/>
    <mergeCell ref="M4844:N4844"/>
    <mergeCell ref="I4840:J4840"/>
    <mergeCell ref="I4841:J4841"/>
    <mergeCell ref="A4842:G4842"/>
    <mergeCell ref="I4842:J4842"/>
    <mergeCell ref="M4842:N4842"/>
    <mergeCell ref="A4843:G4843"/>
    <mergeCell ref="I4843:J4843"/>
    <mergeCell ref="M4826:N4826"/>
    <mergeCell ref="A4828:N4828"/>
    <mergeCell ref="A4829:G4829"/>
    <mergeCell ref="K4829:L4829"/>
    <mergeCell ref="M4829:N4829"/>
    <mergeCell ref="A4830:G4830"/>
    <mergeCell ref="A4831:G4831"/>
    <mergeCell ref="I4831:J4831"/>
    <mergeCell ref="K4831:L4831"/>
    <mergeCell ref="M4831:N4831"/>
    <mergeCell ref="I4832:J4832"/>
    <mergeCell ref="K4832:L4832"/>
    <mergeCell ref="M4832:N4832"/>
    <mergeCell ref="A4832:G4832"/>
    <mergeCell ref="A4833:G4833"/>
    <mergeCell ref="I4833:J4833"/>
    <mergeCell ref="K4833:L4833"/>
    <mergeCell ref="M4833:N4833"/>
    <mergeCell ref="A4834:G4834"/>
    <mergeCell ref="I4798:J4798"/>
    <mergeCell ref="I4799:J4799"/>
    <mergeCell ref="K4800:L4800"/>
    <mergeCell ref="M4800:N4800"/>
    <mergeCell ref="M4841:N4841"/>
    <mergeCell ref="K4817:L4817"/>
    <mergeCell ref="I4834:J4834"/>
    <mergeCell ref="K4834:L4834"/>
    <mergeCell ref="M4834:N4834"/>
    <mergeCell ref="K4835:L4835"/>
    <mergeCell ref="M4835:N4835"/>
    <mergeCell ref="A4837:N4837"/>
    <mergeCell ref="I4838:J4838"/>
    <mergeCell ref="M4838:N4838"/>
    <mergeCell ref="A4838:G4838"/>
    <mergeCell ref="A4839:G4839"/>
    <mergeCell ref="I4839:J4839"/>
    <mergeCell ref="M4839:N4839"/>
    <mergeCell ref="A4840:G4840"/>
    <mergeCell ref="M4840:N4840"/>
    <mergeCell ref="A4841:G4841"/>
    <mergeCell ref="A4811:G4811"/>
    <mergeCell ref="A4812:G4812"/>
    <mergeCell ref="I4812:J4812"/>
    <mergeCell ref="K4812:L4812"/>
    <mergeCell ref="M4812:N4812"/>
    <mergeCell ref="A4813:G4813"/>
    <mergeCell ref="A4814:G4814"/>
    <mergeCell ref="I4855:J4855"/>
    <mergeCell ref="I4856:J4856"/>
    <mergeCell ref="K4856:L4856"/>
    <mergeCell ref="M4856:N4856"/>
    <mergeCell ref="A4853:G4853"/>
    <mergeCell ref="A4854:G4854"/>
    <mergeCell ref="I4854:J4854"/>
    <mergeCell ref="K4854:L4854"/>
    <mergeCell ref="M4854:N4854"/>
    <mergeCell ref="A4855:G4855"/>
    <mergeCell ref="A4856:G4856"/>
    <mergeCell ref="A4857:G4857"/>
    <mergeCell ref="I4857:J4857"/>
    <mergeCell ref="K4857:L4857"/>
    <mergeCell ref="M4857:N4857"/>
    <mergeCell ref="I4858:J4858"/>
    <mergeCell ref="K4858:L4858"/>
    <mergeCell ref="M4858:N4858"/>
    <mergeCell ref="K4860:L4860"/>
    <mergeCell ref="M4860:N4860"/>
    <mergeCell ref="K4861:L4861"/>
    <mergeCell ref="M4861:N4861"/>
    <mergeCell ref="A4858:G4858"/>
    <mergeCell ref="A4859:G4859"/>
    <mergeCell ref="I4859:J4859"/>
    <mergeCell ref="K4859:L4859"/>
    <mergeCell ref="M4859:N4859"/>
    <mergeCell ref="A4860:G4860"/>
    <mergeCell ref="I4860:J4860"/>
    <mergeCell ref="K4855:L4855"/>
    <mergeCell ref="M4855:N4855"/>
    <mergeCell ref="K4865:L4865"/>
    <mergeCell ref="M4865:N4865"/>
    <mergeCell ref="I4853:J4853"/>
    <mergeCell ref="K4853:L4853"/>
    <mergeCell ref="K4875:L4875"/>
    <mergeCell ref="M4875:N4875"/>
    <mergeCell ref="A4872:N4872"/>
    <mergeCell ref="A4873:G4873"/>
    <mergeCell ref="I4873:J4873"/>
    <mergeCell ref="K4873:L4873"/>
    <mergeCell ref="M4873:N4873"/>
    <mergeCell ref="A4874:G4874"/>
    <mergeCell ref="A4875:G4875"/>
    <mergeCell ref="I4877:J4877"/>
    <mergeCell ref="K4877:L4877"/>
    <mergeCell ref="I4874:J4874"/>
    <mergeCell ref="I4875:J4875"/>
    <mergeCell ref="A4876:G4876"/>
    <mergeCell ref="I4876:J4876"/>
    <mergeCell ref="K4876:L4876"/>
    <mergeCell ref="M4876:N4876"/>
    <mergeCell ref="M4877:N4877"/>
    <mergeCell ref="I4865:J4865"/>
    <mergeCell ref="I4866:J4866"/>
    <mergeCell ref="K4866:L4866"/>
    <mergeCell ref="M4866:N4866"/>
    <mergeCell ref="A4863:N4863"/>
    <mergeCell ref="A4864:G4864"/>
    <mergeCell ref="I4864:J4864"/>
    <mergeCell ref="K4864:L4864"/>
    <mergeCell ref="M4864:N4864"/>
    <mergeCell ref="A4865:G4865"/>
    <mergeCell ref="A4866:G4866"/>
    <mergeCell ref="A4867:G4867"/>
    <mergeCell ref="I4867:J4867"/>
    <mergeCell ref="K4867:L4867"/>
    <mergeCell ref="M4867:N4867"/>
    <mergeCell ref="I4868:J4868"/>
    <mergeCell ref="K4868:L4868"/>
    <mergeCell ref="M4868:N4868"/>
    <mergeCell ref="A4868:G4868"/>
    <mergeCell ref="A4869:G4869"/>
    <mergeCell ref="I4869:J4869"/>
    <mergeCell ref="K4869:L4869"/>
    <mergeCell ref="M4869:N4869"/>
    <mergeCell ref="K4870:L4870"/>
    <mergeCell ref="M4870:N4870"/>
    <mergeCell ref="K4874:L4874"/>
    <mergeCell ref="M4874:N4874"/>
    <mergeCell ref="A4877:G4877"/>
    <mergeCell ref="A4878:G4878"/>
    <mergeCell ref="I4878:J4878"/>
    <mergeCell ref="K4878:L4878"/>
    <mergeCell ref="M4878:N4878"/>
    <mergeCell ref="K4879:L4879"/>
    <mergeCell ref="M4879:N4879"/>
    <mergeCell ref="A4884:G4884"/>
    <mergeCell ref="A4885:G4885"/>
    <mergeCell ref="A4886:G4886"/>
    <mergeCell ref="A4887:G4887"/>
    <mergeCell ref="A4881:N4881"/>
    <mergeCell ref="A4882:G4882"/>
    <mergeCell ref="I4882:J4882"/>
    <mergeCell ref="M4882:N4882"/>
    <mergeCell ref="A4883:G4883"/>
    <mergeCell ref="M4883:N4883"/>
    <mergeCell ref="M4884:N4884"/>
    <mergeCell ref="I4883:J4883"/>
    <mergeCell ref="I4884:J4884"/>
    <mergeCell ref="I4885:J4885"/>
    <mergeCell ref="M4885:N4885"/>
    <mergeCell ref="I4886:J4886"/>
    <mergeCell ref="M4886:N4886"/>
    <mergeCell ref="I4887:J4887"/>
    <mergeCell ref="K4896:L4896"/>
    <mergeCell ref="M4896:N4896"/>
    <mergeCell ref="I4896:J4896"/>
    <mergeCell ref="I4897:J4897"/>
    <mergeCell ref="K4897:L4897"/>
    <mergeCell ref="M4897:N4897"/>
    <mergeCell ref="M4887:N4887"/>
    <mergeCell ref="K4888:L4888"/>
    <mergeCell ref="M4888:N4888"/>
    <mergeCell ref="A4890:N4891"/>
    <mergeCell ref="A4895:N4895"/>
    <mergeCell ref="A4896:G4896"/>
    <mergeCell ref="A4897:G4897"/>
    <mergeCell ref="K4962:L4962"/>
    <mergeCell ref="M4962:N4962"/>
    <mergeCell ref="K4958:L4958"/>
    <mergeCell ref="M4958:N4958"/>
    <mergeCell ref="A4960:N4960"/>
    <mergeCell ref="A4961:G4961"/>
    <mergeCell ref="K4961:L4961"/>
    <mergeCell ref="M4961:N4961"/>
    <mergeCell ref="A4962:G4962"/>
    <mergeCell ref="K4946:L4946"/>
    <mergeCell ref="M4946:N4946"/>
    <mergeCell ref="A4947:G4947"/>
    <mergeCell ref="I4947:J4947"/>
    <mergeCell ref="K4947:L4947"/>
    <mergeCell ref="M4947:N4947"/>
    <mergeCell ref="M4948:N4948"/>
    <mergeCell ref="A4953:G4953"/>
    <mergeCell ref="A4954:G4954"/>
    <mergeCell ref="A4955:G4955"/>
    <mergeCell ref="A4956:G4956"/>
    <mergeCell ref="A4957:G4957"/>
    <mergeCell ref="A4948:G4948"/>
    <mergeCell ref="A4951:N4951"/>
    <mergeCell ref="A4952:G4952"/>
    <mergeCell ref="I4952:J4952"/>
    <mergeCell ref="K4952:L4952"/>
    <mergeCell ref="M4952:N4952"/>
    <mergeCell ref="M4953:N4953"/>
    <mergeCell ref="I4953:J4953"/>
    <mergeCell ref="K4953:L4953"/>
    <mergeCell ref="I4954:J4954"/>
    <mergeCell ref="K4954:L4954"/>
    <mergeCell ref="I4955:J4955"/>
    <mergeCell ref="I4956:J4956"/>
    <mergeCell ref="K4956:L4956"/>
    <mergeCell ref="M4956:N4956"/>
    <mergeCell ref="I4957:J4957"/>
    <mergeCell ref="K4957:L4957"/>
    <mergeCell ref="M4957:N4957"/>
    <mergeCell ref="I4961:J4961"/>
    <mergeCell ref="I4962:J4962"/>
    <mergeCell ref="I4943:J4943"/>
    <mergeCell ref="K4943:L4943"/>
    <mergeCell ref="M4943:N4943"/>
    <mergeCell ref="A4943:G4943"/>
    <mergeCell ref="A4944:G4944"/>
    <mergeCell ref="I4944:J4944"/>
    <mergeCell ref="K4944:L4944"/>
    <mergeCell ref="M4944:N4944"/>
    <mergeCell ref="A4945:G4945"/>
    <mergeCell ref="A4946:G4946"/>
    <mergeCell ref="K4945:L4945"/>
    <mergeCell ref="M4945:N4945"/>
    <mergeCell ref="I4945:J4945"/>
    <mergeCell ref="I4946:J4946"/>
    <mergeCell ref="I4948:J4948"/>
    <mergeCell ref="K4948:L4948"/>
    <mergeCell ref="I4909:J4909"/>
    <mergeCell ref="K4909:L4909"/>
    <mergeCell ref="I4910:J4910"/>
    <mergeCell ref="K4910:L4910"/>
    <mergeCell ref="M4910:N4910"/>
    <mergeCell ref="K4911:L4911"/>
    <mergeCell ref="M4911:N4911"/>
    <mergeCell ref="I4911:J4911"/>
    <mergeCell ref="I4912:J4912"/>
    <mergeCell ref="K4912:L4912"/>
    <mergeCell ref="M4912:N4912"/>
    <mergeCell ref="I4913:J4913"/>
    <mergeCell ref="K4913:L4913"/>
    <mergeCell ref="M4913:N4913"/>
    <mergeCell ref="K4918:L4918"/>
    <mergeCell ref="M4918:N4918"/>
    <mergeCell ref="K4914:L4914"/>
    <mergeCell ref="M4914:N4914"/>
    <mergeCell ref="A4916:N4916"/>
    <mergeCell ref="A4917:G4917"/>
    <mergeCell ref="K4917:L4917"/>
    <mergeCell ref="M4917:N4917"/>
    <mergeCell ref="A4918:G4918"/>
    <mergeCell ref="I4920:J4920"/>
    <mergeCell ref="K4920:L4920"/>
    <mergeCell ref="I4917:J4917"/>
    <mergeCell ref="I4918:J4918"/>
    <mergeCell ref="A4919:G4919"/>
    <mergeCell ref="I4919:J4919"/>
    <mergeCell ref="K4919:L4919"/>
    <mergeCell ref="M4919:N4919"/>
    <mergeCell ref="M4920:N4920"/>
    <mergeCell ref="A4903:G4903"/>
    <mergeCell ref="I4903:J4903"/>
    <mergeCell ref="K4903:L4903"/>
    <mergeCell ref="M4903:N4903"/>
    <mergeCell ref="I4904:J4904"/>
    <mergeCell ref="K4904:L4904"/>
    <mergeCell ref="M4904:N4904"/>
    <mergeCell ref="A4904:G4904"/>
    <mergeCell ref="A4907:N4907"/>
    <mergeCell ref="A4908:G4908"/>
    <mergeCell ref="I4908:J4908"/>
    <mergeCell ref="K4908:L4908"/>
    <mergeCell ref="M4908:N4908"/>
    <mergeCell ref="M4909:N4909"/>
    <mergeCell ref="K4922:L4922"/>
    <mergeCell ref="M4922:N4922"/>
    <mergeCell ref="K4923:L4923"/>
    <mergeCell ref="M4923:N4923"/>
    <mergeCell ref="A4920:G4920"/>
    <mergeCell ref="A4921:G4921"/>
    <mergeCell ref="I4921:J4921"/>
    <mergeCell ref="K4921:L4921"/>
    <mergeCell ref="M4921:N4921"/>
    <mergeCell ref="A4922:G4922"/>
    <mergeCell ref="I4922:J4922"/>
    <mergeCell ref="I4927:J4927"/>
    <mergeCell ref="I4928:J4928"/>
    <mergeCell ref="A4925:N4925"/>
    <mergeCell ref="A4926:G4926"/>
    <mergeCell ref="I4926:J4926"/>
    <mergeCell ref="M4926:N4926"/>
    <mergeCell ref="A4927:G4927"/>
    <mergeCell ref="M4927:N4927"/>
    <mergeCell ref="M4928:N4928"/>
    <mergeCell ref="I5006:J5006"/>
    <mergeCell ref="A5004:N5004"/>
    <mergeCell ref="A5005:G5005"/>
    <mergeCell ref="K5005:L5005"/>
    <mergeCell ref="M5005:N5005"/>
    <mergeCell ref="A5006:G5006"/>
    <mergeCell ref="A5007:G5007"/>
    <mergeCell ref="I5007:J5007"/>
    <mergeCell ref="A4898:G4898"/>
    <mergeCell ref="I4898:J4898"/>
    <mergeCell ref="K4898:L4898"/>
    <mergeCell ref="M4898:N4898"/>
    <mergeCell ref="I4899:J4899"/>
    <mergeCell ref="K4899:L4899"/>
    <mergeCell ref="M4899:N4899"/>
    <mergeCell ref="K4901:L4901"/>
    <mergeCell ref="M4901:N4901"/>
    <mergeCell ref="I4901:J4901"/>
    <mergeCell ref="I4902:J4902"/>
    <mergeCell ref="K4902:L4902"/>
    <mergeCell ref="M4902:N4902"/>
    <mergeCell ref="K4905:L4905"/>
    <mergeCell ref="M4905:N4905"/>
    <mergeCell ref="A4899:G4899"/>
    <mergeCell ref="A4900:G4900"/>
    <mergeCell ref="I4900:J4900"/>
    <mergeCell ref="K4900:L4900"/>
    <mergeCell ref="M4900:N4900"/>
    <mergeCell ref="A4901:G4901"/>
    <mergeCell ref="A4902:G4902"/>
    <mergeCell ref="A4909:G4909"/>
    <mergeCell ref="A4910:G4910"/>
    <mergeCell ref="A4911:G4911"/>
    <mergeCell ref="A4912:G4912"/>
    <mergeCell ref="A4913:G4913"/>
    <mergeCell ref="I4930:J4930"/>
    <mergeCell ref="I4931:J4931"/>
    <mergeCell ref="K4932:L4932"/>
    <mergeCell ref="M4932:N4932"/>
    <mergeCell ref="A4942:G4942"/>
    <mergeCell ref="I4942:J4942"/>
    <mergeCell ref="K4942:L4942"/>
    <mergeCell ref="M4942:N4942"/>
    <mergeCell ref="A4928:G4928"/>
    <mergeCell ref="A4929:G4929"/>
    <mergeCell ref="I4929:J4929"/>
    <mergeCell ref="M4929:N4929"/>
    <mergeCell ref="A4930:G4930"/>
    <mergeCell ref="M4930:N4930"/>
    <mergeCell ref="M4931:N4931"/>
    <mergeCell ref="I4940:J4940"/>
    <mergeCell ref="I4941:J4941"/>
    <mergeCell ref="K4941:L4941"/>
    <mergeCell ref="M4941:N4941"/>
    <mergeCell ref="A4931:G4931"/>
    <mergeCell ref="A4934:N4935"/>
    <mergeCell ref="A4939:N4939"/>
    <mergeCell ref="A4940:G4940"/>
    <mergeCell ref="K4940:L4940"/>
    <mergeCell ref="M4940:N4940"/>
    <mergeCell ref="A4941:G4941"/>
    <mergeCell ref="M4954:N4954"/>
    <mergeCell ref="K4955:L4955"/>
    <mergeCell ref="M4955:N4955"/>
    <mergeCell ref="I4992:J4992"/>
    <mergeCell ref="K4992:L4992"/>
    <mergeCell ref="K4993:L4993"/>
    <mergeCell ref="M4993:N4993"/>
    <mergeCell ref="K5006:L5006"/>
    <mergeCell ref="M5006:N5006"/>
    <mergeCell ref="K5002:L5002"/>
    <mergeCell ref="M5002:N5002"/>
    <mergeCell ref="K4949:L4949"/>
    <mergeCell ref="M4949:N4949"/>
    <mergeCell ref="I4986:J4986"/>
    <mergeCell ref="I4987:J4987"/>
    <mergeCell ref="K4987:L4987"/>
    <mergeCell ref="M4987:N4987"/>
    <mergeCell ref="I4984:J4984"/>
    <mergeCell ref="K4984:L4984"/>
    <mergeCell ref="I4985:J4985"/>
    <mergeCell ref="K4985:L4985"/>
    <mergeCell ref="M4985:N4985"/>
    <mergeCell ref="K4986:L4986"/>
    <mergeCell ref="M4986:N4986"/>
    <mergeCell ref="I5029:J5029"/>
    <mergeCell ref="K5029:L5029"/>
    <mergeCell ref="A5022:N5023"/>
    <mergeCell ref="A5027:N5027"/>
    <mergeCell ref="A5028:G5028"/>
    <mergeCell ref="I5028:J5028"/>
    <mergeCell ref="K5028:L5028"/>
    <mergeCell ref="M5028:N5028"/>
    <mergeCell ref="M5029:N5029"/>
    <mergeCell ref="K4990:L4990"/>
    <mergeCell ref="M4990:N4990"/>
    <mergeCell ref="A4991:G4991"/>
    <mergeCell ref="I4991:J4991"/>
    <mergeCell ref="K4991:L4991"/>
    <mergeCell ref="M4991:N4991"/>
    <mergeCell ref="M4992:N4992"/>
    <mergeCell ref="A4997:G4997"/>
    <mergeCell ref="A4998:G4998"/>
    <mergeCell ref="A4999:G4999"/>
    <mergeCell ref="A5000:G5000"/>
    <mergeCell ref="A5001:G5001"/>
    <mergeCell ref="A4992:G4992"/>
    <mergeCell ref="A4995:N4995"/>
    <mergeCell ref="A4996:G4996"/>
    <mergeCell ref="I4996:J4996"/>
    <mergeCell ref="K4996:L4996"/>
    <mergeCell ref="M4996:N4996"/>
    <mergeCell ref="M4997:N4997"/>
    <mergeCell ref="I4997:J4997"/>
    <mergeCell ref="K4997:L4997"/>
    <mergeCell ref="I4998:J4998"/>
    <mergeCell ref="K4998:L4998"/>
    <mergeCell ref="M4998:N4998"/>
    <mergeCell ref="K4999:L4999"/>
    <mergeCell ref="M4999:N4999"/>
    <mergeCell ref="I4999:J4999"/>
    <mergeCell ref="I5000:J5000"/>
    <mergeCell ref="K5000:L5000"/>
    <mergeCell ref="M5000:N5000"/>
    <mergeCell ref="I5001:J5001"/>
    <mergeCell ref="K5001:L5001"/>
    <mergeCell ref="M5001:N5001"/>
    <mergeCell ref="I5005:J5005"/>
    <mergeCell ref="A4984:G4984"/>
    <mergeCell ref="A4985:G4985"/>
    <mergeCell ref="A4986:G4986"/>
    <mergeCell ref="A4987:G4987"/>
    <mergeCell ref="I4988:J4988"/>
    <mergeCell ref="K4988:L4988"/>
    <mergeCell ref="M4988:N4988"/>
    <mergeCell ref="A4988:G4988"/>
    <mergeCell ref="A4989:G4989"/>
    <mergeCell ref="I4989:J4989"/>
    <mergeCell ref="K4989:L4989"/>
    <mergeCell ref="M4989:N4989"/>
    <mergeCell ref="A4990:G4990"/>
    <mergeCell ref="I4990:J4990"/>
    <mergeCell ref="A4963:G4963"/>
    <mergeCell ref="I4963:J4963"/>
    <mergeCell ref="K4963:L4963"/>
    <mergeCell ref="M4963:N4963"/>
    <mergeCell ref="I4964:J4964"/>
    <mergeCell ref="K4964:L4964"/>
    <mergeCell ref="M4964:N4964"/>
    <mergeCell ref="A4964:G4964"/>
    <mergeCell ref="A4965:G4965"/>
    <mergeCell ref="I4965:J4965"/>
    <mergeCell ref="K4965:L4965"/>
    <mergeCell ref="M4965:N4965"/>
    <mergeCell ref="A4966:G4966"/>
    <mergeCell ref="I4966:J4966"/>
    <mergeCell ref="M4970:N4970"/>
    <mergeCell ref="M4971:N4971"/>
    <mergeCell ref="M4973:N4973"/>
    <mergeCell ref="M4974:N4974"/>
    <mergeCell ref="M4975:N4975"/>
    <mergeCell ref="M4976:N4976"/>
    <mergeCell ref="I4971:J4971"/>
    <mergeCell ref="I4972:J4972"/>
    <mergeCell ref="I4973:J4973"/>
    <mergeCell ref="I4974:J4974"/>
    <mergeCell ref="I4975:J4975"/>
    <mergeCell ref="K4976:L4976"/>
    <mergeCell ref="K4967:L4967"/>
    <mergeCell ref="M4967:N4967"/>
    <mergeCell ref="A4969:N4969"/>
    <mergeCell ref="A4970:G4970"/>
    <mergeCell ref="I4970:J4970"/>
    <mergeCell ref="A4971:G4971"/>
    <mergeCell ref="M4972:N4972"/>
    <mergeCell ref="A4972:G4972"/>
    <mergeCell ref="A4973:G4973"/>
    <mergeCell ref="A4974:G4974"/>
    <mergeCell ref="A4975:G4975"/>
    <mergeCell ref="A4978:N4979"/>
    <mergeCell ref="A4983:N4983"/>
    <mergeCell ref="M4984:N4984"/>
    <mergeCell ref="K4966:L4966"/>
    <mergeCell ref="M4966:N4966"/>
    <mergeCell ref="K5007:L5007"/>
    <mergeCell ref="M5007:N5007"/>
    <mergeCell ref="I5008:J5008"/>
    <mergeCell ref="K5008:L5008"/>
    <mergeCell ref="M5008:N5008"/>
    <mergeCell ref="A5008:G5008"/>
    <mergeCell ref="A5009:G5009"/>
    <mergeCell ref="I5009:J5009"/>
    <mergeCell ref="K5009:L5009"/>
    <mergeCell ref="M5009:N5009"/>
    <mergeCell ref="A5010:G5010"/>
    <mergeCell ref="I5010:J5010"/>
    <mergeCell ref="K5010:L5010"/>
    <mergeCell ref="M5010:N5010"/>
    <mergeCell ref="K5011:L5011"/>
    <mergeCell ref="M5011:N5011"/>
    <mergeCell ref="A5013:N5013"/>
    <mergeCell ref="I5014:J5014"/>
    <mergeCell ref="M5014:N5014"/>
    <mergeCell ref="A5014:G5014"/>
    <mergeCell ref="A5015:G5015"/>
    <mergeCell ref="I5015:J5015"/>
    <mergeCell ref="M5015:N5015"/>
    <mergeCell ref="A5016:G5016"/>
    <mergeCell ref="M5016:N5016"/>
    <mergeCell ref="A5017:G5017"/>
    <mergeCell ref="M5017:N5017"/>
    <mergeCell ref="M5019:N5019"/>
    <mergeCell ref="K5020:L5020"/>
    <mergeCell ref="M5020:N5020"/>
    <mergeCell ref="I5016:J5016"/>
    <mergeCell ref="I5017:J5017"/>
    <mergeCell ref="A5018:G5018"/>
    <mergeCell ref="I5018:J5018"/>
    <mergeCell ref="M5018:N5018"/>
    <mergeCell ref="A5019:G5019"/>
    <mergeCell ref="I5019:J5019"/>
    <mergeCell ref="I5031:J5031"/>
    <mergeCell ref="I5032:J5032"/>
    <mergeCell ref="K5032:L5032"/>
    <mergeCell ref="M5032:N5032"/>
    <mergeCell ref="A5029:G5029"/>
    <mergeCell ref="A5030:G5030"/>
    <mergeCell ref="I5030:J5030"/>
    <mergeCell ref="K5030:L5030"/>
    <mergeCell ref="M5030:N5030"/>
    <mergeCell ref="A5031:G5031"/>
    <mergeCell ref="A5032:G5032"/>
    <mergeCell ref="A5033:G5033"/>
    <mergeCell ref="I5033:J5033"/>
    <mergeCell ref="K5033:L5033"/>
    <mergeCell ref="M5033:N5033"/>
    <mergeCell ref="I5034:J5034"/>
    <mergeCell ref="K5034:L5034"/>
    <mergeCell ref="M5034:N5034"/>
    <mergeCell ref="K5036:L5036"/>
    <mergeCell ref="M5036:N5036"/>
    <mergeCell ref="K5037:L5037"/>
    <mergeCell ref="M5037:N5037"/>
    <mergeCell ref="A5034:G5034"/>
    <mergeCell ref="A5035:G5035"/>
    <mergeCell ref="I5035:J5035"/>
    <mergeCell ref="K5035:L5035"/>
    <mergeCell ref="M5035:N5035"/>
    <mergeCell ref="A5036:G5036"/>
    <mergeCell ref="I5036:J5036"/>
    <mergeCell ref="K5041:L5041"/>
    <mergeCell ref="M5041:N5041"/>
    <mergeCell ref="K5051:L5051"/>
    <mergeCell ref="M5051:N5051"/>
    <mergeCell ref="A5048:N5048"/>
    <mergeCell ref="A5049:G5049"/>
    <mergeCell ref="I5049:J5049"/>
    <mergeCell ref="K5049:L5049"/>
    <mergeCell ref="M5049:N5049"/>
    <mergeCell ref="A5050:G5050"/>
    <mergeCell ref="A5051:G5051"/>
    <mergeCell ref="K5031:L5031"/>
    <mergeCell ref="M5031:N5031"/>
    <mergeCell ref="I5053:J5053"/>
    <mergeCell ref="K5053:L5053"/>
    <mergeCell ref="I5050:J5050"/>
    <mergeCell ref="I5051:J5051"/>
    <mergeCell ref="A5052:G5052"/>
    <mergeCell ref="I5052:J5052"/>
    <mergeCell ref="K5052:L5052"/>
    <mergeCell ref="M5052:N5052"/>
    <mergeCell ref="M5053:N5053"/>
    <mergeCell ref="I5041:J5041"/>
    <mergeCell ref="I5042:J5042"/>
    <mergeCell ref="K5042:L5042"/>
    <mergeCell ref="M5042:N5042"/>
    <mergeCell ref="A5039:N5039"/>
    <mergeCell ref="A5040:G5040"/>
    <mergeCell ref="I5040:J5040"/>
    <mergeCell ref="K5040:L5040"/>
    <mergeCell ref="M5040:N5040"/>
    <mergeCell ref="A5041:G5041"/>
    <mergeCell ref="A5042:G5042"/>
    <mergeCell ref="A5043:G5043"/>
    <mergeCell ref="I5043:J5043"/>
    <mergeCell ref="K5043:L5043"/>
    <mergeCell ref="M5043:N5043"/>
    <mergeCell ref="I5044:J5044"/>
    <mergeCell ref="K5044:L5044"/>
    <mergeCell ref="M5044:N5044"/>
    <mergeCell ref="A5044:G5044"/>
    <mergeCell ref="A5045:G5045"/>
    <mergeCell ref="I5045:J5045"/>
    <mergeCell ref="K5045:L5045"/>
    <mergeCell ref="M5045:N5045"/>
    <mergeCell ref="K5046:L5046"/>
    <mergeCell ref="M5046:N5046"/>
    <mergeCell ref="K5050:L5050"/>
    <mergeCell ref="M5050:N5050"/>
    <mergeCell ref="A5053:G5053"/>
    <mergeCell ref="A5054:G5054"/>
    <mergeCell ref="I5054:J5054"/>
    <mergeCell ref="K5054:L5054"/>
    <mergeCell ref="M5054:N5054"/>
    <mergeCell ref="K5055:L5055"/>
    <mergeCell ref="M5055:N5055"/>
    <mergeCell ref="A5060:G5060"/>
    <mergeCell ref="A5061:G5061"/>
    <mergeCell ref="A5062:G5062"/>
    <mergeCell ref="A5063:G5063"/>
    <mergeCell ref="A5057:N5057"/>
    <mergeCell ref="A5058:G5058"/>
    <mergeCell ref="I5058:J5058"/>
    <mergeCell ref="M5058:N5058"/>
    <mergeCell ref="A5059:G5059"/>
    <mergeCell ref="M5059:N5059"/>
    <mergeCell ref="M5060:N5060"/>
    <mergeCell ref="I5059:J5059"/>
    <mergeCell ref="I5060:J5060"/>
    <mergeCell ref="I5061:J5061"/>
    <mergeCell ref="M5061:N5061"/>
    <mergeCell ref="I5062:J5062"/>
    <mergeCell ref="M5062:N5062"/>
    <mergeCell ref="I5063:J5063"/>
    <mergeCell ref="K5072:L5072"/>
    <mergeCell ref="M5072:N5072"/>
    <mergeCell ref="I5072:J5072"/>
    <mergeCell ref="I5073:J5073"/>
    <mergeCell ref="K5073:L5073"/>
    <mergeCell ref="M5073:N5073"/>
    <mergeCell ref="M5063:N5063"/>
    <mergeCell ref="K5064:L5064"/>
    <mergeCell ref="M5064:N5064"/>
    <mergeCell ref="A5066:N5067"/>
    <mergeCell ref="A5071:N5071"/>
    <mergeCell ref="A5072:G5072"/>
    <mergeCell ref="A5073:G5073"/>
    <mergeCell ref="I5089:J5089"/>
    <mergeCell ref="K5089:L5089"/>
    <mergeCell ref="M5089:N5089"/>
    <mergeCell ref="K5094:L5094"/>
    <mergeCell ref="M5094:N5094"/>
    <mergeCell ref="K5090:L5090"/>
    <mergeCell ref="M5090:N5090"/>
    <mergeCell ref="A5092:N5092"/>
    <mergeCell ref="A5093:G5093"/>
    <mergeCell ref="K5093:L5093"/>
    <mergeCell ref="M5093:N5093"/>
    <mergeCell ref="A5094:G5094"/>
    <mergeCell ref="I5096:J5096"/>
    <mergeCell ref="K5096:L5096"/>
    <mergeCell ref="I5093:J5093"/>
    <mergeCell ref="I5094:J5094"/>
    <mergeCell ref="A5095:G5095"/>
    <mergeCell ref="I5095:J5095"/>
    <mergeCell ref="K5095:L5095"/>
    <mergeCell ref="M5095:N5095"/>
    <mergeCell ref="M5096:N5096"/>
    <mergeCell ref="K5138:L5138"/>
    <mergeCell ref="M5138:N5138"/>
    <mergeCell ref="K5134:L5134"/>
    <mergeCell ref="M5134:N5134"/>
    <mergeCell ref="A5136:N5136"/>
    <mergeCell ref="A5137:G5137"/>
    <mergeCell ref="K5137:L5137"/>
    <mergeCell ref="M5137:N5137"/>
    <mergeCell ref="A5138:G5138"/>
    <mergeCell ref="K5122:L5122"/>
    <mergeCell ref="M5122:N5122"/>
    <mergeCell ref="A5123:G5123"/>
    <mergeCell ref="I5123:J5123"/>
    <mergeCell ref="K5123:L5123"/>
    <mergeCell ref="M5123:N5123"/>
    <mergeCell ref="M5124:N5124"/>
    <mergeCell ref="A5129:G5129"/>
    <mergeCell ref="A5130:G5130"/>
    <mergeCell ref="A5131:G5131"/>
    <mergeCell ref="A5132:G5132"/>
    <mergeCell ref="A5133:G5133"/>
    <mergeCell ref="A5124:G5124"/>
    <mergeCell ref="A5127:N5127"/>
    <mergeCell ref="A5128:G5128"/>
    <mergeCell ref="I5128:J5128"/>
    <mergeCell ref="K5128:L5128"/>
    <mergeCell ref="M5128:N5128"/>
    <mergeCell ref="M5129:N5129"/>
    <mergeCell ref="I5129:J5129"/>
    <mergeCell ref="K5129:L5129"/>
    <mergeCell ref="I5130:J5130"/>
    <mergeCell ref="K5130:L5130"/>
    <mergeCell ref="M5130:N5130"/>
    <mergeCell ref="K5131:L5131"/>
    <mergeCell ref="M5131:N5131"/>
    <mergeCell ref="I5131:J5131"/>
    <mergeCell ref="I5132:J5132"/>
    <mergeCell ref="K5132:L5132"/>
    <mergeCell ref="M5132:N5132"/>
    <mergeCell ref="I5133:J5133"/>
    <mergeCell ref="K5133:L5133"/>
    <mergeCell ref="M5133:N5133"/>
    <mergeCell ref="I5137:J5137"/>
    <mergeCell ref="I5138:J5138"/>
    <mergeCell ref="K5142:L5142"/>
    <mergeCell ref="M5142:N5142"/>
    <mergeCell ref="A5273:N5273"/>
    <mergeCell ref="A5274:G5274"/>
    <mergeCell ref="I5274:J5274"/>
    <mergeCell ref="M5274:N5274"/>
    <mergeCell ref="A5275:G5275"/>
    <mergeCell ref="M5275:N5275"/>
    <mergeCell ref="M5276:N5276"/>
    <mergeCell ref="A5276:G5276"/>
    <mergeCell ref="A5277:G5277"/>
    <mergeCell ref="A5278:G5278"/>
    <mergeCell ref="A5279:G5279"/>
    <mergeCell ref="A5282:N5283"/>
    <mergeCell ref="A5287:N5287"/>
    <mergeCell ref="M5288:N5288"/>
    <mergeCell ref="I5288:J5288"/>
    <mergeCell ref="K5288:L5288"/>
    <mergeCell ref="I5289:J5289"/>
    <mergeCell ref="K5289:L5289"/>
    <mergeCell ref="M5289:N5289"/>
    <mergeCell ref="K5207:L5207"/>
    <mergeCell ref="M5207:N5207"/>
    <mergeCell ref="A5164:G5164"/>
    <mergeCell ref="A5165:G5165"/>
    <mergeCell ref="I5165:J5165"/>
    <mergeCell ref="K5165:L5165"/>
    <mergeCell ref="M5165:N5165"/>
    <mergeCell ref="A5166:G5166"/>
    <mergeCell ref="I5166:J5166"/>
    <mergeCell ref="A5139:G5139"/>
    <mergeCell ref="I5139:J5139"/>
    <mergeCell ref="K5139:L5139"/>
    <mergeCell ref="M5139:N5139"/>
    <mergeCell ref="I5140:J5140"/>
    <mergeCell ref="K5140:L5140"/>
    <mergeCell ref="M5140:N5140"/>
    <mergeCell ref="A5140:G5140"/>
    <mergeCell ref="A5141:G5141"/>
    <mergeCell ref="I5141:J5141"/>
    <mergeCell ref="K5141:L5141"/>
    <mergeCell ref="M5141:N5141"/>
    <mergeCell ref="A5142:G5142"/>
    <mergeCell ref="I5142:J5142"/>
    <mergeCell ref="M5146:N5146"/>
    <mergeCell ref="M5147:N5147"/>
    <mergeCell ref="M5149:N5149"/>
    <mergeCell ref="M5150:N5150"/>
    <mergeCell ref="M5151:N5151"/>
    <mergeCell ref="M5152:N5152"/>
    <mergeCell ref="I5147:J5147"/>
    <mergeCell ref="I5148:J5148"/>
    <mergeCell ref="I5149:J5149"/>
    <mergeCell ref="I5150:J5150"/>
    <mergeCell ref="I5151:J5151"/>
    <mergeCell ref="K5152:L5152"/>
    <mergeCell ref="K5143:L5143"/>
    <mergeCell ref="M5143:N5143"/>
    <mergeCell ref="A5145:N5145"/>
    <mergeCell ref="A5146:G5146"/>
    <mergeCell ref="I5146:J5146"/>
    <mergeCell ref="A5147:G5147"/>
    <mergeCell ref="M5148:N5148"/>
    <mergeCell ref="K5290:L5290"/>
    <mergeCell ref="M5290:N5290"/>
    <mergeCell ref="I5290:J5290"/>
    <mergeCell ref="I5291:J5291"/>
    <mergeCell ref="K5291:L5291"/>
    <mergeCell ref="M5291:N5291"/>
    <mergeCell ref="I5292:J5292"/>
    <mergeCell ref="K5292:L5292"/>
    <mergeCell ref="M5292:N5292"/>
    <mergeCell ref="I5266:J5266"/>
    <mergeCell ref="I5267:J5267"/>
    <mergeCell ref="K5267:L5267"/>
    <mergeCell ref="M5267:N5267"/>
    <mergeCell ref="A5264:N5264"/>
    <mergeCell ref="A5265:G5265"/>
    <mergeCell ref="I5265:J5265"/>
    <mergeCell ref="K5265:L5265"/>
    <mergeCell ref="M5265:N5265"/>
    <mergeCell ref="A5266:G5266"/>
    <mergeCell ref="A5267:G5267"/>
    <mergeCell ref="A5268:G5268"/>
    <mergeCell ref="I5268:J5268"/>
    <mergeCell ref="K5268:L5268"/>
    <mergeCell ref="M5268:N5268"/>
    <mergeCell ref="I5269:J5269"/>
    <mergeCell ref="K5269:L5269"/>
    <mergeCell ref="M5269:N5269"/>
    <mergeCell ref="A5269:G5269"/>
    <mergeCell ref="A5270:G5270"/>
    <mergeCell ref="I5270:J5270"/>
    <mergeCell ref="K5270:L5270"/>
    <mergeCell ref="M5270:N5270"/>
    <mergeCell ref="K5271:L5271"/>
    <mergeCell ref="M5271:N5271"/>
    <mergeCell ref="A5288:G5288"/>
    <mergeCell ref="A5289:G5289"/>
    <mergeCell ref="A5290:G5290"/>
    <mergeCell ref="A5291:G5291"/>
    <mergeCell ref="A5292:G5292"/>
    <mergeCell ref="A5293:G5293"/>
    <mergeCell ref="A5294:G5294"/>
    <mergeCell ref="I5293:J5293"/>
    <mergeCell ref="K5293:L5293"/>
    <mergeCell ref="M5293:N5293"/>
    <mergeCell ref="I5294:J5294"/>
    <mergeCell ref="K5294:L5294"/>
    <mergeCell ref="M5294:N5294"/>
    <mergeCell ref="K5295:L5295"/>
    <mergeCell ref="A5299:G5299"/>
    <mergeCell ref="A5300:G5300"/>
    <mergeCell ref="A5301:G5301"/>
    <mergeCell ref="A5302:G5302"/>
    <mergeCell ref="A5303:G5303"/>
    <mergeCell ref="M5295:N5295"/>
    <mergeCell ref="A5297:N5297"/>
    <mergeCell ref="A5298:G5298"/>
    <mergeCell ref="I5298:J5298"/>
    <mergeCell ref="K5298:L5298"/>
    <mergeCell ref="M5298:N5298"/>
    <mergeCell ref="M5299:N5299"/>
    <mergeCell ref="I5299:J5299"/>
    <mergeCell ref="K5299:L5299"/>
    <mergeCell ref="I5300:J5300"/>
    <mergeCell ref="K5300:L5300"/>
    <mergeCell ref="M5300:N5300"/>
    <mergeCell ref="K5301:L5301"/>
    <mergeCell ref="M5301:N5301"/>
    <mergeCell ref="I5301:J5301"/>
    <mergeCell ref="I5302:J5302"/>
    <mergeCell ref="K5302:L5302"/>
    <mergeCell ref="M5302:N5302"/>
    <mergeCell ref="I5303:J5303"/>
    <mergeCell ref="K5303:L5303"/>
    <mergeCell ref="M5303:N5303"/>
    <mergeCell ref="I5307:J5307"/>
    <mergeCell ref="I5308:J5308"/>
    <mergeCell ref="K5308:L5308"/>
    <mergeCell ref="M5308:N5308"/>
    <mergeCell ref="K5304:L5304"/>
    <mergeCell ref="M5304:N5304"/>
    <mergeCell ref="A5306:N5306"/>
    <mergeCell ref="A5307:G5307"/>
    <mergeCell ref="K5307:L5307"/>
    <mergeCell ref="M5307:N5307"/>
    <mergeCell ref="A5308:G5308"/>
    <mergeCell ref="A5332:G5332"/>
    <mergeCell ref="I5332:J5332"/>
    <mergeCell ref="K5332:L5332"/>
    <mergeCell ref="M5332:N5332"/>
    <mergeCell ref="I5333:J5333"/>
    <mergeCell ref="K5333:L5333"/>
    <mergeCell ref="M5333:N5333"/>
    <mergeCell ref="A5333:G5333"/>
    <mergeCell ref="A5334:G5334"/>
    <mergeCell ref="I5334:J5334"/>
    <mergeCell ref="K5334:L5334"/>
    <mergeCell ref="M5334:N5334"/>
    <mergeCell ref="A5335:G5335"/>
    <mergeCell ref="A5336:G5336"/>
    <mergeCell ref="A5337:G5337"/>
    <mergeCell ref="I5337:J5337"/>
    <mergeCell ref="K5337:L5337"/>
    <mergeCell ref="M5337:N5337"/>
    <mergeCell ref="I5338:J5338"/>
    <mergeCell ref="K5338:L5338"/>
    <mergeCell ref="M5338:N5338"/>
    <mergeCell ref="A5338:G5338"/>
    <mergeCell ref="A5309:G5309"/>
    <mergeCell ref="I5309:J5309"/>
    <mergeCell ref="K5309:L5309"/>
    <mergeCell ref="M5309:N5309"/>
    <mergeCell ref="I5310:J5310"/>
    <mergeCell ref="K5310:L5310"/>
    <mergeCell ref="M5310:N5310"/>
    <mergeCell ref="K5312:L5312"/>
    <mergeCell ref="M5312:N5312"/>
    <mergeCell ref="K5313:L5313"/>
    <mergeCell ref="M5313:N5313"/>
    <mergeCell ref="A5310:G5310"/>
    <mergeCell ref="A5311:G5311"/>
    <mergeCell ref="I5311:J5311"/>
    <mergeCell ref="K5311:L5311"/>
    <mergeCell ref="M5311:N5311"/>
    <mergeCell ref="A5312:G5312"/>
    <mergeCell ref="I5312:J5312"/>
    <mergeCell ref="A5318:G5318"/>
    <mergeCell ref="A5319:G5319"/>
    <mergeCell ref="A5320:G5320"/>
    <mergeCell ref="A5321:G5321"/>
    <mergeCell ref="A5315:N5315"/>
    <mergeCell ref="A5316:G5316"/>
    <mergeCell ref="I5316:J5316"/>
    <mergeCell ref="M5316:N5316"/>
    <mergeCell ref="A5317:G5317"/>
    <mergeCell ref="M5317:N5317"/>
    <mergeCell ref="M5318:N5318"/>
    <mergeCell ref="I5317:J5317"/>
    <mergeCell ref="I5318:J5318"/>
    <mergeCell ref="I5319:J5319"/>
    <mergeCell ref="M5319:N5319"/>
    <mergeCell ref="I5320:J5320"/>
    <mergeCell ref="M5320:N5320"/>
    <mergeCell ref="I5321:J5321"/>
    <mergeCell ref="K5347:L5347"/>
    <mergeCell ref="M5347:N5347"/>
    <mergeCell ref="K5348:L5348"/>
    <mergeCell ref="M5348:N5348"/>
    <mergeCell ref="A5345:G5345"/>
    <mergeCell ref="A5346:G5346"/>
    <mergeCell ref="I5346:J5346"/>
    <mergeCell ref="K5346:L5346"/>
    <mergeCell ref="M5346:N5346"/>
    <mergeCell ref="A5347:G5347"/>
    <mergeCell ref="I5347:J5347"/>
    <mergeCell ref="I5330:J5330"/>
    <mergeCell ref="I5331:J5331"/>
    <mergeCell ref="K5331:L5331"/>
    <mergeCell ref="M5331:N5331"/>
    <mergeCell ref="M5321:N5321"/>
    <mergeCell ref="K5322:L5322"/>
    <mergeCell ref="M5322:N5322"/>
    <mergeCell ref="A5324:N5325"/>
    <mergeCell ref="A5329:N5329"/>
    <mergeCell ref="A5330:G5330"/>
    <mergeCell ref="A5331:G5331"/>
    <mergeCell ref="K5335:L5335"/>
    <mergeCell ref="M5335:N5335"/>
    <mergeCell ref="I5335:J5335"/>
    <mergeCell ref="I5336:J5336"/>
    <mergeCell ref="K5336:L5336"/>
    <mergeCell ref="M5336:N5336"/>
    <mergeCell ref="K5339:L5339"/>
    <mergeCell ref="M5339:N5339"/>
    <mergeCell ref="M5352:N5352"/>
    <mergeCell ref="M5365:N5365"/>
    <mergeCell ref="A5341:N5341"/>
    <mergeCell ref="A5342:G5342"/>
    <mergeCell ref="I5342:J5342"/>
    <mergeCell ref="K5342:L5342"/>
    <mergeCell ref="M5342:N5342"/>
    <mergeCell ref="A5343:G5343"/>
    <mergeCell ref="M5343:N5343"/>
    <mergeCell ref="I5345:J5345"/>
    <mergeCell ref="K5345:L5345"/>
    <mergeCell ref="I5343:J5343"/>
    <mergeCell ref="K5343:L5343"/>
    <mergeCell ref="A5344:G5344"/>
    <mergeCell ref="I5344:J5344"/>
    <mergeCell ref="K5344:L5344"/>
    <mergeCell ref="M5344:N5344"/>
    <mergeCell ref="M5345:N5345"/>
    <mergeCell ref="K5330:L5330"/>
    <mergeCell ref="M5330:N5330"/>
    <mergeCell ref="M5363:N5363"/>
    <mergeCell ref="I5364:J5364"/>
    <mergeCell ref="M5364:N5364"/>
    <mergeCell ref="I5365:J5365"/>
    <mergeCell ref="I5374:J5374"/>
    <mergeCell ref="K5374:L5374"/>
    <mergeCell ref="I5375:J5375"/>
    <mergeCell ref="K5375:L5375"/>
    <mergeCell ref="M5375:N5375"/>
    <mergeCell ref="K5376:L5376"/>
    <mergeCell ref="M5376:N5376"/>
    <mergeCell ref="I5376:J5376"/>
    <mergeCell ref="A5361:G5361"/>
    <mergeCell ref="M5361:N5361"/>
    <mergeCell ref="I5377:J5377"/>
    <mergeCell ref="K5377:L5377"/>
    <mergeCell ref="M5377:N5377"/>
    <mergeCell ref="I5378:J5378"/>
    <mergeCell ref="K5378:L5378"/>
    <mergeCell ref="M5378:N5378"/>
    <mergeCell ref="A5381:G5381"/>
    <mergeCell ref="A5382:G5382"/>
    <mergeCell ref="A5374:G5374"/>
    <mergeCell ref="A5375:G5375"/>
    <mergeCell ref="A5376:G5376"/>
    <mergeCell ref="A5377:G5377"/>
    <mergeCell ref="A5378:G5378"/>
    <mergeCell ref="A5379:G5379"/>
    <mergeCell ref="A5380:G5380"/>
    <mergeCell ref="I5395:J5395"/>
    <mergeCell ref="K5395:L5395"/>
    <mergeCell ref="M5362:N5362"/>
    <mergeCell ref="A5362:G5362"/>
    <mergeCell ref="A5363:G5363"/>
    <mergeCell ref="A5364:G5364"/>
    <mergeCell ref="A5365:G5365"/>
    <mergeCell ref="A5368:N5369"/>
    <mergeCell ref="A5373:N5373"/>
    <mergeCell ref="M5374:N5374"/>
    <mergeCell ref="K5381:L5381"/>
    <mergeCell ref="M5381:N5381"/>
    <mergeCell ref="I5379:J5379"/>
    <mergeCell ref="K5379:L5379"/>
    <mergeCell ref="M5379:N5379"/>
    <mergeCell ref="I5380:J5380"/>
    <mergeCell ref="K5380:L5380"/>
    <mergeCell ref="M5380:N5380"/>
    <mergeCell ref="I5381:J5381"/>
    <mergeCell ref="K5401:L5401"/>
    <mergeCell ref="M5401:N5401"/>
    <mergeCell ref="I5397:J5397"/>
    <mergeCell ref="I5398:J5398"/>
    <mergeCell ref="K5398:L5398"/>
    <mergeCell ref="M5398:N5398"/>
    <mergeCell ref="I5399:J5399"/>
    <mergeCell ref="K5399:L5399"/>
    <mergeCell ref="M5399:N5399"/>
    <mergeCell ref="A5079:G5079"/>
    <mergeCell ref="I5079:J5079"/>
    <mergeCell ref="K5079:L5079"/>
    <mergeCell ref="M5079:N5079"/>
    <mergeCell ref="I5080:J5080"/>
    <mergeCell ref="K5080:L5080"/>
    <mergeCell ref="M5080:N5080"/>
    <mergeCell ref="A5080:G5080"/>
    <mergeCell ref="A5083:N5083"/>
    <mergeCell ref="A5084:G5084"/>
    <mergeCell ref="I5084:J5084"/>
    <mergeCell ref="K5084:L5084"/>
    <mergeCell ref="M5084:N5084"/>
    <mergeCell ref="M5085:N5085"/>
    <mergeCell ref="K5098:L5098"/>
    <mergeCell ref="M5098:N5098"/>
    <mergeCell ref="K5099:L5099"/>
    <mergeCell ref="M5099:N5099"/>
    <mergeCell ref="A5096:G5096"/>
    <mergeCell ref="A5097:G5097"/>
    <mergeCell ref="I5097:J5097"/>
    <mergeCell ref="K5097:L5097"/>
    <mergeCell ref="M5097:N5097"/>
    <mergeCell ref="A5098:G5098"/>
    <mergeCell ref="I5098:J5098"/>
    <mergeCell ref="I5103:J5103"/>
    <mergeCell ref="I5104:J5104"/>
    <mergeCell ref="A5101:N5101"/>
    <mergeCell ref="A5102:G5102"/>
    <mergeCell ref="I5102:J5102"/>
    <mergeCell ref="M5102:N5102"/>
    <mergeCell ref="A5103:G5103"/>
    <mergeCell ref="M5103:N5103"/>
    <mergeCell ref="M5104:N5104"/>
    <mergeCell ref="I5119:J5119"/>
    <mergeCell ref="K5119:L5119"/>
    <mergeCell ref="M5119:N5119"/>
    <mergeCell ref="A5119:G5119"/>
    <mergeCell ref="A5120:G5120"/>
    <mergeCell ref="I5120:J5120"/>
    <mergeCell ref="K5120:L5120"/>
    <mergeCell ref="M5120:N5120"/>
    <mergeCell ref="A5121:G5121"/>
    <mergeCell ref="A5122:G5122"/>
    <mergeCell ref="K5121:L5121"/>
    <mergeCell ref="M5121:N5121"/>
    <mergeCell ref="I5121:J5121"/>
    <mergeCell ref="I5122:J5122"/>
    <mergeCell ref="I5124:J5124"/>
    <mergeCell ref="K5124:L5124"/>
    <mergeCell ref="K5366:L5366"/>
    <mergeCell ref="M5366:N5366"/>
    <mergeCell ref="I5361:J5361"/>
    <mergeCell ref="I5362:J5362"/>
    <mergeCell ref="I5363:J5363"/>
    <mergeCell ref="A5074:G5074"/>
    <mergeCell ref="I5074:J5074"/>
    <mergeCell ref="K5074:L5074"/>
    <mergeCell ref="M5074:N5074"/>
    <mergeCell ref="I5075:J5075"/>
    <mergeCell ref="K5075:L5075"/>
    <mergeCell ref="M5075:N5075"/>
    <mergeCell ref="K5077:L5077"/>
    <mergeCell ref="M5077:N5077"/>
    <mergeCell ref="I5077:J5077"/>
    <mergeCell ref="I5078:J5078"/>
    <mergeCell ref="K5078:L5078"/>
    <mergeCell ref="M5078:N5078"/>
    <mergeCell ref="K5081:L5081"/>
    <mergeCell ref="M5081:N5081"/>
    <mergeCell ref="A5075:G5075"/>
    <mergeCell ref="A5076:G5076"/>
    <mergeCell ref="I5076:J5076"/>
    <mergeCell ref="K5076:L5076"/>
    <mergeCell ref="M5076:N5076"/>
    <mergeCell ref="A5077:G5077"/>
    <mergeCell ref="A5078:G5078"/>
    <mergeCell ref="A5085:G5085"/>
    <mergeCell ref="A5086:G5086"/>
    <mergeCell ref="A5087:G5087"/>
    <mergeCell ref="A5088:G5088"/>
    <mergeCell ref="A5089:G5089"/>
    <mergeCell ref="I5106:J5106"/>
    <mergeCell ref="I5107:J5107"/>
    <mergeCell ref="K5108:L5108"/>
    <mergeCell ref="M5108:N5108"/>
    <mergeCell ref="A5118:G5118"/>
    <mergeCell ref="I5118:J5118"/>
    <mergeCell ref="K5118:L5118"/>
    <mergeCell ref="M5118:N5118"/>
    <mergeCell ref="A5104:G5104"/>
    <mergeCell ref="A5105:G5105"/>
    <mergeCell ref="I5105:J5105"/>
    <mergeCell ref="M5105:N5105"/>
    <mergeCell ref="A5106:G5106"/>
    <mergeCell ref="M5106:N5106"/>
    <mergeCell ref="M5107:N5107"/>
    <mergeCell ref="I5116:J5116"/>
    <mergeCell ref="I5117:J5117"/>
    <mergeCell ref="K5117:L5117"/>
    <mergeCell ref="M5117:N5117"/>
    <mergeCell ref="A5107:G5107"/>
    <mergeCell ref="A5110:N5111"/>
    <mergeCell ref="A5115:N5115"/>
    <mergeCell ref="A5116:G5116"/>
    <mergeCell ref="K5116:L5116"/>
    <mergeCell ref="M5116:N5116"/>
    <mergeCell ref="A5117:G5117"/>
    <mergeCell ref="I5085:J5085"/>
    <mergeCell ref="K5085:L5085"/>
    <mergeCell ref="I5086:J5086"/>
    <mergeCell ref="K5086:L5086"/>
    <mergeCell ref="M5086:N5086"/>
    <mergeCell ref="K5087:L5087"/>
    <mergeCell ref="M5087:N5087"/>
    <mergeCell ref="I5087:J5087"/>
    <mergeCell ref="I5088:J5088"/>
    <mergeCell ref="K5088:L5088"/>
    <mergeCell ref="M5088:N5088"/>
    <mergeCell ref="K5125:L5125"/>
    <mergeCell ref="M5125:N5125"/>
    <mergeCell ref="I5162:J5162"/>
    <mergeCell ref="I5163:J5163"/>
    <mergeCell ref="K5163:L5163"/>
    <mergeCell ref="M5163:N5163"/>
    <mergeCell ref="I5160:J5160"/>
    <mergeCell ref="K5160:L5160"/>
    <mergeCell ref="I5161:J5161"/>
    <mergeCell ref="K5161:L5161"/>
    <mergeCell ref="M5161:N5161"/>
    <mergeCell ref="K5162:L5162"/>
    <mergeCell ref="M5162:N5162"/>
    <mergeCell ref="I5205:J5205"/>
    <mergeCell ref="K5205:L5205"/>
    <mergeCell ref="A5198:N5199"/>
    <mergeCell ref="A5203:N5203"/>
    <mergeCell ref="A5204:G5204"/>
    <mergeCell ref="I5204:J5204"/>
    <mergeCell ref="K5204:L5204"/>
    <mergeCell ref="M5204:N5204"/>
    <mergeCell ref="M5205:N5205"/>
    <mergeCell ref="K5166:L5166"/>
    <mergeCell ref="M5166:N5166"/>
    <mergeCell ref="A5167:G5167"/>
    <mergeCell ref="I5167:J5167"/>
    <mergeCell ref="K5167:L5167"/>
    <mergeCell ref="M5167:N5167"/>
    <mergeCell ref="M5168:N5168"/>
    <mergeCell ref="A5173:G5173"/>
    <mergeCell ref="A5174:G5174"/>
    <mergeCell ref="A5175:G5175"/>
    <mergeCell ref="A5176:G5176"/>
    <mergeCell ref="A5177:G5177"/>
    <mergeCell ref="A5168:G5168"/>
    <mergeCell ref="A5171:N5171"/>
    <mergeCell ref="A5172:G5172"/>
    <mergeCell ref="I5172:J5172"/>
    <mergeCell ref="K5172:L5172"/>
    <mergeCell ref="M5172:N5172"/>
    <mergeCell ref="M5173:N5173"/>
    <mergeCell ref="I5173:J5173"/>
    <mergeCell ref="K5173:L5173"/>
    <mergeCell ref="I5174:J5174"/>
    <mergeCell ref="K5174:L5174"/>
    <mergeCell ref="M5174:N5174"/>
    <mergeCell ref="K5175:L5175"/>
    <mergeCell ref="M5175:N5175"/>
    <mergeCell ref="I5175:J5175"/>
    <mergeCell ref="I5176:J5176"/>
    <mergeCell ref="K5176:L5176"/>
    <mergeCell ref="M5176:N5176"/>
    <mergeCell ref="I5177:J5177"/>
    <mergeCell ref="K5177:L5177"/>
    <mergeCell ref="M5177:N5177"/>
    <mergeCell ref="I5181:J5181"/>
    <mergeCell ref="I5182:J5182"/>
    <mergeCell ref="A5160:G5160"/>
    <mergeCell ref="A5161:G5161"/>
    <mergeCell ref="A5162:G5162"/>
    <mergeCell ref="A5163:G5163"/>
    <mergeCell ref="I5164:J5164"/>
    <mergeCell ref="K5164:L5164"/>
    <mergeCell ref="M5164:N5164"/>
    <mergeCell ref="A5148:G5148"/>
    <mergeCell ref="A5149:G5149"/>
    <mergeCell ref="A5150:G5150"/>
    <mergeCell ref="A5151:G5151"/>
    <mergeCell ref="A5154:N5155"/>
    <mergeCell ref="A5159:N5159"/>
    <mergeCell ref="M5160:N5160"/>
    <mergeCell ref="I5168:J5168"/>
    <mergeCell ref="K5168:L5168"/>
    <mergeCell ref="K5169:L5169"/>
    <mergeCell ref="M5169:N5169"/>
    <mergeCell ref="K5182:L5182"/>
    <mergeCell ref="M5182:N5182"/>
    <mergeCell ref="K5178:L5178"/>
    <mergeCell ref="M5178:N5178"/>
    <mergeCell ref="A5180:N5180"/>
    <mergeCell ref="A5181:G5181"/>
    <mergeCell ref="K5181:L5181"/>
    <mergeCell ref="M5181:N5181"/>
    <mergeCell ref="A5182:G5182"/>
    <mergeCell ref="A5183:G5183"/>
    <mergeCell ref="I5183:J5183"/>
    <mergeCell ref="K5183:L5183"/>
    <mergeCell ref="M5183:N5183"/>
    <mergeCell ref="A5227:G5227"/>
    <mergeCell ref="I5227:J5227"/>
    <mergeCell ref="K5227:L5227"/>
    <mergeCell ref="M5227:N5227"/>
    <mergeCell ref="A5228:G5228"/>
    <mergeCell ref="I5228:J5228"/>
    <mergeCell ref="I5184:J5184"/>
    <mergeCell ref="K5184:L5184"/>
    <mergeCell ref="M5184:N5184"/>
    <mergeCell ref="A5184:G5184"/>
    <mergeCell ref="A5185:G5185"/>
    <mergeCell ref="I5185:J5185"/>
    <mergeCell ref="K5185:L5185"/>
    <mergeCell ref="M5185:N5185"/>
    <mergeCell ref="A5186:G5186"/>
    <mergeCell ref="I5186:J5186"/>
    <mergeCell ref="K5186:L5186"/>
    <mergeCell ref="M5186:N5186"/>
    <mergeCell ref="K5187:L5187"/>
    <mergeCell ref="M5187:N5187"/>
    <mergeCell ref="A5189:N5189"/>
    <mergeCell ref="I5190:J5190"/>
    <mergeCell ref="M5190:N5190"/>
    <mergeCell ref="A5190:G5190"/>
    <mergeCell ref="A5191:G5191"/>
    <mergeCell ref="I5191:J5191"/>
    <mergeCell ref="M5191:N5191"/>
    <mergeCell ref="A5192:G5192"/>
    <mergeCell ref="M5192:N5192"/>
    <mergeCell ref="A5193:G5193"/>
    <mergeCell ref="M5193:N5193"/>
    <mergeCell ref="M5195:N5195"/>
    <mergeCell ref="K5196:L5196"/>
    <mergeCell ref="M5196:N5196"/>
    <mergeCell ref="I5192:J5192"/>
    <mergeCell ref="I5193:J5193"/>
    <mergeCell ref="A5194:G5194"/>
    <mergeCell ref="I5194:J5194"/>
    <mergeCell ref="M5194:N5194"/>
    <mergeCell ref="A5195:G5195"/>
    <mergeCell ref="I5195:J5195"/>
    <mergeCell ref="K5257:L5257"/>
    <mergeCell ref="M5257:N5257"/>
    <mergeCell ref="K5252:L5252"/>
    <mergeCell ref="M5252:N5252"/>
    <mergeCell ref="K5253:L5253"/>
    <mergeCell ref="M5253:N5253"/>
    <mergeCell ref="A5255:N5255"/>
    <mergeCell ref="A5256:G5256"/>
    <mergeCell ref="A5257:G5257"/>
    <mergeCell ref="A5258:G5258"/>
    <mergeCell ref="I5258:J5258"/>
    <mergeCell ref="K5258:L5258"/>
    <mergeCell ref="M5258:N5258"/>
    <mergeCell ref="I5259:J5259"/>
    <mergeCell ref="K5259:L5259"/>
    <mergeCell ref="M5259:N5259"/>
    <mergeCell ref="K5261:L5261"/>
    <mergeCell ref="M5261:N5261"/>
    <mergeCell ref="K5262:L5262"/>
    <mergeCell ref="M5262:N5262"/>
    <mergeCell ref="A5259:G5259"/>
    <mergeCell ref="A5260:G5260"/>
    <mergeCell ref="I5260:J5260"/>
    <mergeCell ref="K5260:L5260"/>
    <mergeCell ref="M5260:N5260"/>
    <mergeCell ref="A5261:G5261"/>
    <mergeCell ref="I5261:J5261"/>
    <mergeCell ref="K5266:L5266"/>
    <mergeCell ref="M5266:N5266"/>
    <mergeCell ref="I5215:J5215"/>
    <mergeCell ref="K5215:L5215"/>
    <mergeCell ref="I5216:J5216"/>
    <mergeCell ref="K5216:L5216"/>
    <mergeCell ref="M5216:N5216"/>
    <mergeCell ref="K5217:L5217"/>
    <mergeCell ref="M5217:N5217"/>
    <mergeCell ref="I5217:J5217"/>
    <mergeCell ref="I5218:J5218"/>
    <mergeCell ref="K5218:L5218"/>
    <mergeCell ref="M5218:N5218"/>
    <mergeCell ref="I5219:J5219"/>
    <mergeCell ref="K5219:L5219"/>
    <mergeCell ref="M5219:N5219"/>
    <mergeCell ref="A5234:G5234"/>
    <mergeCell ref="A5235:G5235"/>
    <mergeCell ref="I5235:J5235"/>
    <mergeCell ref="M5235:N5235"/>
    <mergeCell ref="A5236:G5236"/>
    <mergeCell ref="M5236:N5236"/>
    <mergeCell ref="M5237:N5237"/>
    <mergeCell ref="I5246:J5246"/>
    <mergeCell ref="I5247:J5247"/>
    <mergeCell ref="K5247:L5247"/>
    <mergeCell ref="M5247:N5247"/>
    <mergeCell ref="A5237:G5237"/>
    <mergeCell ref="A5240:N5241"/>
    <mergeCell ref="A5245:N5245"/>
    <mergeCell ref="A5246:G5246"/>
    <mergeCell ref="K5246:L5246"/>
    <mergeCell ref="M5246:N5246"/>
    <mergeCell ref="A5247:G5247"/>
    <mergeCell ref="K5251:L5251"/>
    <mergeCell ref="M5251:N5251"/>
    <mergeCell ref="I5233:J5233"/>
    <mergeCell ref="I5234:J5234"/>
    <mergeCell ref="A5231:N5231"/>
    <mergeCell ref="A5232:G5232"/>
    <mergeCell ref="I5232:J5232"/>
    <mergeCell ref="M5232:N5232"/>
    <mergeCell ref="A5233:G5233"/>
    <mergeCell ref="M5233:N5233"/>
    <mergeCell ref="M5234:N5234"/>
    <mergeCell ref="I5207:J5207"/>
    <mergeCell ref="I5208:J5208"/>
    <mergeCell ref="K5208:L5208"/>
    <mergeCell ref="M5208:N5208"/>
    <mergeCell ref="K5211:L5211"/>
    <mergeCell ref="M5211:N5211"/>
    <mergeCell ref="A5205:G5205"/>
    <mergeCell ref="A5206:G5206"/>
    <mergeCell ref="I5206:J5206"/>
    <mergeCell ref="K5206:L5206"/>
    <mergeCell ref="M5206:N5206"/>
    <mergeCell ref="A5207:G5207"/>
    <mergeCell ref="A5208:G5208"/>
    <mergeCell ref="A5209:G5209"/>
    <mergeCell ref="I5209:J5209"/>
    <mergeCell ref="K5209:L5209"/>
    <mergeCell ref="M5209:N5209"/>
    <mergeCell ref="I5210:J5210"/>
    <mergeCell ref="K5210:L5210"/>
    <mergeCell ref="M5210:N5210"/>
    <mergeCell ref="A5215:G5215"/>
    <mergeCell ref="A5216:G5216"/>
    <mergeCell ref="A5217:G5217"/>
    <mergeCell ref="A5218:G5218"/>
    <mergeCell ref="A5219:G5219"/>
    <mergeCell ref="A5210:G5210"/>
    <mergeCell ref="A5213:N5213"/>
    <mergeCell ref="A5214:G5214"/>
    <mergeCell ref="I5214:J5214"/>
    <mergeCell ref="K5214:L5214"/>
    <mergeCell ref="M5214:N5214"/>
    <mergeCell ref="M5215:N5215"/>
    <mergeCell ref="K5224:L5224"/>
    <mergeCell ref="M5224:N5224"/>
    <mergeCell ref="K5220:L5220"/>
    <mergeCell ref="M5220:N5220"/>
    <mergeCell ref="A5222:N5222"/>
    <mergeCell ref="A5223:G5223"/>
    <mergeCell ref="K5223:L5223"/>
    <mergeCell ref="M5223:N5223"/>
    <mergeCell ref="A5224:G5224"/>
    <mergeCell ref="I5226:J5226"/>
    <mergeCell ref="K5226:L5226"/>
    <mergeCell ref="I5223:J5223"/>
    <mergeCell ref="I5224:J5224"/>
    <mergeCell ref="A5225:G5225"/>
    <mergeCell ref="I5225:J5225"/>
    <mergeCell ref="K5225:L5225"/>
    <mergeCell ref="M5225:N5225"/>
    <mergeCell ref="M5226:N5226"/>
    <mergeCell ref="K5228:L5228"/>
    <mergeCell ref="M5228:N5228"/>
    <mergeCell ref="K5229:L5229"/>
    <mergeCell ref="M5229:N5229"/>
    <mergeCell ref="A5226:G5226"/>
    <mergeCell ref="I5236:J5236"/>
    <mergeCell ref="I5237:J5237"/>
    <mergeCell ref="K5238:L5238"/>
    <mergeCell ref="M5238:N5238"/>
    <mergeCell ref="A5248:G5248"/>
    <mergeCell ref="I5248:J5248"/>
    <mergeCell ref="K5248:L5248"/>
    <mergeCell ref="M5248:N5248"/>
    <mergeCell ref="I5249:J5249"/>
    <mergeCell ref="K5249:L5249"/>
    <mergeCell ref="M5249:N5249"/>
    <mergeCell ref="A5249:G5249"/>
    <mergeCell ref="A5250:G5250"/>
    <mergeCell ref="I5250:J5250"/>
    <mergeCell ref="K5250:L5250"/>
    <mergeCell ref="M5250:N5250"/>
    <mergeCell ref="A5251:G5251"/>
    <mergeCell ref="A5252:G5252"/>
    <mergeCell ref="M5279:N5279"/>
    <mergeCell ref="K5280:L5280"/>
    <mergeCell ref="M5280:N5280"/>
    <mergeCell ref="I5275:J5275"/>
    <mergeCell ref="I5276:J5276"/>
    <mergeCell ref="I5277:J5277"/>
    <mergeCell ref="M5277:N5277"/>
    <mergeCell ref="I5278:J5278"/>
    <mergeCell ref="M5278:N5278"/>
    <mergeCell ref="I5279:J5279"/>
    <mergeCell ref="A5359:N5359"/>
    <mergeCell ref="A5360:G5360"/>
    <mergeCell ref="I5360:J5360"/>
    <mergeCell ref="M5360:N5360"/>
    <mergeCell ref="I5352:J5352"/>
    <mergeCell ref="I5353:J5353"/>
    <mergeCell ref="K5353:L5353"/>
    <mergeCell ref="M5353:N5353"/>
    <mergeCell ref="A5350:N5350"/>
    <mergeCell ref="A5351:G5351"/>
    <mergeCell ref="I5351:J5351"/>
    <mergeCell ref="K5351:L5351"/>
    <mergeCell ref="M5351:N5351"/>
    <mergeCell ref="A5352:G5352"/>
    <mergeCell ref="A5353:G5353"/>
    <mergeCell ref="A5354:G5354"/>
    <mergeCell ref="I5354:J5354"/>
    <mergeCell ref="K5354:L5354"/>
    <mergeCell ref="M5354:N5354"/>
    <mergeCell ref="I5355:J5355"/>
    <mergeCell ref="K5355:L5355"/>
    <mergeCell ref="M5355:N5355"/>
    <mergeCell ref="A5355:G5355"/>
    <mergeCell ref="A5356:G5356"/>
    <mergeCell ref="I5356:J5356"/>
    <mergeCell ref="K5356:L5356"/>
    <mergeCell ref="M5356:N5356"/>
    <mergeCell ref="K5357:L5357"/>
    <mergeCell ref="M5357:N5357"/>
    <mergeCell ref="I5252:J5252"/>
    <mergeCell ref="K5256:L5256"/>
    <mergeCell ref="M5256:N5256"/>
    <mergeCell ref="I5256:J5256"/>
    <mergeCell ref="I5257:J5257"/>
    <mergeCell ref="I5251:J5251"/>
    <mergeCell ref="K5352:L5352"/>
    <mergeCell ref="I5404:J5404"/>
    <mergeCell ref="I5405:J5405"/>
    <mergeCell ref="I5400:J5400"/>
    <mergeCell ref="K5400:L5400"/>
    <mergeCell ref="M5400:N5400"/>
    <mergeCell ref="A5403:N5403"/>
    <mergeCell ref="A5404:G5404"/>
    <mergeCell ref="M5404:N5404"/>
    <mergeCell ref="M5405:N5405"/>
    <mergeCell ref="I5407:J5407"/>
    <mergeCell ref="I5408:J5408"/>
    <mergeCell ref="A5405:G5405"/>
    <mergeCell ref="A5406:G5406"/>
    <mergeCell ref="I5406:J5406"/>
    <mergeCell ref="M5406:N5406"/>
    <mergeCell ref="A5407:G5407"/>
    <mergeCell ref="M5407:N5407"/>
    <mergeCell ref="M5408:N5408"/>
    <mergeCell ref="A5386:G5386"/>
    <mergeCell ref="A5387:G5387"/>
    <mergeCell ref="A5388:G5388"/>
    <mergeCell ref="A5389:G5389"/>
    <mergeCell ref="A5390:G5390"/>
    <mergeCell ref="A5391:G5391"/>
    <mergeCell ref="I5382:J5382"/>
    <mergeCell ref="K5382:L5382"/>
    <mergeCell ref="M5382:N5382"/>
    <mergeCell ref="K5383:L5383"/>
    <mergeCell ref="M5383:N5383"/>
    <mergeCell ref="A5385:N5385"/>
    <mergeCell ref="M5386:N5386"/>
    <mergeCell ref="I5386:J5386"/>
    <mergeCell ref="K5386:L5386"/>
    <mergeCell ref="I5387:J5387"/>
    <mergeCell ref="K5387:L5387"/>
    <mergeCell ref="M5387:N5387"/>
    <mergeCell ref="K5388:L5388"/>
    <mergeCell ref="M5388:N5388"/>
    <mergeCell ref="I5388:J5388"/>
    <mergeCell ref="I5389:J5389"/>
    <mergeCell ref="K5389:L5389"/>
    <mergeCell ref="M5389:N5389"/>
    <mergeCell ref="I5390:J5390"/>
    <mergeCell ref="K5390:L5390"/>
    <mergeCell ref="M5390:N5390"/>
    <mergeCell ref="A5395:G5395"/>
    <mergeCell ref="A5396:G5396"/>
    <mergeCell ref="A5397:G5397"/>
    <mergeCell ref="A5398:G5398"/>
    <mergeCell ref="A5399:G5399"/>
    <mergeCell ref="A5400:G5400"/>
    <mergeCell ref="I5391:J5391"/>
    <mergeCell ref="K5391:L5391"/>
    <mergeCell ref="M5391:N5391"/>
    <mergeCell ref="K5392:L5392"/>
    <mergeCell ref="M5392:N5392"/>
    <mergeCell ref="A5394:N5394"/>
    <mergeCell ref="M5395:N5395"/>
    <mergeCell ref="A5408:G5408"/>
    <mergeCell ref="I5396:J5396"/>
    <mergeCell ref="K5396:L5396"/>
    <mergeCell ref="M5396:N5396"/>
    <mergeCell ref="K5397:L5397"/>
    <mergeCell ref="M5397:N5397"/>
    <mergeCell ref="A5409:G5409"/>
    <mergeCell ref="I5409:J5409"/>
    <mergeCell ref="M5409:N5409"/>
    <mergeCell ref="K5410:L5410"/>
    <mergeCell ref="M5410:N5410"/>
    <mergeCell ref="A5412:N5413"/>
    <mergeCell ref="A5421:G5421"/>
    <mergeCell ref="I5421:J5421"/>
    <mergeCell ref="K5421:L5421"/>
    <mergeCell ref="M5421:N5421"/>
    <mergeCell ref="I5422:J5422"/>
    <mergeCell ref="K5422:L5422"/>
    <mergeCell ref="M5422:N5422"/>
    <mergeCell ref="A5422:G5422"/>
    <mergeCell ref="A5423:G5423"/>
    <mergeCell ref="I5423:J5423"/>
    <mergeCell ref="K5423:L5423"/>
    <mergeCell ref="M5423:N5423"/>
    <mergeCell ref="A5424:G5424"/>
    <mergeCell ref="A5425:G5425"/>
    <mergeCell ref="K5419:L5419"/>
    <mergeCell ref="M5419:N5419"/>
    <mergeCell ref="I5419:J5419"/>
    <mergeCell ref="I5420:J5420"/>
    <mergeCell ref="K5420:L5420"/>
    <mergeCell ref="M5420:N5420"/>
    <mergeCell ref="A5417:N5417"/>
    <mergeCell ref="A5418:G5418"/>
    <mergeCell ref="I5418:J5418"/>
    <mergeCell ref="K5418:L5418"/>
    <mergeCell ref="M5418:N5418"/>
    <mergeCell ref="A5419:G5419"/>
    <mergeCell ref="A5420:G5420"/>
    <mergeCell ref="K5424:L5424"/>
    <mergeCell ref="M5424:N5424"/>
    <mergeCell ref="I5424:J5424"/>
    <mergeCell ref="I5425:J5425"/>
    <mergeCell ref="K5427:L5427"/>
    <mergeCell ref="M5427:N5427"/>
    <mergeCell ref="K5425:L5425"/>
    <mergeCell ref="M5425:N5425"/>
    <mergeCell ref="A5426:G5426"/>
    <mergeCell ref="I5426:J5426"/>
    <mergeCell ref="K5426:L5426"/>
    <mergeCell ref="M5426:N5426"/>
    <mergeCell ref="A5429:N5429"/>
    <mergeCell ref="I5442:J5442"/>
    <mergeCell ref="K5442:L5442"/>
    <mergeCell ref="I5439:J5439"/>
    <mergeCell ref="I5440:J5440"/>
    <mergeCell ref="A5441:G5441"/>
    <mergeCell ref="I5441:J5441"/>
    <mergeCell ref="K5441:L5441"/>
    <mergeCell ref="M5441:N5441"/>
    <mergeCell ref="M5442:N5442"/>
    <mergeCell ref="K5444:L5444"/>
    <mergeCell ref="M5444:N5444"/>
    <mergeCell ref="K5445:L5445"/>
    <mergeCell ref="M5445:N5445"/>
    <mergeCell ref="A5442:G5442"/>
    <mergeCell ref="A5443:G5443"/>
    <mergeCell ref="I5443:J5443"/>
    <mergeCell ref="K5443:L5443"/>
    <mergeCell ref="M5443:N5443"/>
    <mergeCell ref="A5444:G5444"/>
    <mergeCell ref="I5444:J5444"/>
    <mergeCell ref="K5661:L5661"/>
    <mergeCell ref="M5661:N5661"/>
    <mergeCell ref="A5658:N5658"/>
    <mergeCell ref="A5659:G5659"/>
    <mergeCell ref="I5659:J5659"/>
    <mergeCell ref="K5659:L5659"/>
    <mergeCell ref="M5659:N5659"/>
    <mergeCell ref="A5660:G5660"/>
    <mergeCell ref="A5661:G5661"/>
    <mergeCell ref="A5430:G5430"/>
    <mergeCell ref="I5430:J5430"/>
    <mergeCell ref="K5430:L5430"/>
    <mergeCell ref="M5430:N5430"/>
    <mergeCell ref="I5431:J5431"/>
    <mergeCell ref="K5431:L5431"/>
    <mergeCell ref="M5431:N5431"/>
    <mergeCell ref="K5433:L5433"/>
    <mergeCell ref="M5433:N5433"/>
    <mergeCell ref="I5433:J5433"/>
    <mergeCell ref="I5434:J5434"/>
    <mergeCell ref="K5434:L5434"/>
    <mergeCell ref="M5434:N5434"/>
    <mergeCell ref="A5431:G5431"/>
    <mergeCell ref="A5432:G5432"/>
    <mergeCell ref="I5432:J5432"/>
    <mergeCell ref="K5432:L5432"/>
    <mergeCell ref="M5432:N5432"/>
    <mergeCell ref="A5433:G5433"/>
    <mergeCell ref="A5434:G5434"/>
    <mergeCell ref="M5453:N5453"/>
    <mergeCell ref="I5462:J5462"/>
    <mergeCell ref="I5463:J5463"/>
    <mergeCell ref="K5463:L5463"/>
    <mergeCell ref="M5463:N5463"/>
    <mergeCell ref="A5453:G5453"/>
    <mergeCell ref="I5663:J5663"/>
    <mergeCell ref="K5663:L5663"/>
    <mergeCell ref="I5660:J5660"/>
    <mergeCell ref="I5661:J5661"/>
    <mergeCell ref="A5662:G5662"/>
    <mergeCell ref="I5662:J5662"/>
    <mergeCell ref="K5662:L5662"/>
    <mergeCell ref="M5662:N5662"/>
    <mergeCell ref="M5663:N5663"/>
    <mergeCell ref="I5651:J5651"/>
    <mergeCell ref="I5652:J5652"/>
    <mergeCell ref="K5652:L5652"/>
    <mergeCell ref="M5652:N5652"/>
    <mergeCell ref="A5649:N5649"/>
    <mergeCell ref="A5650:G5650"/>
    <mergeCell ref="I5650:J5650"/>
    <mergeCell ref="K5650:L5650"/>
    <mergeCell ref="M5650:N5650"/>
    <mergeCell ref="A5651:G5651"/>
    <mergeCell ref="A5652:G5652"/>
    <mergeCell ref="A5653:G5653"/>
    <mergeCell ref="I5653:J5653"/>
    <mergeCell ref="K5653:L5653"/>
    <mergeCell ref="M5653:N5653"/>
    <mergeCell ref="I5654:J5654"/>
    <mergeCell ref="K5654:L5654"/>
    <mergeCell ref="M5654:N5654"/>
    <mergeCell ref="A5654:G5654"/>
    <mergeCell ref="A5655:G5655"/>
    <mergeCell ref="I5655:J5655"/>
    <mergeCell ref="K5655:L5655"/>
    <mergeCell ref="M5655:N5655"/>
    <mergeCell ref="K5656:L5656"/>
    <mergeCell ref="M5656:N5656"/>
    <mergeCell ref="K5660:L5660"/>
    <mergeCell ref="M5660:N5660"/>
    <mergeCell ref="A5663:G5663"/>
    <mergeCell ref="K5651:L5651"/>
    <mergeCell ref="M5651:N5651"/>
    <mergeCell ref="K5703:L5703"/>
    <mergeCell ref="M5703:N5703"/>
    <mergeCell ref="A5704:G5704"/>
    <mergeCell ref="I5706:J5706"/>
    <mergeCell ref="K5706:L5706"/>
    <mergeCell ref="I5703:J5703"/>
    <mergeCell ref="I5704:J5704"/>
    <mergeCell ref="A5705:G5705"/>
    <mergeCell ref="I5705:J5705"/>
    <mergeCell ref="K5705:L5705"/>
    <mergeCell ref="M5705:N5705"/>
    <mergeCell ref="M5706:N5706"/>
    <mergeCell ref="A5689:G5689"/>
    <mergeCell ref="I5689:J5689"/>
    <mergeCell ref="K5689:L5689"/>
    <mergeCell ref="M5689:N5689"/>
    <mergeCell ref="I5690:J5690"/>
    <mergeCell ref="K5690:L5690"/>
    <mergeCell ref="M5690:N5690"/>
    <mergeCell ref="A5690:G5690"/>
    <mergeCell ref="A5693:N5693"/>
    <mergeCell ref="A5694:G5694"/>
    <mergeCell ref="I5694:J5694"/>
    <mergeCell ref="K5694:L5694"/>
    <mergeCell ref="M5694:N5694"/>
    <mergeCell ref="M5695:N5695"/>
    <mergeCell ref="A5664:G5664"/>
    <mergeCell ref="I5664:J5664"/>
    <mergeCell ref="K5664:L5664"/>
    <mergeCell ref="M5664:N5664"/>
    <mergeCell ref="K5665:L5665"/>
    <mergeCell ref="M5665:N5665"/>
    <mergeCell ref="A5670:G5670"/>
    <mergeCell ref="A5671:G5671"/>
    <mergeCell ref="A5672:G5672"/>
    <mergeCell ref="A5673:G5673"/>
    <mergeCell ref="A5667:N5667"/>
    <mergeCell ref="A5668:G5668"/>
    <mergeCell ref="I5668:J5668"/>
    <mergeCell ref="M5668:N5668"/>
    <mergeCell ref="A5669:G5669"/>
    <mergeCell ref="M5669:N5669"/>
    <mergeCell ref="M5670:N5670"/>
    <mergeCell ref="I5669:J5669"/>
    <mergeCell ref="I5670:J5670"/>
    <mergeCell ref="I5671:J5671"/>
    <mergeCell ref="M5671:N5671"/>
    <mergeCell ref="I5672:J5672"/>
    <mergeCell ref="M5672:N5672"/>
    <mergeCell ref="I5673:J5673"/>
    <mergeCell ref="K5682:L5682"/>
    <mergeCell ref="M5682:N5682"/>
    <mergeCell ref="I5682:J5682"/>
    <mergeCell ref="I5683:J5683"/>
    <mergeCell ref="K5683:L5683"/>
    <mergeCell ref="M5683:N5683"/>
    <mergeCell ref="M5673:N5673"/>
    <mergeCell ref="K5674:L5674"/>
    <mergeCell ref="M5674:N5674"/>
    <mergeCell ref="A5676:N5677"/>
    <mergeCell ref="A5681:N5681"/>
    <mergeCell ref="A5682:G5682"/>
    <mergeCell ref="A5683:G5683"/>
    <mergeCell ref="A5466:G5466"/>
    <mergeCell ref="I5466:J5466"/>
    <mergeCell ref="K5466:L5466"/>
    <mergeCell ref="M5466:N5466"/>
    <mergeCell ref="A5467:G5467"/>
    <mergeCell ref="A5468:G5468"/>
    <mergeCell ref="A5450:G5450"/>
    <mergeCell ref="A5451:G5451"/>
    <mergeCell ref="I5451:J5451"/>
    <mergeCell ref="M5451:N5451"/>
    <mergeCell ref="A5452:G5452"/>
    <mergeCell ref="M5452:N5452"/>
    <mergeCell ref="I5716:J5716"/>
    <mergeCell ref="I5717:J5717"/>
    <mergeCell ref="K5718:L5718"/>
    <mergeCell ref="M5718:N5718"/>
    <mergeCell ref="A5728:G5728"/>
    <mergeCell ref="I5728:J5728"/>
    <mergeCell ref="K5728:L5728"/>
    <mergeCell ref="M5728:N5728"/>
    <mergeCell ref="I5729:J5729"/>
    <mergeCell ref="K5729:L5729"/>
    <mergeCell ref="M5729:N5729"/>
    <mergeCell ref="A5729:G5729"/>
    <mergeCell ref="A5730:G5730"/>
    <mergeCell ref="I5730:J5730"/>
    <mergeCell ref="K5730:L5730"/>
    <mergeCell ref="M5730:N5730"/>
    <mergeCell ref="A5731:G5731"/>
    <mergeCell ref="A5732:G5732"/>
    <mergeCell ref="A5714:G5714"/>
    <mergeCell ref="A5715:G5715"/>
    <mergeCell ref="I5715:J5715"/>
    <mergeCell ref="M5715:N5715"/>
    <mergeCell ref="A5716:G5716"/>
    <mergeCell ref="M5716:N5716"/>
    <mergeCell ref="M5717:N5717"/>
    <mergeCell ref="I5726:J5726"/>
    <mergeCell ref="I5727:J5727"/>
    <mergeCell ref="K5727:L5727"/>
    <mergeCell ref="M5727:N5727"/>
    <mergeCell ref="A5717:G5717"/>
    <mergeCell ref="A5720:N5721"/>
    <mergeCell ref="A5725:N5725"/>
    <mergeCell ref="A5726:G5726"/>
    <mergeCell ref="K5726:L5726"/>
    <mergeCell ref="M5726:N5726"/>
    <mergeCell ref="A5727:G5727"/>
    <mergeCell ref="K5731:L5731"/>
    <mergeCell ref="M5731:N5731"/>
    <mergeCell ref="I5731:J5731"/>
    <mergeCell ref="I5732:J5732"/>
    <mergeCell ref="K5708:L5708"/>
    <mergeCell ref="M5708:N5708"/>
    <mergeCell ref="K5709:L5709"/>
    <mergeCell ref="M5709:N5709"/>
    <mergeCell ref="A5706:G5706"/>
    <mergeCell ref="A5707:G5707"/>
    <mergeCell ref="I5707:J5707"/>
    <mergeCell ref="K5707:L5707"/>
    <mergeCell ref="M5707:N5707"/>
    <mergeCell ref="A5708:G5708"/>
    <mergeCell ref="I5708:J5708"/>
    <mergeCell ref="I5713:J5713"/>
    <mergeCell ref="K5440:L5440"/>
    <mergeCell ref="M5440:N5440"/>
    <mergeCell ref="A5435:G5435"/>
    <mergeCell ref="I5435:J5435"/>
    <mergeCell ref="K5435:L5435"/>
    <mergeCell ref="M5435:N5435"/>
    <mergeCell ref="A5438:N5438"/>
    <mergeCell ref="A5439:G5439"/>
    <mergeCell ref="A5440:G5440"/>
    <mergeCell ref="I5449:J5449"/>
    <mergeCell ref="I5450:J5450"/>
    <mergeCell ref="A5447:N5447"/>
    <mergeCell ref="A5448:G5448"/>
    <mergeCell ref="I5448:J5448"/>
    <mergeCell ref="M5448:N5448"/>
    <mergeCell ref="A5449:G5449"/>
    <mergeCell ref="M5449:N5449"/>
    <mergeCell ref="M5450:N5450"/>
    <mergeCell ref="K5436:L5436"/>
    <mergeCell ref="M5436:N5436"/>
    <mergeCell ref="K5439:L5439"/>
    <mergeCell ref="M5439:N5439"/>
    <mergeCell ref="I5452:J5452"/>
    <mergeCell ref="I5453:J5453"/>
    <mergeCell ref="K5454:L5454"/>
    <mergeCell ref="M5454:N5454"/>
    <mergeCell ref="A5464:G5464"/>
    <mergeCell ref="I5464:J5464"/>
    <mergeCell ref="K5464:L5464"/>
    <mergeCell ref="M5464:N5464"/>
    <mergeCell ref="I5465:J5465"/>
    <mergeCell ref="K5465:L5465"/>
    <mergeCell ref="M5465:N5465"/>
    <mergeCell ref="A5465:G5465"/>
    <mergeCell ref="I5478:J5478"/>
    <mergeCell ref="K5478:L5478"/>
    <mergeCell ref="I5734:J5734"/>
    <mergeCell ref="K5734:L5734"/>
    <mergeCell ref="K5735:L5735"/>
    <mergeCell ref="M5735:N5735"/>
    <mergeCell ref="A5749:G5749"/>
    <mergeCell ref="I5749:J5749"/>
    <mergeCell ref="K5749:L5749"/>
    <mergeCell ref="M5749:N5749"/>
    <mergeCell ref="I5714:J5714"/>
    <mergeCell ref="A5711:N5711"/>
    <mergeCell ref="A5712:G5712"/>
    <mergeCell ref="I5712:J5712"/>
    <mergeCell ref="M5712:N5712"/>
    <mergeCell ref="A5713:G5713"/>
    <mergeCell ref="M5713:N5713"/>
    <mergeCell ref="M5714:N5714"/>
    <mergeCell ref="A5684:G5684"/>
    <mergeCell ref="I5684:J5684"/>
    <mergeCell ref="K5684:L5684"/>
    <mergeCell ref="M5684:N5684"/>
    <mergeCell ref="I5685:J5685"/>
    <mergeCell ref="K5685:L5685"/>
    <mergeCell ref="M5685:N5685"/>
    <mergeCell ref="K5687:L5687"/>
    <mergeCell ref="M5687:N5687"/>
    <mergeCell ref="I5687:J5687"/>
    <mergeCell ref="I5688:J5688"/>
    <mergeCell ref="K5688:L5688"/>
    <mergeCell ref="M5688:N5688"/>
    <mergeCell ref="K5691:L5691"/>
    <mergeCell ref="M5691:N5691"/>
    <mergeCell ref="A5685:G5685"/>
    <mergeCell ref="A5686:G5686"/>
    <mergeCell ref="I5686:J5686"/>
    <mergeCell ref="K5686:L5686"/>
    <mergeCell ref="M5686:N5686"/>
    <mergeCell ref="A5687:G5687"/>
    <mergeCell ref="A5688:G5688"/>
    <mergeCell ref="A5696:G5696"/>
    <mergeCell ref="A5697:G5697"/>
    <mergeCell ref="A5698:G5698"/>
    <mergeCell ref="A5699:G5699"/>
    <mergeCell ref="I5695:J5695"/>
    <mergeCell ref="K5695:L5695"/>
    <mergeCell ref="I5696:J5696"/>
    <mergeCell ref="K5696:L5696"/>
    <mergeCell ref="M5696:N5696"/>
    <mergeCell ref="K5697:L5697"/>
    <mergeCell ref="M5697:N5697"/>
    <mergeCell ref="I5697:J5697"/>
    <mergeCell ref="I5698:J5698"/>
    <mergeCell ref="K5698:L5698"/>
    <mergeCell ref="M5698:N5698"/>
    <mergeCell ref="I5699:J5699"/>
    <mergeCell ref="K5699:L5699"/>
    <mergeCell ref="M5699:N5699"/>
    <mergeCell ref="K5704:L5704"/>
    <mergeCell ref="M5704:N5704"/>
    <mergeCell ref="K5700:L5700"/>
    <mergeCell ref="M5700:N5700"/>
    <mergeCell ref="A5702:N5702"/>
    <mergeCell ref="A5703:G5703"/>
    <mergeCell ref="M5528:N5528"/>
    <mergeCell ref="A5531:G5531"/>
    <mergeCell ref="A5456:N5457"/>
    <mergeCell ref="A5461:N5461"/>
    <mergeCell ref="A5462:G5462"/>
    <mergeCell ref="K5462:L5462"/>
    <mergeCell ref="M5462:N5462"/>
    <mergeCell ref="A5463:G5463"/>
    <mergeCell ref="K5467:L5467"/>
    <mergeCell ref="M5467:N5467"/>
    <mergeCell ref="I5467:J5467"/>
    <mergeCell ref="I5468:J5468"/>
    <mergeCell ref="I5470:J5470"/>
    <mergeCell ref="K5470:L5470"/>
    <mergeCell ref="K5471:L5471"/>
    <mergeCell ref="M5471:N5471"/>
    <mergeCell ref="K5484:L5484"/>
    <mergeCell ref="M5484:N5484"/>
    <mergeCell ref="K5480:L5480"/>
    <mergeCell ref="M5480:N5480"/>
    <mergeCell ref="A5482:N5482"/>
    <mergeCell ref="A5483:G5483"/>
    <mergeCell ref="K5483:L5483"/>
    <mergeCell ref="M5483:N5483"/>
    <mergeCell ref="A5484:G5484"/>
    <mergeCell ref="A5485:G5485"/>
    <mergeCell ref="I5485:J5485"/>
    <mergeCell ref="K5485:L5485"/>
    <mergeCell ref="M5485:N5485"/>
    <mergeCell ref="I5486:J5486"/>
    <mergeCell ref="K5486:L5486"/>
    <mergeCell ref="M5486:N5486"/>
    <mergeCell ref="A5486:G5486"/>
    <mergeCell ref="A5487:G5487"/>
    <mergeCell ref="I5487:J5487"/>
    <mergeCell ref="K5487:L5487"/>
    <mergeCell ref="M5487:N5487"/>
    <mergeCell ref="K5468:L5468"/>
    <mergeCell ref="M5468:N5468"/>
    <mergeCell ref="A5469:G5469"/>
    <mergeCell ref="I5469:J5469"/>
    <mergeCell ref="K5469:L5469"/>
    <mergeCell ref="M5469:N5469"/>
    <mergeCell ref="M5470:N5470"/>
    <mergeCell ref="A5475:G5475"/>
    <mergeCell ref="A5476:G5476"/>
    <mergeCell ref="A5477:G5477"/>
    <mergeCell ref="A5478:G5478"/>
    <mergeCell ref="A5479:G5479"/>
    <mergeCell ref="A5470:G5470"/>
    <mergeCell ref="A5473:N5473"/>
    <mergeCell ref="A5474:G5474"/>
    <mergeCell ref="I5474:J5474"/>
    <mergeCell ref="K5474:L5474"/>
    <mergeCell ref="M5474:N5474"/>
    <mergeCell ref="M5475:N5475"/>
    <mergeCell ref="I5475:J5475"/>
    <mergeCell ref="K5475:L5475"/>
    <mergeCell ref="I5476:J5476"/>
    <mergeCell ref="K5476:L5476"/>
    <mergeCell ref="M5476:N5476"/>
    <mergeCell ref="K5477:L5477"/>
    <mergeCell ref="M5477:N5477"/>
    <mergeCell ref="I5477:J5477"/>
    <mergeCell ref="I5494:J5494"/>
    <mergeCell ref="I5495:J5495"/>
    <mergeCell ref="A5496:G5496"/>
    <mergeCell ref="I5496:J5496"/>
    <mergeCell ref="M5496:N5496"/>
    <mergeCell ref="A5497:G5497"/>
    <mergeCell ref="I5497:J5497"/>
    <mergeCell ref="I5507:J5507"/>
    <mergeCell ref="K5507:L5507"/>
    <mergeCell ref="A5500:N5501"/>
    <mergeCell ref="A5505:N5505"/>
    <mergeCell ref="A5506:G5506"/>
    <mergeCell ref="I5506:J5506"/>
    <mergeCell ref="K5506:L5506"/>
    <mergeCell ref="M5506:N5506"/>
    <mergeCell ref="M5507:N5507"/>
    <mergeCell ref="K5519:L5519"/>
    <mergeCell ref="M5519:N5519"/>
    <mergeCell ref="K5529:L5529"/>
    <mergeCell ref="M5529:N5529"/>
    <mergeCell ref="A5526:N5526"/>
    <mergeCell ref="A5527:G5527"/>
    <mergeCell ref="I5527:J5527"/>
    <mergeCell ref="K5527:L5527"/>
    <mergeCell ref="M5527:N5527"/>
    <mergeCell ref="A5528:G5528"/>
    <mergeCell ref="A5529:G5529"/>
    <mergeCell ref="A5488:G5488"/>
    <mergeCell ref="I5488:J5488"/>
    <mergeCell ref="I5531:J5531"/>
    <mergeCell ref="K5531:L5531"/>
    <mergeCell ref="I5528:J5528"/>
    <mergeCell ref="I5529:J5529"/>
    <mergeCell ref="A5530:G5530"/>
    <mergeCell ref="I5530:J5530"/>
    <mergeCell ref="K5530:L5530"/>
    <mergeCell ref="M5530:N5530"/>
    <mergeCell ref="M5531:N5531"/>
    <mergeCell ref="I5519:J5519"/>
    <mergeCell ref="I5520:J5520"/>
    <mergeCell ref="K5520:L5520"/>
    <mergeCell ref="M5520:N5520"/>
    <mergeCell ref="A5517:N5517"/>
    <mergeCell ref="A5518:G5518"/>
    <mergeCell ref="I5518:J5518"/>
    <mergeCell ref="K5518:L5518"/>
    <mergeCell ref="M5518:N5518"/>
    <mergeCell ref="A5519:G5519"/>
    <mergeCell ref="A5520:G5520"/>
    <mergeCell ref="A5521:G5521"/>
    <mergeCell ref="I5521:J5521"/>
    <mergeCell ref="K5521:L5521"/>
    <mergeCell ref="M5521:N5521"/>
    <mergeCell ref="I5522:J5522"/>
    <mergeCell ref="K5522:L5522"/>
    <mergeCell ref="M5522:N5522"/>
    <mergeCell ref="A5522:G5522"/>
    <mergeCell ref="A5523:G5523"/>
    <mergeCell ref="I5523:J5523"/>
    <mergeCell ref="K5523:L5523"/>
    <mergeCell ref="M5523:N5523"/>
    <mergeCell ref="K5524:L5524"/>
    <mergeCell ref="M5524:N5524"/>
    <mergeCell ref="K5528:L5528"/>
    <mergeCell ref="A5566:G5566"/>
    <mergeCell ref="A5567:G5567"/>
    <mergeCell ref="I5558:J5558"/>
    <mergeCell ref="M5478:N5478"/>
    <mergeCell ref="I5479:J5479"/>
    <mergeCell ref="K5479:L5479"/>
    <mergeCell ref="M5479:N5479"/>
    <mergeCell ref="I5483:J5483"/>
    <mergeCell ref="I5484:J5484"/>
    <mergeCell ref="K5509:L5509"/>
    <mergeCell ref="M5509:N5509"/>
    <mergeCell ref="I5509:J5509"/>
    <mergeCell ref="I5510:J5510"/>
    <mergeCell ref="K5510:L5510"/>
    <mergeCell ref="M5510:N5510"/>
    <mergeCell ref="A5507:G5507"/>
    <mergeCell ref="A5508:G5508"/>
    <mergeCell ref="I5508:J5508"/>
    <mergeCell ref="K5508:L5508"/>
    <mergeCell ref="M5508:N5508"/>
    <mergeCell ref="A5509:G5509"/>
    <mergeCell ref="A5510:G5510"/>
    <mergeCell ref="A5511:G5511"/>
    <mergeCell ref="I5511:J5511"/>
    <mergeCell ref="K5511:L5511"/>
    <mergeCell ref="M5511:N5511"/>
    <mergeCell ref="I5512:J5512"/>
    <mergeCell ref="K5512:L5512"/>
    <mergeCell ref="M5512:N5512"/>
    <mergeCell ref="K5514:L5514"/>
    <mergeCell ref="M5514:N5514"/>
    <mergeCell ref="K5515:L5515"/>
    <mergeCell ref="M5515:N5515"/>
    <mergeCell ref="A5512:G5512"/>
    <mergeCell ref="A5513:G5513"/>
    <mergeCell ref="I5513:J5513"/>
    <mergeCell ref="K5513:L5513"/>
    <mergeCell ref="M5513:N5513"/>
    <mergeCell ref="A5514:G5514"/>
    <mergeCell ref="I5514:J5514"/>
    <mergeCell ref="A5532:G5532"/>
    <mergeCell ref="I5532:J5532"/>
    <mergeCell ref="K5532:L5532"/>
    <mergeCell ref="M5532:N5532"/>
    <mergeCell ref="K5533:L5533"/>
    <mergeCell ref="M5533:N5533"/>
    <mergeCell ref="K5488:L5488"/>
    <mergeCell ref="M5488:N5488"/>
    <mergeCell ref="K5489:L5489"/>
    <mergeCell ref="M5489:N5489"/>
    <mergeCell ref="A5491:N5491"/>
    <mergeCell ref="I5492:J5492"/>
    <mergeCell ref="M5492:N5492"/>
    <mergeCell ref="A5492:G5492"/>
    <mergeCell ref="A5493:G5493"/>
    <mergeCell ref="I5493:J5493"/>
    <mergeCell ref="M5493:N5493"/>
    <mergeCell ref="A5494:G5494"/>
    <mergeCell ref="M5494:N5494"/>
    <mergeCell ref="A5495:G5495"/>
    <mergeCell ref="M5495:N5495"/>
    <mergeCell ref="M5497:N5497"/>
    <mergeCell ref="K5498:L5498"/>
    <mergeCell ref="M5498:N5498"/>
    <mergeCell ref="A5538:G5538"/>
    <mergeCell ref="A5539:G5539"/>
    <mergeCell ref="A5540:G5540"/>
    <mergeCell ref="A5541:G5541"/>
    <mergeCell ref="A5535:N5535"/>
    <mergeCell ref="A5536:G5536"/>
    <mergeCell ref="I5536:J5536"/>
    <mergeCell ref="M5536:N5536"/>
    <mergeCell ref="A5537:G5537"/>
    <mergeCell ref="M5537:N5537"/>
    <mergeCell ref="M5538:N5538"/>
    <mergeCell ref="I5537:J5537"/>
    <mergeCell ref="I5538:J5538"/>
    <mergeCell ref="I5539:J5539"/>
    <mergeCell ref="M5539:N5539"/>
    <mergeCell ref="I5540:J5540"/>
    <mergeCell ref="M5540:N5540"/>
    <mergeCell ref="I5541:J5541"/>
    <mergeCell ref="K5550:L5550"/>
    <mergeCell ref="M5550:N5550"/>
    <mergeCell ref="I5550:J5550"/>
    <mergeCell ref="I5551:J5551"/>
    <mergeCell ref="K5551:L5551"/>
    <mergeCell ref="M5551:N5551"/>
    <mergeCell ref="M5541:N5541"/>
    <mergeCell ref="K5542:L5542"/>
    <mergeCell ref="M5542:N5542"/>
    <mergeCell ref="A5544:N5545"/>
    <mergeCell ref="A5549:N5549"/>
    <mergeCell ref="A5550:G5550"/>
    <mergeCell ref="A5551:G5551"/>
    <mergeCell ref="A5557:G5557"/>
    <mergeCell ref="I5557:J5557"/>
    <mergeCell ref="K5557:L5557"/>
    <mergeCell ref="M5557:N5557"/>
    <mergeCell ref="A5552:G5552"/>
    <mergeCell ref="I5552:J5552"/>
    <mergeCell ref="K5552:L5552"/>
    <mergeCell ref="M5552:N5552"/>
    <mergeCell ref="I5553:J5553"/>
    <mergeCell ref="K5553:L5553"/>
    <mergeCell ref="M5553:N5553"/>
    <mergeCell ref="K5555:L5555"/>
    <mergeCell ref="M5555:N5555"/>
    <mergeCell ref="I5555:J5555"/>
    <mergeCell ref="I5556:J5556"/>
    <mergeCell ref="K5556:L5556"/>
    <mergeCell ref="M5556:N5556"/>
    <mergeCell ref="A5553:G5553"/>
    <mergeCell ref="A5554:G5554"/>
    <mergeCell ref="I5554:J5554"/>
    <mergeCell ref="K5554:L5554"/>
    <mergeCell ref="M5554:N5554"/>
    <mergeCell ref="A5555:G5555"/>
    <mergeCell ref="A5556:G5556"/>
    <mergeCell ref="K5558:L5558"/>
    <mergeCell ref="M5558:N5558"/>
    <mergeCell ref="A5558:G5558"/>
    <mergeCell ref="A5561:N5561"/>
    <mergeCell ref="A5562:G5562"/>
    <mergeCell ref="I5562:J5562"/>
    <mergeCell ref="K5562:L5562"/>
    <mergeCell ref="M5562:N5562"/>
    <mergeCell ref="M5563:N5563"/>
    <mergeCell ref="I5563:J5563"/>
    <mergeCell ref="K5563:L5563"/>
    <mergeCell ref="I5564:J5564"/>
    <mergeCell ref="K5564:L5564"/>
    <mergeCell ref="M5564:N5564"/>
    <mergeCell ref="K5565:L5565"/>
    <mergeCell ref="M5565:N5565"/>
    <mergeCell ref="I5565:J5565"/>
    <mergeCell ref="I5566:J5566"/>
    <mergeCell ref="K5566:L5566"/>
    <mergeCell ref="M5566:N5566"/>
    <mergeCell ref="I5567:J5567"/>
    <mergeCell ref="K5567:L5567"/>
    <mergeCell ref="M5567:N5567"/>
    <mergeCell ref="M5609:N5609"/>
    <mergeCell ref="I5609:J5609"/>
    <mergeCell ref="I5610:J5610"/>
    <mergeCell ref="K5610:L5610"/>
    <mergeCell ref="M5610:N5610"/>
    <mergeCell ref="A5599:G5599"/>
    <mergeCell ref="A5600:G5600"/>
    <mergeCell ref="A5582:G5582"/>
    <mergeCell ref="A5583:G5583"/>
    <mergeCell ref="I5583:J5583"/>
    <mergeCell ref="M5583:N5583"/>
    <mergeCell ref="A5584:G5584"/>
    <mergeCell ref="M5584:N5584"/>
    <mergeCell ref="M5585:N5585"/>
    <mergeCell ref="I5594:J5594"/>
    <mergeCell ref="I5595:J5595"/>
    <mergeCell ref="K5595:L5595"/>
    <mergeCell ref="M5595:N5595"/>
    <mergeCell ref="A5585:G5585"/>
    <mergeCell ref="A5588:N5589"/>
    <mergeCell ref="A5593:N5593"/>
    <mergeCell ref="A5594:G5594"/>
    <mergeCell ref="K5594:L5594"/>
    <mergeCell ref="M5594:N5594"/>
    <mergeCell ref="A5595:G5595"/>
    <mergeCell ref="K5599:L5599"/>
    <mergeCell ref="M5599:N5599"/>
    <mergeCell ref="I5599:J5599"/>
    <mergeCell ref="I5600:J5600"/>
    <mergeCell ref="K5568:L5568"/>
    <mergeCell ref="M5568:N5568"/>
    <mergeCell ref="A5570:N5570"/>
    <mergeCell ref="A5571:G5571"/>
    <mergeCell ref="K5571:L5571"/>
    <mergeCell ref="M5571:N5571"/>
    <mergeCell ref="A5572:G5572"/>
    <mergeCell ref="K5559:L5559"/>
    <mergeCell ref="M5559:N5559"/>
    <mergeCell ref="A5563:G5563"/>
    <mergeCell ref="A5564:G5564"/>
    <mergeCell ref="A5565:G5565"/>
    <mergeCell ref="I5611:J5611"/>
    <mergeCell ref="K5611:L5611"/>
    <mergeCell ref="M5611:N5611"/>
    <mergeCell ref="I5615:J5615"/>
    <mergeCell ref="I5616:J5616"/>
    <mergeCell ref="I5620:J5620"/>
    <mergeCell ref="K5620:L5620"/>
    <mergeCell ref="M5620:N5620"/>
    <mergeCell ref="K5621:L5621"/>
    <mergeCell ref="M5621:N5621"/>
    <mergeCell ref="A5623:N5623"/>
    <mergeCell ref="I5624:J5624"/>
    <mergeCell ref="M5624:N5624"/>
    <mergeCell ref="A5624:G5624"/>
    <mergeCell ref="A5625:G5625"/>
    <mergeCell ref="I5625:J5625"/>
    <mergeCell ref="M5625:N5625"/>
    <mergeCell ref="A5626:G5626"/>
    <mergeCell ref="M5626:N5626"/>
    <mergeCell ref="A5627:G5627"/>
    <mergeCell ref="M5627:N5627"/>
    <mergeCell ref="I5574:J5574"/>
    <mergeCell ref="K5574:L5574"/>
    <mergeCell ref="I5571:J5571"/>
    <mergeCell ref="I5572:J5572"/>
    <mergeCell ref="A5573:G5573"/>
    <mergeCell ref="I5573:J5573"/>
    <mergeCell ref="K5573:L5573"/>
    <mergeCell ref="M5573:N5573"/>
    <mergeCell ref="M5574:N5574"/>
    <mergeCell ref="K5576:L5576"/>
    <mergeCell ref="M5576:N5576"/>
    <mergeCell ref="K5577:L5577"/>
    <mergeCell ref="M5577:N5577"/>
    <mergeCell ref="A5574:G5574"/>
    <mergeCell ref="A5575:G5575"/>
    <mergeCell ref="I5575:J5575"/>
    <mergeCell ref="K5575:L5575"/>
    <mergeCell ref="M5575:N5575"/>
    <mergeCell ref="A5576:G5576"/>
    <mergeCell ref="I5576:J5576"/>
    <mergeCell ref="I5581:J5581"/>
    <mergeCell ref="I5582:J5582"/>
    <mergeCell ref="A5579:N5579"/>
    <mergeCell ref="A5580:G5580"/>
    <mergeCell ref="I5580:J5580"/>
    <mergeCell ref="M5580:N5580"/>
    <mergeCell ref="A5581:G5581"/>
    <mergeCell ref="M5581:N5581"/>
    <mergeCell ref="M5582:N5582"/>
    <mergeCell ref="K5572:L5572"/>
    <mergeCell ref="M5572:N5572"/>
    <mergeCell ref="I5602:J5602"/>
    <mergeCell ref="K5602:L5602"/>
    <mergeCell ref="K5603:L5603"/>
    <mergeCell ref="M5603:N5603"/>
    <mergeCell ref="K5616:L5616"/>
    <mergeCell ref="M5616:N5616"/>
    <mergeCell ref="K5612:L5612"/>
    <mergeCell ref="M5612:N5612"/>
    <mergeCell ref="A5614:N5614"/>
    <mergeCell ref="A5615:G5615"/>
    <mergeCell ref="K5615:L5615"/>
    <mergeCell ref="M5615:N5615"/>
    <mergeCell ref="A5616:G5616"/>
    <mergeCell ref="A5617:G5617"/>
    <mergeCell ref="I5617:J5617"/>
    <mergeCell ref="K5617:L5617"/>
    <mergeCell ref="M5617:N5617"/>
    <mergeCell ref="I5618:J5618"/>
    <mergeCell ref="K5618:L5618"/>
    <mergeCell ref="M5618:N5618"/>
    <mergeCell ref="A5618:G5618"/>
    <mergeCell ref="A5619:G5619"/>
    <mergeCell ref="I5619:J5619"/>
    <mergeCell ref="K5619:L5619"/>
    <mergeCell ref="M5619:N5619"/>
    <mergeCell ref="A5620:G5620"/>
    <mergeCell ref="I5584:J5584"/>
    <mergeCell ref="I5585:J5585"/>
    <mergeCell ref="K5586:L5586"/>
    <mergeCell ref="M5586:N5586"/>
    <mergeCell ref="I5639:J5639"/>
    <mergeCell ref="K5639:L5639"/>
    <mergeCell ref="A5632:N5633"/>
    <mergeCell ref="A5637:N5637"/>
    <mergeCell ref="A5638:G5638"/>
    <mergeCell ref="I5638:J5638"/>
    <mergeCell ref="K5638:L5638"/>
    <mergeCell ref="M5638:N5638"/>
    <mergeCell ref="M5639:N5639"/>
    <mergeCell ref="K5600:L5600"/>
    <mergeCell ref="M5600:N5600"/>
    <mergeCell ref="A5601:G5601"/>
    <mergeCell ref="I5601:J5601"/>
    <mergeCell ref="K5601:L5601"/>
    <mergeCell ref="M5601:N5601"/>
    <mergeCell ref="M5602:N5602"/>
    <mergeCell ref="A5607:G5607"/>
    <mergeCell ref="A5608:G5608"/>
    <mergeCell ref="A5609:G5609"/>
    <mergeCell ref="A5610:G5610"/>
    <mergeCell ref="A5611:G5611"/>
    <mergeCell ref="A5602:G5602"/>
    <mergeCell ref="A5605:N5605"/>
    <mergeCell ref="A5606:G5606"/>
    <mergeCell ref="I5606:J5606"/>
    <mergeCell ref="K5606:L5606"/>
    <mergeCell ref="M5606:N5606"/>
    <mergeCell ref="M5607:N5607"/>
    <mergeCell ref="I5607:J5607"/>
    <mergeCell ref="K5607:L5607"/>
    <mergeCell ref="I5608:J5608"/>
    <mergeCell ref="K5608:L5608"/>
    <mergeCell ref="M5608:N5608"/>
    <mergeCell ref="K5609:L5609"/>
    <mergeCell ref="A5596:G5596"/>
    <mergeCell ref="I5596:J5596"/>
    <mergeCell ref="K5596:L5596"/>
    <mergeCell ref="M5596:N5596"/>
    <mergeCell ref="I5597:J5597"/>
    <mergeCell ref="K5597:L5597"/>
    <mergeCell ref="M5597:N5597"/>
    <mergeCell ref="A5597:G5597"/>
    <mergeCell ref="A5598:G5598"/>
    <mergeCell ref="I5598:J5598"/>
    <mergeCell ref="K5598:L5598"/>
    <mergeCell ref="M5598:N5598"/>
    <mergeCell ref="A5759:G5759"/>
    <mergeCell ref="M5759:N5759"/>
    <mergeCell ref="M5761:N5761"/>
    <mergeCell ref="K5762:L5762"/>
    <mergeCell ref="M5762:N5762"/>
    <mergeCell ref="I5758:J5758"/>
    <mergeCell ref="I5759:J5759"/>
    <mergeCell ref="A5760:G5760"/>
    <mergeCell ref="I5760:J5760"/>
    <mergeCell ref="M5760:N5760"/>
    <mergeCell ref="A5761:G5761"/>
    <mergeCell ref="I5761:J5761"/>
    <mergeCell ref="M5629:N5629"/>
    <mergeCell ref="K5630:L5630"/>
    <mergeCell ref="M5630:N5630"/>
    <mergeCell ref="I5626:J5626"/>
    <mergeCell ref="I5627:J5627"/>
    <mergeCell ref="A5628:G5628"/>
    <mergeCell ref="I5628:J5628"/>
    <mergeCell ref="M5628:N5628"/>
    <mergeCell ref="A5629:G5629"/>
    <mergeCell ref="I5629:J5629"/>
    <mergeCell ref="I5641:J5641"/>
    <mergeCell ref="I5642:J5642"/>
    <mergeCell ref="K5642:L5642"/>
    <mergeCell ref="M5642:N5642"/>
    <mergeCell ref="A5639:G5639"/>
    <mergeCell ref="A5640:G5640"/>
    <mergeCell ref="I5640:J5640"/>
    <mergeCell ref="K5640:L5640"/>
    <mergeCell ref="M5640:N5640"/>
    <mergeCell ref="A5641:G5641"/>
    <mergeCell ref="A5642:G5642"/>
    <mergeCell ref="A5643:G5643"/>
    <mergeCell ref="I5643:J5643"/>
    <mergeCell ref="K5643:L5643"/>
    <mergeCell ref="M5643:N5643"/>
    <mergeCell ref="I5644:J5644"/>
    <mergeCell ref="K5644:L5644"/>
    <mergeCell ref="M5644:N5644"/>
    <mergeCell ref="K5646:L5646"/>
    <mergeCell ref="M5646:N5646"/>
    <mergeCell ref="K5647:L5647"/>
    <mergeCell ref="M5647:N5647"/>
    <mergeCell ref="A5644:G5644"/>
    <mergeCell ref="A5645:G5645"/>
    <mergeCell ref="I5645:J5645"/>
    <mergeCell ref="K5645:L5645"/>
    <mergeCell ref="M5645:N5645"/>
    <mergeCell ref="A5646:G5646"/>
    <mergeCell ref="I5646:J5646"/>
    <mergeCell ref="K5641:L5641"/>
    <mergeCell ref="M5641:N5641"/>
    <mergeCell ref="I5750:J5750"/>
    <mergeCell ref="K5750:L5750"/>
    <mergeCell ref="M5750:N5750"/>
    <mergeCell ref="A5750:G5750"/>
    <mergeCell ref="A5751:G5751"/>
    <mergeCell ref="I5751:J5751"/>
    <mergeCell ref="K5751:L5751"/>
    <mergeCell ref="M5751:N5751"/>
    <mergeCell ref="A5752:G5752"/>
    <mergeCell ref="I5752:J5752"/>
    <mergeCell ref="A5695:G5695"/>
    <mergeCell ref="A5764:N5765"/>
    <mergeCell ref="A5769:N5769"/>
    <mergeCell ref="A5770:G5770"/>
    <mergeCell ref="I5770:J5770"/>
    <mergeCell ref="K5770:L5770"/>
    <mergeCell ref="M5770:N5770"/>
    <mergeCell ref="M5771:N5771"/>
    <mergeCell ref="K5732:L5732"/>
    <mergeCell ref="M5732:N5732"/>
    <mergeCell ref="A5733:G5733"/>
    <mergeCell ref="I5733:J5733"/>
    <mergeCell ref="K5733:L5733"/>
    <mergeCell ref="M5733:N5733"/>
    <mergeCell ref="M5734:N5734"/>
    <mergeCell ref="A5739:G5739"/>
    <mergeCell ref="A5740:G5740"/>
    <mergeCell ref="A5741:G5741"/>
    <mergeCell ref="A5742:G5742"/>
    <mergeCell ref="A5743:G5743"/>
    <mergeCell ref="A5734:G5734"/>
    <mergeCell ref="A5737:N5737"/>
    <mergeCell ref="A5738:G5738"/>
    <mergeCell ref="I5738:J5738"/>
    <mergeCell ref="K5738:L5738"/>
    <mergeCell ref="M5738:N5738"/>
    <mergeCell ref="M5739:N5739"/>
    <mergeCell ref="I5739:J5739"/>
    <mergeCell ref="K5739:L5739"/>
    <mergeCell ref="I5740:J5740"/>
    <mergeCell ref="K5740:L5740"/>
    <mergeCell ref="M5740:N5740"/>
    <mergeCell ref="K5741:L5741"/>
    <mergeCell ref="M5741:N5741"/>
    <mergeCell ref="I5741:J5741"/>
    <mergeCell ref="I5742:J5742"/>
    <mergeCell ref="K5742:L5742"/>
    <mergeCell ref="M5742:N5742"/>
    <mergeCell ref="I5743:J5743"/>
    <mergeCell ref="K5743:L5743"/>
    <mergeCell ref="M5743:N5743"/>
    <mergeCell ref="I5747:J5747"/>
    <mergeCell ref="I5748:J5748"/>
    <mergeCell ref="K5748:L5748"/>
    <mergeCell ref="M5748:N5748"/>
    <mergeCell ref="K5744:L5744"/>
    <mergeCell ref="M5744:N5744"/>
    <mergeCell ref="A5746:N5746"/>
    <mergeCell ref="A5747:G5747"/>
    <mergeCell ref="K5747:L5747"/>
    <mergeCell ref="M5747:N5747"/>
    <mergeCell ref="A5748:G5748"/>
    <mergeCell ref="K5752:L5752"/>
    <mergeCell ref="M5752:N5752"/>
    <mergeCell ref="K5753:L5753"/>
    <mergeCell ref="M5753:N5753"/>
    <mergeCell ref="A5755:N5755"/>
    <mergeCell ref="I5756:J5756"/>
    <mergeCell ref="M5756:N5756"/>
    <mergeCell ref="A5756:G5756"/>
    <mergeCell ref="A5757:G5757"/>
    <mergeCell ref="I5757:J5757"/>
    <mergeCell ref="M5757:N5757"/>
    <mergeCell ref="A5758:G5758"/>
    <mergeCell ref="M5758:N5758"/>
    <mergeCell ref="K5773:L5773"/>
    <mergeCell ref="M5773:N5773"/>
    <mergeCell ref="I5773:J5773"/>
    <mergeCell ref="I5774:J5774"/>
    <mergeCell ref="K5774:L5774"/>
    <mergeCell ref="M5774:N5774"/>
    <mergeCell ref="A5771:G5771"/>
    <mergeCell ref="A5772:G5772"/>
    <mergeCell ref="I5772:J5772"/>
    <mergeCell ref="K5772:L5772"/>
    <mergeCell ref="M5772:N5772"/>
    <mergeCell ref="A5773:G5773"/>
    <mergeCell ref="A5774:G5774"/>
    <mergeCell ref="A5775:G5775"/>
    <mergeCell ref="I5775:J5775"/>
    <mergeCell ref="K5775:L5775"/>
    <mergeCell ref="M5775:N5775"/>
    <mergeCell ref="I5776:J5776"/>
    <mergeCell ref="K5776:L5776"/>
    <mergeCell ref="M5776:N5776"/>
    <mergeCell ref="K5778:L5778"/>
    <mergeCell ref="M5778:N5778"/>
    <mergeCell ref="K5779:L5779"/>
    <mergeCell ref="M5779:N5779"/>
    <mergeCell ref="A5776:G5776"/>
    <mergeCell ref="A5777:G5777"/>
    <mergeCell ref="I5777:J5777"/>
    <mergeCell ref="K5777:L5777"/>
    <mergeCell ref="M5777:N5777"/>
    <mergeCell ref="A5778:G5778"/>
    <mergeCell ref="I5778:J5778"/>
    <mergeCell ref="K5783:L5783"/>
    <mergeCell ref="M5783:N5783"/>
    <mergeCell ref="I5771:J5771"/>
    <mergeCell ref="K5771:L5771"/>
    <mergeCell ref="K5793:L5793"/>
    <mergeCell ref="M5793:N5793"/>
    <mergeCell ref="A5790:N5790"/>
    <mergeCell ref="A5791:G5791"/>
    <mergeCell ref="I5791:J5791"/>
    <mergeCell ref="K5791:L5791"/>
    <mergeCell ref="M5791:N5791"/>
    <mergeCell ref="A5792:G5792"/>
    <mergeCell ref="A5793:G5793"/>
    <mergeCell ref="I5795:J5795"/>
    <mergeCell ref="K5795:L5795"/>
    <mergeCell ref="I5792:J5792"/>
    <mergeCell ref="I5793:J5793"/>
    <mergeCell ref="A5794:G5794"/>
    <mergeCell ref="I5794:J5794"/>
    <mergeCell ref="K5794:L5794"/>
    <mergeCell ref="M5794:N5794"/>
    <mergeCell ref="M5795:N5795"/>
    <mergeCell ref="I5783:J5783"/>
    <mergeCell ref="I5784:J5784"/>
    <mergeCell ref="K5784:L5784"/>
    <mergeCell ref="M5784:N5784"/>
    <mergeCell ref="A5781:N5781"/>
    <mergeCell ref="A5782:G5782"/>
    <mergeCell ref="I5782:J5782"/>
    <mergeCell ref="K5782:L5782"/>
    <mergeCell ref="M5782:N5782"/>
    <mergeCell ref="A5783:G5783"/>
    <mergeCell ref="A5784:G5784"/>
    <mergeCell ref="A5785:G5785"/>
    <mergeCell ref="I5785:J5785"/>
    <mergeCell ref="K5785:L5785"/>
    <mergeCell ref="M5785:N5785"/>
    <mergeCell ref="I5786:J5786"/>
    <mergeCell ref="K5786:L5786"/>
    <mergeCell ref="M5786:N5786"/>
    <mergeCell ref="A5786:G5786"/>
    <mergeCell ref="A5787:G5787"/>
    <mergeCell ref="I5787:J5787"/>
    <mergeCell ref="K5787:L5787"/>
    <mergeCell ref="M5787:N5787"/>
    <mergeCell ref="K5788:L5788"/>
    <mergeCell ref="M5788:N5788"/>
    <mergeCell ref="K5792:L5792"/>
    <mergeCell ref="M5792:N5792"/>
    <mergeCell ref="A5795:G5795"/>
    <mergeCell ref="A5837:G5837"/>
    <mergeCell ref="I5837:J5837"/>
    <mergeCell ref="K5837:L5837"/>
    <mergeCell ref="M5837:N5837"/>
    <mergeCell ref="M5838:N5838"/>
    <mergeCell ref="K5840:L5840"/>
    <mergeCell ref="M5840:N5840"/>
    <mergeCell ref="A5796:G5796"/>
    <mergeCell ref="I5796:J5796"/>
    <mergeCell ref="K5796:L5796"/>
    <mergeCell ref="M5796:N5796"/>
    <mergeCell ref="K5797:L5797"/>
    <mergeCell ref="M5797:N5797"/>
    <mergeCell ref="A5802:G5802"/>
    <mergeCell ref="A5803:G5803"/>
    <mergeCell ref="A5804:G5804"/>
    <mergeCell ref="A5805:G5805"/>
    <mergeCell ref="A5799:N5799"/>
    <mergeCell ref="A5800:G5800"/>
    <mergeCell ref="I5800:J5800"/>
    <mergeCell ref="M5800:N5800"/>
    <mergeCell ref="A5801:G5801"/>
    <mergeCell ref="M5801:N5801"/>
    <mergeCell ref="M5802:N5802"/>
    <mergeCell ref="I5801:J5801"/>
    <mergeCell ref="I5802:J5802"/>
    <mergeCell ref="I5803:J5803"/>
    <mergeCell ref="M5803:N5803"/>
    <mergeCell ref="I5804:J5804"/>
    <mergeCell ref="M5804:N5804"/>
    <mergeCell ref="I5805:J5805"/>
    <mergeCell ref="K5814:L5814"/>
    <mergeCell ref="M5814:N5814"/>
    <mergeCell ref="I5814:J5814"/>
    <mergeCell ref="I5815:J5815"/>
    <mergeCell ref="K5815:L5815"/>
    <mergeCell ref="M5815:N5815"/>
    <mergeCell ref="M5805:N5805"/>
    <mergeCell ref="K5806:L5806"/>
    <mergeCell ref="M5806:N5806"/>
    <mergeCell ref="A5808:N5809"/>
    <mergeCell ref="A5813:N5813"/>
    <mergeCell ref="A5814:G5814"/>
    <mergeCell ref="A5815:G5815"/>
    <mergeCell ref="A5821:G5821"/>
    <mergeCell ref="I5821:J5821"/>
    <mergeCell ref="K5821:L5821"/>
    <mergeCell ref="M5821:N5821"/>
    <mergeCell ref="I5822:J5822"/>
    <mergeCell ref="K5822:L5822"/>
    <mergeCell ref="M5822:N5822"/>
    <mergeCell ref="A5822:G5822"/>
    <mergeCell ref="A5825:N5825"/>
    <mergeCell ref="A5826:G5826"/>
    <mergeCell ref="I5826:J5826"/>
    <mergeCell ref="K5826:L5826"/>
    <mergeCell ref="M5826:N5826"/>
    <mergeCell ref="M5827:N5827"/>
    <mergeCell ref="I5845:J5845"/>
    <mergeCell ref="I5846:J5846"/>
    <mergeCell ref="A5843:N5843"/>
    <mergeCell ref="A5844:G5844"/>
    <mergeCell ref="I5844:J5844"/>
    <mergeCell ref="M5844:N5844"/>
    <mergeCell ref="A5845:G5845"/>
    <mergeCell ref="M5845:N5845"/>
    <mergeCell ref="M5846:N5846"/>
    <mergeCell ref="A5816:G5816"/>
    <mergeCell ref="I5816:J5816"/>
    <mergeCell ref="K5816:L5816"/>
    <mergeCell ref="M5816:N5816"/>
    <mergeCell ref="I5817:J5817"/>
    <mergeCell ref="K5817:L5817"/>
    <mergeCell ref="M5817:N5817"/>
    <mergeCell ref="K5819:L5819"/>
    <mergeCell ref="M5819:N5819"/>
    <mergeCell ref="I5819:J5819"/>
    <mergeCell ref="I5820:J5820"/>
    <mergeCell ref="K5820:L5820"/>
    <mergeCell ref="M5820:N5820"/>
    <mergeCell ref="K5823:L5823"/>
    <mergeCell ref="M5823:N5823"/>
    <mergeCell ref="A5817:G5817"/>
    <mergeCell ref="A5818:G5818"/>
    <mergeCell ref="I5818:J5818"/>
    <mergeCell ref="K5818:L5818"/>
    <mergeCell ref="M5818:N5818"/>
    <mergeCell ref="A5819:G5819"/>
    <mergeCell ref="A5820:G5820"/>
    <mergeCell ref="A5827:G5827"/>
    <mergeCell ref="A5828:G5828"/>
    <mergeCell ref="A5829:G5829"/>
    <mergeCell ref="A5830:G5830"/>
    <mergeCell ref="A5831:G5831"/>
    <mergeCell ref="I5827:J5827"/>
    <mergeCell ref="K5827:L5827"/>
    <mergeCell ref="I5828:J5828"/>
    <mergeCell ref="K5828:L5828"/>
    <mergeCell ref="M5828:N5828"/>
    <mergeCell ref="K5829:L5829"/>
    <mergeCell ref="M5829:N5829"/>
    <mergeCell ref="I5829:J5829"/>
    <mergeCell ref="I5830:J5830"/>
    <mergeCell ref="K5830:L5830"/>
    <mergeCell ref="M5830:N5830"/>
    <mergeCell ref="I5831:J5831"/>
    <mergeCell ref="K5831:L5831"/>
    <mergeCell ref="M5831:N5831"/>
    <mergeCell ref="A5846:G5846"/>
    <mergeCell ref="K5836:L5836"/>
    <mergeCell ref="M5836:N5836"/>
    <mergeCell ref="K5832:L5832"/>
    <mergeCell ref="M5832:N5832"/>
    <mergeCell ref="A5834:N5834"/>
    <mergeCell ref="A5835:G5835"/>
    <mergeCell ref="K5835:L5835"/>
    <mergeCell ref="M5835:N5835"/>
    <mergeCell ref="A5836:G5836"/>
    <mergeCell ref="I5838:J5838"/>
    <mergeCell ref="K5838:L5838"/>
    <mergeCell ref="I5835:J5835"/>
    <mergeCell ref="I5836:J5836"/>
    <mergeCell ref="A5847:G5847"/>
    <mergeCell ref="I5847:J5847"/>
    <mergeCell ref="M5847:N5847"/>
    <mergeCell ref="A5848:G5848"/>
    <mergeCell ref="M5848:N5848"/>
    <mergeCell ref="M5849:N5849"/>
    <mergeCell ref="I5858:J5858"/>
    <mergeCell ref="I5859:J5859"/>
    <mergeCell ref="K5859:L5859"/>
    <mergeCell ref="M5859:N5859"/>
    <mergeCell ref="A5849:G5849"/>
    <mergeCell ref="A5852:N5853"/>
    <mergeCell ref="A5857:N5857"/>
    <mergeCell ref="A5858:G5858"/>
    <mergeCell ref="K5858:L5858"/>
    <mergeCell ref="M5858:N5858"/>
    <mergeCell ref="A5859:G5859"/>
    <mergeCell ref="K5863:L5863"/>
    <mergeCell ref="M5863:N5863"/>
    <mergeCell ref="I5863:J5863"/>
    <mergeCell ref="I5864:J5864"/>
    <mergeCell ref="K5864:L5864"/>
    <mergeCell ref="M5864:N5864"/>
    <mergeCell ref="K5841:L5841"/>
    <mergeCell ref="M5841:N5841"/>
    <mergeCell ref="A5838:G5838"/>
    <mergeCell ref="A5839:G5839"/>
    <mergeCell ref="I5839:J5839"/>
    <mergeCell ref="K5839:L5839"/>
    <mergeCell ref="M5839:N5839"/>
    <mergeCell ref="A5840:G5840"/>
    <mergeCell ref="I5840:J5840"/>
    <mergeCell ref="K5917:L5917"/>
    <mergeCell ref="M5917:N5917"/>
    <mergeCell ref="A5879:G5879"/>
    <mergeCell ref="K5879:L5879"/>
    <mergeCell ref="M5879:N5879"/>
    <mergeCell ref="A5880:G5880"/>
    <mergeCell ref="A5881:G5881"/>
    <mergeCell ref="I5881:J5881"/>
    <mergeCell ref="K5881:L5881"/>
    <mergeCell ref="M5881:N5881"/>
    <mergeCell ref="I5882:J5882"/>
    <mergeCell ref="K5882:L5882"/>
    <mergeCell ref="M5882:N5882"/>
    <mergeCell ref="A5882:G5882"/>
    <mergeCell ref="A5883:G5883"/>
    <mergeCell ref="I5883:J5883"/>
    <mergeCell ref="K5883:L5883"/>
    <mergeCell ref="M5883:N5883"/>
    <mergeCell ref="A5884:G5884"/>
    <mergeCell ref="I5884:J5884"/>
    <mergeCell ref="K5884:L5884"/>
    <mergeCell ref="M5884:N5884"/>
    <mergeCell ref="K5885:L5885"/>
    <mergeCell ref="M5885:N5885"/>
    <mergeCell ref="A5887:N5887"/>
    <mergeCell ref="I5888:J5888"/>
    <mergeCell ref="M5888:N5888"/>
    <mergeCell ref="A5888:G5888"/>
    <mergeCell ref="A5889:G5889"/>
    <mergeCell ref="I5889:J5889"/>
    <mergeCell ref="M5889:N5889"/>
    <mergeCell ref="A5890:G5890"/>
    <mergeCell ref="I5848:J5848"/>
    <mergeCell ref="I5849:J5849"/>
    <mergeCell ref="K5850:L5850"/>
    <mergeCell ref="M5850:N5850"/>
    <mergeCell ref="A5860:G5860"/>
    <mergeCell ref="I5860:J5860"/>
    <mergeCell ref="K5860:L5860"/>
    <mergeCell ref="M5860:N5860"/>
    <mergeCell ref="I5861:J5861"/>
    <mergeCell ref="K5861:L5861"/>
    <mergeCell ref="M5861:N5861"/>
    <mergeCell ref="A5861:G5861"/>
    <mergeCell ref="A5862:G5862"/>
    <mergeCell ref="I5862:J5862"/>
    <mergeCell ref="K5862:L5862"/>
    <mergeCell ref="M5862:N5862"/>
    <mergeCell ref="A5863:G5863"/>
    <mergeCell ref="A5864:G5864"/>
    <mergeCell ref="K5905:L5905"/>
    <mergeCell ref="M5905:N5905"/>
    <mergeCell ref="I5905:J5905"/>
    <mergeCell ref="I5906:J5906"/>
    <mergeCell ref="K5906:L5906"/>
    <mergeCell ref="M5906:N5906"/>
    <mergeCell ref="A5903:G5903"/>
    <mergeCell ref="A5904:G5904"/>
    <mergeCell ref="I5904:J5904"/>
    <mergeCell ref="K5904:L5904"/>
    <mergeCell ref="M5904:N5904"/>
    <mergeCell ref="A5905:G5905"/>
    <mergeCell ref="A5906:G5906"/>
    <mergeCell ref="A5907:G5907"/>
    <mergeCell ref="I5907:J5907"/>
    <mergeCell ref="K5907:L5907"/>
    <mergeCell ref="M5907:N5907"/>
    <mergeCell ref="I5866:J5866"/>
    <mergeCell ref="K5866:L5866"/>
    <mergeCell ref="K5867:L5867"/>
    <mergeCell ref="M5867:N5867"/>
    <mergeCell ref="K5880:L5880"/>
    <mergeCell ref="M5880:N5880"/>
    <mergeCell ref="K5876:L5876"/>
    <mergeCell ref="M5876:N5876"/>
    <mergeCell ref="A5878:N5878"/>
    <mergeCell ref="A5865:G5865"/>
    <mergeCell ref="I5865:J5865"/>
    <mergeCell ref="K5865:L5865"/>
    <mergeCell ref="M5865:N5865"/>
    <mergeCell ref="M5866:N5866"/>
    <mergeCell ref="A5871:G5871"/>
    <mergeCell ref="A5872:G5872"/>
    <mergeCell ref="A5873:G5873"/>
    <mergeCell ref="A5874:G5874"/>
    <mergeCell ref="A5875:G5875"/>
    <mergeCell ref="A5866:G5866"/>
    <mergeCell ref="A5869:N5869"/>
    <mergeCell ref="A5870:G5870"/>
    <mergeCell ref="I5870:J5870"/>
    <mergeCell ref="K5870:L5870"/>
    <mergeCell ref="M5870:N5870"/>
    <mergeCell ref="M5871:N5871"/>
    <mergeCell ref="I5871:J5871"/>
    <mergeCell ref="K5871:L5871"/>
    <mergeCell ref="I5872:J5872"/>
    <mergeCell ref="K5872:L5872"/>
    <mergeCell ref="M5872:N5872"/>
    <mergeCell ref="K5873:L5873"/>
    <mergeCell ref="M5873:N5873"/>
    <mergeCell ref="I5873:J5873"/>
    <mergeCell ref="I5874:J5874"/>
    <mergeCell ref="K5874:L5874"/>
    <mergeCell ref="M5874:N5874"/>
    <mergeCell ref="I5875:J5875"/>
    <mergeCell ref="K5875:L5875"/>
    <mergeCell ref="M5875:N5875"/>
    <mergeCell ref="I5879:J5879"/>
    <mergeCell ref="I5880:J5880"/>
    <mergeCell ref="M5927:N5927"/>
    <mergeCell ref="I5915:J5915"/>
    <mergeCell ref="I5916:J5916"/>
    <mergeCell ref="K5916:L5916"/>
    <mergeCell ref="M5916:N5916"/>
    <mergeCell ref="A5913:N5913"/>
    <mergeCell ref="A5914:G5914"/>
    <mergeCell ref="I5914:J5914"/>
    <mergeCell ref="K5914:L5914"/>
    <mergeCell ref="M5914:N5914"/>
    <mergeCell ref="A5915:G5915"/>
    <mergeCell ref="A5916:G5916"/>
    <mergeCell ref="A5917:G5917"/>
    <mergeCell ref="I5917:J5917"/>
    <mergeCell ref="M5890:N5890"/>
    <mergeCell ref="A5891:G5891"/>
    <mergeCell ref="M5891:N5891"/>
    <mergeCell ref="M5893:N5893"/>
    <mergeCell ref="K5894:L5894"/>
    <mergeCell ref="M5894:N5894"/>
    <mergeCell ref="I5890:J5890"/>
    <mergeCell ref="I5891:J5891"/>
    <mergeCell ref="A5892:G5892"/>
    <mergeCell ref="I5892:J5892"/>
    <mergeCell ref="M5892:N5892"/>
    <mergeCell ref="A5893:G5893"/>
    <mergeCell ref="I5893:J5893"/>
    <mergeCell ref="I5903:J5903"/>
    <mergeCell ref="K5903:L5903"/>
    <mergeCell ref="A5896:N5897"/>
    <mergeCell ref="A5901:N5901"/>
    <mergeCell ref="A5902:G5902"/>
    <mergeCell ref="I5902:J5902"/>
    <mergeCell ref="K5902:L5902"/>
    <mergeCell ref="M5902:N5902"/>
    <mergeCell ref="M5903:N5903"/>
    <mergeCell ref="I5918:J5918"/>
    <mergeCell ref="K5918:L5918"/>
    <mergeCell ref="M5918:N5918"/>
    <mergeCell ref="A5918:G5918"/>
    <mergeCell ref="A5919:G5919"/>
    <mergeCell ref="I5919:J5919"/>
    <mergeCell ref="K5919:L5919"/>
    <mergeCell ref="M5919:N5919"/>
    <mergeCell ref="K5920:L5920"/>
    <mergeCell ref="M5920:N5920"/>
    <mergeCell ref="K5924:L5924"/>
    <mergeCell ref="M5924:N5924"/>
    <mergeCell ref="A5927:G5927"/>
    <mergeCell ref="I5908:J5908"/>
    <mergeCell ref="K5908:L5908"/>
    <mergeCell ref="M5908:N5908"/>
    <mergeCell ref="K5910:L5910"/>
    <mergeCell ref="M5910:N5910"/>
    <mergeCell ref="K5911:L5911"/>
    <mergeCell ref="M5911:N5911"/>
    <mergeCell ref="A5968:G5968"/>
    <mergeCell ref="I5970:J5970"/>
    <mergeCell ref="K5970:L5970"/>
    <mergeCell ref="I5967:J5967"/>
    <mergeCell ref="I5968:J5968"/>
    <mergeCell ref="A5969:G5969"/>
    <mergeCell ref="I5969:J5969"/>
    <mergeCell ref="K5969:L5969"/>
    <mergeCell ref="M5969:N5969"/>
    <mergeCell ref="M5970:N5970"/>
    <mergeCell ref="K5972:L5972"/>
    <mergeCell ref="M5972:N5972"/>
    <mergeCell ref="K5973:L5973"/>
    <mergeCell ref="M5973:N5973"/>
    <mergeCell ref="A5908:G5908"/>
    <mergeCell ref="A5909:G5909"/>
    <mergeCell ref="I5909:J5909"/>
    <mergeCell ref="K5909:L5909"/>
    <mergeCell ref="M5909:N5909"/>
    <mergeCell ref="A5910:G5910"/>
    <mergeCell ref="I5910:J5910"/>
    <mergeCell ref="K5915:L5915"/>
    <mergeCell ref="M5915:N5915"/>
    <mergeCell ref="K5925:L5925"/>
    <mergeCell ref="M5925:N5925"/>
    <mergeCell ref="A5922:N5922"/>
    <mergeCell ref="A5923:G5923"/>
    <mergeCell ref="I5923:J5923"/>
    <mergeCell ref="K5923:L5923"/>
    <mergeCell ref="M5923:N5923"/>
    <mergeCell ref="A5924:G5924"/>
    <mergeCell ref="A5925:G5925"/>
    <mergeCell ref="A5934:G5934"/>
    <mergeCell ref="A5935:G5935"/>
    <mergeCell ref="A5936:G5936"/>
    <mergeCell ref="A5937:G5937"/>
    <mergeCell ref="A5931:N5931"/>
    <mergeCell ref="A5932:G5932"/>
    <mergeCell ref="I5932:J5932"/>
    <mergeCell ref="M5932:N5932"/>
    <mergeCell ref="A5933:G5933"/>
    <mergeCell ref="M5933:N5933"/>
    <mergeCell ref="M5934:N5934"/>
    <mergeCell ref="I5933:J5933"/>
    <mergeCell ref="I5934:J5934"/>
    <mergeCell ref="I5935:J5935"/>
    <mergeCell ref="M5935:N5935"/>
    <mergeCell ref="I5936:J5936"/>
    <mergeCell ref="M5936:N5936"/>
    <mergeCell ref="I5937:J5937"/>
    <mergeCell ref="A5928:G5928"/>
    <mergeCell ref="I5928:J5928"/>
    <mergeCell ref="K5928:L5928"/>
    <mergeCell ref="M5928:N5928"/>
    <mergeCell ref="K5929:L5929"/>
    <mergeCell ref="M5929:N5929"/>
    <mergeCell ref="I5927:J5927"/>
    <mergeCell ref="K5927:L5927"/>
    <mergeCell ref="I5924:J5924"/>
    <mergeCell ref="I5925:J5925"/>
    <mergeCell ref="A5926:G5926"/>
    <mergeCell ref="I5926:J5926"/>
    <mergeCell ref="K5926:L5926"/>
    <mergeCell ref="M5926:N5926"/>
    <mergeCell ref="M5964:N5964"/>
    <mergeCell ref="A5966:N5966"/>
    <mergeCell ref="A5967:G5967"/>
    <mergeCell ref="K5967:L5967"/>
    <mergeCell ref="M5967:N5967"/>
    <mergeCell ref="M5937:N5937"/>
    <mergeCell ref="K5938:L5938"/>
    <mergeCell ref="M5938:N5938"/>
    <mergeCell ref="A5940:N5941"/>
    <mergeCell ref="A5945:N5945"/>
    <mergeCell ref="A5946:G5946"/>
    <mergeCell ref="A5947:G5947"/>
    <mergeCell ref="A5953:G5953"/>
    <mergeCell ref="I5953:J5953"/>
    <mergeCell ref="K5953:L5953"/>
    <mergeCell ref="M5953:N5953"/>
    <mergeCell ref="I5954:J5954"/>
    <mergeCell ref="K5954:L5954"/>
    <mergeCell ref="M5954:N5954"/>
    <mergeCell ref="A5954:G5954"/>
    <mergeCell ref="A5957:N5957"/>
    <mergeCell ref="A5958:G5958"/>
    <mergeCell ref="I5958:J5958"/>
    <mergeCell ref="K5958:L5958"/>
    <mergeCell ref="M5958:N5958"/>
    <mergeCell ref="M5959:N5959"/>
    <mergeCell ref="I5959:J5959"/>
    <mergeCell ref="K5959:L5959"/>
    <mergeCell ref="I5960:J5960"/>
    <mergeCell ref="K5960:L5960"/>
    <mergeCell ref="M5960:N5960"/>
    <mergeCell ref="K5961:L5961"/>
    <mergeCell ref="M5961:N5961"/>
    <mergeCell ref="I5961:J5961"/>
    <mergeCell ref="K6005:L6005"/>
    <mergeCell ref="A5992:G5992"/>
    <mergeCell ref="I5992:J5992"/>
    <mergeCell ref="K5992:L5992"/>
    <mergeCell ref="M5992:N5992"/>
    <mergeCell ref="M6005:N6005"/>
    <mergeCell ref="I6005:J6005"/>
    <mergeCell ref="I6006:J6006"/>
    <mergeCell ref="K5946:L5946"/>
    <mergeCell ref="M5946:N5946"/>
    <mergeCell ref="I5946:J5946"/>
    <mergeCell ref="I5947:J5947"/>
    <mergeCell ref="K5947:L5947"/>
    <mergeCell ref="M5947:N5947"/>
    <mergeCell ref="A5948:G5948"/>
    <mergeCell ref="I5948:J5948"/>
    <mergeCell ref="K5948:L5948"/>
    <mergeCell ref="M5948:N5948"/>
    <mergeCell ref="I5949:J5949"/>
    <mergeCell ref="K5949:L5949"/>
    <mergeCell ref="M5949:N5949"/>
    <mergeCell ref="K5951:L5951"/>
    <mergeCell ref="M5951:N5951"/>
    <mergeCell ref="I5951:J5951"/>
    <mergeCell ref="I5952:J5952"/>
    <mergeCell ref="K5952:L5952"/>
    <mergeCell ref="M5952:N5952"/>
    <mergeCell ref="K5955:L5955"/>
    <mergeCell ref="M5955:N5955"/>
    <mergeCell ref="A5949:G5949"/>
    <mergeCell ref="A5950:G5950"/>
    <mergeCell ref="I5950:J5950"/>
    <mergeCell ref="K5950:L5950"/>
    <mergeCell ref="M5950:N5950"/>
    <mergeCell ref="A5951:G5951"/>
    <mergeCell ref="A5952:G5952"/>
    <mergeCell ref="A5959:G5959"/>
    <mergeCell ref="A5960:G5960"/>
    <mergeCell ref="A5961:G5961"/>
    <mergeCell ref="A5962:G5962"/>
    <mergeCell ref="A5963:G5963"/>
    <mergeCell ref="I5962:J5962"/>
    <mergeCell ref="K5962:L5962"/>
    <mergeCell ref="M5962:N5962"/>
    <mergeCell ref="I5963:J5963"/>
    <mergeCell ref="K5963:L5963"/>
    <mergeCell ref="M5963:N5963"/>
    <mergeCell ref="I5991:J5991"/>
    <mergeCell ref="K5991:L5991"/>
    <mergeCell ref="M5991:N5991"/>
    <mergeCell ref="A5981:G5981"/>
    <mergeCell ref="A5984:N5985"/>
    <mergeCell ref="A5989:N5989"/>
    <mergeCell ref="A5990:G5990"/>
    <mergeCell ref="K5990:L5990"/>
    <mergeCell ref="M5990:N5990"/>
    <mergeCell ref="A5991:G5991"/>
    <mergeCell ref="K5995:L5995"/>
    <mergeCell ref="M5995:N5995"/>
    <mergeCell ref="I5995:J5995"/>
    <mergeCell ref="I5996:J5996"/>
    <mergeCell ref="K5968:L5968"/>
    <mergeCell ref="M5968:N5968"/>
    <mergeCell ref="K5964:L5964"/>
    <mergeCell ref="A5970:G5970"/>
    <mergeCell ref="A5971:G5971"/>
    <mergeCell ref="I5971:J5971"/>
    <mergeCell ref="K5971:L5971"/>
    <mergeCell ref="M5971:N5971"/>
    <mergeCell ref="A5972:G5972"/>
    <mergeCell ref="I5972:J5972"/>
    <mergeCell ref="A5978:G5978"/>
    <mergeCell ref="A5979:G5979"/>
    <mergeCell ref="I5979:J5979"/>
    <mergeCell ref="M5979:N5979"/>
    <mergeCell ref="M6025:N6025"/>
    <mergeCell ref="K6026:L6026"/>
    <mergeCell ref="M6026:N6026"/>
    <mergeCell ref="I6022:J6022"/>
    <mergeCell ref="I6023:J6023"/>
    <mergeCell ref="A6024:G6024"/>
    <mergeCell ref="I6024:J6024"/>
    <mergeCell ref="M6024:N6024"/>
    <mergeCell ref="A6025:G6025"/>
    <mergeCell ref="I6025:J6025"/>
    <mergeCell ref="K6016:L6016"/>
    <mergeCell ref="M6016:N6016"/>
    <mergeCell ref="K6017:L6017"/>
    <mergeCell ref="M6017:N6017"/>
    <mergeCell ref="A6019:N6019"/>
    <mergeCell ref="I6020:J6020"/>
    <mergeCell ref="M6020:N6020"/>
    <mergeCell ref="A6020:G6020"/>
    <mergeCell ref="A6021:G6021"/>
    <mergeCell ref="I6021:J6021"/>
    <mergeCell ref="M6021:N6021"/>
    <mergeCell ref="A6022:G6022"/>
    <mergeCell ref="M6022:N6022"/>
    <mergeCell ref="A6023:G6023"/>
    <mergeCell ref="M6023:N6023"/>
    <mergeCell ref="I5977:J5977"/>
    <mergeCell ref="I5978:J5978"/>
    <mergeCell ref="A5975:N5975"/>
    <mergeCell ref="A5976:G5976"/>
    <mergeCell ref="I5976:J5976"/>
    <mergeCell ref="M5976:N5976"/>
    <mergeCell ref="A5977:G5977"/>
    <mergeCell ref="M5977:N5977"/>
    <mergeCell ref="M5978:N5978"/>
    <mergeCell ref="I5998:J5998"/>
    <mergeCell ref="K5998:L5998"/>
    <mergeCell ref="K5999:L5999"/>
    <mergeCell ref="M5999:N5999"/>
    <mergeCell ref="K6012:L6012"/>
    <mergeCell ref="A6016:G6016"/>
    <mergeCell ref="I5980:J5980"/>
    <mergeCell ref="I5981:J5981"/>
    <mergeCell ref="K5982:L5982"/>
    <mergeCell ref="M5982:N5982"/>
    <mergeCell ref="A5980:G5980"/>
    <mergeCell ref="M5980:N5980"/>
    <mergeCell ref="M5981:N5981"/>
    <mergeCell ref="I5990:J5990"/>
    <mergeCell ref="M6013:N6013"/>
    <mergeCell ref="I6014:J6014"/>
    <mergeCell ref="K6014:L6014"/>
    <mergeCell ref="M6014:N6014"/>
    <mergeCell ref="A6014:G6014"/>
    <mergeCell ref="A6028:N6029"/>
    <mergeCell ref="A6033:N6033"/>
    <mergeCell ref="A6034:G6034"/>
    <mergeCell ref="I6034:J6034"/>
    <mergeCell ref="K6034:L6034"/>
    <mergeCell ref="M6034:N6034"/>
    <mergeCell ref="M6035:N6035"/>
    <mergeCell ref="K5996:L5996"/>
    <mergeCell ref="M5996:N5996"/>
    <mergeCell ref="A5997:G5997"/>
    <mergeCell ref="I5997:J5997"/>
    <mergeCell ref="K5997:L5997"/>
    <mergeCell ref="M5997:N5997"/>
    <mergeCell ref="M5998:N5998"/>
    <mergeCell ref="A6003:G6003"/>
    <mergeCell ref="A6004:G6004"/>
    <mergeCell ref="A6005:G6005"/>
    <mergeCell ref="A6006:G6006"/>
    <mergeCell ref="A6007:G6007"/>
    <mergeCell ref="A5998:G5998"/>
    <mergeCell ref="A6001:N6001"/>
    <mergeCell ref="A6002:G6002"/>
    <mergeCell ref="I6002:J6002"/>
    <mergeCell ref="K6002:L6002"/>
    <mergeCell ref="I5993:J5993"/>
    <mergeCell ref="K5993:L5993"/>
    <mergeCell ref="M5993:N5993"/>
    <mergeCell ref="A5993:G5993"/>
    <mergeCell ref="A5994:G5994"/>
    <mergeCell ref="I5994:J5994"/>
    <mergeCell ref="K5994:L5994"/>
    <mergeCell ref="M5994:N5994"/>
    <mergeCell ref="A5995:G5995"/>
    <mergeCell ref="A5996:G5996"/>
    <mergeCell ref="I6011:J6011"/>
    <mergeCell ref="I6012:J6012"/>
    <mergeCell ref="I6016:J6016"/>
    <mergeCell ref="K6006:L6006"/>
    <mergeCell ref="M6006:N6006"/>
    <mergeCell ref="I6007:J6007"/>
    <mergeCell ref="K6007:L6007"/>
    <mergeCell ref="M6007:N6007"/>
    <mergeCell ref="M6012:N6012"/>
    <mergeCell ref="K6008:L6008"/>
    <mergeCell ref="M6008:N6008"/>
    <mergeCell ref="A6010:N6010"/>
    <mergeCell ref="A6011:G6011"/>
    <mergeCell ref="K6011:L6011"/>
    <mergeCell ref="M6011:N6011"/>
    <mergeCell ref="A6012:G6012"/>
    <mergeCell ref="A6013:G6013"/>
    <mergeCell ref="I6013:J6013"/>
    <mergeCell ref="K6013:L6013"/>
    <mergeCell ref="A6015:G6015"/>
    <mergeCell ref="I6015:J6015"/>
    <mergeCell ref="K6015:L6015"/>
    <mergeCell ref="M6015:N6015"/>
    <mergeCell ref="M6002:N6002"/>
    <mergeCell ref="M6003:N6003"/>
    <mergeCell ref="I6003:J6003"/>
    <mergeCell ref="K6003:L6003"/>
    <mergeCell ref="I6004:J6004"/>
    <mergeCell ref="K6004:L6004"/>
    <mergeCell ref="M6004:N6004"/>
    <mergeCell ref="I6038:J6038"/>
    <mergeCell ref="K6038:L6038"/>
    <mergeCell ref="M6038:N6038"/>
    <mergeCell ref="A6035:G6035"/>
    <mergeCell ref="A6036:G6036"/>
    <mergeCell ref="I6036:J6036"/>
    <mergeCell ref="K6036:L6036"/>
    <mergeCell ref="M6036:N6036"/>
    <mergeCell ref="A6037:G6037"/>
    <mergeCell ref="A6038:G6038"/>
    <mergeCell ref="A6039:G6039"/>
    <mergeCell ref="I6039:J6039"/>
    <mergeCell ref="K6039:L6039"/>
    <mergeCell ref="M6039:N6039"/>
    <mergeCell ref="I6040:J6040"/>
    <mergeCell ref="K6040:L6040"/>
    <mergeCell ref="M6040:N6040"/>
    <mergeCell ref="K6042:L6042"/>
    <mergeCell ref="M6042:N6042"/>
    <mergeCell ref="K6043:L6043"/>
    <mergeCell ref="M6043:N6043"/>
    <mergeCell ref="A6040:G6040"/>
    <mergeCell ref="A6041:G6041"/>
    <mergeCell ref="I6041:J6041"/>
    <mergeCell ref="K6041:L6041"/>
    <mergeCell ref="M6041:N6041"/>
    <mergeCell ref="A6042:G6042"/>
    <mergeCell ref="I6042:J6042"/>
    <mergeCell ref="K6037:L6037"/>
    <mergeCell ref="M6037:N6037"/>
    <mergeCell ref="K6047:L6047"/>
    <mergeCell ref="M6047:N6047"/>
    <mergeCell ref="K6057:L6057"/>
    <mergeCell ref="M6057:N6057"/>
    <mergeCell ref="A6054:N6054"/>
    <mergeCell ref="A6055:G6055"/>
    <mergeCell ref="I6055:J6055"/>
    <mergeCell ref="K6055:L6055"/>
    <mergeCell ref="M6055:N6055"/>
    <mergeCell ref="A6056:G6056"/>
    <mergeCell ref="A6057:G6057"/>
    <mergeCell ref="I6037:J6037"/>
    <mergeCell ref="I6035:J6035"/>
    <mergeCell ref="K6035:L6035"/>
    <mergeCell ref="I6059:J6059"/>
    <mergeCell ref="K6059:L6059"/>
    <mergeCell ref="I6056:J6056"/>
    <mergeCell ref="I6057:J6057"/>
    <mergeCell ref="A6058:G6058"/>
    <mergeCell ref="I6058:J6058"/>
    <mergeCell ref="K6058:L6058"/>
    <mergeCell ref="M6058:N6058"/>
    <mergeCell ref="M6059:N6059"/>
    <mergeCell ref="I6047:J6047"/>
    <mergeCell ref="I6048:J6048"/>
    <mergeCell ref="K6048:L6048"/>
    <mergeCell ref="M6048:N6048"/>
    <mergeCell ref="A6045:N6045"/>
    <mergeCell ref="A6046:G6046"/>
    <mergeCell ref="I6046:J6046"/>
    <mergeCell ref="K6046:L6046"/>
    <mergeCell ref="M6046:N6046"/>
    <mergeCell ref="A6047:G6047"/>
    <mergeCell ref="A6048:G6048"/>
    <mergeCell ref="A6049:G6049"/>
    <mergeCell ref="I6049:J6049"/>
    <mergeCell ref="K6049:L6049"/>
    <mergeCell ref="M6049:N6049"/>
    <mergeCell ref="I6050:J6050"/>
    <mergeCell ref="K6050:L6050"/>
    <mergeCell ref="M6050:N6050"/>
    <mergeCell ref="A6050:G6050"/>
    <mergeCell ref="A6051:G6051"/>
    <mergeCell ref="I6051:J6051"/>
    <mergeCell ref="K6051:L6051"/>
    <mergeCell ref="M6051:N6051"/>
    <mergeCell ref="K6052:L6052"/>
    <mergeCell ref="M6052:N6052"/>
    <mergeCell ref="K6056:L6056"/>
    <mergeCell ref="M6056:N6056"/>
    <mergeCell ref="A6059:G6059"/>
    <mergeCell ref="A6060:G6060"/>
    <mergeCell ref="I6060:J6060"/>
    <mergeCell ref="K6060:L6060"/>
    <mergeCell ref="M6060:N6060"/>
    <mergeCell ref="K6061:L6061"/>
    <mergeCell ref="M6061:N6061"/>
    <mergeCell ref="A6066:G6066"/>
    <mergeCell ref="A6067:G6067"/>
    <mergeCell ref="A6068:G6068"/>
    <mergeCell ref="A6069:G6069"/>
    <mergeCell ref="A6063:N6063"/>
    <mergeCell ref="A6064:G6064"/>
    <mergeCell ref="I6064:J6064"/>
    <mergeCell ref="M6064:N6064"/>
    <mergeCell ref="A6065:G6065"/>
    <mergeCell ref="M6065:N6065"/>
    <mergeCell ref="M6066:N6066"/>
    <mergeCell ref="I6065:J6065"/>
    <mergeCell ref="I6066:J6066"/>
    <mergeCell ref="I6067:J6067"/>
    <mergeCell ref="M6067:N6067"/>
    <mergeCell ref="I6068:J6068"/>
    <mergeCell ref="M6068:N6068"/>
    <mergeCell ref="I6069:J6069"/>
    <mergeCell ref="K6078:L6078"/>
    <mergeCell ref="M6078:N6078"/>
    <mergeCell ref="I6078:J6078"/>
    <mergeCell ref="I6079:J6079"/>
    <mergeCell ref="K6079:L6079"/>
    <mergeCell ref="M6079:N6079"/>
    <mergeCell ref="M6069:N6069"/>
    <mergeCell ref="K6070:L6070"/>
    <mergeCell ref="M6070:N6070"/>
    <mergeCell ref="A6072:N6073"/>
    <mergeCell ref="A6077:N6077"/>
    <mergeCell ref="A6078:G6078"/>
    <mergeCell ref="A6079:G6079"/>
    <mergeCell ref="K6144:L6144"/>
    <mergeCell ref="M6144:N6144"/>
    <mergeCell ref="K6140:L6140"/>
    <mergeCell ref="M6140:N6140"/>
    <mergeCell ref="A6142:N6142"/>
    <mergeCell ref="A6143:G6143"/>
    <mergeCell ref="K6143:L6143"/>
    <mergeCell ref="M6143:N6143"/>
    <mergeCell ref="A6144:G6144"/>
    <mergeCell ref="K6128:L6128"/>
    <mergeCell ref="M6128:N6128"/>
    <mergeCell ref="A6129:G6129"/>
    <mergeCell ref="I6129:J6129"/>
    <mergeCell ref="K6129:L6129"/>
    <mergeCell ref="M6129:N6129"/>
    <mergeCell ref="M6130:N6130"/>
    <mergeCell ref="A6135:G6135"/>
    <mergeCell ref="A6136:G6136"/>
    <mergeCell ref="A6137:G6137"/>
    <mergeCell ref="A6138:G6138"/>
    <mergeCell ref="A6139:G6139"/>
    <mergeCell ref="A6130:G6130"/>
    <mergeCell ref="A6133:N6133"/>
    <mergeCell ref="A6134:G6134"/>
    <mergeCell ref="I6134:J6134"/>
    <mergeCell ref="K6134:L6134"/>
    <mergeCell ref="M6134:N6134"/>
    <mergeCell ref="M6135:N6135"/>
    <mergeCell ref="I6135:J6135"/>
    <mergeCell ref="K6135:L6135"/>
    <mergeCell ref="I6136:J6136"/>
    <mergeCell ref="K6136:L6136"/>
    <mergeCell ref="I6137:J6137"/>
    <mergeCell ref="I6138:J6138"/>
    <mergeCell ref="K6138:L6138"/>
    <mergeCell ref="M6138:N6138"/>
    <mergeCell ref="I6139:J6139"/>
    <mergeCell ref="K6139:L6139"/>
    <mergeCell ref="M6139:N6139"/>
    <mergeCell ref="I6143:J6143"/>
    <mergeCell ref="I6144:J6144"/>
    <mergeCell ref="I6125:J6125"/>
    <mergeCell ref="K6125:L6125"/>
    <mergeCell ref="M6125:N6125"/>
    <mergeCell ref="A6125:G6125"/>
    <mergeCell ref="A6126:G6126"/>
    <mergeCell ref="I6126:J6126"/>
    <mergeCell ref="K6126:L6126"/>
    <mergeCell ref="M6126:N6126"/>
    <mergeCell ref="A6127:G6127"/>
    <mergeCell ref="A6128:G6128"/>
    <mergeCell ref="K6127:L6127"/>
    <mergeCell ref="M6127:N6127"/>
    <mergeCell ref="I6127:J6127"/>
    <mergeCell ref="I6128:J6128"/>
    <mergeCell ref="I6130:J6130"/>
    <mergeCell ref="K6130:L6130"/>
    <mergeCell ref="I6091:J6091"/>
    <mergeCell ref="K6091:L6091"/>
    <mergeCell ref="I6092:J6092"/>
    <mergeCell ref="K6092:L6092"/>
    <mergeCell ref="M6092:N6092"/>
    <mergeCell ref="K6093:L6093"/>
    <mergeCell ref="M6093:N6093"/>
    <mergeCell ref="I6093:J6093"/>
    <mergeCell ref="I6094:J6094"/>
    <mergeCell ref="K6094:L6094"/>
    <mergeCell ref="M6094:N6094"/>
    <mergeCell ref="I6095:J6095"/>
    <mergeCell ref="K6095:L6095"/>
    <mergeCell ref="M6095:N6095"/>
    <mergeCell ref="K6100:L6100"/>
    <mergeCell ref="M6100:N6100"/>
    <mergeCell ref="K6096:L6096"/>
    <mergeCell ref="M6096:N6096"/>
    <mergeCell ref="A6098:N6098"/>
    <mergeCell ref="A6099:G6099"/>
    <mergeCell ref="K6099:L6099"/>
    <mergeCell ref="M6099:N6099"/>
    <mergeCell ref="A6100:G6100"/>
    <mergeCell ref="I6102:J6102"/>
    <mergeCell ref="K6102:L6102"/>
    <mergeCell ref="I6099:J6099"/>
    <mergeCell ref="I6100:J6100"/>
    <mergeCell ref="A6101:G6101"/>
    <mergeCell ref="I6101:J6101"/>
    <mergeCell ref="K6101:L6101"/>
    <mergeCell ref="M6101:N6101"/>
    <mergeCell ref="M6102:N6102"/>
    <mergeCell ref="A6085:G6085"/>
    <mergeCell ref="I6085:J6085"/>
    <mergeCell ref="K6085:L6085"/>
    <mergeCell ref="M6085:N6085"/>
    <mergeCell ref="I6086:J6086"/>
    <mergeCell ref="K6086:L6086"/>
    <mergeCell ref="M6086:N6086"/>
    <mergeCell ref="A6086:G6086"/>
    <mergeCell ref="A6089:N6089"/>
    <mergeCell ref="A6090:G6090"/>
    <mergeCell ref="I6090:J6090"/>
    <mergeCell ref="K6090:L6090"/>
    <mergeCell ref="M6090:N6090"/>
    <mergeCell ref="M6091:N6091"/>
    <mergeCell ref="K6104:L6104"/>
    <mergeCell ref="M6104:N6104"/>
    <mergeCell ref="K6105:L6105"/>
    <mergeCell ref="M6105:N6105"/>
    <mergeCell ref="A6102:G6102"/>
    <mergeCell ref="A6103:G6103"/>
    <mergeCell ref="I6103:J6103"/>
    <mergeCell ref="K6103:L6103"/>
    <mergeCell ref="M6103:N6103"/>
    <mergeCell ref="A6104:G6104"/>
    <mergeCell ref="I6104:J6104"/>
    <mergeCell ref="I6109:J6109"/>
    <mergeCell ref="I6110:J6110"/>
    <mergeCell ref="A6107:N6107"/>
    <mergeCell ref="A6108:G6108"/>
    <mergeCell ref="I6108:J6108"/>
    <mergeCell ref="M6108:N6108"/>
    <mergeCell ref="A6109:G6109"/>
    <mergeCell ref="M6109:N6109"/>
    <mergeCell ref="M6110:N6110"/>
    <mergeCell ref="I6188:J6188"/>
    <mergeCell ref="A6186:N6186"/>
    <mergeCell ref="A6187:G6187"/>
    <mergeCell ref="K6187:L6187"/>
    <mergeCell ref="M6187:N6187"/>
    <mergeCell ref="A6188:G6188"/>
    <mergeCell ref="A6189:G6189"/>
    <mergeCell ref="I6189:J6189"/>
    <mergeCell ref="A6080:G6080"/>
    <mergeCell ref="I6080:J6080"/>
    <mergeCell ref="K6080:L6080"/>
    <mergeCell ref="M6080:N6080"/>
    <mergeCell ref="I6081:J6081"/>
    <mergeCell ref="K6081:L6081"/>
    <mergeCell ref="M6081:N6081"/>
    <mergeCell ref="K6083:L6083"/>
    <mergeCell ref="M6083:N6083"/>
    <mergeCell ref="I6083:J6083"/>
    <mergeCell ref="I6084:J6084"/>
    <mergeCell ref="K6084:L6084"/>
    <mergeCell ref="M6084:N6084"/>
    <mergeCell ref="K6087:L6087"/>
    <mergeCell ref="M6087:N6087"/>
    <mergeCell ref="A6081:G6081"/>
    <mergeCell ref="A6082:G6082"/>
    <mergeCell ref="I6082:J6082"/>
    <mergeCell ref="K6082:L6082"/>
    <mergeCell ref="M6082:N6082"/>
    <mergeCell ref="A6083:G6083"/>
    <mergeCell ref="A6084:G6084"/>
    <mergeCell ref="A6091:G6091"/>
    <mergeCell ref="A6092:G6092"/>
    <mergeCell ref="A6093:G6093"/>
    <mergeCell ref="A6094:G6094"/>
    <mergeCell ref="A6095:G6095"/>
    <mergeCell ref="I6112:J6112"/>
    <mergeCell ref="I6113:J6113"/>
    <mergeCell ref="K6114:L6114"/>
    <mergeCell ref="M6114:N6114"/>
    <mergeCell ref="A6124:G6124"/>
    <mergeCell ref="I6124:J6124"/>
    <mergeCell ref="K6124:L6124"/>
    <mergeCell ref="M6124:N6124"/>
    <mergeCell ref="A6110:G6110"/>
    <mergeCell ref="A6111:G6111"/>
    <mergeCell ref="I6111:J6111"/>
    <mergeCell ref="M6111:N6111"/>
    <mergeCell ref="A6112:G6112"/>
    <mergeCell ref="M6112:N6112"/>
    <mergeCell ref="M6113:N6113"/>
    <mergeCell ref="I6122:J6122"/>
    <mergeCell ref="I6123:J6123"/>
    <mergeCell ref="K6123:L6123"/>
    <mergeCell ref="M6123:N6123"/>
    <mergeCell ref="A6113:G6113"/>
    <mergeCell ref="A6116:N6117"/>
    <mergeCell ref="A6121:N6121"/>
    <mergeCell ref="A6122:G6122"/>
    <mergeCell ref="K6122:L6122"/>
    <mergeCell ref="M6122:N6122"/>
    <mergeCell ref="A6123:G6123"/>
    <mergeCell ref="M6136:N6136"/>
    <mergeCell ref="K6137:L6137"/>
    <mergeCell ref="M6137:N6137"/>
    <mergeCell ref="I6174:J6174"/>
    <mergeCell ref="K6174:L6174"/>
    <mergeCell ref="K6175:L6175"/>
    <mergeCell ref="M6175:N6175"/>
    <mergeCell ref="K6188:L6188"/>
    <mergeCell ref="M6188:N6188"/>
    <mergeCell ref="K6184:L6184"/>
    <mergeCell ref="M6184:N6184"/>
    <mergeCell ref="K6131:L6131"/>
    <mergeCell ref="M6131:N6131"/>
    <mergeCell ref="I6168:J6168"/>
    <mergeCell ref="I6169:J6169"/>
    <mergeCell ref="K6169:L6169"/>
    <mergeCell ref="M6169:N6169"/>
    <mergeCell ref="I6166:J6166"/>
    <mergeCell ref="K6166:L6166"/>
    <mergeCell ref="I6167:J6167"/>
    <mergeCell ref="K6167:L6167"/>
    <mergeCell ref="M6167:N6167"/>
    <mergeCell ref="K6168:L6168"/>
    <mergeCell ref="M6168:N6168"/>
    <mergeCell ref="I6211:J6211"/>
    <mergeCell ref="K6211:L6211"/>
    <mergeCell ref="A6204:N6205"/>
    <mergeCell ref="A6209:N6209"/>
    <mergeCell ref="A6210:G6210"/>
    <mergeCell ref="I6210:J6210"/>
    <mergeCell ref="K6210:L6210"/>
    <mergeCell ref="M6210:N6210"/>
    <mergeCell ref="M6211:N6211"/>
    <mergeCell ref="K6172:L6172"/>
    <mergeCell ref="M6172:N6172"/>
    <mergeCell ref="A6173:G6173"/>
    <mergeCell ref="I6173:J6173"/>
    <mergeCell ref="K6173:L6173"/>
    <mergeCell ref="M6173:N6173"/>
    <mergeCell ref="M6174:N6174"/>
    <mergeCell ref="A6179:G6179"/>
    <mergeCell ref="A6180:G6180"/>
    <mergeCell ref="A6181:G6181"/>
    <mergeCell ref="A6182:G6182"/>
    <mergeCell ref="A6183:G6183"/>
    <mergeCell ref="A6174:G6174"/>
    <mergeCell ref="A6177:N6177"/>
    <mergeCell ref="A6178:G6178"/>
    <mergeCell ref="I6178:J6178"/>
    <mergeCell ref="K6178:L6178"/>
    <mergeCell ref="M6178:N6178"/>
    <mergeCell ref="M6179:N6179"/>
    <mergeCell ref="I6179:J6179"/>
    <mergeCell ref="K6179:L6179"/>
    <mergeCell ref="I6180:J6180"/>
    <mergeCell ref="K6180:L6180"/>
    <mergeCell ref="M6180:N6180"/>
    <mergeCell ref="K6181:L6181"/>
    <mergeCell ref="M6181:N6181"/>
    <mergeCell ref="I6181:J6181"/>
    <mergeCell ref="I6182:J6182"/>
    <mergeCell ref="K6182:L6182"/>
    <mergeCell ref="M6182:N6182"/>
    <mergeCell ref="I6183:J6183"/>
    <mergeCell ref="K6183:L6183"/>
    <mergeCell ref="M6183:N6183"/>
    <mergeCell ref="I6187:J6187"/>
    <mergeCell ref="A6166:G6166"/>
    <mergeCell ref="A6167:G6167"/>
    <mergeCell ref="A6168:G6168"/>
    <mergeCell ref="A6169:G6169"/>
    <mergeCell ref="I6170:J6170"/>
    <mergeCell ref="K6170:L6170"/>
    <mergeCell ref="M6170:N6170"/>
    <mergeCell ref="A6170:G6170"/>
    <mergeCell ref="A6171:G6171"/>
    <mergeCell ref="I6171:J6171"/>
    <mergeCell ref="K6171:L6171"/>
    <mergeCell ref="M6171:N6171"/>
    <mergeCell ref="A6172:G6172"/>
    <mergeCell ref="I6172:J6172"/>
    <mergeCell ref="A6145:G6145"/>
    <mergeCell ref="I6145:J6145"/>
    <mergeCell ref="K6145:L6145"/>
    <mergeCell ref="M6145:N6145"/>
    <mergeCell ref="I6146:J6146"/>
    <mergeCell ref="K6146:L6146"/>
    <mergeCell ref="M6146:N6146"/>
    <mergeCell ref="A6146:G6146"/>
    <mergeCell ref="A6147:G6147"/>
    <mergeCell ref="I6147:J6147"/>
    <mergeCell ref="K6147:L6147"/>
    <mergeCell ref="M6147:N6147"/>
    <mergeCell ref="A6148:G6148"/>
    <mergeCell ref="I6148:J6148"/>
    <mergeCell ref="M6152:N6152"/>
    <mergeCell ref="M6153:N6153"/>
    <mergeCell ref="M6155:N6155"/>
    <mergeCell ref="M6156:N6156"/>
    <mergeCell ref="M6157:N6157"/>
    <mergeCell ref="M6158:N6158"/>
    <mergeCell ref="I6153:J6153"/>
    <mergeCell ref="I6154:J6154"/>
    <mergeCell ref="I6155:J6155"/>
    <mergeCell ref="I6156:J6156"/>
    <mergeCell ref="I6157:J6157"/>
    <mergeCell ref="K6158:L6158"/>
    <mergeCell ref="K6149:L6149"/>
    <mergeCell ref="M6149:N6149"/>
    <mergeCell ref="A6151:N6151"/>
    <mergeCell ref="A6152:G6152"/>
    <mergeCell ref="I6152:J6152"/>
    <mergeCell ref="A6153:G6153"/>
    <mergeCell ref="M6154:N6154"/>
    <mergeCell ref="A6154:G6154"/>
    <mergeCell ref="A6155:G6155"/>
    <mergeCell ref="A6156:G6156"/>
    <mergeCell ref="A6157:G6157"/>
    <mergeCell ref="A6160:N6161"/>
    <mergeCell ref="A6165:N6165"/>
    <mergeCell ref="M6166:N6166"/>
    <mergeCell ref="K6148:L6148"/>
    <mergeCell ref="M6148:N6148"/>
    <mergeCell ref="K6189:L6189"/>
    <mergeCell ref="M6189:N6189"/>
    <mergeCell ref="I6190:J6190"/>
    <mergeCell ref="K6190:L6190"/>
    <mergeCell ref="M6190:N6190"/>
    <mergeCell ref="A6190:G6190"/>
    <mergeCell ref="A6191:G6191"/>
    <mergeCell ref="I6191:J6191"/>
    <mergeCell ref="K6191:L6191"/>
    <mergeCell ref="M6191:N6191"/>
    <mergeCell ref="A6192:G6192"/>
    <mergeCell ref="I6192:J6192"/>
    <mergeCell ref="K6192:L6192"/>
    <mergeCell ref="M6192:N6192"/>
    <mergeCell ref="K6193:L6193"/>
    <mergeCell ref="M6193:N6193"/>
    <mergeCell ref="A6195:N6195"/>
    <mergeCell ref="I6196:J6196"/>
    <mergeCell ref="M6196:N6196"/>
    <mergeCell ref="A6196:G6196"/>
    <mergeCell ref="A6197:G6197"/>
    <mergeCell ref="I6197:J6197"/>
    <mergeCell ref="M6197:N6197"/>
    <mergeCell ref="A6198:G6198"/>
    <mergeCell ref="M6198:N6198"/>
    <mergeCell ref="A6199:G6199"/>
    <mergeCell ref="M6199:N6199"/>
    <mergeCell ref="M6201:N6201"/>
    <mergeCell ref="K6202:L6202"/>
    <mergeCell ref="M6202:N6202"/>
    <mergeCell ref="I6198:J6198"/>
    <mergeCell ref="I6199:J6199"/>
    <mergeCell ref="A6200:G6200"/>
    <mergeCell ref="I6200:J6200"/>
    <mergeCell ref="M6200:N6200"/>
    <mergeCell ref="A6201:G6201"/>
    <mergeCell ref="I6201:J6201"/>
    <mergeCell ref="I6213:J6213"/>
    <mergeCell ref="I6214:J6214"/>
    <mergeCell ref="K6214:L6214"/>
    <mergeCell ref="M6214:N6214"/>
    <mergeCell ref="A6211:G6211"/>
    <mergeCell ref="A6212:G6212"/>
    <mergeCell ref="I6212:J6212"/>
    <mergeCell ref="K6212:L6212"/>
    <mergeCell ref="M6212:N6212"/>
    <mergeCell ref="A6213:G6213"/>
    <mergeCell ref="A6214:G6214"/>
    <mergeCell ref="A6215:G6215"/>
    <mergeCell ref="I6215:J6215"/>
    <mergeCell ref="K6215:L6215"/>
    <mergeCell ref="M6215:N6215"/>
    <mergeCell ref="I6216:J6216"/>
    <mergeCell ref="K6216:L6216"/>
    <mergeCell ref="M6216:N6216"/>
    <mergeCell ref="K6218:L6218"/>
    <mergeCell ref="M6218:N6218"/>
    <mergeCell ref="K6219:L6219"/>
    <mergeCell ref="M6219:N6219"/>
    <mergeCell ref="A6216:G6216"/>
    <mergeCell ref="A6217:G6217"/>
    <mergeCell ref="I6217:J6217"/>
    <mergeCell ref="K6217:L6217"/>
    <mergeCell ref="M6217:N6217"/>
    <mergeCell ref="A6218:G6218"/>
    <mergeCell ref="I6218:J6218"/>
    <mergeCell ref="K6223:L6223"/>
    <mergeCell ref="M6223:N6223"/>
    <mergeCell ref="K6233:L6233"/>
    <mergeCell ref="M6233:N6233"/>
    <mergeCell ref="A6230:N6230"/>
    <mergeCell ref="A6231:G6231"/>
    <mergeCell ref="I6231:J6231"/>
    <mergeCell ref="K6231:L6231"/>
    <mergeCell ref="M6231:N6231"/>
    <mergeCell ref="A6232:G6232"/>
    <mergeCell ref="A6233:G6233"/>
    <mergeCell ref="K6213:L6213"/>
    <mergeCell ref="M6213:N6213"/>
    <mergeCell ref="I6235:J6235"/>
    <mergeCell ref="K6235:L6235"/>
    <mergeCell ref="I6232:J6232"/>
    <mergeCell ref="I6233:J6233"/>
    <mergeCell ref="A6234:G6234"/>
    <mergeCell ref="I6234:J6234"/>
    <mergeCell ref="K6234:L6234"/>
    <mergeCell ref="M6234:N6234"/>
    <mergeCell ref="M6235:N6235"/>
    <mergeCell ref="I6223:J6223"/>
    <mergeCell ref="I6224:J6224"/>
    <mergeCell ref="K6224:L6224"/>
    <mergeCell ref="M6224:N6224"/>
    <mergeCell ref="A6221:N6221"/>
    <mergeCell ref="A6222:G6222"/>
    <mergeCell ref="I6222:J6222"/>
    <mergeCell ref="K6222:L6222"/>
    <mergeCell ref="M6222:N6222"/>
    <mergeCell ref="A6223:G6223"/>
    <mergeCell ref="A6224:G6224"/>
    <mergeCell ref="A6225:G6225"/>
    <mergeCell ref="I6225:J6225"/>
    <mergeCell ref="K6225:L6225"/>
    <mergeCell ref="M6225:N6225"/>
    <mergeCell ref="I6226:J6226"/>
    <mergeCell ref="K6226:L6226"/>
    <mergeCell ref="M6226:N6226"/>
    <mergeCell ref="A6226:G6226"/>
    <mergeCell ref="A6227:G6227"/>
    <mergeCell ref="I6227:J6227"/>
    <mergeCell ref="K6227:L6227"/>
    <mergeCell ref="M6227:N6227"/>
    <mergeCell ref="K6228:L6228"/>
    <mergeCell ref="M6228:N6228"/>
    <mergeCell ref="K6232:L6232"/>
    <mergeCell ref="M6232:N6232"/>
    <mergeCell ref="A6235:G6235"/>
    <mergeCell ref="A6236:G6236"/>
    <mergeCell ref="I6236:J6236"/>
    <mergeCell ref="K6236:L6236"/>
    <mergeCell ref="M6236:N6236"/>
    <mergeCell ref="K6237:L6237"/>
    <mergeCell ref="M6237:N6237"/>
    <mergeCell ref="A6242:G6242"/>
    <mergeCell ref="A6243:G6243"/>
    <mergeCell ref="A6244:G6244"/>
    <mergeCell ref="A6245:G6245"/>
    <mergeCell ref="A6239:N6239"/>
    <mergeCell ref="A6240:G6240"/>
    <mergeCell ref="I6240:J6240"/>
    <mergeCell ref="M6240:N6240"/>
    <mergeCell ref="A6241:G6241"/>
    <mergeCell ref="M6241:N6241"/>
    <mergeCell ref="M6242:N6242"/>
    <mergeCell ref="I6241:J6241"/>
    <mergeCell ref="I6242:J6242"/>
    <mergeCell ref="I6243:J6243"/>
    <mergeCell ref="M6243:N6243"/>
    <mergeCell ref="I6244:J6244"/>
    <mergeCell ref="M6244:N6244"/>
    <mergeCell ref="I6245:J6245"/>
    <mergeCell ref="K6254:L6254"/>
    <mergeCell ref="M6254:N6254"/>
    <mergeCell ref="I6254:J6254"/>
    <mergeCell ref="I6255:J6255"/>
    <mergeCell ref="K6255:L6255"/>
    <mergeCell ref="M6255:N6255"/>
    <mergeCell ref="M6245:N6245"/>
    <mergeCell ref="K6246:L6246"/>
    <mergeCell ref="M6246:N6246"/>
    <mergeCell ref="A6248:N6249"/>
    <mergeCell ref="A6253:N6253"/>
    <mergeCell ref="A6254:G6254"/>
    <mergeCell ref="A6255:G6255"/>
    <mergeCell ref="M7724:N7724"/>
    <mergeCell ref="I7724:J7724"/>
    <mergeCell ref="I7725:J7725"/>
    <mergeCell ref="I7478:J7478"/>
    <mergeCell ref="I7479:J7479"/>
    <mergeCell ref="A7476:N7476"/>
    <mergeCell ref="A7477:G7477"/>
    <mergeCell ref="I7477:J7477"/>
    <mergeCell ref="M7477:N7477"/>
    <mergeCell ref="A7478:G7478"/>
    <mergeCell ref="M7478:N7478"/>
    <mergeCell ref="M7479:N7479"/>
    <mergeCell ref="A7462:G7462"/>
    <mergeCell ref="I7462:J7462"/>
    <mergeCell ref="K7462:L7462"/>
    <mergeCell ref="I7481:J7481"/>
    <mergeCell ref="I7482:J7482"/>
    <mergeCell ref="K7483:L7483"/>
    <mergeCell ref="I6267:J6267"/>
    <mergeCell ref="K6267:L6267"/>
    <mergeCell ref="I6268:J6268"/>
    <mergeCell ref="K6268:L6268"/>
    <mergeCell ref="M6268:N6268"/>
    <mergeCell ref="K6269:L6269"/>
    <mergeCell ref="M6269:N6269"/>
    <mergeCell ref="I6269:J6269"/>
    <mergeCell ref="I6270:J6270"/>
    <mergeCell ref="K6270:L6270"/>
    <mergeCell ref="M6270:N6270"/>
    <mergeCell ref="I6271:J6271"/>
    <mergeCell ref="K6271:L6271"/>
    <mergeCell ref="M6271:N6271"/>
    <mergeCell ref="K6276:L6276"/>
    <mergeCell ref="M6276:N6276"/>
    <mergeCell ref="K6272:L6272"/>
    <mergeCell ref="M6272:N6272"/>
    <mergeCell ref="A6274:N6274"/>
    <mergeCell ref="A6275:G6275"/>
    <mergeCell ref="K6275:L6275"/>
    <mergeCell ref="M6275:N6275"/>
    <mergeCell ref="A6276:G6276"/>
    <mergeCell ref="I6278:J6278"/>
    <mergeCell ref="K6278:L6278"/>
    <mergeCell ref="I6275:J6275"/>
    <mergeCell ref="I6276:J6276"/>
    <mergeCell ref="A6277:G6277"/>
    <mergeCell ref="I6277:J6277"/>
    <mergeCell ref="K6277:L6277"/>
    <mergeCell ref="M6277:N6277"/>
    <mergeCell ref="M6278:N6278"/>
    <mergeCell ref="K6320:L6320"/>
    <mergeCell ref="M6320:N6320"/>
    <mergeCell ref="K6316:L6316"/>
    <mergeCell ref="M6316:N6316"/>
    <mergeCell ref="A6318:N6318"/>
    <mergeCell ref="A6319:G6319"/>
    <mergeCell ref="K6319:L6319"/>
    <mergeCell ref="M6319:N6319"/>
    <mergeCell ref="A6320:G6320"/>
    <mergeCell ref="K6304:L6304"/>
    <mergeCell ref="M6304:N6304"/>
    <mergeCell ref="A6305:G6305"/>
    <mergeCell ref="I6305:J6305"/>
    <mergeCell ref="K6305:L6305"/>
    <mergeCell ref="M7750:N7750"/>
    <mergeCell ref="A7750:G7750"/>
    <mergeCell ref="A7751:G7751"/>
    <mergeCell ref="I7751:J7751"/>
    <mergeCell ref="K7751:L7751"/>
    <mergeCell ref="M7751:N7751"/>
    <mergeCell ref="A7752:G7752"/>
    <mergeCell ref="I7752:J7752"/>
    <mergeCell ref="I7754:J7754"/>
    <mergeCell ref="K7754:L7754"/>
    <mergeCell ref="K7752:L7752"/>
    <mergeCell ref="M7752:N7752"/>
    <mergeCell ref="A7753:G7753"/>
    <mergeCell ref="I7753:J7753"/>
    <mergeCell ref="K7753:L7753"/>
    <mergeCell ref="M7753:N7753"/>
    <mergeCell ref="M7754:N7754"/>
    <mergeCell ref="M7746:N7746"/>
    <mergeCell ref="I6313:J6313"/>
    <mergeCell ref="I6314:J6314"/>
    <mergeCell ref="K6314:L6314"/>
    <mergeCell ref="M6314:N6314"/>
    <mergeCell ref="I6315:J6315"/>
    <mergeCell ref="K6315:L6315"/>
    <mergeCell ref="M6315:N6315"/>
    <mergeCell ref="I6319:J6319"/>
    <mergeCell ref="I6320:J6320"/>
    <mergeCell ref="K6324:L6324"/>
    <mergeCell ref="M6324:N6324"/>
    <mergeCell ref="K7725:L7725"/>
    <mergeCell ref="M7725:N7725"/>
    <mergeCell ref="A7722:N7722"/>
    <mergeCell ref="A7723:G7723"/>
    <mergeCell ref="I7723:J7723"/>
    <mergeCell ref="K7723:L7723"/>
    <mergeCell ref="M7723:N7723"/>
    <mergeCell ref="A7724:G7724"/>
    <mergeCell ref="A7725:G7725"/>
    <mergeCell ref="I7715:J7715"/>
    <mergeCell ref="I7716:J7716"/>
    <mergeCell ref="K7716:L7716"/>
    <mergeCell ref="M7716:N7716"/>
    <mergeCell ref="A7713:N7713"/>
    <mergeCell ref="A7714:G7714"/>
    <mergeCell ref="I7714:J7714"/>
    <mergeCell ref="K7714:L7714"/>
    <mergeCell ref="M7714:N7714"/>
    <mergeCell ref="A7715:G7715"/>
    <mergeCell ref="A7716:G7716"/>
    <mergeCell ref="A7717:G7717"/>
    <mergeCell ref="I7717:J7717"/>
    <mergeCell ref="K7717:L7717"/>
    <mergeCell ref="M7717:N7717"/>
    <mergeCell ref="I7718:J7718"/>
    <mergeCell ref="K7718:L7718"/>
    <mergeCell ref="M7718:N7718"/>
    <mergeCell ref="A7718:G7718"/>
    <mergeCell ref="A7719:G7719"/>
    <mergeCell ref="I7719:J7719"/>
    <mergeCell ref="K7719:L7719"/>
    <mergeCell ref="M7719:N7719"/>
    <mergeCell ref="K7720:L7720"/>
    <mergeCell ref="M7720:N7720"/>
    <mergeCell ref="K7724:L7724"/>
    <mergeCell ref="K7759:L7759"/>
    <mergeCell ref="M7759:N7759"/>
    <mergeCell ref="A7759:G7759"/>
    <mergeCell ref="A7760:G7760"/>
    <mergeCell ref="I7760:J7760"/>
    <mergeCell ref="K7760:L7760"/>
    <mergeCell ref="M7760:N7760"/>
    <mergeCell ref="A7761:G7761"/>
    <mergeCell ref="A7762:G7762"/>
    <mergeCell ref="I7756:J7756"/>
    <mergeCell ref="A7726:G7726"/>
    <mergeCell ref="I7726:J7726"/>
    <mergeCell ref="K7726:L7726"/>
    <mergeCell ref="M7726:N7726"/>
    <mergeCell ref="M7727:N7727"/>
    <mergeCell ref="A7727:G7727"/>
    <mergeCell ref="A7730:N7730"/>
    <mergeCell ref="A7731:G7731"/>
    <mergeCell ref="I7731:J7731"/>
    <mergeCell ref="M7731:N7731"/>
    <mergeCell ref="I7732:J7732"/>
    <mergeCell ref="M7732:N7732"/>
    <mergeCell ref="I7734:J7734"/>
    <mergeCell ref="I7735:J7735"/>
    <mergeCell ref="I7736:J7736"/>
    <mergeCell ref="M7736:N7736"/>
    <mergeCell ref="K7737:L7737"/>
    <mergeCell ref="M7737:N7737"/>
    <mergeCell ref="A7735:G7735"/>
    <mergeCell ref="A7736:G7736"/>
    <mergeCell ref="A7732:G7732"/>
    <mergeCell ref="A7733:G7733"/>
    <mergeCell ref="I7733:J7733"/>
    <mergeCell ref="M7733:N7733"/>
    <mergeCell ref="A7734:G7734"/>
    <mergeCell ref="M7734:N7734"/>
    <mergeCell ref="M7735:N7735"/>
    <mergeCell ref="A7739:N7740"/>
    <mergeCell ref="A7744:N7744"/>
    <mergeCell ref="A7745:G7745"/>
    <mergeCell ref="I7745:J7745"/>
    <mergeCell ref="K7745:L7745"/>
    <mergeCell ref="M7745:N7745"/>
    <mergeCell ref="I7727:J7727"/>
    <mergeCell ref="K7727:L7727"/>
    <mergeCell ref="K7728:L7728"/>
    <mergeCell ref="M7728:N7728"/>
    <mergeCell ref="I7748:J7748"/>
    <mergeCell ref="I7749:J7749"/>
    <mergeCell ref="K7749:L7749"/>
    <mergeCell ref="M7749:N7749"/>
    <mergeCell ref="I7746:J7746"/>
    <mergeCell ref="K7746:L7746"/>
    <mergeCell ref="I7747:J7747"/>
    <mergeCell ref="K7747:L7747"/>
    <mergeCell ref="M7747:N7747"/>
    <mergeCell ref="K7748:L7748"/>
    <mergeCell ref="M7748:N7748"/>
    <mergeCell ref="A7746:G7746"/>
    <mergeCell ref="A7747:G7747"/>
    <mergeCell ref="A7748:G7748"/>
    <mergeCell ref="A7749:G7749"/>
    <mergeCell ref="I7750:J7750"/>
    <mergeCell ref="K7750:L7750"/>
    <mergeCell ref="A7802:N7802"/>
    <mergeCell ref="M7803:N7803"/>
    <mergeCell ref="I7803:J7803"/>
    <mergeCell ref="K7803:L7803"/>
    <mergeCell ref="I7804:J7804"/>
    <mergeCell ref="K7804:L7804"/>
    <mergeCell ref="M7804:N7804"/>
    <mergeCell ref="K7805:L7805"/>
    <mergeCell ref="M7805:N7805"/>
    <mergeCell ref="I7805:J7805"/>
    <mergeCell ref="K7756:L7756"/>
    <mergeCell ref="M7756:N7756"/>
    <mergeCell ref="K7773:L7773"/>
    <mergeCell ref="M7773:N7773"/>
    <mergeCell ref="A7770:N7770"/>
    <mergeCell ref="A7771:G7771"/>
    <mergeCell ref="I7771:J7771"/>
    <mergeCell ref="K7771:L7771"/>
    <mergeCell ref="M7771:N7771"/>
    <mergeCell ref="A7772:G7772"/>
    <mergeCell ref="A7773:G7773"/>
    <mergeCell ref="A7774:G7774"/>
    <mergeCell ref="I7774:J7774"/>
    <mergeCell ref="K7774:L7774"/>
    <mergeCell ref="M7774:N7774"/>
    <mergeCell ref="I7775:J7775"/>
    <mergeCell ref="K7775:L7775"/>
    <mergeCell ref="M7775:N7775"/>
    <mergeCell ref="A7775:G7775"/>
    <mergeCell ref="A7776:G7776"/>
    <mergeCell ref="I7776:J7776"/>
    <mergeCell ref="K7776:L7776"/>
    <mergeCell ref="M7776:N7776"/>
    <mergeCell ref="K7777:L7777"/>
    <mergeCell ref="M7777:N7777"/>
    <mergeCell ref="A7763:G7763"/>
    <mergeCell ref="I7763:J7763"/>
    <mergeCell ref="K7763:L7763"/>
    <mergeCell ref="M7763:N7763"/>
    <mergeCell ref="I7764:J7764"/>
    <mergeCell ref="K7764:L7764"/>
    <mergeCell ref="M7764:N7764"/>
    <mergeCell ref="I7766:J7766"/>
    <mergeCell ref="I7767:J7767"/>
    <mergeCell ref="K7767:L7767"/>
    <mergeCell ref="M7767:N7767"/>
    <mergeCell ref="K7768:L7768"/>
    <mergeCell ref="M7768:N7768"/>
    <mergeCell ref="A7764:G7764"/>
    <mergeCell ref="A7765:G7765"/>
    <mergeCell ref="I7765:J7765"/>
    <mergeCell ref="K7765:L7765"/>
    <mergeCell ref="M7765:N7765"/>
    <mergeCell ref="A7766:G7766"/>
    <mergeCell ref="A7767:G7767"/>
    <mergeCell ref="K7772:L7772"/>
    <mergeCell ref="M7772:N7772"/>
    <mergeCell ref="I7772:J7772"/>
    <mergeCell ref="I7773:J7773"/>
    <mergeCell ref="A7758:G7758"/>
    <mergeCell ref="I7758:J7758"/>
    <mergeCell ref="K7758:L7758"/>
    <mergeCell ref="M7758:N7758"/>
    <mergeCell ref="I7759:J7759"/>
    <mergeCell ref="M7817:N7817"/>
    <mergeCell ref="I7818:J7818"/>
    <mergeCell ref="K7818:L7818"/>
    <mergeCell ref="M7818:N7818"/>
    <mergeCell ref="I7806:J7806"/>
    <mergeCell ref="K7806:L7806"/>
    <mergeCell ref="M7806:N7806"/>
    <mergeCell ref="I7807:J7807"/>
    <mergeCell ref="K7807:L7807"/>
    <mergeCell ref="M7807:N7807"/>
    <mergeCell ref="I7781:J7781"/>
    <mergeCell ref="I7782:J7782"/>
    <mergeCell ref="K7782:L7782"/>
    <mergeCell ref="M7782:N7782"/>
    <mergeCell ref="A7779:N7779"/>
    <mergeCell ref="A7780:G7780"/>
    <mergeCell ref="I7780:J7780"/>
    <mergeCell ref="K7780:L7780"/>
    <mergeCell ref="M7780:N7780"/>
    <mergeCell ref="A7781:G7781"/>
    <mergeCell ref="A7782:G7782"/>
    <mergeCell ref="A7783:G7783"/>
    <mergeCell ref="I7783:J7783"/>
    <mergeCell ref="K7783:L7783"/>
    <mergeCell ref="M7783:N7783"/>
    <mergeCell ref="I7784:J7784"/>
    <mergeCell ref="K7784:L7784"/>
    <mergeCell ref="M7784:N7784"/>
    <mergeCell ref="A7784:G7784"/>
    <mergeCell ref="A7785:G7785"/>
    <mergeCell ref="I7785:J7785"/>
    <mergeCell ref="K7785:L7785"/>
    <mergeCell ref="M7785:N7785"/>
    <mergeCell ref="K7786:L7786"/>
    <mergeCell ref="M7786:N7786"/>
    <mergeCell ref="A7803:G7803"/>
    <mergeCell ref="A7804:G7804"/>
    <mergeCell ref="A7805:G7805"/>
    <mergeCell ref="A7806:G7806"/>
    <mergeCell ref="A7807:G7807"/>
    <mergeCell ref="K7781:L7781"/>
    <mergeCell ref="M7781:N7781"/>
    <mergeCell ref="M7794:N7794"/>
    <mergeCell ref="K7795:L7795"/>
    <mergeCell ref="M7795:N7795"/>
    <mergeCell ref="I7790:J7790"/>
    <mergeCell ref="I7791:J7791"/>
    <mergeCell ref="I7792:J7792"/>
    <mergeCell ref="M7792:N7792"/>
    <mergeCell ref="I7793:J7793"/>
    <mergeCell ref="M7793:N7793"/>
    <mergeCell ref="I7794:J7794"/>
    <mergeCell ref="A7788:N7788"/>
    <mergeCell ref="A7789:G7789"/>
    <mergeCell ref="I7789:J7789"/>
    <mergeCell ref="M7789:N7789"/>
    <mergeCell ref="A7790:G7790"/>
    <mergeCell ref="M7790:N7790"/>
    <mergeCell ref="M7791:N7791"/>
    <mergeCell ref="A7791:G7791"/>
    <mergeCell ref="A7792:G7792"/>
    <mergeCell ref="A7793:G7793"/>
    <mergeCell ref="A7794:G7794"/>
    <mergeCell ref="A7797:N7798"/>
    <mergeCell ref="A7479:G7479"/>
    <mergeCell ref="A7480:G7480"/>
    <mergeCell ref="I7480:J7480"/>
    <mergeCell ref="M7480:N7480"/>
    <mergeCell ref="A7481:G7481"/>
    <mergeCell ref="M7481:N7481"/>
    <mergeCell ref="M7482:N7482"/>
    <mergeCell ref="I7472:J7472"/>
    <mergeCell ref="K7472:L7472"/>
    <mergeCell ref="M7472:N7472"/>
    <mergeCell ref="A7472:G7472"/>
    <mergeCell ref="A7473:G7473"/>
    <mergeCell ref="I7473:J7473"/>
    <mergeCell ref="K7473:L7473"/>
    <mergeCell ref="M7473:N7473"/>
    <mergeCell ref="K7474:L7474"/>
    <mergeCell ref="M7474:N7474"/>
    <mergeCell ref="I7822:J7822"/>
    <mergeCell ref="I7823:J7823"/>
    <mergeCell ref="K7823:L7823"/>
    <mergeCell ref="M7823:N7823"/>
    <mergeCell ref="K7819:L7819"/>
    <mergeCell ref="M7819:N7819"/>
    <mergeCell ref="A7821:N7821"/>
    <mergeCell ref="A7822:G7822"/>
    <mergeCell ref="K7822:L7822"/>
    <mergeCell ref="M7822:N7822"/>
    <mergeCell ref="A7823:G7823"/>
    <mergeCell ref="A7517:N7517"/>
    <mergeCell ref="A7518:G7518"/>
    <mergeCell ref="I7518:J7518"/>
    <mergeCell ref="M7518:N7518"/>
    <mergeCell ref="A7519:G7519"/>
    <mergeCell ref="M7519:N7519"/>
    <mergeCell ref="M7520:N7520"/>
    <mergeCell ref="A7520:G7520"/>
    <mergeCell ref="A7521:G7521"/>
    <mergeCell ref="A7522:G7522"/>
    <mergeCell ref="A7523:G7523"/>
    <mergeCell ref="A7526:N7527"/>
    <mergeCell ref="A7531:N7531"/>
    <mergeCell ref="M7532:N7532"/>
    <mergeCell ref="I7510:J7510"/>
    <mergeCell ref="I7511:J7511"/>
    <mergeCell ref="K7511:L7511"/>
    <mergeCell ref="M7511:N7511"/>
    <mergeCell ref="A7508:N7508"/>
    <mergeCell ref="A7509:G7509"/>
    <mergeCell ref="I7509:J7509"/>
    <mergeCell ref="K7509:L7509"/>
    <mergeCell ref="M7509:N7509"/>
    <mergeCell ref="A7510:G7510"/>
    <mergeCell ref="A7511:G7511"/>
    <mergeCell ref="A7512:G7512"/>
    <mergeCell ref="I7512:J7512"/>
    <mergeCell ref="K7512:L7512"/>
    <mergeCell ref="M7512:N7512"/>
    <mergeCell ref="I7513:J7513"/>
    <mergeCell ref="K7513:L7513"/>
    <mergeCell ref="M7513:N7513"/>
    <mergeCell ref="I7491:J7491"/>
    <mergeCell ref="I7492:J7492"/>
    <mergeCell ref="K7492:L7492"/>
    <mergeCell ref="A7815:G7815"/>
    <mergeCell ref="M7492:N7492"/>
    <mergeCell ref="A7482:G7482"/>
    <mergeCell ref="A7485:N7486"/>
    <mergeCell ref="A7490:N7490"/>
    <mergeCell ref="A7491:G7491"/>
    <mergeCell ref="K7491:L7491"/>
    <mergeCell ref="M7491:N7491"/>
    <mergeCell ref="A7492:G7492"/>
    <mergeCell ref="A7493:G7493"/>
    <mergeCell ref="I7493:J7493"/>
    <mergeCell ref="K7493:L7493"/>
    <mergeCell ref="M7493:N7493"/>
    <mergeCell ref="I7494:J7494"/>
    <mergeCell ref="K7494:L7494"/>
    <mergeCell ref="M7494:N7494"/>
    <mergeCell ref="K7496:L7496"/>
    <mergeCell ref="M7496:N7496"/>
    <mergeCell ref="K7497:L7497"/>
    <mergeCell ref="M7497:N7497"/>
    <mergeCell ref="A7494:G7494"/>
    <mergeCell ref="A7495:G7495"/>
    <mergeCell ref="I7495:J7495"/>
    <mergeCell ref="K7495:L7495"/>
    <mergeCell ref="M7495:N7495"/>
    <mergeCell ref="A7496:G7496"/>
    <mergeCell ref="I7496:J7496"/>
    <mergeCell ref="K7501:L7501"/>
    <mergeCell ref="M7501:N7501"/>
    <mergeCell ref="I7501:J7501"/>
    <mergeCell ref="I7502:J7502"/>
    <mergeCell ref="K7502:L7502"/>
    <mergeCell ref="M7502:N7502"/>
    <mergeCell ref="A7499:N7499"/>
    <mergeCell ref="A7500:G7500"/>
    <mergeCell ref="I7500:J7500"/>
    <mergeCell ref="K7500:L7500"/>
    <mergeCell ref="M7500:N7500"/>
    <mergeCell ref="A7501:G7501"/>
    <mergeCell ref="A7502:G7502"/>
    <mergeCell ref="M7483:N7483"/>
    <mergeCell ref="A7503:G7503"/>
    <mergeCell ref="I7503:J7503"/>
    <mergeCell ref="K7503:L7503"/>
    <mergeCell ref="M7503:N7503"/>
    <mergeCell ref="I7504:J7504"/>
    <mergeCell ref="K7504:L7504"/>
    <mergeCell ref="M7504:N7504"/>
    <mergeCell ref="A7504:G7504"/>
    <mergeCell ref="A7505:G7505"/>
    <mergeCell ref="I7505:J7505"/>
    <mergeCell ref="K7505:L7505"/>
    <mergeCell ref="M7505:N7505"/>
    <mergeCell ref="K7506:L7506"/>
    <mergeCell ref="M7506:N7506"/>
    <mergeCell ref="K7510:L7510"/>
    <mergeCell ref="M7510:N7510"/>
    <mergeCell ref="M7523:N7523"/>
    <mergeCell ref="K7524:L7524"/>
    <mergeCell ref="M7524:N7524"/>
    <mergeCell ref="I7519:J7519"/>
    <mergeCell ref="I7520:J7520"/>
    <mergeCell ref="I7521:J7521"/>
    <mergeCell ref="M7521:N7521"/>
    <mergeCell ref="I7522:J7522"/>
    <mergeCell ref="M7522:N7522"/>
    <mergeCell ref="I7523:J7523"/>
    <mergeCell ref="I7532:J7532"/>
    <mergeCell ref="K7532:L7532"/>
    <mergeCell ref="I7533:J7533"/>
    <mergeCell ref="K7533:L7533"/>
    <mergeCell ref="M7533:N7533"/>
    <mergeCell ref="K7534:L7534"/>
    <mergeCell ref="M7534:N7534"/>
    <mergeCell ref="I7534:J7534"/>
    <mergeCell ref="A7513:G7513"/>
    <mergeCell ref="A7514:G7514"/>
    <mergeCell ref="I7514:J7514"/>
    <mergeCell ref="K7514:L7514"/>
    <mergeCell ref="M7514:N7514"/>
    <mergeCell ref="K7515:L7515"/>
    <mergeCell ref="M7515:N7515"/>
    <mergeCell ref="A7532:G7532"/>
    <mergeCell ref="A7533:G7533"/>
    <mergeCell ref="A7534:G7534"/>
    <mergeCell ref="I7535:J7535"/>
    <mergeCell ref="K7535:L7535"/>
    <mergeCell ref="M7535:N7535"/>
    <mergeCell ref="I7536:J7536"/>
    <mergeCell ref="K7536:L7536"/>
    <mergeCell ref="M7536:N7536"/>
    <mergeCell ref="A7543:G7543"/>
    <mergeCell ref="A7544:G7544"/>
    <mergeCell ref="A7545:G7545"/>
    <mergeCell ref="A7546:G7546"/>
    <mergeCell ref="A7547:G7547"/>
    <mergeCell ref="M7539:N7539"/>
    <mergeCell ref="A7541:N7541"/>
    <mergeCell ref="A7542:G7542"/>
    <mergeCell ref="I7542:J7542"/>
    <mergeCell ref="K7542:L7542"/>
    <mergeCell ref="M7542:N7542"/>
    <mergeCell ref="M7543:N7543"/>
    <mergeCell ref="I7543:J7543"/>
    <mergeCell ref="K7543:L7543"/>
    <mergeCell ref="I7544:J7544"/>
    <mergeCell ref="K7544:L7544"/>
    <mergeCell ref="M7544:N7544"/>
    <mergeCell ref="K7545:L7545"/>
    <mergeCell ref="M7545:N7545"/>
    <mergeCell ref="I7545:J7545"/>
    <mergeCell ref="I7546:J7546"/>
    <mergeCell ref="K7546:L7546"/>
    <mergeCell ref="M7546:N7546"/>
    <mergeCell ref="I7547:J7547"/>
    <mergeCell ref="K7547:L7547"/>
    <mergeCell ref="M7547:N7547"/>
    <mergeCell ref="I7551:J7551"/>
    <mergeCell ref="A7535:G7535"/>
    <mergeCell ref="A7536:G7536"/>
    <mergeCell ref="A7537:G7537"/>
    <mergeCell ref="A7538:G7538"/>
    <mergeCell ref="I7537:J7537"/>
    <mergeCell ref="K7537:L7537"/>
    <mergeCell ref="M7537:N7537"/>
    <mergeCell ref="I7538:J7538"/>
    <mergeCell ref="K7538:L7538"/>
    <mergeCell ref="M7538:N7538"/>
    <mergeCell ref="K7539:L7539"/>
    <mergeCell ref="I7552:J7552"/>
    <mergeCell ref="K7552:L7552"/>
    <mergeCell ref="M7552:N7552"/>
    <mergeCell ref="K7548:L7548"/>
    <mergeCell ref="M7548:N7548"/>
    <mergeCell ref="A7550:N7550"/>
    <mergeCell ref="A7551:G7551"/>
    <mergeCell ref="K7551:L7551"/>
    <mergeCell ref="M7551:N7551"/>
    <mergeCell ref="A7552:G7552"/>
    <mergeCell ref="A7553:G7553"/>
    <mergeCell ref="I7553:J7553"/>
    <mergeCell ref="K7553:L7553"/>
    <mergeCell ref="M7553:N7553"/>
    <mergeCell ref="I7554:J7554"/>
    <mergeCell ref="K7554:L7554"/>
    <mergeCell ref="M7554:N7554"/>
    <mergeCell ref="K7556:L7556"/>
    <mergeCell ref="M7556:N7556"/>
    <mergeCell ref="K7557:L7557"/>
    <mergeCell ref="M7557:N7557"/>
    <mergeCell ref="A7554:G7554"/>
    <mergeCell ref="A7555:G7555"/>
    <mergeCell ref="I7555:J7555"/>
    <mergeCell ref="K7555:L7555"/>
    <mergeCell ref="M7555:N7555"/>
    <mergeCell ref="A7556:G7556"/>
    <mergeCell ref="I7556:J7556"/>
    <mergeCell ref="A7562:G7562"/>
    <mergeCell ref="A7563:G7563"/>
    <mergeCell ref="A7564:G7564"/>
    <mergeCell ref="A7565:G7565"/>
    <mergeCell ref="A7559:N7559"/>
    <mergeCell ref="A7560:G7560"/>
    <mergeCell ref="I7560:J7560"/>
    <mergeCell ref="M7560:N7560"/>
    <mergeCell ref="A7561:G7561"/>
    <mergeCell ref="M7561:N7561"/>
    <mergeCell ref="M7562:N7562"/>
    <mergeCell ref="I7561:J7561"/>
    <mergeCell ref="I7562:J7562"/>
    <mergeCell ref="I7563:J7563"/>
    <mergeCell ref="M7563:N7563"/>
    <mergeCell ref="I7564:J7564"/>
    <mergeCell ref="M7564:N7564"/>
    <mergeCell ref="I7565:J7565"/>
    <mergeCell ref="K7574:L7574"/>
    <mergeCell ref="M7574:N7574"/>
    <mergeCell ref="A7576:G7576"/>
    <mergeCell ref="I7576:J7576"/>
    <mergeCell ref="K7576:L7576"/>
    <mergeCell ref="M7576:N7576"/>
    <mergeCell ref="I7577:J7577"/>
    <mergeCell ref="K7577:L7577"/>
    <mergeCell ref="M7577:N7577"/>
    <mergeCell ref="A7577:G7577"/>
    <mergeCell ref="A7578:G7578"/>
    <mergeCell ref="I7578:J7578"/>
    <mergeCell ref="K7578:L7578"/>
    <mergeCell ref="M7578:N7578"/>
    <mergeCell ref="A7579:G7579"/>
    <mergeCell ref="A7580:G7580"/>
    <mergeCell ref="I7574:J7574"/>
    <mergeCell ref="I7575:J7575"/>
    <mergeCell ref="K7575:L7575"/>
    <mergeCell ref="M7575:N7575"/>
    <mergeCell ref="M7565:N7565"/>
    <mergeCell ref="K7566:L7566"/>
    <mergeCell ref="M7566:N7566"/>
    <mergeCell ref="A7568:N7569"/>
    <mergeCell ref="A7573:N7573"/>
    <mergeCell ref="A7574:G7574"/>
    <mergeCell ref="A7575:G7575"/>
    <mergeCell ref="K7579:L7579"/>
    <mergeCell ref="M7579:N7579"/>
    <mergeCell ref="I7579:J7579"/>
    <mergeCell ref="I7580:J7580"/>
    <mergeCell ref="K7580:L7580"/>
    <mergeCell ref="M7580:N7580"/>
    <mergeCell ref="K7581:L7581"/>
    <mergeCell ref="M7581:N7581"/>
    <mergeCell ref="K7585:L7585"/>
    <mergeCell ref="M7585:N7585"/>
    <mergeCell ref="K7595:L7595"/>
    <mergeCell ref="M7595:N7595"/>
    <mergeCell ref="A7592:N7592"/>
    <mergeCell ref="A7593:G7593"/>
    <mergeCell ref="I7593:J7593"/>
    <mergeCell ref="K7593:L7593"/>
    <mergeCell ref="M7593:N7593"/>
    <mergeCell ref="A7594:G7594"/>
    <mergeCell ref="A7595:G7595"/>
    <mergeCell ref="I7597:J7597"/>
    <mergeCell ref="K7597:L7597"/>
    <mergeCell ref="I7594:J7594"/>
    <mergeCell ref="I7595:J7595"/>
    <mergeCell ref="A7596:G7596"/>
    <mergeCell ref="I7596:J7596"/>
    <mergeCell ref="K7596:L7596"/>
    <mergeCell ref="M7596:N7596"/>
    <mergeCell ref="M7597:N7597"/>
    <mergeCell ref="I7585:J7585"/>
    <mergeCell ref="I7586:J7586"/>
    <mergeCell ref="K7586:L7586"/>
    <mergeCell ref="M7586:N7586"/>
    <mergeCell ref="A7583:N7583"/>
    <mergeCell ref="A7584:G7584"/>
    <mergeCell ref="I7584:J7584"/>
    <mergeCell ref="K7584:L7584"/>
    <mergeCell ref="M7584:N7584"/>
    <mergeCell ref="A7585:G7585"/>
    <mergeCell ref="A7586:G7586"/>
    <mergeCell ref="A7587:G7587"/>
    <mergeCell ref="I7587:J7587"/>
    <mergeCell ref="K7587:L7587"/>
    <mergeCell ref="M7587:N7587"/>
    <mergeCell ref="I7588:J7588"/>
    <mergeCell ref="K7588:L7588"/>
    <mergeCell ref="M7588:N7588"/>
    <mergeCell ref="A7588:G7588"/>
    <mergeCell ref="A7589:G7589"/>
    <mergeCell ref="I7589:J7589"/>
    <mergeCell ref="K7589:L7589"/>
    <mergeCell ref="M7589:N7589"/>
    <mergeCell ref="K7590:L7590"/>
    <mergeCell ref="M7590:N7590"/>
    <mergeCell ref="K7594:L7594"/>
    <mergeCell ref="M7594:N7594"/>
    <mergeCell ref="A7597:G7597"/>
    <mergeCell ref="A7598:G7598"/>
    <mergeCell ref="I7598:J7598"/>
    <mergeCell ref="K7598:L7598"/>
    <mergeCell ref="M7598:N7598"/>
    <mergeCell ref="K7599:L7599"/>
    <mergeCell ref="M7599:N7599"/>
    <mergeCell ref="A7604:G7604"/>
    <mergeCell ref="A7605:G7605"/>
    <mergeCell ref="A7606:G7606"/>
    <mergeCell ref="A7607:G7607"/>
    <mergeCell ref="A7601:N7601"/>
    <mergeCell ref="A7602:G7602"/>
    <mergeCell ref="I7602:J7602"/>
    <mergeCell ref="M7602:N7602"/>
    <mergeCell ref="A7603:G7603"/>
    <mergeCell ref="M7603:N7603"/>
    <mergeCell ref="M7604:N7604"/>
    <mergeCell ref="I7603:J7603"/>
    <mergeCell ref="I7604:J7604"/>
    <mergeCell ref="I7605:J7605"/>
    <mergeCell ref="M7605:N7605"/>
    <mergeCell ref="I7606:J7606"/>
    <mergeCell ref="M7606:N7606"/>
    <mergeCell ref="I7607:J7607"/>
    <mergeCell ref="K7616:L7616"/>
    <mergeCell ref="M7616:N7616"/>
    <mergeCell ref="I7616:J7616"/>
    <mergeCell ref="I7617:J7617"/>
    <mergeCell ref="K7617:L7617"/>
    <mergeCell ref="M7617:N7617"/>
    <mergeCell ref="M7607:N7607"/>
    <mergeCell ref="K7608:L7608"/>
    <mergeCell ref="M7608:N7608"/>
    <mergeCell ref="A7610:N7611"/>
    <mergeCell ref="A7615:N7615"/>
    <mergeCell ref="A7616:G7616"/>
    <mergeCell ref="A7617:G7617"/>
    <mergeCell ref="K7628:L7628"/>
    <mergeCell ref="M7628:N7628"/>
    <mergeCell ref="A7625:N7625"/>
    <mergeCell ref="A7626:G7626"/>
    <mergeCell ref="I7626:J7626"/>
    <mergeCell ref="K7626:L7626"/>
    <mergeCell ref="M7626:N7626"/>
    <mergeCell ref="A7627:G7627"/>
    <mergeCell ref="A7628:G7628"/>
    <mergeCell ref="I7630:J7630"/>
    <mergeCell ref="K7630:L7630"/>
    <mergeCell ref="I7627:J7627"/>
    <mergeCell ref="I7628:J7628"/>
    <mergeCell ref="A7629:G7629"/>
    <mergeCell ref="I7629:J7629"/>
    <mergeCell ref="K7629:L7629"/>
    <mergeCell ref="M7629:N7629"/>
    <mergeCell ref="M7630:N7630"/>
    <mergeCell ref="A7618:G7618"/>
    <mergeCell ref="I7618:J7618"/>
    <mergeCell ref="K7618:L7618"/>
    <mergeCell ref="M7618:N7618"/>
    <mergeCell ref="I7619:J7619"/>
    <mergeCell ref="K7619:L7619"/>
    <mergeCell ref="M7619:N7619"/>
    <mergeCell ref="K7621:L7621"/>
    <mergeCell ref="M7621:N7621"/>
    <mergeCell ref="I7621:J7621"/>
    <mergeCell ref="I7622:J7622"/>
    <mergeCell ref="K7622:L7622"/>
    <mergeCell ref="M7622:N7622"/>
    <mergeCell ref="K7623:L7623"/>
    <mergeCell ref="M7623:N7623"/>
    <mergeCell ref="A7619:G7619"/>
    <mergeCell ref="A7620:G7620"/>
    <mergeCell ref="I7620:J7620"/>
    <mergeCell ref="K7620:L7620"/>
    <mergeCell ref="M7620:N7620"/>
    <mergeCell ref="A7621:G7621"/>
    <mergeCell ref="A7622:G7622"/>
    <mergeCell ref="K7627:L7627"/>
    <mergeCell ref="M7627:N7627"/>
    <mergeCell ref="A7630:G7630"/>
    <mergeCell ref="A7646:G7646"/>
    <mergeCell ref="A7647:G7647"/>
    <mergeCell ref="I7647:J7647"/>
    <mergeCell ref="M7647:N7647"/>
    <mergeCell ref="A7648:G7648"/>
    <mergeCell ref="M7648:N7648"/>
    <mergeCell ref="M7649:N7649"/>
    <mergeCell ref="I7658:J7658"/>
    <mergeCell ref="I7659:J7659"/>
    <mergeCell ref="K7659:L7659"/>
    <mergeCell ref="M7659:N7659"/>
    <mergeCell ref="A7649:G7649"/>
    <mergeCell ref="A7652:N7653"/>
    <mergeCell ref="A7657:N7657"/>
    <mergeCell ref="A7658:G7658"/>
    <mergeCell ref="K7658:L7658"/>
    <mergeCell ref="M7658:N7658"/>
    <mergeCell ref="A7659:G7659"/>
    <mergeCell ref="K7663:L7663"/>
    <mergeCell ref="M7663:N7663"/>
    <mergeCell ref="I7663:J7663"/>
    <mergeCell ref="I7664:J7664"/>
    <mergeCell ref="A7631:G7631"/>
    <mergeCell ref="I7631:J7631"/>
    <mergeCell ref="K7631:L7631"/>
    <mergeCell ref="M7631:N7631"/>
    <mergeCell ref="K7632:L7632"/>
    <mergeCell ref="M7632:N7632"/>
    <mergeCell ref="I7645:J7645"/>
    <mergeCell ref="I7646:J7646"/>
    <mergeCell ref="A7643:N7643"/>
    <mergeCell ref="A7644:G7644"/>
    <mergeCell ref="I7644:J7644"/>
    <mergeCell ref="M7644:N7644"/>
    <mergeCell ref="A7645:G7645"/>
    <mergeCell ref="M7645:N7645"/>
    <mergeCell ref="M7646:N7646"/>
    <mergeCell ref="K7636:L7636"/>
    <mergeCell ref="M7636:N7636"/>
    <mergeCell ref="I7636:J7636"/>
    <mergeCell ref="I7637:J7637"/>
    <mergeCell ref="K7637:L7637"/>
    <mergeCell ref="M7637:N7637"/>
    <mergeCell ref="A7634:N7634"/>
    <mergeCell ref="A7635:G7635"/>
    <mergeCell ref="I7635:J7635"/>
    <mergeCell ref="K7635:L7635"/>
    <mergeCell ref="M7635:N7635"/>
    <mergeCell ref="A7636:G7636"/>
    <mergeCell ref="A7637:G7637"/>
    <mergeCell ref="A7638:G7638"/>
    <mergeCell ref="I7638:J7638"/>
    <mergeCell ref="K7638:L7638"/>
    <mergeCell ref="M7638:N7638"/>
    <mergeCell ref="I7639:J7639"/>
    <mergeCell ref="K7639:L7639"/>
    <mergeCell ref="M7639:N7639"/>
    <mergeCell ref="A7639:G7639"/>
    <mergeCell ref="A7640:G7640"/>
    <mergeCell ref="I7640:J7640"/>
    <mergeCell ref="K7640:L7640"/>
    <mergeCell ref="M7640:N7640"/>
    <mergeCell ref="K7641:L7641"/>
    <mergeCell ref="M7641:N7641"/>
    <mergeCell ref="M7667:N7667"/>
    <mergeCell ref="K7680:L7680"/>
    <mergeCell ref="M7680:N7680"/>
    <mergeCell ref="K7676:L7676"/>
    <mergeCell ref="M7676:N7676"/>
    <mergeCell ref="A7678:N7678"/>
    <mergeCell ref="A7679:G7679"/>
    <mergeCell ref="K7679:L7679"/>
    <mergeCell ref="M7679:N7679"/>
    <mergeCell ref="A7680:G7680"/>
    <mergeCell ref="A7681:G7681"/>
    <mergeCell ref="I7681:J7681"/>
    <mergeCell ref="K7681:L7681"/>
    <mergeCell ref="M7681:N7681"/>
    <mergeCell ref="I7682:J7682"/>
    <mergeCell ref="K7682:L7682"/>
    <mergeCell ref="M7682:N7682"/>
    <mergeCell ref="A7682:G7682"/>
    <mergeCell ref="A7683:G7683"/>
    <mergeCell ref="I7683:J7683"/>
    <mergeCell ref="K7683:L7683"/>
    <mergeCell ref="M7683:N7683"/>
    <mergeCell ref="A7684:G7684"/>
    <mergeCell ref="I7684:J7684"/>
    <mergeCell ref="K7684:L7684"/>
    <mergeCell ref="M7684:N7684"/>
    <mergeCell ref="K7685:L7685"/>
    <mergeCell ref="M7685:N7685"/>
    <mergeCell ref="A7687:N7687"/>
    <mergeCell ref="I7688:J7688"/>
    <mergeCell ref="M7688:N7688"/>
    <mergeCell ref="A7688:G7688"/>
    <mergeCell ref="I7648:J7648"/>
    <mergeCell ref="I7649:J7649"/>
    <mergeCell ref="K7650:L7650"/>
    <mergeCell ref="M7650:N7650"/>
    <mergeCell ref="A7660:G7660"/>
    <mergeCell ref="I7660:J7660"/>
    <mergeCell ref="K7660:L7660"/>
    <mergeCell ref="M7660:N7660"/>
    <mergeCell ref="I7661:J7661"/>
    <mergeCell ref="K7661:L7661"/>
    <mergeCell ref="M7661:N7661"/>
    <mergeCell ref="A7661:G7661"/>
    <mergeCell ref="A7662:G7662"/>
    <mergeCell ref="I7662:J7662"/>
    <mergeCell ref="K7662:L7662"/>
    <mergeCell ref="M7662:N7662"/>
    <mergeCell ref="A7663:G7663"/>
    <mergeCell ref="A7664:G7664"/>
    <mergeCell ref="A7689:G7689"/>
    <mergeCell ref="I7689:J7689"/>
    <mergeCell ref="M7689:N7689"/>
    <mergeCell ref="A7690:G7690"/>
    <mergeCell ref="M7690:N7690"/>
    <mergeCell ref="A7691:G7691"/>
    <mergeCell ref="M7691:N7691"/>
    <mergeCell ref="M7693:N7693"/>
    <mergeCell ref="K7694:L7694"/>
    <mergeCell ref="M7694:N7694"/>
    <mergeCell ref="I7690:J7690"/>
    <mergeCell ref="I7691:J7691"/>
    <mergeCell ref="A7692:G7692"/>
    <mergeCell ref="I7692:J7692"/>
    <mergeCell ref="M7692:N7692"/>
    <mergeCell ref="A7693:G7693"/>
    <mergeCell ref="I7693:J7693"/>
    <mergeCell ref="I7703:J7703"/>
    <mergeCell ref="K7703:L7703"/>
    <mergeCell ref="A7696:N7697"/>
    <mergeCell ref="A7701:N7701"/>
    <mergeCell ref="A7702:G7702"/>
    <mergeCell ref="I7702:J7702"/>
    <mergeCell ref="K7702:L7702"/>
    <mergeCell ref="M7702:N7702"/>
    <mergeCell ref="M7703:N7703"/>
    <mergeCell ref="K7664:L7664"/>
    <mergeCell ref="M7664:N7664"/>
    <mergeCell ref="A7665:G7665"/>
    <mergeCell ref="I7665:J7665"/>
    <mergeCell ref="K7665:L7665"/>
    <mergeCell ref="M7665:N7665"/>
    <mergeCell ref="M7666:N7666"/>
    <mergeCell ref="A7671:G7671"/>
    <mergeCell ref="A7672:G7672"/>
    <mergeCell ref="A7673:G7673"/>
    <mergeCell ref="A7674:G7674"/>
    <mergeCell ref="A7675:G7675"/>
    <mergeCell ref="A7666:G7666"/>
    <mergeCell ref="A7669:N7669"/>
    <mergeCell ref="A7670:G7670"/>
    <mergeCell ref="I7670:J7670"/>
    <mergeCell ref="K7670:L7670"/>
    <mergeCell ref="M7670:N7670"/>
    <mergeCell ref="M7671:N7671"/>
    <mergeCell ref="I7671:J7671"/>
    <mergeCell ref="K7671:L7671"/>
    <mergeCell ref="I7672:J7672"/>
    <mergeCell ref="K7672:L7672"/>
    <mergeCell ref="M7672:N7672"/>
    <mergeCell ref="K7673:L7673"/>
    <mergeCell ref="M7673:N7673"/>
    <mergeCell ref="I7673:J7673"/>
    <mergeCell ref="I7674:J7674"/>
    <mergeCell ref="K7674:L7674"/>
    <mergeCell ref="M7674:N7674"/>
    <mergeCell ref="I7675:J7675"/>
    <mergeCell ref="K7675:L7675"/>
    <mergeCell ref="M7675:N7675"/>
    <mergeCell ref="I7679:J7679"/>
    <mergeCell ref="I7680:J7680"/>
    <mergeCell ref="I7666:J7666"/>
    <mergeCell ref="K7666:L7666"/>
    <mergeCell ref="K7667:L7667"/>
    <mergeCell ref="I7827:J7827"/>
    <mergeCell ref="A7808:G7808"/>
    <mergeCell ref="A7809:G7809"/>
    <mergeCell ref="I7808:J7808"/>
    <mergeCell ref="K7808:L7808"/>
    <mergeCell ref="M7808:N7808"/>
    <mergeCell ref="I7809:J7809"/>
    <mergeCell ref="K7809:L7809"/>
    <mergeCell ref="M7809:N7809"/>
    <mergeCell ref="K7810:L7810"/>
    <mergeCell ref="A7814:G7814"/>
    <mergeCell ref="K7705:L7705"/>
    <mergeCell ref="M7705:N7705"/>
    <mergeCell ref="I7705:J7705"/>
    <mergeCell ref="I7706:J7706"/>
    <mergeCell ref="K7706:L7706"/>
    <mergeCell ref="M7706:N7706"/>
    <mergeCell ref="A7703:G7703"/>
    <mergeCell ref="A7704:G7704"/>
    <mergeCell ref="I7704:J7704"/>
    <mergeCell ref="K7704:L7704"/>
    <mergeCell ref="M7704:N7704"/>
    <mergeCell ref="A7705:G7705"/>
    <mergeCell ref="A7706:G7706"/>
    <mergeCell ref="A7707:G7707"/>
    <mergeCell ref="I7707:J7707"/>
    <mergeCell ref="K7707:L7707"/>
    <mergeCell ref="M7707:N7707"/>
    <mergeCell ref="I7708:J7708"/>
    <mergeCell ref="K7708:L7708"/>
    <mergeCell ref="M7708:N7708"/>
    <mergeCell ref="K7710:L7710"/>
    <mergeCell ref="M7710:N7710"/>
    <mergeCell ref="K7711:L7711"/>
    <mergeCell ref="M7711:N7711"/>
    <mergeCell ref="A7708:G7708"/>
    <mergeCell ref="A7709:G7709"/>
    <mergeCell ref="I7709:J7709"/>
    <mergeCell ref="K7709:L7709"/>
    <mergeCell ref="M7709:N7709"/>
    <mergeCell ref="A7710:G7710"/>
    <mergeCell ref="I7710:J7710"/>
    <mergeCell ref="K7715:L7715"/>
    <mergeCell ref="M7715:N7715"/>
    <mergeCell ref="A7816:G7816"/>
    <mergeCell ref="A7817:G7817"/>
    <mergeCell ref="A7818:G7818"/>
    <mergeCell ref="M7810:N7810"/>
    <mergeCell ref="A7812:N7812"/>
    <mergeCell ref="A7813:G7813"/>
    <mergeCell ref="I7813:J7813"/>
    <mergeCell ref="K7813:L7813"/>
    <mergeCell ref="M7813:N7813"/>
    <mergeCell ref="M7814:N7814"/>
    <mergeCell ref="I7814:J7814"/>
    <mergeCell ref="K7814:L7814"/>
    <mergeCell ref="I7815:J7815"/>
    <mergeCell ref="K7815:L7815"/>
    <mergeCell ref="M7815:N7815"/>
    <mergeCell ref="K7816:L7816"/>
    <mergeCell ref="M7816:N7816"/>
    <mergeCell ref="I7816:J7816"/>
    <mergeCell ref="I7817:J7817"/>
    <mergeCell ref="K7817:L7817"/>
    <mergeCell ref="I7856:J7856"/>
    <mergeCell ref="I7857:J7857"/>
    <mergeCell ref="K7857:L7857"/>
    <mergeCell ref="M7857:N7857"/>
    <mergeCell ref="A7854:N7854"/>
    <mergeCell ref="A7855:G7855"/>
    <mergeCell ref="I7855:J7855"/>
    <mergeCell ref="K7855:L7855"/>
    <mergeCell ref="M7855:N7855"/>
    <mergeCell ref="A7856:G7856"/>
    <mergeCell ref="A7857:G7857"/>
    <mergeCell ref="I7835:J7835"/>
    <mergeCell ref="M7835:N7835"/>
    <mergeCell ref="I7836:J7836"/>
    <mergeCell ref="K7845:L7845"/>
    <mergeCell ref="M7845:N7845"/>
    <mergeCell ref="A7847:G7847"/>
    <mergeCell ref="I7847:J7847"/>
    <mergeCell ref="K7847:L7847"/>
    <mergeCell ref="M7847:N7847"/>
    <mergeCell ref="I7848:J7848"/>
    <mergeCell ref="K7848:L7848"/>
    <mergeCell ref="M7848:N7848"/>
    <mergeCell ref="A7848:G7848"/>
    <mergeCell ref="A7849:G7849"/>
    <mergeCell ref="I7849:J7849"/>
    <mergeCell ref="K7849:L7849"/>
    <mergeCell ref="M7849:N7849"/>
    <mergeCell ref="A7850:G7850"/>
    <mergeCell ref="I7757:J7757"/>
    <mergeCell ref="K7757:L7757"/>
    <mergeCell ref="M7757:N7757"/>
    <mergeCell ref="A7754:G7754"/>
    <mergeCell ref="A7755:G7755"/>
    <mergeCell ref="I7755:J7755"/>
    <mergeCell ref="K7755:L7755"/>
    <mergeCell ref="M7755:N7755"/>
    <mergeCell ref="A7756:G7756"/>
    <mergeCell ref="A7757:G7757"/>
    <mergeCell ref="K7761:L7761"/>
    <mergeCell ref="M7761:N7761"/>
    <mergeCell ref="I7761:J7761"/>
    <mergeCell ref="I7762:J7762"/>
    <mergeCell ref="K7762:L7762"/>
    <mergeCell ref="M7762:N7762"/>
    <mergeCell ref="K7766:L7766"/>
    <mergeCell ref="M7766:N7766"/>
    <mergeCell ref="A7824:G7824"/>
    <mergeCell ref="I7824:J7824"/>
    <mergeCell ref="K7824:L7824"/>
    <mergeCell ref="M7824:N7824"/>
    <mergeCell ref="I7825:J7825"/>
    <mergeCell ref="K7825:L7825"/>
    <mergeCell ref="M7825:N7825"/>
    <mergeCell ref="K7827:L7827"/>
    <mergeCell ref="M7827:N7827"/>
    <mergeCell ref="K7828:L7828"/>
    <mergeCell ref="M7828:N7828"/>
    <mergeCell ref="A7825:G7825"/>
    <mergeCell ref="A7826:G7826"/>
    <mergeCell ref="I7826:J7826"/>
    <mergeCell ref="K7826:L7826"/>
    <mergeCell ref="M7826:N7826"/>
    <mergeCell ref="A7827:G7827"/>
    <mergeCell ref="A7833:G7833"/>
    <mergeCell ref="A7834:G7834"/>
    <mergeCell ref="A7835:G7835"/>
    <mergeCell ref="A7836:G7836"/>
    <mergeCell ref="A7830:N7830"/>
    <mergeCell ref="A7831:G7831"/>
    <mergeCell ref="I7831:J7831"/>
    <mergeCell ref="M7831:N7831"/>
    <mergeCell ref="A7832:G7832"/>
    <mergeCell ref="M7832:N7832"/>
    <mergeCell ref="M7833:N7833"/>
    <mergeCell ref="I7832:J7832"/>
    <mergeCell ref="I7833:J7833"/>
    <mergeCell ref="I7834:J7834"/>
    <mergeCell ref="M7834:N7834"/>
    <mergeCell ref="K7887:L7887"/>
    <mergeCell ref="M7887:N7887"/>
    <mergeCell ref="I7887:J7887"/>
    <mergeCell ref="I7888:J7888"/>
    <mergeCell ref="K7888:L7888"/>
    <mergeCell ref="M7888:N7888"/>
    <mergeCell ref="M7878:N7878"/>
    <mergeCell ref="K7879:L7879"/>
    <mergeCell ref="M7879:N7879"/>
    <mergeCell ref="A7881:N7882"/>
    <mergeCell ref="A7886:N7886"/>
    <mergeCell ref="A7887:G7887"/>
    <mergeCell ref="A7888:G7888"/>
    <mergeCell ref="A7851:G7851"/>
    <mergeCell ref="I7845:J7845"/>
    <mergeCell ref="I7846:J7846"/>
    <mergeCell ref="K7846:L7846"/>
    <mergeCell ref="M7846:N7846"/>
    <mergeCell ref="M7836:N7836"/>
    <mergeCell ref="K7837:L7837"/>
    <mergeCell ref="M7837:N7837"/>
    <mergeCell ref="A7839:N7840"/>
    <mergeCell ref="A7844:N7844"/>
    <mergeCell ref="A7845:G7845"/>
    <mergeCell ref="A7846:G7846"/>
    <mergeCell ref="K7850:L7850"/>
    <mergeCell ref="M7850:N7850"/>
    <mergeCell ref="I7850:J7850"/>
    <mergeCell ref="I7851:J7851"/>
    <mergeCell ref="K7851:L7851"/>
    <mergeCell ref="M7851:N7851"/>
    <mergeCell ref="K7852:L7852"/>
    <mergeCell ref="M7852:N7852"/>
    <mergeCell ref="K7856:L7856"/>
    <mergeCell ref="M7856:N7856"/>
    <mergeCell ref="K7866:L7866"/>
    <mergeCell ref="M7866:N7866"/>
    <mergeCell ref="A7863:N7863"/>
    <mergeCell ref="A7864:G7864"/>
    <mergeCell ref="I7864:J7864"/>
    <mergeCell ref="K7864:L7864"/>
    <mergeCell ref="M7864:N7864"/>
    <mergeCell ref="A7865:G7865"/>
    <mergeCell ref="A7866:G7866"/>
    <mergeCell ref="I7868:J7868"/>
    <mergeCell ref="K7868:L7868"/>
    <mergeCell ref="I7865:J7865"/>
    <mergeCell ref="I7866:J7866"/>
    <mergeCell ref="A7867:G7867"/>
    <mergeCell ref="M7861:N7861"/>
    <mergeCell ref="K7865:L7865"/>
    <mergeCell ref="M7865:N7865"/>
    <mergeCell ref="A7868:G7868"/>
    <mergeCell ref="A7869:G7869"/>
    <mergeCell ref="I7869:J7869"/>
    <mergeCell ref="K7869:L7869"/>
    <mergeCell ref="M7869:N7869"/>
    <mergeCell ref="K7870:L7870"/>
    <mergeCell ref="M7870:N7870"/>
    <mergeCell ref="A7875:G7875"/>
    <mergeCell ref="A7876:G7876"/>
    <mergeCell ref="A7877:G7877"/>
    <mergeCell ref="A7878:G7878"/>
    <mergeCell ref="A7872:N7872"/>
    <mergeCell ref="A7873:G7873"/>
    <mergeCell ref="I7873:J7873"/>
    <mergeCell ref="M7873:N7873"/>
    <mergeCell ref="A7874:G7874"/>
    <mergeCell ref="M7874:N7874"/>
    <mergeCell ref="M7875:N7875"/>
    <mergeCell ref="I7874:J7874"/>
    <mergeCell ref="I7875:J7875"/>
    <mergeCell ref="I7876:J7876"/>
    <mergeCell ref="M7876:N7876"/>
    <mergeCell ref="I7877:J7877"/>
    <mergeCell ref="M7877:N7877"/>
    <mergeCell ref="I7878:J7878"/>
    <mergeCell ref="A7858:G7858"/>
    <mergeCell ref="I7858:J7858"/>
    <mergeCell ref="K7858:L7858"/>
    <mergeCell ref="M7858:N7858"/>
    <mergeCell ref="I7859:J7859"/>
    <mergeCell ref="K7859:L7859"/>
    <mergeCell ref="M7859:N7859"/>
    <mergeCell ref="A7859:G7859"/>
    <mergeCell ref="A7860:G7860"/>
    <mergeCell ref="I7860:J7860"/>
    <mergeCell ref="K7860:L7860"/>
    <mergeCell ref="M7860:N7860"/>
    <mergeCell ref="K7861:L7861"/>
    <mergeCell ref="I7867:J7867"/>
    <mergeCell ref="K7867:L7867"/>
    <mergeCell ref="M7867:N7867"/>
    <mergeCell ref="M7868:N7868"/>
    <mergeCell ref="I6563:J6563"/>
    <mergeCell ref="K6563:L6563"/>
    <mergeCell ref="A6556:N6557"/>
    <mergeCell ref="A6561:N6561"/>
    <mergeCell ref="A6562:G6562"/>
    <mergeCell ref="I6562:J6562"/>
    <mergeCell ref="K6562:L6562"/>
    <mergeCell ref="M6562:N6562"/>
    <mergeCell ref="M6563:N6563"/>
    <mergeCell ref="K6524:L6524"/>
    <mergeCell ref="M6524:N6524"/>
    <mergeCell ref="A6525:G6525"/>
    <mergeCell ref="I6525:J6525"/>
    <mergeCell ref="K6525:L6525"/>
    <mergeCell ref="M6525:N6525"/>
    <mergeCell ref="M6526:N6526"/>
    <mergeCell ref="A6531:G6531"/>
    <mergeCell ref="A6532:G6532"/>
    <mergeCell ref="A6533:G6533"/>
    <mergeCell ref="A6534:G6534"/>
    <mergeCell ref="A6535:G6535"/>
    <mergeCell ref="A6526:G6526"/>
    <mergeCell ref="A6529:N6529"/>
    <mergeCell ref="A6530:G6530"/>
    <mergeCell ref="I6530:J6530"/>
    <mergeCell ref="K6530:L6530"/>
    <mergeCell ref="M6530:N6530"/>
    <mergeCell ref="M6531:N6531"/>
    <mergeCell ref="I6531:J6531"/>
    <mergeCell ref="K6531:L6531"/>
    <mergeCell ref="I6532:J6532"/>
    <mergeCell ref="K6532:L6532"/>
    <mergeCell ref="M6532:N6532"/>
    <mergeCell ref="K6533:L6533"/>
    <mergeCell ref="M6533:N6533"/>
    <mergeCell ref="I6533:J6533"/>
    <mergeCell ref="I6534:J6534"/>
    <mergeCell ref="K6534:L6534"/>
    <mergeCell ref="M6534:N6534"/>
    <mergeCell ref="I6535:J6535"/>
    <mergeCell ref="K6535:L6535"/>
    <mergeCell ref="M6535:N6535"/>
    <mergeCell ref="I6539:J6539"/>
    <mergeCell ref="I6540:J6540"/>
    <mergeCell ref="A6538:N6538"/>
    <mergeCell ref="A6539:G6539"/>
    <mergeCell ref="K6539:L6539"/>
    <mergeCell ref="M6539:N6539"/>
    <mergeCell ref="A6540:G6540"/>
    <mergeCell ref="A6541:G6541"/>
    <mergeCell ref="I6541:J6541"/>
    <mergeCell ref="K6541:L6541"/>
    <mergeCell ref="M6541:N6541"/>
    <mergeCell ref="I6542:J6542"/>
    <mergeCell ref="K6542:L6542"/>
    <mergeCell ref="M6542:N6542"/>
    <mergeCell ref="A6542:G6542"/>
    <mergeCell ref="A6543:G6543"/>
    <mergeCell ref="I6543:J6543"/>
    <mergeCell ref="K6543:L6543"/>
    <mergeCell ref="M6543:N6543"/>
    <mergeCell ref="A6544:G6544"/>
    <mergeCell ref="I6544:J6544"/>
    <mergeCell ref="K6544:L6544"/>
    <mergeCell ref="K6565:L6565"/>
    <mergeCell ref="M6565:N6565"/>
    <mergeCell ref="A6518:G6518"/>
    <mergeCell ref="A6519:G6519"/>
    <mergeCell ref="A6520:G6520"/>
    <mergeCell ref="A6521:G6521"/>
    <mergeCell ref="I6522:J6522"/>
    <mergeCell ref="K6522:L6522"/>
    <mergeCell ref="M6522:N6522"/>
    <mergeCell ref="A6522:G6522"/>
    <mergeCell ref="A6523:G6523"/>
    <mergeCell ref="I6523:J6523"/>
    <mergeCell ref="K6523:L6523"/>
    <mergeCell ref="M6523:N6523"/>
    <mergeCell ref="A6524:G6524"/>
    <mergeCell ref="I6524:J6524"/>
    <mergeCell ref="A6497:G6497"/>
    <mergeCell ref="I6497:J6497"/>
    <mergeCell ref="K6497:L6497"/>
    <mergeCell ref="M6497:N6497"/>
    <mergeCell ref="I6498:J6498"/>
    <mergeCell ref="K6498:L6498"/>
    <mergeCell ref="M6498:N6498"/>
    <mergeCell ref="A6498:G6498"/>
    <mergeCell ref="A6499:G6499"/>
    <mergeCell ref="I6499:J6499"/>
    <mergeCell ref="K6499:L6499"/>
    <mergeCell ref="M6499:N6499"/>
    <mergeCell ref="A6500:G6500"/>
    <mergeCell ref="I6500:J6500"/>
    <mergeCell ref="M6504:N6504"/>
    <mergeCell ref="M6505:N6505"/>
    <mergeCell ref="M6507:N6507"/>
    <mergeCell ref="M6508:N6508"/>
    <mergeCell ref="M6509:N6509"/>
    <mergeCell ref="M6510:N6510"/>
    <mergeCell ref="I6505:J6505"/>
    <mergeCell ref="I6506:J6506"/>
    <mergeCell ref="I6507:J6507"/>
    <mergeCell ref="I6508:J6508"/>
    <mergeCell ref="I6509:J6509"/>
    <mergeCell ref="K6510:L6510"/>
    <mergeCell ref="K6501:L6501"/>
    <mergeCell ref="M6501:N6501"/>
    <mergeCell ref="A6503:N6503"/>
    <mergeCell ref="A6504:G6504"/>
    <mergeCell ref="I6504:J6504"/>
    <mergeCell ref="A6505:G6505"/>
    <mergeCell ref="M6506:N6506"/>
    <mergeCell ref="A6506:G6506"/>
    <mergeCell ref="A6507:G6507"/>
    <mergeCell ref="A6508:G6508"/>
    <mergeCell ref="A6509:G6509"/>
    <mergeCell ref="A6512:N6513"/>
    <mergeCell ref="A6517:N6517"/>
    <mergeCell ref="M6518:N6518"/>
    <mergeCell ref="K6500:L6500"/>
    <mergeCell ref="M6500:N6500"/>
    <mergeCell ref="I6526:J6526"/>
    <mergeCell ref="K6526:L6526"/>
    <mergeCell ref="K6527:L6527"/>
    <mergeCell ref="M6527:N6527"/>
    <mergeCell ref="K6540:L6540"/>
    <mergeCell ref="M6540:N6540"/>
    <mergeCell ref="M6544:N6544"/>
    <mergeCell ref="K6545:L6545"/>
    <mergeCell ref="M6545:N6545"/>
    <mergeCell ref="A6547:N6547"/>
    <mergeCell ref="I6548:J6548"/>
    <mergeCell ref="M6548:N6548"/>
    <mergeCell ref="A6548:G6548"/>
    <mergeCell ref="A6549:G6549"/>
    <mergeCell ref="I6549:J6549"/>
    <mergeCell ref="M6549:N6549"/>
    <mergeCell ref="A6550:G6550"/>
    <mergeCell ref="M6550:N6550"/>
    <mergeCell ref="A6551:G6551"/>
    <mergeCell ref="M6551:N6551"/>
    <mergeCell ref="M6553:N6553"/>
    <mergeCell ref="K6554:L6554"/>
    <mergeCell ref="M6554:N6554"/>
    <mergeCell ref="I6550:J6550"/>
    <mergeCell ref="I6551:J6551"/>
    <mergeCell ref="A6552:G6552"/>
    <mergeCell ref="I6552:J6552"/>
    <mergeCell ref="M6552:N6552"/>
    <mergeCell ref="A6553:G6553"/>
    <mergeCell ref="I6553:J6553"/>
    <mergeCell ref="K6536:L6536"/>
    <mergeCell ref="M6536:N6536"/>
    <mergeCell ref="M6305:N6305"/>
    <mergeCell ref="M6306:N6306"/>
    <mergeCell ref="A6311:G6311"/>
    <mergeCell ref="A6312:G6312"/>
    <mergeCell ref="A6313:G6313"/>
    <mergeCell ref="A6314:G6314"/>
    <mergeCell ref="A6315:G6315"/>
    <mergeCell ref="A6306:G6306"/>
    <mergeCell ref="A6309:N6309"/>
    <mergeCell ref="A6310:G6310"/>
    <mergeCell ref="I6310:J6310"/>
    <mergeCell ref="K6310:L6310"/>
    <mergeCell ref="M6310:N6310"/>
    <mergeCell ref="M6311:N6311"/>
    <mergeCell ref="I6311:J6311"/>
    <mergeCell ref="K6311:L6311"/>
    <mergeCell ref="I6312:J6312"/>
    <mergeCell ref="K6312:L6312"/>
    <mergeCell ref="K6358:L6358"/>
    <mergeCell ref="M6358:N6358"/>
    <mergeCell ref="I6359:J6359"/>
    <mergeCell ref="K6359:L6359"/>
    <mergeCell ref="M6359:N6359"/>
    <mergeCell ref="I6363:J6363"/>
    <mergeCell ref="I6364:J6364"/>
    <mergeCell ref="A6362:N6362"/>
    <mergeCell ref="M6312:N6312"/>
    <mergeCell ref="K6313:L6313"/>
    <mergeCell ref="M6313:N6313"/>
    <mergeCell ref="I6350:J6350"/>
    <mergeCell ref="K6350:L6350"/>
    <mergeCell ref="K6351:L6351"/>
    <mergeCell ref="M6351:N6351"/>
    <mergeCell ref="K6364:L6364"/>
    <mergeCell ref="M6364:N6364"/>
    <mergeCell ref="K6360:L6360"/>
    <mergeCell ref="M6360:N6360"/>
    <mergeCell ref="I6306:J6306"/>
    <mergeCell ref="K6266:L6266"/>
    <mergeCell ref="M6266:N6266"/>
    <mergeCell ref="M6267:N6267"/>
    <mergeCell ref="K6280:L6280"/>
    <mergeCell ref="M6280:N6280"/>
    <mergeCell ref="K6281:L6281"/>
    <mergeCell ref="M6281:N6281"/>
    <mergeCell ref="A6278:G6278"/>
    <mergeCell ref="A6279:G6279"/>
    <mergeCell ref="I6279:J6279"/>
    <mergeCell ref="K6279:L6279"/>
    <mergeCell ref="M6279:N6279"/>
    <mergeCell ref="A6280:G6280"/>
    <mergeCell ref="I6280:J6280"/>
    <mergeCell ref="I6285:J6285"/>
    <mergeCell ref="I6286:J6286"/>
    <mergeCell ref="A6283:N6283"/>
    <mergeCell ref="A6284:G6284"/>
    <mergeCell ref="I6284:J6284"/>
    <mergeCell ref="M6284:N6284"/>
    <mergeCell ref="A6285:G6285"/>
    <mergeCell ref="M6285:N6285"/>
    <mergeCell ref="M6286:N6286"/>
    <mergeCell ref="I6301:J6301"/>
    <mergeCell ref="K6301:L6301"/>
    <mergeCell ref="M6301:N6301"/>
    <mergeCell ref="A6301:G6301"/>
    <mergeCell ref="A6302:G6302"/>
    <mergeCell ref="I6302:J6302"/>
    <mergeCell ref="K6302:L6302"/>
    <mergeCell ref="M6302:N6302"/>
    <mergeCell ref="A6303:G6303"/>
    <mergeCell ref="A6304:G6304"/>
    <mergeCell ref="K6303:L6303"/>
    <mergeCell ref="M6303:N6303"/>
    <mergeCell ref="I6303:J6303"/>
    <mergeCell ref="I6304:J6304"/>
    <mergeCell ref="A6256:G6256"/>
    <mergeCell ref="I6256:J6256"/>
    <mergeCell ref="K6256:L6256"/>
    <mergeCell ref="M6256:N6256"/>
    <mergeCell ref="I6257:J6257"/>
    <mergeCell ref="K6257:L6257"/>
    <mergeCell ref="M6257:N6257"/>
    <mergeCell ref="K6259:L6259"/>
    <mergeCell ref="M6259:N6259"/>
    <mergeCell ref="I6259:J6259"/>
    <mergeCell ref="I6260:J6260"/>
    <mergeCell ref="K6260:L6260"/>
    <mergeCell ref="M6260:N6260"/>
    <mergeCell ref="K6263:L6263"/>
    <mergeCell ref="M6263:N6263"/>
    <mergeCell ref="A6257:G6257"/>
    <mergeCell ref="A6258:G6258"/>
    <mergeCell ref="I6258:J6258"/>
    <mergeCell ref="K6258:L6258"/>
    <mergeCell ref="M6258:N6258"/>
    <mergeCell ref="A6259:G6259"/>
    <mergeCell ref="A6260:G6260"/>
    <mergeCell ref="A6267:G6267"/>
    <mergeCell ref="A6268:G6268"/>
    <mergeCell ref="A6269:G6269"/>
    <mergeCell ref="A6270:G6270"/>
    <mergeCell ref="A6271:G6271"/>
    <mergeCell ref="I6288:J6288"/>
    <mergeCell ref="I6289:J6289"/>
    <mergeCell ref="K6290:L6290"/>
    <mergeCell ref="M6290:N6290"/>
    <mergeCell ref="A6300:G6300"/>
    <mergeCell ref="I6300:J6300"/>
    <mergeCell ref="K6300:L6300"/>
    <mergeCell ref="M6300:N6300"/>
    <mergeCell ref="A6286:G6286"/>
    <mergeCell ref="A6287:G6287"/>
    <mergeCell ref="I6287:J6287"/>
    <mergeCell ref="M6287:N6287"/>
    <mergeCell ref="A6288:G6288"/>
    <mergeCell ref="M6288:N6288"/>
    <mergeCell ref="M6289:N6289"/>
    <mergeCell ref="I6298:J6298"/>
    <mergeCell ref="I6299:J6299"/>
    <mergeCell ref="K6299:L6299"/>
    <mergeCell ref="M6299:N6299"/>
    <mergeCell ref="A6289:G6289"/>
    <mergeCell ref="A6292:N6293"/>
    <mergeCell ref="A6297:N6297"/>
    <mergeCell ref="A6298:G6298"/>
    <mergeCell ref="K6298:L6298"/>
    <mergeCell ref="M6298:N6298"/>
    <mergeCell ref="A6299:G6299"/>
    <mergeCell ref="A6261:G6261"/>
    <mergeCell ref="I6261:J6261"/>
    <mergeCell ref="K6261:L6261"/>
    <mergeCell ref="M6261:N6261"/>
    <mergeCell ref="I6262:J6262"/>
    <mergeCell ref="K6262:L6262"/>
    <mergeCell ref="M6262:N6262"/>
    <mergeCell ref="A6262:G6262"/>
    <mergeCell ref="A6265:N6265"/>
    <mergeCell ref="A6266:G6266"/>
    <mergeCell ref="I6266:J6266"/>
    <mergeCell ref="K6306:L6306"/>
    <mergeCell ref="K6307:L6307"/>
    <mergeCell ref="M6307:N6307"/>
    <mergeCell ref="I6344:J6344"/>
    <mergeCell ref="I6345:J6345"/>
    <mergeCell ref="K6345:L6345"/>
    <mergeCell ref="M6345:N6345"/>
    <mergeCell ref="I6342:J6342"/>
    <mergeCell ref="K6342:L6342"/>
    <mergeCell ref="I6343:J6343"/>
    <mergeCell ref="K6343:L6343"/>
    <mergeCell ref="M6343:N6343"/>
    <mergeCell ref="K6344:L6344"/>
    <mergeCell ref="M6344:N6344"/>
    <mergeCell ref="I6387:J6387"/>
    <mergeCell ref="K6387:L6387"/>
    <mergeCell ref="A6380:N6381"/>
    <mergeCell ref="A6385:N6385"/>
    <mergeCell ref="A6386:G6386"/>
    <mergeCell ref="I6386:J6386"/>
    <mergeCell ref="K6386:L6386"/>
    <mergeCell ref="M6386:N6386"/>
    <mergeCell ref="M6387:N6387"/>
    <mergeCell ref="K6348:L6348"/>
    <mergeCell ref="M6348:N6348"/>
    <mergeCell ref="A6349:G6349"/>
    <mergeCell ref="I6349:J6349"/>
    <mergeCell ref="K6349:L6349"/>
    <mergeCell ref="M6349:N6349"/>
    <mergeCell ref="M6350:N6350"/>
    <mergeCell ref="A6355:G6355"/>
    <mergeCell ref="A6356:G6356"/>
    <mergeCell ref="A6357:G6357"/>
    <mergeCell ref="A6358:G6358"/>
    <mergeCell ref="A6359:G6359"/>
    <mergeCell ref="A6350:G6350"/>
    <mergeCell ref="A6353:N6353"/>
    <mergeCell ref="A6354:G6354"/>
    <mergeCell ref="I6354:J6354"/>
    <mergeCell ref="K6354:L6354"/>
    <mergeCell ref="M6354:N6354"/>
    <mergeCell ref="M6355:N6355"/>
    <mergeCell ref="I6355:J6355"/>
    <mergeCell ref="K6355:L6355"/>
    <mergeCell ref="I6356:J6356"/>
    <mergeCell ref="K6356:L6356"/>
    <mergeCell ref="M6356:N6356"/>
    <mergeCell ref="K6357:L6357"/>
    <mergeCell ref="M6357:N6357"/>
    <mergeCell ref="I6357:J6357"/>
    <mergeCell ref="I6358:J6358"/>
    <mergeCell ref="A6342:G6342"/>
    <mergeCell ref="A6343:G6343"/>
    <mergeCell ref="A6344:G6344"/>
    <mergeCell ref="A6345:G6345"/>
    <mergeCell ref="I6346:J6346"/>
    <mergeCell ref="K6346:L6346"/>
    <mergeCell ref="M6346:N6346"/>
    <mergeCell ref="A6346:G6346"/>
    <mergeCell ref="A6347:G6347"/>
    <mergeCell ref="I6347:J6347"/>
    <mergeCell ref="K6347:L6347"/>
    <mergeCell ref="M6347:N6347"/>
    <mergeCell ref="A6348:G6348"/>
    <mergeCell ref="I6348:J6348"/>
    <mergeCell ref="A6321:G6321"/>
    <mergeCell ref="I6321:J6321"/>
    <mergeCell ref="K6321:L6321"/>
    <mergeCell ref="M6321:N6321"/>
    <mergeCell ref="I6322:J6322"/>
    <mergeCell ref="K6322:L6322"/>
    <mergeCell ref="M6322:N6322"/>
    <mergeCell ref="A6322:G6322"/>
    <mergeCell ref="A6323:G6323"/>
    <mergeCell ref="I6323:J6323"/>
    <mergeCell ref="K6323:L6323"/>
    <mergeCell ref="M6323:N6323"/>
    <mergeCell ref="A6324:G6324"/>
    <mergeCell ref="I6324:J6324"/>
    <mergeCell ref="M6328:N6328"/>
    <mergeCell ref="M6329:N6329"/>
    <mergeCell ref="M6331:N6331"/>
    <mergeCell ref="M6332:N6332"/>
    <mergeCell ref="M6333:N6333"/>
    <mergeCell ref="M6334:N6334"/>
    <mergeCell ref="I6329:J6329"/>
    <mergeCell ref="I6330:J6330"/>
    <mergeCell ref="I6331:J6331"/>
    <mergeCell ref="I6332:J6332"/>
    <mergeCell ref="I6333:J6333"/>
    <mergeCell ref="K6334:L6334"/>
    <mergeCell ref="K6325:L6325"/>
    <mergeCell ref="M6325:N6325"/>
    <mergeCell ref="A6327:N6327"/>
    <mergeCell ref="A6328:G6328"/>
    <mergeCell ref="I6328:J6328"/>
    <mergeCell ref="A6329:G6329"/>
    <mergeCell ref="M6330:N6330"/>
    <mergeCell ref="A6330:G6330"/>
    <mergeCell ref="A6331:G6331"/>
    <mergeCell ref="A6332:G6332"/>
    <mergeCell ref="A6333:G6333"/>
    <mergeCell ref="A6336:N6337"/>
    <mergeCell ref="A6341:N6341"/>
    <mergeCell ref="M6342:N6342"/>
    <mergeCell ref="A6363:G6363"/>
    <mergeCell ref="K6363:L6363"/>
    <mergeCell ref="M6363:N6363"/>
    <mergeCell ref="A6364:G6364"/>
    <mergeCell ref="A6365:G6365"/>
    <mergeCell ref="I6365:J6365"/>
    <mergeCell ref="K6365:L6365"/>
    <mergeCell ref="M6365:N6365"/>
    <mergeCell ref="I6366:J6366"/>
    <mergeCell ref="K6366:L6366"/>
    <mergeCell ref="M6366:N6366"/>
    <mergeCell ref="A6366:G6366"/>
    <mergeCell ref="A6367:G6367"/>
    <mergeCell ref="I6367:J6367"/>
    <mergeCell ref="K6367:L6367"/>
    <mergeCell ref="M6367:N6367"/>
    <mergeCell ref="A6368:G6368"/>
    <mergeCell ref="I6368:J6368"/>
    <mergeCell ref="K6368:L6368"/>
    <mergeCell ref="M6368:N6368"/>
    <mergeCell ref="K6369:L6369"/>
    <mergeCell ref="M6369:N6369"/>
    <mergeCell ref="A6371:N6371"/>
    <mergeCell ref="I6372:J6372"/>
    <mergeCell ref="M6372:N6372"/>
    <mergeCell ref="A6372:G6372"/>
    <mergeCell ref="A6373:G6373"/>
    <mergeCell ref="I6373:J6373"/>
    <mergeCell ref="M6373:N6373"/>
    <mergeCell ref="A6374:G6374"/>
    <mergeCell ref="M6374:N6374"/>
    <mergeCell ref="A6375:G6375"/>
    <mergeCell ref="M6375:N6375"/>
    <mergeCell ref="M6377:N6377"/>
    <mergeCell ref="K6378:L6378"/>
    <mergeCell ref="M6378:N6378"/>
    <mergeCell ref="I6374:J6374"/>
    <mergeCell ref="I6375:J6375"/>
    <mergeCell ref="A6376:G6376"/>
    <mergeCell ref="I6376:J6376"/>
    <mergeCell ref="M6376:N6376"/>
    <mergeCell ref="A6377:G6377"/>
    <mergeCell ref="I6377:J6377"/>
    <mergeCell ref="I6389:J6389"/>
    <mergeCell ref="I6390:J6390"/>
    <mergeCell ref="K6390:L6390"/>
    <mergeCell ref="M6390:N6390"/>
    <mergeCell ref="A6387:G6387"/>
    <mergeCell ref="A6388:G6388"/>
    <mergeCell ref="I6388:J6388"/>
    <mergeCell ref="K6388:L6388"/>
    <mergeCell ref="M6388:N6388"/>
    <mergeCell ref="A6389:G6389"/>
    <mergeCell ref="A6390:G6390"/>
    <mergeCell ref="A6391:G6391"/>
    <mergeCell ref="I6391:J6391"/>
    <mergeCell ref="K6391:L6391"/>
    <mergeCell ref="M6391:N6391"/>
    <mergeCell ref="I6392:J6392"/>
    <mergeCell ref="K6392:L6392"/>
    <mergeCell ref="M6392:N6392"/>
    <mergeCell ref="K6394:L6394"/>
    <mergeCell ref="M6394:N6394"/>
    <mergeCell ref="K6395:L6395"/>
    <mergeCell ref="M6395:N6395"/>
    <mergeCell ref="A6392:G6392"/>
    <mergeCell ref="A6393:G6393"/>
    <mergeCell ref="I6393:J6393"/>
    <mergeCell ref="K6393:L6393"/>
    <mergeCell ref="M6393:N6393"/>
    <mergeCell ref="A6394:G6394"/>
    <mergeCell ref="I6394:J6394"/>
    <mergeCell ref="K6389:L6389"/>
    <mergeCell ref="M6389:N6389"/>
    <mergeCell ref="A6421:G6421"/>
    <mergeCell ref="A6415:N6415"/>
    <mergeCell ref="A6416:G6416"/>
    <mergeCell ref="I6416:J6416"/>
    <mergeCell ref="M6416:N6416"/>
    <mergeCell ref="A6417:G6417"/>
    <mergeCell ref="M6417:N6417"/>
    <mergeCell ref="M6418:N6418"/>
    <mergeCell ref="I6417:J6417"/>
    <mergeCell ref="I6418:J6418"/>
    <mergeCell ref="I6419:J6419"/>
    <mergeCell ref="M6419:N6419"/>
    <mergeCell ref="I6420:J6420"/>
    <mergeCell ref="M6420:N6420"/>
    <mergeCell ref="I6421:J6421"/>
    <mergeCell ref="K6430:L6430"/>
    <mergeCell ref="M6430:N6430"/>
    <mergeCell ref="I6430:J6430"/>
    <mergeCell ref="I6431:J6431"/>
    <mergeCell ref="K6431:L6431"/>
    <mergeCell ref="M6431:N6431"/>
    <mergeCell ref="M6421:N6421"/>
    <mergeCell ref="A6397:N6397"/>
    <mergeCell ref="A6398:G6398"/>
    <mergeCell ref="I6398:J6398"/>
    <mergeCell ref="K6398:L6398"/>
    <mergeCell ref="M6398:N6398"/>
    <mergeCell ref="A6399:G6399"/>
    <mergeCell ref="A6400:G6400"/>
    <mergeCell ref="A6401:G6401"/>
    <mergeCell ref="I6401:J6401"/>
    <mergeCell ref="K6401:L6401"/>
    <mergeCell ref="M6401:N6401"/>
    <mergeCell ref="I6402:J6402"/>
    <mergeCell ref="K6402:L6402"/>
    <mergeCell ref="M6402:N6402"/>
    <mergeCell ref="A6402:G6402"/>
    <mergeCell ref="A6403:G6403"/>
    <mergeCell ref="I6403:J6403"/>
    <mergeCell ref="K6403:L6403"/>
    <mergeCell ref="M6403:N6403"/>
    <mergeCell ref="K6404:L6404"/>
    <mergeCell ref="M6404:N6404"/>
    <mergeCell ref="K6408:L6408"/>
    <mergeCell ref="M6408:N6408"/>
    <mergeCell ref="A6411:G6411"/>
    <mergeCell ref="K6399:L6399"/>
    <mergeCell ref="M6399:N6399"/>
    <mergeCell ref="K6409:L6409"/>
    <mergeCell ref="M6409:N6409"/>
    <mergeCell ref="A6406:N6406"/>
    <mergeCell ref="A6407:G6407"/>
    <mergeCell ref="I6407:J6407"/>
    <mergeCell ref="K6407:L6407"/>
    <mergeCell ref="M6407:N6407"/>
    <mergeCell ref="A6408:G6408"/>
    <mergeCell ref="A6409:G6409"/>
    <mergeCell ref="I6411:J6411"/>
    <mergeCell ref="K6411:L6411"/>
    <mergeCell ref="I6408:J6408"/>
    <mergeCell ref="I6409:J6409"/>
    <mergeCell ref="A6410:G6410"/>
    <mergeCell ref="I6410:J6410"/>
    <mergeCell ref="K6410:L6410"/>
    <mergeCell ref="M6410:N6410"/>
    <mergeCell ref="M6411:N6411"/>
    <mergeCell ref="I6399:J6399"/>
    <mergeCell ref="I6400:J6400"/>
    <mergeCell ref="K6400:L6400"/>
    <mergeCell ref="M6400:N6400"/>
    <mergeCell ref="A6412:G6412"/>
    <mergeCell ref="I6412:J6412"/>
    <mergeCell ref="K6412:L6412"/>
    <mergeCell ref="M6412:N6412"/>
    <mergeCell ref="K6413:L6413"/>
    <mergeCell ref="M6413:N6413"/>
    <mergeCell ref="A6418:G6418"/>
    <mergeCell ref="A6419:G6419"/>
    <mergeCell ref="A6420:G6420"/>
    <mergeCell ref="K6422:L6422"/>
    <mergeCell ref="M6422:N6422"/>
    <mergeCell ref="A6424:N6425"/>
    <mergeCell ref="A6429:N6429"/>
    <mergeCell ref="A6430:G6430"/>
    <mergeCell ref="A6431:G6431"/>
    <mergeCell ref="I6452:J6452"/>
    <mergeCell ref="A6453:G6453"/>
    <mergeCell ref="I6453:J6453"/>
    <mergeCell ref="K6453:L6453"/>
    <mergeCell ref="M6453:N6453"/>
    <mergeCell ref="M6454:N6454"/>
    <mergeCell ref="K6496:L6496"/>
    <mergeCell ref="M6496:N6496"/>
    <mergeCell ref="K6492:L6492"/>
    <mergeCell ref="M6492:N6492"/>
    <mergeCell ref="A6494:N6494"/>
    <mergeCell ref="A6495:G6495"/>
    <mergeCell ref="K6495:L6495"/>
    <mergeCell ref="M6495:N6495"/>
    <mergeCell ref="A6496:G6496"/>
    <mergeCell ref="K6480:L6480"/>
    <mergeCell ref="M6480:N6480"/>
    <mergeCell ref="A6481:G6481"/>
    <mergeCell ref="I6481:J6481"/>
    <mergeCell ref="K6481:L6481"/>
    <mergeCell ref="M6481:N6481"/>
    <mergeCell ref="M6482:N6482"/>
    <mergeCell ref="A6487:G6487"/>
    <mergeCell ref="A6488:G6488"/>
    <mergeCell ref="A6489:G6489"/>
    <mergeCell ref="A6490:G6490"/>
    <mergeCell ref="A6491:G6491"/>
    <mergeCell ref="A6482:G6482"/>
    <mergeCell ref="A6485:N6485"/>
    <mergeCell ref="A6486:G6486"/>
    <mergeCell ref="I6486:J6486"/>
    <mergeCell ref="K6486:L6486"/>
    <mergeCell ref="M6486:N6486"/>
    <mergeCell ref="M6487:N6487"/>
    <mergeCell ref="I6487:J6487"/>
    <mergeCell ref="K6487:L6487"/>
    <mergeCell ref="I6488:J6488"/>
    <mergeCell ref="K6488:L6488"/>
    <mergeCell ref="K6490:L6490"/>
    <mergeCell ref="M6490:N6490"/>
    <mergeCell ref="I6491:J6491"/>
    <mergeCell ref="K6491:L6491"/>
    <mergeCell ref="M6491:N6491"/>
    <mergeCell ref="I6495:J6495"/>
    <mergeCell ref="I6496:J6496"/>
    <mergeCell ref="A6475:G6475"/>
    <mergeCell ref="I6477:J6477"/>
    <mergeCell ref="K6477:L6477"/>
    <mergeCell ref="M6477:N6477"/>
    <mergeCell ref="A6477:G6477"/>
    <mergeCell ref="A6478:G6478"/>
    <mergeCell ref="I6478:J6478"/>
    <mergeCell ref="K6478:L6478"/>
    <mergeCell ref="M6478:N6478"/>
    <mergeCell ref="A6479:G6479"/>
    <mergeCell ref="I6461:J6461"/>
    <mergeCell ref="I6462:J6462"/>
    <mergeCell ref="A6459:N6459"/>
    <mergeCell ref="A6460:G6460"/>
    <mergeCell ref="I6460:J6460"/>
    <mergeCell ref="M6460:N6460"/>
    <mergeCell ref="A6461:G6461"/>
    <mergeCell ref="M6461:N6461"/>
    <mergeCell ref="M6462:N6462"/>
    <mergeCell ref="I6443:J6443"/>
    <mergeCell ref="K6443:L6443"/>
    <mergeCell ref="I6444:J6444"/>
    <mergeCell ref="K6444:L6444"/>
    <mergeCell ref="M6444:N6444"/>
    <mergeCell ref="A6432:G6432"/>
    <mergeCell ref="I6432:J6432"/>
    <mergeCell ref="K6432:L6432"/>
    <mergeCell ref="M6432:N6432"/>
    <mergeCell ref="I6433:J6433"/>
    <mergeCell ref="K6433:L6433"/>
    <mergeCell ref="M6433:N6433"/>
    <mergeCell ref="K6435:L6435"/>
    <mergeCell ref="M6435:N6435"/>
    <mergeCell ref="I6435:J6435"/>
    <mergeCell ref="I6436:J6436"/>
    <mergeCell ref="K6436:L6436"/>
    <mergeCell ref="M6436:N6436"/>
    <mergeCell ref="K6439:L6439"/>
    <mergeCell ref="M6439:N6439"/>
    <mergeCell ref="A6433:G6433"/>
    <mergeCell ref="A6434:G6434"/>
    <mergeCell ref="I6434:J6434"/>
    <mergeCell ref="K6434:L6434"/>
    <mergeCell ref="M6434:N6434"/>
    <mergeCell ref="A6435:G6435"/>
    <mergeCell ref="A6436:G6436"/>
    <mergeCell ref="A6443:G6443"/>
    <mergeCell ref="A6444:G6444"/>
    <mergeCell ref="A6445:G6445"/>
    <mergeCell ref="A6446:G6446"/>
    <mergeCell ref="A6447:G6447"/>
    <mergeCell ref="K6448:L6448"/>
    <mergeCell ref="M6448:N6448"/>
    <mergeCell ref="A6450:N6450"/>
    <mergeCell ref="A6451:G6451"/>
    <mergeCell ref="K6451:L6451"/>
    <mergeCell ref="M6451:N6451"/>
    <mergeCell ref="A6452:G6452"/>
    <mergeCell ref="I6454:J6454"/>
    <mergeCell ref="K6454:L6454"/>
    <mergeCell ref="A6437:G6437"/>
    <mergeCell ref="I6437:J6437"/>
    <mergeCell ref="K6437:L6437"/>
    <mergeCell ref="M6437:N6437"/>
    <mergeCell ref="I6438:J6438"/>
    <mergeCell ref="K6438:L6438"/>
    <mergeCell ref="M6438:N6438"/>
    <mergeCell ref="A6438:G6438"/>
    <mergeCell ref="A6441:N6441"/>
    <mergeCell ref="A6442:G6442"/>
    <mergeCell ref="I6442:J6442"/>
    <mergeCell ref="K6442:L6442"/>
    <mergeCell ref="M6442:N6442"/>
    <mergeCell ref="M6443:N6443"/>
    <mergeCell ref="K6456:L6456"/>
    <mergeCell ref="M6456:N6456"/>
    <mergeCell ref="K6457:L6457"/>
    <mergeCell ref="M6457:N6457"/>
    <mergeCell ref="A6454:G6454"/>
    <mergeCell ref="A6455:G6455"/>
    <mergeCell ref="I6455:J6455"/>
    <mergeCell ref="K6455:L6455"/>
    <mergeCell ref="M6455:N6455"/>
    <mergeCell ref="A6456:G6456"/>
    <mergeCell ref="I6456:J6456"/>
    <mergeCell ref="K6445:L6445"/>
    <mergeCell ref="M6445:N6445"/>
    <mergeCell ref="I6445:J6445"/>
    <mergeCell ref="I6446:J6446"/>
    <mergeCell ref="K6446:L6446"/>
    <mergeCell ref="M6446:N6446"/>
    <mergeCell ref="I6447:J6447"/>
    <mergeCell ref="K6447:L6447"/>
    <mergeCell ref="M6447:N6447"/>
    <mergeCell ref="K6452:L6452"/>
    <mergeCell ref="M6452:N6452"/>
    <mergeCell ref="I6519:J6519"/>
    <mergeCell ref="K6519:L6519"/>
    <mergeCell ref="M6519:N6519"/>
    <mergeCell ref="K6520:L6520"/>
    <mergeCell ref="M6520:N6520"/>
    <mergeCell ref="K6585:L6585"/>
    <mergeCell ref="M6585:N6585"/>
    <mergeCell ref="A6582:N6582"/>
    <mergeCell ref="A6583:G6583"/>
    <mergeCell ref="I6583:J6583"/>
    <mergeCell ref="K6583:L6583"/>
    <mergeCell ref="M6583:N6583"/>
    <mergeCell ref="A6584:G6584"/>
    <mergeCell ref="A6585:G6585"/>
    <mergeCell ref="M6488:N6488"/>
    <mergeCell ref="K6489:L6489"/>
    <mergeCell ref="M6489:N6489"/>
    <mergeCell ref="I6489:J6489"/>
    <mergeCell ref="I6490:J6490"/>
    <mergeCell ref="A6480:G6480"/>
    <mergeCell ref="K6479:L6479"/>
    <mergeCell ref="M6479:N6479"/>
    <mergeCell ref="I6479:J6479"/>
    <mergeCell ref="I6480:J6480"/>
    <mergeCell ref="I6482:J6482"/>
    <mergeCell ref="K6482:L6482"/>
    <mergeCell ref="I6464:J6464"/>
    <mergeCell ref="A6462:G6462"/>
    <mergeCell ref="A6463:G6463"/>
    <mergeCell ref="I6463:J6463"/>
    <mergeCell ref="M6463:N6463"/>
    <mergeCell ref="A6464:G6464"/>
    <mergeCell ref="M6464:N6464"/>
    <mergeCell ref="A6567:G6567"/>
    <mergeCell ref="I6567:J6567"/>
    <mergeCell ref="K6567:L6567"/>
    <mergeCell ref="M6567:N6567"/>
    <mergeCell ref="I6568:J6568"/>
    <mergeCell ref="K6568:L6568"/>
    <mergeCell ref="M6568:N6568"/>
    <mergeCell ref="K6570:L6570"/>
    <mergeCell ref="M6570:N6570"/>
    <mergeCell ref="K6571:L6571"/>
    <mergeCell ref="M6571:N6571"/>
    <mergeCell ref="A6568:G6568"/>
    <mergeCell ref="A6569:G6569"/>
    <mergeCell ref="I6569:J6569"/>
    <mergeCell ref="K6569:L6569"/>
    <mergeCell ref="M6569:N6569"/>
    <mergeCell ref="A6570:G6570"/>
    <mergeCell ref="I6570:J6570"/>
    <mergeCell ref="K6575:L6575"/>
    <mergeCell ref="M6575:N6575"/>
    <mergeCell ref="I6565:J6565"/>
    <mergeCell ref="I6566:J6566"/>
    <mergeCell ref="K6566:L6566"/>
    <mergeCell ref="M6566:N6566"/>
    <mergeCell ref="A6563:G6563"/>
    <mergeCell ref="A6564:G6564"/>
    <mergeCell ref="I6564:J6564"/>
    <mergeCell ref="K6564:L6564"/>
    <mergeCell ref="M6564:N6564"/>
    <mergeCell ref="A6565:G6565"/>
    <mergeCell ref="A6566:G6566"/>
    <mergeCell ref="I6465:J6465"/>
    <mergeCell ref="K6466:L6466"/>
    <mergeCell ref="M6466:N6466"/>
    <mergeCell ref="A6476:G6476"/>
    <mergeCell ref="I6476:J6476"/>
    <mergeCell ref="K6476:L6476"/>
    <mergeCell ref="M6476:N6476"/>
    <mergeCell ref="M6465:N6465"/>
    <mergeCell ref="I6474:J6474"/>
    <mergeCell ref="I6475:J6475"/>
    <mergeCell ref="K6475:L6475"/>
    <mergeCell ref="M6475:N6475"/>
    <mergeCell ref="A6465:G6465"/>
    <mergeCell ref="A6468:N6469"/>
    <mergeCell ref="A6473:N6473"/>
    <mergeCell ref="A6474:G6474"/>
    <mergeCell ref="K6474:L6474"/>
    <mergeCell ref="M6474:N6474"/>
    <mergeCell ref="I6451:J6451"/>
    <mergeCell ref="I6587:J6587"/>
    <mergeCell ref="K6587:L6587"/>
    <mergeCell ref="I6584:J6584"/>
    <mergeCell ref="I6585:J6585"/>
    <mergeCell ref="A6586:G6586"/>
    <mergeCell ref="I6586:J6586"/>
    <mergeCell ref="K6586:L6586"/>
    <mergeCell ref="M6586:N6586"/>
    <mergeCell ref="M6587:N6587"/>
    <mergeCell ref="I6575:J6575"/>
    <mergeCell ref="I6576:J6576"/>
    <mergeCell ref="K6576:L6576"/>
    <mergeCell ref="M6576:N6576"/>
    <mergeCell ref="A6573:N6573"/>
    <mergeCell ref="A6574:G6574"/>
    <mergeCell ref="I6574:J6574"/>
    <mergeCell ref="K6574:L6574"/>
    <mergeCell ref="M6574:N6574"/>
    <mergeCell ref="A6575:G6575"/>
    <mergeCell ref="A6576:G6576"/>
    <mergeCell ref="A6577:G6577"/>
    <mergeCell ref="I6577:J6577"/>
    <mergeCell ref="K6577:L6577"/>
    <mergeCell ref="M6577:N6577"/>
    <mergeCell ref="I6578:J6578"/>
    <mergeCell ref="K6578:L6578"/>
    <mergeCell ref="M6578:N6578"/>
    <mergeCell ref="A6578:G6578"/>
    <mergeCell ref="A6579:G6579"/>
    <mergeCell ref="I6579:J6579"/>
    <mergeCell ref="K6579:L6579"/>
    <mergeCell ref="M6579:N6579"/>
    <mergeCell ref="K6580:L6580"/>
    <mergeCell ref="M6580:N6580"/>
    <mergeCell ref="K6584:L6584"/>
    <mergeCell ref="M6584:N6584"/>
    <mergeCell ref="A6587:G6587"/>
    <mergeCell ref="K6483:L6483"/>
    <mergeCell ref="M6483:N6483"/>
    <mergeCell ref="I6520:J6520"/>
    <mergeCell ref="I6521:J6521"/>
    <mergeCell ref="K6521:L6521"/>
    <mergeCell ref="M6521:N6521"/>
    <mergeCell ref="I6518:J6518"/>
    <mergeCell ref="K6518:L6518"/>
    <mergeCell ref="A6588:G6588"/>
    <mergeCell ref="I6588:J6588"/>
    <mergeCell ref="K6588:L6588"/>
    <mergeCell ref="M6588:N6588"/>
    <mergeCell ref="K6589:L6589"/>
    <mergeCell ref="M6589:N6589"/>
    <mergeCell ref="A6594:G6594"/>
    <mergeCell ref="A6595:G6595"/>
    <mergeCell ref="A6596:G6596"/>
    <mergeCell ref="A6597:G6597"/>
    <mergeCell ref="A6591:N6591"/>
    <mergeCell ref="A6592:G6592"/>
    <mergeCell ref="I6592:J6592"/>
    <mergeCell ref="M6592:N6592"/>
    <mergeCell ref="A6593:G6593"/>
    <mergeCell ref="M6593:N6593"/>
    <mergeCell ref="M6594:N6594"/>
    <mergeCell ref="I6593:J6593"/>
    <mergeCell ref="I6594:J6594"/>
    <mergeCell ref="I6595:J6595"/>
    <mergeCell ref="M6595:N6595"/>
    <mergeCell ref="I6596:J6596"/>
    <mergeCell ref="M6596:N6596"/>
    <mergeCell ref="I6597:J6597"/>
    <mergeCell ref="K6606:L6606"/>
    <mergeCell ref="M6606:N6606"/>
    <mergeCell ref="I6606:J6606"/>
    <mergeCell ref="I6607:J6607"/>
    <mergeCell ref="K6607:L6607"/>
    <mergeCell ref="M6607:N6607"/>
    <mergeCell ref="M6597:N6597"/>
    <mergeCell ref="K6598:L6598"/>
    <mergeCell ref="M6598:N6598"/>
    <mergeCell ref="A6600:N6601"/>
    <mergeCell ref="A6605:N6605"/>
    <mergeCell ref="A6606:G6606"/>
    <mergeCell ref="A6607:G6607"/>
    <mergeCell ref="I6619:J6619"/>
    <mergeCell ref="K6619:L6619"/>
    <mergeCell ref="I6620:J6620"/>
    <mergeCell ref="K6620:L6620"/>
    <mergeCell ref="M6620:N6620"/>
    <mergeCell ref="K6621:L6621"/>
    <mergeCell ref="M6621:N6621"/>
    <mergeCell ref="I6621:J6621"/>
    <mergeCell ref="I6622:J6622"/>
    <mergeCell ref="K6622:L6622"/>
    <mergeCell ref="M6622:N6622"/>
    <mergeCell ref="I6623:J6623"/>
    <mergeCell ref="K6623:L6623"/>
    <mergeCell ref="M6623:N6623"/>
    <mergeCell ref="K6628:L6628"/>
    <mergeCell ref="M6628:N6628"/>
    <mergeCell ref="K6624:L6624"/>
    <mergeCell ref="M6624:N6624"/>
    <mergeCell ref="A6626:N6626"/>
    <mergeCell ref="A6627:G6627"/>
    <mergeCell ref="K6627:L6627"/>
    <mergeCell ref="M6627:N6627"/>
    <mergeCell ref="A6628:G6628"/>
    <mergeCell ref="I6630:J6630"/>
    <mergeCell ref="K6630:L6630"/>
    <mergeCell ref="I6627:J6627"/>
    <mergeCell ref="I6628:J6628"/>
    <mergeCell ref="A6629:G6629"/>
    <mergeCell ref="I6629:J6629"/>
    <mergeCell ref="K6629:L6629"/>
    <mergeCell ref="M6629:N6629"/>
    <mergeCell ref="M6630:N6630"/>
    <mergeCell ref="A6862:N6862"/>
    <mergeCell ref="M6656:N6656"/>
    <mergeCell ref="A6657:G6657"/>
    <mergeCell ref="I6657:J6657"/>
    <mergeCell ref="K6657:L6657"/>
    <mergeCell ref="M6657:N6657"/>
    <mergeCell ref="M6658:N6658"/>
    <mergeCell ref="A6677:G6677"/>
    <mergeCell ref="I6677:J6677"/>
    <mergeCell ref="K6677:L6677"/>
    <mergeCell ref="M6677:N6677"/>
    <mergeCell ref="I6678:J6678"/>
    <mergeCell ref="K6678:L6678"/>
    <mergeCell ref="M6678:N6678"/>
    <mergeCell ref="A6678:G6678"/>
    <mergeCell ref="A6679:G6679"/>
    <mergeCell ref="I6679:J6679"/>
    <mergeCell ref="K6679:L6679"/>
    <mergeCell ref="M6679:N6679"/>
    <mergeCell ref="K6680:L6680"/>
    <mergeCell ref="M6680:N6680"/>
    <mergeCell ref="I6684:J6684"/>
    <mergeCell ref="I6685:J6685"/>
    <mergeCell ref="A6682:N6682"/>
    <mergeCell ref="A6683:G6683"/>
    <mergeCell ref="I6683:J6683"/>
    <mergeCell ref="M6683:N6683"/>
    <mergeCell ref="A6684:G6684"/>
    <mergeCell ref="M6684:N6684"/>
    <mergeCell ref="M6685:N6685"/>
    <mergeCell ref="A6668:G6668"/>
    <mergeCell ref="I6668:J6668"/>
    <mergeCell ref="A6871:N6872"/>
    <mergeCell ref="A6876:N6876"/>
    <mergeCell ref="M6877:N6877"/>
    <mergeCell ref="I6891:J6891"/>
    <mergeCell ref="K6891:L6891"/>
    <mergeCell ref="M6887:N6887"/>
    <mergeCell ref="A6889:N6889"/>
    <mergeCell ref="A6890:G6890"/>
    <mergeCell ref="I6890:J6890"/>
    <mergeCell ref="K6890:L6890"/>
    <mergeCell ref="M6890:N6890"/>
    <mergeCell ref="M6891:N6891"/>
    <mergeCell ref="I6855:J6855"/>
    <mergeCell ref="I6856:J6856"/>
    <mergeCell ref="K6856:L6856"/>
    <mergeCell ref="M6856:N6856"/>
    <mergeCell ref="A6853:N6853"/>
    <mergeCell ref="A6854:G6854"/>
    <mergeCell ref="I6854:J6854"/>
    <mergeCell ref="K6854:L6854"/>
    <mergeCell ref="M6854:N6854"/>
    <mergeCell ref="A6855:G6855"/>
    <mergeCell ref="A6856:G6856"/>
    <mergeCell ref="A6857:G6857"/>
    <mergeCell ref="I6857:J6857"/>
    <mergeCell ref="K6857:L6857"/>
    <mergeCell ref="M6857:N6857"/>
    <mergeCell ref="I6858:J6858"/>
    <mergeCell ref="K6858:L6858"/>
    <mergeCell ref="M6858:N6858"/>
    <mergeCell ref="A6858:G6858"/>
    <mergeCell ref="A6859:G6859"/>
    <mergeCell ref="I6859:J6859"/>
    <mergeCell ref="K6859:L6859"/>
    <mergeCell ref="M6859:N6859"/>
    <mergeCell ref="K6860:L6860"/>
    <mergeCell ref="M6860:N6860"/>
    <mergeCell ref="K6884:L6884"/>
    <mergeCell ref="M6884:N6884"/>
    <mergeCell ref="I6877:J6877"/>
    <mergeCell ref="K6877:L6877"/>
    <mergeCell ref="I6878:J6878"/>
    <mergeCell ref="K6878:L6878"/>
    <mergeCell ref="M6878:N6878"/>
    <mergeCell ref="K6879:L6879"/>
    <mergeCell ref="M6879:N6879"/>
    <mergeCell ref="I6879:J6879"/>
    <mergeCell ref="I6880:J6880"/>
    <mergeCell ref="K6880:L6880"/>
    <mergeCell ref="M6880:N6880"/>
    <mergeCell ref="I6881:J6881"/>
    <mergeCell ref="K6881:L6881"/>
    <mergeCell ref="M6881:N6881"/>
    <mergeCell ref="A6884:G6884"/>
    <mergeCell ref="A6885:G6885"/>
    <mergeCell ref="A6886:G6886"/>
    <mergeCell ref="A6877:G6877"/>
    <mergeCell ref="A6878:G6878"/>
    <mergeCell ref="A6879:G6879"/>
    <mergeCell ref="A6880:G6880"/>
    <mergeCell ref="A6881:G6881"/>
    <mergeCell ref="A6882:G6882"/>
    <mergeCell ref="A6883:G6883"/>
    <mergeCell ref="I6882:J6882"/>
    <mergeCell ref="K6893:L6893"/>
    <mergeCell ref="M6893:N6893"/>
    <mergeCell ref="I6893:J6893"/>
    <mergeCell ref="I6894:J6894"/>
    <mergeCell ref="K6894:L6894"/>
    <mergeCell ref="M6894:N6894"/>
    <mergeCell ref="K6896:L6896"/>
    <mergeCell ref="M6896:N6896"/>
    <mergeCell ref="A6891:G6891"/>
    <mergeCell ref="A6892:G6892"/>
    <mergeCell ref="I6892:J6892"/>
    <mergeCell ref="K6892:L6892"/>
    <mergeCell ref="M6892:N6892"/>
    <mergeCell ref="A6893:G6893"/>
    <mergeCell ref="A6894:G6894"/>
    <mergeCell ref="K6899:L6899"/>
    <mergeCell ref="M6899:N6899"/>
    <mergeCell ref="I6899:J6899"/>
    <mergeCell ref="I6900:J6900"/>
    <mergeCell ref="K6900:L6900"/>
    <mergeCell ref="M6900:N6900"/>
    <mergeCell ref="A6895:G6895"/>
    <mergeCell ref="I6895:J6895"/>
    <mergeCell ref="K6895:L6895"/>
    <mergeCell ref="M6895:N6895"/>
    <mergeCell ref="A6898:N6898"/>
    <mergeCell ref="A6899:G6899"/>
    <mergeCell ref="A6900:G6900"/>
    <mergeCell ref="A6924:G6924"/>
    <mergeCell ref="I6924:J6924"/>
    <mergeCell ref="K6924:L6924"/>
    <mergeCell ref="M6924:N6924"/>
    <mergeCell ref="I6925:J6925"/>
    <mergeCell ref="K6925:L6925"/>
    <mergeCell ref="M6925:N6925"/>
    <mergeCell ref="A6925:G6925"/>
    <mergeCell ref="M6912:N6912"/>
    <mergeCell ref="I6913:J6913"/>
    <mergeCell ref="K6922:L6922"/>
    <mergeCell ref="M6922:N6922"/>
    <mergeCell ref="M6934:N6934"/>
    <mergeCell ref="A6935:G6935"/>
    <mergeCell ref="M6935:N6935"/>
    <mergeCell ref="I6937:J6937"/>
    <mergeCell ref="K6937:L6937"/>
    <mergeCell ref="I6935:J6935"/>
    <mergeCell ref="K6935:L6935"/>
    <mergeCell ref="A6936:G6936"/>
    <mergeCell ref="I6936:J6936"/>
    <mergeCell ref="K6936:L6936"/>
    <mergeCell ref="M6936:N6936"/>
    <mergeCell ref="M6937:N6937"/>
    <mergeCell ref="A6901:G6901"/>
    <mergeCell ref="I6901:J6901"/>
    <mergeCell ref="K6901:L6901"/>
    <mergeCell ref="M6901:N6901"/>
    <mergeCell ref="I6902:J6902"/>
    <mergeCell ref="K6902:L6902"/>
    <mergeCell ref="M6902:N6902"/>
    <mergeCell ref="K6904:L6904"/>
    <mergeCell ref="M6904:N6904"/>
    <mergeCell ref="K6905:L6905"/>
    <mergeCell ref="M6905:N6905"/>
    <mergeCell ref="A6902:G6902"/>
    <mergeCell ref="A6903:G6903"/>
    <mergeCell ref="I6903:J6903"/>
    <mergeCell ref="K6903:L6903"/>
    <mergeCell ref="M6903:N6903"/>
    <mergeCell ref="A6904:G6904"/>
    <mergeCell ref="I6904:J6904"/>
    <mergeCell ref="A6910:G6910"/>
    <mergeCell ref="A6911:G6911"/>
    <mergeCell ref="A6912:G6912"/>
    <mergeCell ref="A6913:G6913"/>
    <mergeCell ref="A6907:N6907"/>
    <mergeCell ref="A6908:G6908"/>
    <mergeCell ref="I6908:J6908"/>
    <mergeCell ref="M6908:N6908"/>
    <mergeCell ref="A6909:G6909"/>
    <mergeCell ref="M6909:N6909"/>
    <mergeCell ref="M6910:N6910"/>
    <mergeCell ref="I6909:J6909"/>
    <mergeCell ref="I6910:J6910"/>
    <mergeCell ref="I6911:J6911"/>
    <mergeCell ref="M6911:N6911"/>
    <mergeCell ref="I6912:J6912"/>
    <mergeCell ref="A6655:G6655"/>
    <mergeCell ref="A6656:G6656"/>
    <mergeCell ref="I6658:J6658"/>
    <mergeCell ref="K6658:L6658"/>
    <mergeCell ref="K6656:L6656"/>
    <mergeCell ref="K6958:L6958"/>
    <mergeCell ref="M6958:N6958"/>
    <mergeCell ref="I6953:J6953"/>
    <mergeCell ref="I6954:J6954"/>
    <mergeCell ref="I6955:J6955"/>
    <mergeCell ref="M6955:N6955"/>
    <mergeCell ref="I6956:J6956"/>
    <mergeCell ref="M6956:N6956"/>
    <mergeCell ref="I6957:J6957"/>
    <mergeCell ref="I6966:J6966"/>
    <mergeCell ref="K6966:L6966"/>
    <mergeCell ref="I6967:J6967"/>
    <mergeCell ref="K6967:L6967"/>
    <mergeCell ref="M6967:N6967"/>
    <mergeCell ref="K6968:L6968"/>
    <mergeCell ref="M6968:N6968"/>
    <mergeCell ref="I6968:J6968"/>
    <mergeCell ref="I6969:J6969"/>
    <mergeCell ref="K6969:L6969"/>
    <mergeCell ref="M6969:N6969"/>
    <mergeCell ref="I6970:J6970"/>
    <mergeCell ref="K6970:L6970"/>
    <mergeCell ref="M6970:N6970"/>
    <mergeCell ref="A6973:G6973"/>
    <mergeCell ref="A6974:G6974"/>
    <mergeCell ref="A6975:G6975"/>
    <mergeCell ref="A6966:G6966"/>
    <mergeCell ref="A6967:G6967"/>
    <mergeCell ref="A6968:G6968"/>
    <mergeCell ref="A6969:G6969"/>
    <mergeCell ref="A6970:G6970"/>
    <mergeCell ref="A6971:G6971"/>
    <mergeCell ref="A6972:G6972"/>
    <mergeCell ref="I6971:J6971"/>
    <mergeCell ref="K6971:L6971"/>
    <mergeCell ref="M6971:N6971"/>
    <mergeCell ref="I6972:J6972"/>
    <mergeCell ref="K6972:L6972"/>
    <mergeCell ref="M6972:N6972"/>
    <mergeCell ref="I6973:J6973"/>
    <mergeCell ref="I6974:J6974"/>
    <mergeCell ref="K6974:L6974"/>
    <mergeCell ref="M6974:N6974"/>
    <mergeCell ref="I6975:J6975"/>
    <mergeCell ref="K6975:L6975"/>
    <mergeCell ref="M6975:N6975"/>
    <mergeCell ref="A6957:G6957"/>
    <mergeCell ref="A6960:N6961"/>
    <mergeCell ref="A6965:N6965"/>
    <mergeCell ref="M6966:N6966"/>
    <mergeCell ref="K6939:L6939"/>
    <mergeCell ref="M6939:N6939"/>
    <mergeCell ref="K6940:L6940"/>
    <mergeCell ref="M6940:N6940"/>
    <mergeCell ref="A6937:G6937"/>
    <mergeCell ref="A6938:G6938"/>
    <mergeCell ref="I6938:J6938"/>
    <mergeCell ref="K6938:L6938"/>
    <mergeCell ref="M6938:N6938"/>
    <mergeCell ref="I6636:J6636"/>
    <mergeCell ref="M6636:N6636"/>
    <mergeCell ref="A6637:G6637"/>
    <mergeCell ref="M6637:N6637"/>
    <mergeCell ref="M6638:N6638"/>
    <mergeCell ref="K6976:L6976"/>
    <mergeCell ref="A6638:G6638"/>
    <mergeCell ref="A6639:G6639"/>
    <mergeCell ref="I6639:J6639"/>
    <mergeCell ref="M6639:N6639"/>
    <mergeCell ref="A6640:G6640"/>
    <mergeCell ref="M6640:N6640"/>
    <mergeCell ref="M6641:N6641"/>
    <mergeCell ref="I6650:J6650"/>
    <mergeCell ref="I6651:J6651"/>
    <mergeCell ref="K6651:L6651"/>
    <mergeCell ref="M6651:N6651"/>
    <mergeCell ref="A6641:G6641"/>
    <mergeCell ref="A6644:N6645"/>
    <mergeCell ref="A6649:N6649"/>
    <mergeCell ref="A6650:G6650"/>
    <mergeCell ref="K6650:L6650"/>
    <mergeCell ref="M6650:N6650"/>
    <mergeCell ref="A6651:G6651"/>
    <mergeCell ref="K6655:L6655"/>
    <mergeCell ref="M6655:N6655"/>
    <mergeCell ref="I6655:J6655"/>
    <mergeCell ref="I6656:J6656"/>
    <mergeCell ref="K6660:L6660"/>
    <mergeCell ref="M6660:N6660"/>
    <mergeCell ref="I6660:J6660"/>
    <mergeCell ref="I6661:J6661"/>
    <mergeCell ref="K6661:L6661"/>
    <mergeCell ref="M6661:N6661"/>
    <mergeCell ref="K6662:L6662"/>
    <mergeCell ref="M6662:N6662"/>
    <mergeCell ref="A6658:G6658"/>
    <mergeCell ref="A6659:G6659"/>
    <mergeCell ref="I6659:J6659"/>
    <mergeCell ref="K6659:L6659"/>
    <mergeCell ref="M6659:N6659"/>
    <mergeCell ref="A6660:G6660"/>
    <mergeCell ref="A6661:G6661"/>
    <mergeCell ref="K6666:L6666"/>
    <mergeCell ref="M6666:N6666"/>
    <mergeCell ref="I6666:J6666"/>
    <mergeCell ref="I6667:J6667"/>
    <mergeCell ref="K6667:L6667"/>
    <mergeCell ref="M6667:N6667"/>
    <mergeCell ref="A6664:N6664"/>
    <mergeCell ref="A6665:G6665"/>
    <mergeCell ref="I6665:J6665"/>
    <mergeCell ref="K6665:L6665"/>
    <mergeCell ref="M6665:N6665"/>
    <mergeCell ref="A6666:G6666"/>
    <mergeCell ref="A6667:G6667"/>
    <mergeCell ref="I6653:J6653"/>
    <mergeCell ref="K6653:L6653"/>
    <mergeCell ref="M6653:N6653"/>
    <mergeCell ref="A6653:G6653"/>
    <mergeCell ref="A6654:G6654"/>
    <mergeCell ref="I6654:J6654"/>
    <mergeCell ref="K6654:L6654"/>
    <mergeCell ref="M6654:N6654"/>
    <mergeCell ref="A6608:G6608"/>
    <mergeCell ref="I6608:J6608"/>
    <mergeCell ref="K6608:L6608"/>
    <mergeCell ref="M6608:N6608"/>
    <mergeCell ref="I6609:J6609"/>
    <mergeCell ref="K6609:L6609"/>
    <mergeCell ref="M6609:N6609"/>
    <mergeCell ref="K6611:L6611"/>
    <mergeCell ref="M6611:N6611"/>
    <mergeCell ref="I6611:J6611"/>
    <mergeCell ref="I6612:J6612"/>
    <mergeCell ref="K6612:L6612"/>
    <mergeCell ref="M6612:N6612"/>
    <mergeCell ref="K6615:L6615"/>
    <mergeCell ref="M6615:N6615"/>
    <mergeCell ref="A6609:G6609"/>
    <mergeCell ref="A6610:G6610"/>
    <mergeCell ref="I6610:J6610"/>
    <mergeCell ref="K6610:L6610"/>
    <mergeCell ref="M6610:N6610"/>
    <mergeCell ref="A6611:G6611"/>
    <mergeCell ref="A6612:G6612"/>
    <mergeCell ref="A6619:G6619"/>
    <mergeCell ref="A6620:G6620"/>
    <mergeCell ref="A6621:G6621"/>
    <mergeCell ref="A6622:G6622"/>
    <mergeCell ref="A6623:G6623"/>
    <mergeCell ref="I6640:J6640"/>
    <mergeCell ref="I6641:J6641"/>
    <mergeCell ref="K6642:L6642"/>
    <mergeCell ref="M6642:N6642"/>
    <mergeCell ref="A6652:G6652"/>
    <mergeCell ref="I6652:J6652"/>
    <mergeCell ref="K6652:L6652"/>
    <mergeCell ref="M6652:N6652"/>
    <mergeCell ref="A6613:G6613"/>
    <mergeCell ref="I6613:J6613"/>
    <mergeCell ref="K6613:L6613"/>
    <mergeCell ref="M6613:N6613"/>
    <mergeCell ref="I6614:J6614"/>
    <mergeCell ref="K6614:L6614"/>
    <mergeCell ref="M6614:N6614"/>
    <mergeCell ref="A6614:G6614"/>
    <mergeCell ref="A6617:N6617"/>
    <mergeCell ref="A6618:G6618"/>
    <mergeCell ref="I6618:J6618"/>
    <mergeCell ref="K6618:L6618"/>
    <mergeCell ref="M6618:N6618"/>
    <mergeCell ref="M6619:N6619"/>
    <mergeCell ref="K6632:L6632"/>
    <mergeCell ref="M6632:N6632"/>
    <mergeCell ref="K6633:L6633"/>
    <mergeCell ref="M6633:N6633"/>
    <mergeCell ref="A6630:G6630"/>
    <mergeCell ref="A6631:G6631"/>
    <mergeCell ref="I6631:J6631"/>
    <mergeCell ref="K6631:L6631"/>
    <mergeCell ref="M6631:N6631"/>
    <mergeCell ref="A6632:G6632"/>
    <mergeCell ref="I6632:J6632"/>
    <mergeCell ref="I6637:J6637"/>
    <mergeCell ref="I6638:J6638"/>
    <mergeCell ref="A6635:N6635"/>
    <mergeCell ref="A6636:G6636"/>
    <mergeCell ref="K6668:L6668"/>
    <mergeCell ref="M6668:N6668"/>
    <mergeCell ref="I6669:J6669"/>
    <mergeCell ref="K6669:L6669"/>
    <mergeCell ref="M6669:N6669"/>
    <mergeCell ref="A6669:G6669"/>
    <mergeCell ref="A6670:G6670"/>
    <mergeCell ref="I6670:J6670"/>
    <mergeCell ref="K6670:L6670"/>
    <mergeCell ref="M6670:N6670"/>
    <mergeCell ref="K6671:L6671"/>
    <mergeCell ref="M6671:N6671"/>
    <mergeCell ref="K6675:L6675"/>
    <mergeCell ref="M6675:N6675"/>
    <mergeCell ref="I6675:J6675"/>
    <mergeCell ref="I6676:J6676"/>
    <mergeCell ref="K6676:L6676"/>
    <mergeCell ref="M6676:N6676"/>
    <mergeCell ref="A6673:N6673"/>
    <mergeCell ref="A6674:G6674"/>
    <mergeCell ref="I6674:J6674"/>
    <mergeCell ref="K6674:L6674"/>
    <mergeCell ref="M6674:N6674"/>
    <mergeCell ref="A6675:G6675"/>
    <mergeCell ref="A6676:G6676"/>
    <mergeCell ref="I6687:J6687"/>
    <mergeCell ref="I6688:J6688"/>
    <mergeCell ref="K6689:L6689"/>
    <mergeCell ref="M6689:N6689"/>
    <mergeCell ref="A6699:G6699"/>
    <mergeCell ref="I6699:J6699"/>
    <mergeCell ref="K6699:L6699"/>
    <mergeCell ref="M6699:N6699"/>
    <mergeCell ref="I6700:J6700"/>
    <mergeCell ref="K6700:L6700"/>
    <mergeCell ref="M6700:N6700"/>
    <mergeCell ref="A6700:G6700"/>
    <mergeCell ref="A6701:G6701"/>
    <mergeCell ref="I6701:J6701"/>
    <mergeCell ref="K6701:L6701"/>
    <mergeCell ref="M6701:N6701"/>
    <mergeCell ref="A6702:G6702"/>
    <mergeCell ref="A6703:G6703"/>
    <mergeCell ref="I6705:J6705"/>
    <mergeCell ref="K6705:L6705"/>
    <mergeCell ref="K6703:L6703"/>
    <mergeCell ref="M6703:N6703"/>
    <mergeCell ref="A6704:G6704"/>
    <mergeCell ref="I6704:J6704"/>
    <mergeCell ref="K6704:L6704"/>
    <mergeCell ref="M6704:N6704"/>
    <mergeCell ref="M6705:N6705"/>
    <mergeCell ref="A6685:G6685"/>
    <mergeCell ref="A6686:G6686"/>
    <mergeCell ref="I6686:J6686"/>
    <mergeCell ref="M6686:N6686"/>
    <mergeCell ref="A6687:G6687"/>
    <mergeCell ref="M6687:N6687"/>
    <mergeCell ref="M6688:N6688"/>
    <mergeCell ref="I6697:J6697"/>
    <mergeCell ref="I6698:J6698"/>
    <mergeCell ref="K6698:L6698"/>
    <mergeCell ref="M6698:N6698"/>
    <mergeCell ref="A6688:G6688"/>
    <mergeCell ref="A6691:N6692"/>
    <mergeCell ref="A6696:N6696"/>
    <mergeCell ref="A6697:G6697"/>
    <mergeCell ref="K6697:L6697"/>
    <mergeCell ref="M6697:N6697"/>
    <mergeCell ref="A6698:G6698"/>
    <mergeCell ref="K6702:L6702"/>
    <mergeCell ref="M6702:N6702"/>
    <mergeCell ref="I6702:J6702"/>
    <mergeCell ref="I6703:J6703"/>
    <mergeCell ref="A6705:G6705"/>
    <mergeCell ref="A6706:G6706"/>
    <mergeCell ref="I6706:J6706"/>
    <mergeCell ref="K6706:L6706"/>
    <mergeCell ref="M6706:N6706"/>
    <mergeCell ref="K6707:L6707"/>
    <mergeCell ref="M6707:N6707"/>
    <mergeCell ref="K6711:L6711"/>
    <mergeCell ref="M6711:N6711"/>
    <mergeCell ref="I6711:J6711"/>
    <mergeCell ref="I6712:J6712"/>
    <mergeCell ref="K6712:L6712"/>
    <mergeCell ref="M6712:N6712"/>
    <mergeCell ref="A6709:N6709"/>
    <mergeCell ref="A6710:G6710"/>
    <mergeCell ref="I6710:J6710"/>
    <mergeCell ref="K6710:L6710"/>
    <mergeCell ref="M6710:N6710"/>
    <mergeCell ref="A6711:G6711"/>
    <mergeCell ref="A6712:G6712"/>
    <mergeCell ref="A6713:G6713"/>
    <mergeCell ref="I6713:J6713"/>
    <mergeCell ref="K6713:L6713"/>
    <mergeCell ref="M6713:N6713"/>
    <mergeCell ref="I6714:J6714"/>
    <mergeCell ref="K6714:L6714"/>
    <mergeCell ref="M6714:N6714"/>
    <mergeCell ref="A6714:G6714"/>
    <mergeCell ref="A6715:G6715"/>
    <mergeCell ref="I6715:J6715"/>
    <mergeCell ref="K6715:L6715"/>
    <mergeCell ref="M6715:N6715"/>
    <mergeCell ref="K6716:L6716"/>
    <mergeCell ref="M6716:N6716"/>
    <mergeCell ref="I6751:J6751"/>
    <mergeCell ref="K6751:L6751"/>
    <mergeCell ref="M6751:N6751"/>
    <mergeCell ref="K6752:L6752"/>
    <mergeCell ref="I6756:J6756"/>
    <mergeCell ref="K6756:L6756"/>
    <mergeCell ref="M6752:N6752"/>
    <mergeCell ref="A6754:N6754"/>
    <mergeCell ref="A6755:G6755"/>
    <mergeCell ref="I6755:J6755"/>
    <mergeCell ref="K6755:L6755"/>
    <mergeCell ref="M6755:N6755"/>
    <mergeCell ref="M6756:N6756"/>
    <mergeCell ref="K6720:L6720"/>
    <mergeCell ref="M6720:N6720"/>
    <mergeCell ref="M6733:N6733"/>
    <mergeCell ref="K6734:L6734"/>
    <mergeCell ref="M6734:N6734"/>
    <mergeCell ref="I6729:J6729"/>
    <mergeCell ref="I6730:J6730"/>
    <mergeCell ref="I6731:J6731"/>
    <mergeCell ref="M6731:N6731"/>
    <mergeCell ref="I6732:J6732"/>
    <mergeCell ref="M6732:N6732"/>
    <mergeCell ref="I6733:J6733"/>
    <mergeCell ref="A6727:N6727"/>
    <mergeCell ref="A6728:G6728"/>
    <mergeCell ref="I6728:J6728"/>
    <mergeCell ref="M6728:N6728"/>
    <mergeCell ref="A6729:G6729"/>
    <mergeCell ref="M6729:N6729"/>
    <mergeCell ref="M6730:N6730"/>
    <mergeCell ref="A6730:G6730"/>
    <mergeCell ref="A6731:G6731"/>
    <mergeCell ref="A6732:G6732"/>
    <mergeCell ref="A6733:G6733"/>
    <mergeCell ref="A6736:N6737"/>
    <mergeCell ref="A6741:N6741"/>
    <mergeCell ref="M6742:N6742"/>
    <mergeCell ref="I6742:J6742"/>
    <mergeCell ref="K6742:L6742"/>
    <mergeCell ref="I6743:J6743"/>
    <mergeCell ref="K6743:L6743"/>
    <mergeCell ref="M6743:N6743"/>
    <mergeCell ref="K6744:L6744"/>
    <mergeCell ref="M6744:N6744"/>
    <mergeCell ref="I6744:J6744"/>
    <mergeCell ref="I6720:J6720"/>
    <mergeCell ref="I6721:J6721"/>
    <mergeCell ref="K6721:L6721"/>
    <mergeCell ref="M6721:N6721"/>
    <mergeCell ref="A6718:N6718"/>
    <mergeCell ref="A6719:G6719"/>
    <mergeCell ref="I6719:J6719"/>
    <mergeCell ref="K6719:L6719"/>
    <mergeCell ref="M6719:N6719"/>
    <mergeCell ref="A6720:G6720"/>
    <mergeCell ref="A6721:G6721"/>
    <mergeCell ref="A6722:G6722"/>
    <mergeCell ref="I6722:J6722"/>
    <mergeCell ref="K6722:L6722"/>
    <mergeCell ref="M6722:N6722"/>
    <mergeCell ref="I6723:J6723"/>
    <mergeCell ref="K6723:L6723"/>
    <mergeCell ref="M6723:N6723"/>
    <mergeCell ref="A6723:G6723"/>
    <mergeCell ref="A6724:G6724"/>
    <mergeCell ref="I6724:J6724"/>
    <mergeCell ref="K6724:L6724"/>
    <mergeCell ref="M6724:N6724"/>
    <mergeCell ref="K6725:L6725"/>
    <mergeCell ref="M6725:N6725"/>
    <mergeCell ref="K6749:L6749"/>
    <mergeCell ref="M6749:N6749"/>
    <mergeCell ref="K6758:L6758"/>
    <mergeCell ref="M6758:N6758"/>
    <mergeCell ref="I6758:J6758"/>
    <mergeCell ref="I6759:J6759"/>
    <mergeCell ref="K6759:L6759"/>
    <mergeCell ref="M6759:N6759"/>
    <mergeCell ref="K6761:L6761"/>
    <mergeCell ref="M6761:N6761"/>
    <mergeCell ref="A6756:G6756"/>
    <mergeCell ref="A6757:G6757"/>
    <mergeCell ref="I6757:J6757"/>
    <mergeCell ref="K6757:L6757"/>
    <mergeCell ref="M6757:N6757"/>
    <mergeCell ref="A6758:G6758"/>
    <mergeCell ref="A6759:G6759"/>
    <mergeCell ref="I6745:J6745"/>
    <mergeCell ref="K6745:L6745"/>
    <mergeCell ref="M6745:N6745"/>
    <mergeCell ref="I6746:J6746"/>
    <mergeCell ref="K6746:L6746"/>
    <mergeCell ref="M6746:N6746"/>
    <mergeCell ref="A6749:G6749"/>
    <mergeCell ref="A6750:G6750"/>
    <mergeCell ref="A6751:G6751"/>
    <mergeCell ref="A6742:G6742"/>
    <mergeCell ref="A6743:G6743"/>
    <mergeCell ref="A6744:G6744"/>
    <mergeCell ref="A6745:G6745"/>
    <mergeCell ref="A6746:G6746"/>
    <mergeCell ref="A6747:G6747"/>
    <mergeCell ref="A6748:G6748"/>
    <mergeCell ref="I6747:J6747"/>
    <mergeCell ref="K6747:L6747"/>
    <mergeCell ref="M6747:N6747"/>
    <mergeCell ref="I6748:J6748"/>
    <mergeCell ref="K6748:L6748"/>
    <mergeCell ref="M6748:N6748"/>
    <mergeCell ref="I6749:J6749"/>
    <mergeCell ref="I6750:J6750"/>
    <mergeCell ref="K6750:L6750"/>
    <mergeCell ref="M6750:N6750"/>
    <mergeCell ref="K6764:L6764"/>
    <mergeCell ref="M6764:N6764"/>
    <mergeCell ref="I6764:J6764"/>
    <mergeCell ref="I6765:J6765"/>
    <mergeCell ref="K6765:L6765"/>
    <mergeCell ref="M6765:N6765"/>
    <mergeCell ref="A6760:G6760"/>
    <mergeCell ref="I6760:J6760"/>
    <mergeCell ref="K6760:L6760"/>
    <mergeCell ref="M6760:N6760"/>
    <mergeCell ref="A6763:N6763"/>
    <mergeCell ref="A6764:G6764"/>
    <mergeCell ref="A6765:G6765"/>
    <mergeCell ref="A6766:G6766"/>
    <mergeCell ref="I6766:J6766"/>
    <mergeCell ref="K6766:L6766"/>
    <mergeCell ref="M6766:N6766"/>
    <mergeCell ref="I6767:J6767"/>
    <mergeCell ref="K6767:L6767"/>
    <mergeCell ref="M6767:N6767"/>
    <mergeCell ref="K6769:L6769"/>
    <mergeCell ref="M6769:N6769"/>
    <mergeCell ref="K6770:L6770"/>
    <mergeCell ref="M6770:N6770"/>
    <mergeCell ref="A6767:G6767"/>
    <mergeCell ref="A6768:G6768"/>
    <mergeCell ref="I6768:J6768"/>
    <mergeCell ref="K6768:L6768"/>
    <mergeCell ref="M6768:N6768"/>
    <mergeCell ref="A6769:G6769"/>
    <mergeCell ref="I6769:J6769"/>
    <mergeCell ref="A6775:G6775"/>
    <mergeCell ref="A6776:G6776"/>
    <mergeCell ref="A6777:G6777"/>
    <mergeCell ref="A6778:G6778"/>
    <mergeCell ref="A6772:N6772"/>
    <mergeCell ref="A6773:G6773"/>
    <mergeCell ref="I6773:J6773"/>
    <mergeCell ref="M6773:N6773"/>
    <mergeCell ref="A6774:G6774"/>
    <mergeCell ref="M6774:N6774"/>
    <mergeCell ref="M6775:N6775"/>
    <mergeCell ref="I6774:J6774"/>
    <mergeCell ref="I6775:J6775"/>
    <mergeCell ref="I6776:J6776"/>
    <mergeCell ref="M6776:N6776"/>
    <mergeCell ref="I6777:J6777"/>
    <mergeCell ref="M6777:N6777"/>
    <mergeCell ref="I6778:J6778"/>
    <mergeCell ref="K6787:L6787"/>
    <mergeCell ref="M6787:N6787"/>
    <mergeCell ref="A6789:G6789"/>
    <mergeCell ref="I6789:J6789"/>
    <mergeCell ref="K6789:L6789"/>
    <mergeCell ref="M6789:N6789"/>
    <mergeCell ref="I6790:J6790"/>
    <mergeCell ref="K6790:L6790"/>
    <mergeCell ref="M6790:N6790"/>
    <mergeCell ref="A6790:G6790"/>
    <mergeCell ref="A6791:G6791"/>
    <mergeCell ref="I6791:J6791"/>
    <mergeCell ref="K6791:L6791"/>
    <mergeCell ref="M6791:N6791"/>
    <mergeCell ref="A6792:G6792"/>
    <mergeCell ref="A6793:G6793"/>
    <mergeCell ref="A6794:G6794"/>
    <mergeCell ref="I6794:J6794"/>
    <mergeCell ref="K6794:L6794"/>
    <mergeCell ref="M6794:N6794"/>
    <mergeCell ref="I6795:J6795"/>
    <mergeCell ref="K6795:L6795"/>
    <mergeCell ref="M6795:N6795"/>
    <mergeCell ref="A6795:G6795"/>
    <mergeCell ref="A6796:G6796"/>
    <mergeCell ref="I6796:J6796"/>
    <mergeCell ref="K6796:L6796"/>
    <mergeCell ref="M6796:N6796"/>
    <mergeCell ref="K6797:L6797"/>
    <mergeCell ref="M6797:N6797"/>
    <mergeCell ref="I6787:J6787"/>
    <mergeCell ref="I6788:J6788"/>
    <mergeCell ref="K6788:L6788"/>
    <mergeCell ref="M6788:N6788"/>
    <mergeCell ref="M6778:N6778"/>
    <mergeCell ref="K6779:L6779"/>
    <mergeCell ref="M6779:N6779"/>
    <mergeCell ref="A6781:N6782"/>
    <mergeCell ref="A6786:N6786"/>
    <mergeCell ref="A6787:G6787"/>
    <mergeCell ref="A6788:G6788"/>
    <mergeCell ref="K6792:L6792"/>
    <mergeCell ref="M6792:N6792"/>
    <mergeCell ref="I6792:J6792"/>
    <mergeCell ref="I6793:J6793"/>
    <mergeCell ref="K6793:L6793"/>
    <mergeCell ref="M6793:N6793"/>
    <mergeCell ref="K6801:L6801"/>
    <mergeCell ref="M6801:N6801"/>
    <mergeCell ref="K6811:L6811"/>
    <mergeCell ref="M6811:N6811"/>
    <mergeCell ref="A6808:N6808"/>
    <mergeCell ref="A6809:G6809"/>
    <mergeCell ref="I6809:J6809"/>
    <mergeCell ref="K6809:L6809"/>
    <mergeCell ref="M6809:N6809"/>
    <mergeCell ref="A6810:G6810"/>
    <mergeCell ref="A6811:G6811"/>
    <mergeCell ref="I6813:J6813"/>
    <mergeCell ref="K6813:L6813"/>
    <mergeCell ref="I6810:J6810"/>
    <mergeCell ref="I6811:J6811"/>
    <mergeCell ref="A6812:G6812"/>
    <mergeCell ref="I6812:J6812"/>
    <mergeCell ref="K6812:L6812"/>
    <mergeCell ref="M6812:N6812"/>
    <mergeCell ref="M6813:N6813"/>
    <mergeCell ref="I6801:J6801"/>
    <mergeCell ref="I6802:J6802"/>
    <mergeCell ref="K6802:L6802"/>
    <mergeCell ref="M6802:N6802"/>
    <mergeCell ref="A6799:N6799"/>
    <mergeCell ref="A6800:G6800"/>
    <mergeCell ref="I6800:J6800"/>
    <mergeCell ref="K6800:L6800"/>
    <mergeCell ref="M6800:N6800"/>
    <mergeCell ref="A6801:G6801"/>
    <mergeCell ref="A6802:G6802"/>
    <mergeCell ref="A6803:G6803"/>
    <mergeCell ref="I6803:J6803"/>
    <mergeCell ref="K6803:L6803"/>
    <mergeCell ref="M6803:N6803"/>
    <mergeCell ref="I6804:J6804"/>
    <mergeCell ref="K6804:L6804"/>
    <mergeCell ref="M6804:N6804"/>
    <mergeCell ref="A6804:G6804"/>
    <mergeCell ref="A6805:G6805"/>
    <mergeCell ref="I6805:J6805"/>
    <mergeCell ref="K6805:L6805"/>
    <mergeCell ref="M6805:N6805"/>
    <mergeCell ref="K6806:L6806"/>
    <mergeCell ref="M6806:N6806"/>
    <mergeCell ref="K6810:L6810"/>
    <mergeCell ref="M6810:N6810"/>
    <mergeCell ref="A6813:G6813"/>
    <mergeCell ref="A6814:G6814"/>
    <mergeCell ref="I6814:J6814"/>
    <mergeCell ref="K6814:L6814"/>
    <mergeCell ref="M6814:N6814"/>
    <mergeCell ref="K6815:L6815"/>
    <mergeCell ref="M6815:N6815"/>
    <mergeCell ref="A6820:G6820"/>
    <mergeCell ref="A6821:G6821"/>
    <mergeCell ref="A6822:G6822"/>
    <mergeCell ref="A6823:G6823"/>
    <mergeCell ref="A6817:N6817"/>
    <mergeCell ref="A6818:G6818"/>
    <mergeCell ref="I6818:J6818"/>
    <mergeCell ref="M6818:N6818"/>
    <mergeCell ref="A6819:G6819"/>
    <mergeCell ref="M6819:N6819"/>
    <mergeCell ref="M6820:N6820"/>
    <mergeCell ref="I6819:J6819"/>
    <mergeCell ref="I6820:J6820"/>
    <mergeCell ref="I6821:J6821"/>
    <mergeCell ref="M6821:N6821"/>
    <mergeCell ref="I6822:J6822"/>
    <mergeCell ref="M6822:N6822"/>
    <mergeCell ref="I6823:J6823"/>
    <mergeCell ref="K6832:L6832"/>
    <mergeCell ref="M6832:N6832"/>
    <mergeCell ref="I6832:J6832"/>
    <mergeCell ref="I6833:J6833"/>
    <mergeCell ref="K6833:L6833"/>
    <mergeCell ref="M6833:N6833"/>
    <mergeCell ref="M6823:N6823"/>
    <mergeCell ref="K6824:L6824"/>
    <mergeCell ref="M6824:N6824"/>
    <mergeCell ref="A6826:N6827"/>
    <mergeCell ref="A6831:N6831"/>
    <mergeCell ref="A6832:G6832"/>
    <mergeCell ref="A6833:G6833"/>
    <mergeCell ref="A6834:G6834"/>
    <mergeCell ref="I6834:J6834"/>
    <mergeCell ref="K6834:L6834"/>
    <mergeCell ref="M6834:N6834"/>
    <mergeCell ref="I6835:J6835"/>
    <mergeCell ref="K6835:L6835"/>
    <mergeCell ref="M6835:N6835"/>
    <mergeCell ref="K6837:L6837"/>
    <mergeCell ref="M6837:N6837"/>
    <mergeCell ref="I6837:J6837"/>
    <mergeCell ref="I6838:J6838"/>
    <mergeCell ref="K6838:L6838"/>
    <mergeCell ref="M6838:N6838"/>
    <mergeCell ref="A6835:G6835"/>
    <mergeCell ref="A6836:G6836"/>
    <mergeCell ref="I6836:J6836"/>
    <mergeCell ref="K6836:L6836"/>
    <mergeCell ref="M6836:N6836"/>
    <mergeCell ref="A6837:G6837"/>
    <mergeCell ref="A6838:G6838"/>
    <mergeCell ref="A6839:G6839"/>
    <mergeCell ref="I6839:J6839"/>
    <mergeCell ref="K6839:L6839"/>
    <mergeCell ref="M6839:N6839"/>
    <mergeCell ref="I6840:J6840"/>
    <mergeCell ref="K6840:L6840"/>
    <mergeCell ref="M6840:N6840"/>
    <mergeCell ref="A6840:G6840"/>
    <mergeCell ref="A6841:G6841"/>
    <mergeCell ref="I6841:J6841"/>
    <mergeCell ref="K6841:L6841"/>
    <mergeCell ref="M6841:N6841"/>
    <mergeCell ref="K6842:L6842"/>
    <mergeCell ref="M6842:N6842"/>
    <mergeCell ref="K6846:L6846"/>
    <mergeCell ref="M6846:N6846"/>
    <mergeCell ref="I6846:J6846"/>
    <mergeCell ref="I6847:J6847"/>
    <mergeCell ref="K6847:L6847"/>
    <mergeCell ref="M6847:N6847"/>
    <mergeCell ref="A6844:N6844"/>
    <mergeCell ref="A6845:G6845"/>
    <mergeCell ref="I6845:J6845"/>
    <mergeCell ref="K6845:L6845"/>
    <mergeCell ref="M6845:N6845"/>
    <mergeCell ref="A6846:G6846"/>
    <mergeCell ref="A6847:G6847"/>
    <mergeCell ref="A6848:G6848"/>
    <mergeCell ref="I6848:J6848"/>
    <mergeCell ref="K6848:L6848"/>
    <mergeCell ref="M6848:N6848"/>
    <mergeCell ref="I6849:J6849"/>
    <mergeCell ref="K6849:L6849"/>
    <mergeCell ref="M6849:N6849"/>
    <mergeCell ref="A6849:G6849"/>
    <mergeCell ref="A6850:G6850"/>
    <mergeCell ref="I6850:J6850"/>
    <mergeCell ref="K6850:L6850"/>
    <mergeCell ref="M6850:N6850"/>
    <mergeCell ref="K6851:L6851"/>
    <mergeCell ref="M6851:N6851"/>
    <mergeCell ref="K6855:L6855"/>
    <mergeCell ref="M6855:N6855"/>
    <mergeCell ref="M6868:N6868"/>
    <mergeCell ref="K6869:L6869"/>
    <mergeCell ref="M6869:N6869"/>
    <mergeCell ref="I6864:J6864"/>
    <mergeCell ref="I6865:J6865"/>
    <mergeCell ref="I6866:J6866"/>
    <mergeCell ref="M6866:N6866"/>
    <mergeCell ref="I6867:J6867"/>
    <mergeCell ref="M6867:N6867"/>
    <mergeCell ref="I6868:J6868"/>
    <mergeCell ref="A6863:G6863"/>
    <mergeCell ref="I6863:J6863"/>
    <mergeCell ref="M6863:N6863"/>
    <mergeCell ref="A6864:G6864"/>
    <mergeCell ref="M6864:N6864"/>
    <mergeCell ref="M6865:N6865"/>
    <mergeCell ref="A6865:G6865"/>
    <mergeCell ref="A6866:G6866"/>
    <mergeCell ref="A6867:G6867"/>
    <mergeCell ref="A6868:G6868"/>
    <mergeCell ref="K6882:L6882"/>
    <mergeCell ref="M6882:N6882"/>
    <mergeCell ref="I6883:J6883"/>
    <mergeCell ref="K6883:L6883"/>
    <mergeCell ref="M6883:N6883"/>
    <mergeCell ref="I6884:J6884"/>
    <mergeCell ref="I6885:J6885"/>
    <mergeCell ref="K6885:L6885"/>
    <mergeCell ref="M6885:N6885"/>
    <mergeCell ref="I6886:J6886"/>
    <mergeCell ref="K6886:L6886"/>
    <mergeCell ref="M6886:N6886"/>
    <mergeCell ref="K6887:L6887"/>
    <mergeCell ref="A6951:N6951"/>
    <mergeCell ref="A6952:G6952"/>
    <mergeCell ref="I6952:J6952"/>
    <mergeCell ref="M6952:N6952"/>
    <mergeCell ref="A6953:G6953"/>
    <mergeCell ref="M6953:N6953"/>
    <mergeCell ref="M6954:N6954"/>
    <mergeCell ref="A6954:G6954"/>
    <mergeCell ref="A6955:G6955"/>
    <mergeCell ref="A6956:G6956"/>
    <mergeCell ref="A6939:G6939"/>
    <mergeCell ref="I6939:J6939"/>
    <mergeCell ref="I6922:J6922"/>
    <mergeCell ref="I6923:J6923"/>
    <mergeCell ref="K6923:L6923"/>
    <mergeCell ref="M6923:N6923"/>
    <mergeCell ref="M6913:N6913"/>
    <mergeCell ref="K6914:L6914"/>
    <mergeCell ref="M6914:N6914"/>
    <mergeCell ref="A6916:N6917"/>
    <mergeCell ref="A6921:N6921"/>
    <mergeCell ref="A6922:G6922"/>
    <mergeCell ref="A6923:G6923"/>
    <mergeCell ref="K6927:L6927"/>
    <mergeCell ref="M6927:N6927"/>
    <mergeCell ref="I6927:J6927"/>
    <mergeCell ref="I6928:J6928"/>
    <mergeCell ref="K6928:L6928"/>
    <mergeCell ref="M6928:N6928"/>
    <mergeCell ref="K6931:L6931"/>
    <mergeCell ref="M6931:N6931"/>
    <mergeCell ref="K6944:L6944"/>
    <mergeCell ref="M6944:N6944"/>
    <mergeCell ref="A6926:G6926"/>
    <mergeCell ref="I6926:J6926"/>
    <mergeCell ref="K6926:L6926"/>
    <mergeCell ref="M6926:N6926"/>
    <mergeCell ref="A6927:G6927"/>
    <mergeCell ref="A6928:G6928"/>
    <mergeCell ref="A6929:G6929"/>
    <mergeCell ref="I6929:J6929"/>
    <mergeCell ref="K6929:L6929"/>
    <mergeCell ref="M6929:N6929"/>
    <mergeCell ref="I6930:J6930"/>
    <mergeCell ref="K6930:L6930"/>
    <mergeCell ref="M6930:N6930"/>
    <mergeCell ref="A6930:G6930"/>
    <mergeCell ref="A6933:N6933"/>
    <mergeCell ref="A6934:G6934"/>
    <mergeCell ref="I6934:J6934"/>
    <mergeCell ref="K6934:L6934"/>
    <mergeCell ref="M6976:N6976"/>
    <mergeCell ref="A6978:N6978"/>
    <mergeCell ref="A6979:G6979"/>
    <mergeCell ref="I6979:J6979"/>
    <mergeCell ref="K6979:L6979"/>
    <mergeCell ref="M6979:N6979"/>
    <mergeCell ref="M6980:N6980"/>
    <mergeCell ref="I6944:J6944"/>
    <mergeCell ref="I6945:J6945"/>
    <mergeCell ref="K6945:L6945"/>
    <mergeCell ref="M6945:N6945"/>
    <mergeCell ref="A6942:N6942"/>
    <mergeCell ref="A6943:G6943"/>
    <mergeCell ref="I6943:J6943"/>
    <mergeCell ref="K6943:L6943"/>
    <mergeCell ref="M6943:N6943"/>
    <mergeCell ref="A6944:G6944"/>
    <mergeCell ref="A6945:G6945"/>
    <mergeCell ref="A6946:G6946"/>
    <mergeCell ref="I6946:J6946"/>
    <mergeCell ref="K6946:L6946"/>
    <mergeCell ref="M6946:N6946"/>
    <mergeCell ref="I6947:J6947"/>
    <mergeCell ref="K6947:L6947"/>
    <mergeCell ref="M6947:N6947"/>
    <mergeCell ref="A6947:G6947"/>
    <mergeCell ref="A6948:G6948"/>
    <mergeCell ref="I6948:J6948"/>
    <mergeCell ref="K6948:L6948"/>
    <mergeCell ref="M6948:N6948"/>
    <mergeCell ref="K6949:L6949"/>
    <mergeCell ref="M6949:N6949"/>
    <mergeCell ref="K6973:L6973"/>
    <mergeCell ref="M6973:N6973"/>
    <mergeCell ref="M6957:N6957"/>
    <mergeCell ref="K6982:L6982"/>
    <mergeCell ref="M6982:N6982"/>
    <mergeCell ref="I6982:J6982"/>
    <mergeCell ref="I6983:J6983"/>
    <mergeCell ref="K6983:L6983"/>
    <mergeCell ref="M6983:N6983"/>
    <mergeCell ref="K6985:L6985"/>
    <mergeCell ref="M6985:N6985"/>
    <mergeCell ref="A6980:G6980"/>
    <mergeCell ref="A6981:G6981"/>
    <mergeCell ref="I6981:J6981"/>
    <mergeCell ref="K6981:L6981"/>
    <mergeCell ref="M6981:N6981"/>
    <mergeCell ref="A6982:G6982"/>
    <mergeCell ref="A6983:G6983"/>
    <mergeCell ref="K6988:L6988"/>
    <mergeCell ref="M6988:N6988"/>
    <mergeCell ref="I6988:J6988"/>
    <mergeCell ref="I6989:J6989"/>
    <mergeCell ref="K6989:L6989"/>
    <mergeCell ref="M6989:N6989"/>
    <mergeCell ref="A6984:G6984"/>
    <mergeCell ref="I6984:J6984"/>
    <mergeCell ref="K6984:L6984"/>
    <mergeCell ref="M6984:N6984"/>
    <mergeCell ref="A6987:N6987"/>
    <mergeCell ref="A6988:G6988"/>
    <mergeCell ref="A6989:G6989"/>
    <mergeCell ref="A6990:G6990"/>
    <mergeCell ref="I6990:J6990"/>
    <mergeCell ref="K6990:L6990"/>
    <mergeCell ref="M6990:N6990"/>
    <mergeCell ref="I6991:J6991"/>
    <mergeCell ref="K6991:L6991"/>
    <mergeCell ref="M6991:N6991"/>
    <mergeCell ref="I6980:J6980"/>
    <mergeCell ref="K6980:L6980"/>
    <mergeCell ref="K6993:L6993"/>
    <mergeCell ref="M6993:N6993"/>
    <mergeCell ref="K6994:L6994"/>
    <mergeCell ref="M6994:N6994"/>
    <mergeCell ref="A6991:G6991"/>
    <mergeCell ref="A6992:G6992"/>
    <mergeCell ref="I6992:J6992"/>
    <mergeCell ref="K6992:L6992"/>
    <mergeCell ref="M6992:N6992"/>
    <mergeCell ref="A6993:G6993"/>
    <mergeCell ref="I6993:J6993"/>
    <mergeCell ref="A6999:G6999"/>
    <mergeCell ref="A7000:G7000"/>
    <mergeCell ref="A7001:G7001"/>
    <mergeCell ref="A7002:G7002"/>
    <mergeCell ref="A6996:N6996"/>
    <mergeCell ref="A6997:G6997"/>
    <mergeCell ref="I6997:J6997"/>
    <mergeCell ref="M6997:N6997"/>
    <mergeCell ref="A6998:G6998"/>
    <mergeCell ref="M6998:N6998"/>
    <mergeCell ref="M6999:N6999"/>
    <mergeCell ref="I6998:J6998"/>
    <mergeCell ref="I6999:J6999"/>
    <mergeCell ref="I7000:J7000"/>
    <mergeCell ref="M7000:N7000"/>
    <mergeCell ref="I7001:J7001"/>
    <mergeCell ref="M7001:N7001"/>
    <mergeCell ref="I7002:J7002"/>
    <mergeCell ref="K7011:L7011"/>
    <mergeCell ref="M7011:N7011"/>
    <mergeCell ref="I7011:J7011"/>
    <mergeCell ref="I7012:J7012"/>
    <mergeCell ref="K7012:L7012"/>
    <mergeCell ref="M7012:N7012"/>
    <mergeCell ref="M7002:N7002"/>
    <mergeCell ref="K7003:L7003"/>
    <mergeCell ref="M7003:N7003"/>
    <mergeCell ref="A7005:N7006"/>
    <mergeCell ref="A7010:N7010"/>
    <mergeCell ref="A7011:G7011"/>
    <mergeCell ref="A7012:G7012"/>
    <mergeCell ref="A7013:G7013"/>
    <mergeCell ref="I7013:J7013"/>
    <mergeCell ref="K7013:L7013"/>
    <mergeCell ref="M7013:N7013"/>
    <mergeCell ref="I7014:J7014"/>
    <mergeCell ref="K7014:L7014"/>
    <mergeCell ref="M7014:N7014"/>
    <mergeCell ref="K7016:L7016"/>
    <mergeCell ref="M7016:N7016"/>
    <mergeCell ref="K7017:L7017"/>
    <mergeCell ref="M7017:N7017"/>
    <mergeCell ref="A7014:G7014"/>
    <mergeCell ref="A7015:G7015"/>
    <mergeCell ref="I7015:J7015"/>
    <mergeCell ref="K7015:L7015"/>
    <mergeCell ref="M7015:N7015"/>
    <mergeCell ref="A7016:G7016"/>
    <mergeCell ref="I7016:J7016"/>
    <mergeCell ref="K7021:L7021"/>
    <mergeCell ref="M7021:N7021"/>
    <mergeCell ref="K7031:L7031"/>
    <mergeCell ref="M7031:N7031"/>
    <mergeCell ref="A7028:N7028"/>
    <mergeCell ref="A7029:G7029"/>
    <mergeCell ref="I7029:J7029"/>
    <mergeCell ref="K7029:L7029"/>
    <mergeCell ref="M7029:N7029"/>
    <mergeCell ref="A7030:G7030"/>
    <mergeCell ref="A7031:G7031"/>
    <mergeCell ref="A7296:N7296"/>
    <mergeCell ref="A7297:G7297"/>
    <mergeCell ref="I7297:J7297"/>
    <mergeCell ref="M7297:N7297"/>
    <mergeCell ref="I7033:J7033"/>
    <mergeCell ref="K7033:L7033"/>
    <mergeCell ref="I7030:J7030"/>
    <mergeCell ref="I7031:J7031"/>
    <mergeCell ref="A7032:G7032"/>
    <mergeCell ref="I7032:J7032"/>
    <mergeCell ref="K7032:L7032"/>
    <mergeCell ref="M7032:N7032"/>
    <mergeCell ref="M7033:N7033"/>
    <mergeCell ref="I7021:J7021"/>
    <mergeCell ref="I7022:J7022"/>
    <mergeCell ref="K7022:L7022"/>
    <mergeCell ref="M7022:N7022"/>
    <mergeCell ref="A7019:N7019"/>
    <mergeCell ref="A7020:G7020"/>
    <mergeCell ref="I7020:J7020"/>
    <mergeCell ref="K7020:L7020"/>
    <mergeCell ref="M7020:N7020"/>
    <mergeCell ref="A7021:G7021"/>
    <mergeCell ref="A7022:G7022"/>
    <mergeCell ref="A7023:G7023"/>
    <mergeCell ref="I7023:J7023"/>
    <mergeCell ref="K7023:L7023"/>
    <mergeCell ref="M7023:N7023"/>
    <mergeCell ref="I7024:J7024"/>
    <mergeCell ref="K7024:L7024"/>
    <mergeCell ref="M7024:N7024"/>
    <mergeCell ref="A7024:G7024"/>
    <mergeCell ref="A7025:G7025"/>
    <mergeCell ref="I7025:J7025"/>
    <mergeCell ref="K7025:L7025"/>
    <mergeCell ref="A7298:G7298"/>
    <mergeCell ref="M7298:N7298"/>
    <mergeCell ref="M7299:N7299"/>
    <mergeCell ref="A7299:G7299"/>
    <mergeCell ref="A7300:G7300"/>
    <mergeCell ref="A7301:G7301"/>
    <mergeCell ref="A7302:G7302"/>
    <mergeCell ref="A7305:N7306"/>
    <mergeCell ref="A7310:N7310"/>
    <mergeCell ref="M7311:N7311"/>
    <mergeCell ref="I7289:J7289"/>
    <mergeCell ref="I7290:J7290"/>
    <mergeCell ref="K7290:L7290"/>
    <mergeCell ref="M7290:N7290"/>
    <mergeCell ref="A7287:N7287"/>
    <mergeCell ref="A7288:G7288"/>
    <mergeCell ref="I7288:J7288"/>
    <mergeCell ref="K7288:L7288"/>
    <mergeCell ref="M7288:N7288"/>
    <mergeCell ref="A7289:G7289"/>
    <mergeCell ref="A7290:G7290"/>
    <mergeCell ref="A7291:G7291"/>
    <mergeCell ref="I7291:J7291"/>
    <mergeCell ref="K7291:L7291"/>
    <mergeCell ref="M7291:N7291"/>
    <mergeCell ref="I7292:J7292"/>
    <mergeCell ref="K7292:L7292"/>
    <mergeCell ref="M7292:N7292"/>
    <mergeCell ref="A7292:G7292"/>
    <mergeCell ref="A7293:G7293"/>
    <mergeCell ref="I7293:J7293"/>
    <mergeCell ref="K7293:L7293"/>
    <mergeCell ref="M7293:N7293"/>
    <mergeCell ref="K7294:L7294"/>
    <mergeCell ref="M7294:N7294"/>
    <mergeCell ref="A7311:G7311"/>
    <mergeCell ref="M7302:N7302"/>
    <mergeCell ref="K7303:L7303"/>
    <mergeCell ref="M7303:N7303"/>
    <mergeCell ref="I7298:J7298"/>
    <mergeCell ref="I7299:J7299"/>
    <mergeCell ref="I7300:J7300"/>
    <mergeCell ref="M7300:N7300"/>
    <mergeCell ref="I7301:J7301"/>
    <mergeCell ref="M7301:N7301"/>
    <mergeCell ref="I7302:J7302"/>
    <mergeCell ref="I7311:J7311"/>
    <mergeCell ref="K7311:L7311"/>
    <mergeCell ref="A7312:G7312"/>
    <mergeCell ref="A7313:G7313"/>
    <mergeCell ref="A7314:G7314"/>
    <mergeCell ref="A7315:G7315"/>
    <mergeCell ref="A7316:G7316"/>
    <mergeCell ref="A7317:G7317"/>
    <mergeCell ref="I7316:J7316"/>
    <mergeCell ref="K7316:L7316"/>
    <mergeCell ref="M7316:N7316"/>
    <mergeCell ref="I7317:J7317"/>
    <mergeCell ref="K7317:L7317"/>
    <mergeCell ref="M7317:N7317"/>
    <mergeCell ref="K7318:L7318"/>
    <mergeCell ref="A7322:G7322"/>
    <mergeCell ref="A7323:G7323"/>
    <mergeCell ref="A7324:G7324"/>
    <mergeCell ref="A7325:G7325"/>
    <mergeCell ref="A7326:G7326"/>
    <mergeCell ref="M7318:N7318"/>
    <mergeCell ref="A7320:N7320"/>
    <mergeCell ref="A7321:G7321"/>
    <mergeCell ref="I7321:J7321"/>
    <mergeCell ref="K7321:L7321"/>
    <mergeCell ref="M7321:N7321"/>
    <mergeCell ref="M7322:N7322"/>
    <mergeCell ref="I7322:J7322"/>
    <mergeCell ref="K7322:L7322"/>
    <mergeCell ref="I7323:J7323"/>
    <mergeCell ref="K7323:L7323"/>
    <mergeCell ref="M7323:N7323"/>
    <mergeCell ref="K7324:L7324"/>
    <mergeCell ref="M7324:N7324"/>
    <mergeCell ref="I7324:J7324"/>
    <mergeCell ref="I7325:J7325"/>
    <mergeCell ref="K7325:L7325"/>
    <mergeCell ref="M7325:N7325"/>
    <mergeCell ref="I7326:J7326"/>
    <mergeCell ref="K7326:L7326"/>
    <mergeCell ref="M7326:N7326"/>
    <mergeCell ref="I7312:J7312"/>
    <mergeCell ref="K7312:L7312"/>
    <mergeCell ref="M7312:N7312"/>
    <mergeCell ref="K7313:L7313"/>
    <mergeCell ref="M7313:N7313"/>
    <mergeCell ref="I7313:J7313"/>
    <mergeCell ref="I7314:J7314"/>
    <mergeCell ref="K7314:L7314"/>
    <mergeCell ref="M7314:N7314"/>
    <mergeCell ref="I7315:J7315"/>
    <mergeCell ref="K7315:L7315"/>
    <mergeCell ref="M7315:N7315"/>
    <mergeCell ref="I7330:J7330"/>
    <mergeCell ref="I7331:J7331"/>
    <mergeCell ref="K7331:L7331"/>
    <mergeCell ref="M7331:N7331"/>
    <mergeCell ref="K7327:L7327"/>
    <mergeCell ref="M7327:N7327"/>
    <mergeCell ref="A7329:N7329"/>
    <mergeCell ref="A7330:G7330"/>
    <mergeCell ref="K7330:L7330"/>
    <mergeCell ref="M7330:N7330"/>
    <mergeCell ref="A7331:G7331"/>
    <mergeCell ref="A7355:G7355"/>
    <mergeCell ref="I7355:J7355"/>
    <mergeCell ref="K7355:L7355"/>
    <mergeCell ref="M7355:N7355"/>
    <mergeCell ref="I7356:J7356"/>
    <mergeCell ref="K7356:L7356"/>
    <mergeCell ref="M7356:N7356"/>
    <mergeCell ref="A7356:G7356"/>
    <mergeCell ref="A7357:G7357"/>
    <mergeCell ref="I7357:J7357"/>
    <mergeCell ref="K7357:L7357"/>
    <mergeCell ref="M7357:N7357"/>
    <mergeCell ref="A7358:G7358"/>
    <mergeCell ref="A7359:G7359"/>
    <mergeCell ref="A7360:G7360"/>
    <mergeCell ref="I7360:J7360"/>
    <mergeCell ref="K7360:L7360"/>
    <mergeCell ref="M7360:N7360"/>
    <mergeCell ref="I7361:J7361"/>
    <mergeCell ref="K7361:L7361"/>
    <mergeCell ref="M7361:N7361"/>
    <mergeCell ref="A7361:G7361"/>
    <mergeCell ref="M7353:N7353"/>
    <mergeCell ref="I7353:J7353"/>
    <mergeCell ref="I7354:J7354"/>
    <mergeCell ref="K7354:L7354"/>
    <mergeCell ref="M7354:N7354"/>
    <mergeCell ref="M7344:N7344"/>
    <mergeCell ref="K7345:L7345"/>
    <mergeCell ref="M7345:N7345"/>
    <mergeCell ref="A7347:N7348"/>
    <mergeCell ref="A7352:N7352"/>
    <mergeCell ref="A7353:G7353"/>
    <mergeCell ref="A7354:G7354"/>
    <mergeCell ref="K7358:L7358"/>
    <mergeCell ref="M7358:N7358"/>
    <mergeCell ref="I7358:J7358"/>
    <mergeCell ref="I7359:J7359"/>
    <mergeCell ref="K7359:L7359"/>
    <mergeCell ref="M7359:N7359"/>
    <mergeCell ref="A7332:G7332"/>
    <mergeCell ref="I7332:J7332"/>
    <mergeCell ref="K7332:L7332"/>
    <mergeCell ref="M7332:N7332"/>
    <mergeCell ref="I7333:J7333"/>
    <mergeCell ref="K7333:L7333"/>
    <mergeCell ref="M7333:N7333"/>
    <mergeCell ref="K7335:L7335"/>
    <mergeCell ref="M7335:N7335"/>
    <mergeCell ref="K7336:L7336"/>
    <mergeCell ref="M7336:N7336"/>
    <mergeCell ref="A7333:G7333"/>
    <mergeCell ref="A7334:G7334"/>
    <mergeCell ref="I7334:J7334"/>
    <mergeCell ref="K7334:L7334"/>
    <mergeCell ref="M7334:N7334"/>
    <mergeCell ref="A7335:G7335"/>
    <mergeCell ref="I7335:J7335"/>
    <mergeCell ref="A7341:G7341"/>
    <mergeCell ref="A7342:G7342"/>
    <mergeCell ref="A7343:G7343"/>
    <mergeCell ref="A7344:G7344"/>
    <mergeCell ref="A7338:N7338"/>
    <mergeCell ref="A7339:G7339"/>
    <mergeCell ref="I7339:J7339"/>
    <mergeCell ref="M7339:N7339"/>
    <mergeCell ref="A7340:G7340"/>
    <mergeCell ref="M7340:N7340"/>
    <mergeCell ref="M7341:N7341"/>
    <mergeCell ref="I7340:J7340"/>
    <mergeCell ref="I7341:J7341"/>
    <mergeCell ref="I7342:J7342"/>
    <mergeCell ref="M7342:N7342"/>
    <mergeCell ref="I7343:J7343"/>
    <mergeCell ref="M7343:N7343"/>
    <mergeCell ref="I7344:J7344"/>
    <mergeCell ref="K7362:L7362"/>
    <mergeCell ref="M7362:N7362"/>
    <mergeCell ref="K7375:L7375"/>
    <mergeCell ref="M7375:N7375"/>
    <mergeCell ref="M7388:N7388"/>
    <mergeCell ref="K7389:L7389"/>
    <mergeCell ref="M7389:N7389"/>
    <mergeCell ref="I7384:J7384"/>
    <mergeCell ref="I7385:J7385"/>
    <mergeCell ref="I7386:J7386"/>
    <mergeCell ref="M7386:N7386"/>
    <mergeCell ref="I7387:J7387"/>
    <mergeCell ref="M7387:N7387"/>
    <mergeCell ref="I7388:J7388"/>
    <mergeCell ref="A7382:N7382"/>
    <mergeCell ref="A7383:G7383"/>
    <mergeCell ref="I7383:J7383"/>
    <mergeCell ref="M7383:N7383"/>
    <mergeCell ref="A7384:G7384"/>
    <mergeCell ref="M7384:N7384"/>
    <mergeCell ref="M7385:N7385"/>
    <mergeCell ref="A7385:G7385"/>
    <mergeCell ref="A7386:G7386"/>
    <mergeCell ref="A7387:G7387"/>
    <mergeCell ref="A7388:G7388"/>
    <mergeCell ref="K7353:L7353"/>
    <mergeCell ref="A7391:N7392"/>
    <mergeCell ref="A7396:N7396"/>
    <mergeCell ref="M7397:N7397"/>
    <mergeCell ref="I7397:J7397"/>
    <mergeCell ref="K7397:L7397"/>
    <mergeCell ref="I7398:J7398"/>
    <mergeCell ref="K7398:L7398"/>
    <mergeCell ref="M7398:N7398"/>
    <mergeCell ref="A7364:N7364"/>
    <mergeCell ref="A7365:G7365"/>
    <mergeCell ref="I7365:J7365"/>
    <mergeCell ref="K7365:L7365"/>
    <mergeCell ref="M7365:N7365"/>
    <mergeCell ref="A7366:G7366"/>
    <mergeCell ref="M7366:N7366"/>
    <mergeCell ref="I7368:J7368"/>
    <mergeCell ref="K7368:L7368"/>
    <mergeCell ref="I7366:J7366"/>
    <mergeCell ref="K7366:L7366"/>
    <mergeCell ref="A7367:G7367"/>
    <mergeCell ref="I7367:J7367"/>
    <mergeCell ref="K7367:L7367"/>
    <mergeCell ref="M7367:N7367"/>
    <mergeCell ref="M7368:N7368"/>
    <mergeCell ref="K7370:L7370"/>
    <mergeCell ref="M7370:N7370"/>
    <mergeCell ref="K7371:L7371"/>
    <mergeCell ref="M7371:N7371"/>
    <mergeCell ref="A7368:G7368"/>
    <mergeCell ref="A7369:G7369"/>
    <mergeCell ref="I7369:J7369"/>
    <mergeCell ref="K7369:L7369"/>
    <mergeCell ref="M7369:N7369"/>
    <mergeCell ref="A7370:G7370"/>
    <mergeCell ref="I7370:J7370"/>
    <mergeCell ref="K7399:L7399"/>
    <mergeCell ref="M7399:N7399"/>
    <mergeCell ref="I7399:J7399"/>
    <mergeCell ref="I7400:J7400"/>
    <mergeCell ref="K7400:L7400"/>
    <mergeCell ref="M7400:N7400"/>
    <mergeCell ref="I7401:J7401"/>
    <mergeCell ref="K7401:L7401"/>
    <mergeCell ref="M7401:N7401"/>
    <mergeCell ref="A7397:G7397"/>
    <mergeCell ref="A7398:G7398"/>
    <mergeCell ref="A7399:G7399"/>
    <mergeCell ref="A7400:G7400"/>
    <mergeCell ref="A7401:G7401"/>
    <mergeCell ref="A7402:G7402"/>
    <mergeCell ref="A7403:G7403"/>
    <mergeCell ref="A7411:G7411"/>
    <mergeCell ref="A7412:G7412"/>
    <mergeCell ref="A7413:G7413"/>
    <mergeCell ref="A7414:G7414"/>
    <mergeCell ref="A7404:G7404"/>
    <mergeCell ref="A7405:G7405"/>
    <mergeCell ref="A7406:G7406"/>
    <mergeCell ref="A7407:G7407"/>
    <mergeCell ref="A7408:G7408"/>
    <mergeCell ref="A7409:G7409"/>
    <mergeCell ref="A7410:G7410"/>
    <mergeCell ref="I7375:J7375"/>
    <mergeCell ref="I7376:J7376"/>
    <mergeCell ref="K7376:L7376"/>
    <mergeCell ref="M7376:N7376"/>
    <mergeCell ref="A7373:N7373"/>
    <mergeCell ref="A7374:G7374"/>
    <mergeCell ref="I7374:J7374"/>
    <mergeCell ref="K7374:L7374"/>
    <mergeCell ref="M7374:N7374"/>
    <mergeCell ref="A7375:G7375"/>
    <mergeCell ref="A7376:G7376"/>
    <mergeCell ref="A7377:G7377"/>
    <mergeCell ref="I7377:J7377"/>
    <mergeCell ref="K7377:L7377"/>
    <mergeCell ref="M7377:N7377"/>
    <mergeCell ref="I7378:J7378"/>
    <mergeCell ref="K7378:L7378"/>
    <mergeCell ref="M7378:N7378"/>
    <mergeCell ref="A7378:G7378"/>
    <mergeCell ref="A7379:G7379"/>
    <mergeCell ref="I7379:J7379"/>
    <mergeCell ref="K7379:L7379"/>
    <mergeCell ref="M7379:N7379"/>
    <mergeCell ref="K7380:L7380"/>
    <mergeCell ref="M7380:N7380"/>
    <mergeCell ref="K7404:L7404"/>
    <mergeCell ref="M7404:N7404"/>
    <mergeCell ref="I7402:J7402"/>
    <mergeCell ref="K7402:L7402"/>
    <mergeCell ref="M7402:N7402"/>
    <mergeCell ref="I7403:J7403"/>
    <mergeCell ref="K7403:L7403"/>
    <mergeCell ref="M7403:N7403"/>
    <mergeCell ref="I7404:J7404"/>
    <mergeCell ref="I7414:J7414"/>
    <mergeCell ref="K7414:L7414"/>
    <mergeCell ref="M7414:N7414"/>
    <mergeCell ref="M7025:N7025"/>
    <mergeCell ref="K7026:L7026"/>
    <mergeCell ref="M7026:N7026"/>
    <mergeCell ref="K7030:L7030"/>
    <mergeCell ref="M7030:N7030"/>
    <mergeCell ref="A7033:G7033"/>
    <mergeCell ref="A7034:G7034"/>
    <mergeCell ref="I7034:J7034"/>
    <mergeCell ref="K7034:L7034"/>
    <mergeCell ref="M7034:N7034"/>
    <mergeCell ref="K7035:L7035"/>
    <mergeCell ref="M7035:N7035"/>
    <mergeCell ref="A7040:G7040"/>
    <mergeCell ref="A7041:G7041"/>
    <mergeCell ref="A7042:G7042"/>
    <mergeCell ref="A7043:G7043"/>
    <mergeCell ref="A7037:N7037"/>
    <mergeCell ref="A7038:G7038"/>
    <mergeCell ref="I7038:J7038"/>
    <mergeCell ref="M7038:N7038"/>
    <mergeCell ref="A7039:G7039"/>
    <mergeCell ref="M7039:N7039"/>
    <mergeCell ref="M7040:N7040"/>
    <mergeCell ref="I7039:J7039"/>
    <mergeCell ref="I7040:J7040"/>
    <mergeCell ref="I7041:J7041"/>
    <mergeCell ref="M7041:N7041"/>
    <mergeCell ref="I7042:J7042"/>
    <mergeCell ref="M7042:N7042"/>
    <mergeCell ref="I7043:J7043"/>
    <mergeCell ref="K7052:L7052"/>
    <mergeCell ref="M7052:N7052"/>
    <mergeCell ref="I7052:J7052"/>
    <mergeCell ref="K7075:L7075"/>
    <mergeCell ref="M7075:N7075"/>
    <mergeCell ref="M7076:N7076"/>
    <mergeCell ref="K7078:L7078"/>
    <mergeCell ref="M7078:N7078"/>
    <mergeCell ref="K7079:L7079"/>
    <mergeCell ref="M7079:N7079"/>
    <mergeCell ref="A7076:G7076"/>
    <mergeCell ref="A7077:G7077"/>
    <mergeCell ref="I7077:J7077"/>
    <mergeCell ref="K7077:L7077"/>
    <mergeCell ref="M7077:N7077"/>
    <mergeCell ref="A7078:G7078"/>
    <mergeCell ref="I7078:J7078"/>
    <mergeCell ref="A7059:G7059"/>
    <mergeCell ref="I7059:J7059"/>
    <mergeCell ref="K7059:L7059"/>
    <mergeCell ref="M7059:N7059"/>
    <mergeCell ref="I7060:J7060"/>
    <mergeCell ref="K7060:L7060"/>
    <mergeCell ref="M7060:N7060"/>
    <mergeCell ref="A7060:G7060"/>
    <mergeCell ref="A7063:N7063"/>
    <mergeCell ref="A7064:G7064"/>
    <mergeCell ref="I7064:J7064"/>
    <mergeCell ref="K7064:L7064"/>
    <mergeCell ref="M7064:N7064"/>
    <mergeCell ref="M7065:N7065"/>
    <mergeCell ref="I7053:J7053"/>
    <mergeCell ref="K7053:L7053"/>
    <mergeCell ref="M7053:N7053"/>
    <mergeCell ref="M7043:N7043"/>
    <mergeCell ref="K7044:L7044"/>
    <mergeCell ref="M7044:N7044"/>
    <mergeCell ref="A7046:N7047"/>
    <mergeCell ref="A7051:N7051"/>
    <mergeCell ref="A7052:G7052"/>
    <mergeCell ref="A7053:G7053"/>
    <mergeCell ref="I7065:J7065"/>
    <mergeCell ref="K7065:L7065"/>
    <mergeCell ref="I7066:J7066"/>
    <mergeCell ref="K7066:L7066"/>
    <mergeCell ref="M7066:N7066"/>
    <mergeCell ref="K7067:L7067"/>
    <mergeCell ref="M7067:N7067"/>
    <mergeCell ref="I7067:J7067"/>
    <mergeCell ref="I7068:J7068"/>
    <mergeCell ref="K7068:L7068"/>
    <mergeCell ref="M7068:N7068"/>
    <mergeCell ref="I7069:J7069"/>
    <mergeCell ref="K7069:L7069"/>
    <mergeCell ref="M7069:N7069"/>
    <mergeCell ref="K7074:L7074"/>
    <mergeCell ref="M7074:N7074"/>
    <mergeCell ref="K7070:L7070"/>
    <mergeCell ref="M7070:N7070"/>
    <mergeCell ref="A7072:N7072"/>
    <mergeCell ref="A7073:G7073"/>
    <mergeCell ref="K7073:L7073"/>
    <mergeCell ref="M7073:N7073"/>
    <mergeCell ref="A7074:G7074"/>
    <mergeCell ref="A7084:G7084"/>
    <mergeCell ref="A7085:G7085"/>
    <mergeCell ref="I7085:J7085"/>
    <mergeCell ref="M7085:N7085"/>
    <mergeCell ref="A7086:G7086"/>
    <mergeCell ref="M7086:N7086"/>
    <mergeCell ref="M7087:N7087"/>
    <mergeCell ref="I7096:J7096"/>
    <mergeCell ref="I7097:J7097"/>
    <mergeCell ref="K7097:L7097"/>
    <mergeCell ref="M7097:N7097"/>
    <mergeCell ref="A7087:G7087"/>
    <mergeCell ref="A7090:N7091"/>
    <mergeCell ref="A7095:N7095"/>
    <mergeCell ref="A7096:G7096"/>
    <mergeCell ref="K7096:L7096"/>
    <mergeCell ref="M7096:N7096"/>
    <mergeCell ref="A7097:G7097"/>
    <mergeCell ref="K7101:L7101"/>
    <mergeCell ref="M7101:N7101"/>
    <mergeCell ref="I7101:J7101"/>
    <mergeCell ref="I7102:J7102"/>
    <mergeCell ref="I7083:J7083"/>
    <mergeCell ref="I7084:J7084"/>
    <mergeCell ref="A7081:N7081"/>
    <mergeCell ref="A7082:G7082"/>
    <mergeCell ref="I7082:J7082"/>
    <mergeCell ref="M7082:N7082"/>
    <mergeCell ref="A7083:G7083"/>
    <mergeCell ref="M7083:N7083"/>
    <mergeCell ref="M7084:N7084"/>
    <mergeCell ref="A7054:G7054"/>
    <mergeCell ref="I7054:J7054"/>
    <mergeCell ref="K7054:L7054"/>
    <mergeCell ref="M7054:N7054"/>
    <mergeCell ref="I7055:J7055"/>
    <mergeCell ref="K7055:L7055"/>
    <mergeCell ref="M7055:N7055"/>
    <mergeCell ref="K7057:L7057"/>
    <mergeCell ref="M7057:N7057"/>
    <mergeCell ref="I7057:J7057"/>
    <mergeCell ref="I7058:J7058"/>
    <mergeCell ref="K7058:L7058"/>
    <mergeCell ref="M7058:N7058"/>
    <mergeCell ref="K7061:L7061"/>
    <mergeCell ref="M7061:N7061"/>
    <mergeCell ref="A7055:G7055"/>
    <mergeCell ref="A7056:G7056"/>
    <mergeCell ref="I7056:J7056"/>
    <mergeCell ref="K7056:L7056"/>
    <mergeCell ref="M7056:N7056"/>
    <mergeCell ref="A7057:G7057"/>
    <mergeCell ref="A7058:G7058"/>
    <mergeCell ref="A7065:G7065"/>
    <mergeCell ref="A7066:G7066"/>
    <mergeCell ref="A7067:G7067"/>
    <mergeCell ref="A7068:G7068"/>
    <mergeCell ref="A7069:G7069"/>
    <mergeCell ref="I7076:J7076"/>
    <mergeCell ref="K7076:L7076"/>
    <mergeCell ref="I7073:J7073"/>
    <mergeCell ref="I7074:J7074"/>
    <mergeCell ref="A7075:G7075"/>
    <mergeCell ref="I7075:J7075"/>
    <mergeCell ref="M7105:N7105"/>
    <mergeCell ref="K7118:L7118"/>
    <mergeCell ref="M7118:N7118"/>
    <mergeCell ref="K7114:L7114"/>
    <mergeCell ref="M7114:N7114"/>
    <mergeCell ref="A7116:N7116"/>
    <mergeCell ref="A7117:G7117"/>
    <mergeCell ref="K7117:L7117"/>
    <mergeCell ref="M7117:N7117"/>
    <mergeCell ref="A7118:G7118"/>
    <mergeCell ref="A7119:G7119"/>
    <mergeCell ref="I7119:J7119"/>
    <mergeCell ref="K7119:L7119"/>
    <mergeCell ref="M7119:N7119"/>
    <mergeCell ref="I7120:J7120"/>
    <mergeCell ref="K7120:L7120"/>
    <mergeCell ref="M7120:N7120"/>
    <mergeCell ref="A7120:G7120"/>
    <mergeCell ref="A7121:G7121"/>
    <mergeCell ref="I7121:J7121"/>
    <mergeCell ref="K7121:L7121"/>
    <mergeCell ref="M7121:N7121"/>
    <mergeCell ref="A7122:G7122"/>
    <mergeCell ref="I7122:J7122"/>
    <mergeCell ref="K7122:L7122"/>
    <mergeCell ref="M7122:N7122"/>
    <mergeCell ref="K7123:L7123"/>
    <mergeCell ref="M7123:N7123"/>
    <mergeCell ref="A7125:N7125"/>
    <mergeCell ref="I7126:J7126"/>
    <mergeCell ref="M7126:N7126"/>
    <mergeCell ref="A7126:G7126"/>
    <mergeCell ref="I7086:J7086"/>
    <mergeCell ref="I7087:J7087"/>
    <mergeCell ref="K7088:L7088"/>
    <mergeCell ref="M7088:N7088"/>
    <mergeCell ref="A7098:G7098"/>
    <mergeCell ref="I7098:J7098"/>
    <mergeCell ref="K7098:L7098"/>
    <mergeCell ref="M7098:N7098"/>
    <mergeCell ref="I7099:J7099"/>
    <mergeCell ref="K7099:L7099"/>
    <mergeCell ref="M7099:N7099"/>
    <mergeCell ref="A7099:G7099"/>
    <mergeCell ref="A7100:G7100"/>
    <mergeCell ref="I7100:J7100"/>
    <mergeCell ref="K7100:L7100"/>
    <mergeCell ref="M7100:N7100"/>
    <mergeCell ref="A7101:G7101"/>
    <mergeCell ref="A7102:G7102"/>
    <mergeCell ref="A7127:G7127"/>
    <mergeCell ref="I7127:J7127"/>
    <mergeCell ref="M7127:N7127"/>
    <mergeCell ref="A7128:G7128"/>
    <mergeCell ref="M7128:N7128"/>
    <mergeCell ref="A7129:G7129"/>
    <mergeCell ref="M7129:N7129"/>
    <mergeCell ref="M7131:N7131"/>
    <mergeCell ref="K7132:L7132"/>
    <mergeCell ref="M7132:N7132"/>
    <mergeCell ref="I7128:J7128"/>
    <mergeCell ref="I7129:J7129"/>
    <mergeCell ref="A7130:G7130"/>
    <mergeCell ref="I7130:J7130"/>
    <mergeCell ref="M7130:N7130"/>
    <mergeCell ref="A7131:G7131"/>
    <mergeCell ref="I7131:J7131"/>
    <mergeCell ref="I7141:J7141"/>
    <mergeCell ref="K7141:L7141"/>
    <mergeCell ref="A7134:N7135"/>
    <mergeCell ref="A7139:N7139"/>
    <mergeCell ref="A7140:G7140"/>
    <mergeCell ref="I7140:J7140"/>
    <mergeCell ref="K7140:L7140"/>
    <mergeCell ref="M7140:N7140"/>
    <mergeCell ref="M7141:N7141"/>
    <mergeCell ref="K7102:L7102"/>
    <mergeCell ref="M7102:N7102"/>
    <mergeCell ref="A7103:G7103"/>
    <mergeCell ref="I7103:J7103"/>
    <mergeCell ref="K7103:L7103"/>
    <mergeCell ref="M7103:N7103"/>
    <mergeCell ref="M7104:N7104"/>
    <mergeCell ref="A7109:G7109"/>
    <mergeCell ref="A7110:G7110"/>
    <mergeCell ref="A7111:G7111"/>
    <mergeCell ref="A7112:G7112"/>
    <mergeCell ref="A7113:G7113"/>
    <mergeCell ref="A7104:G7104"/>
    <mergeCell ref="A7107:N7107"/>
    <mergeCell ref="A7108:G7108"/>
    <mergeCell ref="I7108:J7108"/>
    <mergeCell ref="K7108:L7108"/>
    <mergeCell ref="M7108:N7108"/>
    <mergeCell ref="M7109:N7109"/>
    <mergeCell ref="I7109:J7109"/>
    <mergeCell ref="K7109:L7109"/>
    <mergeCell ref="I7110:J7110"/>
    <mergeCell ref="K7110:L7110"/>
    <mergeCell ref="M7110:N7110"/>
    <mergeCell ref="K7111:L7111"/>
    <mergeCell ref="M7111:N7111"/>
    <mergeCell ref="I7111:J7111"/>
    <mergeCell ref="I7112:J7112"/>
    <mergeCell ref="K7112:L7112"/>
    <mergeCell ref="M7112:N7112"/>
    <mergeCell ref="I7113:J7113"/>
    <mergeCell ref="K7113:L7113"/>
    <mergeCell ref="M7113:N7113"/>
    <mergeCell ref="I7117:J7117"/>
    <mergeCell ref="I7118:J7118"/>
    <mergeCell ref="I7104:J7104"/>
    <mergeCell ref="K7104:L7104"/>
    <mergeCell ref="K7105:L7105"/>
    <mergeCell ref="K7143:L7143"/>
    <mergeCell ref="M7143:N7143"/>
    <mergeCell ref="K7153:L7153"/>
    <mergeCell ref="M7153:N7153"/>
    <mergeCell ref="A7150:N7150"/>
    <mergeCell ref="A7151:G7151"/>
    <mergeCell ref="I7151:J7151"/>
    <mergeCell ref="K7151:L7151"/>
    <mergeCell ref="M7151:N7151"/>
    <mergeCell ref="A7152:G7152"/>
    <mergeCell ref="A7153:G7153"/>
    <mergeCell ref="I7155:J7155"/>
    <mergeCell ref="K7155:L7155"/>
    <mergeCell ref="I7152:J7152"/>
    <mergeCell ref="I7153:J7153"/>
    <mergeCell ref="A7154:G7154"/>
    <mergeCell ref="I7154:J7154"/>
    <mergeCell ref="K7154:L7154"/>
    <mergeCell ref="M7154:N7154"/>
    <mergeCell ref="M7155:N7155"/>
    <mergeCell ref="I7143:J7143"/>
    <mergeCell ref="I7144:J7144"/>
    <mergeCell ref="K7144:L7144"/>
    <mergeCell ref="M7144:N7144"/>
    <mergeCell ref="A7141:G7141"/>
    <mergeCell ref="A7142:G7142"/>
    <mergeCell ref="I7142:J7142"/>
    <mergeCell ref="K7142:L7142"/>
    <mergeCell ref="M7142:N7142"/>
    <mergeCell ref="A7143:G7143"/>
    <mergeCell ref="A7144:G7144"/>
    <mergeCell ref="A7145:G7145"/>
    <mergeCell ref="I7145:J7145"/>
    <mergeCell ref="K7145:L7145"/>
    <mergeCell ref="M7145:N7145"/>
    <mergeCell ref="I7146:J7146"/>
    <mergeCell ref="K7146:L7146"/>
    <mergeCell ref="M7146:N7146"/>
    <mergeCell ref="A7146:G7146"/>
    <mergeCell ref="A7147:G7147"/>
    <mergeCell ref="I7147:J7147"/>
    <mergeCell ref="K7147:L7147"/>
    <mergeCell ref="M7147:N7147"/>
    <mergeCell ref="K7148:L7148"/>
    <mergeCell ref="M7148:N7148"/>
    <mergeCell ref="K7152:L7152"/>
    <mergeCell ref="M7152:N7152"/>
    <mergeCell ref="A7155:G7155"/>
    <mergeCell ref="A7156:G7156"/>
    <mergeCell ref="I7156:J7156"/>
    <mergeCell ref="K7156:L7156"/>
    <mergeCell ref="M7156:N7156"/>
    <mergeCell ref="K7157:L7157"/>
    <mergeCell ref="M7157:N7157"/>
    <mergeCell ref="I7170:J7170"/>
    <mergeCell ref="I7171:J7171"/>
    <mergeCell ref="A7168:N7168"/>
    <mergeCell ref="A7169:G7169"/>
    <mergeCell ref="I7169:J7169"/>
    <mergeCell ref="M7169:N7169"/>
    <mergeCell ref="A7170:G7170"/>
    <mergeCell ref="M7170:N7170"/>
    <mergeCell ref="M7171:N7171"/>
    <mergeCell ref="K7161:L7161"/>
    <mergeCell ref="M7161:N7161"/>
    <mergeCell ref="I7161:J7161"/>
    <mergeCell ref="I7162:J7162"/>
    <mergeCell ref="K7162:L7162"/>
    <mergeCell ref="M7162:N7162"/>
    <mergeCell ref="A7159:N7159"/>
    <mergeCell ref="A7160:G7160"/>
    <mergeCell ref="I7160:J7160"/>
    <mergeCell ref="K7160:L7160"/>
    <mergeCell ref="M7160:N7160"/>
    <mergeCell ref="A7161:G7161"/>
    <mergeCell ref="A7162:G7162"/>
    <mergeCell ref="A7163:G7163"/>
    <mergeCell ref="I7163:J7163"/>
    <mergeCell ref="K7163:L7163"/>
    <mergeCell ref="M7163:N7163"/>
    <mergeCell ref="I7164:J7164"/>
    <mergeCell ref="K7164:L7164"/>
    <mergeCell ref="M7164:N7164"/>
    <mergeCell ref="A7164:G7164"/>
    <mergeCell ref="A7165:G7165"/>
    <mergeCell ref="I7165:J7165"/>
    <mergeCell ref="K7165:L7165"/>
    <mergeCell ref="M7165:N7165"/>
    <mergeCell ref="K7166:L7166"/>
    <mergeCell ref="M7166:N7166"/>
    <mergeCell ref="I7173:J7173"/>
    <mergeCell ref="I7174:J7174"/>
    <mergeCell ref="K7175:L7175"/>
    <mergeCell ref="M7175:N7175"/>
    <mergeCell ref="A7185:G7185"/>
    <mergeCell ref="I7185:J7185"/>
    <mergeCell ref="K7185:L7185"/>
    <mergeCell ref="M7185:N7185"/>
    <mergeCell ref="I7186:J7186"/>
    <mergeCell ref="K7186:L7186"/>
    <mergeCell ref="M7186:N7186"/>
    <mergeCell ref="A7186:G7186"/>
    <mergeCell ref="A7187:G7187"/>
    <mergeCell ref="I7187:J7187"/>
    <mergeCell ref="K7187:L7187"/>
    <mergeCell ref="M7187:N7187"/>
    <mergeCell ref="A7188:G7188"/>
    <mergeCell ref="A7189:G7189"/>
    <mergeCell ref="A7171:G7171"/>
    <mergeCell ref="A7172:G7172"/>
    <mergeCell ref="I7172:J7172"/>
    <mergeCell ref="M7172:N7172"/>
    <mergeCell ref="A7173:G7173"/>
    <mergeCell ref="M7173:N7173"/>
    <mergeCell ref="M7174:N7174"/>
    <mergeCell ref="I7183:J7183"/>
    <mergeCell ref="I7184:J7184"/>
    <mergeCell ref="K7184:L7184"/>
    <mergeCell ref="M7184:N7184"/>
    <mergeCell ref="A7174:G7174"/>
    <mergeCell ref="A7177:N7178"/>
    <mergeCell ref="A7182:N7182"/>
    <mergeCell ref="A7183:G7183"/>
    <mergeCell ref="K7183:L7183"/>
    <mergeCell ref="M7183:N7183"/>
    <mergeCell ref="A7184:G7184"/>
    <mergeCell ref="K7188:L7188"/>
    <mergeCell ref="M7188:N7188"/>
    <mergeCell ref="I7188:J7188"/>
    <mergeCell ref="I7189:J7189"/>
    <mergeCell ref="K7191:L7191"/>
    <mergeCell ref="M7191:N7191"/>
    <mergeCell ref="K7189:L7189"/>
    <mergeCell ref="M7189:N7189"/>
    <mergeCell ref="A7190:G7190"/>
    <mergeCell ref="I7190:J7190"/>
    <mergeCell ref="K7190:L7190"/>
    <mergeCell ref="M7190:N7190"/>
    <mergeCell ref="A7193:N7193"/>
    <mergeCell ref="I7206:J7206"/>
    <mergeCell ref="K7206:L7206"/>
    <mergeCell ref="I7203:J7203"/>
    <mergeCell ref="I7204:J7204"/>
    <mergeCell ref="A7205:G7205"/>
    <mergeCell ref="I7205:J7205"/>
    <mergeCell ref="K7205:L7205"/>
    <mergeCell ref="M7205:N7205"/>
    <mergeCell ref="M7206:N7206"/>
    <mergeCell ref="K7208:L7208"/>
    <mergeCell ref="M7208:N7208"/>
    <mergeCell ref="K7209:L7209"/>
    <mergeCell ref="M7209:N7209"/>
    <mergeCell ref="A7206:G7206"/>
    <mergeCell ref="A7207:G7207"/>
    <mergeCell ref="I7207:J7207"/>
    <mergeCell ref="K7207:L7207"/>
    <mergeCell ref="M7207:N7207"/>
    <mergeCell ref="A7208:G7208"/>
    <mergeCell ref="I7208:J7208"/>
    <mergeCell ref="I7213:J7213"/>
    <mergeCell ref="I7214:J7214"/>
    <mergeCell ref="A7211:N7211"/>
    <mergeCell ref="A7212:G7212"/>
    <mergeCell ref="I7212:J7212"/>
    <mergeCell ref="M7212:N7212"/>
    <mergeCell ref="A7213:G7213"/>
    <mergeCell ref="M7213:N7213"/>
    <mergeCell ref="M7214:N7214"/>
    <mergeCell ref="K7204:L7204"/>
    <mergeCell ref="M7204:N7204"/>
    <mergeCell ref="A7199:G7199"/>
    <mergeCell ref="I7199:J7199"/>
    <mergeCell ref="K7199:L7199"/>
    <mergeCell ref="M7199:N7199"/>
    <mergeCell ref="A7202:N7202"/>
    <mergeCell ref="A7203:G7203"/>
    <mergeCell ref="A7204:G7204"/>
    <mergeCell ref="A7194:G7194"/>
    <mergeCell ref="I7194:J7194"/>
    <mergeCell ref="K7194:L7194"/>
    <mergeCell ref="M7194:N7194"/>
    <mergeCell ref="I7195:J7195"/>
    <mergeCell ref="K7195:L7195"/>
    <mergeCell ref="M7195:N7195"/>
    <mergeCell ref="K7197:L7197"/>
    <mergeCell ref="M7197:N7197"/>
    <mergeCell ref="I7197:J7197"/>
    <mergeCell ref="I7198:J7198"/>
    <mergeCell ref="K7198:L7198"/>
    <mergeCell ref="M7198:N7198"/>
    <mergeCell ref="K7200:L7200"/>
    <mergeCell ref="M7200:N7200"/>
    <mergeCell ref="A7195:G7195"/>
    <mergeCell ref="A7196:G7196"/>
    <mergeCell ref="I7196:J7196"/>
    <mergeCell ref="K7196:L7196"/>
    <mergeCell ref="M7196:N7196"/>
    <mergeCell ref="A7197:G7197"/>
    <mergeCell ref="A7198:G7198"/>
    <mergeCell ref="K7203:L7203"/>
    <mergeCell ref="M7203:N7203"/>
    <mergeCell ref="I7216:J7216"/>
    <mergeCell ref="I7217:J7217"/>
    <mergeCell ref="K7218:L7218"/>
    <mergeCell ref="M7218:N7218"/>
    <mergeCell ref="A7228:G7228"/>
    <mergeCell ref="I7228:J7228"/>
    <mergeCell ref="K7228:L7228"/>
    <mergeCell ref="M7228:N7228"/>
    <mergeCell ref="I7229:J7229"/>
    <mergeCell ref="K7229:L7229"/>
    <mergeCell ref="M7229:N7229"/>
    <mergeCell ref="A7229:G7229"/>
    <mergeCell ref="A7230:G7230"/>
    <mergeCell ref="I7230:J7230"/>
    <mergeCell ref="K7230:L7230"/>
    <mergeCell ref="M7230:N7230"/>
    <mergeCell ref="A7231:G7231"/>
    <mergeCell ref="A7232:G7232"/>
    <mergeCell ref="A7214:G7214"/>
    <mergeCell ref="A7215:G7215"/>
    <mergeCell ref="I7215:J7215"/>
    <mergeCell ref="M7215:N7215"/>
    <mergeCell ref="A7216:G7216"/>
    <mergeCell ref="M7216:N7216"/>
    <mergeCell ref="M7217:N7217"/>
    <mergeCell ref="I7226:J7226"/>
    <mergeCell ref="I7227:J7227"/>
    <mergeCell ref="K7227:L7227"/>
    <mergeCell ref="M7227:N7227"/>
    <mergeCell ref="A7217:G7217"/>
    <mergeCell ref="A7220:N7221"/>
    <mergeCell ref="A7225:N7225"/>
    <mergeCell ref="A7226:G7226"/>
    <mergeCell ref="K7226:L7226"/>
    <mergeCell ref="M7226:N7226"/>
    <mergeCell ref="A7227:G7227"/>
    <mergeCell ref="K7231:L7231"/>
    <mergeCell ref="M7231:N7231"/>
    <mergeCell ref="I7231:J7231"/>
    <mergeCell ref="I7232:J7232"/>
    <mergeCell ref="K7234:L7234"/>
    <mergeCell ref="M7234:N7234"/>
    <mergeCell ref="K7232:L7232"/>
    <mergeCell ref="M7232:N7232"/>
    <mergeCell ref="A7233:G7233"/>
    <mergeCell ref="I7233:J7233"/>
    <mergeCell ref="K7233:L7233"/>
    <mergeCell ref="M7233:N7233"/>
    <mergeCell ref="A7236:N7236"/>
    <mergeCell ref="I7249:J7249"/>
    <mergeCell ref="K7249:L7249"/>
    <mergeCell ref="I7246:J7246"/>
    <mergeCell ref="I7247:J7247"/>
    <mergeCell ref="A7248:G7248"/>
    <mergeCell ref="I7248:J7248"/>
    <mergeCell ref="K7248:L7248"/>
    <mergeCell ref="M7248:N7248"/>
    <mergeCell ref="M7249:N7249"/>
    <mergeCell ref="K7251:L7251"/>
    <mergeCell ref="M7251:N7251"/>
    <mergeCell ref="K7252:L7252"/>
    <mergeCell ref="M7252:N7252"/>
    <mergeCell ref="A7249:G7249"/>
    <mergeCell ref="A7250:G7250"/>
    <mergeCell ref="I7250:J7250"/>
    <mergeCell ref="K7250:L7250"/>
    <mergeCell ref="M7250:N7250"/>
    <mergeCell ref="A7251:G7251"/>
    <mergeCell ref="I7251:J7251"/>
    <mergeCell ref="I7256:J7256"/>
    <mergeCell ref="I7257:J7257"/>
    <mergeCell ref="A7254:N7254"/>
    <mergeCell ref="A7255:G7255"/>
    <mergeCell ref="I7255:J7255"/>
    <mergeCell ref="M7255:N7255"/>
    <mergeCell ref="A7256:G7256"/>
    <mergeCell ref="M7256:N7256"/>
    <mergeCell ref="M7257:N7257"/>
    <mergeCell ref="K7247:L7247"/>
    <mergeCell ref="M7247:N7247"/>
    <mergeCell ref="A7242:G7242"/>
    <mergeCell ref="I7242:J7242"/>
    <mergeCell ref="K7242:L7242"/>
    <mergeCell ref="M7242:N7242"/>
    <mergeCell ref="A7245:N7245"/>
    <mergeCell ref="A7246:G7246"/>
    <mergeCell ref="A7247:G7247"/>
    <mergeCell ref="A7237:G7237"/>
    <mergeCell ref="I7237:J7237"/>
    <mergeCell ref="K7237:L7237"/>
    <mergeCell ref="M7237:N7237"/>
    <mergeCell ref="I7238:J7238"/>
    <mergeCell ref="K7238:L7238"/>
    <mergeCell ref="M7238:N7238"/>
    <mergeCell ref="K7240:L7240"/>
    <mergeCell ref="M7240:N7240"/>
    <mergeCell ref="I7240:J7240"/>
    <mergeCell ref="I7241:J7241"/>
    <mergeCell ref="K7241:L7241"/>
    <mergeCell ref="M7241:N7241"/>
    <mergeCell ref="K7243:L7243"/>
    <mergeCell ref="M7243:N7243"/>
    <mergeCell ref="A7238:G7238"/>
    <mergeCell ref="A7239:G7239"/>
    <mergeCell ref="I7239:J7239"/>
    <mergeCell ref="K7239:L7239"/>
    <mergeCell ref="M7239:N7239"/>
    <mergeCell ref="A7240:G7240"/>
    <mergeCell ref="A7241:G7241"/>
    <mergeCell ref="K7246:L7246"/>
    <mergeCell ref="M7246:N7246"/>
    <mergeCell ref="I7259:J7259"/>
    <mergeCell ref="I7260:J7260"/>
    <mergeCell ref="K7261:L7261"/>
    <mergeCell ref="M7261:N7261"/>
    <mergeCell ref="A7271:G7271"/>
    <mergeCell ref="I7271:J7271"/>
    <mergeCell ref="K7271:L7271"/>
    <mergeCell ref="M7271:N7271"/>
    <mergeCell ref="I7272:J7272"/>
    <mergeCell ref="K7272:L7272"/>
    <mergeCell ref="M7272:N7272"/>
    <mergeCell ref="A7272:G7272"/>
    <mergeCell ref="A7273:G7273"/>
    <mergeCell ref="I7273:J7273"/>
    <mergeCell ref="K7273:L7273"/>
    <mergeCell ref="M7273:N7273"/>
    <mergeCell ref="A7274:G7274"/>
    <mergeCell ref="A7275:G7275"/>
    <mergeCell ref="A7257:G7257"/>
    <mergeCell ref="A7258:G7258"/>
    <mergeCell ref="I7258:J7258"/>
    <mergeCell ref="M7258:N7258"/>
    <mergeCell ref="A7259:G7259"/>
    <mergeCell ref="M7259:N7259"/>
    <mergeCell ref="M7260:N7260"/>
    <mergeCell ref="I7269:J7269"/>
    <mergeCell ref="I7270:J7270"/>
    <mergeCell ref="K7270:L7270"/>
    <mergeCell ref="M7270:N7270"/>
    <mergeCell ref="A7260:G7260"/>
    <mergeCell ref="A7263:N7264"/>
    <mergeCell ref="A7268:N7268"/>
    <mergeCell ref="A7269:G7269"/>
    <mergeCell ref="K7269:L7269"/>
    <mergeCell ref="M7269:N7269"/>
    <mergeCell ref="A7270:G7270"/>
    <mergeCell ref="K7274:L7274"/>
    <mergeCell ref="M7274:N7274"/>
    <mergeCell ref="I7274:J7274"/>
    <mergeCell ref="I7275:J7275"/>
    <mergeCell ref="K7279:L7279"/>
    <mergeCell ref="M7279:N7279"/>
    <mergeCell ref="I7279:J7279"/>
    <mergeCell ref="I7280:J7280"/>
    <mergeCell ref="K7280:L7280"/>
    <mergeCell ref="M7280:N7280"/>
    <mergeCell ref="K7275:L7275"/>
    <mergeCell ref="M7275:N7275"/>
    <mergeCell ref="K7276:L7276"/>
    <mergeCell ref="M7276:N7276"/>
    <mergeCell ref="A7278:N7278"/>
    <mergeCell ref="A7279:G7279"/>
    <mergeCell ref="A7280:G7280"/>
    <mergeCell ref="A7281:G7281"/>
    <mergeCell ref="I7281:J7281"/>
    <mergeCell ref="K7281:L7281"/>
    <mergeCell ref="M7281:N7281"/>
    <mergeCell ref="I7282:J7282"/>
    <mergeCell ref="K7282:L7282"/>
    <mergeCell ref="M7282:N7282"/>
    <mergeCell ref="K7284:L7284"/>
    <mergeCell ref="M7284:N7284"/>
    <mergeCell ref="K7285:L7285"/>
    <mergeCell ref="M7285:N7285"/>
    <mergeCell ref="A7282:G7282"/>
    <mergeCell ref="A7283:G7283"/>
    <mergeCell ref="I7283:J7283"/>
    <mergeCell ref="K7283:L7283"/>
    <mergeCell ref="M7283:N7283"/>
    <mergeCell ref="A7284:G7284"/>
    <mergeCell ref="I7284:J7284"/>
    <mergeCell ref="K7289:L7289"/>
    <mergeCell ref="M7289:N7289"/>
    <mergeCell ref="K7415:L7415"/>
    <mergeCell ref="M7415:N7415"/>
    <mergeCell ref="A7417:N7417"/>
    <mergeCell ref="M7418:N7418"/>
    <mergeCell ref="K7407:L7407"/>
    <mergeCell ref="M7407:N7407"/>
    <mergeCell ref="I7405:J7405"/>
    <mergeCell ref="K7405:L7405"/>
    <mergeCell ref="M7405:N7405"/>
    <mergeCell ref="I7406:J7406"/>
    <mergeCell ref="K7406:L7406"/>
    <mergeCell ref="M7406:N7406"/>
    <mergeCell ref="I7407:J7407"/>
    <mergeCell ref="K7410:L7410"/>
    <mergeCell ref="M7410:N7410"/>
    <mergeCell ref="I7408:J7408"/>
    <mergeCell ref="K7408:L7408"/>
    <mergeCell ref="M7408:N7408"/>
    <mergeCell ref="I7409:J7409"/>
    <mergeCell ref="K7409:L7409"/>
    <mergeCell ref="M7409:N7409"/>
    <mergeCell ref="I7410:J7410"/>
    <mergeCell ref="K7413:L7413"/>
    <mergeCell ref="M7413:N7413"/>
    <mergeCell ref="I7411:J7411"/>
    <mergeCell ref="K7411:L7411"/>
    <mergeCell ref="M7411:N7411"/>
    <mergeCell ref="I7412:J7412"/>
    <mergeCell ref="K7412:L7412"/>
    <mergeCell ref="M7412:N7412"/>
    <mergeCell ref="I7413:J7413"/>
    <mergeCell ref="K7420:L7420"/>
    <mergeCell ref="M7420:N7420"/>
    <mergeCell ref="I7428:J7428"/>
    <mergeCell ref="K7428:L7428"/>
    <mergeCell ref="I7429:J7429"/>
    <mergeCell ref="K7429:L7429"/>
    <mergeCell ref="M7429:N7429"/>
    <mergeCell ref="K7430:L7430"/>
    <mergeCell ref="M7430:N7430"/>
    <mergeCell ref="I7430:J7430"/>
    <mergeCell ref="I7431:J7431"/>
    <mergeCell ref="K7431:L7431"/>
    <mergeCell ref="M7431:N7431"/>
    <mergeCell ref="I7432:J7432"/>
    <mergeCell ref="K7432:L7432"/>
    <mergeCell ref="M7432:N7432"/>
    <mergeCell ref="I7420:J7420"/>
    <mergeCell ref="I7421:J7421"/>
    <mergeCell ref="K7421:L7421"/>
    <mergeCell ref="M7421:N7421"/>
    <mergeCell ref="K7424:L7424"/>
    <mergeCell ref="M7424:N7424"/>
    <mergeCell ref="A7418:G7418"/>
    <mergeCell ref="A7419:G7419"/>
    <mergeCell ref="I7419:J7419"/>
    <mergeCell ref="K7419:L7419"/>
    <mergeCell ref="M7419:N7419"/>
    <mergeCell ref="A7420:G7420"/>
    <mergeCell ref="A7421:G7421"/>
    <mergeCell ref="A7422:G7422"/>
    <mergeCell ref="I7422:J7422"/>
    <mergeCell ref="K7422:L7422"/>
    <mergeCell ref="M7422:N7422"/>
    <mergeCell ref="I7423:J7423"/>
    <mergeCell ref="K7423:L7423"/>
    <mergeCell ref="M7423:N7423"/>
    <mergeCell ref="A7428:G7428"/>
    <mergeCell ref="A7429:G7429"/>
    <mergeCell ref="A7430:G7430"/>
    <mergeCell ref="A7431:G7431"/>
    <mergeCell ref="A7432:G7432"/>
    <mergeCell ref="A7423:G7423"/>
    <mergeCell ref="A7426:N7426"/>
    <mergeCell ref="A7427:G7427"/>
    <mergeCell ref="I7427:J7427"/>
    <mergeCell ref="K7427:L7427"/>
    <mergeCell ref="M7427:N7427"/>
    <mergeCell ref="M7428:N7428"/>
    <mergeCell ref="I7418:J7418"/>
    <mergeCell ref="K7418:L7418"/>
    <mergeCell ref="I7469:J7469"/>
    <mergeCell ref="I7470:J7470"/>
    <mergeCell ref="K7470:L7470"/>
    <mergeCell ref="M7470:N7470"/>
    <mergeCell ref="A7467:N7467"/>
    <mergeCell ref="A7468:G7468"/>
    <mergeCell ref="I7468:J7468"/>
    <mergeCell ref="K7468:L7468"/>
    <mergeCell ref="M7468:N7468"/>
    <mergeCell ref="A7469:G7469"/>
    <mergeCell ref="A7470:G7470"/>
    <mergeCell ref="M7436:N7436"/>
    <mergeCell ref="M7437:N7437"/>
    <mergeCell ref="A7438:G7438"/>
    <mergeCell ref="A7439:G7439"/>
    <mergeCell ref="A7440:G7440"/>
    <mergeCell ref="A7441:G7441"/>
    <mergeCell ref="K7433:L7433"/>
    <mergeCell ref="M7433:N7433"/>
    <mergeCell ref="A7435:N7435"/>
    <mergeCell ref="A7436:G7436"/>
    <mergeCell ref="I7436:J7436"/>
    <mergeCell ref="A7437:G7437"/>
    <mergeCell ref="M7438:N7438"/>
    <mergeCell ref="I7437:J7437"/>
    <mergeCell ref="I7438:J7438"/>
    <mergeCell ref="I7439:J7439"/>
    <mergeCell ref="M7439:N7439"/>
    <mergeCell ref="I7440:J7440"/>
    <mergeCell ref="M7440:N7440"/>
    <mergeCell ref="I7441:J7441"/>
    <mergeCell ref="K7450:L7450"/>
    <mergeCell ref="M7450:N7450"/>
    <mergeCell ref="I7450:J7450"/>
    <mergeCell ref="I7451:J7451"/>
    <mergeCell ref="K7451:L7451"/>
    <mergeCell ref="M7451:N7451"/>
    <mergeCell ref="M7441:N7441"/>
    <mergeCell ref="K7442:L7442"/>
    <mergeCell ref="M7442:N7442"/>
    <mergeCell ref="A7444:N7445"/>
    <mergeCell ref="A7449:N7449"/>
    <mergeCell ref="A7450:G7450"/>
    <mergeCell ref="A7451:G7451"/>
    <mergeCell ref="A8235:G8235"/>
    <mergeCell ref="A8236:G8236"/>
    <mergeCell ref="A8218:G8218"/>
    <mergeCell ref="A8219:G8219"/>
    <mergeCell ref="I8219:J8219"/>
    <mergeCell ref="M8219:N8219"/>
    <mergeCell ref="A8220:G8220"/>
    <mergeCell ref="M8220:N8220"/>
    <mergeCell ref="M8221:N8221"/>
    <mergeCell ref="I8230:J8230"/>
    <mergeCell ref="I8231:J8231"/>
    <mergeCell ref="K8231:L8231"/>
    <mergeCell ref="M8231:N8231"/>
    <mergeCell ref="A8221:G8221"/>
    <mergeCell ref="A8224:N8225"/>
    <mergeCell ref="A8229:N8229"/>
    <mergeCell ref="A7452:G7452"/>
    <mergeCell ref="I7452:J7452"/>
    <mergeCell ref="K7452:L7452"/>
    <mergeCell ref="M7452:N7452"/>
    <mergeCell ref="I7453:J7453"/>
    <mergeCell ref="K7453:L7453"/>
    <mergeCell ref="M7453:N7453"/>
    <mergeCell ref="K7455:L7455"/>
    <mergeCell ref="M7455:N7455"/>
    <mergeCell ref="K7456:L7456"/>
    <mergeCell ref="M7456:N7456"/>
    <mergeCell ref="A7453:G7453"/>
    <mergeCell ref="A7454:G7454"/>
    <mergeCell ref="I7454:J7454"/>
    <mergeCell ref="K7454:L7454"/>
    <mergeCell ref="M7454:N7454"/>
    <mergeCell ref="A7455:G7455"/>
    <mergeCell ref="I7455:J7455"/>
    <mergeCell ref="K7460:L7460"/>
    <mergeCell ref="M7460:N7460"/>
    <mergeCell ref="I7460:J7460"/>
    <mergeCell ref="I7461:J7461"/>
    <mergeCell ref="K7461:L7461"/>
    <mergeCell ref="M7461:N7461"/>
    <mergeCell ref="A7458:N7458"/>
    <mergeCell ref="A7459:G7459"/>
    <mergeCell ref="I7459:J7459"/>
    <mergeCell ref="K7459:L7459"/>
    <mergeCell ref="M7459:N7459"/>
    <mergeCell ref="A7460:G7460"/>
    <mergeCell ref="A7461:G7461"/>
    <mergeCell ref="A7471:G7471"/>
    <mergeCell ref="I7471:J7471"/>
    <mergeCell ref="K7471:L7471"/>
    <mergeCell ref="M7471:N7471"/>
    <mergeCell ref="M7462:N7462"/>
    <mergeCell ref="I7463:J7463"/>
    <mergeCell ref="K7463:L7463"/>
    <mergeCell ref="M7463:N7463"/>
    <mergeCell ref="A7463:G7463"/>
    <mergeCell ref="A7464:G7464"/>
    <mergeCell ref="I7464:J7464"/>
    <mergeCell ref="K7464:L7464"/>
    <mergeCell ref="M7464:N7464"/>
    <mergeCell ref="K7465:L7465"/>
    <mergeCell ref="M7465:N7465"/>
    <mergeCell ref="K7469:L7469"/>
    <mergeCell ref="M7469:N7469"/>
    <mergeCell ref="M8235:N8235"/>
    <mergeCell ref="I8235:J8235"/>
    <mergeCell ref="I8236:J8236"/>
    <mergeCell ref="K8240:L8240"/>
    <mergeCell ref="M8240:N8240"/>
    <mergeCell ref="I8240:J8240"/>
    <mergeCell ref="I8241:J8241"/>
    <mergeCell ref="K8241:L8241"/>
    <mergeCell ref="M8241:N8241"/>
    <mergeCell ref="K8236:L8236"/>
    <mergeCell ref="M8236:N8236"/>
    <mergeCell ref="K8237:L8237"/>
    <mergeCell ref="M8237:N8237"/>
    <mergeCell ref="A8239:N8239"/>
    <mergeCell ref="A8240:G8240"/>
    <mergeCell ref="A8241:G8241"/>
    <mergeCell ref="K8246:L8246"/>
    <mergeCell ref="M8246:N8246"/>
    <mergeCell ref="A8243:G8243"/>
    <mergeCell ref="A8244:G8244"/>
    <mergeCell ref="I8244:J8244"/>
    <mergeCell ref="K8244:L8244"/>
    <mergeCell ref="M8244:N8244"/>
    <mergeCell ref="A8245:G8245"/>
    <mergeCell ref="I8245:J8245"/>
    <mergeCell ref="K8250:L8250"/>
    <mergeCell ref="M8250:N8250"/>
    <mergeCell ref="K8200:L8200"/>
    <mergeCell ref="M8200:N8200"/>
    <mergeCell ref="A8197:N8197"/>
    <mergeCell ref="A8198:G8198"/>
    <mergeCell ref="I8198:J8198"/>
    <mergeCell ref="K8198:L8198"/>
    <mergeCell ref="M8198:N8198"/>
    <mergeCell ref="A8199:G8199"/>
    <mergeCell ref="A8200:G8200"/>
    <mergeCell ref="I8202:J8202"/>
    <mergeCell ref="K8202:L8202"/>
    <mergeCell ref="I8199:J8199"/>
    <mergeCell ref="I8200:J8200"/>
    <mergeCell ref="A8201:G8201"/>
    <mergeCell ref="I8201:J8201"/>
    <mergeCell ref="K8201:L8201"/>
    <mergeCell ref="M8201:N8201"/>
    <mergeCell ref="M8202:N8202"/>
    <mergeCell ref="M8212:N8212"/>
    <mergeCell ref="K8213:L8213"/>
    <mergeCell ref="M8213:N8213"/>
    <mergeCell ref="I8220:J8220"/>
    <mergeCell ref="I8221:J8221"/>
    <mergeCell ref="K8222:L8222"/>
    <mergeCell ref="M8222:N8222"/>
    <mergeCell ref="A8232:G8232"/>
    <mergeCell ref="I8232:J8232"/>
    <mergeCell ref="K8232:L8232"/>
    <mergeCell ref="M8232:N8232"/>
    <mergeCell ref="I8233:J8233"/>
    <mergeCell ref="K8233:L8233"/>
    <mergeCell ref="M8233:N8233"/>
    <mergeCell ref="A8233:G8233"/>
    <mergeCell ref="A8234:G8234"/>
    <mergeCell ref="I8234:J8234"/>
    <mergeCell ref="K8234:L8234"/>
    <mergeCell ref="M8234:N8234"/>
    <mergeCell ref="M8216:N8216"/>
    <mergeCell ref="A8217:G8217"/>
    <mergeCell ref="M8217:N8217"/>
    <mergeCell ref="M8218:N8218"/>
    <mergeCell ref="I13424:J13424"/>
    <mergeCell ref="I13425:J13425"/>
    <mergeCell ref="K13425:L13425"/>
    <mergeCell ref="M13425:N13425"/>
    <mergeCell ref="A13422:G13422"/>
    <mergeCell ref="A13423:G13423"/>
    <mergeCell ref="I13423:J13423"/>
    <mergeCell ref="K13423:L13423"/>
    <mergeCell ref="M13423:N13423"/>
    <mergeCell ref="A13424:G13424"/>
    <mergeCell ref="A13425:G13425"/>
    <mergeCell ref="K13429:L13429"/>
    <mergeCell ref="M13429:N13429"/>
    <mergeCell ref="I13429:J13429"/>
    <mergeCell ref="I13430:J13430"/>
    <mergeCell ref="K13430:L13430"/>
    <mergeCell ref="M13430:N13430"/>
    <mergeCell ref="K13438:L13438"/>
    <mergeCell ref="M13438:N13438"/>
    <mergeCell ref="K13448:L13448"/>
    <mergeCell ref="M13448:N13448"/>
    <mergeCell ref="A13445:N13445"/>
    <mergeCell ref="K8208:L8208"/>
    <mergeCell ref="M8208:N8208"/>
    <mergeCell ref="I8208:J8208"/>
    <mergeCell ref="I8209:J8209"/>
    <mergeCell ref="K8209:L8209"/>
    <mergeCell ref="M8209:N8209"/>
    <mergeCell ref="A8206:N8206"/>
    <mergeCell ref="A8207:G8207"/>
    <mergeCell ref="I8207:J8207"/>
    <mergeCell ref="K8207:L8207"/>
    <mergeCell ref="M8207:N8207"/>
    <mergeCell ref="A8208:G8208"/>
    <mergeCell ref="A8209:G8209"/>
    <mergeCell ref="A8210:G8210"/>
    <mergeCell ref="I8210:J8210"/>
    <mergeCell ref="K8210:L8210"/>
    <mergeCell ref="M8210:N8210"/>
    <mergeCell ref="I8211:J8211"/>
    <mergeCell ref="K8211:L8211"/>
    <mergeCell ref="M8211:N8211"/>
    <mergeCell ref="A8211:G8211"/>
    <mergeCell ref="A8212:G8212"/>
    <mergeCell ref="I8212:J8212"/>
    <mergeCell ref="K8212:L8212"/>
    <mergeCell ref="A8242:G8242"/>
    <mergeCell ref="I8242:J8242"/>
    <mergeCell ref="K8242:L8242"/>
    <mergeCell ref="M8242:N8242"/>
    <mergeCell ref="I8243:J8243"/>
    <mergeCell ref="K8243:L8243"/>
    <mergeCell ref="M8243:N8243"/>
    <mergeCell ref="K8245:L8245"/>
    <mergeCell ref="M8245:N8245"/>
    <mergeCell ref="A8230:G8230"/>
    <mergeCell ref="K8230:L8230"/>
    <mergeCell ref="M8230:N8230"/>
    <mergeCell ref="A8231:G8231"/>
    <mergeCell ref="K8235:L8235"/>
    <mergeCell ref="K13437:L13437"/>
    <mergeCell ref="M13437:N13437"/>
    <mergeCell ref="A13438:G13438"/>
    <mergeCell ref="A13439:G13439"/>
    <mergeCell ref="A13440:G13440"/>
    <mergeCell ref="I13440:J13440"/>
    <mergeCell ref="K13440:L13440"/>
    <mergeCell ref="M13440:N13440"/>
    <mergeCell ref="I13441:J13441"/>
    <mergeCell ref="K13441:L13441"/>
    <mergeCell ref="M13441:N13441"/>
    <mergeCell ref="A13441:G13441"/>
    <mergeCell ref="A13442:G13442"/>
    <mergeCell ref="I13447:J13447"/>
    <mergeCell ref="I13448:J13448"/>
    <mergeCell ref="I13471:J13471"/>
    <mergeCell ref="I13472:J13472"/>
    <mergeCell ref="K13472:L13472"/>
    <mergeCell ref="M13472:N13472"/>
    <mergeCell ref="I13469:J13469"/>
    <mergeCell ref="K13469:L13469"/>
    <mergeCell ref="I13470:J13470"/>
    <mergeCell ref="K13470:L13470"/>
    <mergeCell ref="M13470:N13470"/>
    <mergeCell ref="K13471:L13471"/>
    <mergeCell ref="M13471:N13471"/>
    <mergeCell ref="M13468:N13468"/>
    <mergeCell ref="M13469:N13469"/>
    <mergeCell ref="A8190:G8190"/>
    <mergeCell ref="I8190:J8190"/>
    <mergeCell ref="K8190:L8190"/>
    <mergeCell ref="M8190:N8190"/>
    <mergeCell ref="I8191:J8191"/>
    <mergeCell ref="K8191:L8191"/>
    <mergeCell ref="M8191:N8191"/>
    <mergeCell ref="K8193:L8193"/>
    <mergeCell ref="M8193:N8193"/>
    <mergeCell ref="I8193:J8193"/>
    <mergeCell ref="I8194:J8194"/>
    <mergeCell ref="K8194:L8194"/>
    <mergeCell ref="M8194:N8194"/>
    <mergeCell ref="K8195:L8195"/>
    <mergeCell ref="M8195:N8195"/>
    <mergeCell ref="A8191:G8191"/>
    <mergeCell ref="A8192:G8192"/>
    <mergeCell ref="I8192:J8192"/>
    <mergeCell ref="K8192:L8192"/>
    <mergeCell ref="M8192:N8192"/>
    <mergeCell ref="A8193:G8193"/>
    <mergeCell ref="A8194:G8194"/>
    <mergeCell ref="K8199:L8199"/>
    <mergeCell ref="M8199:N8199"/>
    <mergeCell ref="A8202:G8202"/>
    <mergeCell ref="A8203:G8203"/>
    <mergeCell ref="I8203:J8203"/>
    <mergeCell ref="K8203:L8203"/>
    <mergeCell ref="M8203:N8203"/>
    <mergeCell ref="K8204:L8204"/>
    <mergeCell ref="M8204:N8204"/>
    <mergeCell ref="I8217:J8217"/>
    <mergeCell ref="I8218:J8218"/>
    <mergeCell ref="A8215:N8215"/>
    <mergeCell ref="A8216:G8216"/>
    <mergeCell ref="I8216:J8216"/>
    <mergeCell ref="I13239:J13239"/>
    <mergeCell ref="K13239:L13239"/>
    <mergeCell ref="M13239:N13239"/>
    <mergeCell ref="A13236:N13236"/>
    <mergeCell ref="A13237:G13237"/>
    <mergeCell ref="I13237:J13237"/>
    <mergeCell ref="K13237:L13237"/>
    <mergeCell ref="M13237:N13237"/>
    <mergeCell ref="A13238:G13238"/>
    <mergeCell ref="A13239:G13239"/>
    <mergeCell ref="A13240:G13240"/>
    <mergeCell ref="I13240:J13240"/>
    <mergeCell ref="K13240:L13240"/>
    <mergeCell ref="M13240:N13240"/>
    <mergeCell ref="I13241:J13241"/>
    <mergeCell ref="K13241:L13241"/>
    <mergeCell ref="M13241:N13241"/>
    <mergeCell ref="A13241:G13241"/>
    <mergeCell ref="A13242:G13242"/>
    <mergeCell ref="A13269:G13269"/>
    <mergeCell ref="A13270:G13270"/>
    <mergeCell ref="A13271:G13271"/>
    <mergeCell ref="A13272:G13272"/>
    <mergeCell ref="I13273:J13273"/>
    <mergeCell ref="K13273:L13273"/>
    <mergeCell ref="M13273:N13273"/>
    <mergeCell ref="A13273:G13273"/>
    <mergeCell ref="A13274:G13274"/>
    <mergeCell ref="I13274:J13274"/>
    <mergeCell ref="K13274:L13274"/>
    <mergeCell ref="M13274:N13274"/>
    <mergeCell ref="A13275:G13275"/>
    <mergeCell ref="I13275:J13275"/>
    <mergeCell ref="I13247:J13247"/>
    <mergeCell ref="I13248:J13248"/>
    <mergeCell ref="A13249:G13249"/>
    <mergeCell ref="I13249:J13249"/>
    <mergeCell ref="K13249:L13249"/>
    <mergeCell ref="M13249:N13249"/>
    <mergeCell ref="M13250:N13250"/>
    <mergeCell ref="A13250:G13250"/>
    <mergeCell ref="A13253:N13253"/>
    <mergeCell ref="A13254:G13254"/>
    <mergeCell ref="I13254:J13254"/>
    <mergeCell ref="M13254:N13254"/>
    <mergeCell ref="I13255:J13255"/>
    <mergeCell ref="M13255:N13255"/>
    <mergeCell ref="I13257:J13257"/>
    <mergeCell ref="I13258:J13258"/>
    <mergeCell ref="I13259:J13259"/>
    <mergeCell ref="M13259:N13259"/>
    <mergeCell ref="K13260:L13260"/>
    <mergeCell ref="M13260:N13260"/>
    <mergeCell ref="A13258:G13258"/>
    <mergeCell ref="A13259:G13259"/>
    <mergeCell ref="A13255:G13255"/>
    <mergeCell ref="A13256:G13256"/>
    <mergeCell ref="I13256:J13256"/>
    <mergeCell ref="M13256:N13256"/>
    <mergeCell ref="A13257:G13257"/>
    <mergeCell ref="M13257:N13257"/>
    <mergeCell ref="M13258:N13258"/>
    <mergeCell ref="A13262:N13263"/>
    <mergeCell ref="A13267:N13267"/>
    <mergeCell ref="A13226:G13226"/>
    <mergeCell ref="I13226:J13226"/>
    <mergeCell ref="K13226:L13226"/>
    <mergeCell ref="M13226:N13226"/>
    <mergeCell ref="I13227:J13227"/>
    <mergeCell ref="K13227:L13227"/>
    <mergeCell ref="M13227:N13227"/>
    <mergeCell ref="A13227:G13227"/>
    <mergeCell ref="A13228:G13228"/>
    <mergeCell ref="I13228:J13228"/>
    <mergeCell ref="K13228:L13228"/>
    <mergeCell ref="M13228:N13228"/>
    <mergeCell ref="A13229:G13229"/>
    <mergeCell ref="A13230:G13230"/>
    <mergeCell ref="I13224:J13224"/>
    <mergeCell ref="I13225:J13225"/>
    <mergeCell ref="K13225:L13225"/>
    <mergeCell ref="M13225:N13225"/>
    <mergeCell ref="A13222:G13222"/>
    <mergeCell ref="A13223:G13223"/>
    <mergeCell ref="I13223:J13223"/>
    <mergeCell ref="K13223:L13223"/>
    <mergeCell ref="M13223:N13223"/>
    <mergeCell ref="A13224:G13224"/>
    <mergeCell ref="A13225:G13225"/>
    <mergeCell ref="K13229:L13229"/>
    <mergeCell ref="M13229:N13229"/>
    <mergeCell ref="I13229:J13229"/>
    <mergeCell ref="I13230:J13230"/>
    <mergeCell ref="K13230:L13230"/>
    <mergeCell ref="M13230:N13230"/>
    <mergeCell ref="K13238:L13238"/>
    <mergeCell ref="M13238:N13238"/>
    <mergeCell ref="I13238:J13238"/>
    <mergeCell ref="K13224:L13224"/>
    <mergeCell ref="M13224:N13224"/>
    <mergeCell ref="A13231:G13231"/>
    <mergeCell ref="I13231:J13231"/>
    <mergeCell ref="K13231:L13231"/>
    <mergeCell ref="M13231:N13231"/>
    <mergeCell ref="I13232:J13232"/>
    <mergeCell ref="K13232:L13232"/>
    <mergeCell ref="M13232:N13232"/>
    <mergeCell ref="A13232:G13232"/>
    <mergeCell ref="A13233:G13233"/>
    <mergeCell ref="I13233:J13233"/>
    <mergeCell ref="K13233:L13233"/>
    <mergeCell ref="M13233:N13233"/>
    <mergeCell ref="K13234:L13234"/>
    <mergeCell ref="M13234:N13234"/>
    <mergeCell ref="I13242:J13242"/>
    <mergeCell ref="K13242:L13242"/>
    <mergeCell ref="M13242:N13242"/>
    <mergeCell ref="K13243:L13243"/>
    <mergeCell ref="M13243:N13243"/>
    <mergeCell ref="K13247:L13247"/>
    <mergeCell ref="M13247:N13247"/>
    <mergeCell ref="I13250:J13250"/>
    <mergeCell ref="K13250:L13250"/>
    <mergeCell ref="K13251:L13251"/>
    <mergeCell ref="M13251:N13251"/>
    <mergeCell ref="I13271:J13271"/>
    <mergeCell ref="I13272:J13272"/>
    <mergeCell ref="K13272:L13272"/>
    <mergeCell ref="M13272:N13272"/>
    <mergeCell ref="I13269:J13269"/>
    <mergeCell ref="K13269:L13269"/>
    <mergeCell ref="I13270:J13270"/>
    <mergeCell ref="K13270:L13270"/>
    <mergeCell ref="M13270:N13270"/>
    <mergeCell ref="K13271:L13271"/>
    <mergeCell ref="M13271:N13271"/>
    <mergeCell ref="I13277:J13277"/>
    <mergeCell ref="K13277:L13277"/>
    <mergeCell ref="K13275:L13275"/>
    <mergeCell ref="M13275:N13275"/>
    <mergeCell ref="A13276:G13276"/>
    <mergeCell ref="I13276:J13276"/>
    <mergeCell ref="K13276:L13276"/>
    <mergeCell ref="M13276:N13276"/>
    <mergeCell ref="M13277:N13277"/>
    <mergeCell ref="K13289:L13289"/>
    <mergeCell ref="M13289:N13289"/>
    <mergeCell ref="A13286:N13286"/>
    <mergeCell ref="A13287:G13287"/>
    <mergeCell ref="I13287:J13287"/>
    <mergeCell ref="K13287:L13287"/>
    <mergeCell ref="M13287:N13287"/>
    <mergeCell ref="A13288:G13288"/>
    <mergeCell ref="A13289:G13289"/>
    <mergeCell ref="K13279:L13279"/>
    <mergeCell ref="M13279:N13279"/>
    <mergeCell ref="K13248:L13248"/>
    <mergeCell ref="M13248:N13248"/>
    <mergeCell ref="A13245:N13245"/>
    <mergeCell ref="A13246:G13246"/>
    <mergeCell ref="I13246:J13246"/>
    <mergeCell ref="K13246:L13246"/>
    <mergeCell ref="M13246:N13246"/>
    <mergeCell ref="A13247:G13247"/>
    <mergeCell ref="A13248:G13248"/>
    <mergeCell ref="A13268:G13268"/>
    <mergeCell ref="I13268:J13268"/>
    <mergeCell ref="K13268:L13268"/>
    <mergeCell ref="M13268:N13268"/>
    <mergeCell ref="M13269:N13269"/>
    <mergeCell ref="A13312:N13313"/>
    <mergeCell ref="A13317:N13317"/>
    <mergeCell ref="I13318:J13318"/>
    <mergeCell ref="K13318:L13318"/>
    <mergeCell ref="M13318:N13318"/>
    <mergeCell ref="A13318:G13318"/>
    <mergeCell ref="A13319:G13319"/>
    <mergeCell ref="I13319:J13319"/>
    <mergeCell ref="K13319:L13319"/>
    <mergeCell ref="M13319:N13319"/>
    <mergeCell ref="A13320:G13320"/>
    <mergeCell ref="I13320:J13320"/>
    <mergeCell ref="I13291:J13291"/>
    <mergeCell ref="K13291:L13291"/>
    <mergeCell ref="I13288:J13288"/>
    <mergeCell ref="I13289:J13289"/>
    <mergeCell ref="A13290:G13290"/>
    <mergeCell ref="I13290:J13290"/>
    <mergeCell ref="K13290:L13290"/>
    <mergeCell ref="M13290:N13290"/>
    <mergeCell ref="M13291:N13291"/>
    <mergeCell ref="I13279:J13279"/>
    <mergeCell ref="I13280:J13280"/>
    <mergeCell ref="K13280:L13280"/>
    <mergeCell ref="M13280:N13280"/>
    <mergeCell ref="A13277:G13277"/>
    <mergeCell ref="A13278:G13278"/>
    <mergeCell ref="I13278:J13278"/>
    <mergeCell ref="K13278:L13278"/>
    <mergeCell ref="M13278:N13278"/>
    <mergeCell ref="A13279:G13279"/>
    <mergeCell ref="A13280:G13280"/>
    <mergeCell ref="A13281:G13281"/>
    <mergeCell ref="I13281:J13281"/>
    <mergeCell ref="K13281:L13281"/>
    <mergeCell ref="M13281:N13281"/>
    <mergeCell ref="I13282:J13282"/>
    <mergeCell ref="K13282:L13282"/>
    <mergeCell ref="M13282:N13282"/>
    <mergeCell ref="A13282:G13282"/>
    <mergeCell ref="A13283:G13283"/>
    <mergeCell ref="I13283:J13283"/>
    <mergeCell ref="K13283:L13283"/>
    <mergeCell ref="M13283:N13283"/>
    <mergeCell ref="K13284:L13284"/>
    <mergeCell ref="M13284:N13284"/>
    <mergeCell ref="K13288:L13288"/>
    <mergeCell ref="M13288:N13288"/>
    <mergeCell ref="A13291:G13291"/>
    <mergeCell ref="K13297:L13297"/>
    <mergeCell ref="M13297:N13297"/>
    <mergeCell ref="I13297:J13297"/>
    <mergeCell ref="I13298:J13298"/>
    <mergeCell ref="K13298:L13298"/>
    <mergeCell ref="M13298:N13298"/>
    <mergeCell ref="K13301:L13301"/>
    <mergeCell ref="M13301:N13301"/>
    <mergeCell ref="A13295:N13295"/>
    <mergeCell ref="A13296:G13296"/>
    <mergeCell ref="I13296:J13296"/>
    <mergeCell ref="K13296:L13296"/>
    <mergeCell ref="M13296:N13296"/>
    <mergeCell ref="A13297:G13297"/>
    <mergeCell ref="A13298:G13298"/>
    <mergeCell ref="A13299:G13299"/>
    <mergeCell ref="I13299:J13299"/>
    <mergeCell ref="K13299:L13299"/>
    <mergeCell ref="M13299:N13299"/>
    <mergeCell ref="I13300:J13300"/>
    <mergeCell ref="K13300:L13300"/>
    <mergeCell ref="M13300:N13300"/>
    <mergeCell ref="I13307:J13307"/>
    <mergeCell ref="I13308:J13308"/>
    <mergeCell ref="I13309:J13309"/>
    <mergeCell ref="M13309:N13309"/>
    <mergeCell ref="K13310:L13310"/>
    <mergeCell ref="M13310:N13310"/>
    <mergeCell ref="A13292:G13292"/>
    <mergeCell ref="I13292:J13292"/>
    <mergeCell ref="K13292:L13292"/>
    <mergeCell ref="M13292:N13292"/>
    <mergeCell ref="K13293:L13293"/>
    <mergeCell ref="M13293:N13293"/>
    <mergeCell ref="A13300:G13300"/>
    <mergeCell ref="A13303:N13303"/>
    <mergeCell ref="A13304:G13304"/>
    <mergeCell ref="I13304:J13304"/>
    <mergeCell ref="M13304:N13304"/>
    <mergeCell ref="I13305:J13305"/>
    <mergeCell ref="M13305:N13305"/>
    <mergeCell ref="A13305:G13305"/>
    <mergeCell ref="A13306:G13306"/>
    <mergeCell ref="I13306:J13306"/>
    <mergeCell ref="M13306:N13306"/>
    <mergeCell ref="A13307:G13307"/>
    <mergeCell ref="M13307:N13307"/>
    <mergeCell ref="M13308:N13308"/>
    <mergeCell ref="A13308:G13308"/>
    <mergeCell ref="A13309:G13309"/>
    <mergeCell ref="K13320:L13320"/>
    <mergeCell ref="M13320:N13320"/>
    <mergeCell ref="A13321:G13321"/>
    <mergeCell ref="I13321:J13321"/>
    <mergeCell ref="K13321:L13321"/>
    <mergeCell ref="M13321:N13321"/>
    <mergeCell ref="M13322:N13322"/>
    <mergeCell ref="I13339:J13339"/>
    <mergeCell ref="K13339:L13339"/>
    <mergeCell ref="M13339:N13339"/>
    <mergeCell ref="A13336:N13336"/>
    <mergeCell ref="A13337:G13337"/>
    <mergeCell ref="I13337:J13337"/>
    <mergeCell ref="K13337:L13337"/>
    <mergeCell ref="M13337:N13337"/>
    <mergeCell ref="A13338:G13338"/>
    <mergeCell ref="A13339:G13339"/>
    <mergeCell ref="A13340:G13340"/>
    <mergeCell ref="I13340:J13340"/>
    <mergeCell ref="K13340:L13340"/>
    <mergeCell ref="M13340:N13340"/>
    <mergeCell ref="I13341:J13341"/>
    <mergeCell ref="K13341:L13341"/>
    <mergeCell ref="M13341:N13341"/>
    <mergeCell ref="K13324:L13324"/>
    <mergeCell ref="M13324:N13324"/>
    <mergeCell ref="A13331:G13331"/>
    <mergeCell ref="I13331:J13331"/>
    <mergeCell ref="K13331:L13331"/>
    <mergeCell ref="M13331:N13331"/>
    <mergeCell ref="I13332:J13332"/>
    <mergeCell ref="K13332:L13332"/>
    <mergeCell ref="M13332:N13332"/>
    <mergeCell ref="A13332:G13332"/>
    <mergeCell ref="A13333:G13333"/>
    <mergeCell ref="I13333:J13333"/>
    <mergeCell ref="K13333:L13333"/>
    <mergeCell ref="M13333:N13333"/>
    <mergeCell ref="K13334:L13334"/>
    <mergeCell ref="M13334:N13334"/>
    <mergeCell ref="A13326:G13326"/>
    <mergeCell ref="I13326:J13326"/>
    <mergeCell ref="K13326:L13326"/>
    <mergeCell ref="M13326:N13326"/>
    <mergeCell ref="I13327:J13327"/>
    <mergeCell ref="K13327:L13327"/>
    <mergeCell ref="M13327:N13327"/>
    <mergeCell ref="A13327:G13327"/>
    <mergeCell ref="A13328:G13328"/>
    <mergeCell ref="I13328:J13328"/>
    <mergeCell ref="K13328:L13328"/>
    <mergeCell ref="M13328:N13328"/>
    <mergeCell ref="A13329:G13329"/>
    <mergeCell ref="A13330:G13330"/>
    <mergeCell ref="I13324:J13324"/>
    <mergeCell ref="I13325:J13325"/>
    <mergeCell ref="K13325:L13325"/>
    <mergeCell ref="M13325:N13325"/>
    <mergeCell ref="A13322:G13322"/>
    <mergeCell ref="A13323:G13323"/>
    <mergeCell ref="I13323:J13323"/>
    <mergeCell ref="K13323:L13323"/>
    <mergeCell ref="M13323:N13323"/>
    <mergeCell ref="A13324:G13324"/>
    <mergeCell ref="A13325:G13325"/>
    <mergeCell ref="K13329:L13329"/>
    <mergeCell ref="M13329:N13329"/>
    <mergeCell ref="I13329:J13329"/>
    <mergeCell ref="I13330:J13330"/>
    <mergeCell ref="K13330:L13330"/>
    <mergeCell ref="M13330:N13330"/>
    <mergeCell ref="K13338:L13338"/>
    <mergeCell ref="M13338:N13338"/>
    <mergeCell ref="I13338:J13338"/>
    <mergeCell ref="A13341:G13341"/>
    <mergeCell ref="A13342:G13342"/>
    <mergeCell ref="I13342:J13342"/>
    <mergeCell ref="K13342:L13342"/>
    <mergeCell ref="M13342:N13342"/>
    <mergeCell ref="K13343:L13343"/>
    <mergeCell ref="M13343:N13343"/>
    <mergeCell ref="I13322:J13322"/>
    <mergeCell ref="K13322:L13322"/>
    <mergeCell ref="A13345:N13345"/>
    <mergeCell ref="A13346:G13346"/>
    <mergeCell ref="I13346:J13346"/>
    <mergeCell ref="K13346:L13346"/>
    <mergeCell ref="M13346:N13346"/>
    <mergeCell ref="A13347:G13347"/>
    <mergeCell ref="A13348:G13348"/>
    <mergeCell ref="A13369:G13369"/>
    <mergeCell ref="A13370:G13370"/>
    <mergeCell ref="A13371:G13371"/>
    <mergeCell ref="A13372:G13372"/>
    <mergeCell ref="I13373:J13373"/>
    <mergeCell ref="K13373:L13373"/>
    <mergeCell ref="M13373:N13373"/>
    <mergeCell ref="A13373:G13373"/>
    <mergeCell ref="A13374:G13374"/>
    <mergeCell ref="I13374:J13374"/>
    <mergeCell ref="K13374:L13374"/>
    <mergeCell ref="M13374:N13374"/>
    <mergeCell ref="A13375:G13375"/>
    <mergeCell ref="I13375:J13375"/>
    <mergeCell ref="I13347:J13347"/>
    <mergeCell ref="I13348:J13348"/>
    <mergeCell ref="A13349:G13349"/>
    <mergeCell ref="I13349:J13349"/>
    <mergeCell ref="K13349:L13349"/>
    <mergeCell ref="M13349:N13349"/>
    <mergeCell ref="M13350:N13350"/>
    <mergeCell ref="A13350:G13350"/>
    <mergeCell ref="A13353:N13353"/>
    <mergeCell ref="A13354:G13354"/>
    <mergeCell ref="I13354:J13354"/>
    <mergeCell ref="M13354:N13354"/>
    <mergeCell ref="I13355:J13355"/>
    <mergeCell ref="M13360:N13360"/>
    <mergeCell ref="A13358:G13358"/>
    <mergeCell ref="A13359:G13359"/>
    <mergeCell ref="A13355:G13355"/>
    <mergeCell ref="A13356:G13356"/>
    <mergeCell ref="I13356:J13356"/>
    <mergeCell ref="M13356:N13356"/>
    <mergeCell ref="A13357:G13357"/>
    <mergeCell ref="M13357:N13357"/>
    <mergeCell ref="M13358:N13358"/>
    <mergeCell ref="A13362:N13363"/>
    <mergeCell ref="A13367:N13367"/>
    <mergeCell ref="A13368:G13368"/>
    <mergeCell ref="I13368:J13368"/>
    <mergeCell ref="K13368:L13368"/>
    <mergeCell ref="I13358:J13358"/>
    <mergeCell ref="I13359:J13359"/>
    <mergeCell ref="M13359:N13359"/>
    <mergeCell ref="K13360:L13360"/>
    <mergeCell ref="M13390:N13390"/>
    <mergeCell ref="M13391:N13391"/>
    <mergeCell ref="I13379:J13379"/>
    <mergeCell ref="I13380:J13380"/>
    <mergeCell ref="K13380:L13380"/>
    <mergeCell ref="M13380:N13380"/>
    <mergeCell ref="A13377:G13377"/>
    <mergeCell ref="A13378:G13378"/>
    <mergeCell ref="I13378:J13378"/>
    <mergeCell ref="K13378:L13378"/>
    <mergeCell ref="M13378:N13378"/>
    <mergeCell ref="A13379:G13379"/>
    <mergeCell ref="A13380:G13380"/>
    <mergeCell ref="A13381:G13381"/>
    <mergeCell ref="I13381:J13381"/>
    <mergeCell ref="K13381:L13381"/>
    <mergeCell ref="M13381:N13381"/>
    <mergeCell ref="I13382:J13382"/>
    <mergeCell ref="K13382:L13382"/>
    <mergeCell ref="M13382:N13382"/>
    <mergeCell ref="A13382:G13382"/>
    <mergeCell ref="A13383:G13383"/>
    <mergeCell ref="I13383:J13383"/>
    <mergeCell ref="K13383:L13383"/>
    <mergeCell ref="M13383:N13383"/>
    <mergeCell ref="K13384:L13384"/>
    <mergeCell ref="M13384:N13384"/>
    <mergeCell ref="K13388:L13388"/>
    <mergeCell ref="M13388:N13388"/>
    <mergeCell ref="A13391:G13391"/>
    <mergeCell ref="K13379:L13379"/>
    <mergeCell ref="M13379:N13379"/>
    <mergeCell ref="K13347:L13347"/>
    <mergeCell ref="M13347:N13347"/>
    <mergeCell ref="I13350:J13350"/>
    <mergeCell ref="K13350:L13350"/>
    <mergeCell ref="K13351:L13351"/>
    <mergeCell ref="M13351:N13351"/>
    <mergeCell ref="I13371:J13371"/>
    <mergeCell ref="I13372:J13372"/>
    <mergeCell ref="K13372:L13372"/>
    <mergeCell ref="M13372:N13372"/>
    <mergeCell ref="I13369:J13369"/>
    <mergeCell ref="K13369:L13369"/>
    <mergeCell ref="I13370:J13370"/>
    <mergeCell ref="K13370:L13370"/>
    <mergeCell ref="M13370:N13370"/>
    <mergeCell ref="K13371:L13371"/>
    <mergeCell ref="M13371:N13371"/>
    <mergeCell ref="I13377:J13377"/>
    <mergeCell ref="K13377:L13377"/>
    <mergeCell ref="K13375:L13375"/>
    <mergeCell ref="M13375:N13375"/>
    <mergeCell ref="A13376:G13376"/>
    <mergeCell ref="I13376:J13376"/>
    <mergeCell ref="K13376:L13376"/>
    <mergeCell ref="M13376:N13376"/>
    <mergeCell ref="M13377:N13377"/>
    <mergeCell ref="M13368:N13368"/>
    <mergeCell ref="M13369:N13369"/>
    <mergeCell ref="K13348:L13348"/>
    <mergeCell ref="M13348:N13348"/>
    <mergeCell ref="M13355:N13355"/>
    <mergeCell ref="I13357:J13357"/>
    <mergeCell ref="A13395:N13395"/>
    <mergeCell ref="A13396:G13396"/>
    <mergeCell ref="I13396:J13396"/>
    <mergeCell ref="K13396:L13396"/>
    <mergeCell ref="M13396:N13396"/>
    <mergeCell ref="A13397:G13397"/>
    <mergeCell ref="A13398:G13398"/>
    <mergeCell ref="A13399:G13399"/>
    <mergeCell ref="I13399:J13399"/>
    <mergeCell ref="K13399:L13399"/>
    <mergeCell ref="M13399:N13399"/>
    <mergeCell ref="I13400:J13400"/>
    <mergeCell ref="K13400:L13400"/>
    <mergeCell ref="M13400:N13400"/>
    <mergeCell ref="I13407:J13407"/>
    <mergeCell ref="I13408:J13408"/>
    <mergeCell ref="I13409:J13409"/>
    <mergeCell ref="M13409:N13409"/>
    <mergeCell ref="K13410:L13410"/>
    <mergeCell ref="M13410:N13410"/>
    <mergeCell ref="A13392:G13392"/>
    <mergeCell ref="I13392:J13392"/>
    <mergeCell ref="K13392:L13392"/>
    <mergeCell ref="M13392:N13392"/>
    <mergeCell ref="K13393:L13393"/>
    <mergeCell ref="M13393:N13393"/>
    <mergeCell ref="A13400:G13400"/>
    <mergeCell ref="A13403:N13403"/>
    <mergeCell ref="A13404:G13404"/>
    <mergeCell ref="I13404:J13404"/>
    <mergeCell ref="M13404:N13404"/>
    <mergeCell ref="I13405:J13405"/>
    <mergeCell ref="M13405:N13405"/>
    <mergeCell ref="A13405:G13405"/>
    <mergeCell ref="A13406:G13406"/>
    <mergeCell ref="I13406:J13406"/>
    <mergeCell ref="M13406:N13406"/>
    <mergeCell ref="A13407:G13407"/>
    <mergeCell ref="M13407:N13407"/>
    <mergeCell ref="M13408:N13408"/>
    <mergeCell ref="A13408:G13408"/>
    <mergeCell ref="A13409:G13409"/>
    <mergeCell ref="K13389:L13389"/>
    <mergeCell ref="M13389:N13389"/>
    <mergeCell ref="A13386:N13386"/>
    <mergeCell ref="A13387:G13387"/>
    <mergeCell ref="I13387:J13387"/>
    <mergeCell ref="K13387:L13387"/>
    <mergeCell ref="M13387:N13387"/>
    <mergeCell ref="A13388:G13388"/>
    <mergeCell ref="A13389:G13389"/>
    <mergeCell ref="I13391:J13391"/>
    <mergeCell ref="K13391:L13391"/>
    <mergeCell ref="I13388:J13388"/>
    <mergeCell ref="I13389:J13389"/>
    <mergeCell ref="A13390:G13390"/>
    <mergeCell ref="I13390:J13390"/>
    <mergeCell ref="K13390:L13390"/>
    <mergeCell ref="M13482:N13482"/>
    <mergeCell ref="A13482:G13482"/>
    <mergeCell ref="A13483:G13483"/>
    <mergeCell ref="I13483:J13483"/>
    <mergeCell ref="K13483:L13483"/>
    <mergeCell ref="M13483:N13483"/>
    <mergeCell ref="K13484:L13484"/>
    <mergeCell ref="M13484:N13484"/>
    <mergeCell ref="K13488:L13488"/>
    <mergeCell ref="M13488:N13488"/>
    <mergeCell ref="A13491:G13491"/>
    <mergeCell ref="I13442:J13442"/>
    <mergeCell ref="K13442:L13442"/>
    <mergeCell ref="M13442:N13442"/>
    <mergeCell ref="K13443:L13443"/>
    <mergeCell ref="M13443:N13443"/>
    <mergeCell ref="K13447:L13447"/>
    <mergeCell ref="M13447:N13447"/>
    <mergeCell ref="I13450:J13450"/>
    <mergeCell ref="K13450:L13450"/>
    <mergeCell ref="K13451:L13451"/>
    <mergeCell ref="M13451:N13451"/>
    <mergeCell ref="I13422:J13422"/>
    <mergeCell ref="K13422:L13422"/>
    <mergeCell ref="K13420:L13420"/>
    <mergeCell ref="M13420:N13420"/>
    <mergeCell ref="A13421:G13421"/>
    <mergeCell ref="I13421:J13421"/>
    <mergeCell ref="K13421:L13421"/>
    <mergeCell ref="M13421:N13421"/>
    <mergeCell ref="M13422:N13422"/>
    <mergeCell ref="K13397:L13397"/>
    <mergeCell ref="M13397:N13397"/>
    <mergeCell ref="I13397:J13397"/>
    <mergeCell ref="I13398:J13398"/>
    <mergeCell ref="K13398:L13398"/>
    <mergeCell ref="M13398:N13398"/>
    <mergeCell ref="K13401:L13401"/>
    <mergeCell ref="M13401:N13401"/>
    <mergeCell ref="A13412:N13413"/>
    <mergeCell ref="A13417:N13417"/>
    <mergeCell ref="I13418:J13418"/>
    <mergeCell ref="K13418:L13418"/>
    <mergeCell ref="M13418:N13418"/>
    <mergeCell ref="A13418:G13418"/>
    <mergeCell ref="A13419:G13419"/>
    <mergeCell ref="I13419:J13419"/>
    <mergeCell ref="K13419:L13419"/>
    <mergeCell ref="M13419:N13419"/>
    <mergeCell ref="A13420:G13420"/>
    <mergeCell ref="I13420:J13420"/>
    <mergeCell ref="I13477:J13477"/>
    <mergeCell ref="K13477:L13477"/>
    <mergeCell ref="K13475:L13475"/>
    <mergeCell ref="M13475:N13475"/>
    <mergeCell ref="A13476:G13476"/>
    <mergeCell ref="I13476:J13476"/>
    <mergeCell ref="K13476:L13476"/>
    <mergeCell ref="M13476:N13476"/>
    <mergeCell ref="M13477:N13477"/>
    <mergeCell ref="K13489:L13489"/>
    <mergeCell ref="M13489:N13489"/>
    <mergeCell ref="A13486:N13486"/>
    <mergeCell ref="A13487:G13487"/>
    <mergeCell ref="A13492:G13492"/>
    <mergeCell ref="I13492:J13492"/>
    <mergeCell ref="K13492:L13492"/>
    <mergeCell ref="M13492:N13492"/>
    <mergeCell ref="K13493:L13493"/>
    <mergeCell ref="M13493:N13493"/>
    <mergeCell ref="A13500:G13500"/>
    <mergeCell ref="A13503:N13503"/>
    <mergeCell ref="A13504:G13504"/>
    <mergeCell ref="I13504:J13504"/>
    <mergeCell ref="M13504:N13504"/>
    <mergeCell ref="I13505:J13505"/>
    <mergeCell ref="M13505:N13505"/>
    <mergeCell ref="A13505:G13505"/>
    <mergeCell ref="A13506:G13506"/>
    <mergeCell ref="I13506:J13506"/>
    <mergeCell ref="M13506:N13506"/>
    <mergeCell ref="I13487:J13487"/>
    <mergeCell ref="K13487:L13487"/>
    <mergeCell ref="M13487:N13487"/>
    <mergeCell ref="A13488:G13488"/>
    <mergeCell ref="A13489:G13489"/>
    <mergeCell ref="K13479:L13479"/>
    <mergeCell ref="M13479:N13479"/>
    <mergeCell ref="A13426:G13426"/>
    <mergeCell ref="I13426:J13426"/>
    <mergeCell ref="K13426:L13426"/>
    <mergeCell ref="M13426:N13426"/>
    <mergeCell ref="I13427:J13427"/>
    <mergeCell ref="K13427:L13427"/>
    <mergeCell ref="M13427:N13427"/>
    <mergeCell ref="A13427:G13427"/>
    <mergeCell ref="A13428:G13428"/>
    <mergeCell ref="I13428:J13428"/>
    <mergeCell ref="K13428:L13428"/>
    <mergeCell ref="M13428:N13428"/>
    <mergeCell ref="A13429:G13429"/>
    <mergeCell ref="A13430:G13430"/>
    <mergeCell ref="K13473:L13473"/>
    <mergeCell ref="M13473:N13473"/>
    <mergeCell ref="A13473:G13473"/>
    <mergeCell ref="A13474:G13474"/>
    <mergeCell ref="I13474:J13474"/>
    <mergeCell ref="K13474:L13474"/>
    <mergeCell ref="M13474:N13474"/>
    <mergeCell ref="A13475:G13475"/>
    <mergeCell ref="I13475:J13475"/>
    <mergeCell ref="A13449:G13449"/>
    <mergeCell ref="K13424:L13424"/>
    <mergeCell ref="M13424:N13424"/>
    <mergeCell ref="A13431:G13431"/>
    <mergeCell ref="I13431:J13431"/>
    <mergeCell ref="K13431:L13431"/>
    <mergeCell ref="M13431:N13431"/>
    <mergeCell ref="I13432:J13432"/>
    <mergeCell ref="K13432:L13432"/>
    <mergeCell ref="M13432:N13432"/>
    <mergeCell ref="A13432:G13432"/>
    <mergeCell ref="A13433:G13433"/>
    <mergeCell ref="I13433:J13433"/>
    <mergeCell ref="K13433:L13433"/>
    <mergeCell ref="M13433:N13433"/>
    <mergeCell ref="K13434:L13434"/>
    <mergeCell ref="M13434:N13434"/>
    <mergeCell ref="I13491:J13491"/>
    <mergeCell ref="K13491:L13491"/>
    <mergeCell ref="I13488:J13488"/>
    <mergeCell ref="I13489:J13489"/>
    <mergeCell ref="A13490:G13490"/>
    <mergeCell ref="I13490:J13490"/>
    <mergeCell ref="K13490:L13490"/>
    <mergeCell ref="M13490:N13490"/>
    <mergeCell ref="M13491:N13491"/>
    <mergeCell ref="I13479:J13479"/>
    <mergeCell ref="I13480:J13480"/>
    <mergeCell ref="K13480:L13480"/>
    <mergeCell ref="M13480:N13480"/>
    <mergeCell ref="A13477:G13477"/>
    <mergeCell ref="A13478:G13478"/>
    <mergeCell ref="I13478:J13478"/>
    <mergeCell ref="K13478:L13478"/>
    <mergeCell ref="M13478:N13478"/>
    <mergeCell ref="A13479:G13479"/>
    <mergeCell ref="A13480:G13480"/>
    <mergeCell ref="A13481:G13481"/>
    <mergeCell ref="I13481:J13481"/>
    <mergeCell ref="K13481:L13481"/>
    <mergeCell ref="M13481:N13481"/>
    <mergeCell ref="I13482:J13482"/>
    <mergeCell ref="K13482:L13482"/>
    <mergeCell ref="I13449:J13449"/>
    <mergeCell ref="K13449:L13449"/>
    <mergeCell ref="M13449:N13449"/>
    <mergeCell ref="M13450:N13450"/>
    <mergeCell ref="A13450:G13450"/>
    <mergeCell ref="A13453:N13453"/>
    <mergeCell ref="A13454:G13454"/>
    <mergeCell ref="I13454:J13454"/>
    <mergeCell ref="M13454:N13454"/>
    <mergeCell ref="A13446:G13446"/>
    <mergeCell ref="I13446:J13446"/>
    <mergeCell ref="K13446:L13446"/>
    <mergeCell ref="M13446:N13446"/>
    <mergeCell ref="A13447:G13447"/>
    <mergeCell ref="A13448:G13448"/>
    <mergeCell ref="I13438:J13438"/>
    <mergeCell ref="I13439:J13439"/>
    <mergeCell ref="K13439:L13439"/>
    <mergeCell ref="M13439:N13439"/>
    <mergeCell ref="A13436:N13436"/>
    <mergeCell ref="A13437:G13437"/>
    <mergeCell ref="I13437:J13437"/>
    <mergeCell ref="K13520:L13520"/>
    <mergeCell ref="M13520:N13520"/>
    <mergeCell ref="A13521:G13521"/>
    <mergeCell ref="I13521:J13521"/>
    <mergeCell ref="K13521:L13521"/>
    <mergeCell ref="M13521:N13521"/>
    <mergeCell ref="M13522:N13522"/>
    <mergeCell ref="K13497:L13497"/>
    <mergeCell ref="M13497:N13497"/>
    <mergeCell ref="I13497:J13497"/>
    <mergeCell ref="I13498:J13498"/>
    <mergeCell ref="K13498:L13498"/>
    <mergeCell ref="M13498:N13498"/>
    <mergeCell ref="K13501:L13501"/>
    <mergeCell ref="M13501:N13501"/>
    <mergeCell ref="A13512:N13513"/>
    <mergeCell ref="A13517:N13517"/>
    <mergeCell ref="I13518:J13518"/>
    <mergeCell ref="K13518:L13518"/>
    <mergeCell ref="M13518:N13518"/>
    <mergeCell ref="A13518:G13518"/>
    <mergeCell ref="A13519:G13519"/>
    <mergeCell ref="I13519:J13519"/>
    <mergeCell ref="K13519:L13519"/>
    <mergeCell ref="M13519:N13519"/>
    <mergeCell ref="A13520:G13520"/>
    <mergeCell ref="I13520:J13520"/>
    <mergeCell ref="A13495:N13495"/>
    <mergeCell ref="A13496:G13496"/>
    <mergeCell ref="I13496:J13496"/>
    <mergeCell ref="K13496:L13496"/>
    <mergeCell ref="M13496:N13496"/>
    <mergeCell ref="A13497:G13497"/>
    <mergeCell ref="A13498:G13498"/>
    <mergeCell ref="A13499:G13499"/>
    <mergeCell ref="I13499:J13499"/>
    <mergeCell ref="K13499:L13499"/>
    <mergeCell ref="M13499:N13499"/>
    <mergeCell ref="I13500:J13500"/>
    <mergeCell ref="K13500:L13500"/>
    <mergeCell ref="M13500:N13500"/>
    <mergeCell ref="I13507:J13507"/>
    <mergeCell ref="I13508:J13508"/>
    <mergeCell ref="I13509:J13509"/>
    <mergeCell ref="M13509:N13509"/>
    <mergeCell ref="K13510:L13510"/>
    <mergeCell ref="M13510:N13510"/>
    <mergeCell ref="A13507:G13507"/>
    <mergeCell ref="M13507:N13507"/>
    <mergeCell ref="M13508:N13508"/>
    <mergeCell ref="A13508:G13508"/>
    <mergeCell ref="A13509:G13509"/>
  </mergeCells>
  <dataValidations count="46">
    <dataValidation type="list" allowBlank="1" showErrorMessage="1" sqref="A9510 A9568 A9566 A9512" xr:uid="{00000000-0002-0000-0700-000000000000}">
      <formula1>$C$6:$C$1029</formula1>
    </dataValidation>
    <dataValidation type="list" allowBlank="1" showErrorMessage="1" sqref="A9301:A9302 A9350:A9351" xr:uid="{00000000-0002-0000-0700-000001000000}">
      <formula1>$C$6:$C$1016</formula1>
    </dataValidation>
    <dataValidation type="list" allowBlank="1" showErrorMessage="1" sqref="A7227:A7230" xr:uid="{00000000-0002-0000-0700-000002000000}">
      <formula1>$C$6:$C$235</formula1>
    </dataValidation>
    <dataValidation type="list" allowBlank="1" showErrorMessage="1" sqref="A9511 A9567" xr:uid="{00000000-0002-0000-0700-000003000000}">
      <formula1>$C$6:$C$1031</formula1>
    </dataValidation>
    <dataValidation type="list" allowBlank="1" showErrorMessage="1" sqref="A3493 A13824 A13782 A10242:A10245 A10197:A10200 A10153:A10156 A9395:A9401 A9354:A9356 A9305:A9307 A9256:A9258 A9207:A9209 A9205 A9163:A9165 A9161 A9119:A9121 A9117 A9075:A9077 A9073 A9031:A9033 A9029 A8987:A8989 A8985 A8943:A8945 A8941 A8899:A8901 A8897 A8855:A8857 A8853 A8811:A8813 A8809 A8767:A8769 A8765 A8723:A8725 A8721 A8679:A8681 A8677 A8635:A8637 A8633 A8591:A8593 A8589 A7617 A7575 A7354:A7357 A7053:A7056 A6970 A6924:A6930 A6879:A6881 A6833:A6836 A6788:A6791 A6743:A6746 A6698:A6701 A6659:A6661 A6651:A6657 A6607:A6614 A6563:A6570 A6519:A6526 A6475:A6482 A6431:A6438 A6387:A6394 A6343:A6350 A6299:A6306 A6255:A6262 A6211:A6218 A6167:A6174 A6123:A6130 A6079:A6086 A6035:A6042 A5991:A5998 A5948:A5954 A5903:A5910 A5859:A5866 A5815:A5822 A5771:A5778 A5080 A5683:A5690 A5639:A5646 A5595:A5602 A462:A465 A5507:A5514 A5465:A5470 A5463 A5419:A5426 A5375:A5382 A5331:A5338 A5289 A5205 A5165:A5167 A5161:A5163 A5121:A5123 A5117:A5119 A5553:A5558 A5029:A5036 A4985:A4992 A4941:A4948 A4897:A4904 A4853:A4860 A4809:A4816 A4765:A4772 A4721:A4728 A4640:A4641 A4599:A4600 A4558:A4559 A4518:A4520 A4514:A4516 A4474:A4476 A4470:A4472 A4430:A4432 A4426:A4428 A4386:A4388 A4382:A4384 A4342:A4344 A4340 A4338 A4298:A4300 A4294 A4252 A4210 A4168 A4123:A4126 A4081 A4039 A3997 A3955 A3913 A3871 A3829 A3787 A3745 A3703 A3661 A3619 A3577 A3535 A5551 A5073:A5077 A5730:A5734 A5728" xr:uid="{00000000-0002-0000-0700-000004000000}">
      <formula1>$C$6:$C$1001</formula1>
    </dataValidation>
    <dataValidation type="list" allowBlank="1" showErrorMessage="1" sqref="A9159 A9203" xr:uid="{00000000-0002-0000-0700-000005000000}">
      <formula1>$C$6:$C$1014</formula1>
    </dataValidation>
    <dataValidation type="list" allowBlank="1" showErrorMessage="1" sqref="A12719 A12869 A12819 A12769" xr:uid="{00000000-0002-0000-0700-000006000000}">
      <formula1>$C$6:$C$1136</formula1>
    </dataValidation>
    <dataValidation type="list" allowBlank="1" showErrorMessage="1" sqref="A6967:A6969 A7888 A7846" xr:uid="{00000000-0002-0000-0700-000007000000}">
      <formula1>$C$6:$C$1003</formula1>
    </dataValidation>
    <dataValidation type="list" allowBlank="1" showErrorMessage="1" sqref="A11940 A12044 A11992" xr:uid="{00000000-0002-0000-0700-000008000000}">
      <formula1>$C$6:$C$1082</formula1>
    </dataValidation>
    <dataValidation type="list" allowBlank="1" showErrorMessage="1" sqref="A7972 A10595 A8231 A7975:A7976" xr:uid="{00000000-0002-0000-0700-000009000000}">
      <formula1>$C$6:$C$1008</formula1>
    </dataValidation>
    <dataValidation type="list" allowBlank="1" showErrorMessage="1" sqref="A11592:A11593 A13479:A13483 A13429:A13433 A13379:A13383 A13329:A13333 A13279:A13283 A13229:A13233 A13179:A13183 A13129:A13133 A13079:A13083 A13029:A13033 A12979:A12983 A12929:A12933 A12879:A12883 A12829:A12833 A12779:A12783 A12729:A12733 A12679:A12683 A12629:A12633 A12579:A12583 A12529:A12533 A12479:A12483 A12418:A12428 A12366:A12367 A12314:A12315 A12262:A12263 A12210:A12211 A12158:A12159 A12106:A12107 A12054:A12055 A12002:A12003 A11950:A11951 A11898:A11899 A11846:A11847 A11797:A11798 A11745:A11746 A11693:A11694 A11644:A11645" xr:uid="{00000000-0002-0000-0700-00000A000000}">
      <formula1>$C$6:$C$1021</formula1>
    </dataValidation>
    <dataValidation type="list" allowBlank="1" showErrorMessage="1" sqref="A10071:A10074" xr:uid="{00000000-0002-0000-0700-00000B000000}">
      <formula1>$C$6:$C$1112</formula1>
    </dataValidation>
    <dataValidation type="list" allowBlank="1" showErrorMessage="1" sqref="A6847:A6848 A6892:A6893 A6981:A6982 A8074:A8075" xr:uid="{00000000-0002-0000-0700-00000C000000}">
      <formula1>$C$6:$C$107</formula1>
    </dataValidation>
    <dataValidation type="list" allowBlank="1" showErrorMessage="1" sqref="A7746:A7748 A7767 A7756:A7757 A7750:A7753" xr:uid="{00000000-0002-0000-0700-00000D000000}">
      <formula1>$C$6:$C$1023</formula1>
    </dataValidation>
    <dataValidation type="list" allowBlank="1" showErrorMessage="1" sqref="A7977" xr:uid="{00000000-0002-0000-0700-00000E000000}">
      <formula1>$C$6:$C$1009</formula1>
    </dataValidation>
    <dataValidation type="list" allowBlank="1" showErrorMessage="1" sqref="A8022:A8026 A10332 A8064:A8068" xr:uid="{00000000-0002-0000-0700-00000F000000}">
      <formula1>$C$6:$C$1006</formula1>
    </dataValidation>
    <dataValidation type="list" allowBlank="1" showErrorMessage="1" sqref="A11478:A11489 A11836 A11735 A11683 A11634 A11582 A11530:A11541" xr:uid="{00000000-0002-0000-0700-000010000000}">
      <formula1>$C$6:$C$1054</formula1>
    </dataValidation>
    <dataValidation type="list" allowBlank="1" showErrorMessage="1" sqref="A12569 A12619" xr:uid="{00000000-0002-0000-0700-000011000000}">
      <formula1>$C$6:$C$1118</formula1>
    </dataValidation>
    <dataValidation type="list" allowBlank="1" showErrorMessage="1" sqref="A8147 A8189" xr:uid="{00000000-0002-0000-0700-000012000000}">
      <formula1>$C$6:$C$1027</formula1>
    </dataValidation>
    <dataValidation type="list" allowBlank="1" showErrorMessage="1" sqref="A7759 A9451:A9453 A9449" xr:uid="{00000000-0002-0000-0700-000013000000}">
      <formula1>$C$6:$C$1025</formula1>
    </dataValidation>
    <dataValidation type="list" allowBlank="1" showErrorMessage="1" sqref="A7979 A11394 A11106" xr:uid="{00000000-0002-0000-0700-000014000000}">
      <formula1>$C$6:$C$1011</formula1>
    </dataValidation>
    <dataValidation type="list" allowBlank="1" showErrorMessage="1" sqref="A10891" xr:uid="{00000000-0002-0000-0700-000015000000}">
      <formula1>$C$6:$C$401</formula1>
    </dataValidation>
    <dataValidation type="list" allowBlank="1" showErrorMessage="1" sqref="A7184" xr:uid="{00000000-0002-0000-0700-000016000000}">
      <formula1>$C$6:$C$232</formula1>
    </dataValidation>
    <dataValidation type="list" allowBlank="1" showErrorMessage="1" sqref="A8983 A9071 A9027" xr:uid="{00000000-0002-0000-0700-000017000000}">
      <formula1>$C$6:$C$1013</formula1>
    </dataValidation>
    <dataValidation type="list" allowBlank="1" showErrorMessage="1" sqref="A9506 A9562" xr:uid="{00000000-0002-0000-0700-000018000000}">
      <formula1>$C$6:$C$1032</formula1>
    </dataValidation>
    <dataValidation type="list" allowBlank="1" showErrorMessage="1" sqref="A9507:A9509 A10637 A9563:A9565 A9561" xr:uid="{00000000-0002-0000-0700-000019000000}">
      <formula1>$C$6:$C$1028</formula1>
    </dataValidation>
    <dataValidation type="list" allowBlank="1" showErrorMessage="1" sqref="A13069 A13419 A13369 A13319 A13269 A13219 A13169 A13119" xr:uid="{00000000-0002-0000-0700-00001A000000}">
      <formula1>$C$6:$C$1184</formula1>
    </dataValidation>
    <dataValidation type="list" allowBlank="1" showErrorMessage="1" sqref="A1056 A11437:A11441 A11395:A11399 A11107:A11111 A11065:A11069 A10764:A10768 A10722:A10726 A10680:A10684 A10638:A10642 A10596:A10600 A10513:A10517 A10112:A10116 A9898:A9902 A8546 A8190:A8194 A8148:A8152 A7931:A7935 A7889:A7893 A7847:A7851 A7805:A7809 A7618:A7622 A7534:A7538 A5247:A5252 A3409:A3414 A3367:A3372 A3325:A3330 A3283:A3288 A3241:A3246 A3199:A3204 A3157:A3162 A3115:A3120 A3073:A3078 A3031:A3036 A2989:A2994 A2948:A2952 A2906:A2910 A2863:A2868 A2822:A2826 A2779:A2784 A2737:A2742 A2695:A2700 A2611:A2616 A2569:A2574 A1059" xr:uid="{00000000-0002-0000-0700-00001B000000}">
      <formula1>$C$6:$C$1000</formula1>
    </dataValidation>
    <dataValidation type="list" allowBlank="1" showErrorMessage="1" sqref="A4296 A13572:A13573 A13570 A11353 A11312 A11271 A11230 A11189 A11024:A11025 A11022 A10935" xr:uid="{00000000-0002-0000-0700-00001C000000}">
      <formula1>$C$6:$C$1002</formula1>
    </dataValidation>
    <dataValidation type="list" allowBlank="1" showErrorMessage="1" sqref="A8631 A10330 A8675" xr:uid="{00000000-0002-0000-0700-00001D000000}">
      <formula1>$C$6:$C$1004</formula1>
    </dataValidation>
    <dataValidation type="list" allowBlank="1" showErrorMessage="1" sqref="A13469" xr:uid="{00000000-0002-0000-0700-00001E000000}">
      <formula1>$C$6:$C$1191</formula1>
    </dataValidation>
    <dataValidation type="list" allowBlank="1" showErrorMessage="1" sqref="A1774" xr:uid="{00000000-0002-0000-0700-00001F000000}">
      <formula1>$C$6:$C$307</formula1>
    </dataValidation>
    <dataValidation type="list" allowBlank="1" showErrorMessage="1" sqref="A2821 A10333 A8807 A8763 A8021" xr:uid="{00000000-0002-0000-0700-000020000000}">
      <formula1>$C$6:$C$1007</formula1>
    </dataValidation>
    <dataValidation type="list" allowBlank="1" showErrorMessage="1" sqref="A7754:A7755 A10721 A9115 A8851 A8719 A7760" xr:uid="{00000000-0002-0000-0700-000021000000}">
      <formula1>$C$6:$C$1024</formula1>
    </dataValidation>
    <dataValidation type="list" allowBlank="1" showErrorMessage="1" sqref="A9438:A9448 A9849:A9860 A9550:A9560 A9494:A9504" xr:uid="{00000000-0002-0000-0700-000022000000}">
      <formula1>$C$6:$C$1036</formula1>
    </dataValidation>
    <dataValidation type="list" allowBlank="1" showErrorMessage="1" sqref="A10331 A10465:A10475 A10418:A10428" xr:uid="{00000000-0002-0000-0700-000023000000}">
      <formula1>$C$6:$C$1005</formula1>
    </dataValidation>
    <dataValidation type="list" allowBlank="1" showErrorMessage="1" sqref="A11787" xr:uid="{00000000-0002-0000-0700-000024000000}">
      <formula1>$C$6:$C$1079</formula1>
    </dataValidation>
    <dataValidation type="list" allowBlank="1" showErrorMessage="1" sqref="A58:A62 A99:A103 A141:A145 A182:A186 A223:A227 A264:A268 A306:A310 A348:A352 A389:A393 A430:A434 A474:A478 A518:A522 A559:A563 A600:A604 A641:A645 A683:A687 A723:A727 A773:A777 A815:A819 A857:A861 A899:A903 A941:A945 A982:A986 A1024:A1025 A1027:A1028 A1066:A1070 A1108:A1112 A1150:A1154 A1192:A1196 A1234:A1238 A1276:A1280 A1318:A1322 A1360:A1364 A1402:A1406 A1444:A1448 A1486:A1490 A1529:A1533 A1571:A1575 A1613:A1617 A1655:A1659 A1697:A1701 A1739:A1743 A1781 A1784:A1785 A1823:A1827 A1865:A1869 A1907:A1911 A1949:A1953 A1991:A1995 A2033:A2037 A2075:A2079 A2117:A2121 A2159:A2163 A2201:A2205 A2243:A2247 A2285:A2289 A2327:A2331 A2369:A2373 A2411:A2415 A2453:A2457 A2495:A2499 A2537:A2541 A2579:A2583 A2621:A2625 A2663:A2667 A2705:A2709 A2747:A2751 A2789:A2793 A2831:A2835 A2873:A2877 A2915:A2919 A2957:A2961 A2999:A3003 A3041:A3045 A3083:A3087 A3125:A3129 A3167:A3171 A3209:A3213 A3251:A3255 A3293:A3297 A3335:A3339 A3377:A3381 A3419:A3423 A3461:A3465 A3503:A3507 A3545:A3549 A3587:A3591 A3629:A3633 A3671:A3675 A3713:A3717 A3755:A3759 A3797:A3801 A3839:A3843 A3881:A3885 A3923:A3927 A3965:A3969 A4007:A4011 A4049:A4053 A4091:A4095 A4136:A4140 A4178:A4182 A4220:A4224 A4262:A4266 A4306:A4310 A4350:A4354 A4394:A4398 A4438:A4442 A4482:A4486 A4526:A4530 A4567:A4571 A4608:A4612 A4649:A4653 A4690:A4694 A4733:A4737 A4777:A4781 A4821:A4825 A4865:A4869 A4909:A4913 A4953:A4957 A4997:A5001 A5041:A5045 A5085:A5089 A5129:A5133 A5173:A5177 A5215:A5219 A5257:A5261 A5299:A5303 A5343:A5347 A5387:A5391 A5431:A5435 A5475:A5479 A5519:A5523 A5563:A5567 A5607:A5611 A5651:A5655 A5695:A5699 A5739:A5743 A5783:A5787 A5828:A5831 A5871:A5875 A5915:A5919 A5959:A5963 A6003:A6007 A6047:A6051 A6091:A6095 A6135:A6139 A6179:A6183 A6223:A6227 A6267:A6271 A6311:A6315 A6355:A6359 A6399:A6403 A6443:A6447 A6487:A6491 A6531:A6535 A6575:A6579 A6619:A6623 A6666:A6670 A6711:A6715 A6756:A6760 A6801:A6805 A6846 A6849:A6850 A6891 A6894:A6895 A6935:A6939 A6980 A6983:A6984 A7021:A7025 A7065:A7069 A7109:A7113 A7152:A7156 A7195:A7199 A7238:A7242 A7280:A7284 A7322:A7326 A7366:A7370 A7419:A7423 A7460:A7464 A7501:A7505 A7543:A7547 A7585:A7589 A7627:A7631 A7671:A7675 A7715:A7719 A7772:A7776 A7814:A7818 A7856:A7860 A7898:A7902 A7940:A7944 A7989 A7993 A8031 A8034:A8035 A8073 A8076:A8077 A8115:A8119 A8157:A8161 A8199:A8203 A8241:A8245 A13836:A13838 A8328:A8332 A8370:A8373 A8474:A8477 A8514 A8518 A8555 A8559 A8599:A8603 A8643:A8647 A8687:A8691 A8731:A8735 A8775:A8779 A8819:A8823 A8863:A8867 A8907:A8911 A8951:A8955 A8995:A8999 A9039:A9043 A9083:A9087 A9127:A9131 A9171:A9175 A9215:A9219 A9264:A9268 A9313:A9317 A9362:A9366 A9406:A9410 A9463:A9466 A9519:A9522 A9575:A9578 A9615:A9619 A9655:A9659 A9696:A9700 A9736:A9740 A9777:A9781 A9817:A9821 A9865:A9869 A9907:A9911 A9948:A9952 A9988:A9992 A10039:A10043 A10079 A10081:A10083 A10121:A10125 A10165:A10169 A10210:A10214 A10254:A10258 A10298 A10300:A10302 A10342 A10344:A10346 A10386 A10388:A10390 A10433 A10435:A10437 A10480 A10482:A10484 A10522:A10526 A10563:A10567 A10605:A10609 A10647:A10651 A10689:A10693 A10731:A10735 A10773:A10777 A10816:A10820 A10859:A10863 A10902:A10906 A10945:A10949 A10989:A10993 A11032 A11034:A11036 A11074:A11078 A11116:A11120 A11157:A11161 A11198:A11202 A11239:A11243 A11280:A11284 A11321:A11325 A11362:A11366 A11404:A11408 A11446:A11450 A11498:A11502 A11550:A11554 A11602:A11606 A11654:A11657 A11703:A11707 A11755:A11759 A11807:A11810 A11856:A11860 A11908:A11912 A11960:A11964 A12012:A12016 A12064:A12068 A12116:A12120 A12168:A12172 A12220:A12224 A12272:A12276 A12324:A12328 A12376:A12380 A12437:A12441 A12488:A12492 A12538:A12542 A12588:A12592 A12638:A12642 A12688:A12692 A12738:A12742 A12788:A12792 A12838:A12842 A12888:A12892 A12938:A12942 A12988:A12992 A13038:A13042 A13088:A13092 A13138:A13142 A13188:A13192 A13238:A13242 A13288:A13292 A13338:A13342 A13388:A13392 A13438:A13442 A13488:A13492 A13538:A13542 A13580 A13582:A13584 A13623:A13627 A13666:A13670 A13708:A13712 A13750:A13754 A13792:A13796 A13834 A8284:A8287" xr:uid="{00000000-0002-0000-0700-000025000000}">
      <formula1>$C$6:$C$106</formula1>
    </dataValidation>
    <dataValidation type="list" allowBlank="1" showErrorMessage="1" sqref="A7978 A8939 A8895" xr:uid="{00000000-0002-0000-0700-000026000000}">
      <formula1>$C$6:$C$1010</formula1>
    </dataValidation>
    <dataValidation type="list" allowBlank="1" showErrorMessage="1" sqref="A9454" xr:uid="{00000000-0002-0000-0700-000027000000}">
      <formula1>$C$6:$C$1026</formula1>
    </dataValidation>
    <dataValidation type="list" allowBlank="1" showErrorMessage="1" sqref="A7804 A12469 A12408 A12356 A12304 A12252 A12148 A12096 A11888 A10111" xr:uid="{00000000-0002-0000-0700-000028000000}">
      <formula1>$C$6:$C$1103</formula1>
    </dataValidation>
    <dataValidation type="list" allowBlank="1" showErrorMessage="1" sqref="A7413:A7414 A7416" xr:uid="{00000000-0002-0000-0700-000029000000}">
      <formula1>$C$6:$C$1117</formula1>
    </dataValidation>
    <dataValidation type="list" allowBlank="1" showErrorMessage="1" sqref="A12919 A13019 A12969" xr:uid="{00000000-0002-0000-0700-00002A000000}">
      <formula1>$C$6:$C$1165</formula1>
    </dataValidation>
    <dataValidation type="list" allowBlank="1" showErrorMessage="1" sqref="A7707 A10379 A10335 A10291" xr:uid="{00000000-0002-0000-0700-00002B000000}">
      <formula1>C$8:C$1007</formula1>
    </dataValidation>
    <dataValidation type="list" allowBlank="1" showErrorMessage="1" sqref="A6837:A6841 A6971:A6975 A6882:A6886" xr:uid="{00000000-0002-0000-0700-00002C000000}">
      <formula1>C$8:C$1001</formula1>
    </dataValidation>
    <dataValidation type="list" allowBlank="1" showErrorMessage="1" sqref="A466:A469 A10380:A10381 A10378 A10336:A10337 A10334 A10292:A10293 A10290 A10248:A10249 A10246 A10201:A10205 A10157:A10160 A8363:A8364 A7708:A7710 A7664:A7666 A7358:A7361 A7057:A7060 A6792:A6796 A6747:A6751 A6702:A6706 A510:A513" xr:uid="{00000000-0002-0000-0700-00002D000000}">
      <formula1>C$8:C$1005</formula1>
    </dataValidation>
  </dataValidations>
  <printOptions horizontalCentered="1"/>
  <pageMargins left="0.78740157480314965" right="0.39370078740157483" top="0.78740157480314965" bottom="0.78740157480314965" header="0" footer="0"/>
  <pageSetup scale="42" orientation="landscape" r:id="rId1"/>
  <rowBreaks count="36" manualBreakCount="36">
    <brk id="1079" max="13" man="1"/>
    <brk id="1174" max="13" man="1"/>
    <brk id="1763" max="13" man="1"/>
    <brk id="1889" max="13" man="1"/>
    <brk id="2015" max="13" man="1"/>
    <brk id="2141" max="13" man="1"/>
    <brk id="2267" max="13" man="1"/>
    <brk id="2519" max="13" man="1"/>
    <brk id="2603" max="13" man="1"/>
    <brk id="2897" max="13" man="1"/>
    <brk id="4241" max="13" man="1"/>
    <brk id="4330" max="13" man="1"/>
    <brk id="4506" max="13" man="1"/>
    <brk id="4591" max="13" man="1"/>
    <brk id="4673" max="13" man="1"/>
    <brk id="4845" max="13" man="1"/>
    <brk id="5021" max="13" man="1"/>
    <brk id="5197" max="13" man="1"/>
    <brk id="5281" max="13" man="1"/>
    <brk id="5367" max="13" man="1"/>
    <brk id="5543" max="13" man="1"/>
    <brk id="5807" max="13" man="1"/>
    <brk id="5895" max="13" man="1"/>
    <brk id="6159" max="13" man="1"/>
    <brk id="6423" max="13" man="1"/>
    <brk id="6599" max="13" man="1"/>
    <brk id="6759" max="13" man="1"/>
    <brk id="6825" max="13" man="1"/>
    <brk id="7089" max="13" man="1"/>
    <brk id="7262" max="13" man="1"/>
    <brk id="7346" max="13" man="1"/>
    <brk id="9422" max="13" man="1"/>
    <brk id="9486" max="13" man="1"/>
    <brk id="9931" max="13" man="1"/>
    <brk id="10063" max="13" man="1"/>
    <brk id="10189" max="13" man="1"/>
  </rowBreaks>
  <drawing r:id="rId2"/>
  <extLst>
    <ext xmlns:x14="http://schemas.microsoft.com/office/spreadsheetml/2009/9/main" uri="{CCE6A557-97BC-4b89-ADB6-D9C93CAAB3DF}">
      <x14:dataValidations xmlns:xm="http://schemas.microsoft.com/office/excel/2006/main" count="16">
        <x14:dataValidation type="list" allowBlank="1" showErrorMessage="1" xr:uid="{00000000-0002-0000-0700-00002E000000}">
          <x14:formula1>
            <xm:f>'precios '!$C$6:$C$150</xm:f>
          </x14:formula1>
          <xm:sqref>A9606</xm:sqref>
        </x14:dataValidation>
        <x14:dataValidation type="list" allowBlank="1" showErrorMessage="1" xr:uid="{00000000-0002-0000-0700-00002F000000}">
          <x14:formula1>
            <xm:f>'precios '!$C$6:$C$1000</xm:f>
          </x14:formula1>
          <xm:sqref>A6658 A9649:G9649 A9730:G9730 A9980:G9980</xm:sqref>
        </x14:dataValidation>
        <x14:dataValidation type="list" allowBlank="1" showErrorMessage="1" xr:uid="{00000000-0002-0000-0700-000030000000}">
          <x14:formula1>
            <xm:f>'precios '!$C$6:$C$244</xm:f>
          </x14:formula1>
          <xm:sqref>A7492</xm:sqref>
        </x14:dataValidation>
        <x14:dataValidation type="list" allowBlank="1" showErrorMessage="1" xr:uid="{00000000-0002-0000-0700-000031000000}">
          <x14:formula1>
            <xm:f>EQUIPOS!$C$6:$C$106</xm:f>
          </x14:formula1>
          <xm:sqref>A1026 A13835:G13835 A8283:G8283</xm:sqref>
        </x14:dataValidation>
        <x14:dataValidation type="list" allowBlank="1" showErrorMessage="1" xr:uid="{00000000-0002-0000-0700-000032000000}">
          <x14:formula1>
            <xm:f>'precios '!$C$6:$C$647</xm:f>
          </x14:formula1>
          <xm:sqref>A1477 A1519:A1520 A1645 A1687 A1771 A2653:A2658 A2905 A2947 A3451 A5464 A5947 A6878 A6923 A7141 A7398:A7411 A7533 A7749 A7758 A7761:A7766 A7930 A7973:A7974 A7980:A7984 A8063 A8105 A8273:A8274 A8315:A8322 A8360:A8361 A8505 A8587 A9252:A9255 A9303:A9304 A9352:A9353 A9394 A9450 A9455:A9456 A9505 A9687 A9768 A9897 A9939 A13744 A10286:A10289 A10374:A10377 A10512 A10679 A10763 A10805 A10848:A10850 A10934 A10936:A10940 A10977:A10984 A11021 A11064 A11148 A11436 A12200 A12429 A12519 A12669 A13519:A13533 A13569 A13612:A13614 A13617 A13655:A13657 A13660 A13698:A13699 A13702 A13740:A13741 A10020:A10029 A10031:A10034</xm:sqref>
        </x14:dataValidation>
        <x14:dataValidation type="list" allowBlank="1" showErrorMessage="1" xr:uid="{00000000-0002-0000-0700-000033000000}">
          <x14:formula1>
            <xm:f>'precios '!$C$6:$C$130</xm:f>
          </x14:formula1>
          <xm:sqref>A4170</xm:sqref>
        </x14:dataValidation>
        <x14:dataValidation type="list" allowBlank="1" showErrorMessage="1" xr:uid="{00000000-0002-0000-0700-000034000000}">
          <x14:formula1>
            <xm:f>'precios '!$C$6:$C$223</xm:f>
          </x14:formula1>
          <xm:sqref>A1140 A7270 A7312</xm:sqref>
        </x14:dataValidation>
        <x14:dataValidation type="list" allowBlank="1" showErrorMessage="1" xr:uid="{00000000-0002-0000-0700-000035000000}">
          <x14:formula1>
            <xm:f>'precios '!$C$6:$C$106</xm:f>
          </x14:formula1>
          <xm:sqref>A9462 A9518 A9574</xm:sqref>
        </x14:dataValidation>
        <x14:dataValidation type="list" allowBlank="1" showErrorMessage="1" xr:uid="{00000000-0002-0000-0700-000036000000}">
          <x14:formula1>
            <xm:f>'precios '!$C$6:$C$226</xm:f>
          </x14:formula1>
          <xm:sqref>A7102:A7104</xm:sqref>
        </x14:dataValidation>
        <x14:dataValidation type="list" allowBlank="1" showErrorMessage="1" xr:uid="{00000000-0002-0000-0700-000037000000}">
          <x14:formula1>
            <xm:f>'precios '!$C$6:$C$350</xm:f>
          </x14:formula1>
          <xm:sqref>A7412</xm:sqref>
        </x14:dataValidation>
        <x14:dataValidation type="list" allowBlank="1" showErrorMessage="1" xr:uid="{00000000-0002-0000-0700-000038000000}">
          <x14:formula1>
            <xm:f>CUADRILLAS!$A$23:$A$67</xm:f>
          </x14:formula1>
          <xm:sqref>A35:A39 A76:A80 A117:A121 A159:A163 A200:A204 A241:A245 A282:A286 A324:A328 A366:A370 A407:A411 A448:A452 A492:A496 A536:A540 A577:A581 A618:A622 A659:A663 A701:A705 A741:A745 A791:A795 A833:A837 A875:A879 A917:A921 A959:A963 A1000:A1004 A1042:A1046 A1084:A1088 A1126:A1130 A1168:A1172 A1210:A1214 A1252:A1256 A1294:A1298 A1336:A1340 A1378:A1382 A1420:A1424 A1462:A1466 A1504:A1508 A1547:A1551 A1589:A1593 A1631:A1635 A1673:A1677 A1715:A1719 A1757:A1761 A1799:A1803 A1841:A1845 A1883:A1887 A1925:A1929 A1967:A1971 A2009:A2013 A2051:A2055 A2093:A2097 A2135:A2139 A2177:A2181 A2219:A2223 A2261:A2265 A2303:A2307 A2345:A2349 A2387:A2391 A2429:A2433 A2471:A2475 A2513:A2517 A2555:A2559 A2597:A2601 A2639:A2643 A2681:A2685 A2723:A2727 A2765:A2769 A2807:A2811 A2849:A2853 A2891:A2895 A2933:A2937 A2975:A2979 A3017:A3021 A3059:A3063 A3101:A3105 A3143:A3147 A3185:A3189 A3227:A3231 A3269:A3273 A3311:A3315 A3353:A3357 A3395:A3399 A3437:A3441 A3479:A3483 A3521:A3525 A3563:A3567 A3605:A3609 A3647:A3651 A3689:A3693 A3731:A3735 A3773:A3777 A3815:A3819 A3857:A3861 A3899:A3903 A3941:A3945 A3983:A3987 A4025:A4029 A4067:A4071 A4109:A4113 A4154:A4158 A4196:A4200 A4238:A4242 A4280:A4284 A4324:A4328 A4368:A4372 A4412:A4416 A4456:A4460 A4500:A4504 A4544:A4548 A4585:A4589 A4626:A4630 A4667:A4671 A4707:A4711 A4751:A4755 A4795:A4799 A4839:A4843 A4883:A4887 A4927:A4931 A4971:A4975 A5015:A5019 A5059:A5063 A5103:A5107 A5147:A5151 A5191:A5195 A5233:A5237 A5275:A5279 A5317:A5321 A5361:A5365 A5405:A5409 A5449:A5453 A5493:A5497 A5537:A5541 A5581:A5585 A5625:A5629 A5669:A5673 A5713:A5717 A5757:A5761 A5801:A5805 A5845:A5849 A5889:A5893 A5933:A5937 A5977:A5981 A6021:A6025 A6065:A6069 A6109:A6113 A6153:A6157 A6197:A6201 A6241:A6245 A6285:A6289 A6329:A6333 A6373:A6377 A6417:A6421 A6461:A6465 A6505:A6509 A6549:A6553 A6593:A6597 A6637:A6641 A6684:A6688 A6729:A6733 A6774:A6778 A6819:A6823 A6864:A6868 A6909:A6913 A6953:A6957 A6998:A7002 A7039:A7043 A7083:A7087 A7127:A7131 A7170:A7174 A7213:A7217 A7256:A7260 A7298:A7302 A7340:A7344 A7384:A7388 A7437:A7441 A7478:A7482 A7519:A7523 A7561:A7565 A7603:A7607 A7645:A7649 A7689:A7693 A7732:A7736 A7790:A7794 A7832:A7836 A7874:A7878 A7916:A7920 A7958:A7962 A8007:A8011 A8049:A8053 A8091:A8095 A8133:A8137 A8175:A8179 A8217:A8221 A8259:A8263 A8301:A8305 A8346:A8350 A8386:A8390 A8449 A8491:A8495 A8532:A8536 A8573:A8577 A8617:A8621 A8661:A8665 A8705:A8709 A8749:A8753 A8793:A8797 A8837:A8841 A8881:A8885 A8925:A8929 A8969:A8973 A9013:A9017 A9057:A9061 A9101:A9105 A9145:A9149 A9189:A9193 A9233:A9237 A9282:A9286 A9331:A9335 A9380:A9384 A9424:A9428 A9480:A9484 A9536:A9540 A9592:A9596 A9633:A9637 A9673:A9677 A9714:A9718 A9754:A9758 A9795:A9799 A9835:A9839 A9883:A9887 A9925:A9929 A9966:A9970 A10006:A10010 A10057:A10061 A10097:A10101 A10139:A10143 A10183:A10187 A10228:A10232 A10272:A10276 A10316:A10320 A10360:A10364 A10404:A10408 A10451:A10455 A10498:A10502 A10540:A10544 A10581:A10585 A10623:A10627 A10665:A10669 A10707:A10711 A10749:A10753 A10791:A10795 A10834:A10838 A10877:A10881 A10920:A10924 A10963:A10967 A11007:A11011 A11050:A11054 A11092:A11096 A11134:A11138 A11175:A11179 A11216:A11220 A11257:A11261 A11298:A11302 A11339:A11343 A11380:A11384 A11422:A11426 A11464:A11468 A11516:A11520 A11568:A11572 A11620:A11624 A11670:A11673 A11721:A11725 A11773:A11777 A11823:A11826 A11874:A11878 A11926:A11930 A11978:A11982 A12030:A12034 A12082:A12086 A12134:A12138 A12186:A12190 A12238:A12242 A12290:A12294 A12342:A12346 A12394:A12398 A12455:A12459 A12505:A12509 A12555:A12559 A12605:A12609 A12655:A12659 A12705:A12709 A12755:A12759 A12805:A12809 A12855:A12859 A12905:A12909 A12955:A12959 A13005:A13009 A13055:A13059 A13105:A13109 A13155:A13159 A13205:A13209 A13255:A13259 A13305:A13309 A13355:A13359 A13405:A13409 A13455:A13459 A13505:A13509 A13555:A13559 A13598:A13602 A13641:A13645 A13684:A13688 A13726:A13730 A13768:A13772 A13810:A13814 A13852:A13856</xm:sqref>
        </x14:dataValidation>
        <x14:dataValidation type="list" allowBlank="1" showErrorMessage="1" xr:uid="{00000000-0002-0000-0700-000039000000}">
          <x14:formula1>
            <xm:f>EQUIPOS!$C$6:$C$42</xm:f>
          </x14:formula1>
          <xm:sqref>A17:A21 A1782:A1783 A5827 A7990:A7992 A8032:A8033 A8369 A8473 A8515:A8517 A8556:A8558 A10080 A10299 A10343 A10387 A10434 A10481 A11033 A13581</xm:sqref>
        </x14:dataValidation>
        <x14:dataValidation type="list" allowBlank="1" showErrorMessage="1" xr:uid="{00000000-0002-0000-0700-00003A000000}">
          <x14:formula1>
            <xm:f>'precios '!$C$6:$C$100</xm:f>
          </x14:formula1>
          <xm:sqref>A8:A11 A49:A52 A90:A93 A131:A135 A173:A176 A214:A217 A255:A258 A296:A300 A338:A342 A380:A383 A421:A424 A506:A509 A550:A553 A591:A594 A632:A635 A673:A677 A714:A717 A755:A767 A805:A809 A847:A851 A889:A893 A931:A935 A1014:A1018 A1057:A1058 A1060 A1098:A1102 A1141:A1144 A1182:A1186 A1224:A1228 A1266:A1270 A1308:A1312 A1350:A1354 A1392:A1396 A1434:A1438 A1476 A1478:A1480 A1518 A1521:A1523 A1561:A1566 A1603:A1608 A1646:A1650 A1688:A1692 A1729:A1734 A1772:A1773 A1775:A1776 A1813:A1818 A1855:A1860 A1897:A1902 A1939:A1944 A1981:A1986 A2023:A2028 A2065:A2070 A2107:A2112 A2149:A2154 A2191:A2196 A2233:A2238 A2275:A2280 A2317:A2322 A2359:A2364 A2401:A2406 A2443:A2448 A2485:A2490 A2527:A2532 A3452:A3456 A3494:A3498 A3536:A3540 A3578:A3582 A3620:A3624 A3662:A3666 A3704:A3708 A3746:A3750 A3788:A3792 A3830:A3834 A3872:A3876 A3914:A3918 A3956:A3960 A3998:A4002 A4040:A4044 A4082:A4086 A4169 A4171:A4173 A4211:A4215 A4253:A4257 A4295 A4297 A4301 A4339 A4341 A4345 A4385 A4389 A4429 A4433 A4473 A4477 A4517 A4521 A4560:A4561 A4601:A4602 A4642:A4643 A4681:A4684 A5120 A5124 A5164 A5168 A5206:A5210 A5290:A5294 A7012:A7015 A7097:A7101 A7142:A7147 A7185:A7190 A7231:A7233 A7271:A7274 A7313:A7316 A7451:A7454 A7493:A7495 A7576:A7580 A7659:A7662 A7703:A7706 A8106:A8110 A8232:A8236 A8275:A8278 A8323 A8463:A8467 A8506:A8508 A8547:A8549 A8588 A8590 A8594 A8632 A8634 A8638 A8676 A8678 A8682 A8720 A8722 A8726 A8764 A8766 A8770 A8808 A8810 A8814 A8852 A8854 A8858 A8896 A8898 A8902 A8940 A8942 A8946 A8984 A8986 A8990 A9028 A9030 A9034 A9072 A9074 A9078 A9116 A9118 A9122 A9160 A9162 A9166 A9204 A9206 A9210 A9259 A9308 A9357 A9457 A9513 A9569 A9607:A9609 A973:A976 A9688:A9690 A9647:A9648 A9769:A9771 A9809:A9810 A9940:A9942 A9728:A9729 A10554:A10557 A10806:A10811 A10851:A10854 A10892:A10897 A11023 A11026:A11027 A11149:A11151 A11190:A11192 A11231:A11233 A11272:A11274 A11313:A11315 A11354:A11356 A11490:A11493 A11542:A11545 A11594:A11597 A11646:A11649 A11695:A11698 A11747:A11750 A11799:A11802 A11848:A11851 A11900:A11903 A11952:A11955 A12004:A12007 A12056:A12059 A12108:A12111 A12160:A12163 A12212:A12215 A12264:A12267 A12316:A12319 A12368:A12371 A12430:A12432 A13571 A13574:A13575 A13615:A13616 A13618 A13658:A13659 A13661 A13700:A13701 A13703 A13742:A13743 A13745 A13783:A13787 A13825:A13829 A9981</xm:sqref>
        </x14:dataValidation>
        <x14:dataValidation type="list" allowBlank="1" showErrorMessage="1" xr:uid="{00000000-0002-0000-0700-00003B000000}">
          <x14:formula1>
            <xm:f>'precios '!$C$6:$C$1001</xm:f>
          </x14:formula1>
          <xm:sqref>A5552:G5552 A5078:G5079</xm:sqref>
        </x14:dataValidation>
        <x14:dataValidation type="list" allowBlank="1" showErrorMessage="1" xr:uid="{00000000-0002-0000-0700-00003C000000}">
          <x14:formula1>
            <xm:f>'precios '!C$8:C$647</xm:f>
          </x14:formula1>
          <xm:sqref>A4127:A4131 A10247 A8362 A7663</xm:sqref>
        </x14:dataValidation>
        <x14:dataValidation type="list" allowBlank="1" showErrorMessage="1" xr:uid="{00000000-0002-0000-0700-000040000000}">
          <x14:formula1>
            <xm:f>'precios '!C$8:C$100</xm:f>
          </x14:formula1>
          <xm:sqref>A977 A936 A894 A852 A810 A768 A718 A678 A636 A595 A554 A425 A384 A343 A301 A259 A218 A177 A136 A94 A53 A12 A11357 A11316 A11275 A11234 A11193 A11152 A10558 A9983 A9943 A9812 A9772 A9731 A9691 A9650 A9610 A8550 A8509 A8468 A7496 A7455 A7317 A7275 A7016 A4685 A4644 A4603 A4562 A1524 A1481 A1439 A1397 A1355 A1313 A1271 A1229 A1187 A1145 A1103 A1061 A1019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63E5F-1113-45CD-9012-DDE3C281F36C}">
  <dimension ref="A1:N699"/>
  <sheetViews>
    <sheetView topLeftCell="A693" workbookViewId="0">
      <selection activeCell="A401" sqref="A401:G401"/>
    </sheetView>
  </sheetViews>
  <sheetFormatPr baseColWidth="10" defaultRowHeight="12.75" x14ac:dyDescent="0.2"/>
  <cols>
    <col min="6" max="6" width="17.28515625" customWidth="1"/>
    <col min="7" max="7" width="12" bestFit="1" customWidth="1"/>
    <col min="8" max="8" width="14" customWidth="1"/>
    <col min="10" max="10" width="13.140625" customWidth="1"/>
    <col min="12" max="12" width="13.140625" customWidth="1"/>
  </cols>
  <sheetData>
    <row r="1" spans="1:14" x14ac:dyDescent="0.2">
      <c r="A1" s="407" t="s">
        <v>161</v>
      </c>
      <c r="B1" s="275"/>
      <c r="C1" s="275"/>
      <c r="D1" s="275"/>
      <c r="E1" s="275"/>
      <c r="F1" s="275"/>
      <c r="G1" s="275"/>
      <c r="H1" s="275"/>
      <c r="I1" s="275"/>
      <c r="J1" s="275"/>
      <c r="K1" s="275"/>
      <c r="L1" s="275"/>
      <c r="M1" s="275"/>
      <c r="N1" s="276"/>
    </row>
    <row r="2" spans="1:14" x14ac:dyDescent="0.2">
      <c r="A2" s="277"/>
      <c r="B2" s="278"/>
      <c r="C2" s="278"/>
      <c r="D2" s="278"/>
      <c r="E2" s="278"/>
      <c r="F2" s="278"/>
      <c r="G2" s="278"/>
      <c r="H2" s="278"/>
      <c r="I2" s="278"/>
      <c r="J2" s="278"/>
      <c r="K2" s="278"/>
      <c r="L2" s="278"/>
      <c r="M2" s="278"/>
      <c r="N2" s="279"/>
    </row>
    <row r="3" spans="1:14" ht="13.5" x14ac:dyDescent="0.2">
      <c r="A3" s="75"/>
      <c r="B3" s="75"/>
      <c r="C3" s="75"/>
      <c r="D3" s="75"/>
      <c r="E3" s="75"/>
      <c r="F3" s="75"/>
      <c r="G3" s="75"/>
      <c r="H3" s="75"/>
      <c r="I3" s="75"/>
      <c r="J3" s="75"/>
      <c r="K3" s="75"/>
      <c r="L3" s="75"/>
      <c r="M3" s="75"/>
      <c r="N3" s="75"/>
    </row>
    <row r="4" spans="1:14" ht="14.25" x14ac:dyDescent="0.3">
      <c r="A4" s="79" t="s">
        <v>615</v>
      </c>
      <c r="B4" s="80" t="str">
        <f>A1</f>
        <v>EXCAVACIÓN MANUAL EN CONGLOMERADO</v>
      </c>
      <c r="C4" s="81" t="s">
        <v>916</v>
      </c>
      <c r="D4" s="82" t="s">
        <v>258</v>
      </c>
      <c r="E4" s="83" t="s">
        <v>445</v>
      </c>
      <c r="F4" s="244">
        <f>(H4+J4+L4+N4)</f>
        <v>52660.488615999995</v>
      </c>
      <c r="G4" s="83" t="s">
        <v>607</v>
      </c>
      <c r="H4" s="86">
        <f>M23</f>
        <v>2501.6859199999999</v>
      </c>
      <c r="I4" s="83" t="s">
        <v>918</v>
      </c>
      <c r="J4" s="86">
        <f>M14</f>
        <v>0</v>
      </c>
      <c r="K4" s="83" t="s">
        <v>609</v>
      </c>
      <c r="L4" s="86">
        <f>M32</f>
        <v>125.08429599999999</v>
      </c>
      <c r="M4" s="83" t="s">
        <v>610</v>
      </c>
      <c r="N4" s="86">
        <f>M41</f>
        <v>50033.718399999998</v>
      </c>
    </row>
    <row r="5" spans="1:14" ht="13.5" x14ac:dyDescent="0.25">
      <c r="A5" s="87"/>
      <c r="B5" s="87"/>
      <c r="C5" s="87"/>
      <c r="D5" s="87"/>
      <c r="E5" s="242"/>
      <c r="F5" s="243"/>
      <c r="G5" s="87"/>
      <c r="J5" s="87"/>
      <c r="K5" s="215" t="s">
        <v>3217</v>
      </c>
      <c r="L5" s="215"/>
      <c r="M5" s="87"/>
      <c r="N5" s="87"/>
    </row>
    <row r="6" spans="1:14" x14ac:dyDescent="0.2">
      <c r="A6" s="398" t="s">
        <v>919</v>
      </c>
      <c r="B6" s="271"/>
      <c r="C6" s="271"/>
      <c r="D6" s="271"/>
      <c r="E6" s="271"/>
      <c r="F6" s="271"/>
      <c r="G6" s="271"/>
      <c r="H6" s="271"/>
      <c r="I6" s="271"/>
      <c r="J6" s="271"/>
      <c r="K6" s="271"/>
      <c r="L6" s="271"/>
      <c r="M6" s="271"/>
      <c r="N6" s="273"/>
    </row>
    <row r="7" spans="1:14" x14ac:dyDescent="0.2">
      <c r="A7" s="396" t="s">
        <v>76</v>
      </c>
      <c r="B7" s="271"/>
      <c r="C7" s="271"/>
      <c r="D7" s="271"/>
      <c r="E7" s="271"/>
      <c r="F7" s="271"/>
      <c r="G7" s="273"/>
      <c r="H7" s="88" t="s">
        <v>77</v>
      </c>
      <c r="I7" s="399" t="s">
        <v>920</v>
      </c>
      <c r="J7" s="273"/>
      <c r="K7" s="399" t="s">
        <v>453</v>
      </c>
      <c r="L7" s="273"/>
      <c r="M7" s="399" t="s">
        <v>921</v>
      </c>
      <c r="N7" s="273"/>
    </row>
    <row r="8" spans="1:14" ht="13.5" x14ac:dyDescent="0.2">
      <c r="A8" s="400"/>
      <c r="B8" s="271"/>
      <c r="C8" s="271"/>
      <c r="D8" s="271"/>
      <c r="E8" s="271"/>
      <c r="F8" s="271"/>
      <c r="G8" s="273"/>
      <c r="H8" s="29" t="str">
        <f t="shared" ref="H8:H13" si="0">IF(A8="","",VLOOKUP(A8,AA_Materiales,7,FALSE))</f>
        <v/>
      </c>
      <c r="I8" s="394" t="str">
        <f t="shared" ref="I8:I13" si="1">IF(A8="","",VLOOKUP(A8,AA_Materiales,8,FALSE))</f>
        <v/>
      </c>
      <c r="J8" s="273"/>
      <c r="K8" s="395"/>
      <c r="L8" s="273"/>
      <c r="M8" s="394" t="str">
        <f t="shared" ref="M8:M13" si="2">IF(A8="","",I8*K8)</f>
        <v/>
      </c>
      <c r="N8" s="273"/>
    </row>
    <row r="9" spans="1:14" ht="13.5" x14ac:dyDescent="0.2">
      <c r="A9" s="400"/>
      <c r="B9" s="271"/>
      <c r="C9" s="271"/>
      <c r="D9" s="271"/>
      <c r="E9" s="271"/>
      <c r="F9" s="271"/>
      <c r="G9" s="273"/>
      <c r="H9" s="29" t="str">
        <f t="shared" si="0"/>
        <v/>
      </c>
      <c r="I9" s="394" t="str">
        <f t="shared" si="1"/>
        <v/>
      </c>
      <c r="J9" s="273"/>
      <c r="K9" s="395"/>
      <c r="L9" s="273"/>
      <c r="M9" s="394" t="str">
        <f t="shared" si="2"/>
        <v/>
      </c>
      <c r="N9" s="273"/>
    </row>
    <row r="10" spans="1:14" ht="13.5" x14ac:dyDescent="0.2">
      <c r="A10" s="400"/>
      <c r="B10" s="271"/>
      <c r="C10" s="271"/>
      <c r="D10" s="271"/>
      <c r="E10" s="271"/>
      <c r="F10" s="271"/>
      <c r="G10" s="273"/>
      <c r="H10" s="29" t="str">
        <f t="shared" si="0"/>
        <v/>
      </c>
      <c r="I10" s="394" t="str">
        <f t="shared" si="1"/>
        <v/>
      </c>
      <c r="J10" s="273"/>
      <c r="K10" s="395"/>
      <c r="L10" s="273"/>
      <c r="M10" s="394" t="str">
        <f t="shared" si="2"/>
        <v/>
      </c>
      <c r="N10" s="273"/>
    </row>
    <row r="11" spans="1:14" ht="13.5" x14ac:dyDescent="0.2">
      <c r="A11" s="400"/>
      <c r="B11" s="271"/>
      <c r="C11" s="271"/>
      <c r="D11" s="271"/>
      <c r="E11" s="271"/>
      <c r="F11" s="271"/>
      <c r="G11" s="273"/>
      <c r="H11" s="29" t="str">
        <f t="shared" si="0"/>
        <v/>
      </c>
      <c r="I11" s="394" t="str">
        <f t="shared" si="1"/>
        <v/>
      </c>
      <c r="J11" s="273"/>
      <c r="K11" s="395"/>
      <c r="L11" s="273"/>
      <c r="M11" s="394" t="str">
        <f t="shared" si="2"/>
        <v/>
      </c>
      <c r="N11" s="273"/>
    </row>
    <row r="12" spans="1:14" ht="13.5" x14ac:dyDescent="0.2">
      <c r="A12" s="400"/>
      <c r="B12" s="271"/>
      <c r="C12" s="271"/>
      <c r="D12" s="271"/>
      <c r="E12" s="271"/>
      <c r="F12" s="271"/>
      <c r="G12" s="273"/>
      <c r="H12" s="29" t="str">
        <f t="shared" si="0"/>
        <v/>
      </c>
      <c r="I12" s="394" t="str">
        <f t="shared" si="1"/>
        <v/>
      </c>
      <c r="J12" s="273"/>
      <c r="K12" s="395"/>
      <c r="L12" s="273"/>
      <c r="M12" s="394" t="str">
        <f t="shared" si="2"/>
        <v/>
      </c>
      <c r="N12" s="273"/>
    </row>
    <row r="13" spans="1:14" ht="13.5" x14ac:dyDescent="0.2">
      <c r="A13" s="400"/>
      <c r="B13" s="271"/>
      <c r="C13" s="271"/>
      <c r="D13" s="271"/>
      <c r="E13" s="271"/>
      <c r="F13" s="271"/>
      <c r="G13" s="273"/>
      <c r="H13" s="29" t="str">
        <f t="shared" si="0"/>
        <v/>
      </c>
      <c r="I13" s="394" t="str">
        <f t="shared" si="1"/>
        <v/>
      </c>
      <c r="J13" s="273"/>
      <c r="K13" s="395"/>
      <c r="L13" s="273"/>
      <c r="M13" s="394" t="str">
        <f t="shared" si="2"/>
        <v/>
      </c>
      <c r="N13" s="273"/>
    </row>
    <row r="14" spans="1:14" ht="13.5" x14ac:dyDescent="0.25">
      <c r="A14" s="4"/>
      <c r="B14" s="4"/>
      <c r="C14" s="4"/>
      <c r="D14" s="4"/>
      <c r="E14" s="4"/>
      <c r="F14" s="4"/>
      <c r="G14" s="4"/>
      <c r="H14" s="4"/>
      <c r="I14" s="4"/>
      <c r="J14" s="4"/>
      <c r="K14" s="396" t="s">
        <v>444</v>
      </c>
      <c r="L14" s="273"/>
      <c r="M14" s="394">
        <f>SUM(M8:N13)</f>
        <v>0</v>
      </c>
      <c r="N14" s="273"/>
    </row>
    <row r="15" spans="1:14" ht="13.5" x14ac:dyDescent="0.25">
      <c r="A15" s="4"/>
      <c r="B15" s="4"/>
      <c r="C15" s="4"/>
      <c r="D15" s="4"/>
      <c r="E15" s="4"/>
      <c r="F15" s="4"/>
      <c r="G15" s="4"/>
      <c r="H15" s="4"/>
      <c r="I15" s="4"/>
      <c r="J15" s="4"/>
      <c r="K15" s="4"/>
      <c r="L15" s="4"/>
      <c r="M15" s="4"/>
      <c r="N15" s="4"/>
    </row>
    <row r="16" spans="1:14" x14ac:dyDescent="0.2">
      <c r="A16" s="398" t="s">
        <v>926</v>
      </c>
      <c r="B16" s="271"/>
      <c r="C16" s="271"/>
      <c r="D16" s="271"/>
      <c r="E16" s="271"/>
      <c r="F16" s="271"/>
      <c r="G16" s="271"/>
      <c r="H16" s="271"/>
      <c r="I16" s="271"/>
      <c r="J16" s="271"/>
      <c r="K16" s="271"/>
      <c r="L16" s="271"/>
      <c r="M16" s="271"/>
      <c r="N16" s="273"/>
    </row>
    <row r="17" spans="1:14" x14ac:dyDescent="0.2">
      <c r="A17" s="396" t="s">
        <v>76</v>
      </c>
      <c r="B17" s="271"/>
      <c r="C17" s="271"/>
      <c r="D17" s="271"/>
      <c r="E17" s="271"/>
      <c r="F17" s="271"/>
      <c r="G17" s="273"/>
      <c r="H17" s="88" t="s">
        <v>77</v>
      </c>
      <c r="I17" s="399" t="s">
        <v>920</v>
      </c>
      <c r="J17" s="273"/>
      <c r="K17" s="399" t="s">
        <v>453</v>
      </c>
      <c r="L17" s="273"/>
      <c r="M17" s="399" t="s">
        <v>921</v>
      </c>
      <c r="N17" s="273"/>
    </row>
    <row r="18" spans="1:14" ht="13.5" x14ac:dyDescent="0.2">
      <c r="A18" s="400" t="s">
        <v>927</v>
      </c>
      <c r="B18" s="271"/>
      <c r="C18" s="271"/>
      <c r="D18" s="271"/>
      <c r="E18" s="271"/>
      <c r="F18" s="271"/>
      <c r="G18" s="273"/>
      <c r="H18" s="29" t="str">
        <f>IF(A18="","",VLOOKUP(A18,AA_Equipos,7,FALSE))</f>
        <v>% M.O.</v>
      </c>
      <c r="I18" s="394">
        <f>M41</f>
        <v>50033.718399999998</v>
      </c>
      <c r="J18" s="273"/>
      <c r="K18" s="404">
        <v>0.05</v>
      </c>
      <c r="L18" s="273"/>
      <c r="M18" s="394">
        <f t="shared" ref="M18:M22" si="3">IF(A18="","",I18*K18)</f>
        <v>2501.6859199999999</v>
      </c>
      <c r="N18" s="273"/>
    </row>
    <row r="19" spans="1:14" ht="13.5" x14ac:dyDescent="0.2">
      <c r="A19" s="403"/>
      <c r="B19" s="271"/>
      <c r="C19" s="271"/>
      <c r="D19" s="271"/>
      <c r="E19" s="271"/>
      <c r="F19" s="271"/>
      <c r="G19" s="273"/>
      <c r="H19" s="29" t="str">
        <f>IF(A19="","",VLOOKUP(A19,AA_Equipos,7,FALSE))</f>
        <v/>
      </c>
      <c r="I19" s="394" t="str">
        <f>IF(A19="","",VLOOKUP(A19,AA_Equipos,8,FALSE))</f>
        <v/>
      </c>
      <c r="J19" s="273"/>
      <c r="K19" s="402"/>
      <c r="L19" s="273"/>
      <c r="M19" s="394" t="str">
        <f t="shared" si="3"/>
        <v/>
      </c>
      <c r="N19" s="273"/>
    </row>
    <row r="20" spans="1:14" ht="13.5" x14ac:dyDescent="0.2">
      <c r="A20" s="400"/>
      <c r="B20" s="271"/>
      <c r="C20" s="271"/>
      <c r="D20" s="271"/>
      <c r="E20" s="271"/>
      <c r="F20" s="271"/>
      <c r="G20" s="273"/>
      <c r="H20" s="29" t="str">
        <f>IF(A20="","",VLOOKUP(A20,AA_Equipos,7,FALSE))</f>
        <v/>
      </c>
      <c r="I20" s="394" t="str">
        <f>IF(A20="","",VLOOKUP(A20,AA_Equipos,8,FALSE))</f>
        <v/>
      </c>
      <c r="J20" s="273"/>
      <c r="K20" s="401"/>
      <c r="L20" s="273"/>
      <c r="M20" s="394" t="str">
        <f t="shared" si="3"/>
        <v/>
      </c>
      <c r="N20" s="273"/>
    </row>
    <row r="21" spans="1:14" ht="13.5" x14ac:dyDescent="0.2">
      <c r="A21" s="400"/>
      <c r="B21" s="271"/>
      <c r="C21" s="271"/>
      <c r="D21" s="271"/>
      <c r="E21" s="271"/>
      <c r="F21" s="271"/>
      <c r="G21" s="273"/>
      <c r="H21" s="29" t="str">
        <f>IF(A21="","",VLOOKUP(A21,AA_Equipos,7,FALSE))</f>
        <v/>
      </c>
      <c r="I21" s="394" t="str">
        <f>IF(A21="","",VLOOKUP(A21,AA_Equipos,8,FALSE))</f>
        <v/>
      </c>
      <c r="J21" s="273"/>
      <c r="K21" s="395"/>
      <c r="L21" s="273"/>
      <c r="M21" s="394" t="str">
        <f t="shared" si="3"/>
        <v/>
      </c>
      <c r="N21" s="273"/>
    </row>
    <row r="22" spans="1:14" ht="13.5" x14ac:dyDescent="0.2">
      <c r="A22" s="400"/>
      <c r="B22" s="271"/>
      <c r="C22" s="271"/>
      <c r="D22" s="271"/>
      <c r="E22" s="271"/>
      <c r="F22" s="271"/>
      <c r="G22" s="273"/>
      <c r="H22" s="29" t="str">
        <f>IF(A22="","",VLOOKUP(A22,AA_Equipos,7,FALSE))</f>
        <v/>
      </c>
      <c r="I22" s="394" t="str">
        <f>IF(A22="","",VLOOKUP(A22,AA_Equipos,8,FALSE))</f>
        <v/>
      </c>
      <c r="J22" s="273"/>
      <c r="K22" s="395"/>
      <c r="L22" s="273"/>
      <c r="M22" s="394" t="str">
        <f t="shared" si="3"/>
        <v/>
      </c>
      <c r="N22" s="273"/>
    </row>
    <row r="23" spans="1:14" ht="13.5" x14ac:dyDescent="0.25">
      <c r="A23" s="4"/>
      <c r="B23" s="4"/>
      <c r="C23" s="4"/>
      <c r="D23" s="4"/>
      <c r="E23" s="4"/>
      <c r="F23" s="4"/>
      <c r="G23" s="4"/>
      <c r="H23" s="4"/>
      <c r="I23" s="4"/>
      <c r="J23" s="4"/>
      <c r="K23" s="396" t="s">
        <v>444</v>
      </c>
      <c r="L23" s="273"/>
      <c r="M23" s="394">
        <f>SUM(M18:N22)</f>
        <v>2501.6859199999999</v>
      </c>
      <c r="N23" s="273"/>
    </row>
    <row r="24" spans="1:14" ht="13.5" x14ac:dyDescent="0.25">
      <c r="A24" s="4"/>
      <c r="B24" s="4"/>
      <c r="C24" s="4"/>
      <c r="D24" s="4"/>
      <c r="E24" s="4"/>
      <c r="F24" s="4"/>
      <c r="G24" s="4"/>
      <c r="H24" s="4"/>
      <c r="I24" s="4"/>
      <c r="J24" s="4"/>
      <c r="K24" s="4"/>
      <c r="L24" s="4"/>
      <c r="M24" s="4"/>
      <c r="N24" s="4"/>
    </row>
    <row r="25" spans="1:14" x14ac:dyDescent="0.2">
      <c r="A25" s="398" t="s">
        <v>929</v>
      </c>
      <c r="B25" s="271"/>
      <c r="C25" s="271"/>
      <c r="D25" s="271"/>
      <c r="E25" s="271"/>
      <c r="F25" s="271"/>
      <c r="G25" s="271"/>
      <c r="H25" s="271"/>
      <c r="I25" s="271"/>
      <c r="J25" s="271"/>
      <c r="K25" s="271"/>
      <c r="L25" s="271"/>
      <c r="M25" s="271"/>
      <c r="N25" s="273"/>
    </row>
    <row r="26" spans="1:14" x14ac:dyDescent="0.2">
      <c r="A26" s="396" t="s">
        <v>76</v>
      </c>
      <c r="B26" s="271"/>
      <c r="C26" s="271"/>
      <c r="D26" s="271"/>
      <c r="E26" s="271"/>
      <c r="F26" s="271"/>
      <c r="G26" s="273"/>
      <c r="H26" s="88" t="s">
        <v>77</v>
      </c>
      <c r="I26" s="399" t="s">
        <v>920</v>
      </c>
      <c r="J26" s="273"/>
      <c r="K26" s="399" t="s">
        <v>453</v>
      </c>
      <c r="L26" s="273"/>
      <c r="M26" s="399" t="s">
        <v>921</v>
      </c>
      <c r="N26" s="273"/>
    </row>
    <row r="27" spans="1:14" ht="13.5" x14ac:dyDescent="0.2">
      <c r="A27" s="400" t="s">
        <v>3174</v>
      </c>
      <c r="B27" s="271"/>
      <c r="C27" s="271"/>
      <c r="D27" s="271"/>
      <c r="E27" s="271"/>
      <c r="F27" s="271"/>
      <c r="G27" s="273"/>
      <c r="H27" s="29" t="s">
        <v>24</v>
      </c>
      <c r="I27" s="394">
        <f>+M23</f>
        <v>2501.6859199999999</v>
      </c>
      <c r="J27" s="273"/>
      <c r="K27" s="404">
        <v>0.05</v>
      </c>
      <c r="L27" s="273"/>
      <c r="M27" s="394">
        <f t="shared" ref="M27:M31" si="4">IF(A27="","",I27*K27)</f>
        <v>125.08429599999999</v>
      </c>
      <c r="N27" s="273"/>
    </row>
    <row r="28" spans="1:14" ht="13.5" x14ac:dyDescent="0.2">
      <c r="A28" s="403"/>
      <c r="B28" s="271"/>
      <c r="C28" s="271"/>
      <c r="D28" s="271"/>
      <c r="E28" s="271"/>
      <c r="F28" s="271"/>
      <c r="G28" s="273"/>
      <c r="H28" s="29"/>
      <c r="I28" s="394"/>
      <c r="J28" s="273"/>
      <c r="K28" s="404"/>
      <c r="L28" s="273"/>
      <c r="M28" s="394" t="str">
        <f t="shared" si="4"/>
        <v/>
      </c>
      <c r="N28" s="273"/>
    </row>
    <row r="29" spans="1:14" ht="13.5" x14ac:dyDescent="0.2">
      <c r="A29" s="400"/>
      <c r="B29" s="271"/>
      <c r="C29" s="271"/>
      <c r="D29" s="271"/>
      <c r="E29" s="271"/>
      <c r="F29" s="271"/>
      <c r="G29" s="273"/>
      <c r="H29" s="29"/>
      <c r="I29" s="394"/>
      <c r="J29" s="273"/>
      <c r="K29" s="395"/>
      <c r="L29" s="273"/>
      <c r="M29" s="394" t="str">
        <f t="shared" si="4"/>
        <v/>
      </c>
      <c r="N29" s="273"/>
    </row>
    <row r="30" spans="1:14" ht="13.5" x14ac:dyDescent="0.2">
      <c r="A30" s="400"/>
      <c r="B30" s="271"/>
      <c r="C30" s="271"/>
      <c r="D30" s="271"/>
      <c r="E30" s="271"/>
      <c r="F30" s="271"/>
      <c r="G30" s="273"/>
      <c r="H30" s="29"/>
      <c r="I30" s="394"/>
      <c r="J30" s="273"/>
      <c r="K30" s="395"/>
      <c r="L30" s="273"/>
      <c r="M30" s="394" t="str">
        <f t="shared" si="4"/>
        <v/>
      </c>
      <c r="N30" s="273"/>
    </row>
    <row r="31" spans="1:14" ht="13.5" x14ac:dyDescent="0.2">
      <c r="A31" s="400"/>
      <c r="B31" s="271"/>
      <c r="C31" s="271"/>
      <c r="D31" s="271"/>
      <c r="E31" s="271"/>
      <c r="F31" s="271"/>
      <c r="G31" s="273"/>
      <c r="H31" s="29"/>
      <c r="I31" s="394"/>
      <c r="J31" s="273"/>
      <c r="K31" s="395"/>
      <c r="L31" s="273"/>
      <c r="M31" s="394" t="str">
        <f t="shared" si="4"/>
        <v/>
      </c>
      <c r="N31" s="273"/>
    </row>
    <row r="32" spans="1:14" ht="13.5" x14ac:dyDescent="0.25">
      <c r="A32" s="4"/>
      <c r="B32" s="4"/>
      <c r="C32" s="4"/>
      <c r="D32" s="4"/>
      <c r="E32" s="4"/>
      <c r="F32" s="4"/>
      <c r="G32" s="4"/>
      <c r="H32" s="4"/>
      <c r="I32" s="4"/>
      <c r="J32" s="4"/>
      <c r="K32" s="396" t="s">
        <v>444</v>
      </c>
      <c r="L32" s="273"/>
      <c r="M32" s="394">
        <f>SUM(M27:N31)</f>
        <v>125.08429599999999</v>
      </c>
      <c r="N32" s="273"/>
    </row>
    <row r="33" spans="1:14" ht="13.5" x14ac:dyDescent="0.25">
      <c r="A33" s="4"/>
      <c r="B33" s="4"/>
      <c r="C33" s="4"/>
      <c r="D33" s="4"/>
      <c r="E33" s="4"/>
      <c r="F33" s="4"/>
      <c r="G33" s="4"/>
      <c r="H33" s="4"/>
      <c r="I33" s="4"/>
      <c r="J33" s="4"/>
      <c r="K33" s="4"/>
      <c r="L33" s="4"/>
      <c r="M33" s="4"/>
      <c r="N33" s="4"/>
    </row>
    <row r="34" spans="1:14" x14ac:dyDescent="0.2">
      <c r="A34" s="398" t="s">
        <v>931</v>
      </c>
      <c r="B34" s="271"/>
      <c r="C34" s="271"/>
      <c r="D34" s="271"/>
      <c r="E34" s="271"/>
      <c r="F34" s="271"/>
      <c r="G34" s="271"/>
      <c r="H34" s="271"/>
      <c r="I34" s="271"/>
      <c r="J34" s="271"/>
      <c r="K34" s="271"/>
      <c r="L34" s="271"/>
      <c r="M34" s="271"/>
      <c r="N34" s="273"/>
    </row>
    <row r="35" spans="1:14" x14ac:dyDescent="0.2">
      <c r="A35" s="396" t="s">
        <v>76</v>
      </c>
      <c r="B35" s="271"/>
      <c r="C35" s="271"/>
      <c r="D35" s="271"/>
      <c r="E35" s="271"/>
      <c r="F35" s="271"/>
      <c r="G35" s="273"/>
      <c r="H35" s="88" t="s">
        <v>77</v>
      </c>
      <c r="I35" s="399" t="s">
        <v>920</v>
      </c>
      <c r="J35" s="273"/>
      <c r="K35" s="90" t="s">
        <v>514</v>
      </c>
      <c r="L35" s="91" t="s">
        <v>932</v>
      </c>
      <c r="M35" s="399" t="s">
        <v>921</v>
      </c>
      <c r="N35" s="273"/>
    </row>
    <row r="36" spans="1:14" ht="13.5" x14ac:dyDescent="0.25">
      <c r="A36" s="393" t="s">
        <v>936</v>
      </c>
      <c r="B36" s="271"/>
      <c r="C36" s="271"/>
      <c r="D36" s="271"/>
      <c r="E36" s="271"/>
      <c r="F36" s="271"/>
      <c r="G36" s="273"/>
      <c r="H36" s="29" t="str">
        <f>IF(A36="","",VLOOKUP(A36,AA_Cuadrillas,4,FALSE))</f>
        <v>Cuadrilla</v>
      </c>
      <c r="I36" s="394">
        <f>IF(A36="","",VLOOKUP(A36,AA_Cuadrillas,5,FALSE))</f>
        <v>70036</v>
      </c>
      <c r="J36" s="273"/>
      <c r="K36" s="9">
        <f>IF(A36="","",F.P!$I$2)</f>
        <v>1.88</v>
      </c>
      <c r="L36" s="93">
        <v>0.38</v>
      </c>
      <c r="M36" s="394">
        <f t="shared" ref="M36:M40" si="5">IF(A36="","",I36*K36*L36)</f>
        <v>50033.718399999998</v>
      </c>
      <c r="N36" s="273"/>
    </row>
    <row r="37" spans="1:14" ht="13.5" x14ac:dyDescent="0.25">
      <c r="A37" s="393"/>
      <c r="B37" s="271"/>
      <c r="C37" s="271"/>
      <c r="D37" s="271"/>
      <c r="E37" s="271"/>
      <c r="F37" s="271"/>
      <c r="G37" s="273"/>
      <c r="H37" s="29" t="str">
        <f>IF(A37="","",VLOOKUP(A37,AA_Cuadrillas,4,FALSE))</f>
        <v/>
      </c>
      <c r="I37" s="394" t="str">
        <f>IF(A37="","",VLOOKUP(A37,AA_Cuadrillas,5,FALSE))</f>
        <v/>
      </c>
      <c r="J37" s="273"/>
      <c r="K37" s="9" t="str">
        <f>IF(A37="","",F.P!$I$2)</f>
        <v/>
      </c>
      <c r="L37" s="9"/>
      <c r="M37" s="394" t="str">
        <f t="shared" si="5"/>
        <v/>
      </c>
      <c r="N37" s="273"/>
    </row>
    <row r="38" spans="1:14" ht="13.5" x14ac:dyDescent="0.25">
      <c r="A38" s="393"/>
      <c r="B38" s="271"/>
      <c r="C38" s="271"/>
      <c r="D38" s="271"/>
      <c r="E38" s="271"/>
      <c r="F38" s="271"/>
      <c r="G38" s="273"/>
      <c r="H38" s="29" t="str">
        <f>IF(A38="","",VLOOKUP(A38,AA_Cuadrillas,4,FALSE))</f>
        <v/>
      </c>
      <c r="I38" s="394" t="str">
        <f>IF(A38="","",VLOOKUP(A38,AA_Cuadrillas,5,FALSE))</f>
        <v/>
      </c>
      <c r="J38" s="273"/>
      <c r="K38" s="9" t="str">
        <f>IF(A38="","",F.P!$I$2)</f>
        <v/>
      </c>
      <c r="L38" s="37"/>
      <c r="M38" s="394" t="str">
        <f t="shared" si="5"/>
        <v/>
      </c>
      <c r="N38" s="273"/>
    </row>
    <row r="39" spans="1:14" ht="13.5" x14ac:dyDescent="0.25">
      <c r="A39" s="393"/>
      <c r="B39" s="271"/>
      <c r="C39" s="271"/>
      <c r="D39" s="271"/>
      <c r="E39" s="271"/>
      <c r="F39" s="271"/>
      <c r="G39" s="273"/>
      <c r="H39" s="29" t="str">
        <f>IF(A39="","",VLOOKUP(A39,AA_Cuadrillas,4,FALSE))</f>
        <v/>
      </c>
      <c r="I39" s="394" t="str">
        <f>IF(A39="","",VLOOKUP(A39,AA_Cuadrillas,5,FALSE))</f>
        <v/>
      </c>
      <c r="J39" s="273"/>
      <c r="K39" s="9" t="str">
        <f>IF(A39="","",F.P!$I$2)</f>
        <v/>
      </c>
      <c r="L39" s="37"/>
      <c r="M39" s="394" t="str">
        <f t="shared" si="5"/>
        <v/>
      </c>
      <c r="N39" s="273"/>
    </row>
    <row r="40" spans="1:14" ht="13.5" x14ac:dyDescent="0.25">
      <c r="A40" s="393"/>
      <c r="B40" s="271"/>
      <c r="C40" s="271"/>
      <c r="D40" s="271"/>
      <c r="E40" s="271"/>
      <c r="F40" s="271"/>
      <c r="G40" s="273"/>
      <c r="H40" s="29" t="str">
        <f>IF(A40="","",VLOOKUP(A40,AA_Cuadrillas,4,FALSE))</f>
        <v/>
      </c>
      <c r="I40" s="394" t="str">
        <f>IF(A40="","",VLOOKUP(A40,AA_Cuadrillas,5,FALSE))</f>
        <v/>
      </c>
      <c r="J40" s="273"/>
      <c r="K40" s="9" t="str">
        <f>IF(A40="","",F.P!$I$2)</f>
        <v/>
      </c>
      <c r="L40" s="37"/>
      <c r="M40" s="394" t="str">
        <f t="shared" si="5"/>
        <v/>
      </c>
      <c r="N40" s="273"/>
    </row>
    <row r="41" spans="1:14" ht="12.75" customHeight="1" x14ac:dyDescent="0.25">
      <c r="A41" s="4"/>
      <c r="B41" s="4"/>
      <c r="C41" s="4"/>
      <c r="D41" s="4"/>
      <c r="E41" s="4"/>
      <c r="F41" s="4"/>
      <c r="G41" s="4"/>
      <c r="H41" s="4"/>
      <c r="I41" s="4"/>
      <c r="J41" s="4"/>
      <c r="K41" s="434" t="s">
        <v>444</v>
      </c>
      <c r="L41" s="435"/>
      <c r="M41" s="436">
        <f>SUM(M36:N40)</f>
        <v>50033.718399999998</v>
      </c>
      <c r="N41" s="437"/>
    </row>
    <row r="42" spans="1:14" ht="13.5" x14ac:dyDescent="0.25">
      <c r="A42" s="4"/>
      <c r="B42" s="4"/>
      <c r="C42" s="4"/>
      <c r="D42" s="4"/>
      <c r="E42" s="4"/>
      <c r="F42" s="4"/>
      <c r="G42" s="4"/>
      <c r="H42" s="4"/>
      <c r="I42" s="4"/>
      <c r="J42" s="4"/>
      <c r="K42" s="94"/>
      <c r="L42" s="95"/>
      <c r="M42" s="89"/>
      <c r="N42" s="96"/>
    </row>
    <row r="44" spans="1:14" x14ac:dyDescent="0.2">
      <c r="A44" s="397" t="s">
        <v>92</v>
      </c>
      <c r="B44" s="275"/>
      <c r="C44" s="275"/>
      <c r="D44" s="275"/>
      <c r="E44" s="275"/>
      <c r="F44" s="275"/>
      <c r="G44" s="275"/>
      <c r="H44" s="275"/>
      <c r="I44" s="275"/>
      <c r="J44" s="275"/>
      <c r="K44" s="275"/>
      <c r="L44" s="275"/>
      <c r="M44" s="275"/>
      <c r="N44" s="276"/>
    </row>
    <row r="45" spans="1:14" x14ac:dyDescent="0.2">
      <c r="A45" s="277"/>
      <c r="B45" s="278"/>
      <c r="C45" s="278"/>
      <c r="D45" s="278"/>
      <c r="E45" s="278"/>
      <c r="F45" s="278"/>
      <c r="G45" s="278"/>
      <c r="H45" s="278"/>
      <c r="I45" s="278"/>
      <c r="J45" s="278"/>
      <c r="K45" s="278"/>
      <c r="L45" s="278"/>
      <c r="M45" s="278"/>
      <c r="N45" s="279"/>
    </row>
    <row r="46" spans="1:14" ht="13.5" x14ac:dyDescent="0.2">
      <c r="A46" s="75"/>
      <c r="B46" s="75"/>
      <c r="C46" s="75"/>
      <c r="D46" s="75"/>
      <c r="E46" s="75"/>
      <c r="F46" s="75"/>
      <c r="G46" s="75"/>
      <c r="H46" s="75"/>
      <c r="I46" s="75"/>
      <c r="J46" s="75"/>
      <c r="K46" s="75"/>
      <c r="L46" s="75"/>
      <c r="M46" s="75"/>
      <c r="N46" s="75"/>
    </row>
    <row r="47" spans="1:14" ht="14.25" x14ac:dyDescent="0.3">
      <c r="A47" s="79" t="s">
        <v>633</v>
      </c>
      <c r="B47" s="80" t="str">
        <f>A44</f>
        <v>RELLENO TIPO II: CON RECEBO SELECCIONADO, COMPACTADO EN CAPAS DE 20 CM, PROCTOR MODIFICADO 95%, A TODO FACTOR (INCLUYE RECEBO, EQUIPOS, HERRAMIENTAS, TRANSPORTE Y MANO DE OBRA)</v>
      </c>
      <c r="C47" s="81" t="s">
        <v>916</v>
      </c>
      <c r="D47" s="82" t="s">
        <v>258</v>
      </c>
      <c r="E47" s="83" t="s">
        <v>445</v>
      </c>
      <c r="F47" s="244">
        <f>(H47+J47+L47+N47)</f>
        <v>176301.78268129006</v>
      </c>
      <c r="G47" s="83" t="s">
        <v>607</v>
      </c>
      <c r="H47" s="86">
        <f>M66</f>
        <v>3164.4256</v>
      </c>
      <c r="I47" s="83" t="s">
        <v>918</v>
      </c>
      <c r="J47" s="86">
        <f>M57</f>
        <v>62416.6875</v>
      </c>
      <c r="K47" s="83" t="s">
        <v>609</v>
      </c>
      <c r="L47" s="86">
        <f>M75</f>
        <v>101942.82424795673</v>
      </c>
      <c r="M47" s="83" t="s">
        <v>610</v>
      </c>
      <c r="N47" s="86">
        <f>M84</f>
        <v>8777.8453333333327</v>
      </c>
    </row>
    <row r="48" spans="1:14" ht="13.5" x14ac:dyDescent="0.25">
      <c r="A48" s="87"/>
      <c r="B48" s="87"/>
      <c r="C48" s="87"/>
      <c r="D48" s="87"/>
      <c r="E48" s="87"/>
      <c r="F48" s="87"/>
      <c r="G48" s="87"/>
      <c r="J48" s="87"/>
      <c r="K48" s="215" t="s">
        <v>3217</v>
      </c>
      <c r="L48" s="215"/>
      <c r="M48" s="87"/>
      <c r="N48" s="87"/>
    </row>
    <row r="49" spans="1:14" x14ac:dyDescent="0.2">
      <c r="A49" s="398" t="s">
        <v>919</v>
      </c>
      <c r="B49" s="271"/>
      <c r="C49" s="271"/>
      <c r="D49" s="271"/>
      <c r="E49" s="271"/>
      <c r="F49" s="271"/>
      <c r="G49" s="271"/>
      <c r="H49" s="271"/>
      <c r="I49" s="271"/>
      <c r="J49" s="271"/>
      <c r="K49" s="271"/>
      <c r="L49" s="271"/>
      <c r="M49" s="271"/>
      <c r="N49" s="273"/>
    </row>
    <row r="50" spans="1:14" x14ac:dyDescent="0.2">
      <c r="A50" s="396" t="s">
        <v>76</v>
      </c>
      <c r="B50" s="271"/>
      <c r="C50" s="271"/>
      <c r="D50" s="271"/>
      <c r="E50" s="271"/>
      <c r="F50" s="271"/>
      <c r="G50" s="273"/>
      <c r="H50" s="88" t="s">
        <v>77</v>
      </c>
      <c r="I50" s="399" t="s">
        <v>920</v>
      </c>
      <c r="J50" s="273"/>
      <c r="K50" s="399" t="s">
        <v>453</v>
      </c>
      <c r="L50" s="273"/>
      <c r="M50" s="399" t="s">
        <v>921</v>
      </c>
      <c r="N50" s="273"/>
    </row>
    <row r="51" spans="1:14" ht="13.5" x14ac:dyDescent="0.2">
      <c r="A51" s="400" t="s">
        <v>1010</v>
      </c>
      <c r="B51" s="271"/>
      <c r="C51" s="271"/>
      <c r="D51" s="271"/>
      <c r="E51" s="271"/>
      <c r="F51" s="271"/>
      <c r="G51" s="273"/>
      <c r="H51" s="29" t="str">
        <f t="shared" ref="H51:H56" si="6">IF(A51="","",VLOOKUP(A51,AA_Materiales,7,FALSE))</f>
        <v>m3</v>
      </c>
      <c r="I51" s="394">
        <f t="shared" ref="I51:I56" si="7">IF(A51="","",VLOOKUP(A51,AA_Materiales,8,FALSE))</f>
        <v>49933.35</v>
      </c>
      <c r="J51" s="273"/>
      <c r="K51" s="395">
        <f>1+Indice!$L$15</f>
        <v>1.25</v>
      </c>
      <c r="L51" s="273"/>
      <c r="M51" s="394">
        <f t="shared" ref="M51:M56" si="8">IF(A51="","",I51*K51)</f>
        <v>62416.6875</v>
      </c>
      <c r="N51" s="273"/>
    </row>
    <row r="52" spans="1:14" ht="13.5" x14ac:dyDescent="0.2">
      <c r="A52" s="400"/>
      <c r="B52" s="271"/>
      <c r="C52" s="271"/>
      <c r="D52" s="271"/>
      <c r="E52" s="271"/>
      <c r="F52" s="271"/>
      <c r="G52" s="273"/>
      <c r="H52" s="29" t="str">
        <f t="shared" si="6"/>
        <v/>
      </c>
      <c r="I52" s="394" t="str">
        <f t="shared" si="7"/>
        <v/>
      </c>
      <c r="J52" s="273"/>
      <c r="K52" s="395"/>
      <c r="L52" s="273"/>
      <c r="M52" s="394" t="str">
        <f t="shared" si="8"/>
        <v/>
      </c>
      <c r="N52" s="273"/>
    </row>
    <row r="53" spans="1:14" ht="13.5" x14ac:dyDescent="0.2">
      <c r="A53" s="400"/>
      <c r="B53" s="271"/>
      <c r="C53" s="271"/>
      <c r="D53" s="271"/>
      <c r="E53" s="271"/>
      <c r="F53" s="271"/>
      <c r="G53" s="273"/>
      <c r="H53" s="29" t="str">
        <f t="shared" si="6"/>
        <v/>
      </c>
      <c r="I53" s="394" t="str">
        <f t="shared" si="7"/>
        <v/>
      </c>
      <c r="J53" s="273"/>
      <c r="K53" s="395"/>
      <c r="L53" s="273"/>
      <c r="M53" s="394" t="str">
        <f t="shared" si="8"/>
        <v/>
      </c>
      <c r="N53" s="273"/>
    </row>
    <row r="54" spans="1:14" ht="13.5" x14ac:dyDescent="0.2">
      <c r="A54" s="400"/>
      <c r="B54" s="271"/>
      <c r="C54" s="271"/>
      <c r="D54" s="271"/>
      <c r="E54" s="271"/>
      <c r="F54" s="271"/>
      <c r="G54" s="273"/>
      <c r="H54" s="29" t="str">
        <f t="shared" si="6"/>
        <v/>
      </c>
      <c r="I54" s="394" t="str">
        <f t="shared" si="7"/>
        <v/>
      </c>
      <c r="J54" s="273"/>
      <c r="K54" s="395"/>
      <c r="L54" s="273"/>
      <c r="M54" s="394" t="str">
        <f t="shared" si="8"/>
        <v/>
      </c>
      <c r="N54" s="273"/>
    </row>
    <row r="55" spans="1:14" ht="13.5" x14ac:dyDescent="0.2">
      <c r="A55" s="400"/>
      <c r="B55" s="271"/>
      <c r="C55" s="271"/>
      <c r="D55" s="271"/>
      <c r="E55" s="271"/>
      <c r="F55" s="271"/>
      <c r="G55" s="273"/>
      <c r="H55" s="29" t="str">
        <f t="shared" si="6"/>
        <v/>
      </c>
      <c r="I55" s="394" t="str">
        <f t="shared" si="7"/>
        <v/>
      </c>
      <c r="J55" s="273"/>
      <c r="K55" s="395"/>
      <c r="L55" s="273"/>
      <c r="M55" s="394" t="str">
        <f t="shared" si="8"/>
        <v/>
      </c>
      <c r="N55" s="273"/>
    </row>
    <row r="56" spans="1:14" ht="13.5" x14ac:dyDescent="0.2">
      <c r="A56" s="400"/>
      <c r="B56" s="271"/>
      <c r="C56" s="271"/>
      <c r="D56" s="271"/>
      <c r="E56" s="271"/>
      <c r="F56" s="271"/>
      <c r="G56" s="273"/>
      <c r="H56" s="29" t="str">
        <f t="shared" si="6"/>
        <v/>
      </c>
      <c r="I56" s="394" t="str">
        <f t="shared" si="7"/>
        <v/>
      </c>
      <c r="J56" s="273"/>
      <c r="K56" s="395"/>
      <c r="L56" s="273"/>
      <c r="M56" s="394" t="str">
        <f t="shared" si="8"/>
        <v/>
      </c>
      <c r="N56" s="273"/>
    </row>
    <row r="57" spans="1:14" ht="13.5" x14ac:dyDescent="0.25">
      <c r="A57" s="4"/>
      <c r="B57" s="4"/>
      <c r="C57" s="4"/>
      <c r="D57" s="4"/>
      <c r="E57" s="4"/>
      <c r="F57" s="4"/>
      <c r="G57" s="4"/>
      <c r="H57" s="4"/>
      <c r="I57" s="4"/>
      <c r="J57" s="4"/>
      <c r="K57" s="396" t="s">
        <v>444</v>
      </c>
      <c r="L57" s="273"/>
      <c r="M57" s="394">
        <f>SUM(M51:N56)</f>
        <v>62416.6875</v>
      </c>
      <c r="N57" s="273"/>
    </row>
    <row r="58" spans="1:14" ht="13.5" x14ac:dyDescent="0.25">
      <c r="A58" s="4"/>
      <c r="B58" s="4"/>
      <c r="C58" s="4"/>
      <c r="D58" s="4"/>
      <c r="E58" s="4"/>
      <c r="F58" s="4"/>
      <c r="G58" s="4"/>
      <c r="H58" s="4"/>
      <c r="I58" s="4"/>
      <c r="J58" s="4"/>
      <c r="K58" s="4"/>
      <c r="L58" s="4"/>
      <c r="M58" s="4"/>
      <c r="N58" s="4"/>
    </row>
    <row r="59" spans="1:14" x14ac:dyDescent="0.2">
      <c r="A59" s="398" t="s">
        <v>926</v>
      </c>
      <c r="B59" s="271"/>
      <c r="C59" s="271"/>
      <c r="D59" s="271"/>
      <c r="E59" s="271"/>
      <c r="F59" s="271"/>
      <c r="G59" s="271"/>
      <c r="H59" s="271"/>
      <c r="I59" s="271"/>
      <c r="J59" s="271"/>
      <c r="K59" s="271"/>
      <c r="L59" s="271"/>
      <c r="M59" s="271"/>
      <c r="N59" s="273"/>
    </row>
    <row r="60" spans="1:14" x14ac:dyDescent="0.2">
      <c r="A60" s="396" t="s">
        <v>76</v>
      </c>
      <c r="B60" s="271"/>
      <c r="C60" s="271"/>
      <c r="D60" s="271"/>
      <c r="E60" s="271"/>
      <c r="F60" s="271"/>
      <c r="G60" s="273"/>
      <c r="H60" s="88" t="s">
        <v>77</v>
      </c>
      <c r="I60" s="399" t="s">
        <v>920</v>
      </c>
      <c r="J60" s="273"/>
      <c r="K60" s="399" t="s">
        <v>453</v>
      </c>
      <c r="L60" s="273"/>
      <c r="M60" s="399" t="s">
        <v>921</v>
      </c>
      <c r="N60" s="273"/>
    </row>
    <row r="61" spans="1:14" ht="13.5" x14ac:dyDescent="0.2">
      <c r="A61" s="400" t="s">
        <v>927</v>
      </c>
      <c r="B61" s="271"/>
      <c r="C61" s="271"/>
      <c r="D61" s="271"/>
      <c r="E61" s="271"/>
      <c r="F61" s="271"/>
      <c r="G61" s="273"/>
      <c r="H61" s="29" t="str">
        <f>IF(A61="","",VLOOKUP(A61,AA_Equipos,7,FALSE))</f>
        <v>% M.O.</v>
      </c>
      <c r="I61" s="394">
        <f>M84</f>
        <v>8777.8453333333327</v>
      </c>
      <c r="J61" s="273"/>
      <c r="K61" s="404">
        <v>0.05</v>
      </c>
      <c r="L61" s="273"/>
      <c r="M61" s="394">
        <f t="shared" ref="M61:M65" si="9">IF(A61="","",I61*K61)</f>
        <v>438.89226666666667</v>
      </c>
      <c r="N61" s="273"/>
    </row>
    <row r="62" spans="1:14" ht="13.5" x14ac:dyDescent="0.2">
      <c r="A62" s="403" t="s">
        <v>952</v>
      </c>
      <c r="B62" s="271"/>
      <c r="C62" s="271"/>
      <c r="D62" s="271"/>
      <c r="E62" s="271"/>
      <c r="F62" s="271"/>
      <c r="G62" s="273"/>
      <c r="H62" s="29" t="str">
        <f>IF(A62="","",VLOOKUP(A62,AA_Equipos,7,FALSE))</f>
        <v>Dia</v>
      </c>
      <c r="I62" s="394">
        <f>IF(A62="","",VLOOKUP(A62,AA_Equipos,8,FALSE))</f>
        <v>81766</v>
      </c>
      <c r="J62" s="273"/>
      <c r="K62" s="402">
        <f>1/30</f>
        <v>3.3333333333333333E-2</v>
      </c>
      <c r="L62" s="273"/>
      <c r="M62" s="394">
        <f t="shared" si="9"/>
        <v>2725.5333333333333</v>
      </c>
      <c r="N62" s="273"/>
    </row>
    <row r="63" spans="1:14" ht="13.5" x14ac:dyDescent="0.2">
      <c r="A63" s="400"/>
      <c r="B63" s="271"/>
      <c r="C63" s="271"/>
      <c r="D63" s="271"/>
      <c r="E63" s="271"/>
      <c r="F63" s="271"/>
      <c r="G63" s="273"/>
      <c r="H63" s="29" t="str">
        <f>IF(A63="","",VLOOKUP(A63,AA_Equipos,7,FALSE))</f>
        <v/>
      </c>
      <c r="I63" s="394" t="str">
        <f>IF(A63="","",VLOOKUP(A63,AA_Equipos,8,FALSE))</f>
        <v/>
      </c>
      <c r="J63" s="273"/>
      <c r="K63" s="401"/>
      <c r="L63" s="273"/>
      <c r="M63" s="394" t="str">
        <f t="shared" si="9"/>
        <v/>
      </c>
      <c r="N63" s="273"/>
    </row>
    <row r="64" spans="1:14" ht="13.5" x14ac:dyDescent="0.2">
      <c r="A64" s="400"/>
      <c r="B64" s="271"/>
      <c r="C64" s="271"/>
      <c r="D64" s="271"/>
      <c r="E64" s="271"/>
      <c r="F64" s="271"/>
      <c r="G64" s="273"/>
      <c r="H64" s="29" t="str">
        <f>IF(A64="","",VLOOKUP(A64,AA_Equipos,7,FALSE))</f>
        <v/>
      </c>
      <c r="I64" s="394" t="str">
        <f>IF(A64="","",VLOOKUP(A64,AA_Equipos,8,FALSE))</f>
        <v/>
      </c>
      <c r="J64" s="273"/>
      <c r="K64" s="395"/>
      <c r="L64" s="273"/>
      <c r="M64" s="394" t="str">
        <f t="shared" si="9"/>
        <v/>
      </c>
      <c r="N64" s="273"/>
    </row>
    <row r="65" spans="1:14" ht="13.5" x14ac:dyDescent="0.2">
      <c r="A65" s="400"/>
      <c r="B65" s="271"/>
      <c r="C65" s="271"/>
      <c r="D65" s="271"/>
      <c r="E65" s="271"/>
      <c r="F65" s="271"/>
      <c r="G65" s="273"/>
      <c r="H65" s="29" t="str">
        <f>IF(A65="","",VLOOKUP(A65,AA_Equipos,7,FALSE))</f>
        <v/>
      </c>
      <c r="I65" s="394" t="str">
        <f>IF(A65="","",VLOOKUP(A65,AA_Equipos,8,FALSE))</f>
        <v/>
      </c>
      <c r="J65" s="273"/>
      <c r="K65" s="395"/>
      <c r="L65" s="273"/>
      <c r="M65" s="394" t="str">
        <f t="shared" si="9"/>
        <v/>
      </c>
      <c r="N65" s="273"/>
    </row>
    <row r="66" spans="1:14" ht="13.5" x14ac:dyDescent="0.25">
      <c r="A66" s="4"/>
      <c r="B66" s="4"/>
      <c r="C66" s="4"/>
      <c r="D66" s="4"/>
      <c r="E66" s="4"/>
      <c r="F66" s="4"/>
      <c r="G66" s="4"/>
      <c r="H66" s="4"/>
      <c r="I66" s="4"/>
      <c r="J66" s="4"/>
      <c r="K66" s="396" t="s">
        <v>444</v>
      </c>
      <c r="L66" s="273"/>
      <c r="M66" s="394">
        <f>SUM(M61:N65)</f>
        <v>3164.4256</v>
      </c>
      <c r="N66" s="273"/>
    </row>
    <row r="67" spans="1:14" ht="13.5" x14ac:dyDescent="0.25">
      <c r="A67" s="4"/>
      <c r="B67" s="4"/>
      <c r="C67" s="4"/>
      <c r="D67" s="4"/>
      <c r="E67" s="4"/>
      <c r="F67" s="4"/>
      <c r="G67" s="4"/>
      <c r="H67" s="4"/>
      <c r="I67" s="4"/>
      <c r="J67" s="4"/>
      <c r="K67" s="4"/>
      <c r="L67" s="4"/>
      <c r="M67" s="4"/>
      <c r="N67" s="4"/>
    </row>
    <row r="68" spans="1:14" x14ac:dyDescent="0.2">
      <c r="A68" s="398" t="s">
        <v>929</v>
      </c>
      <c r="B68" s="271"/>
      <c r="C68" s="271"/>
      <c r="D68" s="271"/>
      <c r="E68" s="271"/>
      <c r="F68" s="271"/>
      <c r="G68" s="271"/>
      <c r="H68" s="271"/>
      <c r="I68" s="271"/>
      <c r="J68" s="271"/>
      <c r="K68" s="271"/>
      <c r="L68" s="271"/>
      <c r="M68" s="271"/>
      <c r="N68" s="273"/>
    </row>
    <row r="69" spans="1:14" x14ac:dyDescent="0.2">
      <c r="A69" s="396" t="s">
        <v>76</v>
      </c>
      <c r="B69" s="271"/>
      <c r="C69" s="271"/>
      <c r="D69" s="271"/>
      <c r="E69" s="271"/>
      <c r="F69" s="271"/>
      <c r="G69" s="273"/>
      <c r="H69" s="88" t="s">
        <v>77</v>
      </c>
      <c r="I69" s="399" t="s">
        <v>920</v>
      </c>
      <c r="J69" s="273"/>
      <c r="K69" s="399" t="s">
        <v>453</v>
      </c>
      <c r="L69" s="273"/>
      <c r="M69" s="399" t="s">
        <v>921</v>
      </c>
      <c r="N69" s="273"/>
    </row>
    <row r="70" spans="1:14" ht="13.5" x14ac:dyDescent="0.2">
      <c r="A70" s="400" t="s">
        <v>949</v>
      </c>
      <c r="B70" s="271"/>
      <c r="C70" s="271"/>
      <c r="D70" s="271"/>
      <c r="E70" s="271"/>
      <c r="F70" s="271"/>
      <c r="G70" s="273"/>
      <c r="H70" s="29" t="s">
        <v>1011</v>
      </c>
      <c r="I70" s="394">
        <f>'precios '!$J$222</f>
        <v>2077.2367952644231</v>
      </c>
      <c r="J70" s="273"/>
      <c r="K70" s="395">
        <f>Indice!$L$21</f>
        <v>49</v>
      </c>
      <c r="L70" s="273"/>
      <c r="M70" s="394">
        <f t="shared" ref="M70:M74" si="10">IF(A70="","",I70*K70)</f>
        <v>101784.60296795673</v>
      </c>
      <c r="N70" s="273"/>
    </row>
    <row r="71" spans="1:14" ht="13.5" x14ac:dyDescent="0.2">
      <c r="A71" s="403" t="s">
        <v>1012</v>
      </c>
      <c r="B71" s="271"/>
      <c r="C71" s="271"/>
      <c r="D71" s="271"/>
      <c r="E71" s="271"/>
      <c r="F71" s="271"/>
      <c r="G71" s="273"/>
      <c r="H71" s="29" t="s">
        <v>944</v>
      </c>
      <c r="I71" s="394">
        <f>+M66</f>
        <v>3164.4256</v>
      </c>
      <c r="J71" s="273"/>
      <c r="K71" s="404">
        <v>0.05</v>
      </c>
      <c r="L71" s="273"/>
      <c r="M71" s="394">
        <f t="shared" si="10"/>
        <v>158.22128000000001</v>
      </c>
      <c r="N71" s="273"/>
    </row>
    <row r="72" spans="1:14" ht="13.5" x14ac:dyDescent="0.2">
      <c r="A72" s="400"/>
      <c r="B72" s="271"/>
      <c r="C72" s="271"/>
      <c r="D72" s="271"/>
      <c r="E72" s="271"/>
      <c r="F72" s="271"/>
      <c r="G72" s="273"/>
      <c r="H72" s="29"/>
      <c r="I72" s="394"/>
      <c r="J72" s="273"/>
      <c r="K72" s="395"/>
      <c r="L72" s="273"/>
      <c r="M72" s="394" t="str">
        <f t="shared" si="10"/>
        <v/>
      </c>
      <c r="N72" s="273"/>
    </row>
    <row r="73" spans="1:14" ht="13.5" x14ac:dyDescent="0.2">
      <c r="A73" s="400"/>
      <c r="B73" s="271"/>
      <c r="C73" s="271"/>
      <c r="D73" s="271"/>
      <c r="E73" s="271"/>
      <c r="F73" s="271"/>
      <c r="G73" s="273"/>
      <c r="H73" s="29"/>
      <c r="I73" s="394"/>
      <c r="J73" s="273"/>
      <c r="K73" s="395"/>
      <c r="L73" s="273"/>
      <c r="M73" s="394" t="str">
        <f t="shared" si="10"/>
        <v/>
      </c>
      <c r="N73" s="273"/>
    </row>
    <row r="74" spans="1:14" ht="13.5" x14ac:dyDescent="0.2">
      <c r="A74" s="400"/>
      <c r="B74" s="271"/>
      <c r="C74" s="271"/>
      <c r="D74" s="271"/>
      <c r="E74" s="271"/>
      <c r="F74" s="271"/>
      <c r="G74" s="273"/>
      <c r="H74" s="29"/>
      <c r="I74" s="394"/>
      <c r="J74" s="273"/>
      <c r="K74" s="395"/>
      <c r="L74" s="273"/>
      <c r="M74" s="394" t="str">
        <f t="shared" si="10"/>
        <v/>
      </c>
      <c r="N74" s="273"/>
    </row>
    <row r="75" spans="1:14" ht="13.5" x14ac:dyDescent="0.25">
      <c r="A75" s="4"/>
      <c r="B75" s="4"/>
      <c r="C75" s="4"/>
      <c r="D75" s="4"/>
      <c r="E75" s="4"/>
      <c r="F75" s="4"/>
      <c r="G75" s="4"/>
      <c r="H75" s="4"/>
      <c r="I75" s="4"/>
      <c r="J75" s="4"/>
      <c r="K75" s="396" t="s">
        <v>444</v>
      </c>
      <c r="L75" s="273"/>
      <c r="M75" s="394">
        <f>SUM(M70:N74)</f>
        <v>101942.82424795673</v>
      </c>
      <c r="N75" s="273"/>
    </row>
    <row r="76" spans="1:14" ht="13.5" x14ac:dyDescent="0.25">
      <c r="A76" s="4"/>
      <c r="B76" s="4"/>
      <c r="C76" s="4"/>
      <c r="D76" s="4"/>
      <c r="E76" s="4"/>
      <c r="F76" s="4"/>
      <c r="G76" s="4"/>
      <c r="H76" s="4"/>
      <c r="I76" s="4"/>
      <c r="J76" s="4"/>
      <c r="K76" s="4"/>
      <c r="L76" s="4"/>
      <c r="M76" s="4"/>
      <c r="N76" s="4"/>
    </row>
    <row r="77" spans="1:14" x14ac:dyDescent="0.2">
      <c r="A77" s="398" t="s">
        <v>931</v>
      </c>
      <c r="B77" s="271"/>
      <c r="C77" s="271"/>
      <c r="D77" s="271"/>
      <c r="E77" s="271"/>
      <c r="F77" s="271"/>
      <c r="G77" s="271"/>
      <c r="H77" s="271"/>
      <c r="I77" s="271"/>
      <c r="J77" s="271"/>
      <c r="K77" s="271"/>
      <c r="L77" s="271"/>
      <c r="M77" s="271"/>
      <c r="N77" s="273"/>
    </row>
    <row r="78" spans="1:14" x14ac:dyDescent="0.2">
      <c r="A78" s="396" t="s">
        <v>76</v>
      </c>
      <c r="B78" s="271"/>
      <c r="C78" s="271"/>
      <c r="D78" s="271"/>
      <c r="E78" s="271"/>
      <c r="F78" s="271"/>
      <c r="G78" s="273"/>
      <c r="H78" s="88" t="s">
        <v>77</v>
      </c>
      <c r="I78" s="399" t="s">
        <v>920</v>
      </c>
      <c r="J78" s="273"/>
      <c r="K78" s="90" t="s">
        <v>514</v>
      </c>
      <c r="L78" s="91" t="s">
        <v>932</v>
      </c>
      <c r="M78" s="399" t="s">
        <v>921</v>
      </c>
      <c r="N78" s="273"/>
    </row>
    <row r="79" spans="1:14" ht="13.5" x14ac:dyDescent="0.25">
      <c r="A79" s="393" t="s">
        <v>979</v>
      </c>
      <c r="B79" s="271"/>
      <c r="C79" s="271"/>
      <c r="D79" s="271"/>
      <c r="E79" s="271"/>
      <c r="F79" s="271"/>
      <c r="G79" s="273"/>
      <c r="H79" s="29" t="str">
        <f>IF(A79="","",VLOOKUP(A79,AA_Cuadrillas,4,FALSE))</f>
        <v>Cuadrilla</v>
      </c>
      <c r="I79" s="394">
        <f>IF(A79="","",VLOOKUP(A79,AA_Cuadrillas,5,FALSE))</f>
        <v>140072</v>
      </c>
      <c r="J79" s="273"/>
      <c r="K79" s="9">
        <f>IF(A79="","",F.P!$I$2)</f>
        <v>1.88</v>
      </c>
      <c r="L79" s="93">
        <f>1/30</f>
        <v>3.3333333333333333E-2</v>
      </c>
      <c r="M79" s="394">
        <f t="shared" ref="M79:M83" si="11">IF(A79="","",I79*K79*L79)</f>
        <v>8777.8453333333327</v>
      </c>
      <c r="N79" s="273"/>
    </row>
    <row r="80" spans="1:14" ht="13.5" x14ac:dyDescent="0.25">
      <c r="A80" s="393"/>
      <c r="B80" s="271"/>
      <c r="C80" s="271"/>
      <c r="D80" s="271"/>
      <c r="E80" s="271"/>
      <c r="F80" s="271"/>
      <c r="G80" s="273"/>
      <c r="H80" s="29" t="str">
        <f>IF(A80="","",VLOOKUP(A80,AA_Cuadrillas,4,FALSE))</f>
        <v/>
      </c>
      <c r="I80" s="394" t="str">
        <f>IF(A80="","",VLOOKUP(A80,AA_Cuadrillas,5,FALSE))</f>
        <v/>
      </c>
      <c r="J80" s="273"/>
      <c r="K80" s="9" t="str">
        <f>IF(A80="","",F.P!$I$2)</f>
        <v/>
      </c>
      <c r="L80" s="9"/>
      <c r="M80" s="394" t="str">
        <f t="shared" si="11"/>
        <v/>
      </c>
      <c r="N80" s="273"/>
    </row>
    <row r="81" spans="1:14" ht="13.5" x14ac:dyDescent="0.25">
      <c r="A81" s="393"/>
      <c r="B81" s="271"/>
      <c r="C81" s="271"/>
      <c r="D81" s="271"/>
      <c r="E81" s="271"/>
      <c r="F81" s="271"/>
      <c r="G81" s="273"/>
      <c r="H81" s="29" t="str">
        <f>IF(A81="","",VLOOKUP(A81,AA_Cuadrillas,4,FALSE))</f>
        <v/>
      </c>
      <c r="I81" s="394" t="str">
        <f>IF(A81="","",VLOOKUP(A81,AA_Cuadrillas,5,FALSE))</f>
        <v/>
      </c>
      <c r="J81" s="273"/>
      <c r="K81" s="9" t="str">
        <f>IF(A81="","",F.P!$I$2)</f>
        <v/>
      </c>
      <c r="L81" s="37"/>
      <c r="M81" s="394" t="str">
        <f t="shared" si="11"/>
        <v/>
      </c>
      <c r="N81" s="273"/>
    </row>
    <row r="82" spans="1:14" ht="13.5" x14ac:dyDescent="0.25">
      <c r="A82" s="393"/>
      <c r="B82" s="271"/>
      <c r="C82" s="271"/>
      <c r="D82" s="271"/>
      <c r="E82" s="271"/>
      <c r="F82" s="271"/>
      <c r="G82" s="273"/>
      <c r="H82" s="29" t="str">
        <f>IF(A82="","",VLOOKUP(A82,AA_Cuadrillas,4,FALSE))</f>
        <v/>
      </c>
      <c r="I82" s="394" t="str">
        <f>IF(A82="","",VLOOKUP(A82,AA_Cuadrillas,5,FALSE))</f>
        <v/>
      </c>
      <c r="J82" s="273"/>
      <c r="K82" s="9" t="str">
        <f>IF(A82="","",F.P!$I$2)</f>
        <v/>
      </c>
      <c r="L82" s="37"/>
      <c r="M82" s="394" t="str">
        <f t="shared" si="11"/>
        <v/>
      </c>
      <c r="N82" s="273"/>
    </row>
    <row r="83" spans="1:14" ht="13.5" x14ac:dyDescent="0.25">
      <c r="A83" s="393"/>
      <c r="B83" s="271"/>
      <c r="C83" s="271"/>
      <c r="D83" s="271"/>
      <c r="E83" s="271"/>
      <c r="F83" s="271"/>
      <c r="G83" s="273"/>
      <c r="H83" s="29" t="str">
        <f>IF(A83="","",VLOOKUP(A83,AA_Cuadrillas,4,FALSE))</f>
        <v/>
      </c>
      <c r="I83" s="394" t="str">
        <f>IF(A83="","",VLOOKUP(A83,AA_Cuadrillas,5,FALSE))</f>
        <v/>
      </c>
      <c r="J83" s="273"/>
      <c r="K83" s="9" t="str">
        <f>IF(A83="","",F.P!$I$2)</f>
        <v/>
      </c>
      <c r="L83" s="37"/>
      <c r="M83" s="394" t="str">
        <f t="shared" si="11"/>
        <v/>
      </c>
      <c r="N83" s="273"/>
    </row>
    <row r="84" spans="1:14" ht="13.5" x14ac:dyDescent="0.25">
      <c r="A84" s="4"/>
      <c r="B84" s="4"/>
      <c r="C84" s="4"/>
      <c r="D84" s="4"/>
      <c r="E84" s="4"/>
      <c r="F84" s="4"/>
      <c r="G84" s="4"/>
      <c r="H84" s="4"/>
      <c r="I84" s="4"/>
      <c r="J84" s="4"/>
      <c r="K84" s="396" t="s">
        <v>444</v>
      </c>
      <c r="L84" s="273"/>
      <c r="M84" s="394">
        <f>SUM(M79:N83)</f>
        <v>8777.8453333333327</v>
      </c>
      <c r="N84" s="273"/>
    </row>
    <row r="86" spans="1:14" x14ac:dyDescent="0.2">
      <c r="A86" s="407" t="s">
        <v>100</v>
      </c>
      <c r="B86" s="275"/>
      <c r="C86" s="275"/>
      <c r="D86" s="275"/>
      <c r="E86" s="275"/>
      <c r="F86" s="275"/>
      <c r="G86" s="275"/>
      <c r="H86" s="275"/>
      <c r="I86" s="275"/>
      <c r="J86" s="275"/>
      <c r="K86" s="275"/>
      <c r="L86" s="275"/>
      <c r="M86" s="275"/>
      <c r="N86" s="276"/>
    </row>
    <row r="87" spans="1:14" x14ac:dyDescent="0.2">
      <c r="A87" s="277"/>
      <c r="B87" s="278"/>
      <c r="C87" s="278"/>
      <c r="D87" s="278"/>
      <c r="E87" s="278"/>
      <c r="F87" s="278"/>
      <c r="G87" s="278"/>
      <c r="H87" s="278"/>
      <c r="I87" s="278"/>
      <c r="J87" s="278"/>
      <c r="K87" s="278"/>
      <c r="L87" s="278"/>
      <c r="M87" s="278"/>
      <c r="N87" s="279"/>
    </row>
    <row r="88" spans="1:14" ht="13.5" x14ac:dyDescent="0.2">
      <c r="A88" s="75"/>
      <c r="B88" s="75"/>
      <c r="C88" s="75"/>
      <c r="D88" s="75"/>
      <c r="E88" s="75"/>
      <c r="F88" s="75"/>
      <c r="G88" s="75"/>
      <c r="H88" s="75"/>
      <c r="I88" s="75"/>
      <c r="J88" s="75"/>
      <c r="K88" s="75"/>
      <c r="L88" s="75"/>
      <c r="M88" s="75"/>
      <c r="N88" s="75"/>
    </row>
    <row r="89" spans="1:14" ht="14.25" x14ac:dyDescent="0.3">
      <c r="A89" s="79" t="s">
        <v>634</v>
      </c>
      <c r="B89" s="80" t="str">
        <f>A86</f>
        <v>MALLA ELECTROSOLDADA 15X15X4MM (Xx-084) 6X2,35M</v>
      </c>
      <c r="C89" s="81" t="s">
        <v>916</v>
      </c>
      <c r="D89" s="82" t="s">
        <v>934</v>
      </c>
      <c r="E89" s="83" t="s">
        <v>445</v>
      </c>
      <c r="F89" s="234">
        <f>(H89+J89+L89+N89)*1.3</f>
        <v>11901.358633060001</v>
      </c>
      <c r="G89" s="83" t="s">
        <v>607</v>
      </c>
      <c r="H89" s="86">
        <f>M108</f>
        <v>35.111443999999999</v>
      </c>
      <c r="I89" s="83" t="s">
        <v>918</v>
      </c>
      <c r="J89" s="86">
        <f>M99</f>
        <v>8015.0432000000001</v>
      </c>
      <c r="K89" s="83" t="s">
        <v>609</v>
      </c>
      <c r="L89" s="86">
        <f>M117</f>
        <v>402.50773220000002</v>
      </c>
      <c r="M89" s="83" t="s">
        <v>610</v>
      </c>
      <c r="N89" s="86">
        <f>M126</f>
        <v>702.22888</v>
      </c>
    </row>
    <row r="90" spans="1:14" ht="13.5" x14ac:dyDescent="0.25">
      <c r="A90" s="87"/>
      <c r="B90" s="87"/>
      <c r="C90" s="87"/>
      <c r="D90" s="87"/>
      <c r="E90" s="87"/>
      <c r="F90" s="87"/>
      <c r="G90" s="87"/>
      <c r="J90" s="87"/>
      <c r="K90" s="215" t="s">
        <v>3217</v>
      </c>
      <c r="L90" s="215">
        <f>+F89*presup!$O$5</f>
        <v>15471.766222978002</v>
      </c>
      <c r="M90" s="87"/>
      <c r="N90" s="87"/>
    </row>
    <row r="91" spans="1:14" x14ac:dyDescent="0.2">
      <c r="A91" s="398" t="s">
        <v>919</v>
      </c>
      <c r="B91" s="271"/>
      <c r="C91" s="271"/>
      <c r="D91" s="271"/>
      <c r="E91" s="271"/>
      <c r="F91" s="271"/>
      <c r="G91" s="271"/>
      <c r="H91" s="271"/>
      <c r="I91" s="271"/>
      <c r="J91" s="271"/>
      <c r="K91" s="271"/>
      <c r="L91" s="271"/>
      <c r="M91" s="271"/>
      <c r="N91" s="273"/>
    </row>
    <row r="92" spans="1:14" x14ac:dyDescent="0.2">
      <c r="A92" s="396" t="s">
        <v>76</v>
      </c>
      <c r="B92" s="271"/>
      <c r="C92" s="271"/>
      <c r="D92" s="271"/>
      <c r="E92" s="271"/>
      <c r="F92" s="271"/>
      <c r="G92" s="273"/>
      <c r="H92" s="88" t="s">
        <v>77</v>
      </c>
      <c r="I92" s="399" t="s">
        <v>920</v>
      </c>
      <c r="J92" s="273"/>
      <c r="K92" s="399" t="s">
        <v>453</v>
      </c>
      <c r="L92" s="273"/>
      <c r="M92" s="399" t="s">
        <v>921</v>
      </c>
      <c r="N92" s="273"/>
    </row>
    <row r="93" spans="1:14" ht="13.5" x14ac:dyDescent="0.2">
      <c r="A93" s="400" t="s">
        <v>1013</v>
      </c>
      <c r="B93" s="271"/>
      <c r="C93" s="271"/>
      <c r="D93" s="271"/>
      <c r="E93" s="271"/>
      <c r="F93" s="271"/>
      <c r="G93" s="273"/>
      <c r="H93" s="29" t="str">
        <f t="shared" ref="H93:H98" si="12">IF(A93="","",VLOOKUP(A93,AA_Materiales,7,FALSE))</f>
        <v>m2</v>
      </c>
      <c r="I93" s="394">
        <f t="shared" ref="I93:I98" si="13">IF(A93="","",VLOOKUP(A93,AA_Materiales,8,FALSE))</f>
        <v>7510.64</v>
      </c>
      <c r="J93" s="273"/>
      <c r="K93" s="395">
        <v>1.03</v>
      </c>
      <c r="L93" s="273"/>
      <c r="M93" s="394">
        <f t="shared" ref="M93:M98" si="14">IF(A93="","",I93*K93)</f>
        <v>7735.9592000000002</v>
      </c>
      <c r="N93" s="273"/>
    </row>
    <row r="94" spans="1:14" ht="13.5" x14ac:dyDescent="0.2">
      <c r="A94" s="400" t="s">
        <v>971</v>
      </c>
      <c r="B94" s="271"/>
      <c r="C94" s="271"/>
      <c r="D94" s="271"/>
      <c r="E94" s="271"/>
      <c r="F94" s="271"/>
      <c r="G94" s="273"/>
      <c r="H94" s="29" t="str">
        <f t="shared" si="12"/>
        <v>Kg</v>
      </c>
      <c r="I94" s="394">
        <f t="shared" si="13"/>
        <v>9302.8000000000011</v>
      </c>
      <c r="J94" s="273"/>
      <c r="K94" s="395">
        <v>0.03</v>
      </c>
      <c r="L94" s="273"/>
      <c r="M94" s="394">
        <f t="shared" si="14"/>
        <v>279.084</v>
      </c>
      <c r="N94" s="273"/>
    </row>
    <row r="95" spans="1:14" ht="13.5" x14ac:dyDescent="0.2">
      <c r="A95" s="400"/>
      <c r="B95" s="271"/>
      <c r="C95" s="271"/>
      <c r="D95" s="271"/>
      <c r="E95" s="271"/>
      <c r="F95" s="271"/>
      <c r="G95" s="273"/>
      <c r="H95" s="29" t="str">
        <f t="shared" si="12"/>
        <v/>
      </c>
      <c r="I95" s="394" t="str">
        <f t="shared" si="13"/>
        <v/>
      </c>
      <c r="J95" s="273"/>
      <c r="K95" s="395"/>
      <c r="L95" s="273"/>
      <c r="M95" s="394" t="str">
        <f t="shared" si="14"/>
        <v/>
      </c>
      <c r="N95" s="273"/>
    </row>
    <row r="96" spans="1:14" ht="13.5" x14ac:dyDescent="0.2">
      <c r="A96" s="400"/>
      <c r="B96" s="271"/>
      <c r="C96" s="271"/>
      <c r="D96" s="271"/>
      <c r="E96" s="271"/>
      <c r="F96" s="271"/>
      <c r="G96" s="273"/>
      <c r="H96" s="29" t="str">
        <f t="shared" si="12"/>
        <v/>
      </c>
      <c r="I96" s="394" t="str">
        <f t="shared" si="13"/>
        <v/>
      </c>
      <c r="J96" s="273"/>
      <c r="K96" s="395"/>
      <c r="L96" s="273"/>
      <c r="M96" s="394" t="str">
        <f t="shared" si="14"/>
        <v/>
      </c>
      <c r="N96" s="273"/>
    </row>
    <row r="97" spans="1:14" ht="13.5" x14ac:dyDescent="0.2">
      <c r="A97" s="400"/>
      <c r="B97" s="271"/>
      <c r="C97" s="271"/>
      <c r="D97" s="271"/>
      <c r="E97" s="271"/>
      <c r="F97" s="271"/>
      <c r="G97" s="273"/>
      <c r="H97" s="29" t="str">
        <f t="shared" si="12"/>
        <v/>
      </c>
      <c r="I97" s="394" t="str">
        <f t="shared" si="13"/>
        <v/>
      </c>
      <c r="J97" s="273"/>
      <c r="K97" s="395"/>
      <c r="L97" s="273"/>
      <c r="M97" s="394" t="str">
        <f t="shared" si="14"/>
        <v/>
      </c>
      <c r="N97" s="273"/>
    </row>
    <row r="98" spans="1:14" ht="13.5" x14ac:dyDescent="0.2">
      <c r="A98" s="400"/>
      <c r="B98" s="271"/>
      <c r="C98" s="271"/>
      <c r="D98" s="271"/>
      <c r="E98" s="271"/>
      <c r="F98" s="271"/>
      <c r="G98" s="273"/>
      <c r="H98" s="29" t="str">
        <f t="shared" si="12"/>
        <v/>
      </c>
      <c r="I98" s="394" t="str">
        <f t="shared" si="13"/>
        <v/>
      </c>
      <c r="J98" s="273"/>
      <c r="K98" s="395"/>
      <c r="L98" s="273"/>
      <c r="M98" s="394" t="str">
        <f t="shared" si="14"/>
        <v/>
      </c>
      <c r="N98" s="273"/>
    </row>
    <row r="99" spans="1:14" ht="13.5" x14ac:dyDescent="0.25">
      <c r="A99" s="4"/>
      <c r="B99" s="4"/>
      <c r="C99" s="4"/>
      <c r="D99" s="4"/>
      <c r="E99" s="4"/>
      <c r="F99" s="4"/>
      <c r="G99" s="4"/>
      <c r="H99" s="4"/>
      <c r="I99" s="4"/>
      <c r="J99" s="4"/>
      <c r="K99" s="396" t="s">
        <v>444</v>
      </c>
      <c r="L99" s="273"/>
      <c r="M99" s="394">
        <f>SUM(M93:N98)</f>
        <v>8015.0432000000001</v>
      </c>
      <c r="N99" s="273"/>
    </row>
    <row r="100" spans="1:14" ht="13.5" x14ac:dyDescent="0.25">
      <c r="A100" s="4"/>
      <c r="B100" s="4"/>
      <c r="C100" s="4"/>
      <c r="D100" s="4"/>
      <c r="E100" s="4"/>
      <c r="F100" s="4"/>
      <c r="G100" s="4"/>
      <c r="H100" s="4"/>
      <c r="I100" s="4"/>
      <c r="J100" s="4"/>
      <c r="K100" s="4"/>
      <c r="L100" s="4"/>
      <c r="M100" s="4"/>
      <c r="N100" s="4"/>
    </row>
    <row r="101" spans="1:14" x14ac:dyDescent="0.2">
      <c r="A101" s="398" t="s">
        <v>926</v>
      </c>
      <c r="B101" s="271"/>
      <c r="C101" s="271"/>
      <c r="D101" s="271"/>
      <c r="E101" s="271"/>
      <c r="F101" s="271"/>
      <c r="G101" s="271"/>
      <c r="H101" s="271"/>
      <c r="I101" s="271"/>
      <c r="J101" s="271"/>
      <c r="K101" s="271"/>
      <c r="L101" s="271"/>
      <c r="M101" s="271"/>
      <c r="N101" s="273"/>
    </row>
    <row r="102" spans="1:14" x14ac:dyDescent="0.2">
      <c r="A102" s="396" t="s">
        <v>76</v>
      </c>
      <c r="B102" s="271"/>
      <c r="C102" s="271"/>
      <c r="D102" s="271"/>
      <c r="E102" s="271"/>
      <c r="F102" s="271"/>
      <c r="G102" s="273"/>
      <c r="H102" s="88" t="s">
        <v>77</v>
      </c>
      <c r="I102" s="399" t="s">
        <v>920</v>
      </c>
      <c r="J102" s="273"/>
      <c r="K102" s="399" t="s">
        <v>453</v>
      </c>
      <c r="L102" s="273"/>
      <c r="M102" s="399" t="s">
        <v>921</v>
      </c>
      <c r="N102" s="273"/>
    </row>
    <row r="103" spans="1:14" ht="13.5" x14ac:dyDescent="0.2">
      <c r="A103" s="400" t="s">
        <v>927</v>
      </c>
      <c r="B103" s="271"/>
      <c r="C103" s="271"/>
      <c r="D103" s="271"/>
      <c r="E103" s="271"/>
      <c r="F103" s="271"/>
      <c r="G103" s="273"/>
      <c r="H103" s="29" t="str">
        <f>IF(A103="","",VLOOKUP(A103,AA_Equipos,7,FALSE))</f>
        <v>% M.O.</v>
      </c>
      <c r="I103" s="394">
        <f>M126</f>
        <v>702.22888</v>
      </c>
      <c r="J103" s="273"/>
      <c r="K103" s="404">
        <v>0.05</v>
      </c>
      <c r="L103" s="273"/>
      <c r="M103" s="394">
        <f t="shared" ref="M103:M107" si="15">IF(A103="","",I103*K103)</f>
        <v>35.111443999999999</v>
      </c>
      <c r="N103" s="273"/>
    </row>
    <row r="104" spans="1:14" ht="13.5" x14ac:dyDescent="0.2">
      <c r="A104" s="403"/>
      <c r="B104" s="271"/>
      <c r="C104" s="271"/>
      <c r="D104" s="271"/>
      <c r="E104" s="271"/>
      <c r="F104" s="271"/>
      <c r="G104" s="273"/>
      <c r="H104" s="29" t="str">
        <f>IF(A104="","",VLOOKUP(A104,AA_Equipos,7,FALSE))</f>
        <v/>
      </c>
      <c r="I104" s="394" t="str">
        <f>IF(A104="","",VLOOKUP(A104,AA_Equipos,8,FALSE))</f>
        <v/>
      </c>
      <c r="J104" s="273"/>
      <c r="K104" s="402"/>
      <c r="L104" s="273"/>
      <c r="M104" s="394" t="str">
        <f t="shared" si="15"/>
        <v/>
      </c>
      <c r="N104" s="273"/>
    </row>
    <row r="105" spans="1:14" ht="13.5" x14ac:dyDescent="0.2">
      <c r="A105" s="400"/>
      <c r="B105" s="271"/>
      <c r="C105" s="271"/>
      <c r="D105" s="271"/>
      <c r="E105" s="271"/>
      <c r="F105" s="271"/>
      <c r="G105" s="273"/>
      <c r="H105" s="29" t="str">
        <f>IF(A105="","",VLOOKUP(A105,AA_Equipos,7,FALSE))</f>
        <v/>
      </c>
      <c r="I105" s="394" t="str">
        <f>IF(A105="","",VLOOKUP(A105,AA_Equipos,8,FALSE))</f>
        <v/>
      </c>
      <c r="J105" s="273"/>
      <c r="K105" s="401"/>
      <c r="L105" s="273"/>
      <c r="M105" s="394" t="str">
        <f t="shared" si="15"/>
        <v/>
      </c>
      <c r="N105" s="273"/>
    </row>
    <row r="106" spans="1:14" ht="13.5" x14ac:dyDescent="0.2">
      <c r="A106" s="400"/>
      <c r="B106" s="271"/>
      <c r="C106" s="271"/>
      <c r="D106" s="271"/>
      <c r="E106" s="271"/>
      <c r="F106" s="271"/>
      <c r="G106" s="273"/>
      <c r="H106" s="29" t="str">
        <f>IF(A106="","",VLOOKUP(A106,AA_Equipos,7,FALSE))</f>
        <v/>
      </c>
      <c r="I106" s="394" t="str">
        <f>IF(A106="","",VLOOKUP(A106,AA_Equipos,8,FALSE))</f>
        <v/>
      </c>
      <c r="J106" s="273"/>
      <c r="K106" s="395"/>
      <c r="L106" s="273"/>
      <c r="M106" s="394" t="str">
        <f t="shared" si="15"/>
        <v/>
      </c>
      <c r="N106" s="273"/>
    </row>
    <row r="107" spans="1:14" ht="13.5" x14ac:dyDescent="0.2">
      <c r="A107" s="400"/>
      <c r="B107" s="271"/>
      <c r="C107" s="271"/>
      <c r="D107" s="271"/>
      <c r="E107" s="271"/>
      <c r="F107" s="271"/>
      <c r="G107" s="273"/>
      <c r="H107" s="29" t="str">
        <f>IF(A107="","",VLOOKUP(A107,AA_Equipos,7,FALSE))</f>
        <v/>
      </c>
      <c r="I107" s="394" t="str">
        <f>IF(A107="","",VLOOKUP(A107,AA_Equipos,8,FALSE))</f>
        <v/>
      </c>
      <c r="J107" s="273"/>
      <c r="K107" s="395"/>
      <c r="L107" s="273"/>
      <c r="M107" s="394" t="str">
        <f t="shared" si="15"/>
        <v/>
      </c>
      <c r="N107" s="273"/>
    </row>
    <row r="108" spans="1:14" ht="13.5" x14ac:dyDescent="0.25">
      <c r="A108" s="4"/>
      <c r="B108" s="4"/>
      <c r="C108" s="4"/>
      <c r="D108" s="4"/>
      <c r="E108" s="4"/>
      <c r="F108" s="4"/>
      <c r="G108" s="4"/>
      <c r="H108" s="4"/>
      <c r="I108" s="4"/>
      <c r="J108" s="4"/>
      <c r="K108" s="396" t="s">
        <v>444</v>
      </c>
      <c r="L108" s="273"/>
      <c r="M108" s="394">
        <f>SUM(M103:N107)</f>
        <v>35.111443999999999</v>
      </c>
      <c r="N108" s="273"/>
    </row>
    <row r="109" spans="1:14" ht="13.5" x14ac:dyDescent="0.25">
      <c r="A109" s="4"/>
      <c r="B109" s="4"/>
      <c r="C109" s="4"/>
      <c r="D109" s="4"/>
      <c r="E109" s="4"/>
      <c r="F109" s="4"/>
      <c r="G109" s="4"/>
      <c r="H109" s="4"/>
      <c r="I109" s="4"/>
      <c r="J109" s="4"/>
      <c r="K109" s="4"/>
      <c r="L109" s="4"/>
      <c r="M109" s="4"/>
      <c r="N109" s="4"/>
    </row>
    <row r="110" spans="1:14" x14ac:dyDescent="0.2">
      <c r="A110" s="398" t="s">
        <v>929</v>
      </c>
      <c r="B110" s="271"/>
      <c r="C110" s="271"/>
      <c r="D110" s="271"/>
      <c r="E110" s="271"/>
      <c r="F110" s="271"/>
      <c r="G110" s="271"/>
      <c r="H110" s="271"/>
      <c r="I110" s="271"/>
      <c r="J110" s="271"/>
      <c r="K110" s="271"/>
      <c r="L110" s="271"/>
      <c r="M110" s="271"/>
      <c r="N110" s="273"/>
    </row>
    <row r="111" spans="1:14" x14ac:dyDescent="0.2">
      <c r="A111" s="396" t="s">
        <v>76</v>
      </c>
      <c r="B111" s="271"/>
      <c r="C111" s="271"/>
      <c r="D111" s="271"/>
      <c r="E111" s="271"/>
      <c r="F111" s="271"/>
      <c r="G111" s="273"/>
      <c r="H111" s="88" t="s">
        <v>77</v>
      </c>
      <c r="I111" s="399" t="s">
        <v>920</v>
      </c>
      <c r="J111" s="273"/>
      <c r="K111" s="399" t="s">
        <v>453</v>
      </c>
      <c r="L111" s="273"/>
      <c r="M111" s="399" t="s">
        <v>921</v>
      </c>
      <c r="N111" s="273"/>
    </row>
    <row r="112" spans="1:14" ht="13.5" x14ac:dyDescent="0.2">
      <c r="A112" s="400" t="s">
        <v>949</v>
      </c>
      <c r="B112" s="271"/>
      <c r="C112" s="271"/>
      <c r="D112" s="271"/>
      <c r="E112" s="271"/>
      <c r="F112" s="271"/>
      <c r="G112" s="273"/>
      <c r="H112" s="29" t="s">
        <v>950</v>
      </c>
      <c r="I112" s="394">
        <f>+M99</f>
        <v>8015.0432000000001</v>
      </c>
      <c r="J112" s="273"/>
      <c r="K112" s="404">
        <v>0.05</v>
      </c>
      <c r="L112" s="273"/>
      <c r="M112" s="394">
        <f t="shared" ref="M112:M116" si="16">IF(A112="","",I112*K112)</f>
        <v>400.75216</v>
      </c>
      <c r="N112" s="273"/>
    </row>
    <row r="113" spans="1:14" ht="13.5" x14ac:dyDescent="0.2">
      <c r="A113" s="403" t="s">
        <v>3177</v>
      </c>
      <c r="B113" s="271"/>
      <c r="C113" s="271"/>
      <c r="D113" s="271"/>
      <c r="E113" s="271"/>
      <c r="F113" s="271"/>
      <c r="G113" s="273"/>
      <c r="H113" s="29" t="s">
        <v>24</v>
      </c>
      <c r="I113" s="394">
        <f>+M108</f>
        <v>35.111443999999999</v>
      </c>
      <c r="J113" s="273"/>
      <c r="K113" s="404">
        <v>0.05</v>
      </c>
      <c r="L113" s="273"/>
      <c r="M113" s="394">
        <f t="shared" si="16"/>
        <v>1.7555722</v>
      </c>
      <c r="N113" s="273"/>
    </row>
    <row r="114" spans="1:14" ht="13.5" x14ac:dyDescent="0.2">
      <c r="A114" s="400"/>
      <c r="B114" s="271"/>
      <c r="C114" s="271"/>
      <c r="D114" s="271"/>
      <c r="E114" s="271"/>
      <c r="F114" s="271"/>
      <c r="G114" s="273"/>
      <c r="H114" s="29"/>
      <c r="I114" s="394"/>
      <c r="J114" s="273"/>
      <c r="K114" s="395"/>
      <c r="L114" s="273"/>
      <c r="M114" s="394" t="str">
        <f t="shared" si="16"/>
        <v/>
      </c>
      <c r="N114" s="273"/>
    </row>
    <row r="115" spans="1:14" ht="13.5" x14ac:dyDescent="0.2">
      <c r="A115" s="400"/>
      <c r="B115" s="271"/>
      <c r="C115" s="271"/>
      <c r="D115" s="271"/>
      <c r="E115" s="271"/>
      <c r="F115" s="271"/>
      <c r="G115" s="273"/>
      <c r="H115" s="29"/>
      <c r="I115" s="394"/>
      <c r="J115" s="273"/>
      <c r="K115" s="395"/>
      <c r="L115" s="273"/>
      <c r="M115" s="394" t="str">
        <f t="shared" si="16"/>
        <v/>
      </c>
      <c r="N115" s="273"/>
    </row>
    <row r="116" spans="1:14" ht="13.5" x14ac:dyDescent="0.2">
      <c r="A116" s="400"/>
      <c r="B116" s="271"/>
      <c r="C116" s="271"/>
      <c r="D116" s="271"/>
      <c r="E116" s="271"/>
      <c r="F116" s="271"/>
      <c r="G116" s="273"/>
      <c r="H116" s="29"/>
      <c r="I116" s="394"/>
      <c r="J116" s="273"/>
      <c r="K116" s="395"/>
      <c r="L116" s="273"/>
      <c r="M116" s="394" t="str">
        <f t="shared" si="16"/>
        <v/>
      </c>
      <c r="N116" s="273"/>
    </row>
    <row r="117" spans="1:14" ht="13.5" x14ac:dyDescent="0.25">
      <c r="A117" s="4"/>
      <c r="B117" s="4"/>
      <c r="C117" s="4"/>
      <c r="D117" s="4"/>
      <c r="E117" s="4"/>
      <c r="F117" s="4"/>
      <c r="G117" s="4"/>
      <c r="H117" s="4"/>
      <c r="I117" s="4"/>
      <c r="J117" s="4"/>
      <c r="K117" s="396" t="s">
        <v>444</v>
      </c>
      <c r="L117" s="273"/>
      <c r="M117" s="394">
        <f>SUM(M112:N116)</f>
        <v>402.50773220000002</v>
      </c>
      <c r="N117" s="273"/>
    </row>
    <row r="118" spans="1:14" ht="13.5" x14ac:dyDescent="0.25">
      <c r="A118" s="4"/>
      <c r="B118" s="4"/>
      <c r="C118" s="4"/>
      <c r="D118" s="4"/>
      <c r="E118" s="4"/>
      <c r="F118" s="4"/>
      <c r="G118" s="4"/>
      <c r="H118" s="4"/>
      <c r="I118" s="4"/>
      <c r="J118" s="4"/>
      <c r="K118" s="4"/>
      <c r="L118" s="4"/>
      <c r="M118" s="4"/>
      <c r="N118" s="4"/>
    </row>
    <row r="119" spans="1:14" x14ac:dyDescent="0.2">
      <c r="A119" s="398" t="s">
        <v>931</v>
      </c>
      <c r="B119" s="271"/>
      <c r="C119" s="271"/>
      <c r="D119" s="271"/>
      <c r="E119" s="271"/>
      <c r="F119" s="271"/>
      <c r="G119" s="271"/>
      <c r="H119" s="271"/>
      <c r="I119" s="271"/>
      <c r="J119" s="271"/>
      <c r="K119" s="271"/>
      <c r="L119" s="271"/>
      <c r="M119" s="271"/>
      <c r="N119" s="273"/>
    </row>
    <row r="120" spans="1:14" x14ac:dyDescent="0.2">
      <c r="A120" s="396" t="s">
        <v>76</v>
      </c>
      <c r="B120" s="271"/>
      <c r="C120" s="271"/>
      <c r="D120" s="271"/>
      <c r="E120" s="271"/>
      <c r="F120" s="271"/>
      <c r="G120" s="273"/>
      <c r="H120" s="88" t="s">
        <v>77</v>
      </c>
      <c r="I120" s="399" t="s">
        <v>920</v>
      </c>
      <c r="J120" s="273"/>
      <c r="K120" s="90" t="s">
        <v>514</v>
      </c>
      <c r="L120" s="91" t="s">
        <v>932</v>
      </c>
      <c r="M120" s="399" t="s">
        <v>921</v>
      </c>
      <c r="N120" s="273"/>
    </row>
    <row r="121" spans="1:14" ht="13.5" x14ac:dyDescent="0.25">
      <c r="A121" s="393" t="s">
        <v>951</v>
      </c>
      <c r="B121" s="271"/>
      <c r="C121" s="271"/>
      <c r="D121" s="271"/>
      <c r="E121" s="271"/>
      <c r="F121" s="271"/>
      <c r="G121" s="273"/>
      <c r="H121" s="29" t="str">
        <f>IF(A121="","",VLOOKUP(A121,AA_Cuadrillas,4,FALSE))</f>
        <v>Cuadrilla</v>
      </c>
      <c r="I121" s="394">
        <f>IF(A121="","",VLOOKUP(A121,AA_Cuadrillas,5,FALSE))</f>
        <v>186763</v>
      </c>
      <c r="J121" s="273"/>
      <c r="K121" s="9">
        <f>IF(A121="","",F.P!$I$2)</f>
        <v>1.88</v>
      </c>
      <c r="L121" s="93">
        <f>1/500</f>
        <v>2E-3</v>
      </c>
      <c r="M121" s="394">
        <f t="shared" ref="M121:M125" si="17">IF(A121="","",I121*K121*L121)</f>
        <v>702.22888</v>
      </c>
      <c r="N121" s="273"/>
    </row>
    <row r="122" spans="1:14" ht="13.5" x14ac:dyDescent="0.25">
      <c r="A122" s="393"/>
      <c r="B122" s="271"/>
      <c r="C122" s="271"/>
      <c r="D122" s="271"/>
      <c r="E122" s="271"/>
      <c r="F122" s="271"/>
      <c r="G122" s="273"/>
      <c r="H122" s="29" t="str">
        <f>IF(A122="","",VLOOKUP(A122,AA_Cuadrillas,4,FALSE))</f>
        <v/>
      </c>
      <c r="I122" s="394" t="str">
        <f>IF(A122="","",VLOOKUP(A122,AA_Cuadrillas,5,FALSE))</f>
        <v/>
      </c>
      <c r="J122" s="273"/>
      <c r="K122" s="9" t="str">
        <f>IF(A122="","",F.P!$I$2)</f>
        <v/>
      </c>
      <c r="L122" s="9"/>
      <c r="M122" s="394" t="str">
        <f t="shared" si="17"/>
        <v/>
      </c>
      <c r="N122" s="273"/>
    </row>
    <row r="123" spans="1:14" ht="13.5" x14ac:dyDescent="0.25">
      <c r="A123" s="393"/>
      <c r="B123" s="271"/>
      <c r="C123" s="271"/>
      <c r="D123" s="271"/>
      <c r="E123" s="271"/>
      <c r="F123" s="271"/>
      <c r="G123" s="273"/>
      <c r="H123" s="29" t="str">
        <f>IF(A123="","",VLOOKUP(A123,AA_Cuadrillas,4,FALSE))</f>
        <v/>
      </c>
      <c r="I123" s="394" t="str">
        <f>IF(A123="","",VLOOKUP(A123,AA_Cuadrillas,5,FALSE))</f>
        <v/>
      </c>
      <c r="J123" s="273"/>
      <c r="K123" s="9" t="str">
        <f>IF(A123="","",F.P!$I$2)</f>
        <v/>
      </c>
      <c r="L123" s="37"/>
      <c r="M123" s="394" t="str">
        <f t="shared" si="17"/>
        <v/>
      </c>
      <c r="N123" s="273"/>
    </row>
    <row r="124" spans="1:14" ht="13.5" x14ac:dyDescent="0.25">
      <c r="A124" s="393"/>
      <c r="B124" s="271"/>
      <c r="C124" s="271"/>
      <c r="D124" s="271"/>
      <c r="E124" s="271"/>
      <c r="F124" s="271"/>
      <c r="G124" s="273"/>
      <c r="H124" s="29" t="str">
        <f>IF(A124="","",VLOOKUP(A124,AA_Cuadrillas,4,FALSE))</f>
        <v/>
      </c>
      <c r="I124" s="394" t="str">
        <f>IF(A124="","",VLOOKUP(A124,AA_Cuadrillas,5,FALSE))</f>
        <v/>
      </c>
      <c r="J124" s="273"/>
      <c r="K124" s="9" t="str">
        <f>IF(A124="","",F.P!$I$2)</f>
        <v/>
      </c>
      <c r="L124" s="37"/>
      <c r="M124" s="394" t="str">
        <f t="shared" si="17"/>
        <v/>
      </c>
      <c r="N124" s="273"/>
    </row>
    <row r="125" spans="1:14" ht="13.5" x14ac:dyDescent="0.25">
      <c r="A125" s="393"/>
      <c r="B125" s="271"/>
      <c r="C125" s="271"/>
      <c r="D125" s="271"/>
      <c r="E125" s="271"/>
      <c r="F125" s="271"/>
      <c r="G125" s="273"/>
      <c r="H125" s="29" t="str">
        <f>IF(A125="","",VLOOKUP(A125,AA_Cuadrillas,4,FALSE))</f>
        <v/>
      </c>
      <c r="I125" s="394" t="str">
        <f>IF(A125="","",VLOOKUP(A125,AA_Cuadrillas,5,FALSE))</f>
        <v/>
      </c>
      <c r="J125" s="273"/>
      <c r="K125" s="9" t="str">
        <f>IF(A125="","",F.P!$I$2)</f>
        <v/>
      </c>
      <c r="L125" s="37"/>
      <c r="M125" s="394" t="str">
        <f t="shared" si="17"/>
        <v/>
      </c>
      <c r="N125" s="273"/>
    </row>
    <row r="126" spans="1:14" ht="13.5" x14ac:dyDescent="0.25">
      <c r="A126" s="4"/>
      <c r="B126" s="4"/>
      <c r="C126" s="4"/>
      <c r="D126" s="4"/>
      <c r="E126" s="4"/>
      <c r="F126" s="4"/>
      <c r="G126" s="4"/>
      <c r="H126" s="4"/>
      <c r="I126" s="4"/>
      <c r="J126" s="4"/>
      <c r="K126" s="396" t="s">
        <v>444</v>
      </c>
      <c r="L126" s="273"/>
      <c r="M126" s="394">
        <f>SUM(M121:N125)</f>
        <v>702.22888</v>
      </c>
      <c r="N126" s="273"/>
    </row>
    <row r="127" spans="1:14" ht="12.75" customHeight="1" x14ac:dyDescent="0.2"/>
    <row r="130" spans="1:14" x14ac:dyDescent="0.2">
      <c r="A130" s="397" t="s">
        <v>155</v>
      </c>
      <c r="B130" s="275"/>
      <c r="C130" s="275"/>
      <c r="D130" s="275"/>
      <c r="E130" s="275"/>
      <c r="F130" s="275"/>
      <c r="G130" s="275"/>
      <c r="H130" s="275"/>
      <c r="I130" s="275"/>
      <c r="J130" s="275"/>
      <c r="K130" s="275"/>
      <c r="L130" s="275"/>
      <c r="M130" s="275"/>
      <c r="N130" s="276"/>
    </row>
    <row r="131" spans="1:14" x14ac:dyDescent="0.2">
      <c r="A131" s="277"/>
      <c r="B131" s="278"/>
      <c r="C131" s="278"/>
      <c r="D131" s="278"/>
      <c r="E131" s="278"/>
      <c r="F131" s="278"/>
      <c r="G131" s="278"/>
      <c r="H131" s="278"/>
      <c r="I131" s="278"/>
      <c r="J131" s="278"/>
      <c r="K131" s="278"/>
      <c r="L131" s="278"/>
      <c r="M131" s="278"/>
      <c r="N131" s="279"/>
    </row>
    <row r="132" spans="1:14" ht="13.5" x14ac:dyDescent="0.2">
      <c r="A132" s="75"/>
      <c r="B132" s="75"/>
      <c r="C132" s="75"/>
      <c r="D132" s="75"/>
      <c r="E132" s="75"/>
      <c r="F132" s="75"/>
      <c r="G132" s="75"/>
      <c r="H132" s="75"/>
      <c r="I132" s="75"/>
      <c r="J132" s="75"/>
      <c r="K132" s="75"/>
      <c r="L132" s="75"/>
      <c r="M132" s="75"/>
      <c r="N132" s="75"/>
    </row>
    <row r="133" spans="1:14" ht="14.25" x14ac:dyDescent="0.3">
      <c r="A133" s="79" t="s">
        <v>654</v>
      </c>
      <c r="B133" s="80" t="str">
        <f>A130</f>
        <v>SUMINISTRO E INSTALACIÓN PASOS PARA ESCALERA DE GATO EN VARILLA PRD-60 DE 3/4" ANTIDESLIZANTE CON ANCLAJE DENTADO, REFUERZO, Y TRANCA PIE. L=0,30 M AN= 0,30 (INCLUYE MATERIALES, EQUIPOS Y  MANO DE OBRA)</v>
      </c>
      <c r="C133" s="81" t="s">
        <v>916</v>
      </c>
      <c r="D133" s="82" t="s">
        <v>999</v>
      </c>
      <c r="E133" s="83" t="s">
        <v>445</v>
      </c>
      <c r="F133" s="244">
        <f>(H133+J133+L133+N133)</f>
        <v>102940.44740500001</v>
      </c>
      <c r="G133" s="83" t="s">
        <v>607</v>
      </c>
      <c r="H133" s="86">
        <f>M152</f>
        <v>3318.7861000000003</v>
      </c>
      <c r="I133" s="83" t="s">
        <v>918</v>
      </c>
      <c r="J133" s="86">
        <f>M143</f>
        <v>78000</v>
      </c>
      <c r="K133" s="83" t="s">
        <v>609</v>
      </c>
      <c r="L133" s="86">
        <f>M161</f>
        <v>4065.9393049999999</v>
      </c>
      <c r="M133" s="83" t="s">
        <v>610</v>
      </c>
      <c r="N133" s="86">
        <f>M170</f>
        <v>17555.722000000002</v>
      </c>
    </row>
    <row r="134" spans="1:14" ht="13.5" x14ac:dyDescent="0.25">
      <c r="A134" s="87"/>
      <c r="B134" s="87"/>
      <c r="C134" s="87"/>
      <c r="D134" s="87"/>
      <c r="E134" s="87"/>
      <c r="F134" s="87"/>
      <c r="G134" s="87"/>
      <c r="J134" s="87"/>
      <c r="K134" s="215" t="s">
        <v>3217</v>
      </c>
      <c r="L134" s="215">
        <f>+F133*presup!$O$5</f>
        <v>133822.58162650003</v>
      </c>
      <c r="M134" s="87"/>
      <c r="N134" s="87"/>
    </row>
    <row r="135" spans="1:14" x14ac:dyDescent="0.2">
      <c r="A135" s="398" t="s">
        <v>919</v>
      </c>
      <c r="B135" s="271"/>
      <c r="C135" s="271"/>
      <c r="D135" s="271"/>
      <c r="E135" s="271"/>
      <c r="F135" s="271"/>
      <c r="G135" s="271"/>
      <c r="H135" s="271"/>
      <c r="I135" s="271"/>
      <c r="J135" s="271"/>
      <c r="K135" s="271"/>
      <c r="L135" s="271"/>
      <c r="M135" s="271"/>
      <c r="N135" s="273"/>
    </row>
    <row r="136" spans="1:14" x14ac:dyDescent="0.2">
      <c r="A136" s="396" t="s">
        <v>76</v>
      </c>
      <c r="B136" s="271"/>
      <c r="C136" s="271"/>
      <c r="D136" s="271"/>
      <c r="E136" s="271"/>
      <c r="F136" s="271"/>
      <c r="G136" s="273"/>
      <c r="H136" s="88" t="s">
        <v>77</v>
      </c>
      <c r="I136" s="399" t="s">
        <v>920</v>
      </c>
      <c r="J136" s="273"/>
      <c r="K136" s="399" t="s">
        <v>453</v>
      </c>
      <c r="L136" s="273"/>
      <c r="M136" s="399" t="s">
        <v>921</v>
      </c>
      <c r="N136" s="273"/>
    </row>
    <row r="137" spans="1:14" ht="13.5" x14ac:dyDescent="0.2">
      <c r="A137" s="403" t="s">
        <v>1056</v>
      </c>
      <c r="B137" s="271"/>
      <c r="C137" s="271"/>
      <c r="D137" s="271"/>
      <c r="E137" s="271"/>
      <c r="F137" s="271"/>
      <c r="G137" s="273"/>
      <c r="H137" s="29" t="str">
        <f t="shared" ref="H137:H142" si="18">IF(A137="","",VLOOKUP(A137,AA_Materiales,7,FALSE))</f>
        <v>Unidad</v>
      </c>
      <c r="I137" s="394">
        <f t="shared" ref="I137:I142" si="19">IF(A137="","",VLOOKUP(A137,AA_Materiales,8,FALSE))</f>
        <v>78000</v>
      </c>
      <c r="J137" s="273"/>
      <c r="K137" s="395">
        <v>1</v>
      </c>
      <c r="L137" s="273"/>
      <c r="M137" s="394">
        <f t="shared" ref="M137:M142" si="20">IF(A137="","",I137*K137)</f>
        <v>78000</v>
      </c>
      <c r="N137" s="273"/>
    </row>
    <row r="138" spans="1:14" ht="13.5" x14ac:dyDescent="0.2">
      <c r="A138" s="403"/>
      <c r="B138" s="271"/>
      <c r="C138" s="271"/>
      <c r="D138" s="271"/>
      <c r="E138" s="271"/>
      <c r="F138" s="271"/>
      <c r="G138" s="273"/>
      <c r="H138" s="29" t="str">
        <f t="shared" si="18"/>
        <v/>
      </c>
      <c r="I138" s="394" t="str">
        <f t="shared" si="19"/>
        <v/>
      </c>
      <c r="J138" s="273"/>
      <c r="K138" s="395"/>
      <c r="L138" s="273"/>
      <c r="M138" s="394" t="str">
        <f t="shared" si="20"/>
        <v/>
      </c>
      <c r="N138" s="273"/>
    </row>
    <row r="139" spans="1:14" ht="13.5" x14ac:dyDescent="0.2">
      <c r="A139" s="403"/>
      <c r="B139" s="271"/>
      <c r="C139" s="271"/>
      <c r="D139" s="271"/>
      <c r="E139" s="271"/>
      <c r="F139" s="271"/>
      <c r="G139" s="273"/>
      <c r="H139" s="29" t="str">
        <f t="shared" si="18"/>
        <v/>
      </c>
      <c r="I139" s="394" t="str">
        <f t="shared" si="19"/>
        <v/>
      </c>
      <c r="J139" s="273"/>
      <c r="K139" s="395"/>
      <c r="L139" s="273"/>
      <c r="M139" s="394" t="str">
        <f t="shared" si="20"/>
        <v/>
      </c>
      <c r="N139" s="273"/>
    </row>
    <row r="140" spans="1:14" ht="13.5" x14ac:dyDescent="0.2">
      <c r="A140" s="403"/>
      <c r="B140" s="271"/>
      <c r="C140" s="271"/>
      <c r="D140" s="271"/>
      <c r="E140" s="271"/>
      <c r="F140" s="271"/>
      <c r="G140" s="273"/>
      <c r="H140" s="29" t="str">
        <f t="shared" si="18"/>
        <v/>
      </c>
      <c r="I140" s="394" t="str">
        <f t="shared" si="19"/>
        <v/>
      </c>
      <c r="J140" s="273"/>
      <c r="K140" s="395"/>
      <c r="L140" s="273"/>
      <c r="M140" s="394" t="str">
        <f t="shared" si="20"/>
        <v/>
      </c>
      <c r="N140" s="273"/>
    </row>
    <row r="141" spans="1:14" ht="13.5" x14ac:dyDescent="0.2">
      <c r="A141" s="403"/>
      <c r="B141" s="271"/>
      <c r="C141" s="271"/>
      <c r="D141" s="271"/>
      <c r="E141" s="271"/>
      <c r="F141" s="271"/>
      <c r="G141" s="273"/>
      <c r="H141" s="29" t="str">
        <f t="shared" si="18"/>
        <v/>
      </c>
      <c r="I141" s="394" t="str">
        <f t="shared" si="19"/>
        <v/>
      </c>
      <c r="J141" s="273"/>
      <c r="K141" s="395"/>
      <c r="L141" s="273"/>
      <c r="M141" s="394" t="str">
        <f t="shared" si="20"/>
        <v/>
      </c>
      <c r="N141" s="273"/>
    </row>
    <row r="142" spans="1:14" ht="13.5" x14ac:dyDescent="0.2">
      <c r="A142" s="403"/>
      <c r="B142" s="271"/>
      <c r="C142" s="271"/>
      <c r="D142" s="271"/>
      <c r="E142" s="271"/>
      <c r="F142" s="271"/>
      <c r="G142" s="273"/>
      <c r="H142" s="29" t="str">
        <f t="shared" si="18"/>
        <v/>
      </c>
      <c r="I142" s="394" t="str">
        <f t="shared" si="19"/>
        <v/>
      </c>
      <c r="J142" s="273"/>
      <c r="K142" s="395"/>
      <c r="L142" s="273"/>
      <c r="M142" s="394" t="str">
        <f t="shared" si="20"/>
        <v/>
      </c>
      <c r="N142" s="273"/>
    </row>
    <row r="143" spans="1:14" ht="13.5" x14ac:dyDescent="0.25">
      <c r="A143" s="4"/>
      <c r="B143" s="4"/>
      <c r="C143" s="4"/>
      <c r="D143" s="4"/>
      <c r="E143" s="4"/>
      <c r="F143" s="4"/>
      <c r="G143" s="4"/>
      <c r="H143" s="4"/>
      <c r="I143" s="4"/>
      <c r="J143" s="4"/>
      <c r="K143" s="396" t="s">
        <v>444</v>
      </c>
      <c r="L143" s="273"/>
      <c r="M143" s="394">
        <f>SUM(M137:N142)</f>
        <v>78000</v>
      </c>
      <c r="N143" s="273"/>
    </row>
    <row r="144" spans="1:14" ht="13.5" x14ac:dyDescent="0.25">
      <c r="A144" s="4"/>
      <c r="B144" s="4"/>
      <c r="C144" s="4"/>
      <c r="D144" s="4"/>
      <c r="E144" s="4"/>
      <c r="F144" s="4"/>
      <c r="G144" s="4"/>
      <c r="H144" s="4"/>
      <c r="I144" s="4"/>
      <c r="J144" s="4"/>
      <c r="K144" s="4"/>
      <c r="L144" s="4"/>
      <c r="M144" s="4"/>
      <c r="N144" s="4"/>
    </row>
    <row r="145" spans="1:14" x14ac:dyDescent="0.2">
      <c r="A145" s="398" t="s">
        <v>926</v>
      </c>
      <c r="B145" s="271"/>
      <c r="C145" s="271"/>
      <c r="D145" s="271"/>
      <c r="E145" s="271"/>
      <c r="F145" s="271"/>
      <c r="G145" s="271"/>
      <c r="H145" s="271"/>
      <c r="I145" s="271"/>
      <c r="J145" s="271"/>
      <c r="K145" s="271"/>
      <c r="L145" s="271"/>
      <c r="M145" s="271"/>
      <c r="N145" s="273"/>
    </row>
    <row r="146" spans="1:14" x14ac:dyDescent="0.2">
      <c r="A146" s="396" t="s">
        <v>76</v>
      </c>
      <c r="B146" s="271"/>
      <c r="C146" s="271"/>
      <c r="D146" s="271"/>
      <c r="E146" s="271"/>
      <c r="F146" s="271"/>
      <c r="G146" s="273"/>
      <c r="H146" s="88" t="s">
        <v>77</v>
      </c>
      <c r="I146" s="399" t="s">
        <v>920</v>
      </c>
      <c r="J146" s="273"/>
      <c r="K146" s="399" t="s">
        <v>453</v>
      </c>
      <c r="L146" s="273"/>
      <c r="M146" s="399" t="s">
        <v>921</v>
      </c>
      <c r="N146" s="273"/>
    </row>
    <row r="147" spans="1:14" ht="13.5" x14ac:dyDescent="0.2">
      <c r="A147" s="400" t="s">
        <v>927</v>
      </c>
      <c r="B147" s="271"/>
      <c r="C147" s="271"/>
      <c r="D147" s="271"/>
      <c r="E147" s="271"/>
      <c r="F147" s="271"/>
      <c r="G147" s="273"/>
      <c r="H147" s="29" t="str">
        <f>IF(A147="","",VLOOKUP(A147,AA_Equipos,7,FALSE))</f>
        <v>% M.O.</v>
      </c>
      <c r="I147" s="394">
        <f>+M170</f>
        <v>17555.722000000002</v>
      </c>
      <c r="J147" s="273"/>
      <c r="K147" s="404">
        <v>0.05</v>
      </c>
      <c r="L147" s="273"/>
      <c r="M147" s="394">
        <f t="shared" ref="M147:M151" si="21">IF(A147="","",I147*K147)</f>
        <v>877.78610000000015</v>
      </c>
      <c r="N147" s="273"/>
    </row>
    <row r="148" spans="1:14" ht="13.5" x14ac:dyDescent="0.2">
      <c r="A148" s="403" t="s">
        <v>1057</v>
      </c>
      <c r="B148" s="271"/>
      <c r="C148" s="271"/>
      <c r="D148" s="271"/>
      <c r="E148" s="271"/>
      <c r="F148" s="271"/>
      <c r="G148" s="273"/>
      <c r="H148" s="29" t="str">
        <f>IF(A148="","",VLOOKUP(A148,AA_Equipos,7,FALSE))</f>
        <v>Día</v>
      </c>
      <c r="I148" s="394">
        <f>IF(A148="","",VLOOKUP(A148,AA_Equipos,8,FALSE))</f>
        <v>49230</v>
      </c>
      <c r="J148" s="273"/>
      <c r="K148" s="402">
        <f>1/30</f>
        <v>3.3333333333333333E-2</v>
      </c>
      <c r="L148" s="273"/>
      <c r="M148" s="394">
        <f t="shared" si="21"/>
        <v>1641</v>
      </c>
      <c r="N148" s="273"/>
    </row>
    <row r="149" spans="1:14" ht="13.5" x14ac:dyDescent="0.2">
      <c r="A149" s="403" t="s">
        <v>1058</v>
      </c>
      <c r="B149" s="271"/>
      <c r="C149" s="271"/>
      <c r="D149" s="271"/>
      <c r="E149" s="271"/>
      <c r="F149" s="271"/>
      <c r="G149" s="273"/>
      <c r="H149" s="29" t="str">
        <f>IF(A149="","",VLOOKUP(A149,AA_Equipos,7,FALSE))</f>
        <v>Hora</v>
      </c>
      <c r="I149" s="394">
        <f>IF(A149="","",VLOOKUP(A149,AA_Equipos,8,FALSE))</f>
        <v>40000</v>
      </c>
      <c r="J149" s="273"/>
      <c r="K149" s="401">
        <f>1/50</f>
        <v>0.02</v>
      </c>
      <c r="L149" s="273"/>
      <c r="M149" s="394">
        <f t="shared" si="21"/>
        <v>800</v>
      </c>
      <c r="N149" s="273"/>
    </row>
    <row r="150" spans="1:14" ht="13.5" x14ac:dyDescent="0.2">
      <c r="A150" s="400"/>
      <c r="B150" s="271"/>
      <c r="C150" s="271"/>
      <c r="D150" s="271"/>
      <c r="E150" s="271"/>
      <c r="F150" s="271"/>
      <c r="G150" s="273"/>
      <c r="H150" s="29" t="str">
        <f>IF(A150="","",VLOOKUP(A150,AA_Equipos,7,FALSE))</f>
        <v/>
      </c>
      <c r="I150" s="394" t="str">
        <f>IF(A150="","",VLOOKUP(A150,AA_Equipos,8,FALSE))</f>
        <v/>
      </c>
      <c r="J150" s="273"/>
      <c r="K150" s="395"/>
      <c r="L150" s="273"/>
      <c r="M150" s="394" t="str">
        <f t="shared" si="21"/>
        <v/>
      </c>
      <c r="N150" s="273"/>
    </row>
    <row r="151" spans="1:14" ht="13.5" x14ac:dyDescent="0.2">
      <c r="A151" s="400"/>
      <c r="B151" s="271"/>
      <c r="C151" s="271"/>
      <c r="D151" s="271"/>
      <c r="E151" s="271"/>
      <c r="F151" s="271"/>
      <c r="G151" s="273"/>
      <c r="H151" s="29" t="str">
        <f>IF(A151="","",VLOOKUP(A151,AA_Equipos,7,FALSE))</f>
        <v/>
      </c>
      <c r="I151" s="394" t="str">
        <f>IF(A151="","",VLOOKUP(A151,AA_Equipos,8,FALSE))</f>
        <v/>
      </c>
      <c r="J151" s="273"/>
      <c r="K151" s="395"/>
      <c r="L151" s="273"/>
      <c r="M151" s="394" t="str">
        <f t="shared" si="21"/>
        <v/>
      </c>
      <c r="N151" s="273"/>
    </row>
    <row r="152" spans="1:14" ht="13.5" x14ac:dyDescent="0.25">
      <c r="A152" s="4"/>
      <c r="B152" s="4"/>
      <c r="C152" s="4"/>
      <c r="D152" s="4"/>
      <c r="E152" s="4"/>
      <c r="F152" s="4"/>
      <c r="G152" s="4"/>
      <c r="H152" s="4"/>
      <c r="I152" s="4"/>
      <c r="J152" s="4"/>
      <c r="K152" s="396" t="s">
        <v>444</v>
      </c>
      <c r="L152" s="273"/>
      <c r="M152" s="394">
        <f>SUM(M147:N151)</f>
        <v>3318.7861000000003</v>
      </c>
      <c r="N152" s="273"/>
    </row>
    <row r="153" spans="1:14" ht="13.5" x14ac:dyDescent="0.25">
      <c r="A153" s="4"/>
      <c r="B153" s="4"/>
      <c r="C153" s="4"/>
      <c r="D153" s="4"/>
      <c r="E153" s="4"/>
      <c r="F153" s="4"/>
      <c r="G153" s="4"/>
      <c r="H153" s="4"/>
      <c r="I153" s="4"/>
      <c r="J153" s="4"/>
      <c r="K153" s="4"/>
      <c r="L153" s="4"/>
      <c r="M153" s="4"/>
      <c r="N153" s="4"/>
    </row>
    <row r="154" spans="1:14" x14ac:dyDescent="0.2">
      <c r="A154" s="398" t="s">
        <v>929</v>
      </c>
      <c r="B154" s="271"/>
      <c r="C154" s="271"/>
      <c r="D154" s="271"/>
      <c r="E154" s="271"/>
      <c r="F154" s="271"/>
      <c r="G154" s="271"/>
      <c r="H154" s="271"/>
      <c r="I154" s="271"/>
      <c r="J154" s="271"/>
      <c r="K154" s="271"/>
      <c r="L154" s="271"/>
      <c r="M154" s="271"/>
      <c r="N154" s="273"/>
    </row>
    <row r="155" spans="1:14" x14ac:dyDescent="0.2">
      <c r="A155" s="396" t="s">
        <v>76</v>
      </c>
      <c r="B155" s="271"/>
      <c r="C155" s="271"/>
      <c r="D155" s="271"/>
      <c r="E155" s="271"/>
      <c r="F155" s="271"/>
      <c r="G155" s="273"/>
      <c r="H155" s="88" t="s">
        <v>77</v>
      </c>
      <c r="I155" s="399" t="s">
        <v>920</v>
      </c>
      <c r="J155" s="273"/>
      <c r="K155" s="399" t="s">
        <v>453</v>
      </c>
      <c r="L155" s="273"/>
      <c r="M155" s="399" t="s">
        <v>921</v>
      </c>
      <c r="N155" s="273"/>
    </row>
    <row r="156" spans="1:14" ht="13.5" x14ac:dyDescent="0.2">
      <c r="A156" s="400" t="s">
        <v>966</v>
      </c>
      <c r="B156" s="271"/>
      <c r="C156" s="271"/>
      <c r="D156" s="271"/>
      <c r="E156" s="271"/>
      <c r="F156" s="271"/>
      <c r="G156" s="273"/>
      <c r="H156" s="29" t="s">
        <v>950</v>
      </c>
      <c r="I156" s="394">
        <f>+M143</f>
        <v>78000</v>
      </c>
      <c r="J156" s="273"/>
      <c r="K156" s="404">
        <v>0.05</v>
      </c>
      <c r="L156" s="273"/>
      <c r="M156" s="394">
        <f t="shared" ref="M156:M160" si="22">IF(A156="","",I156*K156)</f>
        <v>3900</v>
      </c>
      <c r="N156" s="273"/>
    </row>
    <row r="157" spans="1:14" ht="13.5" x14ac:dyDescent="0.2">
      <c r="A157" s="403" t="s">
        <v>3174</v>
      </c>
      <c r="B157" s="271"/>
      <c r="C157" s="271"/>
      <c r="D157" s="271"/>
      <c r="E157" s="271"/>
      <c r="F157" s="271"/>
      <c r="G157" s="273"/>
      <c r="H157" s="29" t="s">
        <v>24</v>
      </c>
      <c r="I157" s="394">
        <f>+M152</f>
        <v>3318.7861000000003</v>
      </c>
      <c r="J157" s="273"/>
      <c r="K157" s="404">
        <v>0.05</v>
      </c>
      <c r="L157" s="273"/>
      <c r="M157" s="394">
        <f t="shared" si="22"/>
        <v>165.93930500000002</v>
      </c>
      <c r="N157" s="273"/>
    </row>
    <row r="158" spans="1:14" ht="13.5" x14ac:dyDescent="0.2">
      <c r="A158" s="400"/>
      <c r="B158" s="271"/>
      <c r="C158" s="271"/>
      <c r="D158" s="271"/>
      <c r="E158" s="271"/>
      <c r="F158" s="271"/>
      <c r="G158" s="273"/>
      <c r="H158" s="29"/>
      <c r="I158" s="394"/>
      <c r="J158" s="273"/>
      <c r="K158" s="395"/>
      <c r="L158" s="273"/>
      <c r="M158" s="394" t="str">
        <f t="shared" si="22"/>
        <v/>
      </c>
      <c r="N158" s="273"/>
    </row>
    <row r="159" spans="1:14" ht="13.5" x14ac:dyDescent="0.2">
      <c r="A159" s="400"/>
      <c r="B159" s="271"/>
      <c r="C159" s="271"/>
      <c r="D159" s="271"/>
      <c r="E159" s="271"/>
      <c r="F159" s="271"/>
      <c r="G159" s="273"/>
      <c r="H159" s="29"/>
      <c r="I159" s="394"/>
      <c r="J159" s="273"/>
      <c r="K159" s="395"/>
      <c r="L159" s="273"/>
      <c r="M159" s="394" t="str">
        <f t="shared" si="22"/>
        <v/>
      </c>
      <c r="N159" s="273"/>
    </row>
    <row r="160" spans="1:14" ht="13.5" x14ac:dyDescent="0.2">
      <c r="A160" s="400"/>
      <c r="B160" s="271"/>
      <c r="C160" s="271"/>
      <c r="D160" s="271"/>
      <c r="E160" s="271"/>
      <c r="F160" s="271"/>
      <c r="G160" s="273"/>
      <c r="H160" s="29"/>
      <c r="I160" s="394"/>
      <c r="J160" s="273"/>
      <c r="K160" s="395"/>
      <c r="L160" s="273"/>
      <c r="M160" s="394" t="str">
        <f t="shared" si="22"/>
        <v/>
      </c>
      <c r="N160" s="273"/>
    </row>
    <row r="161" spans="1:14" ht="13.5" x14ac:dyDescent="0.25">
      <c r="A161" s="4"/>
      <c r="B161" s="4"/>
      <c r="C161" s="4"/>
      <c r="D161" s="4"/>
      <c r="E161" s="4"/>
      <c r="F161" s="4"/>
      <c r="G161" s="4"/>
      <c r="H161" s="4"/>
      <c r="I161" s="4"/>
      <c r="J161" s="4"/>
      <c r="K161" s="396" t="s">
        <v>444</v>
      </c>
      <c r="L161" s="273"/>
      <c r="M161" s="394">
        <f>SUM(M156:N160)</f>
        <v>4065.9393049999999</v>
      </c>
      <c r="N161" s="273"/>
    </row>
    <row r="162" spans="1:14" ht="13.5" x14ac:dyDescent="0.25">
      <c r="A162" s="4"/>
      <c r="B162" s="4"/>
      <c r="C162" s="4"/>
      <c r="D162" s="4"/>
      <c r="E162" s="4"/>
      <c r="F162" s="4"/>
      <c r="G162" s="4"/>
      <c r="H162" s="4"/>
      <c r="I162" s="4"/>
      <c r="J162" s="4"/>
      <c r="K162" s="4"/>
      <c r="L162" s="4"/>
      <c r="M162" s="4"/>
      <c r="N162" s="4"/>
    </row>
    <row r="163" spans="1:14" x14ac:dyDescent="0.2">
      <c r="A163" s="398" t="s">
        <v>931</v>
      </c>
      <c r="B163" s="271"/>
      <c r="C163" s="271"/>
      <c r="D163" s="271"/>
      <c r="E163" s="271"/>
      <c r="F163" s="271"/>
      <c r="G163" s="271"/>
      <c r="H163" s="271"/>
      <c r="I163" s="271"/>
      <c r="J163" s="271"/>
      <c r="K163" s="271"/>
      <c r="L163" s="271"/>
      <c r="M163" s="271"/>
      <c r="N163" s="273"/>
    </row>
    <row r="164" spans="1:14" x14ac:dyDescent="0.2">
      <c r="A164" s="396" t="s">
        <v>76</v>
      </c>
      <c r="B164" s="271"/>
      <c r="C164" s="271"/>
      <c r="D164" s="271"/>
      <c r="E164" s="271"/>
      <c r="F164" s="271"/>
      <c r="G164" s="273"/>
      <c r="H164" s="88" t="s">
        <v>77</v>
      </c>
      <c r="I164" s="399" t="s">
        <v>920</v>
      </c>
      <c r="J164" s="273"/>
      <c r="K164" s="90" t="s">
        <v>514</v>
      </c>
      <c r="L164" s="91" t="s">
        <v>932</v>
      </c>
      <c r="M164" s="399" t="s">
        <v>921</v>
      </c>
      <c r="N164" s="273"/>
    </row>
    <row r="165" spans="1:14" ht="13.5" x14ac:dyDescent="0.25">
      <c r="A165" s="393" t="s">
        <v>951</v>
      </c>
      <c r="B165" s="271"/>
      <c r="C165" s="271"/>
      <c r="D165" s="271"/>
      <c r="E165" s="271"/>
      <c r="F165" s="271"/>
      <c r="G165" s="273"/>
      <c r="H165" s="29" t="str">
        <f>IF(A165="","",VLOOKUP(A165,AA_Cuadrillas,4,FALSE))</f>
        <v>Cuadrilla</v>
      </c>
      <c r="I165" s="394">
        <f>IF(A165="","",VLOOKUP(A165,AA_Cuadrillas,5,FALSE))</f>
        <v>186763</v>
      </c>
      <c r="J165" s="273"/>
      <c r="K165" s="9">
        <f>IF(A165="","",F.P!$I$2)</f>
        <v>1.88</v>
      </c>
      <c r="L165" s="97">
        <f>1/20</f>
        <v>0.05</v>
      </c>
      <c r="M165" s="394">
        <f t="shared" ref="M165:M169" si="23">IF(A165="","",I165*K165*L165)</f>
        <v>17555.722000000002</v>
      </c>
      <c r="N165" s="273"/>
    </row>
    <row r="166" spans="1:14" ht="13.5" x14ac:dyDescent="0.25">
      <c r="A166" s="393"/>
      <c r="B166" s="271"/>
      <c r="C166" s="271"/>
      <c r="D166" s="271"/>
      <c r="E166" s="271"/>
      <c r="F166" s="271"/>
      <c r="G166" s="273"/>
      <c r="H166" s="29" t="str">
        <f>IF(A166="","",VLOOKUP(A166,AA_Cuadrillas,4,FALSE))</f>
        <v/>
      </c>
      <c r="I166" s="394" t="str">
        <f>IF(A166="","",VLOOKUP(A166,AA_Cuadrillas,5,FALSE))</f>
        <v/>
      </c>
      <c r="J166" s="273"/>
      <c r="K166" s="9" t="str">
        <f>IF(A166="","",F.P!$I$2)</f>
        <v/>
      </c>
      <c r="L166" s="9"/>
      <c r="M166" s="394" t="str">
        <f t="shared" si="23"/>
        <v/>
      </c>
      <c r="N166" s="273"/>
    </row>
    <row r="167" spans="1:14" ht="13.5" x14ac:dyDescent="0.25">
      <c r="A167" s="393"/>
      <c r="B167" s="271"/>
      <c r="C167" s="271"/>
      <c r="D167" s="271"/>
      <c r="E167" s="271"/>
      <c r="F167" s="271"/>
      <c r="G167" s="273"/>
      <c r="H167" s="29" t="str">
        <f>IF(A167="","",VLOOKUP(A167,AA_Cuadrillas,4,FALSE))</f>
        <v/>
      </c>
      <c r="I167" s="394" t="str">
        <f>IF(A167="","",VLOOKUP(A167,AA_Cuadrillas,5,FALSE))</f>
        <v/>
      </c>
      <c r="J167" s="273"/>
      <c r="K167" s="9" t="str">
        <f>IF(A167="","",F.P!$I$2)</f>
        <v/>
      </c>
      <c r="L167" s="37"/>
      <c r="M167" s="394" t="str">
        <f t="shared" si="23"/>
        <v/>
      </c>
      <c r="N167" s="273"/>
    </row>
    <row r="168" spans="1:14" ht="13.5" x14ac:dyDescent="0.25">
      <c r="A168" s="393"/>
      <c r="B168" s="271"/>
      <c r="C168" s="271"/>
      <c r="D168" s="271"/>
      <c r="E168" s="271"/>
      <c r="F168" s="271"/>
      <c r="G168" s="273"/>
      <c r="H168" s="29" t="str">
        <f>IF(A168="","",VLOOKUP(A168,AA_Cuadrillas,4,FALSE))</f>
        <v/>
      </c>
      <c r="I168" s="394" t="str">
        <f>IF(A168="","",VLOOKUP(A168,AA_Cuadrillas,5,FALSE))</f>
        <v/>
      </c>
      <c r="J168" s="273"/>
      <c r="K168" s="9" t="str">
        <f>IF(A168="","",F.P!$I$2)</f>
        <v/>
      </c>
      <c r="L168" s="37"/>
      <c r="M168" s="394" t="str">
        <f t="shared" si="23"/>
        <v/>
      </c>
      <c r="N168" s="273"/>
    </row>
    <row r="169" spans="1:14" ht="13.5" x14ac:dyDescent="0.25">
      <c r="A169" s="393"/>
      <c r="B169" s="271"/>
      <c r="C169" s="271"/>
      <c r="D169" s="271"/>
      <c r="E169" s="271"/>
      <c r="F169" s="271"/>
      <c r="G169" s="273"/>
      <c r="H169" s="29" t="str">
        <f>IF(A169="","",VLOOKUP(A169,AA_Cuadrillas,4,FALSE))</f>
        <v/>
      </c>
      <c r="I169" s="394" t="str">
        <f>IF(A169="","",VLOOKUP(A169,AA_Cuadrillas,5,FALSE))</f>
        <v/>
      </c>
      <c r="J169" s="273"/>
      <c r="K169" s="9" t="str">
        <f>IF(A169="","",F.P!$I$2)</f>
        <v/>
      </c>
      <c r="L169" s="37"/>
      <c r="M169" s="394" t="str">
        <f t="shared" si="23"/>
        <v/>
      </c>
      <c r="N169" s="273"/>
    </row>
    <row r="170" spans="1:14" ht="13.5" x14ac:dyDescent="0.25">
      <c r="A170" s="4"/>
      <c r="B170" s="4"/>
      <c r="C170" s="4"/>
      <c r="D170" s="4"/>
      <c r="E170" s="4"/>
      <c r="F170" s="4"/>
      <c r="G170" s="4"/>
      <c r="H170" s="4"/>
      <c r="I170" s="4"/>
      <c r="J170" s="4"/>
      <c r="K170" s="396" t="s">
        <v>444</v>
      </c>
      <c r="L170" s="273"/>
      <c r="M170" s="394">
        <f>SUM(M165:N169)</f>
        <v>17555.722000000002</v>
      </c>
      <c r="N170" s="273"/>
    </row>
    <row r="173" spans="1:14" x14ac:dyDescent="0.2">
      <c r="A173" s="397" t="s">
        <v>169</v>
      </c>
      <c r="B173" s="275"/>
      <c r="C173" s="275"/>
      <c r="D173" s="275"/>
      <c r="E173" s="275"/>
      <c r="F173" s="275"/>
      <c r="G173" s="275"/>
      <c r="H173" s="275"/>
      <c r="I173" s="275"/>
      <c r="J173" s="275"/>
      <c r="K173" s="275"/>
      <c r="L173" s="275"/>
      <c r="M173" s="275"/>
      <c r="N173" s="276"/>
    </row>
    <row r="174" spans="1:14" x14ac:dyDescent="0.2">
      <c r="A174" s="277"/>
      <c r="B174" s="278"/>
      <c r="C174" s="278"/>
      <c r="D174" s="278"/>
      <c r="E174" s="278"/>
      <c r="F174" s="278"/>
      <c r="G174" s="278"/>
      <c r="H174" s="278"/>
      <c r="I174" s="278"/>
      <c r="J174" s="278"/>
      <c r="K174" s="278"/>
      <c r="L174" s="278"/>
      <c r="M174" s="278"/>
      <c r="N174" s="279"/>
    </row>
    <row r="175" spans="1:14" ht="13.5" x14ac:dyDescent="0.2">
      <c r="A175" s="75"/>
      <c r="B175" s="75"/>
      <c r="C175" s="75"/>
      <c r="D175" s="75"/>
      <c r="E175" s="75"/>
      <c r="F175" s="75"/>
      <c r="G175" s="75"/>
      <c r="H175" s="75"/>
      <c r="I175" s="75"/>
      <c r="J175" s="75"/>
      <c r="K175" s="75"/>
      <c r="L175" s="75"/>
      <c r="M175" s="75"/>
      <c r="N175" s="75"/>
    </row>
    <row r="176" spans="1:14" ht="14.25" x14ac:dyDescent="0.3">
      <c r="A176" s="79" t="s">
        <v>621</v>
      </c>
      <c r="B176" s="80" t="str">
        <f>A173</f>
        <v>RELLENO CON MATERIAL SELECCIONADO DE LA EXCAVACIÓN, COMPACTADO CON EQUIPO MECÁNICO EN CAPAS DE 0,20 m (INCLUYE EQUIPO, HERRAMIENTA MENOR Y MANO DE OBRA)</v>
      </c>
      <c r="C176" s="81" t="s">
        <v>916</v>
      </c>
      <c r="D176" s="82" t="s">
        <v>258</v>
      </c>
      <c r="E176" s="83" t="s">
        <v>445</v>
      </c>
      <c r="F176" s="244">
        <f>(H176+J176+L176+N176)</f>
        <v>20403.139381818182</v>
      </c>
      <c r="G176" s="83" t="s">
        <v>607</v>
      </c>
      <c r="H176" s="86">
        <f>M194</f>
        <v>8031.7621818181815</v>
      </c>
      <c r="I176" s="83" t="s">
        <v>918</v>
      </c>
      <c r="J176" s="86">
        <f>M185</f>
        <v>0</v>
      </c>
      <c r="K176" s="83" t="s">
        <v>609</v>
      </c>
      <c r="L176" s="86">
        <f>M203</f>
        <v>401.58810909090909</v>
      </c>
      <c r="M176" s="83" t="s">
        <v>610</v>
      </c>
      <c r="N176" s="86">
        <f>M212</f>
        <v>11969.789090909091</v>
      </c>
    </row>
    <row r="177" spans="1:14" ht="13.5" x14ac:dyDescent="0.25">
      <c r="A177" s="87"/>
      <c r="B177" s="87"/>
      <c r="C177" s="87"/>
      <c r="D177" s="87"/>
      <c r="E177" s="87"/>
      <c r="F177" s="87"/>
      <c r="G177" s="87"/>
      <c r="J177" s="87"/>
      <c r="K177" s="215" t="s">
        <v>3217</v>
      </c>
      <c r="L177" s="215">
        <f>+F176*presup!$O$5</f>
        <v>26524.081196363637</v>
      </c>
      <c r="M177" s="87"/>
      <c r="N177" s="87"/>
    </row>
    <row r="178" spans="1:14" x14ac:dyDescent="0.2">
      <c r="A178" s="398" t="s">
        <v>919</v>
      </c>
      <c r="B178" s="271"/>
      <c r="C178" s="271"/>
      <c r="D178" s="271"/>
      <c r="E178" s="271"/>
      <c r="F178" s="271"/>
      <c r="G178" s="271"/>
      <c r="H178" s="271"/>
      <c r="I178" s="271"/>
      <c r="J178" s="271"/>
      <c r="K178" s="271"/>
      <c r="L178" s="271"/>
      <c r="M178" s="271"/>
      <c r="N178" s="273"/>
    </row>
    <row r="179" spans="1:14" x14ac:dyDescent="0.2">
      <c r="A179" s="396" t="s">
        <v>76</v>
      </c>
      <c r="B179" s="271"/>
      <c r="C179" s="271"/>
      <c r="D179" s="271"/>
      <c r="E179" s="271"/>
      <c r="F179" s="271"/>
      <c r="G179" s="273"/>
      <c r="H179" s="88" t="s">
        <v>77</v>
      </c>
      <c r="I179" s="399" t="s">
        <v>920</v>
      </c>
      <c r="J179" s="273"/>
      <c r="K179" s="399" t="s">
        <v>453</v>
      </c>
      <c r="L179" s="273"/>
      <c r="M179" s="399" t="s">
        <v>921</v>
      </c>
      <c r="N179" s="273"/>
    </row>
    <row r="180" spans="1:14" ht="13.5" x14ac:dyDescent="0.2">
      <c r="A180" s="400"/>
      <c r="B180" s="271"/>
      <c r="C180" s="271"/>
      <c r="D180" s="271"/>
      <c r="E180" s="271"/>
      <c r="F180" s="271"/>
      <c r="G180" s="273"/>
      <c r="H180" s="29" t="str">
        <f>IF(A180="","",VLOOKUP(A180,AA_Materiales,7,FALSE))</f>
        <v/>
      </c>
      <c r="I180" s="394" t="str">
        <f>IF(A180="","",VLOOKUP(A180,AA_Materiales,8,FALSE))</f>
        <v/>
      </c>
      <c r="J180" s="273"/>
      <c r="K180" s="395"/>
      <c r="L180" s="273"/>
      <c r="M180" s="394" t="str">
        <f t="shared" ref="M180:M184" si="24">IF(A180="","",I180*K180)</f>
        <v/>
      </c>
      <c r="N180" s="273"/>
    </row>
    <row r="181" spans="1:14" ht="13.5" x14ac:dyDescent="0.2">
      <c r="A181" s="400"/>
      <c r="B181" s="271"/>
      <c r="C181" s="271"/>
      <c r="D181" s="271"/>
      <c r="E181" s="271"/>
      <c r="F181" s="271"/>
      <c r="G181" s="273"/>
      <c r="H181" s="29" t="str">
        <f>IF(A181="","",VLOOKUP(A181,AA_Materiales,7,FALSE))</f>
        <v/>
      </c>
      <c r="I181" s="394" t="str">
        <f>IF(A181="","",VLOOKUP(A181,AA_Materiales,8,FALSE))</f>
        <v/>
      </c>
      <c r="J181" s="273"/>
      <c r="K181" s="395"/>
      <c r="L181" s="273"/>
      <c r="M181" s="394" t="str">
        <f t="shared" si="24"/>
        <v/>
      </c>
      <c r="N181" s="273"/>
    </row>
    <row r="182" spans="1:14" ht="13.5" x14ac:dyDescent="0.2">
      <c r="A182" s="400"/>
      <c r="B182" s="271"/>
      <c r="C182" s="271"/>
      <c r="D182" s="271"/>
      <c r="E182" s="271"/>
      <c r="F182" s="271"/>
      <c r="G182" s="273"/>
      <c r="H182" s="29" t="str">
        <f>IF(A182="","",VLOOKUP(A182,AA_Materiales,7,FALSE))</f>
        <v/>
      </c>
      <c r="I182" s="394" t="str">
        <f>IF(A182="","",VLOOKUP(A182,AA_Materiales,8,FALSE))</f>
        <v/>
      </c>
      <c r="J182" s="273"/>
      <c r="K182" s="395"/>
      <c r="L182" s="273"/>
      <c r="M182" s="394" t="str">
        <f t="shared" si="24"/>
        <v/>
      </c>
      <c r="N182" s="273"/>
    </row>
    <row r="183" spans="1:14" ht="13.5" x14ac:dyDescent="0.2">
      <c r="A183" s="400"/>
      <c r="B183" s="271"/>
      <c r="C183" s="271"/>
      <c r="D183" s="271"/>
      <c r="E183" s="271"/>
      <c r="F183" s="271"/>
      <c r="G183" s="273"/>
      <c r="H183" s="29" t="str">
        <f>IF(A183="","",VLOOKUP(A183,AA_Materiales,7,FALSE))</f>
        <v/>
      </c>
      <c r="I183" s="394" t="str">
        <f>IF(A183="","",VLOOKUP(A183,AA_Materiales,8,FALSE))</f>
        <v/>
      </c>
      <c r="J183" s="273"/>
      <c r="K183" s="395"/>
      <c r="L183" s="273"/>
      <c r="M183" s="394" t="str">
        <f t="shared" si="24"/>
        <v/>
      </c>
      <c r="N183" s="273"/>
    </row>
    <row r="184" spans="1:14" ht="13.5" x14ac:dyDescent="0.2">
      <c r="A184" s="400"/>
      <c r="B184" s="271"/>
      <c r="C184" s="271"/>
      <c r="D184" s="271"/>
      <c r="E184" s="271"/>
      <c r="F184" s="271"/>
      <c r="G184" s="273"/>
      <c r="H184" s="29" t="str">
        <f>IF(A184="","",VLOOKUP(A184,AA_Materiales,7,FALSE))</f>
        <v/>
      </c>
      <c r="I184" s="394" t="str">
        <f>IF(A184="","",VLOOKUP(A184,AA_Materiales,8,FALSE))</f>
        <v/>
      </c>
      <c r="J184" s="273"/>
      <c r="K184" s="395"/>
      <c r="L184" s="273"/>
      <c r="M184" s="394" t="str">
        <f t="shared" si="24"/>
        <v/>
      </c>
      <c r="N184" s="273"/>
    </row>
    <row r="185" spans="1:14" ht="13.5" x14ac:dyDescent="0.25">
      <c r="A185" s="4"/>
      <c r="B185" s="4"/>
      <c r="C185" s="4"/>
      <c r="D185" s="4"/>
      <c r="E185" s="4"/>
      <c r="F185" s="4"/>
      <c r="G185" s="4"/>
      <c r="H185" s="4"/>
      <c r="I185" s="4"/>
      <c r="J185" s="4"/>
      <c r="K185" s="396" t="s">
        <v>444</v>
      </c>
      <c r="L185" s="273"/>
      <c r="M185" s="394">
        <f>SUM(M180:N184)</f>
        <v>0</v>
      </c>
      <c r="N185" s="273"/>
    </row>
    <row r="186" spans="1:14" ht="13.5" x14ac:dyDescent="0.25">
      <c r="A186" s="4"/>
      <c r="B186" s="4"/>
      <c r="C186" s="4"/>
      <c r="D186" s="4"/>
      <c r="E186" s="4"/>
      <c r="F186" s="4"/>
      <c r="G186" s="4"/>
      <c r="H186" s="4"/>
      <c r="I186" s="4"/>
      <c r="J186" s="4"/>
      <c r="K186" s="4"/>
      <c r="L186" s="4"/>
      <c r="M186" s="4"/>
      <c r="N186" s="4"/>
    </row>
    <row r="187" spans="1:14" x14ac:dyDescent="0.2">
      <c r="A187" s="398" t="s">
        <v>926</v>
      </c>
      <c r="B187" s="271"/>
      <c r="C187" s="271"/>
      <c r="D187" s="271"/>
      <c r="E187" s="271"/>
      <c r="F187" s="271"/>
      <c r="G187" s="271"/>
      <c r="H187" s="271"/>
      <c r="I187" s="271"/>
      <c r="J187" s="271"/>
      <c r="K187" s="271"/>
      <c r="L187" s="271"/>
      <c r="M187" s="271"/>
      <c r="N187" s="273"/>
    </row>
    <row r="188" spans="1:14" x14ac:dyDescent="0.2">
      <c r="A188" s="396" t="s">
        <v>76</v>
      </c>
      <c r="B188" s="271"/>
      <c r="C188" s="271"/>
      <c r="D188" s="271"/>
      <c r="E188" s="271"/>
      <c r="F188" s="271"/>
      <c r="G188" s="273"/>
      <c r="H188" s="88" t="s">
        <v>77</v>
      </c>
      <c r="I188" s="399" t="s">
        <v>920</v>
      </c>
      <c r="J188" s="273"/>
      <c r="K188" s="399" t="s">
        <v>453</v>
      </c>
      <c r="L188" s="273"/>
      <c r="M188" s="399" t="s">
        <v>921</v>
      </c>
      <c r="N188" s="273"/>
    </row>
    <row r="189" spans="1:14" ht="13.5" x14ac:dyDescent="0.2">
      <c r="A189" s="400" t="s">
        <v>927</v>
      </c>
      <c r="B189" s="271"/>
      <c r="C189" s="271"/>
      <c r="D189" s="271"/>
      <c r="E189" s="271"/>
      <c r="F189" s="271"/>
      <c r="G189" s="273"/>
      <c r="H189" s="29" t="str">
        <f>IF(A189="","",VLOOKUP(A189,AA_Equipos,7,FALSE))</f>
        <v>% M.O.</v>
      </c>
      <c r="I189" s="394">
        <f>M212</f>
        <v>11969.789090909091</v>
      </c>
      <c r="J189" s="273"/>
      <c r="K189" s="404">
        <v>0.05</v>
      </c>
      <c r="L189" s="273"/>
      <c r="M189" s="394">
        <f t="shared" ref="M189:M193" si="25">IF(A189="","",I189*K189)</f>
        <v>598.48945454545458</v>
      </c>
      <c r="N189" s="273"/>
    </row>
    <row r="190" spans="1:14" ht="13.5" x14ac:dyDescent="0.2">
      <c r="A190" s="403" t="s">
        <v>952</v>
      </c>
      <c r="B190" s="271"/>
      <c r="C190" s="271"/>
      <c r="D190" s="271"/>
      <c r="E190" s="271"/>
      <c r="F190" s="271"/>
      <c r="G190" s="273"/>
      <c r="H190" s="29" t="str">
        <f>IF(A190="","",VLOOKUP(A190,AA_Equipos,7,FALSE))</f>
        <v>Dia</v>
      </c>
      <c r="I190" s="394">
        <f>IF(A190="","",VLOOKUP(A190,AA_Equipos,8,FALSE))</f>
        <v>81766</v>
      </c>
      <c r="J190" s="273"/>
      <c r="K190" s="402">
        <v>9.0909090909090912E-2</v>
      </c>
      <c r="L190" s="273"/>
      <c r="M190" s="394">
        <f t="shared" si="25"/>
        <v>7433.272727272727</v>
      </c>
      <c r="N190" s="273"/>
    </row>
    <row r="191" spans="1:14" ht="13.5" x14ac:dyDescent="0.2">
      <c r="A191" s="400"/>
      <c r="B191" s="271"/>
      <c r="C191" s="271"/>
      <c r="D191" s="271"/>
      <c r="E191" s="271"/>
      <c r="F191" s="271"/>
      <c r="G191" s="273"/>
      <c r="H191" s="29" t="str">
        <f>IF(A191="","",VLOOKUP(A191,AA_Equipos,7,FALSE))</f>
        <v/>
      </c>
      <c r="I191" s="394" t="str">
        <f>IF(A191="","",VLOOKUP(A191,AA_Equipos,8,FALSE))</f>
        <v/>
      </c>
      <c r="J191" s="273"/>
      <c r="K191" s="401"/>
      <c r="L191" s="273"/>
      <c r="M191" s="394" t="str">
        <f t="shared" si="25"/>
        <v/>
      </c>
      <c r="N191" s="273"/>
    </row>
    <row r="192" spans="1:14" ht="13.5" x14ac:dyDescent="0.2">
      <c r="A192" s="400"/>
      <c r="B192" s="271"/>
      <c r="C192" s="271"/>
      <c r="D192" s="271"/>
      <c r="E192" s="271"/>
      <c r="F192" s="271"/>
      <c r="G192" s="273"/>
      <c r="H192" s="29" t="str">
        <f>IF(A192="","",VLOOKUP(A192,AA_Equipos,7,FALSE))</f>
        <v/>
      </c>
      <c r="I192" s="394" t="str">
        <f>IF(A192="","",VLOOKUP(A192,AA_Equipos,8,FALSE))</f>
        <v/>
      </c>
      <c r="J192" s="273"/>
      <c r="K192" s="395"/>
      <c r="L192" s="273"/>
      <c r="M192" s="394" t="str">
        <f t="shared" si="25"/>
        <v/>
      </c>
      <c r="N192" s="273"/>
    </row>
    <row r="193" spans="1:14" ht="13.5" x14ac:dyDescent="0.2">
      <c r="A193" s="400"/>
      <c r="B193" s="271"/>
      <c r="C193" s="271"/>
      <c r="D193" s="271"/>
      <c r="E193" s="271"/>
      <c r="F193" s="271"/>
      <c r="G193" s="273"/>
      <c r="H193" s="29" t="str">
        <f>IF(A193="","",VLOOKUP(A193,AA_Equipos,7,FALSE))</f>
        <v/>
      </c>
      <c r="I193" s="394" t="str">
        <f>IF(A193="","",VLOOKUP(A193,AA_Equipos,8,FALSE))</f>
        <v/>
      </c>
      <c r="J193" s="273"/>
      <c r="K193" s="395"/>
      <c r="L193" s="273"/>
      <c r="M193" s="394" t="str">
        <f t="shared" si="25"/>
        <v/>
      </c>
      <c r="N193" s="273"/>
    </row>
    <row r="194" spans="1:14" ht="13.5" x14ac:dyDescent="0.25">
      <c r="A194" s="4"/>
      <c r="B194" s="4"/>
      <c r="C194" s="4"/>
      <c r="D194" s="4"/>
      <c r="E194" s="4"/>
      <c r="F194" s="4"/>
      <c r="G194" s="4"/>
      <c r="H194" s="4"/>
      <c r="I194" s="4"/>
      <c r="J194" s="4"/>
      <c r="K194" s="396" t="s">
        <v>444</v>
      </c>
      <c r="L194" s="273"/>
      <c r="M194" s="394">
        <f>SUM(M189:N193)</f>
        <v>8031.7621818181815</v>
      </c>
      <c r="N194" s="273"/>
    </row>
    <row r="195" spans="1:14" ht="13.5" x14ac:dyDescent="0.25">
      <c r="A195" s="4"/>
      <c r="B195" s="4"/>
      <c r="C195" s="4"/>
      <c r="D195" s="4"/>
      <c r="E195" s="4"/>
      <c r="F195" s="4"/>
      <c r="G195" s="4"/>
      <c r="H195" s="4"/>
      <c r="I195" s="4"/>
      <c r="J195" s="4"/>
      <c r="K195" s="4"/>
      <c r="L195" s="4"/>
      <c r="M195" s="4"/>
      <c r="N195" s="4"/>
    </row>
    <row r="196" spans="1:14" x14ac:dyDescent="0.2">
      <c r="A196" s="398" t="s">
        <v>929</v>
      </c>
      <c r="B196" s="271"/>
      <c r="C196" s="271"/>
      <c r="D196" s="271"/>
      <c r="E196" s="271"/>
      <c r="F196" s="271"/>
      <c r="G196" s="271"/>
      <c r="H196" s="271"/>
      <c r="I196" s="271"/>
      <c r="J196" s="271"/>
      <c r="K196" s="271"/>
      <c r="L196" s="271"/>
      <c r="M196" s="271"/>
      <c r="N196" s="273"/>
    </row>
    <row r="197" spans="1:14" x14ac:dyDescent="0.2">
      <c r="A197" s="396" t="s">
        <v>76</v>
      </c>
      <c r="B197" s="271"/>
      <c r="C197" s="271"/>
      <c r="D197" s="271"/>
      <c r="E197" s="271"/>
      <c r="F197" s="271"/>
      <c r="G197" s="273"/>
      <c r="H197" s="88" t="s">
        <v>77</v>
      </c>
      <c r="I197" s="399" t="s">
        <v>920</v>
      </c>
      <c r="J197" s="273"/>
      <c r="K197" s="399" t="s">
        <v>453</v>
      </c>
      <c r="L197" s="273"/>
      <c r="M197" s="399" t="s">
        <v>921</v>
      </c>
      <c r="N197" s="273"/>
    </row>
    <row r="198" spans="1:14" ht="13.5" x14ac:dyDescent="0.2">
      <c r="A198" s="400" t="s">
        <v>943</v>
      </c>
      <c r="B198" s="271"/>
      <c r="C198" s="271"/>
      <c r="D198" s="271"/>
      <c r="E198" s="271"/>
      <c r="F198" s="271"/>
      <c r="G198" s="273"/>
      <c r="H198" s="29" t="s">
        <v>944</v>
      </c>
      <c r="I198" s="394">
        <f>+M194</f>
        <v>8031.7621818181815</v>
      </c>
      <c r="J198" s="273"/>
      <c r="K198" s="404">
        <v>0.05</v>
      </c>
      <c r="L198" s="273"/>
      <c r="M198" s="394">
        <f t="shared" ref="M198:M202" si="26">IF(A198="","",I198*K198)</f>
        <v>401.58810909090909</v>
      </c>
      <c r="N198" s="273"/>
    </row>
    <row r="199" spans="1:14" ht="13.5" x14ac:dyDescent="0.2">
      <c r="A199" s="403"/>
      <c r="B199" s="271"/>
      <c r="C199" s="271"/>
      <c r="D199" s="271"/>
      <c r="E199" s="271"/>
      <c r="F199" s="271"/>
      <c r="G199" s="273"/>
      <c r="H199" s="29"/>
      <c r="I199" s="394"/>
      <c r="J199" s="273"/>
      <c r="K199" s="404"/>
      <c r="L199" s="273"/>
      <c r="M199" s="394" t="str">
        <f t="shared" si="26"/>
        <v/>
      </c>
      <c r="N199" s="273"/>
    </row>
    <row r="200" spans="1:14" ht="13.5" x14ac:dyDescent="0.2">
      <c r="A200" s="400"/>
      <c r="B200" s="271"/>
      <c r="C200" s="271"/>
      <c r="D200" s="271"/>
      <c r="E200" s="271"/>
      <c r="F200" s="271"/>
      <c r="G200" s="273"/>
      <c r="H200" s="29"/>
      <c r="I200" s="394"/>
      <c r="J200" s="273"/>
      <c r="K200" s="395"/>
      <c r="L200" s="273"/>
      <c r="M200" s="394" t="str">
        <f t="shared" si="26"/>
        <v/>
      </c>
      <c r="N200" s="273"/>
    </row>
    <row r="201" spans="1:14" ht="13.5" x14ac:dyDescent="0.2">
      <c r="A201" s="400"/>
      <c r="B201" s="271"/>
      <c r="C201" s="271"/>
      <c r="D201" s="271"/>
      <c r="E201" s="271"/>
      <c r="F201" s="271"/>
      <c r="G201" s="273"/>
      <c r="H201" s="29"/>
      <c r="I201" s="394"/>
      <c r="J201" s="273"/>
      <c r="K201" s="395"/>
      <c r="L201" s="273"/>
      <c r="M201" s="394" t="str">
        <f t="shared" si="26"/>
        <v/>
      </c>
      <c r="N201" s="273"/>
    </row>
    <row r="202" spans="1:14" ht="13.5" x14ac:dyDescent="0.2">
      <c r="A202" s="400"/>
      <c r="B202" s="271"/>
      <c r="C202" s="271"/>
      <c r="D202" s="271"/>
      <c r="E202" s="271"/>
      <c r="F202" s="271"/>
      <c r="G202" s="273"/>
      <c r="H202" s="29"/>
      <c r="I202" s="394"/>
      <c r="J202" s="273"/>
      <c r="K202" s="395"/>
      <c r="L202" s="273"/>
      <c r="M202" s="394" t="str">
        <f t="shared" si="26"/>
        <v/>
      </c>
      <c r="N202" s="273"/>
    </row>
    <row r="203" spans="1:14" ht="13.5" x14ac:dyDescent="0.25">
      <c r="A203" s="4"/>
      <c r="B203" s="4"/>
      <c r="C203" s="4"/>
      <c r="D203" s="4"/>
      <c r="E203" s="4"/>
      <c r="F203" s="4"/>
      <c r="G203" s="4"/>
      <c r="H203" s="4"/>
      <c r="I203" s="4"/>
      <c r="J203" s="4"/>
      <c r="K203" s="396" t="s">
        <v>444</v>
      </c>
      <c r="L203" s="273"/>
      <c r="M203" s="394">
        <f>SUM(M198:N202)</f>
        <v>401.58810909090909</v>
      </c>
      <c r="N203" s="273"/>
    </row>
    <row r="204" spans="1:14" ht="13.5" x14ac:dyDescent="0.25">
      <c r="A204" s="4"/>
      <c r="B204" s="4"/>
      <c r="C204" s="4"/>
      <c r="D204" s="4"/>
      <c r="E204" s="4"/>
      <c r="F204" s="4"/>
      <c r="G204" s="4"/>
      <c r="H204" s="4"/>
      <c r="I204" s="4"/>
      <c r="J204" s="4"/>
      <c r="K204" s="4"/>
      <c r="L204" s="4"/>
      <c r="M204" s="4"/>
      <c r="N204" s="4"/>
    </row>
    <row r="205" spans="1:14" x14ac:dyDescent="0.2">
      <c r="A205" s="398" t="s">
        <v>931</v>
      </c>
      <c r="B205" s="271"/>
      <c r="C205" s="271"/>
      <c r="D205" s="271"/>
      <c r="E205" s="271"/>
      <c r="F205" s="271"/>
      <c r="G205" s="271"/>
      <c r="H205" s="271"/>
      <c r="I205" s="271"/>
      <c r="J205" s="271"/>
      <c r="K205" s="271"/>
      <c r="L205" s="271"/>
      <c r="M205" s="271"/>
      <c r="N205" s="273"/>
    </row>
    <row r="206" spans="1:14" x14ac:dyDescent="0.2">
      <c r="A206" s="396" t="s">
        <v>76</v>
      </c>
      <c r="B206" s="271"/>
      <c r="C206" s="271"/>
      <c r="D206" s="271"/>
      <c r="E206" s="271"/>
      <c r="F206" s="271"/>
      <c r="G206" s="273"/>
      <c r="H206" s="88" t="s">
        <v>77</v>
      </c>
      <c r="I206" s="399" t="s">
        <v>920</v>
      </c>
      <c r="J206" s="273"/>
      <c r="K206" s="90" t="s">
        <v>514</v>
      </c>
      <c r="L206" s="91" t="s">
        <v>932</v>
      </c>
      <c r="M206" s="399" t="s">
        <v>921</v>
      </c>
      <c r="N206" s="273"/>
    </row>
    <row r="207" spans="1:14" ht="13.5" x14ac:dyDescent="0.25">
      <c r="A207" s="393" t="s">
        <v>936</v>
      </c>
      <c r="B207" s="271"/>
      <c r="C207" s="271"/>
      <c r="D207" s="271"/>
      <c r="E207" s="271"/>
      <c r="F207" s="271"/>
      <c r="G207" s="273"/>
      <c r="H207" s="29" t="str">
        <f>IF(A207="","",VLOOKUP(A207,AA_Cuadrillas,4,FALSE))</f>
        <v>Cuadrilla</v>
      </c>
      <c r="I207" s="394">
        <f>IF(A207="","",VLOOKUP(A207,AA_Cuadrillas,5,FALSE))</f>
        <v>70036</v>
      </c>
      <c r="J207" s="273"/>
      <c r="K207" s="9">
        <f>IF(A207="","",F.P!$I$2)</f>
        <v>1.88</v>
      </c>
      <c r="L207" s="93">
        <v>9.0909090909090912E-2</v>
      </c>
      <c r="M207" s="394">
        <f t="shared" ref="M207:M211" si="27">IF(A207="","",I207*K207*L207)</f>
        <v>11969.789090909091</v>
      </c>
      <c r="N207" s="273"/>
    </row>
    <row r="208" spans="1:14" ht="13.5" x14ac:dyDescent="0.25">
      <c r="A208" s="393"/>
      <c r="B208" s="271"/>
      <c r="C208" s="271"/>
      <c r="D208" s="271"/>
      <c r="E208" s="271"/>
      <c r="F208" s="271"/>
      <c r="G208" s="273"/>
      <c r="H208" s="29" t="str">
        <f>IF(A208="","",VLOOKUP(A208,AA_Cuadrillas,4,FALSE))</f>
        <v/>
      </c>
      <c r="I208" s="394" t="str">
        <f>IF(A208="","",VLOOKUP(A208,AA_Cuadrillas,5,FALSE))</f>
        <v/>
      </c>
      <c r="J208" s="273"/>
      <c r="K208" s="9" t="str">
        <f>IF(A208="","",F.P!$I$2)</f>
        <v/>
      </c>
      <c r="L208" s="9"/>
      <c r="M208" s="394" t="str">
        <f t="shared" si="27"/>
        <v/>
      </c>
      <c r="N208" s="273"/>
    </row>
    <row r="209" spans="1:14" ht="13.5" x14ac:dyDescent="0.25">
      <c r="A209" s="393"/>
      <c r="B209" s="271"/>
      <c r="C209" s="271"/>
      <c r="D209" s="271"/>
      <c r="E209" s="271"/>
      <c r="F209" s="271"/>
      <c r="G209" s="273"/>
      <c r="H209" s="29" t="str">
        <f>IF(A209="","",VLOOKUP(A209,AA_Cuadrillas,4,FALSE))</f>
        <v/>
      </c>
      <c r="I209" s="394" t="str">
        <f>IF(A209="","",VLOOKUP(A209,AA_Cuadrillas,5,FALSE))</f>
        <v/>
      </c>
      <c r="J209" s="273"/>
      <c r="K209" s="9" t="str">
        <f>IF(A209="","",F.P!$I$2)</f>
        <v/>
      </c>
      <c r="L209" s="37"/>
      <c r="M209" s="394" t="str">
        <f t="shared" si="27"/>
        <v/>
      </c>
      <c r="N209" s="273"/>
    </row>
    <row r="210" spans="1:14" ht="13.5" x14ac:dyDescent="0.25">
      <c r="A210" s="393"/>
      <c r="B210" s="271"/>
      <c r="C210" s="271"/>
      <c r="D210" s="271"/>
      <c r="E210" s="271"/>
      <c r="F210" s="271"/>
      <c r="G210" s="273"/>
      <c r="H210" s="29" t="str">
        <f>IF(A210="","",VLOOKUP(A210,AA_Cuadrillas,4,FALSE))</f>
        <v/>
      </c>
      <c r="I210" s="394" t="str">
        <f>IF(A210="","",VLOOKUP(A210,AA_Cuadrillas,5,FALSE))</f>
        <v/>
      </c>
      <c r="J210" s="273"/>
      <c r="K210" s="9" t="str">
        <f>IF(A210="","",F.P!$I$2)</f>
        <v/>
      </c>
      <c r="L210" s="37"/>
      <c r="M210" s="394" t="str">
        <f t="shared" si="27"/>
        <v/>
      </c>
      <c r="N210" s="273"/>
    </row>
    <row r="211" spans="1:14" ht="13.5" x14ac:dyDescent="0.25">
      <c r="A211" s="393"/>
      <c r="B211" s="271"/>
      <c r="C211" s="271"/>
      <c r="D211" s="271"/>
      <c r="E211" s="271"/>
      <c r="F211" s="271"/>
      <c r="G211" s="273"/>
      <c r="H211" s="29" t="str">
        <f>IF(A211="","",VLOOKUP(A211,AA_Cuadrillas,4,FALSE))</f>
        <v/>
      </c>
      <c r="I211" s="394" t="str">
        <f>IF(A211="","",VLOOKUP(A211,AA_Cuadrillas,5,FALSE))</f>
        <v/>
      </c>
      <c r="J211" s="273"/>
      <c r="K211" s="9" t="str">
        <f>IF(A211="","",F.P!$I$2)</f>
        <v/>
      </c>
      <c r="L211" s="37"/>
      <c r="M211" s="394" t="str">
        <f t="shared" si="27"/>
        <v/>
      </c>
      <c r="N211" s="273"/>
    </row>
    <row r="212" spans="1:14" ht="13.5" x14ac:dyDescent="0.25">
      <c r="A212" s="4"/>
      <c r="B212" s="4"/>
      <c r="C212" s="4"/>
      <c r="D212" s="4"/>
      <c r="E212" s="4"/>
      <c r="F212" s="4"/>
      <c r="G212" s="4"/>
      <c r="H212" s="4"/>
      <c r="I212" s="4"/>
      <c r="J212" s="4"/>
      <c r="K212" s="396" t="s">
        <v>444</v>
      </c>
      <c r="L212" s="273"/>
      <c r="M212" s="394">
        <f>SUM(M207:N211)</f>
        <v>11969.789090909091</v>
      </c>
      <c r="N212" s="273"/>
    </row>
    <row r="215" spans="1:14" x14ac:dyDescent="0.2">
      <c r="A215" s="407" t="s">
        <v>96</v>
      </c>
      <c r="B215" s="275"/>
      <c r="C215" s="275"/>
      <c r="D215" s="275"/>
      <c r="E215" s="275"/>
      <c r="F215" s="275"/>
      <c r="G215" s="275"/>
      <c r="H215" s="275"/>
      <c r="I215" s="275"/>
      <c r="J215" s="275"/>
      <c r="K215" s="275"/>
      <c r="L215" s="275"/>
      <c r="M215" s="275"/>
      <c r="N215" s="276"/>
    </row>
    <row r="216" spans="1:14" x14ac:dyDescent="0.2">
      <c r="A216" s="277"/>
      <c r="B216" s="278"/>
      <c r="C216" s="278"/>
      <c r="D216" s="278"/>
      <c r="E216" s="278"/>
      <c r="F216" s="278"/>
      <c r="G216" s="278"/>
      <c r="H216" s="278"/>
      <c r="I216" s="278"/>
      <c r="J216" s="278"/>
      <c r="K216" s="278"/>
      <c r="L216" s="278"/>
      <c r="M216" s="278"/>
      <c r="N216" s="279"/>
    </row>
    <row r="217" spans="1:14" ht="13.5" x14ac:dyDescent="0.2">
      <c r="A217" s="75"/>
      <c r="B217" s="75"/>
      <c r="C217" s="75"/>
      <c r="D217" s="75"/>
      <c r="E217" s="75"/>
      <c r="F217" s="75"/>
      <c r="G217" s="75"/>
      <c r="H217" s="75"/>
      <c r="I217" s="75"/>
      <c r="J217" s="75"/>
      <c r="K217" s="75"/>
      <c r="L217" s="75"/>
      <c r="M217" s="75"/>
      <c r="N217" s="75"/>
    </row>
    <row r="218" spans="1:14" ht="14.25" x14ac:dyDescent="0.3">
      <c r="A218" s="79" t="s">
        <v>622</v>
      </c>
      <c r="B218" s="80" t="str">
        <f>A215</f>
        <v>CONCRETO PARA SOLADO DE 2000 PSI A TODO COSTO (140 KG/CM2)</v>
      </c>
      <c r="C218" s="81" t="s">
        <v>916</v>
      </c>
      <c r="D218" s="82" t="s">
        <v>258</v>
      </c>
      <c r="E218" s="83" t="s">
        <v>445</v>
      </c>
      <c r="F218" s="244">
        <f>(H218+J218+L218+N218)</f>
        <v>619876.4246790678</v>
      </c>
      <c r="G218" s="83" t="s">
        <v>607</v>
      </c>
      <c r="H218" s="86">
        <f>M236</f>
        <v>32083.749777777775</v>
      </c>
      <c r="I218" s="83" t="s">
        <v>918</v>
      </c>
      <c r="J218" s="86">
        <f>M227</f>
        <v>309400</v>
      </c>
      <c r="K218" s="83" t="s">
        <v>609</v>
      </c>
      <c r="L218" s="86">
        <f>M245</f>
        <v>112588.79045684561</v>
      </c>
      <c r="M218" s="83" t="s">
        <v>610</v>
      </c>
      <c r="N218" s="86">
        <f>M254</f>
        <v>165803.88444444444</v>
      </c>
    </row>
    <row r="219" spans="1:14" ht="13.5" x14ac:dyDescent="0.25">
      <c r="A219" s="87"/>
      <c r="B219" s="87"/>
      <c r="C219" s="87"/>
      <c r="D219" s="87"/>
      <c r="E219" s="87"/>
      <c r="F219" s="87"/>
      <c r="G219" s="87"/>
      <c r="J219" s="87"/>
      <c r="K219" s="215" t="s">
        <v>3217</v>
      </c>
      <c r="L219" s="215"/>
      <c r="M219" s="87"/>
      <c r="N219" s="87"/>
    </row>
    <row r="220" spans="1:14" x14ac:dyDescent="0.2">
      <c r="A220" s="398" t="s">
        <v>919</v>
      </c>
      <c r="B220" s="271"/>
      <c r="C220" s="271"/>
      <c r="D220" s="271"/>
      <c r="E220" s="271"/>
      <c r="F220" s="271"/>
      <c r="G220" s="271"/>
      <c r="H220" s="271"/>
      <c r="I220" s="271"/>
      <c r="J220" s="271"/>
      <c r="K220" s="271"/>
      <c r="L220" s="271"/>
      <c r="M220" s="271"/>
      <c r="N220" s="273"/>
    </row>
    <row r="221" spans="1:14" x14ac:dyDescent="0.2">
      <c r="A221" s="396" t="s">
        <v>76</v>
      </c>
      <c r="B221" s="271"/>
      <c r="C221" s="271"/>
      <c r="D221" s="271"/>
      <c r="E221" s="271"/>
      <c r="F221" s="271"/>
      <c r="G221" s="273"/>
      <c r="H221" s="88" t="s">
        <v>77</v>
      </c>
      <c r="I221" s="399" t="s">
        <v>920</v>
      </c>
      <c r="J221" s="273"/>
      <c r="K221" s="399" t="s">
        <v>453</v>
      </c>
      <c r="L221" s="273"/>
      <c r="M221" s="399" t="s">
        <v>921</v>
      </c>
      <c r="N221" s="273"/>
    </row>
    <row r="222" spans="1:14" ht="13.5" x14ac:dyDescent="0.2">
      <c r="A222" s="400" t="s">
        <v>953</v>
      </c>
      <c r="B222" s="271"/>
      <c r="C222" s="271"/>
      <c r="D222" s="271"/>
      <c r="E222" s="271"/>
      <c r="F222" s="271"/>
      <c r="G222" s="273"/>
      <c r="H222" s="29" t="str">
        <f>IF(A222="","",VLOOKUP(A222,AA_Materiales,7,FALSE))</f>
        <v>Kg</v>
      </c>
      <c r="I222" s="394">
        <f>IF(A222="","",VLOOKUP(A222,AA_Materiales,8,FALSE))</f>
        <v>800</v>
      </c>
      <c r="J222" s="273"/>
      <c r="K222" s="395">
        <v>230</v>
      </c>
      <c r="L222" s="273"/>
      <c r="M222" s="394">
        <f t="shared" ref="M222:M226" si="28">IF(A222="","",I222*K222)</f>
        <v>184000</v>
      </c>
      <c r="N222" s="273"/>
    </row>
    <row r="223" spans="1:14" ht="13.5" x14ac:dyDescent="0.2">
      <c r="A223" s="400" t="s">
        <v>954</v>
      </c>
      <c r="B223" s="271"/>
      <c r="C223" s="271"/>
      <c r="D223" s="271"/>
      <c r="E223" s="271"/>
      <c r="F223" s="271"/>
      <c r="G223" s="273"/>
      <c r="H223" s="29" t="str">
        <f>IF(A223="","",VLOOKUP(A223,AA_Materiales,7,FALSE))</f>
        <v>m3</v>
      </c>
      <c r="I223" s="394">
        <f>IF(A223="","",VLOOKUP(A223,AA_Materiales,8,FALSE))</f>
        <v>83000</v>
      </c>
      <c r="J223" s="273"/>
      <c r="K223" s="395">
        <v>0.6</v>
      </c>
      <c r="L223" s="273"/>
      <c r="M223" s="394">
        <f t="shared" si="28"/>
        <v>49800</v>
      </c>
      <c r="N223" s="273"/>
    </row>
    <row r="224" spans="1:14" ht="13.5" x14ac:dyDescent="0.2">
      <c r="A224" s="400" t="s">
        <v>955</v>
      </c>
      <c r="B224" s="271"/>
      <c r="C224" s="271"/>
      <c r="D224" s="271"/>
      <c r="E224" s="271"/>
      <c r="F224" s="271"/>
      <c r="G224" s="273"/>
      <c r="H224" s="29" t="str">
        <f>IF(A224="","",VLOOKUP(A224,AA_Materiales,7,FALSE))</f>
        <v>m3</v>
      </c>
      <c r="I224" s="394">
        <f>IF(A224="","",VLOOKUP(A224,AA_Materiales,8,FALSE))</f>
        <v>90000</v>
      </c>
      <c r="J224" s="273"/>
      <c r="K224" s="395">
        <v>0.8</v>
      </c>
      <c r="L224" s="273"/>
      <c r="M224" s="394">
        <f t="shared" si="28"/>
        <v>72000</v>
      </c>
      <c r="N224" s="273"/>
    </row>
    <row r="225" spans="1:14" ht="13.5" x14ac:dyDescent="0.2">
      <c r="A225" s="400" t="s">
        <v>956</v>
      </c>
      <c r="B225" s="271"/>
      <c r="C225" s="271"/>
      <c r="D225" s="271"/>
      <c r="E225" s="271"/>
      <c r="F225" s="271"/>
      <c r="G225" s="273"/>
      <c r="H225" s="29" t="str">
        <f>IF(A225="","",VLOOKUP(A225,AA_Materiales,7,FALSE))</f>
        <v>Lt</v>
      </c>
      <c r="I225" s="394">
        <f>IF(A225="","",VLOOKUP(A225,AA_Materiales,8,FALSE))</f>
        <v>20</v>
      </c>
      <c r="J225" s="273"/>
      <c r="K225" s="395">
        <v>180</v>
      </c>
      <c r="L225" s="273"/>
      <c r="M225" s="394">
        <f t="shared" si="28"/>
        <v>3600</v>
      </c>
      <c r="N225" s="273"/>
    </row>
    <row r="226" spans="1:14" ht="13.5" x14ac:dyDescent="0.2">
      <c r="A226" s="400"/>
      <c r="B226" s="271"/>
      <c r="C226" s="271"/>
      <c r="D226" s="271"/>
      <c r="E226" s="271"/>
      <c r="F226" s="271"/>
      <c r="G226" s="273"/>
      <c r="H226" s="29" t="str">
        <f>IF(A226="","",VLOOKUP(A226,AA_Materiales,7,FALSE))</f>
        <v/>
      </c>
      <c r="I226" s="394" t="str">
        <f>IF(A226="","",VLOOKUP(A226,AA_Materiales,8,FALSE))</f>
        <v/>
      </c>
      <c r="J226" s="273"/>
      <c r="K226" s="395"/>
      <c r="L226" s="273"/>
      <c r="M226" s="394" t="str">
        <f t="shared" si="28"/>
        <v/>
      </c>
      <c r="N226" s="273"/>
    </row>
    <row r="227" spans="1:14" ht="13.5" x14ac:dyDescent="0.25">
      <c r="A227" s="4"/>
      <c r="B227" s="4"/>
      <c r="C227" s="4"/>
      <c r="D227" s="4"/>
      <c r="E227" s="4"/>
      <c r="F227" s="4"/>
      <c r="G227" s="4"/>
      <c r="H227" s="4"/>
      <c r="I227" s="4"/>
      <c r="J227" s="4"/>
      <c r="K227" s="396" t="s">
        <v>444</v>
      </c>
      <c r="L227" s="273"/>
      <c r="M227" s="394">
        <f>SUM(M222:N226)</f>
        <v>309400</v>
      </c>
      <c r="N227" s="273"/>
    </row>
    <row r="228" spans="1:14" ht="13.5" x14ac:dyDescent="0.25">
      <c r="A228" s="4"/>
      <c r="B228" s="4"/>
      <c r="C228" s="4"/>
      <c r="D228" s="4"/>
      <c r="E228" s="4"/>
      <c r="F228" s="4"/>
      <c r="G228" s="4"/>
      <c r="H228" s="4"/>
      <c r="I228" s="4"/>
      <c r="J228" s="4"/>
      <c r="K228" s="4"/>
      <c r="L228" s="4"/>
      <c r="M228" s="4"/>
      <c r="N228" s="4"/>
    </row>
    <row r="229" spans="1:14" x14ac:dyDescent="0.2">
      <c r="A229" s="398" t="s">
        <v>926</v>
      </c>
      <c r="B229" s="271"/>
      <c r="C229" s="271"/>
      <c r="D229" s="271"/>
      <c r="E229" s="271"/>
      <c r="F229" s="271"/>
      <c r="G229" s="271"/>
      <c r="H229" s="271"/>
      <c r="I229" s="271"/>
      <c r="J229" s="271"/>
      <c r="K229" s="271"/>
      <c r="L229" s="271"/>
      <c r="M229" s="271"/>
      <c r="N229" s="273"/>
    </row>
    <row r="230" spans="1:14" x14ac:dyDescent="0.2">
      <c r="A230" s="396" t="s">
        <v>76</v>
      </c>
      <c r="B230" s="271"/>
      <c r="C230" s="271"/>
      <c r="D230" s="271"/>
      <c r="E230" s="271"/>
      <c r="F230" s="271"/>
      <c r="G230" s="273"/>
      <c r="H230" s="88" t="s">
        <v>77</v>
      </c>
      <c r="I230" s="399" t="s">
        <v>920</v>
      </c>
      <c r="J230" s="273"/>
      <c r="K230" s="399" t="s">
        <v>453</v>
      </c>
      <c r="L230" s="273"/>
      <c r="M230" s="399" t="s">
        <v>921</v>
      </c>
      <c r="N230" s="273"/>
    </row>
    <row r="231" spans="1:14" ht="13.5" x14ac:dyDescent="0.2">
      <c r="A231" s="400" t="s">
        <v>927</v>
      </c>
      <c r="B231" s="271"/>
      <c r="C231" s="271"/>
      <c r="D231" s="271"/>
      <c r="E231" s="271"/>
      <c r="F231" s="271"/>
      <c r="G231" s="273"/>
      <c r="H231" s="29" t="str">
        <f>IF(A231="","",VLOOKUP(A231,AA_Equipos,7,FALSE))</f>
        <v>% M.O.</v>
      </c>
      <c r="I231" s="394">
        <f>M254</f>
        <v>165803.88444444444</v>
      </c>
      <c r="J231" s="273"/>
      <c r="K231" s="404">
        <v>0.05</v>
      </c>
      <c r="L231" s="273"/>
      <c r="M231" s="394">
        <f t="shared" ref="M231:M235" si="29">IF(A231="","",I231*K231)</f>
        <v>8290.1942222222224</v>
      </c>
      <c r="N231" s="273"/>
    </row>
    <row r="232" spans="1:14" ht="13.5" x14ac:dyDescent="0.2">
      <c r="A232" s="403" t="s">
        <v>957</v>
      </c>
      <c r="B232" s="271"/>
      <c r="C232" s="271"/>
      <c r="D232" s="271"/>
      <c r="E232" s="271"/>
      <c r="F232" s="271"/>
      <c r="G232" s="273"/>
      <c r="H232" s="29" t="str">
        <f>IF(A232="","",VLOOKUP(A232,AA_Equipos,7,FALSE))</f>
        <v>Dia</v>
      </c>
      <c r="I232" s="394">
        <f>IF(A232="","",VLOOKUP(A232,AA_Equipos,8,FALSE))</f>
        <v>107071</v>
      </c>
      <c r="J232" s="273"/>
      <c r="K232" s="402">
        <f>1/4.5</f>
        <v>0.22222222222222221</v>
      </c>
      <c r="L232" s="273"/>
      <c r="M232" s="394">
        <f t="shared" si="29"/>
        <v>23793.555555555555</v>
      </c>
      <c r="N232" s="273"/>
    </row>
    <row r="233" spans="1:14" ht="13.5" x14ac:dyDescent="0.2">
      <c r="A233" s="400"/>
      <c r="B233" s="271"/>
      <c r="C233" s="271"/>
      <c r="D233" s="271"/>
      <c r="E233" s="271"/>
      <c r="F233" s="271"/>
      <c r="G233" s="273"/>
      <c r="H233" s="29" t="str">
        <f>IF(A233="","",VLOOKUP(A233,AA_Equipos,7,FALSE))</f>
        <v/>
      </c>
      <c r="I233" s="394" t="str">
        <f>IF(A233="","",VLOOKUP(A233,AA_Equipos,8,FALSE))</f>
        <v/>
      </c>
      <c r="J233" s="273"/>
      <c r="K233" s="395"/>
      <c r="L233" s="273"/>
      <c r="M233" s="394" t="str">
        <f t="shared" si="29"/>
        <v/>
      </c>
      <c r="N233" s="273"/>
    </row>
    <row r="234" spans="1:14" ht="13.5" x14ac:dyDescent="0.2">
      <c r="A234" s="400"/>
      <c r="B234" s="271"/>
      <c r="C234" s="271"/>
      <c r="D234" s="271"/>
      <c r="E234" s="271"/>
      <c r="F234" s="271"/>
      <c r="G234" s="273"/>
      <c r="H234" s="29" t="str">
        <f>IF(A234="","",VLOOKUP(A234,AA_Equipos,7,FALSE))</f>
        <v/>
      </c>
      <c r="I234" s="394" t="str">
        <f>IF(A234="","",VLOOKUP(A234,AA_Equipos,8,FALSE))</f>
        <v/>
      </c>
      <c r="J234" s="273"/>
      <c r="K234" s="395"/>
      <c r="L234" s="273"/>
      <c r="M234" s="394" t="str">
        <f t="shared" si="29"/>
        <v/>
      </c>
      <c r="N234" s="273"/>
    </row>
    <row r="235" spans="1:14" ht="13.5" x14ac:dyDescent="0.2">
      <c r="A235" s="400"/>
      <c r="B235" s="271"/>
      <c r="C235" s="271"/>
      <c r="D235" s="271"/>
      <c r="E235" s="271"/>
      <c r="F235" s="271"/>
      <c r="G235" s="273"/>
      <c r="H235" s="29" t="str">
        <f>IF(A235="","",VLOOKUP(A235,AA_Equipos,7,FALSE))</f>
        <v/>
      </c>
      <c r="I235" s="394" t="str">
        <f>IF(A235="","",VLOOKUP(A235,AA_Equipos,8,FALSE))</f>
        <v/>
      </c>
      <c r="J235" s="273"/>
      <c r="K235" s="395"/>
      <c r="L235" s="273"/>
      <c r="M235" s="394" t="str">
        <f t="shared" si="29"/>
        <v/>
      </c>
      <c r="N235" s="273"/>
    </row>
    <row r="236" spans="1:14" ht="13.5" x14ac:dyDescent="0.25">
      <c r="A236" s="4"/>
      <c r="B236" s="4"/>
      <c r="C236" s="4"/>
      <c r="D236" s="4"/>
      <c r="E236" s="4"/>
      <c r="F236" s="4"/>
      <c r="G236" s="4"/>
      <c r="H236" s="4"/>
      <c r="I236" s="4"/>
      <c r="J236" s="4"/>
      <c r="K236" s="396" t="s">
        <v>444</v>
      </c>
      <c r="L236" s="273"/>
      <c r="M236" s="394">
        <f>SUM(M231:N235)</f>
        <v>32083.749777777775</v>
      </c>
      <c r="N236" s="273"/>
    </row>
    <row r="237" spans="1:14" ht="13.5" x14ac:dyDescent="0.25">
      <c r="A237" s="4"/>
      <c r="B237" s="4"/>
      <c r="C237" s="4"/>
      <c r="D237" s="4"/>
      <c r="E237" s="4"/>
      <c r="F237" s="4"/>
      <c r="G237" s="4"/>
      <c r="H237" s="4"/>
      <c r="I237" s="4"/>
      <c r="J237" s="4"/>
      <c r="K237" s="4"/>
      <c r="L237" s="4"/>
      <c r="M237" s="4"/>
      <c r="N237" s="4"/>
    </row>
    <row r="238" spans="1:14" x14ac:dyDescent="0.2">
      <c r="A238" s="398" t="s">
        <v>929</v>
      </c>
      <c r="B238" s="271"/>
      <c r="C238" s="271"/>
      <c r="D238" s="271"/>
      <c r="E238" s="271"/>
      <c r="F238" s="271"/>
      <c r="G238" s="271"/>
      <c r="H238" s="271"/>
      <c r="I238" s="271"/>
      <c r="J238" s="271"/>
      <c r="K238" s="271"/>
      <c r="L238" s="271"/>
      <c r="M238" s="271"/>
      <c r="N238" s="273"/>
    </row>
    <row r="239" spans="1:14" x14ac:dyDescent="0.2">
      <c r="A239" s="396" t="s">
        <v>76</v>
      </c>
      <c r="B239" s="271"/>
      <c r="C239" s="271"/>
      <c r="D239" s="271"/>
      <c r="E239" s="271"/>
      <c r="F239" s="271"/>
      <c r="G239" s="273"/>
      <c r="H239" s="88" t="s">
        <v>77</v>
      </c>
      <c r="I239" s="399" t="s">
        <v>920</v>
      </c>
      <c r="J239" s="273"/>
      <c r="K239" s="399" t="s">
        <v>453</v>
      </c>
      <c r="L239" s="273"/>
      <c r="M239" s="399" t="s">
        <v>921</v>
      </c>
      <c r="N239" s="273"/>
    </row>
    <row r="240" spans="1:14" ht="13.5" x14ac:dyDescent="0.2">
      <c r="A240" s="400" t="s">
        <v>958</v>
      </c>
      <c r="B240" s="271"/>
      <c r="C240" s="271"/>
      <c r="D240" s="271"/>
      <c r="E240" s="271"/>
      <c r="F240" s="271"/>
      <c r="G240" s="273"/>
      <c r="H240" s="29" t="s">
        <v>959</v>
      </c>
      <c r="I240" s="394">
        <f>+M236</f>
        <v>32083.749777777775</v>
      </c>
      <c r="J240" s="273"/>
      <c r="K240" s="404">
        <v>0.05</v>
      </c>
      <c r="L240" s="273"/>
      <c r="M240" s="394">
        <f t="shared" ref="M240:M244" si="30">IF(A240="","",I240*K240)</f>
        <v>1604.1874888888888</v>
      </c>
      <c r="N240" s="273"/>
    </row>
    <row r="241" spans="1:14" ht="13.5" x14ac:dyDescent="0.2">
      <c r="A241" s="403" t="s">
        <v>3175</v>
      </c>
      <c r="B241" s="271"/>
      <c r="C241" s="271"/>
      <c r="D241" s="271"/>
      <c r="E241" s="271"/>
      <c r="F241" s="271"/>
      <c r="G241" s="273"/>
      <c r="H241" s="29" t="s">
        <v>961</v>
      </c>
      <c r="I241" s="394">
        <f>'precios '!J222</f>
        <v>2077.2367952644231</v>
      </c>
      <c r="J241" s="273"/>
      <c r="K241" s="402">
        <f>Indice!L21</f>
        <v>49</v>
      </c>
      <c r="L241" s="273"/>
      <c r="M241" s="394">
        <f t="shared" si="30"/>
        <v>101784.60296795673</v>
      </c>
      <c r="N241" s="273"/>
    </row>
    <row r="242" spans="1:14" ht="13.5" x14ac:dyDescent="0.2">
      <c r="A242" s="400" t="s">
        <v>3176</v>
      </c>
      <c r="B242" s="271"/>
      <c r="C242" s="271"/>
      <c r="D242" s="271"/>
      <c r="E242" s="271"/>
      <c r="F242" s="271"/>
      <c r="G242" s="273"/>
      <c r="H242" s="29" t="s">
        <v>24</v>
      </c>
      <c r="I242" s="394">
        <f>+M222</f>
        <v>184000</v>
      </c>
      <c r="J242" s="273"/>
      <c r="K242" s="404">
        <v>0.05</v>
      </c>
      <c r="L242" s="273"/>
      <c r="M242" s="394">
        <f t="shared" si="30"/>
        <v>9200</v>
      </c>
      <c r="N242" s="273"/>
    </row>
    <row r="243" spans="1:14" ht="13.5" x14ac:dyDescent="0.2">
      <c r="A243" s="400"/>
      <c r="B243" s="271"/>
      <c r="C243" s="271"/>
      <c r="D243" s="271"/>
      <c r="E243" s="271"/>
      <c r="F243" s="271"/>
      <c r="G243" s="273"/>
      <c r="H243" s="29"/>
      <c r="I243" s="394"/>
      <c r="J243" s="273"/>
      <c r="K243" s="395"/>
      <c r="L243" s="273"/>
      <c r="M243" s="394" t="str">
        <f t="shared" si="30"/>
        <v/>
      </c>
      <c r="N243" s="273"/>
    </row>
    <row r="244" spans="1:14" ht="13.5" x14ac:dyDescent="0.2">
      <c r="A244" s="400"/>
      <c r="B244" s="271"/>
      <c r="C244" s="271"/>
      <c r="D244" s="271"/>
      <c r="E244" s="271"/>
      <c r="F244" s="271"/>
      <c r="G244" s="273"/>
      <c r="H244" s="29"/>
      <c r="I244" s="394"/>
      <c r="J244" s="273"/>
      <c r="K244" s="395"/>
      <c r="L244" s="273"/>
      <c r="M244" s="394" t="str">
        <f t="shared" si="30"/>
        <v/>
      </c>
      <c r="N244" s="273"/>
    </row>
    <row r="245" spans="1:14" ht="13.5" x14ac:dyDescent="0.25">
      <c r="A245" s="4"/>
      <c r="B245" s="4"/>
      <c r="C245" s="4"/>
      <c r="D245" s="4"/>
      <c r="E245" s="4"/>
      <c r="F245" s="4"/>
      <c r="G245" s="4"/>
      <c r="H245" s="4"/>
      <c r="I245" s="4"/>
      <c r="J245" s="4"/>
      <c r="K245" s="396" t="s">
        <v>444</v>
      </c>
      <c r="L245" s="273"/>
      <c r="M245" s="394">
        <f>SUM(M240:N244)</f>
        <v>112588.79045684561</v>
      </c>
      <c r="N245" s="273"/>
    </row>
    <row r="246" spans="1:14" ht="13.5" x14ac:dyDescent="0.25">
      <c r="A246" s="4"/>
      <c r="B246" s="4"/>
      <c r="C246" s="4"/>
      <c r="D246" s="4"/>
      <c r="E246" s="4"/>
      <c r="F246" s="4"/>
      <c r="G246" s="4"/>
      <c r="H246" s="4"/>
      <c r="I246" s="4"/>
      <c r="J246" s="4"/>
      <c r="K246" s="4"/>
      <c r="L246" s="4"/>
      <c r="M246" s="4"/>
      <c r="N246" s="4"/>
    </row>
    <row r="247" spans="1:14" x14ac:dyDescent="0.2">
      <c r="A247" s="398" t="s">
        <v>931</v>
      </c>
      <c r="B247" s="271"/>
      <c r="C247" s="271"/>
      <c r="D247" s="271"/>
      <c r="E247" s="271"/>
      <c r="F247" s="271"/>
      <c r="G247" s="271"/>
      <c r="H247" s="271"/>
      <c r="I247" s="271"/>
      <c r="J247" s="271"/>
      <c r="K247" s="271"/>
      <c r="L247" s="271"/>
      <c r="M247" s="271"/>
      <c r="N247" s="273"/>
    </row>
    <row r="248" spans="1:14" x14ac:dyDescent="0.2">
      <c r="A248" s="396" t="s">
        <v>76</v>
      </c>
      <c r="B248" s="271"/>
      <c r="C248" s="271"/>
      <c r="D248" s="271"/>
      <c r="E248" s="271"/>
      <c r="F248" s="271"/>
      <c r="G248" s="273"/>
      <c r="H248" s="88" t="s">
        <v>77</v>
      </c>
      <c r="I248" s="399" t="s">
        <v>920</v>
      </c>
      <c r="J248" s="273"/>
      <c r="K248" s="90" t="s">
        <v>514</v>
      </c>
      <c r="L248" s="91" t="s">
        <v>932</v>
      </c>
      <c r="M248" s="399" t="s">
        <v>921</v>
      </c>
      <c r="N248" s="273"/>
    </row>
    <row r="249" spans="1:14" ht="13.5" x14ac:dyDescent="0.25">
      <c r="A249" s="393" t="s">
        <v>962</v>
      </c>
      <c r="B249" s="271"/>
      <c r="C249" s="271"/>
      <c r="D249" s="271"/>
      <c r="E249" s="271"/>
      <c r="F249" s="271"/>
      <c r="G249" s="273"/>
      <c r="H249" s="29" t="str">
        <f>IF(A249="","",VLOOKUP(A249,AA_Cuadrillas,4,FALSE))</f>
        <v>Cuadrilla</v>
      </c>
      <c r="I249" s="394">
        <f>IF(A249="","",VLOOKUP(A249,AA_Cuadrillas,5,FALSE))</f>
        <v>396871</v>
      </c>
      <c r="J249" s="273"/>
      <c r="K249" s="9">
        <f>IF(A249="","",F.P!$I$2)</f>
        <v>1.88</v>
      </c>
      <c r="L249" s="93">
        <f>1/4.5</f>
        <v>0.22222222222222221</v>
      </c>
      <c r="M249" s="394">
        <f t="shared" ref="M249:M253" si="31">IF(A249="","",I249*K249*L249)</f>
        <v>165803.88444444444</v>
      </c>
      <c r="N249" s="273"/>
    </row>
    <row r="250" spans="1:14" ht="13.5" x14ac:dyDescent="0.25">
      <c r="A250" s="393"/>
      <c r="B250" s="271"/>
      <c r="C250" s="271"/>
      <c r="D250" s="271"/>
      <c r="E250" s="271"/>
      <c r="F250" s="271"/>
      <c r="G250" s="273"/>
      <c r="H250" s="29" t="str">
        <f>IF(A250="","",VLOOKUP(A250,AA_Cuadrillas,4,FALSE))</f>
        <v/>
      </c>
      <c r="I250" s="394" t="str">
        <f>IF(A250="","",VLOOKUP(A250,AA_Cuadrillas,5,FALSE))</f>
        <v/>
      </c>
      <c r="J250" s="273"/>
      <c r="K250" s="9" t="str">
        <f>IF(A250="","",F.P!$I$2)</f>
        <v/>
      </c>
      <c r="L250" s="9"/>
      <c r="M250" s="394" t="str">
        <f t="shared" si="31"/>
        <v/>
      </c>
      <c r="N250" s="273"/>
    </row>
    <row r="251" spans="1:14" ht="13.5" x14ac:dyDescent="0.25">
      <c r="A251" s="393"/>
      <c r="B251" s="271"/>
      <c r="C251" s="271"/>
      <c r="D251" s="271"/>
      <c r="E251" s="271"/>
      <c r="F251" s="271"/>
      <c r="G251" s="273"/>
      <c r="H251" s="29" t="str">
        <f>IF(A251="","",VLOOKUP(A251,AA_Cuadrillas,4,FALSE))</f>
        <v/>
      </c>
      <c r="I251" s="394" t="str">
        <f>IF(A251="","",VLOOKUP(A251,AA_Cuadrillas,5,FALSE))</f>
        <v/>
      </c>
      <c r="J251" s="273"/>
      <c r="K251" s="9" t="str">
        <f>IF(A251="","",F.P!$I$2)</f>
        <v/>
      </c>
      <c r="L251" s="37"/>
      <c r="M251" s="394" t="str">
        <f t="shared" si="31"/>
        <v/>
      </c>
      <c r="N251" s="273"/>
    </row>
    <row r="252" spans="1:14" ht="13.5" x14ac:dyDescent="0.25">
      <c r="A252" s="393"/>
      <c r="B252" s="271"/>
      <c r="C252" s="271"/>
      <c r="D252" s="271"/>
      <c r="E252" s="271"/>
      <c r="F252" s="271"/>
      <c r="G252" s="273"/>
      <c r="H252" s="29" t="str">
        <f>IF(A252="","",VLOOKUP(A252,AA_Cuadrillas,4,FALSE))</f>
        <v/>
      </c>
      <c r="I252" s="394" t="str">
        <f>IF(A252="","",VLOOKUP(A252,AA_Cuadrillas,5,FALSE))</f>
        <v/>
      </c>
      <c r="J252" s="273"/>
      <c r="K252" s="9" t="str">
        <f>IF(A252="","",F.P!$I$2)</f>
        <v/>
      </c>
      <c r="L252" s="37"/>
      <c r="M252" s="394" t="str">
        <f t="shared" si="31"/>
        <v/>
      </c>
      <c r="N252" s="273"/>
    </row>
    <row r="253" spans="1:14" ht="13.5" x14ac:dyDescent="0.25">
      <c r="A253" s="393"/>
      <c r="B253" s="271"/>
      <c r="C253" s="271"/>
      <c r="D253" s="271"/>
      <c r="E253" s="271"/>
      <c r="F253" s="271"/>
      <c r="G253" s="273"/>
      <c r="H253" s="29" t="str">
        <f>IF(A253="","",VLOOKUP(A253,AA_Cuadrillas,4,FALSE))</f>
        <v/>
      </c>
      <c r="I253" s="394" t="str">
        <f>IF(A253="","",VLOOKUP(A253,AA_Cuadrillas,5,FALSE))</f>
        <v/>
      </c>
      <c r="J253" s="273"/>
      <c r="K253" s="9" t="str">
        <f>IF(A253="","",F.P!$I$2)</f>
        <v/>
      </c>
      <c r="L253" s="37"/>
      <c r="M253" s="394" t="str">
        <f t="shared" si="31"/>
        <v/>
      </c>
      <c r="N253" s="273"/>
    </row>
    <row r="254" spans="1:14" ht="13.5" x14ac:dyDescent="0.25">
      <c r="A254" s="4"/>
      <c r="B254" s="4"/>
      <c r="C254" s="4"/>
      <c r="D254" s="4"/>
      <c r="E254" s="4"/>
      <c r="F254" s="4"/>
      <c r="G254" s="4"/>
      <c r="H254" s="4"/>
      <c r="I254" s="4"/>
      <c r="J254" s="4"/>
      <c r="K254" s="396" t="s">
        <v>444</v>
      </c>
      <c r="L254" s="273"/>
      <c r="M254" s="394">
        <f>SUM(M249:N253)</f>
        <v>165803.88444444444</v>
      </c>
      <c r="N254" s="273"/>
    </row>
    <row r="264" spans="1:14" x14ac:dyDescent="0.2">
      <c r="A264" s="407" t="s">
        <v>84</v>
      </c>
      <c r="B264" s="275"/>
      <c r="C264" s="275"/>
      <c r="D264" s="275"/>
      <c r="E264" s="275"/>
      <c r="F264" s="275"/>
      <c r="G264" s="275"/>
      <c r="H264" s="275"/>
      <c r="I264" s="275"/>
      <c r="J264" s="275"/>
      <c r="K264" s="275"/>
      <c r="L264" s="275"/>
      <c r="M264" s="275"/>
      <c r="N264" s="276"/>
    </row>
    <row r="265" spans="1:14" x14ac:dyDescent="0.2">
      <c r="A265" s="277"/>
      <c r="B265" s="278"/>
      <c r="C265" s="278"/>
      <c r="D265" s="278"/>
      <c r="E265" s="278"/>
      <c r="F265" s="278"/>
      <c r="G265" s="278"/>
      <c r="H265" s="278"/>
      <c r="I265" s="278"/>
      <c r="J265" s="278"/>
      <c r="K265" s="278"/>
      <c r="L265" s="278"/>
      <c r="M265" s="278"/>
      <c r="N265" s="279"/>
    </row>
    <row r="266" spans="1:14" ht="13.5" x14ac:dyDescent="0.2">
      <c r="A266" s="75">
        <v>1</v>
      </c>
      <c r="B266" s="75">
        <v>2</v>
      </c>
      <c r="C266" s="75">
        <v>3</v>
      </c>
      <c r="D266" s="75">
        <v>4</v>
      </c>
      <c r="E266" s="75">
        <v>5</v>
      </c>
      <c r="F266" s="75">
        <v>6</v>
      </c>
      <c r="G266" s="75">
        <v>7</v>
      </c>
      <c r="H266" s="75">
        <v>8</v>
      </c>
      <c r="I266" s="75">
        <v>9</v>
      </c>
      <c r="J266" s="75">
        <v>10</v>
      </c>
      <c r="K266" s="75">
        <v>11</v>
      </c>
      <c r="L266" s="75">
        <v>12</v>
      </c>
      <c r="M266" s="75">
        <v>13</v>
      </c>
      <c r="N266" s="75">
        <v>14</v>
      </c>
    </row>
    <row r="267" spans="1:14" ht="14.25" x14ac:dyDescent="0.3">
      <c r="A267" s="79" t="s">
        <v>613</v>
      </c>
      <c r="B267" s="80" t="str">
        <f>A264</f>
        <v>LOCALIZACIÓN Y REPLANTEO DE ESTRUCTURAS DE ACUEDUCTOS (INCLUYE EQUIPO DE TOPOGRAFÍA)</v>
      </c>
      <c r="C267" s="81" t="s">
        <v>916</v>
      </c>
      <c r="D267" s="82" t="s">
        <v>934</v>
      </c>
      <c r="E267" s="83" t="s">
        <v>445</v>
      </c>
      <c r="F267" s="245">
        <f>(H267+J267+L267+N267)</f>
        <v>4150.0217132000016</v>
      </c>
      <c r="G267" s="83" t="s">
        <v>607</v>
      </c>
      <c r="H267" s="85">
        <f>M285</f>
        <v>475.0759840000008</v>
      </c>
      <c r="I267" s="83" t="s">
        <v>918</v>
      </c>
      <c r="J267" s="85">
        <f>M276</f>
        <v>1972.5450000000001</v>
      </c>
      <c r="K267" s="83" t="s">
        <v>609</v>
      </c>
      <c r="L267" s="85">
        <f>M294</f>
        <v>122.38104920000006</v>
      </c>
      <c r="M267" s="83" t="s">
        <v>610</v>
      </c>
      <c r="N267" s="86">
        <f>M303</f>
        <v>1580.0196799999999</v>
      </c>
    </row>
    <row r="268" spans="1:14" ht="13.5" x14ac:dyDescent="0.25">
      <c r="A268" s="87"/>
      <c r="B268" s="87"/>
      <c r="C268" s="87"/>
      <c r="D268" s="87"/>
      <c r="E268" s="87"/>
      <c r="F268" s="87"/>
      <c r="G268" s="87"/>
      <c r="J268" s="87"/>
      <c r="K268" s="215" t="s">
        <v>3217</v>
      </c>
      <c r="L268" s="215"/>
      <c r="M268" s="87"/>
      <c r="N268" s="87"/>
    </row>
    <row r="269" spans="1:14" x14ac:dyDescent="0.2">
      <c r="A269" s="398" t="s">
        <v>919</v>
      </c>
      <c r="B269" s="271"/>
      <c r="C269" s="271"/>
      <c r="D269" s="271"/>
      <c r="E269" s="271"/>
      <c r="F269" s="271"/>
      <c r="G269" s="271"/>
      <c r="H269" s="271"/>
      <c r="I269" s="271"/>
      <c r="J269" s="271"/>
      <c r="K269" s="271"/>
      <c r="L269" s="271"/>
      <c r="M269" s="271"/>
      <c r="N269" s="273"/>
    </row>
    <row r="270" spans="1:14" x14ac:dyDescent="0.2">
      <c r="A270" s="396" t="s">
        <v>76</v>
      </c>
      <c r="B270" s="271"/>
      <c r="C270" s="271"/>
      <c r="D270" s="271"/>
      <c r="E270" s="271"/>
      <c r="F270" s="271"/>
      <c r="G270" s="273"/>
      <c r="H270" s="88" t="s">
        <v>77</v>
      </c>
      <c r="I270" s="399" t="s">
        <v>920</v>
      </c>
      <c r="J270" s="273"/>
      <c r="K270" s="399" t="s">
        <v>453</v>
      </c>
      <c r="L270" s="273"/>
      <c r="M270" s="399" t="s">
        <v>921</v>
      </c>
      <c r="N270" s="273"/>
    </row>
    <row r="271" spans="1:14" ht="13.5" x14ac:dyDescent="0.2">
      <c r="A271" s="400" t="s">
        <v>922</v>
      </c>
      <c r="B271" s="271"/>
      <c r="C271" s="271"/>
      <c r="D271" s="271"/>
      <c r="E271" s="271"/>
      <c r="F271" s="271"/>
      <c r="G271" s="273"/>
      <c r="H271" s="29" t="str">
        <f>IF(A271="","",VLOOKUP(A271,AA_Materiales,7,FALSE))</f>
        <v>Unidad</v>
      </c>
      <c r="I271" s="394">
        <f>IF(A271="","",VLOOKUP(A271,AA_Materiales,8,FALSE))</f>
        <v>3741.67</v>
      </c>
      <c r="J271" s="273"/>
      <c r="K271" s="395">
        <v>0.3</v>
      </c>
      <c r="L271" s="273"/>
      <c r="M271" s="394">
        <f t="shared" ref="M271:M275" si="32">IF(A271="","",I271*K271)</f>
        <v>1122.501</v>
      </c>
      <c r="N271" s="273"/>
    </row>
    <row r="272" spans="1:14" ht="13.5" x14ac:dyDescent="0.2">
      <c r="A272" s="400" t="s">
        <v>923</v>
      </c>
      <c r="B272" s="271"/>
      <c r="C272" s="271"/>
      <c r="D272" s="271"/>
      <c r="E272" s="271"/>
      <c r="F272" s="271"/>
      <c r="G272" s="273"/>
      <c r="H272" s="29" t="str">
        <f>IF(A272="","",VLOOKUP(A272,AA_Materiales,7,FALSE))</f>
        <v>Galón</v>
      </c>
      <c r="I272" s="394">
        <f>IF(A272="","",VLOOKUP(A272,AA_Materiales,8,FALSE))</f>
        <v>75900</v>
      </c>
      <c r="J272" s="273"/>
      <c r="K272" s="395">
        <v>8.0000000000000002E-3</v>
      </c>
      <c r="L272" s="273"/>
      <c r="M272" s="394">
        <f t="shared" si="32"/>
        <v>607.20000000000005</v>
      </c>
      <c r="N272" s="273"/>
    </row>
    <row r="273" spans="1:14" ht="13.5" x14ac:dyDescent="0.2">
      <c r="A273" s="400" t="s">
        <v>924</v>
      </c>
      <c r="B273" s="271"/>
      <c r="C273" s="271"/>
      <c r="D273" s="271"/>
      <c r="E273" s="271"/>
      <c r="F273" s="271"/>
      <c r="G273" s="273"/>
      <c r="H273" s="29" t="str">
        <f>IF(A273="","",VLOOKUP(A273,AA_Materiales,7,FALSE))</f>
        <v>Libra</v>
      </c>
      <c r="I273" s="394">
        <f>IF(A273="","",VLOOKUP(A273,AA_Materiales,8,FALSE))</f>
        <v>4487</v>
      </c>
      <c r="J273" s="273"/>
      <c r="K273" s="395">
        <v>1.2E-2</v>
      </c>
      <c r="L273" s="273"/>
      <c r="M273" s="394">
        <f t="shared" si="32"/>
        <v>53.844000000000001</v>
      </c>
      <c r="N273" s="273"/>
    </row>
    <row r="274" spans="1:14" ht="13.5" x14ac:dyDescent="0.2">
      <c r="A274" s="400" t="s">
        <v>935</v>
      </c>
      <c r="B274" s="271"/>
      <c r="C274" s="271"/>
      <c r="D274" s="271"/>
      <c r="E274" s="271"/>
      <c r="F274" s="271"/>
      <c r="G274" s="273"/>
      <c r="H274" s="29" t="str">
        <f>IF(A274="","",VLOOKUP(A274,AA_Materiales,7,FALSE))</f>
        <v>ml</v>
      </c>
      <c r="I274" s="394">
        <f>IF(A274="","",VLOOKUP(A274,AA_Materiales,8,FALSE))</f>
        <v>189</v>
      </c>
      <c r="J274" s="273"/>
      <c r="K274" s="395">
        <v>1</v>
      </c>
      <c r="L274" s="273"/>
      <c r="M274" s="394">
        <f t="shared" si="32"/>
        <v>189</v>
      </c>
      <c r="N274" s="273"/>
    </row>
    <row r="275" spans="1:14" ht="13.5" x14ac:dyDescent="0.2">
      <c r="A275" s="400"/>
      <c r="B275" s="271"/>
      <c r="C275" s="271"/>
      <c r="D275" s="271"/>
      <c r="E275" s="271"/>
      <c r="F275" s="271"/>
      <c r="G275" s="273"/>
      <c r="H275" s="29" t="str">
        <f>IF(A275="","",VLOOKUP(A275,AA_Materiales,7,FALSE))</f>
        <v/>
      </c>
      <c r="I275" s="394" t="str">
        <f>IF(A275="","",VLOOKUP(A275,AA_Materiales,8,FALSE))</f>
        <v/>
      </c>
      <c r="J275" s="273"/>
      <c r="K275" s="395"/>
      <c r="L275" s="273"/>
      <c r="M275" s="394" t="str">
        <f t="shared" si="32"/>
        <v/>
      </c>
      <c r="N275" s="273"/>
    </row>
    <row r="276" spans="1:14" ht="13.5" x14ac:dyDescent="0.25">
      <c r="A276" s="4"/>
      <c r="B276" s="4"/>
      <c r="C276" s="4"/>
      <c r="D276" s="4"/>
      <c r="E276" s="4"/>
      <c r="F276" s="4"/>
      <c r="G276" s="4"/>
      <c r="H276" s="4"/>
      <c r="I276" s="4"/>
      <c r="J276" s="4"/>
      <c r="K276" s="396" t="s">
        <v>444</v>
      </c>
      <c r="L276" s="273"/>
      <c r="M276" s="394">
        <f>SUM(M271:N275)</f>
        <v>1972.5450000000001</v>
      </c>
      <c r="N276" s="273"/>
    </row>
    <row r="277" spans="1:14" ht="13.5" x14ac:dyDescent="0.25">
      <c r="A277" s="4"/>
      <c r="B277" s="4"/>
      <c r="C277" s="4"/>
      <c r="D277" s="4"/>
      <c r="E277" s="4"/>
      <c r="F277" s="4"/>
      <c r="G277" s="4"/>
      <c r="H277" s="4"/>
      <c r="I277" s="4"/>
      <c r="J277" s="4"/>
      <c r="K277" s="4"/>
      <c r="L277" s="4"/>
      <c r="M277" s="4"/>
      <c r="N277" s="4"/>
    </row>
    <row r="278" spans="1:14" x14ac:dyDescent="0.2">
      <c r="A278" s="398" t="s">
        <v>926</v>
      </c>
      <c r="B278" s="271"/>
      <c r="C278" s="271"/>
      <c r="D278" s="271"/>
      <c r="E278" s="271"/>
      <c r="F278" s="271"/>
      <c r="G278" s="271"/>
      <c r="H278" s="271"/>
      <c r="I278" s="271"/>
      <c r="J278" s="271"/>
      <c r="K278" s="271"/>
      <c r="L278" s="271"/>
      <c r="M278" s="271"/>
      <c r="N278" s="273"/>
    </row>
    <row r="279" spans="1:14" x14ac:dyDescent="0.2">
      <c r="A279" s="396" t="s">
        <v>76</v>
      </c>
      <c r="B279" s="271"/>
      <c r="C279" s="271"/>
      <c r="D279" s="271"/>
      <c r="E279" s="271"/>
      <c r="F279" s="271"/>
      <c r="G279" s="273"/>
      <c r="H279" s="88" t="s">
        <v>77</v>
      </c>
      <c r="I279" s="399" t="s">
        <v>920</v>
      </c>
      <c r="J279" s="273"/>
      <c r="K279" s="399" t="s">
        <v>453</v>
      </c>
      <c r="L279" s="273"/>
      <c r="M279" s="399" t="s">
        <v>921</v>
      </c>
      <c r="N279" s="273"/>
    </row>
    <row r="280" spans="1:14" ht="13.5" x14ac:dyDescent="0.2">
      <c r="A280" s="400" t="s">
        <v>927</v>
      </c>
      <c r="B280" s="271"/>
      <c r="C280" s="271"/>
      <c r="D280" s="271"/>
      <c r="E280" s="271"/>
      <c r="F280" s="271"/>
      <c r="G280" s="273"/>
      <c r="H280" s="29" t="str">
        <f>IF(A280="","",VLOOKUP(A280,AA_Equipos,7,FALSE))</f>
        <v>% M.O.</v>
      </c>
      <c r="I280" s="394">
        <f>M303</f>
        <v>1580.0196799999999</v>
      </c>
      <c r="J280" s="273"/>
      <c r="K280" s="404">
        <v>0.05</v>
      </c>
      <c r="L280" s="273"/>
      <c r="M280" s="394">
        <f t="shared" ref="M280:M284" si="33">IF(A280="","",I280*K280)</f>
        <v>79.000984000000003</v>
      </c>
      <c r="N280" s="273"/>
    </row>
    <row r="281" spans="1:14" ht="13.5" x14ac:dyDescent="0.2">
      <c r="A281" s="403" t="s">
        <v>928</v>
      </c>
      <c r="B281" s="271"/>
      <c r="C281" s="271"/>
      <c r="D281" s="271"/>
      <c r="E281" s="271"/>
      <c r="F281" s="271"/>
      <c r="G281" s="273"/>
      <c r="H281" s="29" t="str">
        <f>IF(A281="","",VLOOKUP(A281,AA_Equipos,7,FALSE))</f>
        <v>Dia</v>
      </c>
      <c r="I281" s="394">
        <f>IF(A281="","",VLOOKUP(A281,AA_Materiales,8,FALSE))</f>
        <v>237645</v>
      </c>
      <c r="J281" s="273"/>
      <c r="K281" s="402">
        <v>1.66666666666667E-3</v>
      </c>
      <c r="L281" s="273"/>
      <c r="M281" s="394">
        <f t="shared" si="33"/>
        <v>396.07500000000078</v>
      </c>
      <c r="N281" s="273"/>
    </row>
    <row r="282" spans="1:14" ht="13.5" x14ac:dyDescent="0.2">
      <c r="A282" s="400"/>
      <c r="B282" s="271"/>
      <c r="C282" s="271"/>
      <c r="D282" s="271"/>
      <c r="E282" s="271"/>
      <c r="F282" s="271"/>
      <c r="G282" s="273"/>
      <c r="H282" s="29" t="str">
        <f>IF(A282="","",VLOOKUP(A282,AA_Equipos,7,FALSE))</f>
        <v/>
      </c>
      <c r="I282" s="394" t="str">
        <f>IF(A282="","",VLOOKUP(A282,AA_Materiales,8,FALSE))</f>
        <v/>
      </c>
      <c r="J282" s="273"/>
      <c r="K282" s="395"/>
      <c r="L282" s="273"/>
      <c r="M282" s="394" t="str">
        <f t="shared" si="33"/>
        <v/>
      </c>
      <c r="N282" s="273"/>
    </row>
    <row r="283" spans="1:14" ht="13.5" x14ac:dyDescent="0.2">
      <c r="A283" s="400"/>
      <c r="B283" s="271"/>
      <c r="C283" s="271"/>
      <c r="D283" s="271"/>
      <c r="E283" s="271"/>
      <c r="F283" s="271"/>
      <c r="G283" s="273"/>
      <c r="H283" s="29" t="str">
        <f>IF(A283="","",VLOOKUP(A283,AA_Equipos,7,FALSE))</f>
        <v/>
      </c>
      <c r="I283" s="394" t="str">
        <f>IF(A283="","",VLOOKUP(A283,AA_Materiales,8,FALSE))</f>
        <v/>
      </c>
      <c r="J283" s="273"/>
      <c r="K283" s="395"/>
      <c r="L283" s="273"/>
      <c r="M283" s="394" t="str">
        <f t="shared" si="33"/>
        <v/>
      </c>
      <c r="N283" s="273"/>
    </row>
    <row r="284" spans="1:14" ht="13.5" x14ac:dyDescent="0.2">
      <c r="A284" s="400"/>
      <c r="B284" s="271"/>
      <c r="C284" s="271"/>
      <c r="D284" s="271"/>
      <c r="E284" s="271"/>
      <c r="F284" s="271"/>
      <c r="G284" s="273"/>
      <c r="H284" s="29" t="str">
        <f>IF(A284="","",VLOOKUP(A284,AA_Equipos,7,FALSE))</f>
        <v/>
      </c>
      <c r="I284" s="394" t="str">
        <f>IF(A284="","",VLOOKUP(A284,AA_Materiales,8,FALSE))</f>
        <v/>
      </c>
      <c r="J284" s="273"/>
      <c r="K284" s="395"/>
      <c r="L284" s="273"/>
      <c r="M284" s="394" t="str">
        <f t="shared" si="33"/>
        <v/>
      </c>
      <c r="N284" s="273"/>
    </row>
    <row r="285" spans="1:14" ht="13.5" x14ac:dyDescent="0.25">
      <c r="A285" s="4"/>
      <c r="B285" s="4"/>
      <c r="C285" s="4"/>
      <c r="D285" s="4"/>
      <c r="E285" s="4"/>
      <c r="F285" s="4"/>
      <c r="G285" s="4"/>
      <c r="H285" s="4"/>
      <c r="I285" s="4"/>
      <c r="J285" s="4"/>
      <c r="K285" s="396" t="s">
        <v>444</v>
      </c>
      <c r="L285" s="273"/>
      <c r="M285" s="394">
        <f>SUM(M280:N284)</f>
        <v>475.0759840000008</v>
      </c>
      <c r="N285" s="273"/>
    </row>
    <row r="286" spans="1:14" ht="13.5" x14ac:dyDescent="0.25">
      <c r="A286" s="4"/>
      <c r="B286" s="4"/>
      <c r="C286" s="4"/>
      <c r="D286" s="4"/>
      <c r="E286" s="4"/>
      <c r="F286" s="4"/>
      <c r="G286" s="4"/>
      <c r="H286" s="4"/>
      <c r="I286" s="4"/>
      <c r="J286" s="4"/>
      <c r="K286" s="4"/>
      <c r="L286" s="4"/>
      <c r="M286" s="4"/>
      <c r="N286" s="4"/>
    </row>
    <row r="287" spans="1:14" x14ac:dyDescent="0.2">
      <c r="A287" s="398" t="s">
        <v>929</v>
      </c>
      <c r="B287" s="271"/>
      <c r="C287" s="271"/>
      <c r="D287" s="271"/>
      <c r="E287" s="271"/>
      <c r="F287" s="271"/>
      <c r="G287" s="271"/>
      <c r="H287" s="271"/>
      <c r="I287" s="271"/>
      <c r="J287" s="271"/>
      <c r="K287" s="271"/>
      <c r="L287" s="271"/>
      <c r="M287" s="271"/>
      <c r="N287" s="273"/>
    </row>
    <row r="288" spans="1:14" x14ac:dyDescent="0.2">
      <c r="A288" s="396" t="s">
        <v>76</v>
      </c>
      <c r="B288" s="271"/>
      <c r="C288" s="271"/>
      <c r="D288" s="271"/>
      <c r="E288" s="271"/>
      <c r="F288" s="271"/>
      <c r="G288" s="273"/>
      <c r="H288" s="88" t="s">
        <v>77</v>
      </c>
      <c r="I288" s="399" t="s">
        <v>920</v>
      </c>
      <c r="J288" s="273"/>
      <c r="K288" s="399" t="s">
        <v>453</v>
      </c>
      <c r="L288" s="273"/>
      <c r="M288" s="399" t="s">
        <v>921</v>
      </c>
      <c r="N288" s="273"/>
    </row>
    <row r="289" spans="1:14" ht="13.5" x14ac:dyDescent="0.2">
      <c r="A289" s="400" t="s">
        <v>930</v>
      </c>
      <c r="B289" s="271"/>
      <c r="C289" s="271"/>
      <c r="D289" s="271"/>
      <c r="E289" s="271"/>
      <c r="F289" s="271"/>
      <c r="G289" s="273"/>
      <c r="H289" s="29" t="s">
        <v>24</v>
      </c>
      <c r="I289" s="394">
        <f>M276+M285</f>
        <v>2447.620984000001</v>
      </c>
      <c r="J289" s="273"/>
      <c r="K289" s="404">
        <v>0.05</v>
      </c>
      <c r="L289" s="273"/>
      <c r="M289" s="394">
        <f t="shared" ref="M289:M293" si="34">IF(A289="","",I289*K289)</f>
        <v>122.38104920000006</v>
      </c>
      <c r="N289" s="273"/>
    </row>
    <row r="290" spans="1:14" ht="13.5" x14ac:dyDescent="0.2">
      <c r="A290" s="403"/>
      <c r="B290" s="271"/>
      <c r="C290" s="271"/>
      <c r="D290" s="271"/>
      <c r="E290" s="271"/>
      <c r="F290" s="271"/>
      <c r="G290" s="273"/>
      <c r="H290" s="29"/>
      <c r="I290" s="394"/>
      <c r="J290" s="273"/>
      <c r="K290" s="402"/>
      <c r="L290" s="273"/>
      <c r="M290" s="394" t="str">
        <f t="shared" si="34"/>
        <v/>
      </c>
      <c r="N290" s="273"/>
    </row>
    <row r="291" spans="1:14" ht="13.5" x14ac:dyDescent="0.2">
      <c r="A291" s="400"/>
      <c r="B291" s="271"/>
      <c r="C291" s="271"/>
      <c r="D291" s="271"/>
      <c r="E291" s="271"/>
      <c r="F291" s="271"/>
      <c r="G291" s="273"/>
      <c r="H291" s="29"/>
      <c r="I291" s="394"/>
      <c r="J291" s="273"/>
      <c r="K291" s="395"/>
      <c r="L291" s="273"/>
      <c r="M291" s="394" t="str">
        <f t="shared" si="34"/>
        <v/>
      </c>
      <c r="N291" s="273"/>
    </row>
    <row r="292" spans="1:14" ht="13.5" x14ac:dyDescent="0.2">
      <c r="A292" s="400"/>
      <c r="B292" s="271"/>
      <c r="C292" s="271"/>
      <c r="D292" s="271"/>
      <c r="E292" s="271"/>
      <c r="F292" s="271"/>
      <c r="G292" s="273"/>
      <c r="H292" s="29"/>
      <c r="I292" s="394"/>
      <c r="J292" s="273"/>
      <c r="K292" s="395"/>
      <c r="L292" s="273"/>
      <c r="M292" s="394" t="str">
        <f t="shared" si="34"/>
        <v/>
      </c>
      <c r="N292" s="273"/>
    </row>
    <row r="293" spans="1:14" ht="13.5" x14ac:dyDescent="0.2">
      <c r="A293" s="400"/>
      <c r="B293" s="271"/>
      <c r="C293" s="271"/>
      <c r="D293" s="271"/>
      <c r="E293" s="271"/>
      <c r="F293" s="271"/>
      <c r="G293" s="273"/>
      <c r="H293" s="29"/>
      <c r="I293" s="394"/>
      <c r="J293" s="273"/>
      <c r="K293" s="395"/>
      <c r="L293" s="273"/>
      <c r="M293" s="394" t="str">
        <f t="shared" si="34"/>
        <v/>
      </c>
      <c r="N293" s="273"/>
    </row>
    <row r="294" spans="1:14" ht="13.5" x14ac:dyDescent="0.25">
      <c r="A294" s="4"/>
      <c r="B294" s="4"/>
      <c r="C294" s="4"/>
      <c r="D294" s="4"/>
      <c r="E294" s="4"/>
      <c r="F294" s="4"/>
      <c r="G294" s="4"/>
      <c r="H294" s="4"/>
      <c r="I294" s="4"/>
      <c r="J294" s="4"/>
      <c r="K294" s="396" t="s">
        <v>444</v>
      </c>
      <c r="L294" s="273"/>
      <c r="M294" s="394">
        <f>SUM(M289:N293)</f>
        <v>122.38104920000006</v>
      </c>
      <c r="N294" s="273"/>
    </row>
    <row r="295" spans="1:14" ht="13.5" x14ac:dyDescent="0.25">
      <c r="A295" s="4"/>
      <c r="B295" s="4"/>
      <c r="C295" s="4"/>
      <c r="D295" s="4"/>
      <c r="E295" s="4"/>
      <c r="F295" s="4"/>
      <c r="G295" s="4"/>
      <c r="H295" s="4"/>
      <c r="I295" s="4"/>
      <c r="J295" s="4"/>
      <c r="K295" s="4"/>
      <c r="L295" s="4"/>
      <c r="M295" s="4"/>
      <c r="N295" s="4"/>
    </row>
    <row r="296" spans="1:14" x14ac:dyDescent="0.2">
      <c r="A296" s="398" t="s">
        <v>931</v>
      </c>
      <c r="B296" s="271"/>
      <c r="C296" s="271"/>
      <c r="D296" s="271"/>
      <c r="E296" s="271"/>
      <c r="F296" s="271"/>
      <c r="G296" s="271"/>
      <c r="H296" s="271"/>
      <c r="I296" s="271"/>
      <c r="J296" s="271"/>
      <c r="K296" s="271"/>
      <c r="L296" s="271"/>
      <c r="M296" s="271"/>
      <c r="N296" s="273"/>
    </row>
    <row r="297" spans="1:14" x14ac:dyDescent="0.2">
      <c r="A297" s="396" t="s">
        <v>76</v>
      </c>
      <c r="B297" s="271"/>
      <c r="C297" s="271"/>
      <c r="D297" s="271"/>
      <c r="E297" s="271"/>
      <c r="F297" s="271"/>
      <c r="G297" s="273"/>
      <c r="H297" s="88" t="s">
        <v>77</v>
      </c>
      <c r="I297" s="399" t="s">
        <v>920</v>
      </c>
      <c r="J297" s="273"/>
      <c r="K297" s="90" t="s">
        <v>514</v>
      </c>
      <c r="L297" s="91" t="s">
        <v>932</v>
      </c>
      <c r="M297" s="399" t="s">
        <v>921</v>
      </c>
      <c r="N297" s="273"/>
    </row>
    <row r="298" spans="1:14" ht="13.5" x14ac:dyDescent="0.25">
      <c r="A298" s="393" t="s">
        <v>933</v>
      </c>
      <c r="B298" s="271"/>
      <c r="C298" s="271"/>
      <c r="D298" s="271"/>
      <c r="E298" s="271"/>
      <c r="F298" s="271"/>
      <c r="G298" s="273"/>
      <c r="H298" s="29" t="str">
        <f>IF(A298="","",VLOOKUP(A298,AA_Cuadrillas,4,FALSE))</f>
        <v>Cuadrilla</v>
      </c>
      <c r="I298" s="394">
        <f>IF(A298="","",VLOOKUP(A298,AA_Cuadrillas,5,FALSE))</f>
        <v>420218</v>
      </c>
      <c r="J298" s="273"/>
      <c r="K298" s="9">
        <f>IF(A298="","",F.P!$I$2)</f>
        <v>1.88</v>
      </c>
      <c r="L298" s="93">
        <v>2E-3</v>
      </c>
      <c r="M298" s="394">
        <f t="shared" ref="M298:M302" si="35">IF(A298="","",I298*K298*L298)</f>
        <v>1580.0196799999999</v>
      </c>
      <c r="N298" s="273"/>
    </row>
    <row r="299" spans="1:14" ht="13.5" x14ac:dyDescent="0.25">
      <c r="A299" s="393"/>
      <c r="B299" s="271"/>
      <c r="C299" s="271"/>
      <c r="D299" s="271"/>
      <c r="E299" s="271"/>
      <c r="F299" s="271"/>
      <c r="G299" s="273"/>
      <c r="H299" s="29" t="str">
        <f>IF(A299="","",VLOOKUP(A299,AA_Cuadrillas,4,FALSE))</f>
        <v/>
      </c>
      <c r="I299" s="394" t="str">
        <f>IF(A299="","",VLOOKUP(A299,AA_Cuadrillas,5,FALSE))</f>
        <v/>
      </c>
      <c r="J299" s="273"/>
      <c r="K299" s="9" t="str">
        <f>IF(A299="","",F.P!$I$2)</f>
        <v/>
      </c>
      <c r="L299" s="9"/>
      <c r="M299" s="394" t="str">
        <f t="shared" si="35"/>
        <v/>
      </c>
      <c r="N299" s="273"/>
    </row>
    <row r="300" spans="1:14" ht="13.5" x14ac:dyDescent="0.25">
      <c r="A300" s="393"/>
      <c r="B300" s="271"/>
      <c r="C300" s="271"/>
      <c r="D300" s="271"/>
      <c r="E300" s="271"/>
      <c r="F300" s="271"/>
      <c r="G300" s="273"/>
      <c r="H300" s="29" t="str">
        <f>IF(A300="","",VLOOKUP(A300,AA_Cuadrillas,4,FALSE))</f>
        <v/>
      </c>
      <c r="I300" s="394" t="str">
        <f>IF(A300="","",VLOOKUP(A300,AA_Cuadrillas,5,FALSE))</f>
        <v/>
      </c>
      <c r="J300" s="273"/>
      <c r="K300" s="9" t="str">
        <f>IF(A300="","",F.P!$I$2)</f>
        <v/>
      </c>
      <c r="L300" s="37"/>
      <c r="M300" s="394" t="str">
        <f t="shared" si="35"/>
        <v/>
      </c>
      <c r="N300" s="273"/>
    </row>
    <row r="301" spans="1:14" ht="13.5" x14ac:dyDescent="0.25">
      <c r="A301" s="393"/>
      <c r="B301" s="271"/>
      <c r="C301" s="271"/>
      <c r="D301" s="271"/>
      <c r="E301" s="271"/>
      <c r="F301" s="271"/>
      <c r="G301" s="273"/>
      <c r="H301" s="29" t="str">
        <f>IF(A301="","",VLOOKUP(A301,AA_Cuadrillas,4,FALSE))</f>
        <v/>
      </c>
      <c r="I301" s="394" t="str">
        <f>IF(A301="","",VLOOKUP(A301,AA_Cuadrillas,5,FALSE))</f>
        <v/>
      </c>
      <c r="J301" s="273"/>
      <c r="K301" s="9" t="str">
        <f>IF(A301="","",F.P!$I$2)</f>
        <v/>
      </c>
      <c r="L301" s="37"/>
      <c r="M301" s="394" t="str">
        <f t="shared" si="35"/>
        <v/>
      </c>
      <c r="N301" s="273"/>
    </row>
    <row r="302" spans="1:14" ht="13.5" x14ac:dyDescent="0.25">
      <c r="A302" s="393"/>
      <c r="B302" s="271"/>
      <c r="C302" s="271"/>
      <c r="D302" s="271"/>
      <c r="E302" s="271"/>
      <c r="F302" s="271"/>
      <c r="G302" s="273"/>
      <c r="H302" s="29" t="str">
        <f>IF(A302="","",VLOOKUP(A302,AA_Cuadrillas,4,FALSE))</f>
        <v/>
      </c>
      <c r="I302" s="394" t="str">
        <f>IF(A302="","",VLOOKUP(A302,AA_Cuadrillas,5,FALSE))</f>
        <v/>
      </c>
      <c r="J302" s="273"/>
      <c r="K302" s="9" t="str">
        <f>IF(A302="","",F.P!$I$2)</f>
        <v/>
      </c>
      <c r="L302" s="37"/>
      <c r="M302" s="394" t="str">
        <f t="shared" si="35"/>
        <v/>
      </c>
      <c r="N302" s="273"/>
    </row>
    <row r="303" spans="1:14" ht="13.5" x14ac:dyDescent="0.25">
      <c r="A303" s="4"/>
      <c r="B303" s="4"/>
      <c r="C303" s="4"/>
      <c r="D303" s="4"/>
      <c r="E303" s="4"/>
      <c r="F303" s="4"/>
      <c r="G303" s="4"/>
      <c r="H303" s="4"/>
      <c r="I303" s="4"/>
      <c r="J303" s="4"/>
      <c r="K303" s="396" t="s">
        <v>444</v>
      </c>
      <c r="L303" s="273"/>
      <c r="M303" s="394">
        <f>SUM(M298:N302)</f>
        <v>1580.0196799999999</v>
      </c>
      <c r="N303" s="273"/>
    </row>
    <row r="306" spans="1:14" x14ac:dyDescent="0.2">
      <c r="A306" s="407" t="s">
        <v>200</v>
      </c>
      <c r="B306" s="275"/>
      <c r="C306" s="275"/>
      <c r="D306" s="275"/>
      <c r="E306" s="275"/>
      <c r="F306" s="275"/>
      <c r="G306" s="275"/>
      <c r="H306" s="275"/>
      <c r="I306" s="275"/>
      <c r="J306" s="275"/>
      <c r="K306" s="275"/>
      <c r="L306" s="275"/>
      <c r="M306" s="275"/>
      <c r="N306" s="276"/>
    </row>
    <row r="307" spans="1:14" x14ac:dyDescent="0.2">
      <c r="A307" s="277"/>
      <c r="B307" s="278"/>
      <c r="C307" s="278"/>
      <c r="D307" s="278"/>
      <c r="E307" s="278"/>
      <c r="F307" s="278"/>
      <c r="G307" s="278"/>
      <c r="H307" s="278"/>
      <c r="I307" s="278"/>
      <c r="J307" s="278"/>
      <c r="K307" s="278"/>
      <c r="L307" s="278"/>
      <c r="M307" s="278"/>
      <c r="N307" s="279"/>
    </row>
    <row r="308" spans="1:14" ht="13.5" x14ac:dyDescent="0.2">
      <c r="A308" s="75"/>
      <c r="B308" s="75"/>
      <c r="C308" s="75"/>
      <c r="D308" s="75"/>
      <c r="E308" s="75"/>
      <c r="F308" s="75"/>
      <c r="G308" s="75"/>
      <c r="H308" s="75"/>
      <c r="I308" s="75"/>
      <c r="J308" s="75"/>
      <c r="K308" s="75"/>
      <c r="L308" s="75"/>
      <c r="M308" s="75"/>
      <c r="N308" s="75"/>
    </row>
    <row r="309" spans="1:14" ht="14.25" x14ac:dyDescent="0.3">
      <c r="A309" s="79" t="s">
        <v>625</v>
      </c>
      <c r="B309" s="80" t="str">
        <f>A306</f>
        <v>SUMINISTRO FIGURADO Y ARMADO DE ACERO DE REFUERZO 60000 PSI (INCLUYE DESPERDICIO DEL 5%)</v>
      </c>
      <c r="C309" s="81" t="s">
        <v>916</v>
      </c>
      <c r="D309" s="82" t="s">
        <v>969</v>
      </c>
      <c r="E309" s="83" t="s">
        <v>445</v>
      </c>
      <c r="F309" s="234">
        <f>(H309+J309+L309+N309)</f>
        <v>8006.0498787222223</v>
      </c>
      <c r="G309" s="83" t="s">
        <v>607</v>
      </c>
      <c r="H309" s="86">
        <f>M327</f>
        <v>53.642457777777786</v>
      </c>
      <c r="I309" s="83" t="s">
        <v>918</v>
      </c>
      <c r="J309" s="86">
        <f>M318</f>
        <v>6549.4058500000001</v>
      </c>
      <c r="K309" s="83" t="s">
        <v>609</v>
      </c>
      <c r="L309" s="86">
        <f>M336</f>
        <v>330.15241538888893</v>
      </c>
      <c r="M309" s="83" t="s">
        <v>610</v>
      </c>
      <c r="N309" s="86">
        <f>M345</f>
        <v>1072.8491555555556</v>
      </c>
    </row>
    <row r="310" spans="1:14" ht="13.5" x14ac:dyDescent="0.25">
      <c r="A310" s="87"/>
      <c r="B310" s="87"/>
      <c r="C310" s="87"/>
      <c r="D310" s="87"/>
      <c r="E310" s="87"/>
      <c r="F310" s="87"/>
      <c r="G310" s="87"/>
      <c r="J310" s="87"/>
      <c r="K310" s="215" t="s">
        <v>3217</v>
      </c>
      <c r="L310" s="215">
        <f>+F309*presup!$O$5</f>
        <v>10407.86484233889</v>
      </c>
      <c r="M310" s="87"/>
      <c r="N310" s="87"/>
    </row>
    <row r="311" spans="1:14" x14ac:dyDescent="0.2">
      <c r="A311" s="398" t="s">
        <v>919</v>
      </c>
      <c r="B311" s="271"/>
      <c r="C311" s="271"/>
      <c r="D311" s="271"/>
      <c r="E311" s="271"/>
      <c r="F311" s="271"/>
      <c r="G311" s="271"/>
      <c r="H311" s="271"/>
      <c r="I311" s="271"/>
      <c r="J311" s="271"/>
      <c r="K311" s="271"/>
      <c r="L311" s="271"/>
      <c r="M311" s="271"/>
      <c r="N311" s="273"/>
    </row>
    <row r="312" spans="1:14" x14ac:dyDescent="0.2">
      <c r="A312" s="396" t="s">
        <v>76</v>
      </c>
      <c r="B312" s="271"/>
      <c r="C312" s="271"/>
      <c r="D312" s="271"/>
      <c r="E312" s="271"/>
      <c r="F312" s="271"/>
      <c r="G312" s="273"/>
      <c r="H312" s="88" t="s">
        <v>77</v>
      </c>
      <c r="I312" s="399" t="s">
        <v>920</v>
      </c>
      <c r="J312" s="273"/>
      <c r="K312" s="399" t="s">
        <v>453</v>
      </c>
      <c r="L312" s="273"/>
      <c r="M312" s="399" t="s">
        <v>921</v>
      </c>
      <c r="N312" s="273"/>
    </row>
    <row r="313" spans="1:14" ht="13.5" x14ac:dyDescent="0.2">
      <c r="A313" s="400" t="s">
        <v>970</v>
      </c>
      <c r="B313" s="271"/>
      <c r="C313" s="271"/>
      <c r="D313" s="271"/>
      <c r="E313" s="271"/>
      <c r="F313" s="271"/>
      <c r="G313" s="273"/>
      <c r="H313" s="29" t="str">
        <f>IF(A313="","",VLOOKUP(A313,AA_Materiales,7,FALSE))</f>
        <v>Kg</v>
      </c>
      <c r="I313" s="394">
        <f>IF(A313="","",VLOOKUP(A313,AA_Materiales,8,FALSE))</f>
        <v>5883.1369999999997</v>
      </c>
      <c r="J313" s="273"/>
      <c r="K313" s="395">
        <v>1.05</v>
      </c>
      <c r="L313" s="273"/>
      <c r="M313" s="394">
        <f t="shared" ref="M313:M317" si="36">IF(A313="","",I313*K313)</f>
        <v>6177.29385</v>
      </c>
      <c r="N313" s="273"/>
    </row>
    <row r="314" spans="1:14" ht="13.5" x14ac:dyDescent="0.2">
      <c r="A314" s="400" t="s">
        <v>971</v>
      </c>
      <c r="B314" s="271"/>
      <c r="C314" s="271"/>
      <c r="D314" s="271"/>
      <c r="E314" s="271"/>
      <c r="F314" s="271"/>
      <c r="G314" s="273"/>
      <c r="H314" s="29" t="str">
        <f>IF(A314="","",VLOOKUP(A314,AA_Materiales,7,FALSE))</f>
        <v>Kg</v>
      </c>
      <c r="I314" s="394">
        <f>IF(A314="","",VLOOKUP(A314,AA_Materiales,8,FALSE))</f>
        <v>9302.8000000000011</v>
      </c>
      <c r="J314" s="273"/>
      <c r="K314" s="395">
        <v>0.04</v>
      </c>
      <c r="L314" s="273"/>
      <c r="M314" s="394">
        <f t="shared" si="36"/>
        <v>372.11200000000002</v>
      </c>
      <c r="N314" s="273"/>
    </row>
    <row r="315" spans="1:14" ht="13.5" x14ac:dyDescent="0.2">
      <c r="A315" s="400"/>
      <c r="B315" s="271"/>
      <c r="C315" s="271"/>
      <c r="D315" s="271"/>
      <c r="E315" s="271"/>
      <c r="F315" s="271"/>
      <c r="G315" s="273"/>
      <c r="H315" s="29" t="str">
        <f>IF(A315="","",VLOOKUP(A315,AA_Materiales,7,FALSE))</f>
        <v/>
      </c>
      <c r="I315" s="394" t="str">
        <f>IF(A315="","",VLOOKUP(A315,AA_Materiales,8,FALSE))</f>
        <v/>
      </c>
      <c r="J315" s="273"/>
      <c r="K315" s="395"/>
      <c r="L315" s="273"/>
      <c r="M315" s="394" t="str">
        <f t="shared" si="36"/>
        <v/>
      </c>
      <c r="N315" s="273"/>
    </row>
    <row r="316" spans="1:14" ht="13.5" x14ac:dyDescent="0.2">
      <c r="A316" s="400"/>
      <c r="B316" s="271"/>
      <c r="C316" s="271"/>
      <c r="D316" s="271"/>
      <c r="E316" s="271"/>
      <c r="F316" s="271"/>
      <c r="G316" s="273"/>
      <c r="H316" s="29" t="str">
        <f>IF(A316="","",VLOOKUP(A316,AA_Materiales,7,FALSE))</f>
        <v/>
      </c>
      <c r="I316" s="394" t="str">
        <f>IF(A316="","",VLOOKUP(A316,AA_Materiales,8,FALSE))</f>
        <v/>
      </c>
      <c r="J316" s="273"/>
      <c r="K316" s="395"/>
      <c r="L316" s="273"/>
      <c r="M316" s="394" t="str">
        <f t="shared" si="36"/>
        <v/>
      </c>
      <c r="N316" s="273"/>
    </row>
    <row r="317" spans="1:14" ht="13.5" x14ac:dyDescent="0.2">
      <c r="A317" s="400"/>
      <c r="B317" s="271"/>
      <c r="C317" s="271"/>
      <c r="D317" s="271"/>
      <c r="E317" s="271"/>
      <c r="F317" s="271"/>
      <c r="G317" s="273"/>
      <c r="H317" s="29" t="str">
        <f>IF(A317="","",VLOOKUP(A317,AA_Materiales,7,FALSE))</f>
        <v/>
      </c>
      <c r="I317" s="394" t="str">
        <f>IF(A317="","",VLOOKUP(A317,AA_Materiales,8,FALSE))</f>
        <v/>
      </c>
      <c r="J317" s="273"/>
      <c r="K317" s="395"/>
      <c r="L317" s="273"/>
      <c r="M317" s="394" t="str">
        <f t="shared" si="36"/>
        <v/>
      </c>
      <c r="N317" s="273"/>
    </row>
    <row r="318" spans="1:14" ht="13.5" x14ac:dyDescent="0.25">
      <c r="A318" s="4"/>
      <c r="B318" s="4"/>
      <c r="C318" s="4"/>
      <c r="D318" s="4"/>
      <c r="E318" s="4"/>
      <c r="F318" s="4"/>
      <c r="G318" s="4"/>
      <c r="H318" s="4"/>
      <c r="I318" s="4"/>
      <c r="J318" s="4"/>
      <c r="K318" s="396" t="s">
        <v>444</v>
      </c>
      <c r="L318" s="273"/>
      <c r="M318" s="394">
        <f>SUM(M313:N317)</f>
        <v>6549.4058500000001</v>
      </c>
      <c r="N318" s="273"/>
    </row>
    <row r="319" spans="1:14" ht="13.5" x14ac:dyDescent="0.25">
      <c r="A319" s="4"/>
      <c r="B319" s="4"/>
      <c r="C319" s="4"/>
      <c r="D319" s="4"/>
      <c r="E319" s="4"/>
      <c r="F319" s="4"/>
      <c r="G319" s="4"/>
      <c r="H319" s="4"/>
      <c r="I319" s="4"/>
      <c r="J319" s="4"/>
      <c r="K319" s="4"/>
      <c r="L319" s="4"/>
      <c r="M319" s="4"/>
      <c r="N319" s="4"/>
    </row>
    <row r="320" spans="1:14" x14ac:dyDescent="0.2">
      <c r="A320" s="398" t="s">
        <v>926</v>
      </c>
      <c r="B320" s="271"/>
      <c r="C320" s="271"/>
      <c r="D320" s="271"/>
      <c r="E320" s="271"/>
      <c r="F320" s="271"/>
      <c r="G320" s="271"/>
      <c r="H320" s="271"/>
      <c r="I320" s="271"/>
      <c r="J320" s="271"/>
      <c r="K320" s="271"/>
      <c r="L320" s="271"/>
      <c r="M320" s="271"/>
      <c r="N320" s="273"/>
    </row>
    <row r="321" spans="1:14" x14ac:dyDescent="0.2">
      <c r="A321" s="396" t="s">
        <v>76</v>
      </c>
      <c r="B321" s="271"/>
      <c r="C321" s="271"/>
      <c r="D321" s="271"/>
      <c r="E321" s="271"/>
      <c r="F321" s="271"/>
      <c r="G321" s="273"/>
      <c r="H321" s="88" t="s">
        <v>77</v>
      </c>
      <c r="I321" s="399" t="s">
        <v>920</v>
      </c>
      <c r="J321" s="273"/>
      <c r="K321" s="399" t="s">
        <v>453</v>
      </c>
      <c r="L321" s="273"/>
      <c r="M321" s="399" t="s">
        <v>921</v>
      </c>
      <c r="N321" s="273"/>
    </row>
    <row r="322" spans="1:14" ht="13.5" x14ac:dyDescent="0.2">
      <c r="A322" s="400" t="s">
        <v>927</v>
      </c>
      <c r="B322" s="271"/>
      <c r="C322" s="271"/>
      <c r="D322" s="271"/>
      <c r="E322" s="271"/>
      <c r="F322" s="271"/>
      <c r="G322" s="273"/>
      <c r="H322" s="29" t="str">
        <f>IF(A322="","",VLOOKUP(A322,AA_Equipos,7,FALSE))</f>
        <v>% M.O.</v>
      </c>
      <c r="I322" s="394">
        <f>M345</f>
        <v>1072.8491555555556</v>
      </c>
      <c r="J322" s="273"/>
      <c r="K322" s="404">
        <v>0.05</v>
      </c>
      <c r="L322" s="273"/>
      <c r="M322" s="394">
        <f t="shared" ref="M322:M326" si="37">IF(A322="","",I322*K322)</f>
        <v>53.642457777777786</v>
      </c>
      <c r="N322" s="273"/>
    </row>
    <row r="323" spans="1:14" ht="13.5" x14ac:dyDescent="0.2">
      <c r="A323" s="403"/>
      <c r="B323" s="271"/>
      <c r="C323" s="271"/>
      <c r="D323" s="271"/>
      <c r="E323" s="271"/>
      <c r="F323" s="271"/>
      <c r="G323" s="273"/>
      <c r="H323" s="29" t="str">
        <f>IF(A323="","",VLOOKUP(A323,AA_Equipos,7,FALSE))</f>
        <v/>
      </c>
      <c r="I323" s="394" t="str">
        <f>IF(A323="","",VLOOKUP(A323,AA_Equipos,8,FALSE))</f>
        <v/>
      </c>
      <c r="J323" s="273"/>
      <c r="K323" s="402"/>
      <c r="L323" s="273"/>
      <c r="M323" s="394" t="str">
        <f t="shared" si="37"/>
        <v/>
      </c>
      <c r="N323" s="273"/>
    </row>
    <row r="324" spans="1:14" ht="13.5" x14ac:dyDescent="0.2">
      <c r="A324" s="400"/>
      <c r="B324" s="271"/>
      <c r="C324" s="271"/>
      <c r="D324" s="271"/>
      <c r="E324" s="271"/>
      <c r="F324" s="271"/>
      <c r="G324" s="273"/>
      <c r="H324" s="29" t="str">
        <f>IF(A324="","",VLOOKUP(A324,AA_Equipos,7,FALSE))</f>
        <v/>
      </c>
      <c r="I324" s="394" t="str">
        <f>IF(A324="","",VLOOKUP(A324,AA_Equipos,8,FALSE))</f>
        <v/>
      </c>
      <c r="J324" s="273"/>
      <c r="K324" s="395"/>
      <c r="L324" s="273"/>
      <c r="M324" s="394" t="str">
        <f t="shared" si="37"/>
        <v/>
      </c>
      <c r="N324" s="273"/>
    </row>
    <row r="325" spans="1:14" ht="13.5" x14ac:dyDescent="0.2">
      <c r="A325" s="400"/>
      <c r="B325" s="271"/>
      <c r="C325" s="271"/>
      <c r="D325" s="271"/>
      <c r="E325" s="271"/>
      <c r="F325" s="271"/>
      <c r="G325" s="273"/>
      <c r="H325" s="29" t="str">
        <f>IF(A325="","",VLOOKUP(A325,AA_Equipos,7,FALSE))</f>
        <v/>
      </c>
      <c r="I325" s="394" t="str">
        <f>IF(A325="","",VLOOKUP(A325,AA_Equipos,8,FALSE))</f>
        <v/>
      </c>
      <c r="J325" s="273"/>
      <c r="K325" s="395"/>
      <c r="L325" s="273"/>
      <c r="M325" s="394" t="str">
        <f t="shared" si="37"/>
        <v/>
      </c>
      <c r="N325" s="273"/>
    </row>
    <row r="326" spans="1:14" ht="13.5" x14ac:dyDescent="0.2">
      <c r="A326" s="400"/>
      <c r="B326" s="271"/>
      <c r="C326" s="271"/>
      <c r="D326" s="271"/>
      <c r="E326" s="271"/>
      <c r="F326" s="271"/>
      <c r="G326" s="273"/>
      <c r="H326" s="29" t="str">
        <f>IF(A326="","",VLOOKUP(A326,AA_Equipos,7,FALSE))</f>
        <v/>
      </c>
      <c r="I326" s="394" t="str">
        <f>IF(A326="","",VLOOKUP(A326,AA_Equipos,8,FALSE))</f>
        <v/>
      </c>
      <c r="J326" s="273"/>
      <c r="K326" s="395"/>
      <c r="L326" s="273"/>
      <c r="M326" s="394" t="str">
        <f t="shared" si="37"/>
        <v/>
      </c>
      <c r="N326" s="273"/>
    </row>
    <row r="327" spans="1:14" ht="13.5" x14ac:dyDescent="0.25">
      <c r="A327" s="4"/>
      <c r="B327" s="4"/>
      <c r="C327" s="4"/>
      <c r="D327" s="4"/>
      <c r="E327" s="4"/>
      <c r="F327" s="4"/>
      <c r="G327" s="4"/>
      <c r="H327" s="4"/>
      <c r="I327" s="4"/>
      <c r="J327" s="4"/>
      <c r="K327" s="396" t="s">
        <v>444</v>
      </c>
      <c r="L327" s="273"/>
      <c r="M327" s="394">
        <f>SUM(M322:N326)</f>
        <v>53.642457777777786</v>
      </c>
      <c r="N327" s="273"/>
    </row>
    <row r="328" spans="1:14" ht="13.5" x14ac:dyDescent="0.25">
      <c r="A328" s="4"/>
      <c r="B328" s="4"/>
      <c r="C328" s="4"/>
      <c r="D328" s="4"/>
      <c r="E328" s="4"/>
      <c r="F328" s="4"/>
      <c r="G328" s="4"/>
      <c r="H328" s="4"/>
      <c r="I328" s="4"/>
      <c r="J328" s="4"/>
      <c r="K328" s="4"/>
      <c r="L328" s="4"/>
      <c r="M328" s="4"/>
      <c r="N328" s="4"/>
    </row>
    <row r="329" spans="1:14" x14ac:dyDescent="0.2">
      <c r="A329" s="398" t="s">
        <v>929</v>
      </c>
      <c r="B329" s="271"/>
      <c r="C329" s="271"/>
      <c r="D329" s="271"/>
      <c r="E329" s="271"/>
      <c r="F329" s="271"/>
      <c r="G329" s="271"/>
      <c r="H329" s="271"/>
      <c r="I329" s="271"/>
      <c r="J329" s="271"/>
      <c r="K329" s="271"/>
      <c r="L329" s="271"/>
      <c r="M329" s="271"/>
      <c r="N329" s="273"/>
    </row>
    <row r="330" spans="1:14" x14ac:dyDescent="0.2">
      <c r="A330" s="396" t="s">
        <v>76</v>
      </c>
      <c r="B330" s="271"/>
      <c r="C330" s="271"/>
      <c r="D330" s="271"/>
      <c r="E330" s="271"/>
      <c r="F330" s="271"/>
      <c r="G330" s="273"/>
      <c r="H330" s="88" t="s">
        <v>77</v>
      </c>
      <c r="I330" s="399" t="s">
        <v>920</v>
      </c>
      <c r="J330" s="273"/>
      <c r="K330" s="399" t="s">
        <v>453</v>
      </c>
      <c r="L330" s="273"/>
      <c r="M330" s="399" t="s">
        <v>921</v>
      </c>
      <c r="N330" s="273"/>
    </row>
    <row r="331" spans="1:14" ht="13.5" x14ac:dyDescent="0.2">
      <c r="A331" s="400" t="s">
        <v>966</v>
      </c>
      <c r="B331" s="271"/>
      <c r="C331" s="271"/>
      <c r="D331" s="271"/>
      <c r="E331" s="271"/>
      <c r="F331" s="271"/>
      <c r="G331" s="273"/>
      <c r="H331" s="29" t="s">
        <v>972</v>
      </c>
      <c r="I331" s="394">
        <f>+M318</f>
        <v>6549.4058500000001</v>
      </c>
      <c r="J331" s="273"/>
      <c r="K331" s="404">
        <v>0.05</v>
      </c>
      <c r="L331" s="273"/>
      <c r="M331" s="394">
        <f t="shared" ref="M331:M335" si="38">IF(A331="","",I331*K331)</f>
        <v>327.47029250000003</v>
      </c>
      <c r="N331" s="273"/>
    </row>
    <row r="332" spans="1:14" ht="13.5" x14ac:dyDescent="0.2">
      <c r="A332" s="403" t="s">
        <v>3174</v>
      </c>
      <c r="B332" s="271"/>
      <c r="C332" s="271"/>
      <c r="D332" s="271"/>
      <c r="E332" s="271"/>
      <c r="F332" s="271"/>
      <c r="G332" s="273"/>
      <c r="H332" s="29" t="s">
        <v>24</v>
      </c>
      <c r="I332" s="394">
        <f>+M327</f>
        <v>53.642457777777786</v>
      </c>
      <c r="J332" s="273"/>
      <c r="K332" s="404">
        <v>0.05</v>
      </c>
      <c r="L332" s="273"/>
      <c r="M332" s="394">
        <f t="shared" si="38"/>
        <v>2.6821228888888893</v>
      </c>
      <c r="N332" s="273"/>
    </row>
    <row r="333" spans="1:14" ht="13.5" x14ac:dyDescent="0.2">
      <c r="A333" s="400"/>
      <c r="B333" s="271"/>
      <c r="C333" s="271"/>
      <c r="D333" s="271"/>
      <c r="E333" s="271"/>
      <c r="F333" s="271"/>
      <c r="G333" s="273"/>
      <c r="H333" s="29"/>
      <c r="I333" s="394"/>
      <c r="J333" s="273"/>
      <c r="K333" s="395"/>
      <c r="L333" s="273"/>
      <c r="M333" s="394" t="str">
        <f t="shared" si="38"/>
        <v/>
      </c>
      <c r="N333" s="273"/>
    </row>
    <row r="334" spans="1:14" ht="13.5" x14ac:dyDescent="0.2">
      <c r="A334" s="400"/>
      <c r="B334" s="271"/>
      <c r="C334" s="271"/>
      <c r="D334" s="271"/>
      <c r="E334" s="271"/>
      <c r="F334" s="271"/>
      <c r="G334" s="273"/>
      <c r="H334" s="29"/>
      <c r="I334" s="394"/>
      <c r="J334" s="273"/>
      <c r="K334" s="395"/>
      <c r="L334" s="273"/>
      <c r="M334" s="394" t="str">
        <f t="shared" si="38"/>
        <v/>
      </c>
      <c r="N334" s="273"/>
    </row>
    <row r="335" spans="1:14" ht="13.5" x14ac:dyDescent="0.2">
      <c r="A335" s="400"/>
      <c r="B335" s="271"/>
      <c r="C335" s="271"/>
      <c r="D335" s="271"/>
      <c r="E335" s="271"/>
      <c r="F335" s="271"/>
      <c r="G335" s="273"/>
      <c r="H335" s="29"/>
      <c r="I335" s="394"/>
      <c r="J335" s="273"/>
      <c r="K335" s="395"/>
      <c r="L335" s="273"/>
      <c r="M335" s="394" t="str">
        <f t="shared" si="38"/>
        <v/>
      </c>
      <c r="N335" s="273"/>
    </row>
    <row r="336" spans="1:14" ht="13.5" x14ac:dyDescent="0.25">
      <c r="A336" s="4"/>
      <c r="B336" s="4"/>
      <c r="C336" s="4"/>
      <c r="D336" s="4"/>
      <c r="E336" s="4"/>
      <c r="F336" s="4"/>
      <c r="G336" s="4"/>
      <c r="H336" s="4"/>
      <c r="I336" s="4"/>
      <c r="J336" s="4"/>
      <c r="K336" s="396" t="s">
        <v>444</v>
      </c>
      <c r="L336" s="273"/>
      <c r="M336" s="394">
        <f>SUM(M331:N335)</f>
        <v>330.15241538888893</v>
      </c>
      <c r="N336" s="273"/>
    </row>
    <row r="337" spans="1:14" ht="13.5" x14ac:dyDescent="0.25">
      <c r="A337" s="4"/>
      <c r="B337" s="4"/>
      <c r="C337" s="4"/>
      <c r="D337" s="4"/>
      <c r="E337" s="4"/>
      <c r="F337" s="4"/>
      <c r="G337" s="4"/>
      <c r="H337" s="4"/>
      <c r="I337" s="4"/>
      <c r="J337" s="4"/>
      <c r="K337" s="4"/>
      <c r="L337" s="4"/>
      <c r="M337" s="4"/>
      <c r="N337" s="4"/>
    </row>
    <row r="338" spans="1:14" x14ac:dyDescent="0.2">
      <c r="A338" s="398" t="s">
        <v>931</v>
      </c>
      <c r="B338" s="271"/>
      <c r="C338" s="271"/>
      <c r="D338" s="271"/>
      <c r="E338" s="271"/>
      <c r="F338" s="271"/>
      <c r="G338" s="271"/>
      <c r="H338" s="271"/>
      <c r="I338" s="271"/>
      <c r="J338" s="271"/>
      <c r="K338" s="271"/>
      <c r="L338" s="271"/>
      <c r="M338" s="271"/>
      <c r="N338" s="273"/>
    </row>
    <row r="339" spans="1:14" x14ac:dyDescent="0.2">
      <c r="A339" s="396" t="s">
        <v>76</v>
      </c>
      <c r="B339" s="271"/>
      <c r="C339" s="271"/>
      <c r="D339" s="271"/>
      <c r="E339" s="271"/>
      <c r="F339" s="271"/>
      <c r="G339" s="273"/>
      <c r="H339" s="88" t="s">
        <v>77</v>
      </c>
      <c r="I339" s="399" t="s">
        <v>920</v>
      </c>
      <c r="J339" s="273"/>
      <c r="K339" s="90" t="s">
        <v>514</v>
      </c>
      <c r="L339" s="91" t="s">
        <v>932</v>
      </c>
      <c r="M339" s="399" t="s">
        <v>921</v>
      </c>
      <c r="N339" s="273"/>
    </row>
    <row r="340" spans="1:14" ht="13.5" x14ac:dyDescent="0.25">
      <c r="A340" s="393" t="s">
        <v>973</v>
      </c>
      <c r="B340" s="271"/>
      <c r="C340" s="271"/>
      <c r="D340" s="271"/>
      <c r="E340" s="271"/>
      <c r="F340" s="271"/>
      <c r="G340" s="273"/>
      <c r="H340" s="29" t="str">
        <f>IF(A340="","",VLOOKUP(A340,AA_Cuadrillas,4,FALSE))</f>
        <v>Cuadrilla</v>
      </c>
      <c r="I340" s="394">
        <f>IF(A340="","",VLOOKUP(A340,AA_Cuadrillas,5,FALSE))</f>
        <v>256799</v>
      </c>
      <c r="J340" s="273"/>
      <c r="K340" s="9">
        <f>IF(A340="","",F.P!$I$2)</f>
        <v>1.88</v>
      </c>
      <c r="L340" s="93">
        <f>1/450</f>
        <v>2.2222222222222222E-3</v>
      </c>
      <c r="M340" s="394">
        <f t="shared" ref="M340:M344" si="39">IF(A340="","",I340*K340*L340)</f>
        <v>1072.8491555555556</v>
      </c>
      <c r="N340" s="273"/>
    </row>
    <row r="341" spans="1:14" ht="13.5" x14ac:dyDescent="0.25">
      <c r="A341" s="393"/>
      <c r="B341" s="271"/>
      <c r="C341" s="271"/>
      <c r="D341" s="271"/>
      <c r="E341" s="271"/>
      <c r="F341" s="271"/>
      <c r="G341" s="273"/>
      <c r="H341" s="29" t="str">
        <f>IF(A341="","",VLOOKUP(A341,AA_Cuadrillas,4,FALSE))</f>
        <v/>
      </c>
      <c r="I341" s="394" t="str">
        <f>IF(A341="","",VLOOKUP(A341,AA_Cuadrillas,5,FALSE))</f>
        <v/>
      </c>
      <c r="J341" s="273"/>
      <c r="K341" s="9" t="str">
        <f>IF(A341="","",F.P!$I$2)</f>
        <v/>
      </c>
      <c r="L341" s="9"/>
      <c r="M341" s="394" t="str">
        <f t="shared" si="39"/>
        <v/>
      </c>
      <c r="N341" s="273"/>
    </row>
    <row r="342" spans="1:14" ht="13.5" x14ac:dyDescent="0.25">
      <c r="A342" s="393"/>
      <c r="B342" s="271"/>
      <c r="C342" s="271"/>
      <c r="D342" s="271"/>
      <c r="E342" s="271"/>
      <c r="F342" s="271"/>
      <c r="G342" s="273"/>
      <c r="H342" s="29" t="str">
        <f>IF(A342="","",VLOOKUP(A342,AA_Cuadrillas,4,FALSE))</f>
        <v/>
      </c>
      <c r="I342" s="394" t="str">
        <f>IF(A342="","",VLOOKUP(A342,AA_Cuadrillas,5,FALSE))</f>
        <v/>
      </c>
      <c r="J342" s="273"/>
      <c r="K342" s="9" t="str">
        <f>IF(A342="","",F.P!$I$2)</f>
        <v/>
      </c>
      <c r="L342" s="37"/>
      <c r="M342" s="394" t="str">
        <f t="shared" si="39"/>
        <v/>
      </c>
      <c r="N342" s="273"/>
    </row>
    <row r="343" spans="1:14" ht="13.5" x14ac:dyDescent="0.25">
      <c r="A343" s="393"/>
      <c r="B343" s="271"/>
      <c r="C343" s="271"/>
      <c r="D343" s="271"/>
      <c r="E343" s="271"/>
      <c r="F343" s="271"/>
      <c r="G343" s="273"/>
      <c r="H343" s="29" t="str">
        <f>IF(A343="","",VLOOKUP(A343,AA_Cuadrillas,4,FALSE))</f>
        <v/>
      </c>
      <c r="I343" s="394" t="str">
        <f>IF(A343="","",VLOOKUP(A343,AA_Cuadrillas,5,FALSE))</f>
        <v/>
      </c>
      <c r="J343" s="273"/>
      <c r="K343" s="9" t="str">
        <f>IF(A343="","",F.P!$I$2)</f>
        <v/>
      </c>
      <c r="L343" s="37"/>
      <c r="M343" s="394" t="str">
        <f t="shared" si="39"/>
        <v/>
      </c>
      <c r="N343" s="273"/>
    </row>
    <row r="344" spans="1:14" ht="13.5" x14ac:dyDescent="0.25">
      <c r="A344" s="393"/>
      <c r="B344" s="271"/>
      <c r="C344" s="271"/>
      <c r="D344" s="271"/>
      <c r="E344" s="271"/>
      <c r="F344" s="271"/>
      <c r="G344" s="273"/>
      <c r="H344" s="29" t="str">
        <f>IF(A344="","",VLOOKUP(A344,AA_Cuadrillas,4,FALSE))</f>
        <v/>
      </c>
      <c r="I344" s="394" t="str">
        <f>IF(A344="","",VLOOKUP(A344,AA_Cuadrillas,5,FALSE))</f>
        <v/>
      </c>
      <c r="J344" s="273"/>
      <c r="K344" s="9" t="str">
        <f>IF(A344="","",F.P!$I$2)</f>
        <v/>
      </c>
      <c r="L344" s="37"/>
      <c r="M344" s="394" t="str">
        <f t="shared" si="39"/>
        <v/>
      </c>
      <c r="N344" s="273"/>
    </row>
    <row r="345" spans="1:14" ht="13.5" x14ac:dyDescent="0.25">
      <c r="A345" s="4"/>
      <c r="B345" s="4"/>
      <c r="C345" s="4"/>
      <c r="D345" s="4"/>
      <c r="E345" s="4"/>
      <c r="F345" s="4"/>
      <c r="G345" s="4"/>
      <c r="H345" s="4"/>
      <c r="I345" s="4"/>
      <c r="J345" s="4"/>
      <c r="K345" s="396" t="s">
        <v>444</v>
      </c>
      <c r="L345" s="273"/>
      <c r="M345" s="394">
        <f>SUM(M340:N344)</f>
        <v>1072.8491555555556</v>
      </c>
      <c r="N345" s="273"/>
    </row>
    <row r="348" spans="1:14" x14ac:dyDescent="0.2">
      <c r="A348" s="407" t="s">
        <v>146</v>
      </c>
      <c r="B348" s="275"/>
      <c r="C348" s="275"/>
      <c r="D348" s="275"/>
      <c r="E348" s="275"/>
      <c r="F348" s="275"/>
      <c r="G348" s="275"/>
      <c r="H348" s="275"/>
      <c r="I348" s="275"/>
      <c r="J348" s="275"/>
      <c r="K348" s="275"/>
      <c r="L348" s="275"/>
      <c r="M348" s="275"/>
      <c r="N348" s="276"/>
    </row>
    <row r="349" spans="1:14" x14ac:dyDescent="0.2">
      <c r="A349" s="277"/>
      <c r="B349" s="278"/>
      <c r="C349" s="278"/>
      <c r="D349" s="278"/>
      <c r="E349" s="278"/>
      <c r="F349" s="278"/>
      <c r="G349" s="278"/>
      <c r="H349" s="278"/>
      <c r="I349" s="278"/>
      <c r="J349" s="278"/>
      <c r="K349" s="278"/>
      <c r="L349" s="278"/>
      <c r="M349" s="278"/>
      <c r="N349" s="279"/>
    </row>
    <row r="350" spans="1:14" ht="13.5" x14ac:dyDescent="0.2">
      <c r="A350" s="75"/>
      <c r="B350" s="75"/>
      <c r="C350" s="75"/>
      <c r="D350" s="75"/>
      <c r="E350" s="75"/>
      <c r="F350" s="75"/>
      <c r="G350" s="75"/>
      <c r="H350" s="75"/>
      <c r="I350" s="75"/>
      <c r="J350" s="75"/>
      <c r="K350" s="75"/>
      <c r="L350" s="75"/>
      <c r="M350" s="75"/>
      <c r="N350" s="75"/>
    </row>
    <row r="351" spans="1:14" ht="14.25" x14ac:dyDescent="0.3">
      <c r="A351" s="79" t="s">
        <v>782</v>
      </c>
      <c r="B351" s="80" t="str">
        <f>A348</f>
        <v>EXTENDIDO MANUAL DE TIERRAS CON MATERIAL DE LA PROPIA EXCAVACÍON (INCLUYE HERRAMIENTA MENOR Y MANO DE OBRA)</v>
      </c>
      <c r="C351" s="81" t="s">
        <v>916</v>
      </c>
      <c r="D351" s="82" t="s">
        <v>258</v>
      </c>
      <c r="E351" s="83" t="s">
        <v>445</v>
      </c>
      <c r="F351" s="244">
        <f>H351+J351+L351+N351</f>
        <v>20787.034979999997</v>
      </c>
      <c r="G351" s="83" t="s">
        <v>607</v>
      </c>
      <c r="H351" s="86">
        <f>M370</f>
        <v>987.50759999999991</v>
      </c>
      <c r="I351" s="83" t="s">
        <v>918</v>
      </c>
      <c r="J351" s="86">
        <f>M361</f>
        <v>0</v>
      </c>
      <c r="K351" s="83" t="s">
        <v>609</v>
      </c>
      <c r="L351" s="86">
        <f>M379</f>
        <v>49.37538</v>
      </c>
      <c r="M351" s="83" t="s">
        <v>610</v>
      </c>
      <c r="N351" s="86">
        <f>M388</f>
        <v>19750.151999999998</v>
      </c>
    </row>
    <row r="352" spans="1:14" ht="13.5" x14ac:dyDescent="0.25">
      <c r="A352" s="87"/>
      <c r="B352" s="87"/>
      <c r="C352" s="87"/>
      <c r="D352" s="87"/>
      <c r="E352" s="87"/>
      <c r="F352" s="87"/>
      <c r="G352" s="87"/>
      <c r="J352" s="87"/>
      <c r="K352" s="215" t="s">
        <v>3217</v>
      </c>
      <c r="L352" s="215">
        <f>+F351*presup!$O$5</f>
        <v>27023.145473999997</v>
      </c>
      <c r="M352" s="87"/>
      <c r="N352" s="87"/>
    </row>
    <row r="353" spans="1:14" x14ac:dyDescent="0.2">
      <c r="A353" s="398" t="s">
        <v>919</v>
      </c>
      <c r="B353" s="271"/>
      <c r="C353" s="271"/>
      <c r="D353" s="271"/>
      <c r="E353" s="271"/>
      <c r="F353" s="271"/>
      <c r="G353" s="271"/>
      <c r="H353" s="271"/>
      <c r="I353" s="271"/>
      <c r="J353" s="271"/>
      <c r="K353" s="271"/>
      <c r="L353" s="271"/>
      <c r="M353" s="271"/>
      <c r="N353" s="273"/>
    </row>
    <row r="354" spans="1:14" x14ac:dyDescent="0.2">
      <c r="A354" s="396" t="s">
        <v>76</v>
      </c>
      <c r="B354" s="271"/>
      <c r="C354" s="271"/>
      <c r="D354" s="271"/>
      <c r="E354" s="271"/>
      <c r="F354" s="271"/>
      <c r="G354" s="273"/>
      <c r="H354" s="88" t="s">
        <v>77</v>
      </c>
      <c r="I354" s="399" t="s">
        <v>920</v>
      </c>
      <c r="J354" s="273"/>
      <c r="K354" s="399" t="s">
        <v>453</v>
      </c>
      <c r="L354" s="273"/>
      <c r="M354" s="399" t="s">
        <v>921</v>
      </c>
      <c r="N354" s="273"/>
    </row>
    <row r="355" spans="1:14" ht="13.5" x14ac:dyDescent="0.2">
      <c r="A355" s="403"/>
      <c r="B355" s="271"/>
      <c r="C355" s="271"/>
      <c r="D355" s="271"/>
      <c r="E355" s="271"/>
      <c r="F355" s="271"/>
      <c r="G355" s="273"/>
      <c r="H355" s="29" t="str">
        <f t="shared" ref="H355:H360" si="40">IF(A355="","",VLOOKUP(A355,AA_Materiales,7,FALSE))</f>
        <v/>
      </c>
      <c r="I355" s="394" t="str">
        <f t="shared" ref="I355:I360" si="41">IF(A355="","",VLOOKUP(A355,AA_Materiales,8,FALSE))</f>
        <v/>
      </c>
      <c r="J355" s="273"/>
      <c r="K355" s="395"/>
      <c r="L355" s="273"/>
      <c r="M355" s="394" t="str">
        <f t="shared" ref="M355:M360" si="42">IF(A355="","",I355*K355)</f>
        <v/>
      </c>
      <c r="N355" s="273"/>
    </row>
    <row r="356" spans="1:14" ht="13.5" x14ac:dyDescent="0.2">
      <c r="A356" s="400"/>
      <c r="B356" s="271"/>
      <c r="C356" s="271"/>
      <c r="D356" s="271"/>
      <c r="E356" s="271"/>
      <c r="F356" s="271"/>
      <c r="G356" s="273"/>
      <c r="H356" s="29" t="str">
        <f t="shared" si="40"/>
        <v/>
      </c>
      <c r="I356" s="394" t="str">
        <f t="shared" si="41"/>
        <v/>
      </c>
      <c r="J356" s="273"/>
      <c r="K356" s="395"/>
      <c r="L356" s="273"/>
      <c r="M356" s="394" t="str">
        <f t="shared" si="42"/>
        <v/>
      </c>
      <c r="N356" s="273"/>
    </row>
    <row r="357" spans="1:14" ht="13.5" x14ac:dyDescent="0.2">
      <c r="A357" s="400"/>
      <c r="B357" s="271"/>
      <c r="C357" s="271"/>
      <c r="D357" s="271"/>
      <c r="E357" s="271"/>
      <c r="F357" s="271"/>
      <c r="G357" s="273"/>
      <c r="H357" s="29" t="str">
        <f t="shared" si="40"/>
        <v/>
      </c>
      <c r="I357" s="394" t="str">
        <f t="shared" si="41"/>
        <v/>
      </c>
      <c r="J357" s="273"/>
      <c r="K357" s="395"/>
      <c r="L357" s="273"/>
      <c r="M357" s="394" t="str">
        <f t="shared" si="42"/>
        <v/>
      </c>
      <c r="N357" s="273"/>
    </row>
    <row r="358" spans="1:14" ht="13.5" x14ac:dyDescent="0.2">
      <c r="A358" s="400"/>
      <c r="B358" s="271"/>
      <c r="C358" s="271"/>
      <c r="D358" s="271"/>
      <c r="E358" s="271"/>
      <c r="F358" s="271"/>
      <c r="G358" s="273"/>
      <c r="H358" s="29" t="str">
        <f t="shared" si="40"/>
        <v/>
      </c>
      <c r="I358" s="394" t="str">
        <f t="shared" si="41"/>
        <v/>
      </c>
      <c r="J358" s="273"/>
      <c r="K358" s="395"/>
      <c r="L358" s="273"/>
      <c r="M358" s="394" t="str">
        <f t="shared" si="42"/>
        <v/>
      </c>
      <c r="N358" s="273"/>
    </row>
    <row r="359" spans="1:14" ht="13.5" x14ac:dyDescent="0.2">
      <c r="A359" s="400"/>
      <c r="B359" s="271"/>
      <c r="C359" s="271"/>
      <c r="D359" s="271"/>
      <c r="E359" s="271"/>
      <c r="F359" s="271"/>
      <c r="G359" s="273"/>
      <c r="H359" s="29" t="str">
        <f t="shared" si="40"/>
        <v/>
      </c>
      <c r="I359" s="394" t="str">
        <f t="shared" si="41"/>
        <v/>
      </c>
      <c r="J359" s="273"/>
      <c r="K359" s="395"/>
      <c r="L359" s="273"/>
      <c r="M359" s="394" t="str">
        <f t="shared" si="42"/>
        <v/>
      </c>
      <c r="N359" s="273"/>
    </row>
    <row r="360" spans="1:14" ht="13.5" x14ac:dyDescent="0.2">
      <c r="A360" s="400"/>
      <c r="B360" s="271"/>
      <c r="C360" s="271"/>
      <c r="D360" s="271"/>
      <c r="E360" s="271"/>
      <c r="F360" s="271"/>
      <c r="G360" s="273"/>
      <c r="H360" s="29" t="str">
        <f t="shared" si="40"/>
        <v/>
      </c>
      <c r="I360" s="394" t="str">
        <f t="shared" si="41"/>
        <v/>
      </c>
      <c r="J360" s="273"/>
      <c r="K360" s="395"/>
      <c r="L360" s="273"/>
      <c r="M360" s="394" t="str">
        <f t="shared" si="42"/>
        <v/>
      </c>
      <c r="N360" s="273"/>
    </row>
    <row r="361" spans="1:14" ht="13.5" x14ac:dyDescent="0.25">
      <c r="A361" s="4"/>
      <c r="B361" s="4"/>
      <c r="C361" s="4"/>
      <c r="D361" s="4"/>
      <c r="E361" s="4"/>
      <c r="F361" s="4"/>
      <c r="G361" s="4"/>
      <c r="H361" s="4"/>
      <c r="I361" s="4"/>
      <c r="J361" s="4"/>
      <c r="K361" s="396" t="s">
        <v>444</v>
      </c>
      <c r="L361" s="273"/>
      <c r="M361" s="394">
        <f>SUM(M355:N360)</f>
        <v>0</v>
      </c>
      <c r="N361" s="273"/>
    </row>
    <row r="362" spans="1:14" ht="13.5" x14ac:dyDescent="0.25">
      <c r="A362" s="4"/>
      <c r="B362" s="4"/>
      <c r="C362" s="4"/>
      <c r="D362" s="4"/>
      <c r="E362" s="4"/>
      <c r="F362" s="4"/>
      <c r="G362" s="4"/>
      <c r="H362" s="4"/>
      <c r="I362" s="4"/>
      <c r="J362" s="4"/>
      <c r="K362" s="4"/>
      <c r="L362" s="4"/>
      <c r="M362" s="4"/>
      <c r="N362" s="4"/>
    </row>
    <row r="363" spans="1:14" x14ac:dyDescent="0.2">
      <c r="A363" s="398" t="s">
        <v>926</v>
      </c>
      <c r="B363" s="271"/>
      <c r="C363" s="271"/>
      <c r="D363" s="271"/>
      <c r="E363" s="271"/>
      <c r="F363" s="271"/>
      <c r="G363" s="271"/>
      <c r="H363" s="271"/>
      <c r="I363" s="271"/>
      <c r="J363" s="271"/>
      <c r="K363" s="271"/>
      <c r="L363" s="271"/>
      <c r="M363" s="271"/>
      <c r="N363" s="273"/>
    </row>
    <row r="364" spans="1:14" x14ac:dyDescent="0.2">
      <c r="A364" s="396" t="s">
        <v>76</v>
      </c>
      <c r="B364" s="271"/>
      <c r="C364" s="271"/>
      <c r="D364" s="271"/>
      <c r="E364" s="271"/>
      <c r="F364" s="271"/>
      <c r="G364" s="273"/>
      <c r="H364" s="88" t="s">
        <v>77</v>
      </c>
      <c r="I364" s="399" t="s">
        <v>920</v>
      </c>
      <c r="J364" s="273"/>
      <c r="K364" s="399" t="s">
        <v>453</v>
      </c>
      <c r="L364" s="273"/>
      <c r="M364" s="399" t="s">
        <v>921</v>
      </c>
      <c r="N364" s="273"/>
    </row>
    <row r="365" spans="1:14" ht="13.5" x14ac:dyDescent="0.2">
      <c r="A365" s="400" t="s">
        <v>927</v>
      </c>
      <c r="B365" s="271"/>
      <c r="C365" s="271"/>
      <c r="D365" s="271"/>
      <c r="E365" s="271"/>
      <c r="F365" s="271"/>
      <c r="G365" s="273"/>
      <c r="H365" s="29" t="str">
        <f>IF(A365="","",VLOOKUP(A365,AA_Equipos,7,FALSE))</f>
        <v>% M.O.</v>
      </c>
      <c r="I365" s="394">
        <f>+M388</f>
        <v>19750.151999999998</v>
      </c>
      <c r="J365" s="273"/>
      <c r="K365" s="404">
        <v>0.05</v>
      </c>
      <c r="L365" s="273"/>
      <c r="M365" s="394">
        <f t="shared" ref="M365:M369" si="43">IF(A365="","",I365*K365)</f>
        <v>987.50759999999991</v>
      </c>
      <c r="N365" s="273"/>
    </row>
    <row r="366" spans="1:14" ht="13.5" x14ac:dyDescent="0.2">
      <c r="A366" s="403"/>
      <c r="B366" s="271"/>
      <c r="C366" s="271"/>
      <c r="D366" s="271"/>
      <c r="E366" s="271"/>
      <c r="F366" s="271"/>
      <c r="G366" s="273"/>
      <c r="H366" s="29" t="str">
        <f>IF(A366="","",VLOOKUP(A366,AA_Equipos,7,FALSE))</f>
        <v/>
      </c>
      <c r="I366" s="394" t="str">
        <f>IF(A366="","",VLOOKUP(A366,AA_Equipos,8,FALSE))</f>
        <v/>
      </c>
      <c r="J366" s="273"/>
      <c r="K366" s="402"/>
      <c r="L366" s="273"/>
      <c r="M366" s="394" t="str">
        <f t="shared" si="43"/>
        <v/>
      </c>
      <c r="N366" s="273"/>
    </row>
    <row r="367" spans="1:14" ht="13.5" x14ac:dyDescent="0.2">
      <c r="A367" s="400"/>
      <c r="B367" s="271"/>
      <c r="C367" s="271"/>
      <c r="D367" s="271"/>
      <c r="E367" s="271"/>
      <c r="F367" s="271"/>
      <c r="G367" s="273"/>
      <c r="H367" s="29" t="str">
        <f>IF(A367="","",VLOOKUP(A367,AA_Equipos,7,FALSE))</f>
        <v/>
      </c>
      <c r="I367" s="394" t="str">
        <f>IF(A367="","",VLOOKUP(A367,AA_Equipos,8,FALSE))</f>
        <v/>
      </c>
      <c r="J367" s="273"/>
      <c r="K367" s="401"/>
      <c r="L367" s="273"/>
      <c r="M367" s="394" t="str">
        <f t="shared" si="43"/>
        <v/>
      </c>
      <c r="N367" s="273"/>
    </row>
    <row r="368" spans="1:14" ht="13.5" x14ac:dyDescent="0.2">
      <c r="A368" s="400"/>
      <c r="B368" s="271"/>
      <c r="C368" s="271"/>
      <c r="D368" s="271"/>
      <c r="E368" s="271"/>
      <c r="F368" s="271"/>
      <c r="G368" s="273"/>
      <c r="H368" s="29" t="str">
        <f>IF(A368="","",VLOOKUP(A368,AA_Equipos,7,FALSE))</f>
        <v/>
      </c>
      <c r="I368" s="394" t="str">
        <f>IF(A368="","",VLOOKUP(A368,AA_Equipos,8,FALSE))</f>
        <v/>
      </c>
      <c r="J368" s="273"/>
      <c r="K368" s="395"/>
      <c r="L368" s="273"/>
      <c r="M368" s="394" t="str">
        <f t="shared" si="43"/>
        <v/>
      </c>
      <c r="N368" s="273"/>
    </row>
    <row r="369" spans="1:14" ht="13.5" x14ac:dyDescent="0.2">
      <c r="A369" s="400"/>
      <c r="B369" s="271"/>
      <c r="C369" s="271"/>
      <c r="D369" s="271"/>
      <c r="E369" s="271"/>
      <c r="F369" s="271"/>
      <c r="G369" s="273"/>
      <c r="H369" s="29" t="str">
        <f>IF(A369="","",VLOOKUP(A369,AA_Equipos,7,FALSE))</f>
        <v/>
      </c>
      <c r="I369" s="394" t="str">
        <f>IF(A369="","",VLOOKUP(A369,AA_Equipos,8,FALSE))</f>
        <v/>
      </c>
      <c r="J369" s="273"/>
      <c r="K369" s="395"/>
      <c r="L369" s="273"/>
      <c r="M369" s="394" t="str">
        <f t="shared" si="43"/>
        <v/>
      </c>
      <c r="N369" s="273"/>
    </row>
    <row r="370" spans="1:14" ht="13.5" x14ac:dyDescent="0.25">
      <c r="A370" s="4"/>
      <c r="B370" s="4"/>
      <c r="C370" s="4"/>
      <c r="D370" s="4"/>
      <c r="E370" s="4"/>
      <c r="F370" s="4"/>
      <c r="G370" s="4"/>
      <c r="H370" s="4"/>
      <c r="I370" s="4"/>
      <c r="J370" s="4"/>
      <c r="K370" s="396" t="s">
        <v>444</v>
      </c>
      <c r="L370" s="273"/>
      <c r="M370" s="394">
        <f>SUM(M365:N369)</f>
        <v>987.50759999999991</v>
      </c>
      <c r="N370" s="273"/>
    </row>
    <row r="371" spans="1:14" ht="13.5" x14ac:dyDescent="0.25">
      <c r="A371" s="4"/>
      <c r="B371" s="4"/>
      <c r="C371" s="4"/>
      <c r="D371" s="4"/>
      <c r="E371" s="4"/>
      <c r="F371" s="4"/>
      <c r="G371" s="4"/>
      <c r="H371" s="4"/>
      <c r="I371" s="4"/>
      <c r="J371" s="4"/>
      <c r="K371" s="4"/>
      <c r="L371" s="4"/>
      <c r="M371" s="4"/>
      <c r="N371" s="4"/>
    </row>
    <row r="372" spans="1:14" x14ac:dyDescent="0.2">
      <c r="A372" s="398" t="s">
        <v>929</v>
      </c>
      <c r="B372" s="271"/>
      <c r="C372" s="271"/>
      <c r="D372" s="271"/>
      <c r="E372" s="271"/>
      <c r="F372" s="271"/>
      <c r="G372" s="271"/>
      <c r="H372" s="271"/>
      <c r="I372" s="271"/>
      <c r="J372" s="271"/>
      <c r="K372" s="271"/>
      <c r="L372" s="271"/>
      <c r="M372" s="271"/>
      <c r="N372" s="273"/>
    </row>
    <row r="373" spans="1:14" x14ac:dyDescent="0.2">
      <c r="A373" s="396" t="s">
        <v>76</v>
      </c>
      <c r="B373" s="271"/>
      <c r="C373" s="271"/>
      <c r="D373" s="271"/>
      <c r="E373" s="271"/>
      <c r="F373" s="271"/>
      <c r="G373" s="273"/>
      <c r="H373" s="88" t="s">
        <v>77</v>
      </c>
      <c r="I373" s="399" t="s">
        <v>920</v>
      </c>
      <c r="J373" s="273"/>
      <c r="K373" s="399" t="s">
        <v>453</v>
      </c>
      <c r="L373" s="273"/>
      <c r="M373" s="399" t="s">
        <v>921</v>
      </c>
      <c r="N373" s="273"/>
    </row>
    <row r="374" spans="1:14" ht="13.5" x14ac:dyDescent="0.2">
      <c r="A374" s="400" t="s">
        <v>3174</v>
      </c>
      <c r="B374" s="271"/>
      <c r="C374" s="271"/>
      <c r="D374" s="271"/>
      <c r="E374" s="271"/>
      <c r="F374" s="271"/>
      <c r="G374" s="273"/>
      <c r="H374" s="29" t="s">
        <v>24</v>
      </c>
      <c r="I374" s="394">
        <f>+M370</f>
        <v>987.50759999999991</v>
      </c>
      <c r="J374" s="273"/>
      <c r="K374" s="405">
        <v>0.05</v>
      </c>
      <c r="L374" s="406"/>
      <c r="M374" s="394">
        <f t="shared" ref="M374:M378" si="44">IF(A374="","",I374*K374)</f>
        <v>49.37538</v>
      </c>
      <c r="N374" s="273"/>
    </row>
    <row r="375" spans="1:14" ht="13.5" x14ac:dyDescent="0.2">
      <c r="A375" s="403"/>
      <c r="B375" s="271"/>
      <c r="C375" s="271"/>
      <c r="D375" s="271"/>
      <c r="E375" s="271"/>
      <c r="F375" s="271"/>
      <c r="G375" s="273"/>
      <c r="H375" s="29"/>
      <c r="I375" s="394"/>
      <c r="J375" s="273"/>
      <c r="K375" s="404"/>
      <c r="L375" s="273"/>
      <c r="M375" s="394" t="str">
        <f t="shared" si="44"/>
        <v/>
      </c>
      <c r="N375" s="273"/>
    </row>
    <row r="376" spans="1:14" ht="13.5" x14ac:dyDescent="0.2">
      <c r="A376" s="400"/>
      <c r="B376" s="271"/>
      <c r="C376" s="271"/>
      <c r="D376" s="271"/>
      <c r="E376" s="271"/>
      <c r="F376" s="271"/>
      <c r="G376" s="273"/>
      <c r="H376" s="29"/>
      <c r="I376" s="394"/>
      <c r="J376" s="273"/>
      <c r="K376" s="395"/>
      <c r="L376" s="273"/>
      <c r="M376" s="394" t="str">
        <f t="shared" si="44"/>
        <v/>
      </c>
      <c r="N376" s="273"/>
    </row>
    <row r="377" spans="1:14" ht="13.5" x14ac:dyDescent="0.2">
      <c r="A377" s="400"/>
      <c r="B377" s="271"/>
      <c r="C377" s="271"/>
      <c r="D377" s="271"/>
      <c r="E377" s="271"/>
      <c r="F377" s="271"/>
      <c r="G377" s="273"/>
      <c r="H377" s="29"/>
      <c r="I377" s="394"/>
      <c r="J377" s="273"/>
      <c r="K377" s="395"/>
      <c r="L377" s="273"/>
      <c r="M377" s="394" t="str">
        <f t="shared" si="44"/>
        <v/>
      </c>
      <c r="N377" s="273"/>
    </row>
    <row r="378" spans="1:14" ht="13.5" x14ac:dyDescent="0.2">
      <c r="A378" s="400"/>
      <c r="B378" s="271"/>
      <c r="C378" s="271"/>
      <c r="D378" s="271"/>
      <c r="E378" s="271"/>
      <c r="F378" s="271"/>
      <c r="G378" s="273"/>
      <c r="H378" s="29"/>
      <c r="I378" s="394"/>
      <c r="J378" s="273"/>
      <c r="K378" s="395"/>
      <c r="L378" s="273"/>
      <c r="M378" s="394" t="str">
        <f t="shared" si="44"/>
        <v/>
      </c>
      <c r="N378" s="273"/>
    </row>
    <row r="379" spans="1:14" ht="13.5" x14ac:dyDescent="0.25">
      <c r="A379" s="4"/>
      <c r="B379" s="4"/>
      <c r="C379" s="4"/>
      <c r="D379" s="4"/>
      <c r="E379" s="4"/>
      <c r="F379" s="4"/>
      <c r="G379" s="4"/>
      <c r="H379" s="4"/>
      <c r="I379" s="4"/>
      <c r="J379" s="4"/>
      <c r="K379" s="396" t="s">
        <v>444</v>
      </c>
      <c r="L379" s="273"/>
      <c r="M379" s="394">
        <f>SUM(M374:N378)</f>
        <v>49.37538</v>
      </c>
      <c r="N379" s="273"/>
    </row>
    <row r="380" spans="1:14" ht="13.5" x14ac:dyDescent="0.25">
      <c r="A380" s="4"/>
      <c r="B380" s="4"/>
      <c r="C380" s="4"/>
      <c r="D380" s="4"/>
      <c r="E380" s="4"/>
      <c r="F380" s="4"/>
      <c r="G380" s="4"/>
      <c r="H380" s="4"/>
      <c r="I380" s="4"/>
      <c r="J380" s="4"/>
      <c r="K380" s="4"/>
      <c r="L380" s="4"/>
      <c r="M380" s="4"/>
      <c r="N380" s="4"/>
    </row>
    <row r="381" spans="1:14" x14ac:dyDescent="0.2">
      <c r="A381" s="398" t="s">
        <v>931</v>
      </c>
      <c r="B381" s="271"/>
      <c r="C381" s="271"/>
      <c r="D381" s="271"/>
      <c r="E381" s="271"/>
      <c r="F381" s="271"/>
      <c r="G381" s="271"/>
      <c r="H381" s="271"/>
      <c r="I381" s="271"/>
      <c r="J381" s="271"/>
      <c r="K381" s="271"/>
      <c r="L381" s="271"/>
      <c r="M381" s="271"/>
      <c r="N381" s="273"/>
    </row>
    <row r="382" spans="1:14" x14ac:dyDescent="0.2">
      <c r="A382" s="396" t="s">
        <v>76</v>
      </c>
      <c r="B382" s="271"/>
      <c r="C382" s="271"/>
      <c r="D382" s="271"/>
      <c r="E382" s="271"/>
      <c r="F382" s="271"/>
      <c r="G382" s="273"/>
      <c r="H382" s="88" t="s">
        <v>77</v>
      </c>
      <c r="I382" s="399" t="s">
        <v>920</v>
      </c>
      <c r="J382" s="273"/>
      <c r="K382" s="90" t="s">
        <v>514</v>
      </c>
      <c r="L382" s="91" t="s">
        <v>932</v>
      </c>
      <c r="M382" s="399" t="s">
        <v>921</v>
      </c>
      <c r="N382" s="273"/>
    </row>
    <row r="383" spans="1:14" ht="13.5" x14ac:dyDescent="0.25">
      <c r="A383" s="393" t="s">
        <v>936</v>
      </c>
      <c r="B383" s="271"/>
      <c r="C383" s="271"/>
      <c r="D383" s="271"/>
      <c r="E383" s="271"/>
      <c r="F383" s="271"/>
      <c r="G383" s="273"/>
      <c r="H383" s="29" t="str">
        <f>IF(A383="","",VLOOKUP(A383,AA_Cuadrillas,4,FALSE))</f>
        <v>Cuadrilla</v>
      </c>
      <c r="I383" s="394">
        <f>IF(A383="","",VLOOKUP(A383,AA_Cuadrillas,5,FALSE))</f>
        <v>70036</v>
      </c>
      <c r="J383" s="273"/>
      <c r="K383" s="9">
        <f>IF(A383="","",F.P!$I$2)</f>
        <v>1.88</v>
      </c>
      <c r="L383" s="93">
        <v>0.15</v>
      </c>
      <c r="M383" s="394">
        <f t="shared" ref="M383:M387" si="45">IF(A383="","",I383*K383*L383)</f>
        <v>19750.151999999998</v>
      </c>
      <c r="N383" s="273"/>
    </row>
    <row r="384" spans="1:14" ht="13.5" x14ac:dyDescent="0.25">
      <c r="A384" s="393"/>
      <c r="B384" s="271"/>
      <c r="C384" s="271"/>
      <c r="D384" s="271"/>
      <c r="E384" s="271"/>
      <c r="F384" s="271"/>
      <c r="G384" s="273"/>
      <c r="H384" s="29" t="str">
        <f>IF(A384="","",VLOOKUP(A384,AA_Cuadrillas,4,FALSE))</f>
        <v/>
      </c>
      <c r="I384" s="394" t="str">
        <f>IF(A384="","",VLOOKUP(A384,AA_Cuadrillas,5,FALSE))</f>
        <v/>
      </c>
      <c r="J384" s="273"/>
      <c r="K384" s="9" t="str">
        <f>IF(A384="","",F.P!$I$2)</f>
        <v/>
      </c>
      <c r="L384" s="9"/>
      <c r="M384" s="394" t="str">
        <f t="shared" si="45"/>
        <v/>
      </c>
      <c r="N384" s="273"/>
    </row>
    <row r="385" spans="1:14" ht="13.5" x14ac:dyDescent="0.25">
      <c r="A385" s="393"/>
      <c r="B385" s="271"/>
      <c r="C385" s="271"/>
      <c r="D385" s="271"/>
      <c r="E385" s="271"/>
      <c r="F385" s="271"/>
      <c r="G385" s="273"/>
      <c r="H385" s="29" t="str">
        <f>IF(A385="","",VLOOKUP(A385,AA_Cuadrillas,4,FALSE))</f>
        <v/>
      </c>
      <c r="I385" s="394" t="str">
        <f>IF(A385="","",VLOOKUP(A385,AA_Cuadrillas,5,FALSE))</f>
        <v/>
      </c>
      <c r="J385" s="273"/>
      <c r="K385" s="9" t="str">
        <f>IF(A385="","",F.P!$I$2)</f>
        <v/>
      </c>
      <c r="L385" s="37"/>
      <c r="M385" s="394" t="str">
        <f t="shared" si="45"/>
        <v/>
      </c>
      <c r="N385" s="273"/>
    </row>
    <row r="386" spans="1:14" ht="13.5" x14ac:dyDescent="0.25">
      <c r="A386" s="393"/>
      <c r="B386" s="271"/>
      <c r="C386" s="271"/>
      <c r="D386" s="271"/>
      <c r="E386" s="271"/>
      <c r="F386" s="271"/>
      <c r="G386" s="273"/>
      <c r="H386" s="29" t="str">
        <f>IF(A386="","",VLOOKUP(A386,AA_Cuadrillas,4,FALSE))</f>
        <v/>
      </c>
      <c r="I386" s="394" t="str">
        <f>IF(A386="","",VLOOKUP(A386,AA_Cuadrillas,5,FALSE))</f>
        <v/>
      </c>
      <c r="J386" s="273"/>
      <c r="K386" s="9" t="str">
        <f>IF(A386="","",F.P!$I$2)</f>
        <v/>
      </c>
      <c r="L386" s="37"/>
      <c r="M386" s="394" t="str">
        <f t="shared" si="45"/>
        <v/>
      </c>
      <c r="N386" s="273"/>
    </row>
    <row r="387" spans="1:14" ht="13.5" x14ac:dyDescent="0.25">
      <c r="A387" s="393"/>
      <c r="B387" s="271"/>
      <c r="C387" s="271"/>
      <c r="D387" s="271"/>
      <c r="E387" s="271"/>
      <c r="F387" s="271"/>
      <c r="G387" s="273"/>
      <c r="H387" s="29" t="str">
        <f>IF(A387="","",VLOOKUP(A387,AA_Cuadrillas,4,FALSE))</f>
        <v/>
      </c>
      <c r="I387" s="394" t="str">
        <f>IF(A387="","",VLOOKUP(A387,AA_Cuadrillas,5,FALSE))</f>
        <v/>
      </c>
      <c r="J387" s="273"/>
      <c r="K387" s="9" t="str">
        <f>IF(A387="","",F.P!$I$2)</f>
        <v/>
      </c>
      <c r="L387" s="37"/>
      <c r="M387" s="394" t="str">
        <f t="shared" si="45"/>
        <v/>
      </c>
      <c r="N387" s="273"/>
    </row>
    <row r="388" spans="1:14" ht="13.5" x14ac:dyDescent="0.25">
      <c r="A388" s="4"/>
      <c r="B388" s="4"/>
      <c r="C388" s="4"/>
      <c r="D388" s="4"/>
      <c r="E388" s="4"/>
      <c r="F388" s="4"/>
      <c r="G388" s="4"/>
      <c r="H388" s="4"/>
      <c r="I388" s="4"/>
      <c r="J388" s="4"/>
      <c r="K388" s="396" t="s">
        <v>444</v>
      </c>
      <c r="L388" s="273"/>
      <c r="M388" s="394">
        <f>SUM(M383:N387)</f>
        <v>19750.151999999998</v>
      </c>
      <c r="N388" s="273"/>
    </row>
    <row r="391" spans="1:14" x14ac:dyDescent="0.2">
      <c r="A391" s="407" t="s">
        <v>3236</v>
      </c>
      <c r="B391" s="275"/>
      <c r="C391" s="275"/>
      <c r="D391" s="275"/>
      <c r="E391" s="275"/>
      <c r="F391" s="275"/>
      <c r="G391" s="275"/>
      <c r="H391" s="275"/>
      <c r="I391" s="275"/>
      <c r="J391" s="275"/>
      <c r="K391" s="275"/>
      <c r="L391" s="275"/>
      <c r="M391" s="275"/>
      <c r="N391" s="276"/>
    </row>
    <row r="392" spans="1:14" x14ac:dyDescent="0.2">
      <c r="A392" s="277"/>
      <c r="B392" s="278"/>
      <c r="C392" s="278"/>
      <c r="D392" s="278"/>
      <c r="E392" s="278"/>
      <c r="F392" s="278"/>
      <c r="G392" s="278"/>
      <c r="H392" s="278"/>
      <c r="I392" s="278"/>
      <c r="J392" s="278"/>
      <c r="K392" s="278"/>
      <c r="L392" s="278"/>
      <c r="M392" s="278"/>
      <c r="N392" s="279"/>
    </row>
    <row r="393" spans="1:14" ht="13.5" x14ac:dyDescent="0.2">
      <c r="A393" s="216"/>
      <c r="B393" s="216"/>
      <c r="C393" s="216"/>
      <c r="D393" s="216"/>
      <c r="E393" s="216"/>
      <c r="F393" s="216"/>
      <c r="G393" s="216"/>
      <c r="H393" s="216"/>
      <c r="I393" s="216"/>
      <c r="J393" s="216"/>
      <c r="K393" s="216"/>
      <c r="L393" s="216"/>
      <c r="M393" s="216"/>
      <c r="N393" s="216"/>
    </row>
    <row r="394" spans="1:14" ht="14.25" x14ac:dyDescent="0.3">
      <c r="A394" s="79" t="s">
        <v>838</v>
      </c>
      <c r="B394" s="80" t="str">
        <f>A391</f>
        <v>CONCRETO PARA MUROS DE CAJA DE 4000 PSI A TODO COSTO (280 KG/CM2)</v>
      </c>
      <c r="C394" s="81" t="s">
        <v>916</v>
      </c>
      <c r="D394" s="82" t="s">
        <v>258</v>
      </c>
      <c r="E394" s="83" t="s">
        <v>445</v>
      </c>
      <c r="F394" s="240">
        <f>H394+J394+L394+N394</f>
        <v>935642.83752499998</v>
      </c>
      <c r="G394" s="83" t="s">
        <v>607</v>
      </c>
      <c r="H394" s="86">
        <f>M407</f>
        <v>626959.32860000001</v>
      </c>
      <c r="I394" s="83" t="s">
        <v>918</v>
      </c>
      <c r="J394" s="86">
        <f>M416</f>
        <v>48670.608500000002</v>
      </c>
      <c r="K394" s="83" t="s">
        <v>609</v>
      </c>
      <c r="L394" s="86">
        <f>M425</f>
        <v>73483.530425000004</v>
      </c>
      <c r="M394" s="83" t="s">
        <v>610</v>
      </c>
      <c r="N394" s="86">
        <f>M434</f>
        <v>186529.37</v>
      </c>
    </row>
    <row r="395" spans="1:14" ht="13.5" x14ac:dyDescent="0.25">
      <c r="A395" s="432" t="s">
        <v>3249</v>
      </c>
      <c r="B395" s="433"/>
      <c r="C395" s="433"/>
      <c r="D395" s="433"/>
      <c r="E395" s="242" t="s">
        <v>3246</v>
      </c>
      <c r="F395" s="259">
        <f>F394*1.3</f>
        <v>1216335.6887825001</v>
      </c>
      <c r="G395" s="87"/>
      <c r="J395" s="87"/>
      <c r="K395" s="215" t="s">
        <v>3217</v>
      </c>
      <c r="L395" s="215"/>
      <c r="M395" s="87"/>
      <c r="N395" s="87"/>
    </row>
    <row r="396" spans="1:14" x14ac:dyDescent="0.2">
      <c r="A396" s="398" t="s">
        <v>919</v>
      </c>
      <c r="B396" s="271"/>
      <c r="C396" s="271"/>
      <c r="D396" s="271"/>
      <c r="E396" s="271"/>
      <c r="F396" s="271"/>
      <c r="G396" s="271"/>
      <c r="H396" s="271"/>
      <c r="I396" s="271"/>
      <c r="J396" s="271"/>
      <c r="K396" s="271"/>
      <c r="L396" s="271"/>
      <c r="M396" s="271"/>
      <c r="N396" s="273"/>
    </row>
    <row r="397" spans="1:14" x14ac:dyDescent="0.2">
      <c r="A397" s="396" t="s">
        <v>76</v>
      </c>
      <c r="B397" s="271"/>
      <c r="C397" s="271"/>
      <c r="D397" s="271"/>
      <c r="E397" s="271"/>
      <c r="F397" s="271"/>
      <c r="G397" s="273"/>
      <c r="H397" s="88" t="s">
        <v>77</v>
      </c>
      <c r="I397" s="399" t="s">
        <v>920</v>
      </c>
      <c r="J397" s="273"/>
      <c r="K397" s="399" t="s">
        <v>453</v>
      </c>
      <c r="L397" s="273"/>
      <c r="M397" s="399" t="s">
        <v>921</v>
      </c>
      <c r="N397" s="273"/>
    </row>
    <row r="398" spans="1:14" ht="13.5" x14ac:dyDescent="0.2">
      <c r="A398" s="400" t="s">
        <v>953</v>
      </c>
      <c r="B398" s="271"/>
      <c r="C398" s="271"/>
      <c r="D398" s="271"/>
      <c r="E398" s="271"/>
      <c r="F398" s="271"/>
      <c r="G398" s="273"/>
      <c r="H398" s="29" t="str">
        <f t="shared" ref="H398:H406" si="46">IF(A398="","",VLOOKUP(A398,AA_Materiales,7,FALSE))</f>
        <v>Kg</v>
      </c>
      <c r="I398" s="394">
        <f t="shared" ref="I398:I406" si="47">IF(A398="","",VLOOKUP(A398,AA_Materiales,8,FALSE))</f>
        <v>800</v>
      </c>
      <c r="J398" s="273"/>
      <c r="K398" s="395">
        <v>425</v>
      </c>
      <c r="L398" s="273"/>
      <c r="M398" s="394">
        <f t="shared" ref="M398:M406" si="48">IF(A398="","",I398*K398)</f>
        <v>340000</v>
      </c>
      <c r="N398" s="273"/>
    </row>
    <row r="399" spans="1:14" ht="13.5" x14ac:dyDescent="0.2">
      <c r="A399" s="400" t="s">
        <v>954</v>
      </c>
      <c r="B399" s="271"/>
      <c r="C399" s="271"/>
      <c r="D399" s="271"/>
      <c r="E399" s="271"/>
      <c r="F399" s="271"/>
      <c r="G399" s="273"/>
      <c r="H399" s="29" t="str">
        <f t="shared" si="46"/>
        <v>m3</v>
      </c>
      <c r="I399" s="394">
        <f t="shared" si="47"/>
        <v>83000</v>
      </c>
      <c r="J399" s="273"/>
      <c r="K399" s="395">
        <v>0.57999999999999996</v>
      </c>
      <c r="L399" s="273"/>
      <c r="M399" s="394">
        <f t="shared" si="48"/>
        <v>48140</v>
      </c>
      <c r="N399" s="273"/>
    </row>
    <row r="400" spans="1:14" ht="13.5" x14ac:dyDescent="0.2">
      <c r="A400" s="400" t="s">
        <v>955</v>
      </c>
      <c r="B400" s="271"/>
      <c r="C400" s="271"/>
      <c r="D400" s="271"/>
      <c r="E400" s="271"/>
      <c r="F400" s="271"/>
      <c r="G400" s="273"/>
      <c r="H400" s="29" t="str">
        <f t="shared" si="46"/>
        <v>m3</v>
      </c>
      <c r="I400" s="394">
        <f t="shared" si="47"/>
        <v>90000</v>
      </c>
      <c r="J400" s="273"/>
      <c r="K400" s="395">
        <v>0.7</v>
      </c>
      <c r="L400" s="273"/>
      <c r="M400" s="394">
        <f t="shared" si="48"/>
        <v>62999.999999999993</v>
      </c>
      <c r="N400" s="273"/>
    </row>
    <row r="401" spans="1:14" ht="13.5" x14ac:dyDescent="0.2">
      <c r="A401" s="400" t="s">
        <v>956</v>
      </c>
      <c r="B401" s="271"/>
      <c r="C401" s="271"/>
      <c r="D401" s="271"/>
      <c r="E401" s="271"/>
      <c r="F401" s="271"/>
      <c r="G401" s="273"/>
      <c r="H401" s="29" t="str">
        <f t="shared" si="46"/>
        <v>Lt</v>
      </c>
      <c r="I401" s="394">
        <f t="shared" si="47"/>
        <v>20</v>
      </c>
      <c r="J401" s="273"/>
      <c r="K401" s="395">
        <v>200</v>
      </c>
      <c r="L401" s="273"/>
      <c r="M401" s="394">
        <f t="shared" si="48"/>
        <v>4000</v>
      </c>
      <c r="N401" s="273"/>
    </row>
    <row r="402" spans="1:14" ht="13.5" x14ac:dyDescent="0.2">
      <c r="A402" s="400" t="s">
        <v>1164</v>
      </c>
      <c r="B402" s="271"/>
      <c r="C402" s="271"/>
      <c r="D402" s="271"/>
      <c r="E402" s="271"/>
      <c r="F402" s="271"/>
      <c r="G402" s="273"/>
      <c r="H402" s="29" t="str">
        <f t="shared" si="46"/>
        <v>Kg</v>
      </c>
      <c r="I402" s="394">
        <f t="shared" si="47"/>
        <v>24422.22</v>
      </c>
      <c r="J402" s="273"/>
      <c r="K402" s="395">
        <v>2.13</v>
      </c>
      <c r="L402" s="273"/>
      <c r="M402" s="394">
        <f t="shared" si="48"/>
        <v>52019.328600000001</v>
      </c>
      <c r="N402" s="273"/>
    </row>
    <row r="403" spans="1:14" ht="13.5" x14ac:dyDescent="0.2">
      <c r="A403" s="424" t="str">
        <f>'precios '!C648</f>
        <v>Alquiler de camillas de 0,70 x 1,40m (2 dias de uso)</v>
      </c>
      <c r="B403" s="414"/>
      <c r="C403" s="414"/>
      <c r="D403" s="414"/>
      <c r="E403" s="414"/>
      <c r="F403" s="414"/>
      <c r="G403" s="415"/>
      <c r="H403" s="29" t="str">
        <f t="shared" si="46"/>
        <v>Unidad</v>
      </c>
      <c r="I403" s="411">
        <f>IF(A403="","",VLOOKUP(A403,AA_Materiales,8,FALSE))</f>
        <v>2400</v>
      </c>
      <c r="J403" s="368"/>
      <c r="K403" s="425">
        <v>32</v>
      </c>
      <c r="L403" s="368"/>
      <c r="M403" s="411">
        <f t="shared" si="48"/>
        <v>76800</v>
      </c>
      <c r="N403" s="368"/>
    </row>
    <row r="404" spans="1:14" ht="13.5" x14ac:dyDescent="0.2">
      <c r="A404" s="400" t="s">
        <v>1166</v>
      </c>
      <c r="B404" s="271"/>
      <c r="C404" s="271"/>
      <c r="D404" s="271"/>
      <c r="E404" s="271"/>
      <c r="F404" s="271"/>
      <c r="G404" s="273"/>
      <c r="H404" s="29" t="str">
        <f t="shared" si="46"/>
        <v>Unidad</v>
      </c>
      <c r="I404" s="394">
        <f t="shared" si="47"/>
        <v>8000</v>
      </c>
      <c r="J404" s="273"/>
      <c r="K404" s="395">
        <v>4</v>
      </c>
      <c r="L404" s="273"/>
      <c r="M404" s="394">
        <f t="shared" si="48"/>
        <v>32000</v>
      </c>
      <c r="N404" s="273"/>
    </row>
    <row r="405" spans="1:14" ht="13.5" x14ac:dyDescent="0.2">
      <c r="A405" s="400" t="s">
        <v>947</v>
      </c>
      <c r="B405" s="271"/>
      <c r="C405" s="271"/>
      <c r="D405" s="271"/>
      <c r="E405" s="271"/>
      <c r="F405" s="271"/>
      <c r="G405" s="273"/>
      <c r="H405" s="29" t="str">
        <f t="shared" si="46"/>
        <v>LB</v>
      </c>
      <c r="I405" s="394">
        <f t="shared" si="47"/>
        <v>5500</v>
      </c>
      <c r="J405" s="273"/>
      <c r="K405" s="395">
        <v>2</v>
      </c>
      <c r="L405" s="273"/>
      <c r="M405" s="394">
        <f t="shared" si="48"/>
        <v>11000</v>
      </c>
      <c r="N405" s="273"/>
    </row>
    <row r="406" spans="1:14" ht="13.5" x14ac:dyDescent="0.2">
      <c r="A406" s="400"/>
      <c r="B406" s="271"/>
      <c r="C406" s="271"/>
      <c r="D406" s="271"/>
      <c r="E406" s="271"/>
      <c r="F406" s="271"/>
      <c r="G406" s="273"/>
      <c r="H406" s="29" t="str">
        <f t="shared" si="46"/>
        <v/>
      </c>
      <c r="I406" s="394" t="str">
        <f t="shared" si="47"/>
        <v/>
      </c>
      <c r="J406" s="273"/>
      <c r="K406" s="395"/>
      <c r="L406" s="273"/>
      <c r="M406" s="394" t="str">
        <f t="shared" si="48"/>
        <v/>
      </c>
      <c r="N406" s="273"/>
    </row>
    <row r="407" spans="1:14" ht="13.5" x14ac:dyDescent="0.25">
      <c r="A407" s="4"/>
      <c r="B407" s="4"/>
      <c r="C407" s="4"/>
      <c r="D407" s="4"/>
      <c r="E407" s="4"/>
      <c r="F407" s="4"/>
      <c r="G407" s="4"/>
      <c r="H407" s="4"/>
      <c r="I407" s="4"/>
      <c r="J407" s="4"/>
      <c r="K407" s="396" t="s">
        <v>444</v>
      </c>
      <c r="L407" s="273"/>
      <c r="M407" s="394">
        <f>SUM(M398:N406)</f>
        <v>626959.32860000001</v>
      </c>
      <c r="N407" s="273"/>
    </row>
    <row r="408" spans="1:14" ht="13.5" x14ac:dyDescent="0.25">
      <c r="A408" s="4"/>
      <c r="B408" s="4"/>
      <c r="C408" s="4"/>
      <c r="D408" s="4"/>
      <c r="E408" s="4"/>
      <c r="F408" s="4"/>
      <c r="G408" s="4"/>
      <c r="H408" s="4"/>
      <c r="I408" s="4"/>
      <c r="J408" s="4"/>
      <c r="K408" s="4"/>
      <c r="L408" s="4"/>
      <c r="M408" s="4"/>
      <c r="N408" s="4"/>
    </row>
    <row r="409" spans="1:14" x14ac:dyDescent="0.2">
      <c r="A409" s="398" t="s">
        <v>926</v>
      </c>
      <c r="B409" s="271"/>
      <c r="C409" s="271"/>
      <c r="D409" s="271"/>
      <c r="E409" s="271"/>
      <c r="F409" s="271"/>
      <c r="G409" s="271"/>
      <c r="H409" s="271"/>
      <c r="I409" s="271"/>
      <c r="J409" s="271"/>
      <c r="K409" s="271"/>
      <c r="L409" s="271"/>
      <c r="M409" s="271"/>
      <c r="N409" s="273"/>
    </row>
    <row r="410" spans="1:14" x14ac:dyDescent="0.2">
      <c r="A410" s="396" t="s">
        <v>76</v>
      </c>
      <c r="B410" s="271"/>
      <c r="C410" s="271"/>
      <c r="D410" s="271"/>
      <c r="E410" s="271"/>
      <c r="F410" s="271"/>
      <c r="G410" s="273"/>
      <c r="H410" s="88" t="s">
        <v>77</v>
      </c>
      <c r="I410" s="399" t="s">
        <v>920</v>
      </c>
      <c r="J410" s="273"/>
      <c r="K410" s="399" t="s">
        <v>453</v>
      </c>
      <c r="L410" s="273"/>
      <c r="M410" s="399" t="s">
        <v>921</v>
      </c>
      <c r="N410" s="273"/>
    </row>
    <row r="411" spans="1:14" ht="13.5" x14ac:dyDescent="0.2">
      <c r="A411" s="400" t="s">
        <v>927</v>
      </c>
      <c r="B411" s="271"/>
      <c r="C411" s="271"/>
      <c r="D411" s="271"/>
      <c r="E411" s="271"/>
      <c r="F411" s="271"/>
      <c r="G411" s="273"/>
      <c r="H411" s="29" t="str">
        <f>IF(A411="","",VLOOKUP(A411,AA_Equipos,7,FALSE))</f>
        <v>% M.O.</v>
      </c>
      <c r="I411" s="394">
        <f>M434</f>
        <v>186529.37</v>
      </c>
      <c r="J411" s="273"/>
      <c r="K411" s="395">
        <v>0.05</v>
      </c>
      <c r="L411" s="273"/>
      <c r="M411" s="394">
        <f t="shared" ref="M411:M415" si="49">IF(A411="","",I411*K411)</f>
        <v>9326.4685000000009</v>
      </c>
      <c r="N411" s="273"/>
    </row>
    <row r="412" spans="1:14" ht="13.5" x14ac:dyDescent="0.2">
      <c r="A412" s="403" t="s">
        <v>957</v>
      </c>
      <c r="B412" s="271"/>
      <c r="C412" s="271"/>
      <c r="D412" s="271"/>
      <c r="E412" s="271"/>
      <c r="F412" s="271"/>
      <c r="G412" s="273"/>
      <c r="H412" s="29" t="str">
        <f>IF(A412="","",VLOOKUP(A412,AA_Equipos,7,FALSE))</f>
        <v>Dia</v>
      </c>
      <c r="I412" s="394">
        <f>IF(A412="","",VLOOKUP(A412,AA_Equipos,8,FALSE))</f>
        <v>107071</v>
      </c>
      <c r="J412" s="273"/>
      <c r="K412" s="402">
        <v>0.22</v>
      </c>
      <c r="L412" s="273"/>
      <c r="M412" s="394">
        <f t="shared" si="49"/>
        <v>23555.62</v>
      </c>
      <c r="N412" s="273"/>
    </row>
    <row r="413" spans="1:14" ht="13.5" x14ac:dyDescent="0.2">
      <c r="A413" s="400" t="s">
        <v>964</v>
      </c>
      <c r="B413" s="271"/>
      <c r="C413" s="271"/>
      <c r="D413" s="271"/>
      <c r="E413" s="271"/>
      <c r="F413" s="271"/>
      <c r="G413" s="273"/>
      <c r="H413" s="29" t="str">
        <f>IF(A413="","",VLOOKUP(A413,AA_Equipos,7,FALSE))</f>
        <v>Dia</v>
      </c>
      <c r="I413" s="394">
        <f>IF(A413="","",VLOOKUP(A413,AA_Equipos,8,FALSE))</f>
        <v>71766</v>
      </c>
      <c r="J413" s="273"/>
      <c r="K413" s="395">
        <v>0.22</v>
      </c>
      <c r="L413" s="273"/>
      <c r="M413" s="394">
        <f t="shared" si="49"/>
        <v>15788.52</v>
      </c>
      <c r="N413" s="273"/>
    </row>
    <row r="414" spans="1:14" ht="13.5" x14ac:dyDescent="0.2">
      <c r="A414" s="400"/>
      <c r="B414" s="271"/>
      <c r="C414" s="271"/>
      <c r="D414" s="271"/>
      <c r="E414" s="271"/>
      <c r="F414" s="271"/>
      <c r="G414" s="273"/>
      <c r="H414" s="29" t="str">
        <f>IF(A414="","",VLOOKUP(A414,AA_Equipos,7,FALSE))</f>
        <v/>
      </c>
      <c r="I414" s="394" t="str">
        <f>IF(A414="","",VLOOKUP(A414,AA_Equipos,8,FALSE))</f>
        <v/>
      </c>
      <c r="J414" s="273"/>
      <c r="K414" s="395"/>
      <c r="L414" s="273"/>
      <c r="M414" s="394" t="str">
        <f t="shared" si="49"/>
        <v/>
      </c>
      <c r="N414" s="273"/>
    </row>
    <row r="415" spans="1:14" ht="13.5" x14ac:dyDescent="0.2">
      <c r="A415" s="400"/>
      <c r="B415" s="271"/>
      <c r="C415" s="271"/>
      <c r="D415" s="271"/>
      <c r="E415" s="271"/>
      <c r="F415" s="271"/>
      <c r="G415" s="273"/>
      <c r="H415" s="29" t="str">
        <f>IF(A415="","",VLOOKUP(A415,AA_Equipos,7,FALSE))</f>
        <v/>
      </c>
      <c r="I415" s="394" t="str">
        <f>IF(A415="","",VLOOKUP(A415,AA_Equipos,8,FALSE))</f>
        <v/>
      </c>
      <c r="J415" s="273"/>
      <c r="K415" s="395"/>
      <c r="L415" s="273"/>
      <c r="M415" s="394" t="str">
        <f t="shared" si="49"/>
        <v/>
      </c>
      <c r="N415" s="273"/>
    </row>
    <row r="416" spans="1:14" ht="13.5" x14ac:dyDescent="0.25">
      <c r="A416" s="4"/>
      <c r="B416" s="4"/>
      <c r="C416" s="4"/>
      <c r="D416" s="4"/>
      <c r="E416" s="4"/>
      <c r="F416" s="4"/>
      <c r="G416" s="4"/>
      <c r="H416" s="4"/>
      <c r="I416" s="4"/>
      <c r="J416" s="4"/>
      <c r="K416" s="396" t="s">
        <v>444</v>
      </c>
      <c r="L416" s="273"/>
      <c r="M416" s="394">
        <f>SUM(M411:N415)</f>
        <v>48670.608500000002</v>
      </c>
      <c r="N416" s="273"/>
    </row>
    <row r="417" spans="1:14" ht="13.5" x14ac:dyDescent="0.25">
      <c r="A417" s="4"/>
      <c r="B417" s="4"/>
      <c r="C417" s="4"/>
      <c r="D417" s="4"/>
      <c r="E417" s="4"/>
      <c r="F417" s="4"/>
      <c r="G417" s="4"/>
      <c r="H417" s="4"/>
      <c r="I417" s="4"/>
      <c r="J417" s="4"/>
      <c r="K417" s="4"/>
      <c r="L417" s="4"/>
      <c r="M417" s="4"/>
      <c r="N417" s="4"/>
    </row>
    <row r="418" spans="1:14" x14ac:dyDescent="0.2">
      <c r="A418" s="398" t="s">
        <v>929</v>
      </c>
      <c r="B418" s="271"/>
      <c r="C418" s="271"/>
      <c r="D418" s="271"/>
      <c r="E418" s="271"/>
      <c r="F418" s="271"/>
      <c r="G418" s="271"/>
      <c r="H418" s="271"/>
      <c r="I418" s="271"/>
      <c r="J418" s="271"/>
      <c r="K418" s="271"/>
      <c r="L418" s="271"/>
      <c r="M418" s="271"/>
      <c r="N418" s="273"/>
    </row>
    <row r="419" spans="1:14" x14ac:dyDescent="0.2">
      <c r="A419" s="396" t="s">
        <v>76</v>
      </c>
      <c r="B419" s="271"/>
      <c r="C419" s="271"/>
      <c r="D419" s="271"/>
      <c r="E419" s="271"/>
      <c r="F419" s="271"/>
      <c r="G419" s="273"/>
      <c r="H419" s="88" t="s">
        <v>77</v>
      </c>
      <c r="I419" s="399" t="s">
        <v>920</v>
      </c>
      <c r="J419" s="273"/>
      <c r="K419" s="399" t="s">
        <v>453</v>
      </c>
      <c r="L419" s="273"/>
      <c r="M419" s="399" t="s">
        <v>921</v>
      </c>
      <c r="N419" s="273"/>
    </row>
    <row r="420" spans="1:14" ht="13.5" x14ac:dyDescent="0.2">
      <c r="A420" s="400" t="s">
        <v>965</v>
      </c>
      <c r="B420" s="271"/>
      <c r="C420" s="271"/>
      <c r="D420" s="271"/>
      <c r="E420" s="271"/>
      <c r="F420" s="271"/>
      <c r="G420" s="273"/>
      <c r="H420" s="29" t="s">
        <v>959</v>
      </c>
      <c r="I420" s="394">
        <f>+M416</f>
        <v>48670.608500000002</v>
      </c>
      <c r="J420" s="273"/>
      <c r="K420" s="404">
        <v>0.05</v>
      </c>
      <c r="L420" s="273"/>
      <c r="M420" s="394">
        <f t="shared" ref="M420:M424" si="50">IF(A420="","",I420*K420)</f>
        <v>2433.5304250000004</v>
      </c>
      <c r="N420" s="273"/>
    </row>
    <row r="421" spans="1:14" ht="13.5" x14ac:dyDescent="0.2">
      <c r="A421" s="403" t="s">
        <v>966</v>
      </c>
      <c r="B421" s="271"/>
      <c r="C421" s="271"/>
      <c r="D421" s="271"/>
      <c r="E421" s="271"/>
      <c r="F421" s="271"/>
      <c r="G421" s="273"/>
      <c r="H421" s="29" t="s">
        <v>967</v>
      </c>
      <c r="I421" s="411">
        <v>1450</v>
      </c>
      <c r="J421" s="368"/>
      <c r="K421" s="427">
        <f>Indice!L21</f>
        <v>49</v>
      </c>
      <c r="L421" s="368"/>
      <c r="M421" s="394">
        <f t="shared" si="50"/>
        <v>71050</v>
      </c>
      <c r="N421" s="273"/>
    </row>
    <row r="422" spans="1:14" ht="13.5" x14ac:dyDescent="0.2">
      <c r="A422" s="400"/>
      <c r="B422" s="271"/>
      <c r="C422" s="271"/>
      <c r="D422" s="271"/>
      <c r="E422" s="271"/>
      <c r="F422" s="271"/>
      <c r="G422" s="273"/>
      <c r="H422" s="29"/>
      <c r="I422" s="394"/>
      <c r="J422" s="273"/>
      <c r="K422" s="395"/>
      <c r="L422" s="273"/>
      <c r="M422" s="394" t="str">
        <f t="shared" si="50"/>
        <v/>
      </c>
      <c r="N422" s="273"/>
    </row>
    <row r="423" spans="1:14" ht="13.5" x14ac:dyDescent="0.2">
      <c r="A423" s="400"/>
      <c r="B423" s="271"/>
      <c r="C423" s="271"/>
      <c r="D423" s="271"/>
      <c r="E423" s="271"/>
      <c r="F423" s="271"/>
      <c r="G423" s="273"/>
      <c r="H423" s="29"/>
      <c r="I423" s="394"/>
      <c r="J423" s="273"/>
      <c r="K423" s="395"/>
      <c r="L423" s="273"/>
      <c r="M423" s="394" t="str">
        <f t="shared" si="50"/>
        <v/>
      </c>
      <c r="N423" s="273"/>
    </row>
    <row r="424" spans="1:14" ht="13.5" x14ac:dyDescent="0.2">
      <c r="A424" s="400"/>
      <c r="B424" s="271"/>
      <c r="C424" s="271"/>
      <c r="D424" s="271"/>
      <c r="E424" s="271"/>
      <c r="F424" s="271"/>
      <c r="G424" s="273"/>
      <c r="H424" s="29"/>
      <c r="I424" s="394"/>
      <c r="J424" s="273"/>
      <c r="K424" s="395"/>
      <c r="L424" s="273"/>
      <c r="M424" s="394" t="str">
        <f t="shared" si="50"/>
        <v/>
      </c>
      <c r="N424" s="273"/>
    </row>
    <row r="425" spans="1:14" ht="13.5" x14ac:dyDescent="0.25">
      <c r="A425" s="4"/>
      <c r="B425" s="4"/>
      <c r="C425" s="4"/>
      <c r="D425" s="4"/>
      <c r="E425" s="4"/>
      <c r="F425" s="4"/>
      <c r="G425" s="4"/>
      <c r="H425" s="4"/>
      <c r="I425" s="4"/>
      <c r="J425" s="4"/>
      <c r="K425" s="396" t="s">
        <v>444</v>
      </c>
      <c r="L425" s="273"/>
      <c r="M425" s="394">
        <f>SUM(M420:N424)</f>
        <v>73483.530425000004</v>
      </c>
      <c r="N425" s="273"/>
    </row>
    <row r="426" spans="1:14" ht="13.5" x14ac:dyDescent="0.25">
      <c r="A426" s="4"/>
      <c r="B426" s="4"/>
      <c r="C426" s="4"/>
      <c r="D426" s="4"/>
      <c r="E426" s="4"/>
      <c r="F426" s="4"/>
      <c r="G426" s="4"/>
      <c r="H426" s="4"/>
      <c r="I426" s="4"/>
      <c r="J426" s="4"/>
      <c r="K426" s="4"/>
      <c r="L426" s="4"/>
      <c r="M426" s="4"/>
      <c r="N426" s="4"/>
    </row>
    <row r="427" spans="1:14" x14ac:dyDescent="0.2">
      <c r="A427" s="398" t="s">
        <v>931</v>
      </c>
      <c r="B427" s="271"/>
      <c r="C427" s="271"/>
      <c r="D427" s="271"/>
      <c r="E427" s="271"/>
      <c r="F427" s="271"/>
      <c r="G427" s="271"/>
      <c r="H427" s="271"/>
      <c r="I427" s="271"/>
      <c r="J427" s="271"/>
      <c r="K427" s="271"/>
      <c r="L427" s="271"/>
      <c r="M427" s="271"/>
      <c r="N427" s="273"/>
    </row>
    <row r="428" spans="1:14" x14ac:dyDescent="0.2">
      <c r="A428" s="396" t="s">
        <v>76</v>
      </c>
      <c r="B428" s="271"/>
      <c r="C428" s="271"/>
      <c r="D428" s="271"/>
      <c r="E428" s="271"/>
      <c r="F428" s="271"/>
      <c r="G428" s="273"/>
      <c r="H428" s="88" t="s">
        <v>77</v>
      </c>
      <c r="I428" s="399" t="s">
        <v>920</v>
      </c>
      <c r="J428" s="273"/>
      <c r="K428" s="90" t="s">
        <v>514</v>
      </c>
      <c r="L428" s="91" t="s">
        <v>932</v>
      </c>
      <c r="M428" s="399" t="s">
        <v>921</v>
      </c>
      <c r="N428" s="273"/>
    </row>
    <row r="429" spans="1:14" ht="13.5" x14ac:dyDescent="0.25">
      <c r="A429" s="393" t="s">
        <v>962</v>
      </c>
      <c r="B429" s="271"/>
      <c r="C429" s="271"/>
      <c r="D429" s="271"/>
      <c r="E429" s="271"/>
      <c r="F429" s="271"/>
      <c r="G429" s="273"/>
      <c r="H429" s="29" t="str">
        <f>IF(A429="","",VLOOKUP(A429,AA_Cuadrillas,4,FALSE))</f>
        <v>Cuadrilla</v>
      </c>
      <c r="I429" s="394">
        <f>IF(A429="","",VLOOKUP(A429,AA_Cuadrillas,5,FALSE))</f>
        <v>396871</v>
      </c>
      <c r="J429" s="273"/>
      <c r="K429" s="9">
        <f>IF(A429="","",F.P!$I$2)</f>
        <v>1.88</v>
      </c>
      <c r="L429" s="93">
        <v>0.25</v>
      </c>
      <c r="M429" s="394">
        <f t="shared" ref="M429:M433" si="51">IF(A429="","",I429*K429*L429)</f>
        <v>186529.37</v>
      </c>
      <c r="N429" s="273"/>
    </row>
    <row r="430" spans="1:14" ht="13.5" x14ac:dyDescent="0.25">
      <c r="A430" s="393"/>
      <c r="B430" s="271"/>
      <c r="C430" s="271"/>
      <c r="D430" s="271"/>
      <c r="E430" s="271"/>
      <c r="F430" s="271"/>
      <c r="G430" s="273"/>
      <c r="H430" s="29" t="str">
        <f>IF(A430="","",VLOOKUP(A430,AA_Cuadrillas,4,FALSE))</f>
        <v/>
      </c>
      <c r="I430" s="394" t="str">
        <f>IF(A430="","",VLOOKUP(A430,AA_Cuadrillas,5,FALSE))</f>
        <v/>
      </c>
      <c r="J430" s="273"/>
      <c r="K430" s="9" t="str">
        <f>IF(A430="","",F.P!$I$2)</f>
        <v/>
      </c>
      <c r="L430" s="9"/>
      <c r="M430" s="394" t="str">
        <f t="shared" si="51"/>
        <v/>
      </c>
      <c r="N430" s="273"/>
    </row>
    <row r="431" spans="1:14" ht="13.5" x14ac:dyDescent="0.25">
      <c r="A431" s="393"/>
      <c r="B431" s="271"/>
      <c r="C431" s="271"/>
      <c r="D431" s="271"/>
      <c r="E431" s="271"/>
      <c r="F431" s="271"/>
      <c r="G431" s="273"/>
      <c r="H431" s="29" t="str">
        <f>IF(A431="","",VLOOKUP(A431,AA_Cuadrillas,4,FALSE))</f>
        <v/>
      </c>
      <c r="I431" s="394" t="str">
        <f>IF(A431="","",VLOOKUP(A431,AA_Cuadrillas,5,FALSE))</f>
        <v/>
      </c>
      <c r="J431" s="273"/>
      <c r="K431" s="9" t="str">
        <f>IF(A431="","",F.P!$I$2)</f>
        <v/>
      </c>
      <c r="L431" s="37"/>
      <c r="M431" s="394" t="str">
        <f t="shared" si="51"/>
        <v/>
      </c>
      <c r="N431" s="273"/>
    </row>
    <row r="432" spans="1:14" ht="13.5" x14ac:dyDescent="0.25">
      <c r="A432" s="393"/>
      <c r="B432" s="271"/>
      <c r="C432" s="271"/>
      <c r="D432" s="271"/>
      <c r="E432" s="271"/>
      <c r="F432" s="271"/>
      <c r="G432" s="273"/>
      <c r="H432" s="29" t="str">
        <f>IF(A432="","",VLOOKUP(A432,AA_Cuadrillas,4,FALSE))</f>
        <v/>
      </c>
      <c r="I432" s="394" t="str">
        <f>IF(A432="","",VLOOKUP(A432,AA_Cuadrillas,5,FALSE))</f>
        <v/>
      </c>
      <c r="J432" s="273"/>
      <c r="K432" s="9" t="str">
        <f>IF(A432="","",F.P!$I$2)</f>
        <v/>
      </c>
      <c r="L432" s="37"/>
      <c r="M432" s="394" t="str">
        <f t="shared" si="51"/>
        <v/>
      </c>
      <c r="N432" s="273"/>
    </row>
    <row r="433" spans="1:14" ht="13.5" x14ac:dyDescent="0.25">
      <c r="A433" s="393"/>
      <c r="B433" s="271"/>
      <c r="C433" s="271"/>
      <c r="D433" s="271"/>
      <c r="E433" s="271"/>
      <c r="F433" s="271"/>
      <c r="G433" s="273"/>
      <c r="H433" s="29" t="str">
        <f>IF(A433="","",VLOOKUP(A433,AA_Cuadrillas,4,FALSE))</f>
        <v/>
      </c>
      <c r="I433" s="394" t="str">
        <f>IF(A433="","",VLOOKUP(A433,AA_Cuadrillas,5,FALSE))</f>
        <v/>
      </c>
      <c r="J433" s="273"/>
      <c r="K433" s="9" t="str">
        <f>IF(A433="","",F.P!$I$2)</f>
        <v/>
      </c>
      <c r="L433" s="37"/>
      <c r="M433" s="394" t="str">
        <f t="shared" si="51"/>
        <v/>
      </c>
      <c r="N433" s="273"/>
    </row>
    <row r="434" spans="1:14" ht="13.5" x14ac:dyDescent="0.25">
      <c r="A434" s="4"/>
      <c r="B434" s="4"/>
      <c r="C434" s="4"/>
      <c r="D434" s="4"/>
      <c r="E434" s="4"/>
      <c r="F434" s="4"/>
      <c r="G434" s="4"/>
      <c r="H434" s="4"/>
      <c r="I434" s="4"/>
      <c r="J434" s="4"/>
      <c r="K434" s="396" t="s">
        <v>444</v>
      </c>
      <c r="L434" s="273"/>
      <c r="M434" s="394">
        <f>SUM(M429:N433)</f>
        <v>186529.37</v>
      </c>
      <c r="N434" s="273"/>
    </row>
    <row r="437" spans="1:14" x14ac:dyDescent="0.2">
      <c r="A437" s="407" t="s">
        <v>3248</v>
      </c>
      <c r="B437" s="275"/>
      <c r="C437" s="275"/>
      <c r="D437" s="275"/>
      <c r="E437" s="275"/>
      <c r="F437" s="275"/>
      <c r="G437" s="275"/>
      <c r="H437" s="275"/>
      <c r="I437" s="275"/>
      <c r="J437" s="275"/>
      <c r="K437" s="275"/>
      <c r="L437" s="275"/>
      <c r="M437" s="275"/>
      <c r="N437" s="276"/>
    </row>
    <row r="438" spans="1:14" x14ac:dyDescent="0.2">
      <c r="A438" s="277"/>
      <c r="B438" s="278"/>
      <c r="C438" s="278"/>
      <c r="D438" s="278"/>
      <c r="E438" s="278"/>
      <c r="F438" s="278"/>
      <c r="G438" s="278"/>
      <c r="H438" s="278"/>
      <c r="I438" s="278"/>
      <c r="J438" s="278"/>
      <c r="K438" s="278"/>
      <c r="L438" s="278"/>
      <c r="M438" s="278"/>
      <c r="N438" s="279"/>
    </row>
    <row r="439" spans="1:14" ht="13.5" x14ac:dyDescent="0.2">
      <c r="A439" s="75"/>
      <c r="B439" s="75"/>
      <c r="C439" s="75"/>
      <c r="D439" s="75"/>
      <c r="E439" s="75"/>
      <c r="F439" s="75"/>
      <c r="G439" s="75"/>
      <c r="H439" s="75"/>
      <c r="I439" s="75"/>
      <c r="J439" s="75"/>
      <c r="K439" s="75"/>
      <c r="L439" s="75"/>
      <c r="M439" s="75"/>
      <c r="N439" s="75"/>
    </row>
    <row r="440" spans="1:14" ht="14.25" x14ac:dyDescent="0.3">
      <c r="A440" s="79" t="s">
        <v>770</v>
      </c>
      <c r="B440" s="80" t="str">
        <f>A437</f>
        <v>CONCRETO PARA PISO CAJA DE 4000 PSI IMPERMEABILIZADO A TODO COSTO (280 KG/CM2)</v>
      </c>
      <c r="C440" s="81" t="s">
        <v>916</v>
      </c>
      <c r="D440" s="82" t="s">
        <v>258</v>
      </c>
      <c r="E440" s="83" t="s">
        <v>445</v>
      </c>
      <c r="F440" s="240">
        <f>H440+J440+L440+N440</f>
        <v>844782.11970906786</v>
      </c>
      <c r="G440" s="83" t="s">
        <v>607</v>
      </c>
      <c r="H440" s="86">
        <f>M462</f>
        <v>48031.749777777775</v>
      </c>
      <c r="I440" s="83" t="s">
        <v>918</v>
      </c>
      <c r="J440" s="86">
        <f>M453</f>
        <v>507159.32860000001</v>
      </c>
      <c r="K440" s="83" t="s">
        <v>609</v>
      </c>
      <c r="L440" s="86">
        <f>M471</f>
        <v>123787.15688684562</v>
      </c>
      <c r="M440" s="83" t="s">
        <v>610</v>
      </c>
      <c r="N440" s="86">
        <f>M480</f>
        <v>165803.88444444444</v>
      </c>
    </row>
    <row r="441" spans="1:14" ht="13.5" x14ac:dyDescent="0.25">
      <c r="A441" s="87"/>
      <c r="B441" s="87"/>
      <c r="C441" s="87"/>
      <c r="D441" s="87"/>
      <c r="E441" s="87"/>
      <c r="F441" s="87"/>
      <c r="G441" s="87"/>
      <c r="J441" s="87"/>
      <c r="K441" s="215" t="s">
        <v>3217</v>
      </c>
      <c r="L441" s="215"/>
      <c r="M441" s="87"/>
      <c r="N441" s="87"/>
    </row>
    <row r="442" spans="1:14" x14ac:dyDescent="0.2">
      <c r="A442" s="398" t="s">
        <v>919</v>
      </c>
      <c r="B442" s="271"/>
      <c r="C442" s="271"/>
      <c r="D442" s="271"/>
      <c r="E442" s="271"/>
      <c r="F442" s="271"/>
      <c r="G442" s="271"/>
      <c r="H442" s="271"/>
      <c r="I442" s="271"/>
      <c r="J442" s="271"/>
      <c r="K442" s="271"/>
      <c r="L442" s="271"/>
      <c r="M442" s="271"/>
      <c r="N442" s="273"/>
    </row>
    <row r="443" spans="1:14" x14ac:dyDescent="0.2">
      <c r="A443" s="396" t="s">
        <v>76</v>
      </c>
      <c r="B443" s="271"/>
      <c r="C443" s="271"/>
      <c r="D443" s="271"/>
      <c r="E443" s="271"/>
      <c r="F443" s="271"/>
      <c r="G443" s="273"/>
      <c r="H443" s="88" t="s">
        <v>77</v>
      </c>
      <c r="I443" s="399" t="s">
        <v>920</v>
      </c>
      <c r="J443" s="273"/>
      <c r="K443" s="399" t="s">
        <v>453</v>
      </c>
      <c r="L443" s="273"/>
      <c r="M443" s="399" t="s">
        <v>921</v>
      </c>
      <c r="N443" s="273"/>
    </row>
    <row r="444" spans="1:14" ht="13.5" x14ac:dyDescent="0.2">
      <c r="A444" s="400" t="s">
        <v>953</v>
      </c>
      <c r="B444" s="271"/>
      <c r="C444" s="271"/>
      <c r="D444" s="271"/>
      <c r="E444" s="271"/>
      <c r="F444" s="271"/>
      <c r="G444" s="273"/>
      <c r="H444" s="29" t="str">
        <f t="shared" ref="H444:H452" si="52">IF(A444="","",VLOOKUP(A444,AA_Materiales,7,FALSE))</f>
        <v>Kg</v>
      </c>
      <c r="I444" s="394">
        <f t="shared" ref="I444:I452" si="53">IF(A444="","",VLOOKUP(A444,AA_Materiales,8,FALSE))</f>
        <v>800</v>
      </c>
      <c r="J444" s="273"/>
      <c r="K444" s="395">
        <v>425</v>
      </c>
      <c r="L444" s="273"/>
      <c r="M444" s="394">
        <f t="shared" ref="M444:M452" si="54">IF(A444="","",I444*K444)</f>
        <v>340000</v>
      </c>
      <c r="N444" s="273"/>
    </row>
    <row r="445" spans="1:14" ht="13.5" x14ac:dyDescent="0.2">
      <c r="A445" s="400" t="s">
        <v>954</v>
      </c>
      <c r="B445" s="271"/>
      <c r="C445" s="271"/>
      <c r="D445" s="271"/>
      <c r="E445" s="271"/>
      <c r="F445" s="271"/>
      <c r="G445" s="273"/>
      <c r="H445" s="29" t="str">
        <f t="shared" si="52"/>
        <v>m3</v>
      </c>
      <c r="I445" s="394">
        <f t="shared" si="53"/>
        <v>83000</v>
      </c>
      <c r="J445" s="273"/>
      <c r="K445" s="395">
        <v>0.57999999999999996</v>
      </c>
      <c r="L445" s="273"/>
      <c r="M445" s="394">
        <f t="shared" si="54"/>
        <v>48140</v>
      </c>
      <c r="N445" s="273"/>
    </row>
    <row r="446" spans="1:14" ht="13.5" x14ac:dyDescent="0.2">
      <c r="A446" s="400" t="s">
        <v>955</v>
      </c>
      <c r="B446" s="271"/>
      <c r="C446" s="271"/>
      <c r="D446" s="271"/>
      <c r="E446" s="271"/>
      <c r="F446" s="271"/>
      <c r="G446" s="273"/>
      <c r="H446" s="29" t="str">
        <f t="shared" si="52"/>
        <v>m3</v>
      </c>
      <c r="I446" s="394">
        <f t="shared" si="53"/>
        <v>90000</v>
      </c>
      <c r="J446" s="273"/>
      <c r="K446" s="395">
        <v>0.7</v>
      </c>
      <c r="L446" s="273"/>
      <c r="M446" s="394">
        <f t="shared" si="54"/>
        <v>62999.999999999993</v>
      </c>
      <c r="N446" s="273"/>
    </row>
    <row r="447" spans="1:14" ht="13.5" x14ac:dyDescent="0.2">
      <c r="A447" s="400" t="s">
        <v>956</v>
      </c>
      <c r="B447" s="271"/>
      <c r="C447" s="271"/>
      <c r="D447" s="271"/>
      <c r="E447" s="271"/>
      <c r="F447" s="271"/>
      <c r="G447" s="273"/>
      <c r="H447" s="29" t="str">
        <f t="shared" si="52"/>
        <v>Lt</v>
      </c>
      <c r="I447" s="394">
        <f t="shared" si="53"/>
        <v>20</v>
      </c>
      <c r="J447" s="273"/>
      <c r="K447" s="395">
        <v>200</v>
      </c>
      <c r="L447" s="273"/>
      <c r="M447" s="394">
        <f t="shared" si="54"/>
        <v>4000</v>
      </c>
      <c r="N447" s="273"/>
    </row>
    <row r="448" spans="1:14" ht="13.5" x14ac:dyDescent="0.2">
      <c r="A448" s="400" t="s">
        <v>1164</v>
      </c>
      <c r="B448" s="271"/>
      <c r="C448" s="271"/>
      <c r="D448" s="271"/>
      <c r="E448" s="271"/>
      <c r="F448" s="271"/>
      <c r="G448" s="273"/>
      <c r="H448" s="29" t="str">
        <f t="shared" si="52"/>
        <v>Kg</v>
      </c>
      <c r="I448" s="394">
        <f t="shared" si="53"/>
        <v>24422.22</v>
      </c>
      <c r="J448" s="273"/>
      <c r="K448" s="395">
        <v>2.13</v>
      </c>
      <c r="L448" s="273"/>
      <c r="M448" s="394">
        <f t="shared" si="54"/>
        <v>52019.328600000001</v>
      </c>
      <c r="N448" s="273"/>
    </row>
    <row r="449" spans="1:14" ht="13.5" x14ac:dyDescent="0.2">
      <c r="A449" s="400"/>
      <c r="B449" s="271"/>
      <c r="C449" s="271"/>
      <c r="D449" s="271"/>
      <c r="E449" s="271"/>
      <c r="F449" s="271"/>
      <c r="G449" s="273"/>
      <c r="H449" s="29" t="str">
        <f t="shared" si="52"/>
        <v/>
      </c>
      <c r="I449" s="394" t="str">
        <f t="shared" si="53"/>
        <v/>
      </c>
      <c r="J449" s="273"/>
      <c r="K449" s="395"/>
      <c r="L449" s="273"/>
      <c r="M449" s="394" t="str">
        <f t="shared" si="54"/>
        <v/>
      </c>
      <c r="N449" s="273"/>
    </row>
    <row r="450" spans="1:14" ht="13.5" x14ac:dyDescent="0.2">
      <c r="A450" s="400"/>
      <c r="B450" s="271"/>
      <c r="C450" s="271"/>
      <c r="D450" s="271"/>
      <c r="E450" s="271"/>
      <c r="F450" s="271"/>
      <c r="G450" s="273"/>
      <c r="H450" s="29" t="str">
        <f t="shared" si="52"/>
        <v/>
      </c>
      <c r="I450" s="394" t="str">
        <f t="shared" si="53"/>
        <v/>
      </c>
      <c r="J450" s="273"/>
      <c r="K450" s="395"/>
      <c r="L450" s="273"/>
      <c r="M450" s="394" t="str">
        <f t="shared" si="54"/>
        <v/>
      </c>
      <c r="N450" s="273"/>
    </row>
    <row r="451" spans="1:14" ht="13.5" x14ac:dyDescent="0.2">
      <c r="A451" s="400"/>
      <c r="B451" s="271"/>
      <c r="C451" s="271"/>
      <c r="D451" s="271"/>
      <c r="E451" s="271"/>
      <c r="F451" s="271"/>
      <c r="G451" s="273"/>
      <c r="H451" s="29" t="str">
        <f t="shared" si="52"/>
        <v/>
      </c>
      <c r="I451" s="394" t="str">
        <f t="shared" si="53"/>
        <v/>
      </c>
      <c r="J451" s="273"/>
      <c r="K451" s="395"/>
      <c r="L451" s="273"/>
      <c r="M451" s="394" t="str">
        <f t="shared" si="54"/>
        <v/>
      </c>
      <c r="N451" s="273"/>
    </row>
    <row r="452" spans="1:14" ht="13.5" x14ac:dyDescent="0.2">
      <c r="A452" s="400"/>
      <c r="B452" s="271"/>
      <c r="C452" s="271"/>
      <c r="D452" s="271"/>
      <c r="E452" s="271"/>
      <c r="F452" s="271"/>
      <c r="G452" s="273"/>
      <c r="H452" s="29" t="str">
        <f t="shared" si="52"/>
        <v/>
      </c>
      <c r="I452" s="394" t="str">
        <f t="shared" si="53"/>
        <v/>
      </c>
      <c r="J452" s="273"/>
      <c r="K452" s="395"/>
      <c r="L452" s="273"/>
      <c r="M452" s="394" t="str">
        <f t="shared" si="54"/>
        <v/>
      </c>
      <c r="N452" s="273"/>
    </row>
    <row r="453" spans="1:14" ht="13.5" x14ac:dyDescent="0.25">
      <c r="A453" s="4"/>
      <c r="B453" s="4"/>
      <c r="C453" s="4"/>
      <c r="D453" s="4"/>
      <c r="E453" s="4"/>
      <c r="F453" s="4"/>
      <c r="G453" s="4"/>
      <c r="H453" s="4"/>
      <c r="I453" s="4"/>
      <c r="J453" s="4"/>
      <c r="K453" s="396" t="s">
        <v>444</v>
      </c>
      <c r="L453" s="273"/>
      <c r="M453" s="394">
        <f>SUM(M444:N452)</f>
        <v>507159.32860000001</v>
      </c>
      <c r="N453" s="273"/>
    </row>
    <row r="454" spans="1:14" ht="13.5" x14ac:dyDescent="0.25">
      <c r="A454" s="4"/>
      <c r="B454" s="4"/>
      <c r="C454" s="4"/>
      <c r="D454" s="4"/>
      <c r="E454" s="4"/>
      <c r="F454" s="4"/>
      <c r="G454" s="4"/>
      <c r="H454" s="4"/>
      <c r="I454" s="4"/>
      <c r="J454" s="4"/>
      <c r="K454" s="4"/>
      <c r="L454" s="4"/>
      <c r="M454" s="4"/>
      <c r="N454" s="4"/>
    </row>
    <row r="455" spans="1:14" x14ac:dyDescent="0.2">
      <c r="A455" s="398" t="s">
        <v>926</v>
      </c>
      <c r="B455" s="271"/>
      <c r="C455" s="271"/>
      <c r="D455" s="271"/>
      <c r="E455" s="271"/>
      <c r="F455" s="271"/>
      <c r="G455" s="271"/>
      <c r="H455" s="271"/>
      <c r="I455" s="271"/>
      <c r="J455" s="271"/>
      <c r="K455" s="271"/>
      <c r="L455" s="271"/>
      <c r="M455" s="271"/>
      <c r="N455" s="273"/>
    </row>
    <row r="456" spans="1:14" x14ac:dyDescent="0.2">
      <c r="A456" s="396" t="s">
        <v>76</v>
      </c>
      <c r="B456" s="271"/>
      <c r="C456" s="271"/>
      <c r="D456" s="271"/>
      <c r="E456" s="271"/>
      <c r="F456" s="271"/>
      <c r="G456" s="273"/>
      <c r="H456" s="88" t="s">
        <v>77</v>
      </c>
      <c r="I456" s="399" t="s">
        <v>920</v>
      </c>
      <c r="J456" s="273"/>
      <c r="K456" s="399" t="s">
        <v>453</v>
      </c>
      <c r="L456" s="273"/>
      <c r="M456" s="399" t="s">
        <v>921</v>
      </c>
      <c r="N456" s="273"/>
    </row>
    <row r="457" spans="1:14" ht="13.5" x14ac:dyDescent="0.2">
      <c r="A457" s="400" t="s">
        <v>927</v>
      </c>
      <c r="B457" s="271"/>
      <c r="C457" s="271"/>
      <c r="D457" s="271"/>
      <c r="E457" s="271"/>
      <c r="F457" s="271"/>
      <c r="G457" s="273"/>
      <c r="H457" s="29" t="str">
        <f>IF(A457="","",VLOOKUP(A457,AA_Equipos,7,FALSE))</f>
        <v>% M.O.</v>
      </c>
      <c r="I457" s="394">
        <f>M480</f>
        <v>165803.88444444444</v>
      </c>
      <c r="J457" s="273"/>
      <c r="K457" s="404">
        <v>0.05</v>
      </c>
      <c r="L457" s="273"/>
      <c r="M457" s="394">
        <f t="shared" ref="M457:M461" si="55">IF(A457="","",I457*K457)</f>
        <v>8290.1942222222224</v>
      </c>
      <c r="N457" s="273"/>
    </row>
    <row r="458" spans="1:14" ht="13.5" x14ac:dyDescent="0.2">
      <c r="A458" s="403" t="s">
        <v>957</v>
      </c>
      <c r="B458" s="271"/>
      <c r="C458" s="271"/>
      <c r="D458" s="271"/>
      <c r="E458" s="271"/>
      <c r="F458" s="271"/>
      <c r="G458" s="273"/>
      <c r="H458" s="29" t="str">
        <f>IF(A458="","",VLOOKUP(A458,AA_Equipos,7,FALSE))</f>
        <v>Dia</v>
      </c>
      <c r="I458" s="394">
        <f>IF(A458="","",VLOOKUP(A458,AA_Equipos,8,FALSE))</f>
        <v>107071</v>
      </c>
      <c r="J458" s="273"/>
      <c r="K458" s="402">
        <f t="shared" ref="K458:K459" si="56">1/4.5</f>
        <v>0.22222222222222221</v>
      </c>
      <c r="L458" s="273"/>
      <c r="M458" s="394">
        <f t="shared" si="55"/>
        <v>23793.555555555555</v>
      </c>
      <c r="N458" s="273"/>
    </row>
    <row r="459" spans="1:14" ht="13.5" x14ac:dyDescent="0.2">
      <c r="A459" s="400" t="s">
        <v>964</v>
      </c>
      <c r="B459" s="271"/>
      <c r="C459" s="271"/>
      <c r="D459" s="271"/>
      <c r="E459" s="271"/>
      <c r="F459" s="271"/>
      <c r="G459" s="273"/>
      <c r="H459" s="29" t="str">
        <f>IF(A459="","",VLOOKUP(A459,AA_Equipos,7,FALSE))</f>
        <v>Dia</v>
      </c>
      <c r="I459" s="394">
        <f>IF(A459="","",VLOOKUP(A459,AA_Equipos,8,FALSE))</f>
        <v>71766</v>
      </c>
      <c r="J459" s="273"/>
      <c r="K459" s="395">
        <f t="shared" si="56"/>
        <v>0.22222222222222221</v>
      </c>
      <c r="L459" s="273"/>
      <c r="M459" s="394">
        <f t="shared" si="55"/>
        <v>15948</v>
      </c>
      <c r="N459" s="273"/>
    </row>
    <row r="460" spans="1:14" ht="13.5" x14ac:dyDescent="0.2">
      <c r="A460" s="400"/>
      <c r="B460" s="271"/>
      <c r="C460" s="271"/>
      <c r="D460" s="271"/>
      <c r="E460" s="271"/>
      <c r="F460" s="271"/>
      <c r="G460" s="273"/>
      <c r="H460" s="29" t="str">
        <f>IF(A460="","",VLOOKUP(A460,AA_Equipos,7,FALSE))</f>
        <v/>
      </c>
      <c r="I460" s="394" t="str">
        <f>IF(A460="","",VLOOKUP(A460,AA_Equipos,8,FALSE))</f>
        <v/>
      </c>
      <c r="J460" s="273"/>
      <c r="K460" s="395"/>
      <c r="L460" s="273"/>
      <c r="M460" s="394" t="str">
        <f t="shared" si="55"/>
        <v/>
      </c>
      <c r="N460" s="273"/>
    </row>
    <row r="461" spans="1:14" ht="13.5" x14ac:dyDescent="0.2">
      <c r="A461" s="400"/>
      <c r="B461" s="271"/>
      <c r="C461" s="271"/>
      <c r="D461" s="271"/>
      <c r="E461" s="271"/>
      <c r="F461" s="271"/>
      <c r="G461" s="273"/>
      <c r="H461" s="29" t="str">
        <f>IF(A461="","",VLOOKUP(A461,AA_Equipos,7,FALSE))</f>
        <v/>
      </c>
      <c r="I461" s="394" t="str">
        <f>IF(A461="","",VLOOKUP(A461,AA_Equipos,8,FALSE))</f>
        <v/>
      </c>
      <c r="J461" s="273"/>
      <c r="K461" s="395"/>
      <c r="L461" s="273"/>
      <c r="M461" s="394" t="str">
        <f t="shared" si="55"/>
        <v/>
      </c>
      <c r="N461" s="273"/>
    </row>
    <row r="462" spans="1:14" ht="13.5" x14ac:dyDescent="0.25">
      <c r="A462" s="4"/>
      <c r="B462" s="4"/>
      <c r="C462" s="4"/>
      <c r="D462" s="4"/>
      <c r="E462" s="4"/>
      <c r="F462" s="4"/>
      <c r="G462" s="4"/>
      <c r="H462" s="4"/>
      <c r="I462" s="4"/>
      <c r="J462" s="4"/>
      <c r="K462" s="396" t="s">
        <v>444</v>
      </c>
      <c r="L462" s="273"/>
      <c r="M462" s="394">
        <f>SUM(M457:N461)</f>
        <v>48031.749777777775</v>
      </c>
      <c r="N462" s="273"/>
    </row>
    <row r="463" spans="1:14" ht="13.5" x14ac:dyDescent="0.25">
      <c r="A463" s="4"/>
      <c r="B463" s="4"/>
      <c r="C463" s="4"/>
      <c r="D463" s="4"/>
      <c r="E463" s="4"/>
      <c r="F463" s="4"/>
      <c r="G463" s="4"/>
      <c r="H463" s="4"/>
      <c r="I463" s="4"/>
      <c r="J463" s="4"/>
      <c r="K463" s="4"/>
      <c r="L463" s="4"/>
      <c r="M463" s="4"/>
      <c r="N463" s="4"/>
    </row>
    <row r="464" spans="1:14" x14ac:dyDescent="0.2">
      <c r="A464" s="398" t="s">
        <v>929</v>
      </c>
      <c r="B464" s="271"/>
      <c r="C464" s="271"/>
      <c r="D464" s="271"/>
      <c r="E464" s="271"/>
      <c r="F464" s="271"/>
      <c r="G464" s="271"/>
      <c r="H464" s="271"/>
      <c r="I464" s="271"/>
      <c r="J464" s="271"/>
      <c r="K464" s="271"/>
      <c r="L464" s="271"/>
      <c r="M464" s="271"/>
      <c r="N464" s="273"/>
    </row>
    <row r="465" spans="1:14" x14ac:dyDescent="0.2">
      <c r="A465" s="396" t="s">
        <v>76</v>
      </c>
      <c r="B465" s="271"/>
      <c r="C465" s="271"/>
      <c r="D465" s="271"/>
      <c r="E465" s="271"/>
      <c r="F465" s="271"/>
      <c r="G465" s="273"/>
      <c r="H465" s="88" t="s">
        <v>77</v>
      </c>
      <c r="I465" s="399" t="s">
        <v>920</v>
      </c>
      <c r="J465" s="273"/>
      <c r="K465" s="399" t="s">
        <v>453</v>
      </c>
      <c r="L465" s="273"/>
      <c r="M465" s="399" t="s">
        <v>921</v>
      </c>
      <c r="N465" s="273"/>
    </row>
    <row r="466" spans="1:14" ht="13.5" x14ac:dyDescent="0.2">
      <c r="A466" s="400" t="s">
        <v>965</v>
      </c>
      <c r="B466" s="271"/>
      <c r="C466" s="271"/>
      <c r="D466" s="271"/>
      <c r="E466" s="271"/>
      <c r="F466" s="271"/>
      <c r="G466" s="273"/>
      <c r="H466" s="29" t="s">
        <v>959</v>
      </c>
      <c r="I466" s="394">
        <f>+M462</f>
        <v>48031.749777777775</v>
      </c>
      <c r="J466" s="273"/>
      <c r="K466" s="404">
        <v>0.05</v>
      </c>
      <c r="L466" s="273"/>
      <c r="M466" s="394">
        <f t="shared" ref="M466:M470" si="57">IF(A466="","",I466*K466)</f>
        <v>2401.5874888888889</v>
      </c>
      <c r="N466" s="273"/>
    </row>
    <row r="467" spans="1:14" ht="13.5" x14ac:dyDescent="0.2">
      <c r="A467" s="403" t="s">
        <v>3172</v>
      </c>
      <c r="B467" s="271"/>
      <c r="C467" s="271"/>
      <c r="D467" s="271"/>
      <c r="E467" s="271"/>
      <c r="F467" s="271"/>
      <c r="G467" s="273"/>
      <c r="H467" s="29" t="s">
        <v>3179</v>
      </c>
      <c r="I467" s="394">
        <f>'precios '!J222</f>
        <v>2077.2367952644231</v>
      </c>
      <c r="J467" s="273"/>
      <c r="K467" s="417">
        <f>+Indice!$L$21</f>
        <v>49</v>
      </c>
      <c r="L467" s="273"/>
      <c r="M467" s="394">
        <f t="shared" si="57"/>
        <v>101784.60296795673</v>
      </c>
      <c r="N467" s="273"/>
    </row>
    <row r="468" spans="1:14" ht="13.5" x14ac:dyDescent="0.2">
      <c r="A468" s="400" t="s">
        <v>3173</v>
      </c>
      <c r="B468" s="271"/>
      <c r="C468" s="271"/>
      <c r="D468" s="271"/>
      <c r="E468" s="271"/>
      <c r="F468" s="271"/>
      <c r="G468" s="273"/>
      <c r="H468" s="29" t="s">
        <v>24</v>
      </c>
      <c r="I468" s="394">
        <f>+M444+M448</f>
        <v>392019.32860000001</v>
      </c>
      <c r="J468" s="273"/>
      <c r="K468" s="404">
        <v>0.05</v>
      </c>
      <c r="L468" s="273"/>
      <c r="M468" s="394">
        <f>IF(A468="","",I468*K468)</f>
        <v>19600.96643</v>
      </c>
      <c r="N468" s="273"/>
    </row>
    <row r="469" spans="1:14" ht="13.5" x14ac:dyDescent="0.2">
      <c r="A469" s="400"/>
      <c r="B469" s="271"/>
      <c r="C469" s="271"/>
      <c r="D469" s="271"/>
      <c r="E469" s="271"/>
      <c r="F469" s="271"/>
      <c r="G469" s="273"/>
      <c r="H469" s="29"/>
      <c r="I469" s="394"/>
      <c r="J469" s="273"/>
      <c r="K469" s="395"/>
      <c r="L469" s="273"/>
      <c r="M469" s="394" t="str">
        <f t="shared" si="57"/>
        <v/>
      </c>
      <c r="N469" s="273"/>
    </row>
    <row r="470" spans="1:14" ht="13.5" x14ac:dyDescent="0.2">
      <c r="A470" s="400"/>
      <c r="B470" s="271"/>
      <c r="C470" s="271"/>
      <c r="D470" s="271"/>
      <c r="E470" s="271"/>
      <c r="F470" s="271"/>
      <c r="G470" s="273"/>
      <c r="H470" s="29"/>
      <c r="I470" s="394"/>
      <c r="J470" s="273"/>
      <c r="K470" s="395"/>
      <c r="L470" s="273"/>
      <c r="M470" s="394" t="str">
        <f t="shared" si="57"/>
        <v/>
      </c>
      <c r="N470" s="273"/>
    </row>
    <row r="471" spans="1:14" ht="13.5" x14ac:dyDescent="0.25">
      <c r="A471" s="4"/>
      <c r="B471" s="4"/>
      <c r="C471" s="4"/>
      <c r="D471" s="4"/>
      <c r="E471" s="4"/>
      <c r="F471" s="4"/>
      <c r="G471" s="4"/>
      <c r="H471" s="4"/>
      <c r="I471" s="4"/>
      <c r="J471" s="4"/>
      <c r="K471" s="396" t="s">
        <v>444</v>
      </c>
      <c r="L471" s="273"/>
      <c r="M471" s="394">
        <f>SUM(M466:N470)</f>
        <v>123787.15688684562</v>
      </c>
      <c r="N471" s="273"/>
    </row>
    <row r="472" spans="1:14" ht="13.5" x14ac:dyDescent="0.25">
      <c r="A472" s="4"/>
      <c r="B472" s="4"/>
      <c r="C472" s="4"/>
      <c r="D472" s="4"/>
      <c r="E472" s="4"/>
      <c r="F472" s="4"/>
      <c r="G472" s="4"/>
      <c r="H472" s="4"/>
      <c r="I472" s="4"/>
      <c r="J472" s="4"/>
      <c r="K472" s="4"/>
      <c r="L472" s="4"/>
      <c r="M472" s="4"/>
      <c r="N472" s="4"/>
    </row>
    <row r="473" spans="1:14" x14ac:dyDescent="0.2">
      <c r="A473" s="398" t="s">
        <v>931</v>
      </c>
      <c r="B473" s="271"/>
      <c r="C473" s="271"/>
      <c r="D473" s="271"/>
      <c r="E473" s="271"/>
      <c r="F473" s="271"/>
      <c r="G473" s="271"/>
      <c r="H473" s="271"/>
      <c r="I473" s="271"/>
      <c r="J473" s="271"/>
      <c r="K473" s="271"/>
      <c r="L473" s="271"/>
      <c r="M473" s="271"/>
      <c r="N473" s="273"/>
    </row>
    <row r="474" spans="1:14" x14ac:dyDescent="0.2">
      <c r="A474" s="396" t="s">
        <v>76</v>
      </c>
      <c r="B474" s="271"/>
      <c r="C474" s="271"/>
      <c r="D474" s="271"/>
      <c r="E474" s="271"/>
      <c r="F474" s="271"/>
      <c r="G474" s="273"/>
      <c r="H474" s="88" t="s">
        <v>77</v>
      </c>
      <c r="I474" s="399" t="s">
        <v>920</v>
      </c>
      <c r="J474" s="273"/>
      <c r="K474" s="90" t="s">
        <v>514</v>
      </c>
      <c r="L474" s="91" t="s">
        <v>932</v>
      </c>
      <c r="M474" s="399" t="s">
        <v>921</v>
      </c>
      <c r="N474" s="273"/>
    </row>
    <row r="475" spans="1:14" ht="13.5" x14ac:dyDescent="0.25">
      <c r="A475" s="393" t="s">
        <v>962</v>
      </c>
      <c r="B475" s="271"/>
      <c r="C475" s="271"/>
      <c r="D475" s="271"/>
      <c r="E475" s="271"/>
      <c r="F475" s="271"/>
      <c r="G475" s="273"/>
      <c r="H475" s="29" t="str">
        <f>IF(A475="","",VLOOKUP(A475,AA_Cuadrillas,4,FALSE))</f>
        <v>Cuadrilla</v>
      </c>
      <c r="I475" s="394">
        <f>IF(A475="","",VLOOKUP(A475,AA_Cuadrillas,5,FALSE))</f>
        <v>396871</v>
      </c>
      <c r="J475" s="273"/>
      <c r="K475" s="9">
        <f>IF(A475="","",F.P!$I$2)</f>
        <v>1.88</v>
      </c>
      <c r="L475" s="93">
        <f>1/4.5</f>
        <v>0.22222222222222221</v>
      </c>
      <c r="M475" s="394">
        <f t="shared" ref="M475:M479" si="58">IF(A475="","",I475*K475*L475)</f>
        <v>165803.88444444444</v>
      </c>
      <c r="N475" s="273"/>
    </row>
    <row r="476" spans="1:14" ht="13.5" x14ac:dyDescent="0.25">
      <c r="A476" s="393"/>
      <c r="B476" s="271"/>
      <c r="C476" s="271"/>
      <c r="D476" s="271"/>
      <c r="E476" s="271"/>
      <c r="F476" s="271"/>
      <c r="G476" s="273"/>
      <c r="H476" s="29" t="str">
        <f>IF(A476="","",VLOOKUP(A476,AA_Cuadrillas,4,FALSE))</f>
        <v/>
      </c>
      <c r="I476" s="394" t="str">
        <f>IF(A476="","",VLOOKUP(A476,AA_Cuadrillas,5,FALSE))</f>
        <v/>
      </c>
      <c r="J476" s="273"/>
      <c r="K476" s="9" t="str">
        <f>IF(A476="","",F.P!$I$2)</f>
        <v/>
      </c>
      <c r="L476" s="9"/>
      <c r="M476" s="394" t="str">
        <f t="shared" si="58"/>
        <v/>
      </c>
      <c r="N476" s="273"/>
    </row>
    <row r="477" spans="1:14" ht="13.5" x14ac:dyDescent="0.25">
      <c r="A477" s="393"/>
      <c r="B477" s="271"/>
      <c r="C477" s="271"/>
      <c r="D477" s="271"/>
      <c r="E477" s="271"/>
      <c r="F477" s="271"/>
      <c r="G477" s="273"/>
      <c r="H477" s="29" t="str">
        <f>IF(A477="","",VLOOKUP(A477,AA_Cuadrillas,4,FALSE))</f>
        <v/>
      </c>
      <c r="I477" s="394" t="str">
        <f>IF(A477="","",VLOOKUP(A477,AA_Cuadrillas,5,FALSE))</f>
        <v/>
      </c>
      <c r="J477" s="273"/>
      <c r="K477" s="9" t="str">
        <f>IF(A477="","",F.P!$I$2)</f>
        <v/>
      </c>
      <c r="L477" s="37"/>
      <c r="M477" s="394" t="str">
        <f t="shared" si="58"/>
        <v/>
      </c>
      <c r="N477" s="273"/>
    </row>
    <row r="478" spans="1:14" ht="13.5" x14ac:dyDescent="0.25">
      <c r="A478" s="393"/>
      <c r="B478" s="271"/>
      <c r="C478" s="271"/>
      <c r="D478" s="271"/>
      <c r="E478" s="271"/>
      <c r="F478" s="271"/>
      <c r="G478" s="273"/>
      <c r="H478" s="29" t="str">
        <f>IF(A478="","",VLOOKUP(A478,AA_Cuadrillas,4,FALSE))</f>
        <v/>
      </c>
      <c r="I478" s="394" t="str">
        <f>IF(A478="","",VLOOKUP(A478,AA_Cuadrillas,5,FALSE))</f>
        <v/>
      </c>
      <c r="J478" s="273"/>
      <c r="K478" s="9" t="str">
        <f>IF(A478="","",F.P!$I$2)</f>
        <v/>
      </c>
      <c r="L478" s="37"/>
      <c r="M478" s="394" t="str">
        <f t="shared" si="58"/>
        <v/>
      </c>
      <c r="N478" s="273"/>
    </row>
    <row r="479" spans="1:14" ht="13.5" x14ac:dyDescent="0.25">
      <c r="A479" s="393"/>
      <c r="B479" s="271"/>
      <c r="C479" s="271"/>
      <c r="D479" s="271"/>
      <c r="E479" s="271"/>
      <c r="F479" s="271"/>
      <c r="G479" s="273"/>
      <c r="H479" s="29" t="str">
        <f>IF(A479="","",VLOOKUP(A479,AA_Cuadrillas,4,FALSE))</f>
        <v/>
      </c>
      <c r="I479" s="394" t="str">
        <f>IF(A479="","",VLOOKUP(A479,AA_Cuadrillas,5,FALSE))</f>
        <v/>
      </c>
      <c r="J479" s="273"/>
      <c r="K479" s="9" t="str">
        <f>IF(A479="","",F.P!$I$2)</f>
        <v/>
      </c>
      <c r="L479" s="37"/>
      <c r="M479" s="394" t="str">
        <f t="shared" si="58"/>
        <v/>
      </c>
      <c r="N479" s="273"/>
    </row>
    <row r="480" spans="1:14" ht="13.5" x14ac:dyDescent="0.25">
      <c r="A480" s="4"/>
      <c r="B480" s="4"/>
      <c r="C480" s="4"/>
      <c r="D480" s="4"/>
      <c r="E480" s="4"/>
      <c r="F480" s="4"/>
      <c r="G480" s="4"/>
      <c r="H480" s="4"/>
      <c r="I480" s="4"/>
      <c r="J480" s="4"/>
      <c r="K480" s="396" t="s">
        <v>444</v>
      </c>
      <c r="L480" s="273"/>
      <c r="M480" s="394">
        <f>SUM(M475:N479)</f>
        <v>165803.88444444444</v>
      </c>
      <c r="N480" s="273"/>
    </row>
    <row r="483" spans="1:14" x14ac:dyDescent="0.2">
      <c r="A483" s="407" t="s">
        <v>3247</v>
      </c>
      <c r="B483" s="275"/>
      <c r="C483" s="275"/>
      <c r="D483" s="275"/>
      <c r="E483" s="275"/>
      <c r="F483" s="275"/>
      <c r="G483" s="275"/>
      <c r="H483" s="275"/>
      <c r="I483" s="275"/>
      <c r="J483" s="275"/>
      <c r="K483" s="275"/>
      <c r="L483" s="275"/>
      <c r="M483" s="275"/>
      <c r="N483" s="276"/>
    </row>
    <row r="484" spans="1:14" x14ac:dyDescent="0.2">
      <c r="A484" s="277"/>
      <c r="B484" s="278"/>
      <c r="C484" s="278"/>
      <c r="D484" s="278"/>
      <c r="E484" s="278"/>
      <c r="F484" s="278"/>
      <c r="G484" s="278"/>
      <c r="H484" s="278"/>
      <c r="I484" s="278"/>
      <c r="J484" s="278"/>
      <c r="K484" s="278"/>
      <c r="L484" s="278"/>
      <c r="M484" s="278"/>
      <c r="N484" s="279"/>
    </row>
    <row r="485" spans="1:14" ht="13.5" x14ac:dyDescent="0.2">
      <c r="A485" s="75"/>
      <c r="B485" s="75"/>
      <c r="C485" s="75"/>
      <c r="D485" s="75"/>
      <c r="E485" s="75"/>
      <c r="F485" s="75"/>
      <c r="G485" s="75"/>
      <c r="H485" s="75"/>
      <c r="I485" s="75"/>
      <c r="J485" s="75"/>
      <c r="K485" s="75"/>
      <c r="L485" s="75"/>
      <c r="M485" s="75"/>
      <c r="N485" s="75"/>
    </row>
    <row r="486" spans="1:14" ht="14.25" x14ac:dyDescent="0.3">
      <c r="A486" s="79" t="s">
        <v>768</v>
      </c>
      <c r="B486" s="80" t="str">
        <f>A483</f>
        <v>CONCRETO PARA TAPA CAJA DE 4000 PSI IMPERMEABILIZADO A TODO COSTO (280 KG/CM2)</v>
      </c>
      <c r="C486" s="81" t="s">
        <v>916</v>
      </c>
      <c r="D486" s="82" t="s">
        <v>258</v>
      </c>
      <c r="E486" s="83" t="s">
        <v>445</v>
      </c>
      <c r="F486" s="240">
        <f>H486+J486+L486+N486</f>
        <v>909113.4069229567</v>
      </c>
      <c r="G486" s="83" t="s">
        <v>607</v>
      </c>
      <c r="H486" s="86">
        <f>M508</f>
        <v>48670.608500000002</v>
      </c>
      <c r="I486" s="83" t="s">
        <v>918</v>
      </c>
      <c r="J486" s="86">
        <f>M499</f>
        <v>547859.32860000001</v>
      </c>
      <c r="K486" s="83" t="s">
        <v>609</v>
      </c>
      <c r="L486" s="86">
        <f>M517</f>
        <v>126054.09982295673</v>
      </c>
      <c r="M486" s="83" t="s">
        <v>610</v>
      </c>
      <c r="N486" s="86">
        <f>M526</f>
        <v>186529.37</v>
      </c>
    </row>
    <row r="487" spans="1:14" ht="13.5" x14ac:dyDescent="0.25">
      <c r="A487" s="87"/>
      <c r="B487" s="87"/>
      <c r="C487" s="87"/>
      <c r="D487" s="87"/>
      <c r="E487" s="87"/>
      <c r="F487" s="87"/>
      <c r="G487" s="87"/>
      <c r="J487" s="87"/>
      <c r="K487" s="215" t="s">
        <v>3217</v>
      </c>
      <c r="L487" s="215"/>
      <c r="M487" s="87"/>
      <c r="N487" s="87"/>
    </row>
    <row r="488" spans="1:14" x14ac:dyDescent="0.2">
      <c r="A488" s="398" t="s">
        <v>919</v>
      </c>
      <c r="B488" s="271"/>
      <c r="C488" s="271"/>
      <c r="D488" s="271"/>
      <c r="E488" s="271"/>
      <c r="F488" s="271"/>
      <c r="G488" s="271"/>
      <c r="H488" s="271"/>
      <c r="I488" s="271"/>
      <c r="J488" s="271"/>
      <c r="K488" s="271"/>
      <c r="L488" s="271"/>
      <c r="M488" s="271"/>
      <c r="N488" s="273"/>
    </row>
    <row r="489" spans="1:14" x14ac:dyDescent="0.2">
      <c r="A489" s="396" t="s">
        <v>76</v>
      </c>
      <c r="B489" s="271"/>
      <c r="C489" s="271"/>
      <c r="D489" s="271"/>
      <c r="E489" s="271"/>
      <c r="F489" s="271"/>
      <c r="G489" s="273"/>
      <c r="H489" s="88" t="s">
        <v>77</v>
      </c>
      <c r="I489" s="399" t="s">
        <v>920</v>
      </c>
      <c r="J489" s="273"/>
      <c r="K489" s="399" t="s">
        <v>453</v>
      </c>
      <c r="L489" s="273"/>
      <c r="M489" s="399" t="s">
        <v>921</v>
      </c>
      <c r="N489" s="273"/>
    </row>
    <row r="490" spans="1:14" ht="13.5" x14ac:dyDescent="0.2">
      <c r="A490" s="400" t="s">
        <v>953</v>
      </c>
      <c r="B490" s="271"/>
      <c r="C490" s="271"/>
      <c r="D490" s="271"/>
      <c r="E490" s="271"/>
      <c r="F490" s="271"/>
      <c r="G490" s="273"/>
      <c r="H490" s="29" t="str">
        <f t="shared" ref="H490:H498" si="59">IF(A490="","",VLOOKUP(A490,AA_Materiales,7,FALSE))</f>
        <v>Kg</v>
      </c>
      <c r="I490" s="394">
        <f t="shared" ref="I490:I498" si="60">IF(A490="","",VLOOKUP(A490,AA_Materiales,8,FALSE))</f>
        <v>800</v>
      </c>
      <c r="J490" s="273"/>
      <c r="K490" s="395">
        <v>425</v>
      </c>
      <c r="L490" s="273"/>
      <c r="M490" s="394">
        <f t="shared" ref="M490:M498" si="61">IF(A490="","",I490*K490)</f>
        <v>340000</v>
      </c>
      <c r="N490" s="273"/>
    </row>
    <row r="491" spans="1:14" ht="13.5" x14ac:dyDescent="0.2">
      <c r="A491" s="400" t="s">
        <v>954</v>
      </c>
      <c r="B491" s="271"/>
      <c r="C491" s="271"/>
      <c r="D491" s="271"/>
      <c r="E491" s="271"/>
      <c r="F491" s="271"/>
      <c r="G491" s="273"/>
      <c r="H491" s="29" t="str">
        <f t="shared" si="59"/>
        <v>m3</v>
      </c>
      <c r="I491" s="394">
        <f t="shared" si="60"/>
        <v>83000</v>
      </c>
      <c r="J491" s="273"/>
      <c r="K491" s="395">
        <v>0.57999999999999996</v>
      </c>
      <c r="L491" s="273"/>
      <c r="M491" s="394">
        <f t="shared" si="61"/>
        <v>48140</v>
      </c>
      <c r="N491" s="273"/>
    </row>
    <row r="492" spans="1:14" ht="13.5" x14ac:dyDescent="0.2">
      <c r="A492" s="400" t="s">
        <v>955</v>
      </c>
      <c r="B492" s="271"/>
      <c r="C492" s="271"/>
      <c r="D492" s="271"/>
      <c r="E492" s="271"/>
      <c r="F492" s="271"/>
      <c r="G492" s="273"/>
      <c r="H492" s="29" t="str">
        <f t="shared" si="59"/>
        <v>m3</v>
      </c>
      <c r="I492" s="394">
        <f t="shared" si="60"/>
        <v>90000</v>
      </c>
      <c r="J492" s="273"/>
      <c r="K492" s="395">
        <v>0.7</v>
      </c>
      <c r="L492" s="273"/>
      <c r="M492" s="394">
        <f t="shared" si="61"/>
        <v>62999.999999999993</v>
      </c>
      <c r="N492" s="273"/>
    </row>
    <row r="493" spans="1:14" ht="13.5" x14ac:dyDescent="0.2">
      <c r="A493" s="400" t="s">
        <v>956</v>
      </c>
      <c r="B493" s="271"/>
      <c r="C493" s="271"/>
      <c r="D493" s="271"/>
      <c r="E493" s="271"/>
      <c r="F493" s="271"/>
      <c r="G493" s="273"/>
      <c r="H493" s="29" t="str">
        <f t="shared" si="59"/>
        <v>Lt</v>
      </c>
      <c r="I493" s="394">
        <f t="shared" si="60"/>
        <v>20</v>
      </c>
      <c r="J493" s="273"/>
      <c r="K493" s="395">
        <v>200</v>
      </c>
      <c r="L493" s="273"/>
      <c r="M493" s="394">
        <f t="shared" si="61"/>
        <v>4000</v>
      </c>
      <c r="N493" s="273"/>
    </row>
    <row r="494" spans="1:14" ht="13.5" x14ac:dyDescent="0.2">
      <c r="A494" s="400" t="s">
        <v>1164</v>
      </c>
      <c r="B494" s="271"/>
      <c r="C494" s="271"/>
      <c r="D494" s="271"/>
      <c r="E494" s="271"/>
      <c r="F494" s="271"/>
      <c r="G494" s="273"/>
      <c r="H494" s="29" t="str">
        <f t="shared" si="59"/>
        <v>Kg</v>
      </c>
      <c r="I494" s="394">
        <f t="shared" si="60"/>
        <v>24422.22</v>
      </c>
      <c r="J494" s="273"/>
      <c r="K494" s="395">
        <v>2.13</v>
      </c>
      <c r="L494" s="273"/>
      <c r="M494" s="394">
        <f t="shared" si="61"/>
        <v>52019.328600000001</v>
      </c>
      <c r="N494" s="273"/>
    </row>
    <row r="495" spans="1:14" ht="13.5" x14ac:dyDescent="0.2">
      <c r="A495" s="400" t="s">
        <v>1165</v>
      </c>
      <c r="B495" s="271"/>
      <c r="C495" s="271"/>
      <c r="D495" s="271"/>
      <c r="E495" s="271"/>
      <c r="F495" s="271"/>
      <c r="G495" s="273"/>
      <c r="H495" s="29" t="str">
        <f t="shared" si="59"/>
        <v>Unidad</v>
      </c>
      <c r="I495" s="394">
        <f t="shared" si="60"/>
        <v>2400</v>
      </c>
      <c r="J495" s="273"/>
      <c r="K495" s="395">
        <v>8</v>
      </c>
      <c r="L495" s="273"/>
      <c r="M495" s="394">
        <f t="shared" si="61"/>
        <v>19200</v>
      </c>
      <c r="N495" s="273"/>
    </row>
    <row r="496" spans="1:14" ht="13.5" x14ac:dyDescent="0.2">
      <c r="A496" s="400" t="s">
        <v>1166</v>
      </c>
      <c r="B496" s="271"/>
      <c r="C496" s="271"/>
      <c r="D496" s="271"/>
      <c r="E496" s="271"/>
      <c r="F496" s="271"/>
      <c r="G496" s="273"/>
      <c r="H496" s="29" t="str">
        <f t="shared" si="59"/>
        <v>Unidad</v>
      </c>
      <c r="I496" s="394">
        <f t="shared" si="60"/>
        <v>8000</v>
      </c>
      <c r="J496" s="273"/>
      <c r="K496" s="395">
        <v>2</v>
      </c>
      <c r="L496" s="273"/>
      <c r="M496" s="394">
        <f t="shared" si="61"/>
        <v>16000</v>
      </c>
      <c r="N496" s="273"/>
    </row>
    <row r="497" spans="1:14" ht="13.5" x14ac:dyDescent="0.2">
      <c r="A497" s="400" t="s">
        <v>947</v>
      </c>
      <c r="B497" s="271"/>
      <c r="C497" s="271"/>
      <c r="D497" s="271"/>
      <c r="E497" s="271"/>
      <c r="F497" s="271"/>
      <c r="G497" s="273"/>
      <c r="H497" s="29" t="str">
        <f t="shared" si="59"/>
        <v>LB</v>
      </c>
      <c r="I497" s="394">
        <f t="shared" si="60"/>
        <v>5500</v>
      </c>
      <c r="J497" s="273"/>
      <c r="K497" s="395">
        <v>1</v>
      </c>
      <c r="L497" s="273"/>
      <c r="M497" s="394">
        <f t="shared" si="61"/>
        <v>5500</v>
      </c>
      <c r="N497" s="273"/>
    </row>
    <row r="498" spans="1:14" ht="13.5" x14ac:dyDescent="0.2">
      <c r="A498" s="400"/>
      <c r="B498" s="271"/>
      <c r="C498" s="271"/>
      <c r="D498" s="271"/>
      <c r="E498" s="271"/>
      <c r="F498" s="271"/>
      <c r="G498" s="273"/>
      <c r="H498" s="29" t="str">
        <f t="shared" si="59"/>
        <v/>
      </c>
      <c r="I498" s="394" t="str">
        <f t="shared" si="60"/>
        <v/>
      </c>
      <c r="J498" s="273"/>
      <c r="K498" s="395"/>
      <c r="L498" s="273"/>
      <c r="M498" s="394" t="str">
        <f t="shared" si="61"/>
        <v/>
      </c>
      <c r="N498" s="273"/>
    </row>
    <row r="499" spans="1:14" ht="13.5" x14ac:dyDescent="0.25">
      <c r="A499" s="4"/>
      <c r="B499" s="4"/>
      <c r="C499" s="4"/>
      <c r="D499" s="4"/>
      <c r="E499" s="4"/>
      <c r="F499" s="4"/>
      <c r="G499" s="4"/>
      <c r="H499" s="4"/>
      <c r="I499" s="4"/>
      <c r="J499" s="4"/>
      <c r="K499" s="396" t="s">
        <v>444</v>
      </c>
      <c r="L499" s="273"/>
      <c r="M499" s="394">
        <f>SUM(M490:N498)</f>
        <v>547859.32860000001</v>
      </c>
      <c r="N499" s="273"/>
    </row>
    <row r="500" spans="1:14" ht="13.5" x14ac:dyDescent="0.25">
      <c r="A500" s="4"/>
      <c r="B500" s="4"/>
      <c r="C500" s="4"/>
      <c r="D500" s="4"/>
      <c r="E500" s="4"/>
      <c r="F500" s="4"/>
      <c r="G500" s="4"/>
      <c r="H500" s="4"/>
      <c r="I500" s="4"/>
      <c r="J500" s="4"/>
      <c r="K500" s="4"/>
      <c r="L500" s="4"/>
      <c r="M500" s="4"/>
      <c r="N500" s="4"/>
    </row>
    <row r="501" spans="1:14" x14ac:dyDescent="0.2">
      <c r="A501" s="398" t="s">
        <v>926</v>
      </c>
      <c r="B501" s="271"/>
      <c r="C501" s="271"/>
      <c r="D501" s="271"/>
      <c r="E501" s="271"/>
      <c r="F501" s="271"/>
      <c r="G501" s="271"/>
      <c r="H501" s="271"/>
      <c r="I501" s="271"/>
      <c r="J501" s="271"/>
      <c r="K501" s="271"/>
      <c r="L501" s="271"/>
      <c r="M501" s="271"/>
      <c r="N501" s="273"/>
    </row>
    <row r="502" spans="1:14" x14ac:dyDescent="0.2">
      <c r="A502" s="396" t="s">
        <v>76</v>
      </c>
      <c r="B502" s="271"/>
      <c r="C502" s="271"/>
      <c r="D502" s="271"/>
      <c r="E502" s="271"/>
      <c r="F502" s="271"/>
      <c r="G502" s="273"/>
      <c r="H502" s="88" t="s">
        <v>77</v>
      </c>
      <c r="I502" s="399" t="s">
        <v>920</v>
      </c>
      <c r="J502" s="273"/>
      <c r="K502" s="399" t="s">
        <v>453</v>
      </c>
      <c r="L502" s="273"/>
      <c r="M502" s="399" t="s">
        <v>921</v>
      </c>
      <c r="N502" s="273"/>
    </row>
    <row r="503" spans="1:14" ht="13.5" x14ac:dyDescent="0.2">
      <c r="A503" s="400" t="s">
        <v>927</v>
      </c>
      <c r="B503" s="271"/>
      <c r="C503" s="271"/>
      <c r="D503" s="271"/>
      <c r="E503" s="271"/>
      <c r="F503" s="271"/>
      <c r="G503" s="273"/>
      <c r="H503" s="29" t="str">
        <f>IF(A503="","",VLOOKUP(A503,AA_Equipos,7,FALSE))</f>
        <v>% M.O.</v>
      </c>
      <c r="I503" s="394">
        <f>M526</f>
        <v>186529.37</v>
      </c>
      <c r="J503" s="273"/>
      <c r="K503" s="395">
        <v>0.05</v>
      </c>
      <c r="L503" s="273"/>
      <c r="M503" s="394">
        <f t="shared" ref="M503:M507" si="62">IF(A503="","",I503*K503)</f>
        <v>9326.4685000000009</v>
      </c>
      <c r="N503" s="273"/>
    </row>
    <row r="504" spans="1:14" ht="13.5" x14ac:dyDescent="0.2">
      <c r="A504" s="403" t="s">
        <v>957</v>
      </c>
      <c r="B504" s="271"/>
      <c r="C504" s="271"/>
      <c r="D504" s="271"/>
      <c r="E504" s="271"/>
      <c r="F504" s="271"/>
      <c r="G504" s="273"/>
      <c r="H504" s="29" t="str">
        <f>IF(A504="","",VLOOKUP(A504,AA_Equipos,7,FALSE))</f>
        <v>Dia</v>
      </c>
      <c r="I504" s="394">
        <f>IF(A504="","",VLOOKUP(A504,AA_Equipos,8,FALSE))</f>
        <v>107071</v>
      </c>
      <c r="J504" s="273"/>
      <c r="K504" s="402">
        <v>0.22</v>
      </c>
      <c r="L504" s="273"/>
      <c r="M504" s="394">
        <f t="shared" si="62"/>
        <v>23555.62</v>
      </c>
      <c r="N504" s="273"/>
    </row>
    <row r="505" spans="1:14" ht="13.5" x14ac:dyDescent="0.2">
      <c r="A505" s="400" t="s">
        <v>964</v>
      </c>
      <c r="B505" s="271"/>
      <c r="C505" s="271"/>
      <c r="D505" s="271"/>
      <c r="E505" s="271"/>
      <c r="F505" s="271"/>
      <c r="G505" s="273"/>
      <c r="H505" s="29" t="str">
        <f>IF(A505="","",VLOOKUP(A505,AA_Equipos,7,FALSE))</f>
        <v>Dia</v>
      </c>
      <c r="I505" s="394">
        <f>IF(A505="","",VLOOKUP(A505,AA_Equipos,8,FALSE))</f>
        <v>71766</v>
      </c>
      <c r="J505" s="273"/>
      <c r="K505" s="395">
        <v>0.22</v>
      </c>
      <c r="L505" s="273"/>
      <c r="M505" s="394">
        <f t="shared" si="62"/>
        <v>15788.52</v>
      </c>
      <c r="N505" s="273"/>
    </row>
    <row r="506" spans="1:14" ht="13.5" x14ac:dyDescent="0.2">
      <c r="A506" s="400"/>
      <c r="B506" s="271"/>
      <c r="C506" s="271"/>
      <c r="D506" s="271"/>
      <c r="E506" s="271"/>
      <c r="F506" s="271"/>
      <c r="G506" s="273"/>
      <c r="H506" s="29" t="str">
        <f>IF(A506="","",VLOOKUP(A506,AA_Equipos,7,FALSE))</f>
        <v/>
      </c>
      <c r="I506" s="394" t="str">
        <f>IF(A506="","",VLOOKUP(A506,AA_Equipos,8,FALSE))</f>
        <v/>
      </c>
      <c r="J506" s="273"/>
      <c r="K506" s="395"/>
      <c r="L506" s="273"/>
      <c r="M506" s="394" t="str">
        <f t="shared" si="62"/>
        <v/>
      </c>
      <c r="N506" s="273"/>
    </row>
    <row r="507" spans="1:14" ht="13.5" x14ac:dyDescent="0.2">
      <c r="A507" s="400"/>
      <c r="B507" s="271"/>
      <c r="C507" s="271"/>
      <c r="D507" s="271"/>
      <c r="E507" s="271"/>
      <c r="F507" s="271"/>
      <c r="G507" s="273"/>
      <c r="H507" s="29" t="str">
        <f>IF(A507="","",VLOOKUP(A507,AA_Equipos,7,FALSE))</f>
        <v/>
      </c>
      <c r="I507" s="394" t="str">
        <f>IF(A507="","",VLOOKUP(A507,AA_Equipos,8,FALSE))</f>
        <v/>
      </c>
      <c r="J507" s="273"/>
      <c r="K507" s="395"/>
      <c r="L507" s="273"/>
      <c r="M507" s="394" t="str">
        <f t="shared" si="62"/>
        <v/>
      </c>
      <c r="N507" s="273"/>
    </row>
    <row r="508" spans="1:14" ht="13.5" x14ac:dyDescent="0.25">
      <c r="A508" s="4"/>
      <c r="B508" s="4"/>
      <c r="C508" s="4"/>
      <c r="D508" s="4"/>
      <c r="E508" s="4"/>
      <c r="F508" s="4"/>
      <c r="G508" s="4"/>
      <c r="H508" s="4"/>
      <c r="I508" s="4"/>
      <c r="J508" s="4"/>
      <c r="K508" s="396" t="s">
        <v>444</v>
      </c>
      <c r="L508" s="273"/>
      <c r="M508" s="394">
        <f>SUM(M503:N507)</f>
        <v>48670.608500000002</v>
      </c>
      <c r="N508" s="273"/>
    </row>
    <row r="509" spans="1:14" ht="13.5" x14ac:dyDescent="0.25">
      <c r="A509" s="4"/>
      <c r="B509" s="4"/>
      <c r="C509" s="4"/>
      <c r="D509" s="4"/>
      <c r="E509" s="4"/>
      <c r="F509" s="4"/>
      <c r="G509" s="4"/>
      <c r="H509" s="4"/>
      <c r="I509" s="4"/>
      <c r="J509" s="4"/>
      <c r="K509" s="4"/>
      <c r="L509" s="4"/>
      <c r="M509" s="4"/>
      <c r="N509" s="4"/>
    </row>
    <row r="510" spans="1:14" x14ac:dyDescent="0.2">
      <c r="A510" s="398" t="s">
        <v>929</v>
      </c>
      <c r="B510" s="271"/>
      <c r="C510" s="271"/>
      <c r="D510" s="271"/>
      <c r="E510" s="271"/>
      <c r="F510" s="271"/>
      <c r="G510" s="271"/>
      <c r="H510" s="271"/>
      <c r="I510" s="271"/>
      <c r="J510" s="271"/>
      <c r="K510" s="271"/>
      <c r="L510" s="271"/>
      <c r="M510" s="271"/>
      <c r="N510" s="273"/>
    </row>
    <row r="511" spans="1:14" x14ac:dyDescent="0.2">
      <c r="A511" s="396" t="s">
        <v>76</v>
      </c>
      <c r="B511" s="271"/>
      <c r="C511" s="271"/>
      <c r="D511" s="271"/>
      <c r="E511" s="271"/>
      <c r="F511" s="271"/>
      <c r="G511" s="273"/>
      <c r="H511" s="88" t="s">
        <v>77</v>
      </c>
      <c r="I511" s="399" t="s">
        <v>920</v>
      </c>
      <c r="J511" s="273"/>
      <c r="K511" s="399" t="s">
        <v>453</v>
      </c>
      <c r="L511" s="273"/>
      <c r="M511" s="399" t="s">
        <v>921</v>
      </c>
      <c r="N511" s="273"/>
    </row>
    <row r="512" spans="1:14" ht="13.5" x14ac:dyDescent="0.2">
      <c r="A512" s="400" t="s">
        <v>965</v>
      </c>
      <c r="B512" s="271"/>
      <c r="C512" s="271"/>
      <c r="D512" s="271"/>
      <c r="E512" s="271"/>
      <c r="F512" s="271"/>
      <c r="G512" s="273"/>
      <c r="H512" s="29" t="s">
        <v>959</v>
      </c>
      <c r="I512" s="394">
        <f>+M508</f>
        <v>48670.608500000002</v>
      </c>
      <c r="J512" s="273"/>
      <c r="K512" s="404">
        <v>0.05</v>
      </c>
      <c r="L512" s="273"/>
      <c r="M512" s="394">
        <f t="shared" ref="M512:M516" si="63">IF(A512="","",I512*K512)</f>
        <v>2433.5304250000004</v>
      </c>
      <c r="N512" s="273"/>
    </row>
    <row r="513" spans="1:14" ht="13.5" x14ac:dyDescent="0.2">
      <c r="A513" s="403" t="s">
        <v>3172</v>
      </c>
      <c r="B513" s="271"/>
      <c r="C513" s="271"/>
      <c r="D513" s="271"/>
      <c r="E513" s="271"/>
      <c r="F513" s="271"/>
      <c r="G513" s="273"/>
      <c r="H513" s="29" t="s">
        <v>967</v>
      </c>
      <c r="I513" s="394">
        <f>+'precios '!$J$222</f>
        <v>2077.2367952644231</v>
      </c>
      <c r="J513" s="273"/>
      <c r="K513" s="417">
        <f>Indice!L21</f>
        <v>49</v>
      </c>
      <c r="L513" s="273"/>
      <c r="M513" s="394">
        <f t="shared" si="63"/>
        <v>101784.60296795673</v>
      </c>
      <c r="N513" s="273"/>
    </row>
    <row r="514" spans="1:14" ht="13.5" x14ac:dyDescent="0.2">
      <c r="A514" s="400" t="s">
        <v>3173</v>
      </c>
      <c r="B514" s="271"/>
      <c r="C514" s="271"/>
      <c r="D514" s="271"/>
      <c r="E514" s="271"/>
      <c r="F514" s="271"/>
      <c r="G514" s="273"/>
      <c r="H514" s="29" t="s">
        <v>24</v>
      </c>
      <c r="I514" s="394">
        <f>+M499-M491-M492</f>
        <v>436719.32860000001</v>
      </c>
      <c r="J514" s="273"/>
      <c r="K514" s="404">
        <v>0.05</v>
      </c>
      <c r="L514" s="273"/>
      <c r="M514" s="394">
        <f t="shared" si="63"/>
        <v>21835.96643</v>
      </c>
      <c r="N514" s="273"/>
    </row>
    <row r="515" spans="1:14" ht="13.5" x14ac:dyDescent="0.2">
      <c r="A515" s="400"/>
      <c r="B515" s="271"/>
      <c r="C515" s="271"/>
      <c r="D515" s="271"/>
      <c r="E515" s="271"/>
      <c r="F515" s="271"/>
      <c r="G515" s="273"/>
      <c r="H515" s="29"/>
      <c r="I515" s="394"/>
      <c r="J515" s="273"/>
      <c r="K515" s="395"/>
      <c r="L515" s="273"/>
      <c r="M515" s="394" t="str">
        <f t="shared" si="63"/>
        <v/>
      </c>
      <c r="N515" s="273"/>
    </row>
    <row r="516" spans="1:14" ht="13.5" x14ac:dyDescent="0.2">
      <c r="A516" s="400"/>
      <c r="B516" s="271"/>
      <c r="C516" s="271"/>
      <c r="D516" s="271"/>
      <c r="E516" s="271"/>
      <c r="F516" s="271"/>
      <c r="G516" s="273"/>
      <c r="H516" s="29"/>
      <c r="I516" s="394"/>
      <c r="J516" s="273"/>
      <c r="K516" s="395"/>
      <c r="L516" s="273"/>
      <c r="M516" s="394" t="str">
        <f t="shared" si="63"/>
        <v/>
      </c>
      <c r="N516" s="273"/>
    </row>
    <row r="517" spans="1:14" ht="13.5" x14ac:dyDescent="0.25">
      <c r="A517" s="4"/>
      <c r="B517" s="4"/>
      <c r="C517" s="4"/>
      <c r="D517" s="4"/>
      <c r="E517" s="4"/>
      <c r="F517" s="4"/>
      <c r="G517" s="4"/>
      <c r="H517" s="4"/>
      <c r="I517" s="4"/>
      <c r="J517" s="4"/>
      <c r="K517" s="396" t="s">
        <v>444</v>
      </c>
      <c r="L517" s="273"/>
      <c r="M517" s="394">
        <f>SUM(M512:N516)</f>
        <v>126054.09982295673</v>
      </c>
      <c r="N517" s="273"/>
    </row>
    <row r="518" spans="1:14" ht="13.5" x14ac:dyDescent="0.25">
      <c r="A518" s="4"/>
      <c r="B518" s="4"/>
      <c r="C518" s="4"/>
      <c r="D518" s="4"/>
      <c r="E518" s="4"/>
      <c r="F518" s="4"/>
      <c r="G518" s="4"/>
      <c r="H518" s="4"/>
      <c r="I518" s="4"/>
      <c r="J518" s="4"/>
      <c r="K518" s="4"/>
      <c r="L518" s="4"/>
      <c r="M518" s="4"/>
      <c r="N518" s="4"/>
    </row>
    <row r="519" spans="1:14" x14ac:dyDescent="0.2">
      <c r="A519" s="398" t="s">
        <v>931</v>
      </c>
      <c r="B519" s="271"/>
      <c r="C519" s="271"/>
      <c r="D519" s="271"/>
      <c r="E519" s="271"/>
      <c r="F519" s="271"/>
      <c r="G519" s="271"/>
      <c r="H519" s="271"/>
      <c r="I519" s="271"/>
      <c r="J519" s="271"/>
      <c r="K519" s="271"/>
      <c r="L519" s="271"/>
      <c r="M519" s="271"/>
      <c r="N519" s="273"/>
    </row>
    <row r="520" spans="1:14" x14ac:dyDescent="0.2">
      <c r="A520" s="396" t="s">
        <v>76</v>
      </c>
      <c r="B520" s="271"/>
      <c r="C520" s="271"/>
      <c r="D520" s="271"/>
      <c r="E520" s="271"/>
      <c r="F520" s="271"/>
      <c r="G520" s="273"/>
      <c r="H520" s="88" t="s">
        <v>77</v>
      </c>
      <c r="I520" s="399" t="s">
        <v>920</v>
      </c>
      <c r="J520" s="273"/>
      <c r="K520" s="90" t="s">
        <v>514</v>
      </c>
      <c r="L520" s="91" t="s">
        <v>932</v>
      </c>
      <c r="M520" s="399" t="s">
        <v>921</v>
      </c>
      <c r="N520" s="273"/>
    </row>
    <row r="521" spans="1:14" ht="13.5" x14ac:dyDescent="0.25">
      <c r="A521" s="393" t="s">
        <v>962</v>
      </c>
      <c r="B521" s="271"/>
      <c r="C521" s="271"/>
      <c r="D521" s="271"/>
      <c r="E521" s="271"/>
      <c r="F521" s="271"/>
      <c r="G521" s="273"/>
      <c r="H521" s="29" t="str">
        <f>IF(A521="","",VLOOKUP(A521,AA_Cuadrillas,4,FALSE))</f>
        <v>Cuadrilla</v>
      </c>
      <c r="I521" s="394">
        <f>IF(A521="","",VLOOKUP(A521,AA_Cuadrillas,5,FALSE))</f>
        <v>396871</v>
      </c>
      <c r="J521" s="273"/>
      <c r="K521" s="9">
        <f>IF(A521="","",F.P!$I$2)</f>
        <v>1.88</v>
      </c>
      <c r="L521" s="93">
        <v>0.25</v>
      </c>
      <c r="M521" s="394">
        <f t="shared" ref="M521:M525" si="64">IF(A521="","",I521*K521*L521)</f>
        <v>186529.37</v>
      </c>
      <c r="N521" s="273"/>
    </row>
    <row r="522" spans="1:14" ht="13.5" x14ac:dyDescent="0.25">
      <c r="A522" s="393"/>
      <c r="B522" s="271"/>
      <c r="C522" s="271"/>
      <c r="D522" s="271"/>
      <c r="E522" s="271"/>
      <c r="F522" s="271"/>
      <c r="G522" s="273"/>
      <c r="H522" s="29" t="str">
        <f>IF(A522="","",VLOOKUP(A522,AA_Cuadrillas,4,FALSE))</f>
        <v/>
      </c>
      <c r="I522" s="394" t="str">
        <f>IF(A522="","",VLOOKUP(A522,AA_Cuadrillas,5,FALSE))</f>
        <v/>
      </c>
      <c r="J522" s="273"/>
      <c r="K522" s="9" t="str">
        <f>IF(A522="","",F.P!$I$2)</f>
        <v/>
      </c>
      <c r="L522" s="9"/>
      <c r="M522" s="394" t="str">
        <f t="shared" si="64"/>
        <v/>
      </c>
      <c r="N522" s="273"/>
    </row>
    <row r="523" spans="1:14" ht="13.5" x14ac:dyDescent="0.25">
      <c r="A523" s="393"/>
      <c r="B523" s="271"/>
      <c r="C523" s="271"/>
      <c r="D523" s="271"/>
      <c r="E523" s="271"/>
      <c r="F523" s="271"/>
      <c r="G523" s="273"/>
      <c r="H523" s="29" t="str">
        <f>IF(A523="","",VLOOKUP(A523,AA_Cuadrillas,4,FALSE))</f>
        <v/>
      </c>
      <c r="I523" s="394" t="str">
        <f>IF(A523="","",VLOOKUP(A523,AA_Cuadrillas,5,FALSE))</f>
        <v/>
      </c>
      <c r="J523" s="273"/>
      <c r="K523" s="9" t="str">
        <f>IF(A523="","",F.P!$I$2)</f>
        <v/>
      </c>
      <c r="L523" s="37"/>
      <c r="M523" s="394" t="str">
        <f t="shared" si="64"/>
        <v/>
      </c>
      <c r="N523" s="273"/>
    </row>
    <row r="524" spans="1:14" ht="13.5" x14ac:dyDescent="0.25">
      <c r="A524" s="393"/>
      <c r="B524" s="271"/>
      <c r="C524" s="271"/>
      <c r="D524" s="271"/>
      <c r="E524" s="271"/>
      <c r="F524" s="271"/>
      <c r="G524" s="273"/>
      <c r="H524" s="29" t="str">
        <f>IF(A524="","",VLOOKUP(A524,AA_Cuadrillas,4,FALSE))</f>
        <v/>
      </c>
      <c r="I524" s="394" t="str">
        <f>IF(A524="","",VLOOKUP(A524,AA_Cuadrillas,5,FALSE))</f>
        <v/>
      </c>
      <c r="J524" s="273"/>
      <c r="K524" s="9" t="str">
        <f>IF(A524="","",F.P!$I$2)</f>
        <v/>
      </c>
      <c r="L524" s="37"/>
      <c r="M524" s="394" t="str">
        <f t="shared" si="64"/>
        <v/>
      </c>
      <c r="N524" s="273"/>
    </row>
    <row r="525" spans="1:14" ht="13.5" x14ac:dyDescent="0.25">
      <c r="A525" s="393"/>
      <c r="B525" s="271"/>
      <c r="C525" s="271"/>
      <c r="D525" s="271"/>
      <c r="E525" s="271"/>
      <c r="F525" s="271"/>
      <c r="G525" s="273"/>
      <c r="H525" s="29" t="str">
        <f>IF(A525="","",VLOOKUP(A525,AA_Cuadrillas,4,FALSE))</f>
        <v/>
      </c>
      <c r="I525" s="394" t="str">
        <f>IF(A525="","",VLOOKUP(A525,AA_Cuadrillas,5,FALSE))</f>
        <v/>
      </c>
      <c r="J525" s="273"/>
      <c r="K525" s="9" t="str">
        <f>IF(A525="","",F.P!$I$2)</f>
        <v/>
      </c>
      <c r="L525" s="37"/>
      <c r="M525" s="394" t="str">
        <f t="shared" si="64"/>
        <v/>
      </c>
      <c r="N525" s="273"/>
    </row>
    <row r="526" spans="1:14" ht="13.5" x14ac:dyDescent="0.25">
      <c r="A526" s="4"/>
      <c r="B526" s="4"/>
      <c r="C526" s="4"/>
      <c r="D526" s="4"/>
      <c r="E526" s="4"/>
      <c r="F526" s="4"/>
      <c r="G526" s="4"/>
      <c r="H526" s="4"/>
      <c r="I526" s="4"/>
      <c r="J526" s="4"/>
      <c r="K526" s="396" t="s">
        <v>444</v>
      </c>
      <c r="L526" s="273"/>
      <c r="M526" s="394">
        <f>SUM(M521:N525)</f>
        <v>186529.37</v>
      </c>
      <c r="N526" s="273"/>
    </row>
    <row r="529" spans="1:14" x14ac:dyDescent="0.2">
      <c r="A529" s="407" t="s">
        <v>158</v>
      </c>
      <c r="B529" s="275"/>
      <c r="C529" s="275"/>
      <c r="D529" s="275"/>
      <c r="E529" s="275"/>
      <c r="F529" s="275"/>
      <c r="G529" s="275"/>
      <c r="H529" s="275"/>
      <c r="I529" s="275"/>
      <c r="J529" s="275"/>
      <c r="K529" s="275"/>
      <c r="L529" s="275"/>
      <c r="M529" s="275"/>
      <c r="N529" s="276"/>
    </row>
    <row r="530" spans="1:14" x14ac:dyDescent="0.2">
      <c r="A530" s="277"/>
      <c r="B530" s="278"/>
      <c r="C530" s="278"/>
      <c r="D530" s="278"/>
      <c r="E530" s="278"/>
      <c r="F530" s="278"/>
      <c r="G530" s="278"/>
      <c r="H530" s="278"/>
      <c r="I530" s="278"/>
      <c r="J530" s="278"/>
      <c r="K530" s="278"/>
      <c r="L530" s="278"/>
      <c r="M530" s="278"/>
      <c r="N530" s="279"/>
    </row>
    <row r="531" spans="1:14" ht="13.5" x14ac:dyDescent="0.2">
      <c r="A531" s="75">
        <v>1</v>
      </c>
      <c r="B531" s="75">
        <v>2</v>
      </c>
      <c r="C531" s="75">
        <v>3</v>
      </c>
      <c r="D531" s="75">
        <v>4</v>
      </c>
      <c r="E531" s="75">
        <v>5</v>
      </c>
      <c r="F531" s="75">
        <v>6</v>
      </c>
      <c r="G531" s="75">
        <v>7</v>
      </c>
      <c r="H531" s="75">
        <v>8</v>
      </c>
      <c r="I531" s="75">
        <v>9</v>
      </c>
      <c r="J531" s="75">
        <v>10</v>
      </c>
      <c r="K531" s="75">
        <v>11</v>
      </c>
      <c r="L531" s="75">
        <v>12</v>
      </c>
      <c r="M531" s="75">
        <v>13</v>
      </c>
      <c r="N531" s="75">
        <v>14</v>
      </c>
    </row>
    <row r="532" spans="1:14" ht="14.25" x14ac:dyDescent="0.3">
      <c r="A532" s="79" t="s">
        <v>612</v>
      </c>
      <c r="B532" s="80" t="str">
        <f>A529</f>
        <v>LOCALIZACIÓN Y REPLANTEO DE REDES</v>
      </c>
      <c r="C532" s="81" t="s">
        <v>916</v>
      </c>
      <c r="D532" s="82" t="s">
        <v>917</v>
      </c>
      <c r="E532" s="83" t="s">
        <v>445</v>
      </c>
      <c r="F532" s="245">
        <f>(H532+J532+L532+N532)</f>
        <v>4201.4717132000005</v>
      </c>
      <c r="G532" s="83" t="s">
        <v>607</v>
      </c>
      <c r="H532" s="85">
        <f>M541</f>
        <v>2021.5450000000001</v>
      </c>
      <c r="I532" s="83" t="s">
        <v>918</v>
      </c>
      <c r="J532" s="85">
        <f>M550</f>
        <v>475.0759840000008</v>
      </c>
      <c r="K532" s="83" t="s">
        <v>609</v>
      </c>
      <c r="L532" s="85">
        <f>M559</f>
        <v>124.83104920000005</v>
      </c>
      <c r="M532" s="83" t="s">
        <v>610</v>
      </c>
      <c r="N532" s="86">
        <f>M568</f>
        <v>1580.0196799999999</v>
      </c>
    </row>
    <row r="533" spans="1:14" ht="13.5" x14ac:dyDescent="0.25">
      <c r="A533" s="87"/>
      <c r="B533" s="87"/>
      <c r="C533" s="87"/>
      <c r="D533" s="87"/>
      <c r="E533" s="87"/>
      <c r="F533" s="87"/>
      <c r="G533" s="87"/>
      <c r="J533" s="87"/>
      <c r="K533" s="215" t="s">
        <v>3217</v>
      </c>
      <c r="L533" s="215">
        <f>+F532*presup!$O$5</f>
        <v>5461.913227160001</v>
      </c>
      <c r="M533" s="87"/>
      <c r="N533" s="87"/>
    </row>
    <row r="534" spans="1:14" x14ac:dyDescent="0.2">
      <c r="A534" s="398" t="s">
        <v>919</v>
      </c>
      <c r="B534" s="271"/>
      <c r="C534" s="271"/>
      <c r="D534" s="271"/>
      <c r="E534" s="271"/>
      <c r="F534" s="271"/>
      <c r="G534" s="271"/>
      <c r="H534" s="271"/>
      <c r="I534" s="271"/>
      <c r="J534" s="271"/>
      <c r="K534" s="271"/>
      <c r="L534" s="271"/>
      <c r="M534" s="271"/>
      <c r="N534" s="273"/>
    </row>
    <row r="535" spans="1:14" x14ac:dyDescent="0.2">
      <c r="A535" s="396" t="s">
        <v>76</v>
      </c>
      <c r="B535" s="271"/>
      <c r="C535" s="271"/>
      <c r="D535" s="271"/>
      <c r="E535" s="271"/>
      <c r="F535" s="271"/>
      <c r="G535" s="273"/>
      <c r="H535" s="88" t="s">
        <v>77</v>
      </c>
      <c r="I535" s="399" t="s">
        <v>920</v>
      </c>
      <c r="J535" s="273"/>
      <c r="K535" s="399" t="s">
        <v>453</v>
      </c>
      <c r="L535" s="273"/>
      <c r="M535" s="399" t="s">
        <v>921</v>
      </c>
      <c r="N535" s="273"/>
    </row>
    <row r="536" spans="1:14" ht="13.5" x14ac:dyDescent="0.2">
      <c r="A536" s="400" t="s">
        <v>922</v>
      </c>
      <c r="B536" s="271"/>
      <c r="C536" s="271"/>
      <c r="D536" s="271"/>
      <c r="E536" s="271"/>
      <c r="F536" s="271"/>
      <c r="G536" s="273"/>
      <c r="H536" s="29" t="str">
        <f>IF(A536="","",VLOOKUP(A536,AA_Materiales,7,FALSE))</f>
        <v>Unidad</v>
      </c>
      <c r="I536" s="394">
        <f>IF(A536="","",VLOOKUP(A536,AA_Materiales,8,FALSE))</f>
        <v>3741.67</v>
      </c>
      <c r="J536" s="273"/>
      <c r="K536" s="395">
        <v>0.3</v>
      </c>
      <c r="L536" s="273"/>
      <c r="M536" s="394">
        <f t="shared" ref="M536:M540" si="65">IF(A536="","",I536*K536)</f>
        <v>1122.501</v>
      </c>
      <c r="N536" s="273"/>
    </row>
    <row r="537" spans="1:14" ht="13.5" x14ac:dyDescent="0.2">
      <c r="A537" s="400" t="s">
        <v>923</v>
      </c>
      <c r="B537" s="271"/>
      <c r="C537" s="271"/>
      <c r="D537" s="271"/>
      <c r="E537" s="271"/>
      <c r="F537" s="271"/>
      <c r="G537" s="273"/>
      <c r="H537" s="29" t="str">
        <f>IF(A537="","",VLOOKUP(A537,AA_Materiales,7,FALSE))</f>
        <v>Galón</v>
      </c>
      <c r="I537" s="394">
        <f>IF(A537="","",VLOOKUP(A537,AA_Materiales,8,FALSE))</f>
        <v>75900</v>
      </c>
      <c r="J537" s="273"/>
      <c r="K537" s="395">
        <v>8.0000000000000002E-3</v>
      </c>
      <c r="L537" s="273"/>
      <c r="M537" s="394">
        <f t="shared" si="65"/>
        <v>607.20000000000005</v>
      </c>
      <c r="N537" s="273"/>
    </row>
    <row r="538" spans="1:14" ht="13.5" x14ac:dyDescent="0.2">
      <c r="A538" s="400" t="s">
        <v>924</v>
      </c>
      <c r="B538" s="271"/>
      <c r="C538" s="271"/>
      <c r="D538" s="271"/>
      <c r="E538" s="271"/>
      <c r="F538" s="271"/>
      <c r="G538" s="273"/>
      <c r="H538" s="29" t="str">
        <f>IF(A538="","",VLOOKUP(A538,AA_Materiales,7,FALSE))</f>
        <v>Libra</v>
      </c>
      <c r="I538" s="394">
        <f>IF(A538="","",VLOOKUP(A538,AA_Materiales,8,FALSE))</f>
        <v>4487</v>
      </c>
      <c r="J538" s="273"/>
      <c r="K538" s="395">
        <v>1.2E-2</v>
      </c>
      <c r="L538" s="273"/>
      <c r="M538" s="394">
        <f t="shared" si="65"/>
        <v>53.844000000000001</v>
      </c>
      <c r="N538" s="273"/>
    </row>
    <row r="539" spans="1:14" ht="13.5" x14ac:dyDescent="0.2">
      <c r="A539" s="400" t="s">
        <v>925</v>
      </c>
      <c r="B539" s="271"/>
      <c r="C539" s="271"/>
      <c r="D539" s="271"/>
      <c r="E539" s="271"/>
      <c r="F539" s="271"/>
      <c r="G539" s="273"/>
      <c r="H539" s="29" t="str">
        <f>IF(A539="","",VLOOKUP(A539,AA_Materiales,7,FALSE))</f>
        <v>ml</v>
      </c>
      <c r="I539" s="394">
        <f>IF(A539="","",VLOOKUP(A539,AA_Materiales,8,FALSE))</f>
        <v>238</v>
      </c>
      <c r="J539" s="273"/>
      <c r="K539" s="395">
        <v>1</v>
      </c>
      <c r="L539" s="273"/>
      <c r="M539" s="394">
        <f t="shared" si="65"/>
        <v>238</v>
      </c>
      <c r="N539" s="273"/>
    </row>
    <row r="540" spans="1:14" ht="13.5" x14ac:dyDescent="0.2">
      <c r="A540" s="400"/>
      <c r="B540" s="271"/>
      <c r="C540" s="271"/>
      <c r="D540" s="271"/>
      <c r="E540" s="271"/>
      <c r="F540" s="271"/>
      <c r="G540" s="273"/>
      <c r="H540" s="29" t="str">
        <f>IF(A540="","",VLOOKUP(A540,AA_Materiales,7,FALSE))</f>
        <v/>
      </c>
      <c r="I540" s="394" t="str">
        <f>IF(A540="","",VLOOKUP(A540,AA_Materiales,8,FALSE))</f>
        <v/>
      </c>
      <c r="J540" s="273"/>
      <c r="K540" s="395"/>
      <c r="L540" s="273"/>
      <c r="M540" s="394" t="str">
        <f t="shared" si="65"/>
        <v/>
      </c>
      <c r="N540" s="273"/>
    </row>
    <row r="541" spans="1:14" ht="13.5" x14ac:dyDescent="0.25">
      <c r="A541" s="4"/>
      <c r="B541" s="4"/>
      <c r="C541" s="4"/>
      <c r="D541" s="4"/>
      <c r="E541" s="4"/>
      <c r="F541" s="4"/>
      <c r="G541" s="4"/>
      <c r="H541" s="4"/>
      <c r="I541" s="4"/>
      <c r="J541" s="4"/>
      <c r="K541" s="396" t="s">
        <v>444</v>
      </c>
      <c r="L541" s="273"/>
      <c r="M541" s="394">
        <f>SUM(M536:N540)</f>
        <v>2021.5450000000001</v>
      </c>
      <c r="N541" s="273"/>
    </row>
    <row r="542" spans="1:14" ht="13.5" x14ac:dyDescent="0.25">
      <c r="A542" s="4"/>
      <c r="B542" s="4"/>
      <c r="C542" s="4"/>
      <c r="D542" s="4"/>
      <c r="E542" s="4"/>
      <c r="F542" s="4"/>
      <c r="G542" s="4"/>
      <c r="H542" s="4"/>
      <c r="I542" s="4"/>
      <c r="J542" s="4"/>
      <c r="K542" s="4"/>
      <c r="L542" s="4"/>
      <c r="M542" s="4"/>
      <c r="N542" s="4"/>
    </row>
    <row r="543" spans="1:14" x14ac:dyDescent="0.2">
      <c r="A543" s="398" t="s">
        <v>926</v>
      </c>
      <c r="B543" s="271"/>
      <c r="C543" s="271"/>
      <c r="D543" s="271"/>
      <c r="E543" s="271"/>
      <c r="F543" s="271"/>
      <c r="G543" s="271"/>
      <c r="H543" s="271"/>
      <c r="I543" s="271"/>
      <c r="J543" s="271"/>
      <c r="K543" s="271"/>
      <c r="L543" s="271"/>
      <c r="M543" s="271"/>
      <c r="N543" s="273"/>
    </row>
    <row r="544" spans="1:14" x14ac:dyDescent="0.2">
      <c r="A544" s="396" t="s">
        <v>76</v>
      </c>
      <c r="B544" s="271"/>
      <c r="C544" s="271"/>
      <c r="D544" s="271"/>
      <c r="E544" s="271"/>
      <c r="F544" s="271"/>
      <c r="G544" s="273"/>
      <c r="H544" s="88" t="s">
        <v>77</v>
      </c>
      <c r="I544" s="399" t="s">
        <v>920</v>
      </c>
      <c r="J544" s="273"/>
      <c r="K544" s="399" t="s">
        <v>453</v>
      </c>
      <c r="L544" s="273"/>
      <c r="M544" s="399" t="s">
        <v>921</v>
      </c>
      <c r="N544" s="273"/>
    </row>
    <row r="545" spans="1:14" ht="13.5" x14ac:dyDescent="0.2">
      <c r="A545" s="400" t="s">
        <v>927</v>
      </c>
      <c r="B545" s="271"/>
      <c r="C545" s="271"/>
      <c r="D545" s="271"/>
      <c r="E545" s="271"/>
      <c r="F545" s="271"/>
      <c r="G545" s="273"/>
      <c r="H545" s="29" t="str">
        <f>IF(A545="","",VLOOKUP(A545,AA_Equipos,7,FALSE))</f>
        <v>% M.O.</v>
      </c>
      <c r="I545" s="394">
        <f>M568</f>
        <v>1580.0196799999999</v>
      </c>
      <c r="J545" s="273"/>
      <c r="K545" s="395">
        <v>0.05</v>
      </c>
      <c r="L545" s="273"/>
      <c r="M545" s="394">
        <f t="shared" ref="M545:M549" si="66">IF(A545="","",I545*K545)</f>
        <v>79.000984000000003</v>
      </c>
      <c r="N545" s="273"/>
    </row>
    <row r="546" spans="1:14" ht="13.5" x14ac:dyDescent="0.2">
      <c r="A546" s="403" t="s">
        <v>928</v>
      </c>
      <c r="B546" s="271"/>
      <c r="C546" s="271"/>
      <c r="D546" s="271"/>
      <c r="E546" s="271"/>
      <c r="F546" s="271"/>
      <c r="G546" s="273"/>
      <c r="H546" s="29" t="str">
        <f>IF(A546="","",VLOOKUP(A546,AA_Equipos,7,FALSE))</f>
        <v>Dia</v>
      </c>
      <c r="I546" s="394">
        <f>IF(A546="","",VLOOKUP(A546,AA_Materiales,8,FALSE))</f>
        <v>237645</v>
      </c>
      <c r="J546" s="273"/>
      <c r="K546" s="402">
        <v>1.66666666666667E-3</v>
      </c>
      <c r="L546" s="273"/>
      <c r="M546" s="394">
        <f t="shared" si="66"/>
        <v>396.07500000000078</v>
      </c>
      <c r="N546" s="273"/>
    </row>
    <row r="547" spans="1:14" ht="13.5" x14ac:dyDescent="0.2">
      <c r="A547" s="400"/>
      <c r="B547" s="271"/>
      <c r="C547" s="271"/>
      <c r="D547" s="271"/>
      <c r="E547" s="271"/>
      <c r="F547" s="271"/>
      <c r="G547" s="273"/>
      <c r="H547" s="29" t="str">
        <f>IF(A547="","",VLOOKUP(A547,AA_Equipos,7,FALSE))</f>
        <v/>
      </c>
      <c r="I547" s="394" t="str">
        <f>IF(A547="","",VLOOKUP(A547,AA_Materiales,8,FALSE))</f>
        <v/>
      </c>
      <c r="J547" s="273"/>
      <c r="K547" s="395"/>
      <c r="L547" s="273"/>
      <c r="M547" s="394" t="str">
        <f t="shared" si="66"/>
        <v/>
      </c>
      <c r="N547" s="273"/>
    </row>
    <row r="548" spans="1:14" ht="13.5" x14ac:dyDescent="0.2">
      <c r="A548" s="400"/>
      <c r="B548" s="271"/>
      <c r="C548" s="271"/>
      <c r="D548" s="271"/>
      <c r="E548" s="271"/>
      <c r="F548" s="271"/>
      <c r="G548" s="273"/>
      <c r="H548" s="29" t="str">
        <f>IF(A548="","",VLOOKUP(A548,AA_Equipos,7,FALSE))</f>
        <v/>
      </c>
      <c r="I548" s="394" t="str">
        <f>IF(A548="","",VLOOKUP(A548,AA_Materiales,8,FALSE))</f>
        <v/>
      </c>
      <c r="J548" s="273"/>
      <c r="K548" s="395"/>
      <c r="L548" s="273"/>
      <c r="M548" s="394" t="str">
        <f t="shared" si="66"/>
        <v/>
      </c>
      <c r="N548" s="273"/>
    </row>
    <row r="549" spans="1:14" ht="13.5" x14ac:dyDescent="0.2">
      <c r="A549" s="400"/>
      <c r="B549" s="271"/>
      <c r="C549" s="271"/>
      <c r="D549" s="271"/>
      <c r="E549" s="271"/>
      <c r="F549" s="271"/>
      <c r="G549" s="273"/>
      <c r="H549" s="29" t="str">
        <f>IF(A549="","",VLOOKUP(A549,AA_Equipos,7,FALSE))</f>
        <v/>
      </c>
      <c r="I549" s="394" t="str">
        <f>IF(A549="","",VLOOKUP(A549,AA_Materiales,8,FALSE))</f>
        <v/>
      </c>
      <c r="J549" s="273"/>
      <c r="K549" s="395"/>
      <c r="L549" s="273"/>
      <c r="M549" s="394" t="str">
        <f t="shared" si="66"/>
        <v/>
      </c>
      <c r="N549" s="273"/>
    </row>
    <row r="550" spans="1:14" ht="13.5" x14ac:dyDescent="0.25">
      <c r="A550" s="4"/>
      <c r="B550" s="4"/>
      <c r="C550" s="4"/>
      <c r="D550" s="4"/>
      <c r="E550" s="4"/>
      <c r="F550" s="4"/>
      <c r="G550" s="4"/>
      <c r="H550" s="4"/>
      <c r="I550" s="4"/>
      <c r="J550" s="4"/>
      <c r="K550" s="396" t="s">
        <v>444</v>
      </c>
      <c r="L550" s="273"/>
      <c r="M550" s="394">
        <f>SUM(M545:N549)</f>
        <v>475.0759840000008</v>
      </c>
      <c r="N550" s="273"/>
    </row>
    <row r="551" spans="1:14" ht="13.5" x14ac:dyDescent="0.25">
      <c r="A551" s="4"/>
      <c r="B551" s="4"/>
      <c r="C551" s="4"/>
      <c r="D551" s="4"/>
      <c r="E551" s="4"/>
      <c r="F551" s="4"/>
      <c r="G551" s="4"/>
      <c r="H551" s="4"/>
      <c r="I551" s="4"/>
      <c r="J551" s="4"/>
      <c r="K551" s="4"/>
      <c r="L551" s="4"/>
      <c r="M551" s="4"/>
      <c r="N551" s="4"/>
    </row>
    <row r="552" spans="1:14" x14ac:dyDescent="0.2">
      <c r="A552" s="398" t="s">
        <v>929</v>
      </c>
      <c r="B552" s="271"/>
      <c r="C552" s="271"/>
      <c r="D552" s="271"/>
      <c r="E552" s="271"/>
      <c r="F552" s="271"/>
      <c r="G552" s="271"/>
      <c r="H552" s="271"/>
      <c r="I552" s="271"/>
      <c r="J552" s="271"/>
      <c r="K552" s="271"/>
      <c r="L552" s="271"/>
      <c r="M552" s="271"/>
      <c r="N552" s="273"/>
    </row>
    <row r="553" spans="1:14" x14ac:dyDescent="0.2">
      <c r="A553" s="396" t="s">
        <v>76</v>
      </c>
      <c r="B553" s="271"/>
      <c r="C553" s="271"/>
      <c r="D553" s="271"/>
      <c r="E553" s="271"/>
      <c r="F553" s="271"/>
      <c r="G553" s="273"/>
      <c r="H553" s="88" t="s">
        <v>77</v>
      </c>
      <c r="I553" s="399" t="s">
        <v>920</v>
      </c>
      <c r="J553" s="273"/>
      <c r="K553" s="399" t="s">
        <v>453</v>
      </c>
      <c r="L553" s="273"/>
      <c r="M553" s="399" t="s">
        <v>921</v>
      </c>
      <c r="N553" s="273"/>
    </row>
    <row r="554" spans="1:14" ht="13.5" x14ac:dyDescent="0.2">
      <c r="A554" s="400" t="s">
        <v>930</v>
      </c>
      <c r="B554" s="271"/>
      <c r="C554" s="271"/>
      <c r="D554" s="271"/>
      <c r="E554" s="271"/>
      <c r="F554" s="271"/>
      <c r="G554" s="273"/>
      <c r="H554" s="29" t="s">
        <v>24</v>
      </c>
      <c r="I554" s="394">
        <f>M541+M550</f>
        <v>2496.620984000001</v>
      </c>
      <c r="J554" s="273"/>
      <c r="K554" s="395">
        <v>0.05</v>
      </c>
      <c r="L554" s="273"/>
      <c r="M554" s="394">
        <f t="shared" ref="M554:M558" si="67">IF(A554="","",I554*K554)</f>
        <v>124.83104920000005</v>
      </c>
      <c r="N554" s="273"/>
    </row>
    <row r="555" spans="1:14" ht="13.5" x14ac:dyDescent="0.2">
      <c r="A555" s="403"/>
      <c r="B555" s="271"/>
      <c r="C555" s="271"/>
      <c r="D555" s="271"/>
      <c r="E555" s="271"/>
      <c r="F555" s="271"/>
      <c r="G555" s="273"/>
      <c r="H555" s="29"/>
      <c r="I555" s="394"/>
      <c r="J555" s="273"/>
      <c r="K555" s="402"/>
      <c r="L555" s="273"/>
      <c r="M555" s="394" t="str">
        <f t="shared" si="67"/>
        <v/>
      </c>
      <c r="N555" s="273"/>
    </row>
    <row r="556" spans="1:14" ht="13.5" x14ac:dyDescent="0.2">
      <c r="A556" s="400"/>
      <c r="B556" s="271"/>
      <c r="C556" s="271"/>
      <c r="D556" s="271"/>
      <c r="E556" s="271"/>
      <c r="F556" s="271"/>
      <c r="G556" s="273"/>
      <c r="H556" s="29"/>
      <c r="I556" s="394"/>
      <c r="J556" s="273"/>
      <c r="K556" s="395"/>
      <c r="L556" s="273"/>
      <c r="M556" s="394" t="str">
        <f t="shared" si="67"/>
        <v/>
      </c>
      <c r="N556" s="273"/>
    </row>
    <row r="557" spans="1:14" ht="13.5" x14ac:dyDescent="0.2">
      <c r="A557" s="400"/>
      <c r="B557" s="271"/>
      <c r="C557" s="271"/>
      <c r="D557" s="271"/>
      <c r="E557" s="271"/>
      <c r="F557" s="271"/>
      <c r="G557" s="273"/>
      <c r="H557" s="29"/>
      <c r="I557" s="394"/>
      <c r="J557" s="273"/>
      <c r="K557" s="395"/>
      <c r="L557" s="273"/>
      <c r="M557" s="394" t="str">
        <f t="shared" si="67"/>
        <v/>
      </c>
      <c r="N557" s="273"/>
    </row>
    <row r="558" spans="1:14" ht="13.5" x14ac:dyDescent="0.2">
      <c r="A558" s="400"/>
      <c r="B558" s="271"/>
      <c r="C558" s="271"/>
      <c r="D558" s="271"/>
      <c r="E558" s="271"/>
      <c r="F558" s="271"/>
      <c r="G558" s="273"/>
      <c r="H558" s="29"/>
      <c r="I558" s="394"/>
      <c r="J558" s="273"/>
      <c r="K558" s="395"/>
      <c r="L558" s="273"/>
      <c r="M558" s="394" t="str">
        <f t="shared" si="67"/>
        <v/>
      </c>
      <c r="N558" s="273"/>
    </row>
    <row r="559" spans="1:14" ht="13.5" x14ac:dyDescent="0.25">
      <c r="A559" s="4"/>
      <c r="B559" s="4"/>
      <c r="C559" s="4"/>
      <c r="D559" s="4"/>
      <c r="E559" s="4"/>
      <c r="F559" s="4"/>
      <c r="G559" s="4"/>
      <c r="H559" s="4"/>
      <c r="I559" s="4"/>
      <c r="J559" s="4"/>
      <c r="K559" s="396" t="s">
        <v>444</v>
      </c>
      <c r="L559" s="273"/>
      <c r="M559" s="394">
        <f>SUM(M554:N558)</f>
        <v>124.83104920000005</v>
      </c>
      <c r="N559" s="273"/>
    </row>
    <row r="560" spans="1:14" ht="13.5" x14ac:dyDescent="0.25">
      <c r="A560" s="4"/>
      <c r="B560" s="4"/>
      <c r="C560" s="4"/>
      <c r="D560" s="4"/>
      <c r="E560" s="4"/>
      <c r="F560" s="4"/>
      <c r="G560" s="4"/>
      <c r="H560" s="4"/>
      <c r="I560" s="4"/>
      <c r="J560" s="4"/>
      <c r="K560" s="4"/>
      <c r="L560" s="4"/>
      <c r="M560" s="4"/>
      <c r="N560" s="4"/>
    </row>
    <row r="561" spans="1:14" x14ac:dyDescent="0.2">
      <c r="A561" s="398" t="s">
        <v>931</v>
      </c>
      <c r="B561" s="271"/>
      <c r="C561" s="271"/>
      <c r="D561" s="271"/>
      <c r="E561" s="271"/>
      <c r="F561" s="271"/>
      <c r="G561" s="271"/>
      <c r="H561" s="271"/>
      <c r="I561" s="271"/>
      <c r="J561" s="271"/>
      <c r="K561" s="271"/>
      <c r="L561" s="271"/>
      <c r="M561" s="271"/>
      <c r="N561" s="273"/>
    </row>
    <row r="562" spans="1:14" x14ac:dyDescent="0.2">
      <c r="A562" s="396" t="s">
        <v>76</v>
      </c>
      <c r="B562" s="271"/>
      <c r="C562" s="271"/>
      <c r="D562" s="271"/>
      <c r="E562" s="271"/>
      <c r="F562" s="271"/>
      <c r="G562" s="273"/>
      <c r="H562" s="88" t="s">
        <v>77</v>
      </c>
      <c r="I562" s="399" t="s">
        <v>920</v>
      </c>
      <c r="J562" s="273"/>
      <c r="K562" s="90" t="s">
        <v>514</v>
      </c>
      <c r="L562" s="91" t="s">
        <v>932</v>
      </c>
      <c r="M562" s="399" t="s">
        <v>921</v>
      </c>
      <c r="N562" s="273"/>
    </row>
    <row r="563" spans="1:14" ht="13.5" x14ac:dyDescent="0.25">
      <c r="A563" s="393" t="s">
        <v>933</v>
      </c>
      <c r="B563" s="271"/>
      <c r="C563" s="271"/>
      <c r="D563" s="271"/>
      <c r="E563" s="271"/>
      <c r="F563" s="271"/>
      <c r="G563" s="273"/>
      <c r="H563" s="29" t="str">
        <f>IF(A563="","",VLOOKUP(A563,AA_Cuadrillas,4,FALSE))</f>
        <v>Cuadrilla</v>
      </c>
      <c r="I563" s="394">
        <f>IF(A563="","",VLOOKUP(A563,AA_Cuadrillas,5,FALSE))</f>
        <v>420218</v>
      </c>
      <c r="J563" s="273"/>
      <c r="K563" s="9">
        <f>IF(A563="","",F.P!$I$2)</f>
        <v>1.88</v>
      </c>
      <c r="L563" s="93">
        <v>2E-3</v>
      </c>
      <c r="M563" s="394">
        <f t="shared" ref="M563:M567" si="68">IF(A563="","",I563*K563*L563)</f>
        <v>1580.0196799999999</v>
      </c>
      <c r="N563" s="273"/>
    </row>
    <row r="564" spans="1:14" ht="13.5" x14ac:dyDescent="0.25">
      <c r="A564" s="393"/>
      <c r="B564" s="271"/>
      <c r="C564" s="271"/>
      <c r="D564" s="271"/>
      <c r="E564" s="271"/>
      <c r="F564" s="271"/>
      <c r="G564" s="273"/>
      <c r="H564" s="29" t="str">
        <f>IF(A564="","",VLOOKUP(A564,AA_Cuadrillas,4,FALSE))</f>
        <v/>
      </c>
      <c r="I564" s="394" t="str">
        <f>IF(A564="","",VLOOKUP(A564,AA_Cuadrillas,5,FALSE))</f>
        <v/>
      </c>
      <c r="J564" s="273"/>
      <c r="K564" s="9" t="str">
        <f>IF(A564="","",F.P!$I$2)</f>
        <v/>
      </c>
      <c r="L564" s="9"/>
      <c r="M564" s="394" t="str">
        <f t="shared" si="68"/>
        <v/>
      </c>
      <c r="N564" s="273"/>
    </row>
    <row r="565" spans="1:14" ht="13.5" x14ac:dyDescent="0.25">
      <c r="A565" s="393"/>
      <c r="B565" s="271"/>
      <c r="C565" s="271"/>
      <c r="D565" s="271"/>
      <c r="E565" s="271"/>
      <c r="F565" s="271"/>
      <c r="G565" s="273"/>
      <c r="H565" s="29" t="str">
        <f>IF(A565="","",VLOOKUP(A565,AA_Cuadrillas,4,FALSE))</f>
        <v/>
      </c>
      <c r="I565" s="394" t="str">
        <f>IF(A565="","",VLOOKUP(A565,AA_Cuadrillas,5,FALSE))</f>
        <v/>
      </c>
      <c r="J565" s="273"/>
      <c r="K565" s="9" t="str">
        <f>IF(A565="","",F.P!$I$2)</f>
        <v/>
      </c>
      <c r="L565" s="37"/>
      <c r="M565" s="394" t="str">
        <f t="shared" si="68"/>
        <v/>
      </c>
      <c r="N565" s="273"/>
    </row>
    <row r="566" spans="1:14" ht="13.5" x14ac:dyDescent="0.25">
      <c r="A566" s="393"/>
      <c r="B566" s="271"/>
      <c r="C566" s="271"/>
      <c r="D566" s="271"/>
      <c r="E566" s="271"/>
      <c r="F566" s="271"/>
      <c r="G566" s="273"/>
      <c r="H566" s="29" t="str">
        <f>IF(A566="","",VLOOKUP(A566,AA_Cuadrillas,4,FALSE))</f>
        <v/>
      </c>
      <c r="I566" s="394" t="str">
        <f>IF(A566="","",VLOOKUP(A566,AA_Cuadrillas,5,FALSE))</f>
        <v/>
      </c>
      <c r="J566" s="273"/>
      <c r="K566" s="9" t="str">
        <f>IF(A566="","",F.P!$I$2)</f>
        <v/>
      </c>
      <c r="L566" s="37"/>
      <c r="M566" s="394" t="str">
        <f t="shared" si="68"/>
        <v/>
      </c>
      <c r="N566" s="273"/>
    </row>
    <row r="567" spans="1:14" ht="13.5" x14ac:dyDescent="0.25">
      <c r="A567" s="393"/>
      <c r="B567" s="271"/>
      <c r="C567" s="271"/>
      <c r="D567" s="271"/>
      <c r="E567" s="271"/>
      <c r="F567" s="271"/>
      <c r="G567" s="273"/>
      <c r="H567" s="29" t="str">
        <f>IF(A567="","",VLOOKUP(A567,AA_Cuadrillas,4,FALSE))</f>
        <v/>
      </c>
      <c r="I567" s="394" t="str">
        <f>IF(A567="","",VLOOKUP(A567,AA_Cuadrillas,5,FALSE))</f>
        <v/>
      </c>
      <c r="J567" s="273"/>
      <c r="K567" s="9" t="str">
        <f>IF(A567="","",F.P!$I$2)</f>
        <v/>
      </c>
      <c r="L567" s="37"/>
      <c r="M567" s="394" t="str">
        <f t="shared" si="68"/>
        <v/>
      </c>
      <c r="N567" s="273"/>
    </row>
    <row r="568" spans="1:14" ht="13.5" x14ac:dyDescent="0.25">
      <c r="A568" s="4"/>
      <c r="B568" s="4"/>
      <c r="C568" s="4"/>
      <c r="D568" s="4"/>
      <c r="E568" s="4"/>
      <c r="F568" s="4"/>
      <c r="G568" s="4"/>
      <c r="H568" s="4"/>
      <c r="I568" s="4"/>
      <c r="J568" s="4"/>
      <c r="K568" s="396" t="s">
        <v>444</v>
      </c>
      <c r="L568" s="273"/>
      <c r="M568" s="394">
        <f>SUM(M563:N567)</f>
        <v>1580.0196799999999</v>
      </c>
      <c r="N568" s="273"/>
    </row>
    <row r="569" spans="1:14" ht="13.5" x14ac:dyDescent="0.25">
      <c r="A569" s="4"/>
      <c r="B569" s="4"/>
      <c r="C569" s="4"/>
      <c r="D569" s="4"/>
      <c r="E569" s="4"/>
      <c r="F569" s="4"/>
      <c r="G569" s="4"/>
      <c r="H569" s="4"/>
      <c r="I569" s="4"/>
      <c r="J569" s="4"/>
      <c r="K569" s="4"/>
      <c r="L569" s="4"/>
      <c r="M569" s="4"/>
      <c r="N569" s="4"/>
    </row>
    <row r="571" spans="1:14" x14ac:dyDescent="0.2">
      <c r="A571" s="407" t="s">
        <v>111</v>
      </c>
      <c r="B571" s="275"/>
      <c r="C571" s="275"/>
      <c r="D571" s="275"/>
      <c r="E571" s="275"/>
      <c r="F571" s="275"/>
      <c r="G571" s="275"/>
      <c r="H571" s="275"/>
      <c r="I571" s="275"/>
      <c r="J571" s="275"/>
      <c r="K571" s="275"/>
      <c r="L571" s="275"/>
      <c r="M571" s="275"/>
      <c r="N571" s="276"/>
    </row>
    <row r="572" spans="1:14" x14ac:dyDescent="0.2">
      <c r="A572" s="277"/>
      <c r="B572" s="278"/>
      <c r="C572" s="278"/>
      <c r="D572" s="278"/>
      <c r="E572" s="278"/>
      <c r="F572" s="278"/>
      <c r="G572" s="278"/>
      <c r="H572" s="278"/>
      <c r="I572" s="278"/>
      <c r="J572" s="278"/>
      <c r="K572" s="278"/>
      <c r="L572" s="278"/>
      <c r="M572" s="278"/>
      <c r="N572" s="279"/>
    </row>
    <row r="573" spans="1:14" ht="13.5" x14ac:dyDescent="0.2">
      <c r="A573" s="75"/>
      <c r="B573" s="75"/>
      <c r="C573" s="75"/>
      <c r="D573" s="75"/>
      <c r="E573" s="75"/>
      <c r="F573" s="75"/>
      <c r="G573" s="75"/>
      <c r="H573" s="75"/>
      <c r="I573" s="75"/>
      <c r="J573" s="75"/>
      <c r="K573" s="75"/>
      <c r="L573" s="75"/>
      <c r="M573" s="75"/>
      <c r="N573" s="75"/>
    </row>
    <row r="574" spans="1:14" ht="14.25" x14ac:dyDescent="0.3">
      <c r="A574" s="79" t="s">
        <v>639</v>
      </c>
      <c r="B574" s="80" t="str">
        <f>A571</f>
        <v>DISPOSICIÓN DE MATERIAL PROVENIENTE DE EXCAVACIÓN (INCLUYE TRANSPORTE)</v>
      </c>
      <c r="C574" s="81" t="s">
        <v>916</v>
      </c>
      <c r="D574" s="82" t="s">
        <v>258</v>
      </c>
      <c r="E574" s="83" t="s">
        <v>445</v>
      </c>
      <c r="F574" s="244">
        <f>(H574+J574+L574+N574)</f>
        <v>5573.4897102644227</v>
      </c>
      <c r="G574" s="83" t="s">
        <v>607</v>
      </c>
      <c r="H574" s="86">
        <f>M593</f>
        <v>1762.2923000000001</v>
      </c>
      <c r="I574" s="83" t="s">
        <v>918</v>
      </c>
      <c r="J574" s="86">
        <f>M584</f>
        <v>0</v>
      </c>
      <c r="K574" s="83" t="s">
        <v>609</v>
      </c>
      <c r="L574" s="86">
        <f>M602</f>
        <v>2165.3514102644231</v>
      </c>
      <c r="M574" s="83" t="s">
        <v>610</v>
      </c>
      <c r="N574" s="86">
        <f>M611</f>
        <v>1645.846</v>
      </c>
    </row>
    <row r="575" spans="1:14" ht="13.5" x14ac:dyDescent="0.25">
      <c r="A575" s="87"/>
      <c r="B575" s="87"/>
      <c r="C575" s="87"/>
      <c r="D575" s="87"/>
      <c r="E575" s="87"/>
      <c r="F575" s="87"/>
      <c r="G575" s="87"/>
      <c r="J575" s="87"/>
      <c r="K575" s="215" t="s">
        <v>3217</v>
      </c>
      <c r="L575" s="215">
        <f>+F574*presup!$O$5</f>
        <v>7245.5366233437499</v>
      </c>
      <c r="M575" s="87"/>
      <c r="N575" s="87"/>
    </row>
    <row r="576" spans="1:14" x14ac:dyDescent="0.2">
      <c r="A576" s="398" t="s">
        <v>919</v>
      </c>
      <c r="B576" s="271"/>
      <c r="C576" s="271"/>
      <c r="D576" s="271"/>
      <c r="E576" s="271"/>
      <c r="F576" s="271"/>
      <c r="G576" s="271"/>
      <c r="H576" s="271"/>
      <c r="I576" s="271"/>
      <c r="J576" s="271"/>
      <c r="K576" s="271"/>
      <c r="L576" s="271"/>
      <c r="M576" s="271"/>
      <c r="N576" s="273"/>
    </row>
    <row r="577" spans="1:14" x14ac:dyDescent="0.2">
      <c r="A577" s="396" t="s">
        <v>76</v>
      </c>
      <c r="B577" s="271"/>
      <c r="C577" s="271"/>
      <c r="D577" s="271"/>
      <c r="E577" s="271"/>
      <c r="F577" s="271"/>
      <c r="G577" s="273"/>
      <c r="H577" s="88" t="s">
        <v>77</v>
      </c>
      <c r="I577" s="399" t="s">
        <v>920</v>
      </c>
      <c r="J577" s="273"/>
      <c r="K577" s="399" t="s">
        <v>453</v>
      </c>
      <c r="L577" s="273"/>
      <c r="M577" s="399" t="s">
        <v>921</v>
      </c>
      <c r="N577" s="273"/>
    </row>
    <row r="578" spans="1:14" ht="13.5" x14ac:dyDescent="0.2">
      <c r="A578" s="403"/>
      <c r="B578" s="271"/>
      <c r="C578" s="271"/>
      <c r="D578" s="271"/>
      <c r="E578" s="271"/>
      <c r="F578" s="271"/>
      <c r="G578" s="273"/>
      <c r="H578" s="29" t="str">
        <f t="shared" ref="H578:H583" si="69">IF(A578="","",VLOOKUP(A578,AA_Materiales,7,FALSE))</f>
        <v/>
      </c>
      <c r="I578" s="394" t="str">
        <f t="shared" ref="I578:I583" si="70">IF(A578="","",VLOOKUP(A578,AA_Materiales,8,FALSE))</f>
        <v/>
      </c>
      <c r="J578" s="273"/>
      <c r="K578" s="395"/>
      <c r="L578" s="273"/>
      <c r="M578" s="394" t="str">
        <f t="shared" ref="M578:M583" si="71">IF(A578="","",I578*K578)</f>
        <v/>
      </c>
      <c r="N578" s="273"/>
    </row>
    <row r="579" spans="1:14" ht="13.5" x14ac:dyDescent="0.2">
      <c r="A579" s="400"/>
      <c r="B579" s="271"/>
      <c r="C579" s="271"/>
      <c r="D579" s="271"/>
      <c r="E579" s="271"/>
      <c r="F579" s="271"/>
      <c r="G579" s="273"/>
      <c r="H579" s="29" t="str">
        <f t="shared" si="69"/>
        <v/>
      </c>
      <c r="I579" s="394" t="str">
        <f t="shared" si="70"/>
        <v/>
      </c>
      <c r="J579" s="273"/>
      <c r="K579" s="395"/>
      <c r="L579" s="273"/>
      <c r="M579" s="394" t="str">
        <f t="shared" si="71"/>
        <v/>
      </c>
      <c r="N579" s="273"/>
    </row>
    <row r="580" spans="1:14" ht="13.5" x14ac:dyDescent="0.2">
      <c r="A580" s="400"/>
      <c r="B580" s="271"/>
      <c r="C580" s="271"/>
      <c r="D580" s="271"/>
      <c r="E580" s="271"/>
      <c r="F580" s="271"/>
      <c r="G580" s="273"/>
      <c r="H580" s="29" t="str">
        <f t="shared" si="69"/>
        <v/>
      </c>
      <c r="I580" s="394" t="str">
        <f t="shared" si="70"/>
        <v/>
      </c>
      <c r="J580" s="273"/>
      <c r="K580" s="395"/>
      <c r="L580" s="273"/>
      <c r="M580" s="394" t="str">
        <f t="shared" si="71"/>
        <v/>
      </c>
      <c r="N580" s="273"/>
    </row>
    <row r="581" spans="1:14" ht="13.5" x14ac:dyDescent="0.2">
      <c r="A581" s="400"/>
      <c r="B581" s="271"/>
      <c r="C581" s="271"/>
      <c r="D581" s="271"/>
      <c r="E581" s="271"/>
      <c r="F581" s="271"/>
      <c r="G581" s="273"/>
      <c r="H581" s="29" t="str">
        <f t="shared" si="69"/>
        <v/>
      </c>
      <c r="I581" s="394" t="str">
        <f t="shared" si="70"/>
        <v/>
      </c>
      <c r="J581" s="273"/>
      <c r="K581" s="395"/>
      <c r="L581" s="273"/>
      <c r="M581" s="394" t="str">
        <f t="shared" si="71"/>
        <v/>
      </c>
      <c r="N581" s="273"/>
    </row>
    <row r="582" spans="1:14" ht="13.5" x14ac:dyDescent="0.2">
      <c r="A582" s="400"/>
      <c r="B582" s="271"/>
      <c r="C582" s="271"/>
      <c r="D582" s="271"/>
      <c r="E582" s="271"/>
      <c r="F582" s="271"/>
      <c r="G582" s="273"/>
      <c r="H582" s="29" t="str">
        <f t="shared" si="69"/>
        <v/>
      </c>
      <c r="I582" s="394" t="str">
        <f t="shared" si="70"/>
        <v/>
      </c>
      <c r="J582" s="273"/>
      <c r="K582" s="395"/>
      <c r="L582" s="273"/>
      <c r="M582" s="394" t="str">
        <f t="shared" si="71"/>
        <v/>
      </c>
      <c r="N582" s="273"/>
    </row>
    <row r="583" spans="1:14" ht="13.5" x14ac:dyDescent="0.2">
      <c r="A583" s="400"/>
      <c r="B583" s="271"/>
      <c r="C583" s="271"/>
      <c r="D583" s="271"/>
      <c r="E583" s="271"/>
      <c r="F583" s="271"/>
      <c r="G583" s="273"/>
      <c r="H583" s="29" t="str">
        <f t="shared" si="69"/>
        <v/>
      </c>
      <c r="I583" s="394" t="str">
        <f t="shared" si="70"/>
        <v/>
      </c>
      <c r="J583" s="273"/>
      <c r="K583" s="395"/>
      <c r="L583" s="273"/>
      <c r="M583" s="394" t="str">
        <f t="shared" si="71"/>
        <v/>
      </c>
      <c r="N583" s="273"/>
    </row>
    <row r="584" spans="1:14" ht="13.5" x14ac:dyDescent="0.25">
      <c r="A584" s="4"/>
      <c r="B584" s="4"/>
      <c r="C584" s="4"/>
      <c r="D584" s="4"/>
      <c r="E584" s="4"/>
      <c r="F584" s="4"/>
      <c r="G584" s="4"/>
      <c r="H584" s="4"/>
      <c r="I584" s="4"/>
      <c r="J584" s="4"/>
      <c r="K584" s="396" t="s">
        <v>444</v>
      </c>
      <c r="L584" s="273"/>
      <c r="M584" s="394">
        <f>SUM(M578:N583)</f>
        <v>0</v>
      </c>
      <c r="N584" s="273"/>
    </row>
    <row r="585" spans="1:14" ht="13.5" x14ac:dyDescent="0.25">
      <c r="A585" s="4"/>
      <c r="B585" s="4"/>
      <c r="C585" s="4"/>
      <c r="D585" s="4"/>
      <c r="E585" s="4"/>
      <c r="F585" s="4"/>
      <c r="G585" s="4"/>
      <c r="H585" s="4"/>
      <c r="I585" s="4"/>
      <c r="J585" s="4"/>
      <c r="K585" s="4"/>
      <c r="L585" s="4"/>
      <c r="M585" s="4"/>
      <c r="N585" s="4"/>
    </row>
    <row r="586" spans="1:14" x14ac:dyDescent="0.2">
      <c r="A586" s="398" t="s">
        <v>926</v>
      </c>
      <c r="B586" s="271"/>
      <c r="C586" s="271"/>
      <c r="D586" s="271"/>
      <c r="E586" s="271"/>
      <c r="F586" s="271"/>
      <c r="G586" s="271"/>
      <c r="H586" s="271"/>
      <c r="I586" s="271"/>
      <c r="J586" s="271"/>
      <c r="K586" s="271"/>
      <c r="L586" s="271"/>
      <c r="M586" s="271"/>
      <c r="N586" s="273"/>
    </row>
    <row r="587" spans="1:14" x14ac:dyDescent="0.2">
      <c r="A587" s="396" t="s">
        <v>76</v>
      </c>
      <c r="B587" s="271"/>
      <c r="C587" s="271"/>
      <c r="D587" s="271"/>
      <c r="E587" s="271"/>
      <c r="F587" s="271"/>
      <c r="G587" s="273"/>
      <c r="H587" s="88" t="s">
        <v>77</v>
      </c>
      <c r="I587" s="399" t="s">
        <v>920</v>
      </c>
      <c r="J587" s="273"/>
      <c r="K587" s="399" t="s">
        <v>453</v>
      </c>
      <c r="L587" s="273"/>
      <c r="M587" s="399" t="s">
        <v>921</v>
      </c>
      <c r="N587" s="273"/>
    </row>
    <row r="588" spans="1:14" ht="13.5" x14ac:dyDescent="0.2">
      <c r="A588" s="400" t="s">
        <v>927</v>
      </c>
      <c r="B588" s="271"/>
      <c r="C588" s="271"/>
      <c r="D588" s="271"/>
      <c r="E588" s="271"/>
      <c r="F588" s="271"/>
      <c r="G588" s="273"/>
      <c r="H588" s="29" t="str">
        <f>IF(A588="","",VLOOKUP(A588,AA_Equipos,7,FALSE))</f>
        <v>% M.O.</v>
      </c>
      <c r="I588" s="394">
        <f>+M611</f>
        <v>1645.846</v>
      </c>
      <c r="J588" s="273"/>
      <c r="K588" s="404">
        <v>0.05</v>
      </c>
      <c r="L588" s="273"/>
      <c r="M588" s="394">
        <f t="shared" ref="M588:M592" si="72">IF(A588="","",I588*K588)</f>
        <v>82.292300000000012</v>
      </c>
      <c r="N588" s="273"/>
    </row>
    <row r="589" spans="1:14" ht="13.5" x14ac:dyDescent="0.2">
      <c r="A589" s="403" t="s">
        <v>938</v>
      </c>
      <c r="B589" s="271"/>
      <c r="C589" s="271"/>
      <c r="D589" s="271"/>
      <c r="E589" s="271"/>
      <c r="F589" s="271"/>
      <c r="G589" s="273"/>
      <c r="H589" s="29" t="str">
        <f>IF(A589="","",VLOOKUP(A589,AA_Equipos,7,FALSE))</f>
        <v>Hora</v>
      </c>
      <c r="I589" s="394">
        <f>IF(A589="","",VLOOKUP(A589,AA_Equipos,8,FALSE))</f>
        <v>120000</v>
      </c>
      <c r="J589" s="273"/>
      <c r="K589" s="402">
        <v>1.4E-2</v>
      </c>
      <c r="L589" s="273"/>
      <c r="M589" s="394">
        <f t="shared" si="72"/>
        <v>1680</v>
      </c>
      <c r="N589" s="273"/>
    </row>
    <row r="590" spans="1:14" ht="13.5" x14ac:dyDescent="0.2">
      <c r="A590" s="400"/>
      <c r="B590" s="271"/>
      <c r="C590" s="271"/>
      <c r="D590" s="271"/>
      <c r="E590" s="271"/>
      <c r="F590" s="271"/>
      <c r="G590" s="273"/>
      <c r="H590" s="29" t="str">
        <f>IF(A590="","",VLOOKUP(A590,AA_Equipos,7,FALSE))</f>
        <v/>
      </c>
      <c r="I590" s="394" t="str">
        <f>IF(A590="","",VLOOKUP(A590,AA_Equipos,8,FALSE))</f>
        <v/>
      </c>
      <c r="J590" s="273"/>
      <c r="K590" s="401"/>
      <c r="L590" s="273"/>
      <c r="M590" s="394" t="str">
        <f t="shared" si="72"/>
        <v/>
      </c>
      <c r="N590" s="273"/>
    </row>
    <row r="591" spans="1:14" ht="13.5" x14ac:dyDescent="0.2">
      <c r="A591" s="400"/>
      <c r="B591" s="271"/>
      <c r="C591" s="271"/>
      <c r="D591" s="271"/>
      <c r="E591" s="271"/>
      <c r="F591" s="271"/>
      <c r="G591" s="273"/>
      <c r="H591" s="29" t="str">
        <f>IF(A591="","",VLOOKUP(A591,AA_Equipos,7,FALSE))</f>
        <v/>
      </c>
      <c r="I591" s="394" t="str">
        <f>IF(A591="","",VLOOKUP(A591,AA_Equipos,8,FALSE))</f>
        <v/>
      </c>
      <c r="J591" s="273"/>
      <c r="K591" s="395"/>
      <c r="L591" s="273"/>
      <c r="M591" s="394" t="str">
        <f t="shared" si="72"/>
        <v/>
      </c>
      <c r="N591" s="273"/>
    </row>
    <row r="592" spans="1:14" ht="13.5" x14ac:dyDescent="0.2">
      <c r="A592" s="400"/>
      <c r="B592" s="271"/>
      <c r="C592" s="271"/>
      <c r="D592" s="271"/>
      <c r="E592" s="271"/>
      <c r="F592" s="271"/>
      <c r="G592" s="273"/>
      <c r="H592" s="29" t="str">
        <f>IF(A592="","",VLOOKUP(A592,AA_Equipos,7,FALSE))</f>
        <v/>
      </c>
      <c r="I592" s="394" t="str">
        <f>IF(A592="","",VLOOKUP(A592,AA_Equipos,8,FALSE))</f>
        <v/>
      </c>
      <c r="J592" s="273"/>
      <c r="K592" s="395"/>
      <c r="L592" s="273"/>
      <c r="M592" s="394" t="str">
        <f t="shared" si="72"/>
        <v/>
      </c>
      <c r="N592" s="273"/>
    </row>
    <row r="593" spans="1:14" ht="13.5" x14ac:dyDescent="0.25">
      <c r="A593" s="4"/>
      <c r="B593" s="4"/>
      <c r="C593" s="4"/>
      <c r="D593" s="4"/>
      <c r="E593" s="4"/>
      <c r="F593" s="4"/>
      <c r="G593" s="4"/>
      <c r="H593" s="4"/>
      <c r="I593" s="4"/>
      <c r="J593" s="4"/>
      <c r="K593" s="396" t="s">
        <v>444</v>
      </c>
      <c r="L593" s="273"/>
      <c r="M593" s="394">
        <f>SUM(M588:N592)</f>
        <v>1762.2923000000001</v>
      </c>
      <c r="N593" s="273"/>
    </row>
    <row r="594" spans="1:14" ht="13.5" x14ac:dyDescent="0.25">
      <c r="A594" s="4"/>
      <c r="B594" s="4"/>
      <c r="C594" s="4"/>
      <c r="D594" s="4"/>
      <c r="E594" s="4"/>
      <c r="F594" s="4"/>
      <c r="G594" s="4"/>
      <c r="H594" s="4"/>
      <c r="I594" s="4"/>
      <c r="J594" s="4"/>
      <c r="K594" s="4"/>
      <c r="L594" s="4"/>
      <c r="M594" s="4"/>
      <c r="N594" s="4"/>
    </row>
    <row r="595" spans="1:14" x14ac:dyDescent="0.2">
      <c r="A595" s="398" t="s">
        <v>929</v>
      </c>
      <c r="B595" s="271"/>
      <c r="C595" s="271"/>
      <c r="D595" s="271"/>
      <c r="E595" s="271"/>
      <c r="F595" s="271"/>
      <c r="G595" s="271"/>
      <c r="H595" s="271"/>
      <c r="I595" s="271"/>
      <c r="J595" s="271"/>
      <c r="K595" s="271"/>
      <c r="L595" s="271"/>
      <c r="M595" s="271"/>
      <c r="N595" s="273"/>
    </row>
    <row r="596" spans="1:14" x14ac:dyDescent="0.2">
      <c r="A596" s="396" t="s">
        <v>76</v>
      </c>
      <c r="B596" s="271"/>
      <c r="C596" s="271"/>
      <c r="D596" s="271"/>
      <c r="E596" s="271"/>
      <c r="F596" s="271"/>
      <c r="G596" s="273"/>
      <c r="H596" s="88" t="s">
        <v>77</v>
      </c>
      <c r="I596" s="399" t="s">
        <v>920</v>
      </c>
      <c r="J596" s="273"/>
      <c r="K596" s="399" t="s">
        <v>453</v>
      </c>
      <c r="L596" s="273"/>
      <c r="M596" s="399" t="s">
        <v>921</v>
      </c>
      <c r="N596" s="273"/>
    </row>
    <row r="597" spans="1:14" ht="13.5" x14ac:dyDescent="0.2">
      <c r="A597" s="400" t="s">
        <v>1026</v>
      </c>
      <c r="B597" s="271"/>
      <c r="C597" s="271"/>
      <c r="D597" s="271"/>
      <c r="E597" s="271"/>
      <c r="F597" s="271"/>
      <c r="G597" s="273"/>
      <c r="H597" s="29" t="s">
        <v>1027</v>
      </c>
      <c r="I597" s="394">
        <f>'precios '!$J$222</f>
        <v>2077.2367952644231</v>
      </c>
      <c r="J597" s="273"/>
      <c r="K597" s="395">
        <v>1</v>
      </c>
      <c r="L597" s="273"/>
      <c r="M597" s="394">
        <f t="shared" ref="M597:M601" si="73">IF(A597="","",I597*K597)</f>
        <v>2077.2367952644231</v>
      </c>
      <c r="N597" s="273"/>
    </row>
    <row r="598" spans="1:14" ht="13.5" x14ac:dyDescent="0.2">
      <c r="A598" s="403" t="s">
        <v>3174</v>
      </c>
      <c r="B598" s="271"/>
      <c r="C598" s="271"/>
      <c r="D598" s="271"/>
      <c r="E598" s="271"/>
      <c r="F598" s="271"/>
      <c r="G598" s="273"/>
      <c r="H598" s="29" t="s">
        <v>24</v>
      </c>
      <c r="I598" s="394">
        <f>+M593</f>
        <v>1762.2923000000001</v>
      </c>
      <c r="J598" s="273"/>
      <c r="K598" s="405">
        <v>0.05</v>
      </c>
      <c r="L598" s="406"/>
      <c r="M598" s="394">
        <f t="shared" si="73"/>
        <v>88.114615000000015</v>
      </c>
      <c r="N598" s="273"/>
    </row>
    <row r="599" spans="1:14" ht="13.5" x14ac:dyDescent="0.2">
      <c r="A599" s="400"/>
      <c r="B599" s="271"/>
      <c r="C599" s="271"/>
      <c r="D599" s="271"/>
      <c r="E599" s="271"/>
      <c r="F599" s="271"/>
      <c r="G599" s="273"/>
      <c r="H599" s="29"/>
      <c r="I599" s="394"/>
      <c r="J599" s="273"/>
      <c r="K599" s="395"/>
      <c r="L599" s="273"/>
      <c r="M599" s="394" t="str">
        <f t="shared" si="73"/>
        <v/>
      </c>
      <c r="N599" s="273"/>
    </row>
    <row r="600" spans="1:14" ht="13.5" x14ac:dyDescent="0.2">
      <c r="A600" s="400"/>
      <c r="B600" s="271"/>
      <c r="C600" s="271"/>
      <c r="D600" s="271"/>
      <c r="E600" s="271"/>
      <c r="F600" s="271"/>
      <c r="G600" s="273"/>
      <c r="H600" s="29"/>
      <c r="I600" s="394"/>
      <c r="J600" s="273"/>
      <c r="K600" s="395"/>
      <c r="L600" s="273"/>
      <c r="M600" s="394" t="str">
        <f t="shared" si="73"/>
        <v/>
      </c>
      <c r="N600" s="273"/>
    </row>
    <row r="601" spans="1:14" ht="13.5" x14ac:dyDescent="0.2">
      <c r="A601" s="400"/>
      <c r="B601" s="271"/>
      <c r="C601" s="271"/>
      <c r="D601" s="271"/>
      <c r="E601" s="271"/>
      <c r="F601" s="271"/>
      <c r="G601" s="273"/>
      <c r="H601" s="29"/>
      <c r="I601" s="394"/>
      <c r="J601" s="273"/>
      <c r="K601" s="395"/>
      <c r="L601" s="273"/>
      <c r="M601" s="394" t="str">
        <f t="shared" si="73"/>
        <v/>
      </c>
      <c r="N601" s="273"/>
    </row>
    <row r="602" spans="1:14" ht="13.5" x14ac:dyDescent="0.25">
      <c r="A602" s="4"/>
      <c r="B602" s="4"/>
      <c r="C602" s="4"/>
      <c r="D602" s="4"/>
      <c r="E602" s="4"/>
      <c r="F602" s="4"/>
      <c r="G602" s="4"/>
      <c r="H602" s="4"/>
      <c r="I602" s="4"/>
      <c r="J602" s="4"/>
      <c r="K602" s="396" t="s">
        <v>444</v>
      </c>
      <c r="L602" s="273"/>
      <c r="M602" s="394">
        <f>SUM(M597:N601)</f>
        <v>2165.3514102644231</v>
      </c>
      <c r="N602" s="273"/>
    </row>
    <row r="603" spans="1:14" ht="13.5" x14ac:dyDescent="0.25">
      <c r="A603" s="4"/>
      <c r="B603" s="4"/>
      <c r="C603" s="4"/>
      <c r="D603" s="4"/>
      <c r="E603" s="4"/>
      <c r="F603" s="4"/>
      <c r="G603" s="4"/>
      <c r="H603" s="4"/>
      <c r="I603" s="4"/>
      <c r="J603" s="4"/>
      <c r="K603" s="4"/>
      <c r="L603" s="4"/>
      <c r="M603" s="4"/>
      <c r="N603" s="4"/>
    </row>
    <row r="604" spans="1:14" x14ac:dyDescent="0.2">
      <c r="A604" s="398" t="s">
        <v>931</v>
      </c>
      <c r="B604" s="271"/>
      <c r="C604" s="271"/>
      <c r="D604" s="271"/>
      <c r="E604" s="271"/>
      <c r="F604" s="271"/>
      <c r="G604" s="271"/>
      <c r="H604" s="271"/>
      <c r="I604" s="271"/>
      <c r="J604" s="271"/>
      <c r="K604" s="271"/>
      <c r="L604" s="271"/>
      <c r="M604" s="271"/>
      <c r="N604" s="273"/>
    </row>
    <row r="605" spans="1:14" x14ac:dyDescent="0.2">
      <c r="A605" s="396" t="s">
        <v>76</v>
      </c>
      <c r="B605" s="271"/>
      <c r="C605" s="271"/>
      <c r="D605" s="271"/>
      <c r="E605" s="271"/>
      <c r="F605" s="271"/>
      <c r="G605" s="273"/>
      <c r="H605" s="88" t="s">
        <v>77</v>
      </c>
      <c r="I605" s="399" t="s">
        <v>920</v>
      </c>
      <c r="J605" s="273"/>
      <c r="K605" s="90" t="s">
        <v>514</v>
      </c>
      <c r="L605" s="91" t="s">
        <v>932</v>
      </c>
      <c r="M605" s="399" t="s">
        <v>921</v>
      </c>
      <c r="N605" s="273"/>
    </row>
    <row r="606" spans="1:14" ht="13.5" x14ac:dyDescent="0.25">
      <c r="A606" s="393" t="s">
        <v>936</v>
      </c>
      <c r="B606" s="271"/>
      <c r="C606" s="271"/>
      <c r="D606" s="271"/>
      <c r="E606" s="271"/>
      <c r="F606" s="271"/>
      <c r="G606" s="273"/>
      <c r="H606" s="29" t="str">
        <f>IF(A606="","",VLOOKUP(A606,AA_Cuadrillas,4,FALSE))</f>
        <v>Cuadrilla</v>
      </c>
      <c r="I606" s="394">
        <f>IF(A606="","",VLOOKUP(A606,AA_Cuadrillas,5,FALSE))</f>
        <v>70036</v>
      </c>
      <c r="J606" s="273"/>
      <c r="K606" s="9">
        <f>IF(A606="","",F.P!$I$2)</f>
        <v>1.88</v>
      </c>
      <c r="L606" s="93">
        <v>1.2500000000000001E-2</v>
      </c>
      <c r="M606" s="394">
        <f t="shared" ref="M606:M610" si="74">IF(A606="","",I606*K606*L606)</f>
        <v>1645.846</v>
      </c>
      <c r="N606" s="273"/>
    </row>
    <row r="607" spans="1:14" ht="13.5" x14ac:dyDescent="0.25">
      <c r="A607" s="393"/>
      <c r="B607" s="271"/>
      <c r="C607" s="271"/>
      <c r="D607" s="271"/>
      <c r="E607" s="271"/>
      <c r="F607" s="271"/>
      <c r="G607" s="273"/>
      <c r="H607" s="29" t="str">
        <f>IF(A607="","",VLOOKUP(A607,AA_Cuadrillas,4,FALSE))</f>
        <v/>
      </c>
      <c r="I607" s="394" t="str">
        <f>IF(A607="","",VLOOKUP(A607,AA_Cuadrillas,5,FALSE))</f>
        <v/>
      </c>
      <c r="J607" s="273"/>
      <c r="K607" s="9" t="str">
        <f>IF(A607="","",F.P!$I$2)</f>
        <v/>
      </c>
      <c r="L607" s="9"/>
      <c r="M607" s="394" t="str">
        <f t="shared" si="74"/>
        <v/>
      </c>
      <c r="N607" s="273"/>
    </row>
    <row r="608" spans="1:14" ht="13.5" x14ac:dyDescent="0.25">
      <c r="A608" s="393"/>
      <c r="B608" s="271"/>
      <c r="C608" s="271"/>
      <c r="D608" s="271"/>
      <c r="E608" s="271"/>
      <c r="F608" s="271"/>
      <c r="G608" s="273"/>
      <c r="H608" s="29" t="str">
        <f>IF(A608="","",VLOOKUP(A608,AA_Cuadrillas,4,FALSE))</f>
        <v/>
      </c>
      <c r="I608" s="394" t="str">
        <f>IF(A608="","",VLOOKUP(A608,AA_Cuadrillas,5,FALSE))</f>
        <v/>
      </c>
      <c r="J608" s="273"/>
      <c r="K608" s="9" t="str">
        <f>IF(A608="","",F.P!$I$2)</f>
        <v/>
      </c>
      <c r="L608" s="37"/>
      <c r="M608" s="394" t="str">
        <f t="shared" si="74"/>
        <v/>
      </c>
      <c r="N608" s="273"/>
    </row>
    <row r="609" spans="1:14" ht="13.5" x14ac:dyDescent="0.25">
      <c r="A609" s="393"/>
      <c r="B609" s="271"/>
      <c r="C609" s="271"/>
      <c r="D609" s="271"/>
      <c r="E609" s="271"/>
      <c r="F609" s="271"/>
      <c r="G609" s="273"/>
      <c r="H609" s="29" t="str">
        <f>IF(A609="","",VLOOKUP(A609,AA_Cuadrillas,4,FALSE))</f>
        <v/>
      </c>
      <c r="I609" s="394" t="str">
        <f>IF(A609="","",VLOOKUP(A609,AA_Cuadrillas,5,FALSE))</f>
        <v/>
      </c>
      <c r="J609" s="273"/>
      <c r="K609" s="9" t="str">
        <f>IF(A609="","",F.P!$I$2)</f>
        <v/>
      </c>
      <c r="L609" s="37"/>
      <c r="M609" s="394" t="str">
        <f t="shared" si="74"/>
        <v/>
      </c>
      <c r="N609" s="273"/>
    </row>
    <row r="610" spans="1:14" ht="13.5" x14ac:dyDescent="0.25">
      <c r="A610" s="393"/>
      <c r="B610" s="271"/>
      <c r="C610" s="271"/>
      <c r="D610" s="271"/>
      <c r="E610" s="271"/>
      <c r="F610" s="271"/>
      <c r="G610" s="273"/>
      <c r="H610" s="29" t="str">
        <f>IF(A610="","",VLOOKUP(A610,AA_Cuadrillas,4,FALSE))</f>
        <v/>
      </c>
      <c r="I610" s="394" t="str">
        <f>IF(A610="","",VLOOKUP(A610,AA_Cuadrillas,5,FALSE))</f>
        <v/>
      </c>
      <c r="J610" s="273"/>
      <c r="K610" s="9" t="str">
        <f>IF(A610="","",F.P!$I$2)</f>
        <v/>
      </c>
      <c r="L610" s="37"/>
      <c r="M610" s="394" t="str">
        <f t="shared" si="74"/>
        <v/>
      </c>
      <c r="N610" s="273"/>
    </row>
    <row r="611" spans="1:14" ht="13.5" x14ac:dyDescent="0.25">
      <c r="A611" s="4"/>
      <c r="B611" s="4"/>
      <c r="C611" s="4"/>
      <c r="D611" s="4"/>
      <c r="E611" s="4"/>
      <c r="F611" s="4"/>
      <c r="G611" s="4"/>
      <c r="H611" s="4"/>
      <c r="I611" s="4"/>
      <c r="J611" s="4"/>
      <c r="K611" s="396" t="s">
        <v>444</v>
      </c>
      <c r="L611" s="273"/>
      <c r="M611" s="394">
        <f>SUM(M606:N610)</f>
        <v>1645.846</v>
      </c>
      <c r="N611" s="273"/>
    </row>
    <row r="614" spans="1:14" x14ac:dyDescent="0.2">
      <c r="A614" s="407" t="s">
        <v>88</v>
      </c>
      <c r="B614" s="275"/>
      <c r="C614" s="275"/>
      <c r="D614" s="275"/>
      <c r="E614" s="275"/>
      <c r="F614" s="275"/>
      <c r="G614" s="275"/>
      <c r="H614" s="275"/>
      <c r="I614" s="275"/>
      <c r="J614" s="275"/>
      <c r="K614" s="275"/>
      <c r="L614" s="275"/>
      <c r="M614" s="275"/>
      <c r="N614" s="276"/>
    </row>
    <row r="615" spans="1:14" x14ac:dyDescent="0.2">
      <c r="A615" s="277"/>
      <c r="B615" s="278"/>
      <c r="C615" s="278"/>
      <c r="D615" s="278"/>
      <c r="E615" s="278"/>
      <c r="F615" s="278"/>
      <c r="G615" s="278"/>
      <c r="H615" s="278"/>
      <c r="I615" s="278"/>
      <c r="J615" s="278"/>
      <c r="K615" s="278"/>
      <c r="L615" s="278"/>
      <c r="M615" s="278"/>
      <c r="N615" s="279"/>
    </row>
    <row r="616" spans="1:14" ht="13.5" x14ac:dyDescent="0.2">
      <c r="A616" s="75"/>
      <c r="B616" s="75"/>
      <c r="C616" s="75"/>
      <c r="D616" s="75"/>
      <c r="E616" s="75"/>
      <c r="F616" s="75"/>
      <c r="G616" s="75"/>
      <c r="H616" s="75"/>
      <c r="I616" s="75"/>
      <c r="J616" s="75"/>
      <c r="K616" s="75"/>
      <c r="L616" s="75"/>
      <c r="M616" s="75"/>
      <c r="N616" s="75"/>
    </row>
    <row r="617" spans="1:14" ht="14.25" x14ac:dyDescent="0.3">
      <c r="A617" s="79" t="s">
        <v>614</v>
      </c>
      <c r="B617" s="80" t="str">
        <f>A614</f>
        <v>EXCAVACIÓN MANUAL EN MATERIAL COMÚN  (INCLUYE MANO DE OBRA, EQUIPOS Y MATERIALES)</v>
      </c>
      <c r="C617" s="81" t="s">
        <v>916</v>
      </c>
      <c r="D617" s="82" t="s">
        <v>258</v>
      </c>
      <c r="E617" s="83" t="s">
        <v>445</v>
      </c>
      <c r="F617" s="244">
        <f>(H617+J617+L617+N617)</f>
        <v>39594.352342857143</v>
      </c>
      <c r="G617" s="83" t="s">
        <v>607</v>
      </c>
      <c r="H617" s="86">
        <f>M635</f>
        <v>1880.9668571428572</v>
      </c>
      <c r="I617" s="83" t="s">
        <v>918</v>
      </c>
      <c r="J617" s="86">
        <f>M626</f>
        <v>0</v>
      </c>
      <c r="K617" s="83" t="s">
        <v>609</v>
      </c>
      <c r="L617" s="86">
        <f>M644</f>
        <v>94.04834285714287</v>
      </c>
      <c r="M617" s="83" t="s">
        <v>610</v>
      </c>
      <c r="N617" s="86">
        <f>M653</f>
        <v>37619.337142857141</v>
      </c>
    </row>
    <row r="618" spans="1:14" ht="13.5" x14ac:dyDescent="0.25">
      <c r="A618" s="87"/>
      <c r="B618" s="87"/>
      <c r="C618" s="87"/>
      <c r="D618" s="87"/>
      <c r="E618" s="87"/>
      <c r="F618" s="87"/>
      <c r="G618" s="87"/>
      <c r="J618" s="87"/>
      <c r="K618" s="215" t="s">
        <v>3217</v>
      </c>
      <c r="L618" s="215"/>
      <c r="M618" s="87"/>
      <c r="N618" s="87"/>
    </row>
    <row r="619" spans="1:14" x14ac:dyDescent="0.2">
      <c r="A619" s="398" t="s">
        <v>919</v>
      </c>
      <c r="B619" s="271"/>
      <c r="C619" s="271"/>
      <c r="D619" s="271"/>
      <c r="E619" s="271"/>
      <c r="F619" s="271"/>
      <c r="G619" s="271"/>
      <c r="H619" s="271"/>
      <c r="I619" s="271"/>
      <c r="J619" s="271"/>
      <c r="K619" s="271"/>
      <c r="L619" s="271"/>
      <c r="M619" s="271"/>
      <c r="N619" s="273"/>
    </row>
    <row r="620" spans="1:14" x14ac:dyDescent="0.2">
      <c r="A620" s="396" t="s">
        <v>76</v>
      </c>
      <c r="B620" s="271"/>
      <c r="C620" s="271"/>
      <c r="D620" s="271"/>
      <c r="E620" s="271"/>
      <c r="F620" s="271"/>
      <c r="G620" s="273"/>
      <c r="H620" s="88" t="s">
        <v>77</v>
      </c>
      <c r="I620" s="399" t="s">
        <v>920</v>
      </c>
      <c r="J620" s="273"/>
      <c r="K620" s="399" t="s">
        <v>453</v>
      </c>
      <c r="L620" s="273"/>
      <c r="M620" s="399" t="s">
        <v>921</v>
      </c>
      <c r="N620" s="273"/>
    </row>
    <row r="621" spans="1:14" ht="13.5" x14ac:dyDescent="0.2">
      <c r="A621" s="400"/>
      <c r="B621" s="271"/>
      <c r="C621" s="271"/>
      <c r="D621" s="271"/>
      <c r="E621" s="271"/>
      <c r="F621" s="271"/>
      <c r="G621" s="273"/>
      <c r="H621" s="29" t="str">
        <f>IF(A621="","",VLOOKUP(A621,AA_Materiales,7,FALSE))</f>
        <v/>
      </c>
      <c r="I621" s="394" t="str">
        <f>IF(A621="","",VLOOKUP(A621,AA_Materiales,8,FALSE))</f>
        <v/>
      </c>
      <c r="J621" s="273"/>
      <c r="K621" s="395"/>
      <c r="L621" s="273"/>
      <c r="M621" s="394" t="str">
        <f t="shared" ref="M621:M625" si="75">IF(A621="","",I621*K621)</f>
        <v/>
      </c>
      <c r="N621" s="273"/>
    </row>
    <row r="622" spans="1:14" ht="13.5" x14ac:dyDescent="0.2">
      <c r="A622" s="400"/>
      <c r="B622" s="271"/>
      <c r="C622" s="271"/>
      <c r="D622" s="271"/>
      <c r="E622" s="271"/>
      <c r="F622" s="271"/>
      <c r="G622" s="273"/>
      <c r="H622" s="29" t="str">
        <f>IF(A622="","",VLOOKUP(A622,AA_Materiales,7,FALSE))</f>
        <v/>
      </c>
      <c r="I622" s="394" t="str">
        <f>IF(A622="","",VLOOKUP(A622,AA_Materiales,8,FALSE))</f>
        <v/>
      </c>
      <c r="J622" s="273"/>
      <c r="K622" s="395"/>
      <c r="L622" s="273"/>
      <c r="M622" s="394" t="str">
        <f t="shared" si="75"/>
        <v/>
      </c>
      <c r="N622" s="273"/>
    </row>
    <row r="623" spans="1:14" ht="13.5" x14ac:dyDescent="0.2">
      <c r="A623" s="400"/>
      <c r="B623" s="271"/>
      <c r="C623" s="271"/>
      <c r="D623" s="271"/>
      <c r="E623" s="271"/>
      <c r="F623" s="271"/>
      <c r="G623" s="273"/>
      <c r="H623" s="29" t="str">
        <f>IF(A623="","",VLOOKUP(A623,AA_Materiales,7,FALSE))</f>
        <v/>
      </c>
      <c r="I623" s="394" t="str">
        <f>IF(A623="","",VLOOKUP(A623,AA_Materiales,8,FALSE))</f>
        <v/>
      </c>
      <c r="J623" s="273"/>
      <c r="K623" s="395"/>
      <c r="L623" s="273"/>
      <c r="M623" s="394" t="str">
        <f t="shared" si="75"/>
        <v/>
      </c>
      <c r="N623" s="273"/>
    </row>
    <row r="624" spans="1:14" ht="13.5" x14ac:dyDescent="0.2">
      <c r="A624" s="400"/>
      <c r="B624" s="271"/>
      <c r="C624" s="271"/>
      <c r="D624" s="271"/>
      <c r="E624" s="271"/>
      <c r="F624" s="271"/>
      <c r="G624" s="273"/>
      <c r="H624" s="29" t="str">
        <f>IF(A624="","",VLOOKUP(A624,AA_Materiales,7,FALSE))</f>
        <v/>
      </c>
      <c r="I624" s="394" t="str">
        <f>IF(A624="","",VLOOKUP(A624,AA_Materiales,8,FALSE))</f>
        <v/>
      </c>
      <c r="J624" s="273"/>
      <c r="K624" s="395"/>
      <c r="L624" s="273"/>
      <c r="M624" s="394" t="str">
        <f t="shared" si="75"/>
        <v/>
      </c>
      <c r="N624" s="273"/>
    </row>
    <row r="625" spans="1:14" ht="13.5" x14ac:dyDescent="0.2">
      <c r="A625" s="400"/>
      <c r="B625" s="271"/>
      <c r="C625" s="271"/>
      <c r="D625" s="271"/>
      <c r="E625" s="271"/>
      <c r="F625" s="271"/>
      <c r="G625" s="273"/>
      <c r="H625" s="29" t="str">
        <f>IF(A625="","",VLOOKUP(A625,AA_Materiales,7,FALSE))</f>
        <v/>
      </c>
      <c r="I625" s="394" t="str">
        <f>IF(A625="","",VLOOKUP(A625,AA_Materiales,8,FALSE))</f>
        <v/>
      </c>
      <c r="J625" s="273"/>
      <c r="K625" s="395"/>
      <c r="L625" s="273"/>
      <c r="M625" s="394" t="str">
        <f t="shared" si="75"/>
        <v/>
      </c>
      <c r="N625" s="273"/>
    </row>
    <row r="626" spans="1:14" ht="13.5" x14ac:dyDescent="0.25">
      <c r="A626" s="4"/>
      <c r="B626" s="4"/>
      <c r="C626" s="4"/>
      <c r="D626" s="4"/>
      <c r="E626" s="4"/>
      <c r="F626" s="4"/>
      <c r="G626" s="4"/>
      <c r="H626" s="4"/>
      <c r="I626" s="4"/>
      <c r="J626" s="4"/>
      <c r="K626" s="396" t="s">
        <v>444</v>
      </c>
      <c r="L626" s="273"/>
      <c r="M626" s="394">
        <f>SUM(M621:N625)</f>
        <v>0</v>
      </c>
      <c r="N626" s="273"/>
    </row>
    <row r="627" spans="1:14" ht="13.5" x14ac:dyDescent="0.25">
      <c r="A627" s="4"/>
      <c r="B627" s="4"/>
      <c r="C627" s="4"/>
      <c r="D627" s="4"/>
      <c r="E627" s="4"/>
      <c r="F627" s="4"/>
      <c r="G627" s="4"/>
      <c r="H627" s="4"/>
      <c r="I627" s="4"/>
      <c r="J627" s="4"/>
      <c r="K627" s="4"/>
      <c r="L627" s="4"/>
      <c r="M627" s="4"/>
      <c r="N627" s="4"/>
    </row>
    <row r="628" spans="1:14" x14ac:dyDescent="0.2">
      <c r="A628" s="398" t="s">
        <v>926</v>
      </c>
      <c r="B628" s="271"/>
      <c r="C628" s="271"/>
      <c r="D628" s="271"/>
      <c r="E628" s="271"/>
      <c r="F628" s="271"/>
      <c r="G628" s="271"/>
      <c r="H628" s="271"/>
      <c r="I628" s="271"/>
      <c r="J628" s="271"/>
      <c r="K628" s="271"/>
      <c r="L628" s="271"/>
      <c r="M628" s="271"/>
      <c r="N628" s="273"/>
    </row>
    <row r="629" spans="1:14" x14ac:dyDescent="0.2">
      <c r="A629" s="396" t="s">
        <v>76</v>
      </c>
      <c r="B629" s="271"/>
      <c r="C629" s="271"/>
      <c r="D629" s="271"/>
      <c r="E629" s="271"/>
      <c r="F629" s="271"/>
      <c r="G629" s="273"/>
      <c r="H629" s="88" t="s">
        <v>77</v>
      </c>
      <c r="I629" s="399" t="s">
        <v>920</v>
      </c>
      <c r="J629" s="273"/>
      <c r="K629" s="399" t="s">
        <v>453</v>
      </c>
      <c r="L629" s="273"/>
      <c r="M629" s="399" t="s">
        <v>921</v>
      </c>
      <c r="N629" s="273"/>
    </row>
    <row r="630" spans="1:14" ht="13.5" x14ac:dyDescent="0.2">
      <c r="A630" s="400" t="s">
        <v>927</v>
      </c>
      <c r="B630" s="271"/>
      <c r="C630" s="271"/>
      <c r="D630" s="271"/>
      <c r="E630" s="271"/>
      <c r="F630" s="271"/>
      <c r="G630" s="273"/>
      <c r="H630" s="29" t="str">
        <f>IF(A630="","",VLOOKUP(A630,AA_Equipos,7,FALSE))</f>
        <v>% M.O.</v>
      </c>
      <c r="I630" s="394">
        <f>M653</f>
        <v>37619.337142857141</v>
      </c>
      <c r="J630" s="273"/>
      <c r="K630" s="404">
        <v>0.05</v>
      </c>
      <c r="L630" s="273"/>
      <c r="M630" s="394">
        <f t="shared" ref="M630:M634" si="76">IF(A630="","",I630*K630)</f>
        <v>1880.9668571428572</v>
      </c>
      <c r="N630" s="273"/>
    </row>
    <row r="631" spans="1:14" ht="13.5" x14ac:dyDescent="0.2">
      <c r="A631" s="403"/>
      <c r="B631" s="271"/>
      <c r="C631" s="271"/>
      <c r="D631" s="271"/>
      <c r="E631" s="271"/>
      <c r="F631" s="271"/>
      <c r="G631" s="273"/>
      <c r="H631" s="29" t="str">
        <f>IF(A631="","",VLOOKUP(A631,AA_Equipos,7,FALSE))</f>
        <v/>
      </c>
      <c r="I631" s="394" t="str">
        <f>IF(A631="","",VLOOKUP(A631,AA_Equipos,8,FALSE))</f>
        <v/>
      </c>
      <c r="J631" s="273"/>
      <c r="K631" s="402"/>
      <c r="L631" s="273"/>
      <c r="M631" s="394" t="str">
        <f t="shared" si="76"/>
        <v/>
      </c>
      <c r="N631" s="273"/>
    </row>
    <row r="632" spans="1:14" ht="13.5" x14ac:dyDescent="0.2">
      <c r="A632" s="400"/>
      <c r="B632" s="271"/>
      <c r="C632" s="271"/>
      <c r="D632" s="271"/>
      <c r="E632" s="271"/>
      <c r="F632" s="271"/>
      <c r="G632" s="273"/>
      <c r="H632" s="29" t="str">
        <f>IF(A632="","",VLOOKUP(A632,AA_Equipos,7,FALSE))</f>
        <v/>
      </c>
      <c r="I632" s="394" t="str">
        <f>IF(A632="","",VLOOKUP(A632,AA_Equipos,8,FALSE))</f>
        <v/>
      </c>
      <c r="J632" s="273"/>
      <c r="K632" s="395"/>
      <c r="L632" s="273"/>
      <c r="M632" s="394" t="str">
        <f t="shared" si="76"/>
        <v/>
      </c>
      <c r="N632" s="273"/>
    </row>
    <row r="633" spans="1:14" ht="13.5" x14ac:dyDescent="0.2">
      <c r="A633" s="400"/>
      <c r="B633" s="271"/>
      <c r="C633" s="271"/>
      <c r="D633" s="271"/>
      <c r="E633" s="271"/>
      <c r="F633" s="271"/>
      <c r="G633" s="273"/>
      <c r="H633" s="29" t="str">
        <f>IF(A633="","",VLOOKUP(A633,AA_Equipos,7,FALSE))</f>
        <v/>
      </c>
      <c r="I633" s="394" t="str">
        <f>IF(A633="","",VLOOKUP(A633,AA_Equipos,8,FALSE))</f>
        <v/>
      </c>
      <c r="J633" s="273"/>
      <c r="K633" s="395"/>
      <c r="L633" s="273"/>
      <c r="M633" s="394" t="str">
        <f t="shared" si="76"/>
        <v/>
      </c>
      <c r="N633" s="273"/>
    </row>
    <row r="634" spans="1:14" ht="13.5" x14ac:dyDescent="0.2">
      <c r="A634" s="400"/>
      <c r="B634" s="271"/>
      <c r="C634" s="271"/>
      <c r="D634" s="271"/>
      <c r="E634" s="271"/>
      <c r="F634" s="271"/>
      <c r="G634" s="273"/>
      <c r="H634" s="29" t="str">
        <f>IF(A634="","",VLOOKUP(A634,AA_Equipos,7,FALSE))</f>
        <v/>
      </c>
      <c r="I634" s="394" t="str">
        <f>IF(A634="","",VLOOKUP(A634,AA_Equipos,8,FALSE))</f>
        <v/>
      </c>
      <c r="J634" s="273"/>
      <c r="K634" s="395"/>
      <c r="L634" s="273"/>
      <c r="M634" s="394" t="str">
        <f t="shared" si="76"/>
        <v/>
      </c>
      <c r="N634" s="273"/>
    </row>
    <row r="635" spans="1:14" ht="13.5" x14ac:dyDescent="0.25">
      <c r="A635" s="4"/>
      <c r="B635" s="4"/>
      <c r="C635" s="4"/>
      <c r="D635" s="4"/>
      <c r="E635" s="4"/>
      <c r="F635" s="4"/>
      <c r="G635" s="4"/>
      <c r="H635" s="4"/>
      <c r="I635" s="4"/>
      <c r="J635" s="4"/>
      <c r="K635" s="396" t="s">
        <v>444</v>
      </c>
      <c r="L635" s="273"/>
      <c r="M635" s="394">
        <f>SUM(M630:N634)</f>
        <v>1880.9668571428572</v>
      </c>
      <c r="N635" s="273"/>
    </row>
    <row r="636" spans="1:14" ht="13.5" x14ac:dyDescent="0.25">
      <c r="A636" s="4"/>
      <c r="B636" s="4"/>
      <c r="C636" s="4"/>
      <c r="D636" s="4"/>
      <c r="E636" s="4"/>
      <c r="F636" s="4"/>
      <c r="G636" s="4"/>
      <c r="H636" s="4"/>
      <c r="I636" s="4"/>
      <c r="J636" s="4"/>
      <c r="K636" s="4"/>
      <c r="L636" s="4"/>
      <c r="M636" s="4"/>
      <c r="N636" s="4"/>
    </row>
    <row r="637" spans="1:14" x14ac:dyDescent="0.2">
      <c r="A637" s="398" t="s">
        <v>929</v>
      </c>
      <c r="B637" s="271"/>
      <c r="C637" s="271"/>
      <c r="D637" s="271"/>
      <c r="E637" s="271"/>
      <c r="F637" s="271"/>
      <c r="G637" s="271"/>
      <c r="H637" s="271"/>
      <c r="I637" s="271"/>
      <c r="J637" s="271"/>
      <c r="K637" s="271"/>
      <c r="L637" s="271"/>
      <c r="M637" s="271"/>
      <c r="N637" s="273"/>
    </row>
    <row r="638" spans="1:14" x14ac:dyDescent="0.2">
      <c r="A638" s="396" t="s">
        <v>76</v>
      </c>
      <c r="B638" s="271"/>
      <c r="C638" s="271"/>
      <c r="D638" s="271"/>
      <c r="E638" s="271"/>
      <c r="F638" s="271"/>
      <c r="G638" s="273"/>
      <c r="H638" s="88" t="s">
        <v>77</v>
      </c>
      <c r="I638" s="399" t="s">
        <v>920</v>
      </c>
      <c r="J638" s="273"/>
      <c r="K638" s="399" t="s">
        <v>453</v>
      </c>
      <c r="L638" s="273"/>
      <c r="M638" s="399" t="s">
        <v>921</v>
      </c>
      <c r="N638" s="273"/>
    </row>
    <row r="639" spans="1:14" ht="13.5" x14ac:dyDescent="0.2">
      <c r="A639" s="400" t="s">
        <v>3174</v>
      </c>
      <c r="B639" s="271"/>
      <c r="C639" s="271"/>
      <c r="D639" s="271"/>
      <c r="E639" s="271"/>
      <c r="F639" s="271"/>
      <c r="G639" s="273"/>
      <c r="H639" s="29" t="s">
        <v>24</v>
      </c>
      <c r="I639" s="394">
        <f>+M635</f>
        <v>1880.9668571428572</v>
      </c>
      <c r="J639" s="273"/>
      <c r="K639" s="404">
        <v>0.05</v>
      </c>
      <c r="L639" s="273"/>
      <c r="M639" s="394">
        <f t="shared" ref="M639:M643" si="77">IF(A639="","",I639*K639)</f>
        <v>94.04834285714287</v>
      </c>
      <c r="N639" s="273"/>
    </row>
    <row r="640" spans="1:14" ht="13.5" x14ac:dyDescent="0.2">
      <c r="A640" s="403"/>
      <c r="B640" s="271"/>
      <c r="C640" s="271"/>
      <c r="D640" s="271"/>
      <c r="E640" s="271"/>
      <c r="F640" s="271"/>
      <c r="G640" s="273"/>
      <c r="H640" s="29"/>
      <c r="I640" s="394"/>
      <c r="J640" s="273"/>
      <c r="K640" s="402"/>
      <c r="L640" s="273"/>
      <c r="M640" s="394" t="str">
        <f t="shared" si="77"/>
        <v/>
      </c>
      <c r="N640" s="273"/>
    </row>
    <row r="641" spans="1:14" ht="13.5" x14ac:dyDescent="0.2">
      <c r="A641" s="400"/>
      <c r="B641" s="271"/>
      <c r="C641" s="271"/>
      <c r="D641" s="271"/>
      <c r="E641" s="271"/>
      <c r="F641" s="271"/>
      <c r="G641" s="273"/>
      <c r="H641" s="29"/>
      <c r="I641" s="394"/>
      <c r="J641" s="273"/>
      <c r="K641" s="395"/>
      <c r="L641" s="273"/>
      <c r="M641" s="394" t="str">
        <f t="shared" si="77"/>
        <v/>
      </c>
      <c r="N641" s="273"/>
    </row>
    <row r="642" spans="1:14" ht="13.5" x14ac:dyDescent="0.2">
      <c r="A642" s="400"/>
      <c r="B642" s="271"/>
      <c r="C642" s="271"/>
      <c r="D642" s="271"/>
      <c r="E642" s="271"/>
      <c r="F642" s="271"/>
      <c r="G642" s="273"/>
      <c r="H642" s="29"/>
      <c r="I642" s="394"/>
      <c r="J642" s="273"/>
      <c r="K642" s="395"/>
      <c r="L642" s="273"/>
      <c r="M642" s="394" t="str">
        <f t="shared" si="77"/>
        <v/>
      </c>
      <c r="N642" s="273"/>
    </row>
    <row r="643" spans="1:14" ht="13.5" x14ac:dyDescent="0.2">
      <c r="A643" s="400"/>
      <c r="B643" s="271"/>
      <c r="C643" s="271"/>
      <c r="D643" s="271"/>
      <c r="E643" s="271"/>
      <c r="F643" s="271"/>
      <c r="G643" s="273"/>
      <c r="H643" s="29"/>
      <c r="I643" s="394"/>
      <c r="J643" s="273"/>
      <c r="K643" s="395"/>
      <c r="L643" s="273"/>
      <c r="M643" s="394" t="str">
        <f t="shared" si="77"/>
        <v/>
      </c>
      <c r="N643" s="273"/>
    </row>
    <row r="644" spans="1:14" ht="13.5" x14ac:dyDescent="0.25">
      <c r="A644" s="4"/>
      <c r="B644" s="4"/>
      <c r="C644" s="4"/>
      <c r="D644" s="4"/>
      <c r="E644" s="4"/>
      <c r="F644" s="4"/>
      <c r="G644" s="4"/>
      <c r="H644" s="4"/>
      <c r="I644" s="4"/>
      <c r="J644" s="4"/>
      <c r="K644" s="396" t="s">
        <v>444</v>
      </c>
      <c r="L644" s="273"/>
      <c r="M644" s="394">
        <f>SUM(M639:N643)</f>
        <v>94.04834285714287</v>
      </c>
      <c r="N644" s="273"/>
    </row>
    <row r="645" spans="1:14" ht="13.5" x14ac:dyDescent="0.25">
      <c r="A645" s="4"/>
      <c r="B645" s="4"/>
      <c r="C645" s="4"/>
      <c r="D645" s="4"/>
      <c r="E645" s="4"/>
      <c r="F645" s="4"/>
      <c r="G645" s="4"/>
      <c r="H645" s="4"/>
      <c r="I645" s="4"/>
      <c r="J645" s="4"/>
      <c r="K645" s="4"/>
      <c r="L645" s="4"/>
      <c r="M645" s="4"/>
      <c r="N645" s="4"/>
    </row>
    <row r="646" spans="1:14" x14ac:dyDescent="0.2">
      <c r="A646" s="398" t="s">
        <v>931</v>
      </c>
      <c r="B646" s="271"/>
      <c r="C646" s="271"/>
      <c r="D646" s="271"/>
      <c r="E646" s="271"/>
      <c r="F646" s="271"/>
      <c r="G646" s="271"/>
      <c r="H646" s="271"/>
      <c r="I646" s="271"/>
      <c r="J646" s="271"/>
      <c r="K646" s="271"/>
      <c r="L646" s="271"/>
      <c r="M646" s="271"/>
      <c r="N646" s="273"/>
    </row>
    <row r="647" spans="1:14" x14ac:dyDescent="0.2">
      <c r="A647" s="396" t="s">
        <v>76</v>
      </c>
      <c r="B647" s="271"/>
      <c r="C647" s="271"/>
      <c r="D647" s="271"/>
      <c r="E647" s="271"/>
      <c r="F647" s="271"/>
      <c r="G647" s="273"/>
      <c r="H647" s="88" t="s">
        <v>77</v>
      </c>
      <c r="I647" s="399" t="s">
        <v>920</v>
      </c>
      <c r="J647" s="273"/>
      <c r="K647" s="90" t="s">
        <v>514</v>
      </c>
      <c r="L647" s="91" t="s">
        <v>932</v>
      </c>
      <c r="M647" s="399" t="s">
        <v>921</v>
      </c>
      <c r="N647" s="273"/>
    </row>
    <row r="648" spans="1:14" ht="13.5" x14ac:dyDescent="0.25">
      <c r="A648" s="393" t="s">
        <v>936</v>
      </c>
      <c r="B648" s="271"/>
      <c r="C648" s="271"/>
      <c r="D648" s="271"/>
      <c r="E648" s="271"/>
      <c r="F648" s="271"/>
      <c r="G648" s="273"/>
      <c r="H648" s="29" t="str">
        <f>IF(A648="","",VLOOKUP(A648,AA_Cuadrillas,4,FALSE))</f>
        <v>Cuadrilla</v>
      </c>
      <c r="I648" s="394">
        <f>IF(A648="","",VLOOKUP(A648,AA_Cuadrillas,5,FALSE))</f>
        <v>70036</v>
      </c>
      <c r="J648" s="273"/>
      <c r="K648" s="9">
        <f>IF(A648="","",F.P!$I$2)</f>
        <v>1.88</v>
      </c>
      <c r="L648" s="93">
        <f>1/3.5</f>
        <v>0.2857142857142857</v>
      </c>
      <c r="M648" s="394">
        <f t="shared" ref="M648:M652" si="78">IF(A648="","",I648*K648*L648)</f>
        <v>37619.337142857141</v>
      </c>
      <c r="N648" s="273"/>
    </row>
    <row r="649" spans="1:14" ht="13.5" x14ac:dyDescent="0.25">
      <c r="A649" s="393"/>
      <c r="B649" s="271"/>
      <c r="C649" s="271"/>
      <c r="D649" s="271"/>
      <c r="E649" s="271"/>
      <c r="F649" s="271"/>
      <c r="G649" s="273"/>
      <c r="H649" s="29" t="str">
        <f>IF(A649="","",VLOOKUP(A649,AA_Cuadrillas,4,FALSE))</f>
        <v/>
      </c>
      <c r="I649" s="394" t="str">
        <f>IF(A649="","",VLOOKUP(A649,AA_Cuadrillas,5,FALSE))</f>
        <v/>
      </c>
      <c r="J649" s="273"/>
      <c r="K649" s="9" t="str">
        <f>IF(A649="","",F.P!$I$2)</f>
        <v/>
      </c>
      <c r="L649" s="9"/>
      <c r="M649" s="394" t="str">
        <f t="shared" si="78"/>
        <v/>
      </c>
      <c r="N649" s="273"/>
    </row>
    <row r="650" spans="1:14" ht="13.5" x14ac:dyDescent="0.25">
      <c r="A650" s="393"/>
      <c r="B650" s="271"/>
      <c r="C650" s="271"/>
      <c r="D650" s="271"/>
      <c r="E650" s="271"/>
      <c r="F650" s="271"/>
      <c r="G650" s="273"/>
      <c r="H650" s="29" t="str">
        <f>IF(A650="","",VLOOKUP(A650,AA_Cuadrillas,4,FALSE))</f>
        <v/>
      </c>
      <c r="I650" s="394"/>
      <c r="J650" s="273"/>
      <c r="K650" s="9" t="str">
        <f>IF(A650="","",F.P!$I$2)</f>
        <v/>
      </c>
      <c r="L650" s="37"/>
      <c r="M650" s="394" t="str">
        <f t="shared" si="78"/>
        <v/>
      </c>
      <c r="N650" s="273"/>
    </row>
    <row r="651" spans="1:14" ht="13.5" x14ac:dyDescent="0.25">
      <c r="A651" s="393"/>
      <c r="B651" s="271"/>
      <c r="C651" s="271"/>
      <c r="D651" s="271"/>
      <c r="E651" s="271"/>
      <c r="F651" s="271"/>
      <c r="G651" s="273"/>
      <c r="H651" s="29" t="str">
        <f>IF(A651="","",VLOOKUP(A651,AA_Cuadrillas,4,FALSE))</f>
        <v/>
      </c>
      <c r="I651" s="394" t="str">
        <f>IF(A651="","",VLOOKUP(A651,AA_Cuadrillas,5,FALSE))</f>
        <v/>
      </c>
      <c r="J651" s="273"/>
      <c r="K651" s="9" t="str">
        <f>IF(A651="","",F.P!$I$2)</f>
        <v/>
      </c>
      <c r="L651" s="37"/>
      <c r="M651" s="394" t="str">
        <f t="shared" si="78"/>
        <v/>
      </c>
      <c r="N651" s="273"/>
    </row>
    <row r="652" spans="1:14" ht="13.5" x14ac:dyDescent="0.25">
      <c r="A652" s="393"/>
      <c r="B652" s="271"/>
      <c r="C652" s="271"/>
      <c r="D652" s="271"/>
      <c r="E652" s="271"/>
      <c r="F652" s="271"/>
      <c r="G652" s="273"/>
      <c r="H652" s="29" t="str">
        <f>IF(A652="","",VLOOKUP(A652,AA_Cuadrillas,4,FALSE))</f>
        <v/>
      </c>
      <c r="I652" s="394" t="str">
        <f>IF(A652="","",VLOOKUP(A652,AA_Cuadrillas,5,FALSE))</f>
        <v/>
      </c>
      <c r="J652" s="273"/>
      <c r="K652" s="9" t="str">
        <f>IF(A652="","",F.P!$I$2)</f>
        <v/>
      </c>
      <c r="L652" s="37"/>
      <c r="M652" s="394" t="str">
        <f t="shared" si="78"/>
        <v/>
      </c>
      <c r="N652" s="273"/>
    </row>
    <row r="653" spans="1:14" ht="13.5" x14ac:dyDescent="0.25">
      <c r="A653" s="4"/>
      <c r="B653" s="4"/>
      <c r="C653" s="4"/>
      <c r="D653" s="4"/>
      <c r="E653" s="4"/>
      <c r="F653" s="4"/>
      <c r="G653" s="4"/>
      <c r="H653" s="4"/>
      <c r="I653" s="4"/>
      <c r="J653" s="4"/>
      <c r="K653" s="396" t="s">
        <v>444</v>
      </c>
      <c r="L653" s="273"/>
      <c r="M653" s="394">
        <f>SUM(M648:N652)</f>
        <v>37619.337142857141</v>
      </c>
      <c r="N653" s="273"/>
    </row>
    <row r="656" spans="1:14" x14ac:dyDescent="0.2">
      <c r="A656" s="407" t="s">
        <v>98</v>
      </c>
      <c r="B656" s="275"/>
      <c r="C656" s="275"/>
      <c r="D656" s="275"/>
      <c r="E656" s="275"/>
      <c r="F656" s="275"/>
      <c r="G656" s="275"/>
      <c r="H656" s="275"/>
      <c r="I656" s="275"/>
      <c r="J656" s="275"/>
      <c r="K656" s="275"/>
      <c r="L656" s="275"/>
      <c r="M656" s="275"/>
      <c r="N656" s="276"/>
    </row>
    <row r="657" spans="1:14" x14ac:dyDescent="0.2">
      <c r="A657" s="277"/>
      <c r="B657" s="278"/>
      <c r="C657" s="278"/>
      <c r="D657" s="278"/>
      <c r="E657" s="278"/>
      <c r="F657" s="278"/>
      <c r="G657" s="278"/>
      <c r="H657" s="278"/>
      <c r="I657" s="278"/>
      <c r="J657" s="278"/>
      <c r="K657" s="278"/>
      <c r="L657" s="278"/>
      <c r="M657" s="278"/>
      <c r="N657" s="279"/>
    </row>
    <row r="658" spans="1:14" ht="13.5" x14ac:dyDescent="0.2">
      <c r="A658" s="75"/>
      <c r="B658" s="75"/>
      <c r="C658" s="75"/>
      <c r="D658" s="75"/>
      <c r="E658" s="75"/>
      <c r="F658" s="75"/>
      <c r="G658" s="75"/>
      <c r="H658" s="75"/>
      <c r="I658" s="75"/>
      <c r="J658" s="75"/>
      <c r="K658" s="75"/>
      <c r="L658" s="75"/>
      <c r="M658" s="75"/>
      <c r="N658" s="75"/>
    </row>
    <row r="659" spans="1:14" ht="14.25" x14ac:dyDescent="0.3">
      <c r="A659" s="79" t="s">
        <v>623</v>
      </c>
      <c r="B659" s="80" t="str">
        <f>A656</f>
        <v>CONCRETO DE 3000 PSI A TODO COSTO (210 KG/CM2)</v>
      </c>
      <c r="C659" s="81" t="s">
        <v>916</v>
      </c>
      <c r="D659" s="82" t="s">
        <v>258</v>
      </c>
      <c r="E659" s="83" t="s">
        <v>445</v>
      </c>
      <c r="F659" s="244">
        <f>(H659+J659+L659+N659)</f>
        <v>742349.32467906782</v>
      </c>
      <c r="G659" s="83" t="s">
        <v>607</v>
      </c>
      <c r="H659" s="86">
        <f>M680</f>
        <v>48031.749777777775</v>
      </c>
      <c r="I659" s="83" t="s">
        <v>918</v>
      </c>
      <c r="J659" s="86">
        <f>M671</f>
        <v>410065</v>
      </c>
      <c r="K659" s="83" t="s">
        <v>609</v>
      </c>
      <c r="L659" s="86">
        <f>M689</f>
        <v>118448.69045684562</v>
      </c>
      <c r="M659" s="83" t="s">
        <v>610</v>
      </c>
      <c r="N659" s="86">
        <f>M698</f>
        <v>165803.88444444444</v>
      </c>
    </row>
    <row r="660" spans="1:14" ht="13.5" x14ac:dyDescent="0.25">
      <c r="A660" s="87"/>
      <c r="B660" s="87"/>
      <c r="C660" s="87"/>
      <c r="D660" s="87"/>
      <c r="E660" s="87"/>
      <c r="F660" s="87"/>
      <c r="G660" s="87"/>
      <c r="J660" s="87"/>
      <c r="K660" s="215" t="s">
        <v>3217</v>
      </c>
      <c r="L660" s="215"/>
      <c r="M660" s="87"/>
      <c r="N660" s="87"/>
    </row>
    <row r="661" spans="1:14" x14ac:dyDescent="0.2">
      <c r="A661" s="398" t="s">
        <v>919</v>
      </c>
      <c r="B661" s="271"/>
      <c r="C661" s="271"/>
      <c r="D661" s="271"/>
      <c r="E661" s="271"/>
      <c r="F661" s="271"/>
      <c r="G661" s="271"/>
      <c r="H661" s="271"/>
      <c r="I661" s="271"/>
      <c r="J661" s="271"/>
      <c r="K661" s="271"/>
      <c r="L661" s="271"/>
      <c r="M661" s="271"/>
      <c r="N661" s="273"/>
    </row>
    <row r="662" spans="1:14" x14ac:dyDescent="0.2">
      <c r="A662" s="396" t="s">
        <v>76</v>
      </c>
      <c r="B662" s="271"/>
      <c r="C662" s="271"/>
      <c r="D662" s="271"/>
      <c r="E662" s="271"/>
      <c r="F662" s="271"/>
      <c r="G662" s="273"/>
      <c r="H662" s="88" t="s">
        <v>77</v>
      </c>
      <c r="I662" s="399" t="s">
        <v>920</v>
      </c>
      <c r="J662" s="273"/>
      <c r="K662" s="399" t="s">
        <v>453</v>
      </c>
      <c r="L662" s="273"/>
      <c r="M662" s="399" t="s">
        <v>921</v>
      </c>
      <c r="N662" s="273"/>
    </row>
    <row r="663" spans="1:14" ht="13.5" x14ac:dyDescent="0.2">
      <c r="A663" s="400" t="s">
        <v>953</v>
      </c>
      <c r="B663" s="271"/>
      <c r="C663" s="271"/>
      <c r="D663" s="271"/>
      <c r="E663" s="271"/>
      <c r="F663" s="271"/>
      <c r="G663" s="273"/>
      <c r="H663" s="29" t="str">
        <f t="shared" ref="H663:H670" si="79">IF(A663="","",VLOOKUP(A663,AA_Materiales,7,FALSE))</f>
        <v>Kg</v>
      </c>
      <c r="I663" s="394">
        <f t="shared" ref="I663:I670" si="80">IF(A663="","",VLOOKUP(A663,AA_Materiales,8,FALSE))</f>
        <v>800</v>
      </c>
      <c r="J663" s="273"/>
      <c r="K663" s="395">
        <v>350</v>
      </c>
      <c r="L663" s="273"/>
      <c r="M663" s="394">
        <f t="shared" ref="M663:M670" si="81">IF(A663="","",I663*K663)</f>
        <v>280000</v>
      </c>
      <c r="N663" s="273"/>
    </row>
    <row r="664" spans="1:14" ht="13.5" x14ac:dyDescent="0.2">
      <c r="A664" s="400" t="s">
        <v>954</v>
      </c>
      <c r="B664" s="271"/>
      <c r="C664" s="271"/>
      <c r="D664" s="271"/>
      <c r="E664" s="271"/>
      <c r="F664" s="271"/>
      <c r="G664" s="273"/>
      <c r="H664" s="29" t="str">
        <f t="shared" si="79"/>
        <v>m3</v>
      </c>
      <c r="I664" s="394">
        <f t="shared" si="80"/>
        <v>83000</v>
      </c>
      <c r="J664" s="273"/>
      <c r="K664" s="401">
        <v>0.55500000000000005</v>
      </c>
      <c r="L664" s="273"/>
      <c r="M664" s="394">
        <f t="shared" si="81"/>
        <v>46065.000000000007</v>
      </c>
      <c r="N664" s="273"/>
    </row>
    <row r="665" spans="1:14" ht="13.5" x14ac:dyDescent="0.2">
      <c r="A665" s="400" t="s">
        <v>955</v>
      </c>
      <c r="B665" s="271"/>
      <c r="C665" s="271"/>
      <c r="D665" s="271"/>
      <c r="E665" s="271"/>
      <c r="F665" s="271"/>
      <c r="G665" s="273"/>
      <c r="H665" s="29" t="str">
        <f t="shared" si="79"/>
        <v>m3</v>
      </c>
      <c r="I665" s="394">
        <f t="shared" si="80"/>
        <v>90000</v>
      </c>
      <c r="J665" s="273"/>
      <c r="K665" s="401">
        <v>0.83499999999999996</v>
      </c>
      <c r="L665" s="273"/>
      <c r="M665" s="394">
        <f t="shared" si="81"/>
        <v>75150</v>
      </c>
      <c r="N665" s="273"/>
    </row>
    <row r="666" spans="1:14" ht="13.5" x14ac:dyDescent="0.2">
      <c r="A666" s="400" t="s">
        <v>956</v>
      </c>
      <c r="B666" s="271"/>
      <c r="C666" s="271"/>
      <c r="D666" s="271"/>
      <c r="E666" s="271"/>
      <c r="F666" s="271"/>
      <c r="G666" s="273"/>
      <c r="H666" s="29" t="str">
        <f t="shared" si="79"/>
        <v>Lt</v>
      </c>
      <c r="I666" s="394">
        <f t="shared" si="80"/>
        <v>20</v>
      </c>
      <c r="J666" s="273"/>
      <c r="K666" s="395">
        <v>180</v>
      </c>
      <c r="L666" s="273"/>
      <c r="M666" s="394">
        <f t="shared" si="81"/>
        <v>3600</v>
      </c>
      <c r="N666" s="273"/>
    </row>
    <row r="667" spans="1:14" ht="13.5" x14ac:dyDescent="0.2">
      <c r="A667" s="400" t="s">
        <v>963</v>
      </c>
      <c r="B667" s="271"/>
      <c r="C667" s="271"/>
      <c r="D667" s="271"/>
      <c r="E667" s="271"/>
      <c r="F667" s="271"/>
      <c r="G667" s="273"/>
      <c r="H667" s="29" t="str">
        <f t="shared" si="79"/>
        <v>m2</v>
      </c>
      <c r="I667" s="394">
        <f t="shared" si="80"/>
        <v>8750</v>
      </c>
      <c r="J667" s="273"/>
      <c r="K667" s="395">
        <v>0.6</v>
      </c>
      <c r="L667" s="273"/>
      <c r="M667" s="394">
        <f t="shared" si="81"/>
        <v>5250</v>
      </c>
      <c r="N667" s="273"/>
    </row>
    <row r="668" spans="1:14" ht="13.5" x14ac:dyDescent="0.2">
      <c r="A668" s="400"/>
      <c r="B668" s="271"/>
      <c r="C668" s="271"/>
      <c r="D668" s="271"/>
      <c r="E668" s="271"/>
      <c r="F668" s="271"/>
      <c r="G668" s="273"/>
      <c r="H668" s="29" t="str">
        <f t="shared" si="79"/>
        <v/>
      </c>
      <c r="I668" s="394" t="str">
        <f t="shared" si="80"/>
        <v/>
      </c>
      <c r="J668" s="273"/>
      <c r="K668" s="395"/>
      <c r="L668" s="273"/>
      <c r="M668" s="394" t="str">
        <f t="shared" si="81"/>
        <v/>
      </c>
      <c r="N668" s="273"/>
    </row>
    <row r="669" spans="1:14" ht="13.5" x14ac:dyDescent="0.2">
      <c r="A669" s="400"/>
      <c r="B669" s="271"/>
      <c r="C669" s="271"/>
      <c r="D669" s="271"/>
      <c r="E669" s="271"/>
      <c r="F669" s="271"/>
      <c r="G669" s="273"/>
      <c r="H669" s="29" t="str">
        <f t="shared" si="79"/>
        <v/>
      </c>
      <c r="I669" s="394" t="str">
        <f t="shared" si="80"/>
        <v/>
      </c>
      <c r="J669" s="273"/>
      <c r="K669" s="395"/>
      <c r="L669" s="273"/>
      <c r="M669" s="394" t="str">
        <f t="shared" si="81"/>
        <v/>
      </c>
      <c r="N669" s="273"/>
    </row>
    <row r="670" spans="1:14" ht="13.5" x14ac:dyDescent="0.2">
      <c r="A670" s="400"/>
      <c r="B670" s="271"/>
      <c r="C670" s="271"/>
      <c r="D670" s="271"/>
      <c r="E670" s="271"/>
      <c r="F670" s="271"/>
      <c r="G670" s="273"/>
      <c r="H670" s="29" t="str">
        <f t="shared" si="79"/>
        <v/>
      </c>
      <c r="I670" s="394" t="str">
        <f t="shared" si="80"/>
        <v/>
      </c>
      <c r="J670" s="273"/>
      <c r="K670" s="395"/>
      <c r="L670" s="273"/>
      <c r="M670" s="394" t="str">
        <f t="shared" si="81"/>
        <v/>
      </c>
      <c r="N670" s="273"/>
    </row>
    <row r="671" spans="1:14" ht="13.5" x14ac:dyDescent="0.25">
      <c r="A671" s="4"/>
      <c r="B671" s="4"/>
      <c r="C671" s="4"/>
      <c r="D671" s="4"/>
      <c r="E671" s="4"/>
      <c r="F671" s="4"/>
      <c r="G671" s="4"/>
      <c r="H671" s="4"/>
      <c r="I671" s="4"/>
      <c r="J671" s="4"/>
      <c r="K671" s="396" t="s">
        <v>444</v>
      </c>
      <c r="L671" s="273"/>
      <c r="M671" s="394">
        <f>SUM(M663:N670)</f>
        <v>410065</v>
      </c>
      <c r="N671" s="273"/>
    </row>
    <row r="672" spans="1:14" ht="13.5" x14ac:dyDescent="0.25">
      <c r="A672" s="4"/>
      <c r="B672" s="4"/>
      <c r="C672" s="4"/>
      <c r="D672" s="4"/>
      <c r="E672" s="4"/>
      <c r="F672" s="4"/>
      <c r="G672" s="4"/>
      <c r="H672" s="4"/>
      <c r="I672" s="4"/>
      <c r="J672" s="4"/>
      <c r="K672" s="4"/>
      <c r="L672" s="4"/>
      <c r="M672" s="4"/>
      <c r="N672" s="4"/>
    </row>
    <row r="673" spans="1:14" x14ac:dyDescent="0.2">
      <c r="A673" s="398" t="s">
        <v>926</v>
      </c>
      <c r="B673" s="271"/>
      <c r="C673" s="271"/>
      <c r="D673" s="271"/>
      <c r="E673" s="271"/>
      <c r="F673" s="271"/>
      <c r="G673" s="271"/>
      <c r="H673" s="271"/>
      <c r="I673" s="271"/>
      <c r="J673" s="271"/>
      <c r="K673" s="271"/>
      <c r="L673" s="271"/>
      <c r="M673" s="271"/>
      <c r="N673" s="273"/>
    </row>
    <row r="674" spans="1:14" x14ac:dyDescent="0.2">
      <c r="A674" s="396" t="s">
        <v>76</v>
      </c>
      <c r="B674" s="271"/>
      <c r="C674" s="271"/>
      <c r="D674" s="271"/>
      <c r="E674" s="271"/>
      <c r="F674" s="271"/>
      <c r="G674" s="273"/>
      <c r="H674" s="88" t="s">
        <v>77</v>
      </c>
      <c r="I674" s="399" t="s">
        <v>920</v>
      </c>
      <c r="J674" s="273"/>
      <c r="K674" s="399" t="s">
        <v>453</v>
      </c>
      <c r="L674" s="273"/>
      <c r="M674" s="399" t="s">
        <v>921</v>
      </c>
      <c r="N674" s="273"/>
    </row>
    <row r="675" spans="1:14" ht="13.5" x14ac:dyDescent="0.2">
      <c r="A675" s="400" t="s">
        <v>927</v>
      </c>
      <c r="B675" s="271"/>
      <c r="C675" s="271"/>
      <c r="D675" s="271"/>
      <c r="E675" s="271"/>
      <c r="F675" s="271"/>
      <c r="G675" s="273"/>
      <c r="H675" s="29" t="str">
        <f>IF(A675="","",VLOOKUP(A675,AA_Equipos,7,FALSE))</f>
        <v>% M.O.</v>
      </c>
      <c r="I675" s="394">
        <f>M698</f>
        <v>165803.88444444444</v>
      </c>
      <c r="J675" s="273"/>
      <c r="K675" s="404">
        <v>0.05</v>
      </c>
      <c r="L675" s="273"/>
      <c r="M675" s="394">
        <f t="shared" ref="M675:M679" si="82">IF(A675="","",I675*K675)</f>
        <v>8290.1942222222224</v>
      </c>
      <c r="N675" s="273"/>
    </row>
    <row r="676" spans="1:14" ht="13.5" x14ac:dyDescent="0.2">
      <c r="A676" s="403" t="s">
        <v>957</v>
      </c>
      <c r="B676" s="271"/>
      <c r="C676" s="271"/>
      <c r="D676" s="271"/>
      <c r="E676" s="271"/>
      <c r="F676" s="271"/>
      <c r="G676" s="273"/>
      <c r="H676" s="29" t="str">
        <f>IF(A676="","",VLOOKUP(A676,AA_Equipos,7,FALSE))</f>
        <v>Dia</v>
      </c>
      <c r="I676" s="394">
        <f>IF(A676="","",VLOOKUP(A676,AA_Equipos,8,FALSE))</f>
        <v>107071</v>
      </c>
      <c r="J676" s="273"/>
      <c r="K676" s="402">
        <f t="shared" ref="K676:K677" si="83">1/4.5</f>
        <v>0.22222222222222221</v>
      </c>
      <c r="L676" s="273"/>
      <c r="M676" s="394">
        <f t="shared" si="82"/>
        <v>23793.555555555555</v>
      </c>
      <c r="N676" s="273"/>
    </row>
    <row r="677" spans="1:14" ht="13.5" x14ac:dyDescent="0.2">
      <c r="A677" s="400" t="s">
        <v>964</v>
      </c>
      <c r="B677" s="271"/>
      <c r="C677" s="271"/>
      <c r="D677" s="271"/>
      <c r="E677" s="271"/>
      <c r="F677" s="271"/>
      <c r="G677" s="273"/>
      <c r="H677" s="29" t="str">
        <f>IF(A677="","",VLOOKUP(A677,AA_Equipos,7,FALSE))</f>
        <v>Dia</v>
      </c>
      <c r="I677" s="394">
        <f>IF(A677="","",VLOOKUP(A677,AA_Equipos,8,FALSE))</f>
        <v>71766</v>
      </c>
      <c r="J677" s="273"/>
      <c r="K677" s="401">
        <f t="shared" si="83"/>
        <v>0.22222222222222221</v>
      </c>
      <c r="L677" s="273"/>
      <c r="M677" s="394">
        <f t="shared" si="82"/>
        <v>15948</v>
      </c>
      <c r="N677" s="273"/>
    </row>
    <row r="678" spans="1:14" ht="13.5" x14ac:dyDescent="0.2">
      <c r="A678" s="400"/>
      <c r="B678" s="271"/>
      <c r="C678" s="271"/>
      <c r="D678" s="271"/>
      <c r="E678" s="271"/>
      <c r="F678" s="271"/>
      <c r="G678" s="273"/>
      <c r="H678" s="29" t="str">
        <f>IF(A678="","",VLOOKUP(A678,AA_Equipos,7,FALSE))</f>
        <v/>
      </c>
      <c r="I678" s="394" t="str">
        <f>IF(A678="","",VLOOKUP(A678,AA_Equipos,8,FALSE))</f>
        <v/>
      </c>
      <c r="J678" s="273"/>
      <c r="K678" s="395"/>
      <c r="L678" s="273"/>
      <c r="M678" s="394" t="str">
        <f t="shared" si="82"/>
        <v/>
      </c>
      <c r="N678" s="273"/>
    </row>
    <row r="679" spans="1:14" ht="13.5" x14ac:dyDescent="0.2">
      <c r="A679" s="400"/>
      <c r="B679" s="271"/>
      <c r="C679" s="271"/>
      <c r="D679" s="271"/>
      <c r="E679" s="271"/>
      <c r="F679" s="271"/>
      <c r="G679" s="273"/>
      <c r="H679" s="29" t="str">
        <f>IF(A679="","",VLOOKUP(A679,AA_Equipos,7,FALSE))</f>
        <v/>
      </c>
      <c r="I679" s="394" t="str">
        <f>IF(A679="","",VLOOKUP(A679,AA_Equipos,8,FALSE))</f>
        <v/>
      </c>
      <c r="J679" s="273"/>
      <c r="K679" s="395"/>
      <c r="L679" s="273"/>
      <c r="M679" s="394" t="str">
        <f t="shared" si="82"/>
        <v/>
      </c>
      <c r="N679" s="273"/>
    </row>
    <row r="680" spans="1:14" ht="13.5" x14ac:dyDescent="0.25">
      <c r="A680" s="4"/>
      <c r="B680" s="4"/>
      <c r="C680" s="4"/>
      <c r="D680" s="4"/>
      <c r="E680" s="4"/>
      <c r="F680" s="4"/>
      <c r="G680" s="4"/>
      <c r="H680" s="4"/>
      <c r="I680" s="4"/>
      <c r="J680" s="4"/>
      <c r="K680" s="396" t="s">
        <v>444</v>
      </c>
      <c r="L680" s="273"/>
      <c r="M680" s="394">
        <f>SUM(M675:N679)</f>
        <v>48031.749777777775</v>
      </c>
      <c r="N680" s="273"/>
    </row>
    <row r="681" spans="1:14" ht="13.5" x14ac:dyDescent="0.25">
      <c r="A681" s="4"/>
      <c r="B681" s="4"/>
      <c r="C681" s="4"/>
      <c r="D681" s="4"/>
      <c r="E681" s="4"/>
      <c r="F681" s="4"/>
      <c r="G681" s="4"/>
      <c r="H681" s="4"/>
      <c r="I681" s="4"/>
      <c r="J681" s="4"/>
      <c r="K681" s="4"/>
      <c r="L681" s="4"/>
      <c r="M681" s="4"/>
      <c r="N681" s="4"/>
    </row>
    <row r="682" spans="1:14" x14ac:dyDescent="0.2">
      <c r="A682" s="398" t="s">
        <v>929</v>
      </c>
      <c r="B682" s="271"/>
      <c r="C682" s="271"/>
      <c r="D682" s="271"/>
      <c r="E682" s="271"/>
      <c r="F682" s="271"/>
      <c r="G682" s="271"/>
      <c r="H682" s="271"/>
      <c r="I682" s="271"/>
      <c r="J682" s="271"/>
      <c r="K682" s="271"/>
      <c r="L682" s="271"/>
      <c r="M682" s="271"/>
      <c r="N682" s="273"/>
    </row>
    <row r="683" spans="1:14" x14ac:dyDescent="0.2">
      <c r="A683" s="396" t="s">
        <v>76</v>
      </c>
      <c r="B683" s="271"/>
      <c r="C683" s="271"/>
      <c r="D683" s="271"/>
      <c r="E683" s="271"/>
      <c r="F683" s="271"/>
      <c r="G683" s="273"/>
      <c r="H683" s="88" t="s">
        <v>77</v>
      </c>
      <c r="I683" s="399" t="s">
        <v>920</v>
      </c>
      <c r="J683" s="273"/>
      <c r="K683" s="399" t="s">
        <v>453</v>
      </c>
      <c r="L683" s="273"/>
      <c r="M683" s="399" t="s">
        <v>921</v>
      </c>
      <c r="N683" s="273"/>
    </row>
    <row r="684" spans="1:14" ht="13.5" x14ac:dyDescent="0.2">
      <c r="A684" s="400" t="s">
        <v>965</v>
      </c>
      <c r="B684" s="271"/>
      <c r="C684" s="271"/>
      <c r="D684" s="271"/>
      <c r="E684" s="271"/>
      <c r="F684" s="271"/>
      <c r="G684" s="273"/>
      <c r="H684" s="29" t="s">
        <v>959</v>
      </c>
      <c r="I684" s="394">
        <f>+M680</f>
        <v>48031.749777777775</v>
      </c>
      <c r="J684" s="273"/>
      <c r="K684" s="404">
        <v>0.05</v>
      </c>
      <c r="L684" s="273"/>
      <c r="M684" s="394">
        <f t="shared" ref="M684:M688" si="84">IF(A684="","",I684*K684)</f>
        <v>2401.5874888888889</v>
      </c>
      <c r="N684" s="273"/>
    </row>
    <row r="685" spans="1:14" ht="13.5" x14ac:dyDescent="0.2">
      <c r="A685" s="403" t="s">
        <v>3172</v>
      </c>
      <c r="B685" s="271"/>
      <c r="C685" s="271"/>
      <c r="D685" s="271"/>
      <c r="E685" s="271"/>
      <c r="F685" s="271"/>
      <c r="G685" s="273"/>
      <c r="H685" s="29" t="s">
        <v>967</v>
      </c>
      <c r="I685" s="394">
        <f>'precios '!$J$222</f>
        <v>2077.2367952644231</v>
      </c>
      <c r="J685" s="273"/>
      <c r="K685" s="408">
        <f>Indice!$L$21</f>
        <v>49</v>
      </c>
      <c r="L685" s="273"/>
      <c r="M685" s="394">
        <f t="shared" si="84"/>
        <v>101784.60296795673</v>
      </c>
      <c r="N685" s="273"/>
    </row>
    <row r="686" spans="1:14" ht="13.5" x14ac:dyDescent="0.2">
      <c r="A686" s="400" t="s">
        <v>3173</v>
      </c>
      <c r="B686" s="271"/>
      <c r="C686" s="271"/>
      <c r="D686" s="271"/>
      <c r="E686" s="271"/>
      <c r="F686" s="271"/>
      <c r="G686" s="273"/>
      <c r="H686" s="29" t="s">
        <v>24</v>
      </c>
      <c r="I686" s="394">
        <f>+M663+M667</f>
        <v>285250</v>
      </c>
      <c r="J686" s="273"/>
      <c r="K686" s="404">
        <v>0.05</v>
      </c>
      <c r="L686" s="273"/>
      <c r="M686" s="394">
        <f t="shared" si="84"/>
        <v>14262.5</v>
      </c>
      <c r="N686" s="273"/>
    </row>
    <row r="687" spans="1:14" ht="13.5" x14ac:dyDescent="0.2">
      <c r="A687" s="400"/>
      <c r="B687" s="271"/>
      <c r="C687" s="271"/>
      <c r="D687" s="271"/>
      <c r="E687" s="271"/>
      <c r="F687" s="271"/>
      <c r="G687" s="273"/>
      <c r="H687" s="29"/>
      <c r="I687" s="394"/>
      <c r="J687" s="273"/>
      <c r="K687" s="395"/>
      <c r="L687" s="273"/>
      <c r="M687" s="394" t="str">
        <f t="shared" si="84"/>
        <v/>
      </c>
      <c r="N687" s="273"/>
    </row>
    <row r="688" spans="1:14" ht="13.5" x14ac:dyDescent="0.2">
      <c r="A688" s="400"/>
      <c r="B688" s="271"/>
      <c r="C688" s="271"/>
      <c r="D688" s="271"/>
      <c r="E688" s="271"/>
      <c r="F688" s="271"/>
      <c r="G688" s="273"/>
      <c r="H688" s="29"/>
      <c r="I688" s="394"/>
      <c r="J688" s="273"/>
      <c r="K688" s="395"/>
      <c r="L688" s="273"/>
      <c r="M688" s="394" t="str">
        <f t="shared" si="84"/>
        <v/>
      </c>
      <c r="N688" s="273"/>
    </row>
    <row r="689" spans="1:14" ht="13.5" x14ac:dyDescent="0.25">
      <c r="A689" s="4"/>
      <c r="B689" s="4"/>
      <c r="C689" s="4"/>
      <c r="D689" s="4"/>
      <c r="E689" s="4"/>
      <c r="F689" s="4"/>
      <c r="G689" s="4"/>
      <c r="H689" s="4"/>
      <c r="I689" s="4"/>
      <c r="J689" s="4"/>
      <c r="K689" s="396" t="s">
        <v>444</v>
      </c>
      <c r="L689" s="273"/>
      <c r="M689" s="394">
        <f>SUM(M684:N688)</f>
        <v>118448.69045684562</v>
      </c>
      <c r="N689" s="273"/>
    </row>
    <row r="690" spans="1:14" ht="13.5" x14ac:dyDescent="0.25">
      <c r="A690" s="4"/>
      <c r="B690" s="4"/>
      <c r="C690" s="4"/>
      <c r="D690" s="4"/>
      <c r="E690" s="4"/>
      <c r="F690" s="4"/>
      <c r="G690" s="4"/>
      <c r="H690" s="4"/>
      <c r="I690" s="4"/>
      <c r="J690" s="4"/>
      <c r="K690" s="94"/>
      <c r="L690" s="95"/>
      <c r="M690" s="89"/>
      <c r="N690" s="96"/>
    </row>
    <row r="691" spans="1:14" x14ac:dyDescent="0.2">
      <c r="A691" s="398" t="s">
        <v>931</v>
      </c>
      <c r="B691" s="271"/>
      <c r="C691" s="271"/>
      <c r="D691" s="271"/>
      <c r="E691" s="271"/>
      <c r="F691" s="271"/>
      <c r="G691" s="271"/>
      <c r="H691" s="271"/>
      <c r="I691" s="271"/>
      <c r="J691" s="271"/>
      <c r="K691" s="271"/>
      <c r="L691" s="271"/>
      <c r="M691" s="271"/>
      <c r="N691" s="273"/>
    </row>
    <row r="692" spans="1:14" x14ac:dyDescent="0.2">
      <c r="A692" s="396" t="s">
        <v>76</v>
      </c>
      <c r="B692" s="271"/>
      <c r="C692" s="271"/>
      <c r="D692" s="271"/>
      <c r="E692" s="271"/>
      <c r="F692" s="271"/>
      <c r="G692" s="273"/>
      <c r="H692" s="88" t="s">
        <v>77</v>
      </c>
      <c r="I692" s="399" t="s">
        <v>920</v>
      </c>
      <c r="J692" s="273"/>
      <c r="K692" s="90" t="s">
        <v>514</v>
      </c>
      <c r="L692" s="91" t="s">
        <v>932</v>
      </c>
      <c r="M692" s="399" t="s">
        <v>921</v>
      </c>
      <c r="N692" s="273"/>
    </row>
    <row r="693" spans="1:14" ht="13.5" x14ac:dyDescent="0.25">
      <c r="A693" s="393" t="s">
        <v>962</v>
      </c>
      <c r="B693" s="271"/>
      <c r="C693" s="271"/>
      <c r="D693" s="271"/>
      <c r="E693" s="271"/>
      <c r="F693" s="271"/>
      <c r="G693" s="273"/>
      <c r="H693" s="29" t="str">
        <f>IF(A693="","",VLOOKUP(A693,AA_Cuadrillas,4,FALSE))</f>
        <v>Cuadrilla</v>
      </c>
      <c r="I693" s="394">
        <f>IF(A693="","",VLOOKUP(A693,AA_Cuadrillas,5,FALSE))</f>
        <v>396871</v>
      </c>
      <c r="J693" s="273"/>
      <c r="K693" s="9">
        <f>IF(A693="","",F.P!$I$2)</f>
        <v>1.88</v>
      </c>
      <c r="L693" s="93">
        <f>1/4.5</f>
        <v>0.22222222222222221</v>
      </c>
      <c r="M693" s="394">
        <f t="shared" ref="M693:M697" si="85">IF(A693="","",I693*K693*L693)</f>
        <v>165803.88444444444</v>
      </c>
      <c r="N693" s="273"/>
    </row>
    <row r="694" spans="1:14" ht="13.5" x14ac:dyDescent="0.25">
      <c r="A694" s="393"/>
      <c r="B694" s="271"/>
      <c r="C694" s="271"/>
      <c r="D694" s="271"/>
      <c r="E694" s="271"/>
      <c r="F694" s="271"/>
      <c r="G694" s="273"/>
      <c r="H694" s="29" t="str">
        <f>IF(A694="","",VLOOKUP(A694,AA_Cuadrillas,4,FALSE))</f>
        <v/>
      </c>
      <c r="I694" s="394" t="str">
        <f>IF(A694="","",VLOOKUP(A694,AA_Cuadrillas,5,FALSE))</f>
        <v/>
      </c>
      <c r="J694" s="273"/>
      <c r="K694" s="9" t="str">
        <f>IF(A694="","",F.P!$I$2)</f>
        <v/>
      </c>
      <c r="L694" s="9"/>
      <c r="M694" s="394" t="str">
        <f t="shared" si="85"/>
        <v/>
      </c>
      <c r="N694" s="273"/>
    </row>
    <row r="695" spans="1:14" ht="13.5" x14ac:dyDescent="0.25">
      <c r="A695" s="393"/>
      <c r="B695" s="271"/>
      <c r="C695" s="271"/>
      <c r="D695" s="271"/>
      <c r="E695" s="271"/>
      <c r="F695" s="271"/>
      <c r="G695" s="273"/>
      <c r="H695" s="29" t="str">
        <f>IF(A695="","",VLOOKUP(A695,AA_Cuadrillas,4,FALSE))</f>
        <v/>
      </c>
      <c r="I695" s="394" t="str">
        <f>IF(A695="","",VLOOKUP(A695,AA_Cuadrillas,5,FALSE))</f>
        <v/>
      </c>
      <c r="J695" s="273"/>
      <c r="K695" s="9" t="str">
        <f>IF(A695="","",F.P!$I$2)</f>
        <v/>
      </c>
      <c r="L695" s="37"/>
      <c r="M695" s="394" t="str">
        <f t="shared" si="85"/>
        <v/>
      </c>
      <c r="N695" s="273"/>
    </row>
    <row r="696" spans="1:14" ht="13.5" x14ac:dyDescent="0.25">
      <c r="A696" s="393"/>
      <c r="B696" s="271"/>
      <c r="C696" s="271"/>
      <c r="D696" s="271"/>
      <c r="E696" s="271"/>
      <c r="F696" s="271"/>
      <c r="G696" s="273"/>
      <c r="H696" s="29" t="str">
        <f>IF(A696="","",VLOOKUP(A696,AA_Cuadrillas,4,FALSE))</f>
        <v/>
      </c>
      <c r="I696" s="394" t="str">
        <f>IF(A696="","",VLOOKUP(A696,AA_Cuadrillas,5,FALSE))</f>
        <v/>
      </c>
      <c r="J696" s="273"/>
      <c r="K696" s="9" t="str">
        <f>IF(A696="","",F.P!$I$2)</f>
        <v/>
      </c>
      <c r="L696" s="37"/>
      <c r="M696" s="394" t="str">
        <f t="shared" si="85"/>
        <v/>
      </c>
      <c r="N696" s="273"/>
    </row>
    <row r="697" spans="1:14" ht="13.5" x14ac:dyDescent="0.25">
      <c r="A697" s="393"/>
      <c r="B697" s="271"/>
      <c r="C697" s="271"/>
      <c r="D697" s="271"/>
      <c r="E697" s="271"/>
      <c r="F697" s="271"/>
      <c r="G697" s="273"/>
      <c r="H697" s="29" t="str">
        <f>IF(A697="","",VLOOKUP(A697,AA_Cuadrillas,4,FALSE))</f>
        <v/>
      </c>
      <c r="I697" s="394" t="str">
        <f>IF(A697="","",VLOOKUP(A697,AA_Cuadrillas,5,FALSE))</f>
        <v/>
      </c>
      <c r="J697" s="273"/>
      <c r="K697" s="9" t="str">
        <f>IF(A697="","",F.P!$I$2)</f>
        <v/>
      </c>
      <c r="L697" s="37"/>
      <c r="M697" s="394" t="str">
        <f t="shared" si="85"/>
        <v/>
      </c>
      <c r="N697" s="273"/>
    </row>
    <row r="698" spans="1:14" ht="13.5" x14ac:dyDescent="0.25">
      <c r="A698" s="4"/>
      <c r="B698" s="4"/>
      <c r="C698" s="4"/>
      <c r="D698" s="4"/>
      <c r="E698" s="4"/>
      <c r="F698" s="4"/>
      <c r="G698" s="4"/>
      <c r="H698" s="4"/>
      <c r="I698" s="4"/>
      <c r="J698" s="4"/>
      <c r="K698" s="396" t="s">
        <v>444</v>
      </c>
      <c r="L698" s="273"/>
      <c r="M698" s="394">
        <f>SUM(M693:N697)</f>
        <v>165803.88444444444</v>
      </c>
      <c r="N698" s="273"/>
    </row>
    <row r="699" spans="1:14" ht="13.5" x14ac:dyDescent="0.25">
      <c r="A699" s="4"/>
      <c r="B699" s="4"/>
      <c r="C699" s="4"/>
      <c r="D699" s="4"/>
      <c r="E699" s="4"/>
      <c r="F699" s="4"/>
      <c r="G699" s="4"/>
      <c r="H699" s="4"/>
      <c r="I699" s="4"/>
      <c r="J699" s="4"/>
      <c r="K699" s="94"/>
      <c r="L699" s="95"/>
      <c r="M699" s="89"/>
      <c r="N699" s="96"/>
    </row>
  </sheetData>
  <mergeCells count="1733">
    <mergeCell ref="K631:L631"/>
    <mergeCell ref="M631:N631"/>
    <mergeCell ref="A632:G632"/>
    <mergeCell ref="I632:J632"/>
    <mergeCell ref="K632:L632"/>
    <mergeCell ref="M632:N632"/>
    <mergeCell ref="A637:N637"/>
    <mergeCell ref="A639:G639"/>
    <mergeCell ref="I639:J639"/>
    <mergeCell ref="A640:G640"/>
    <mergeCell ref="I640:J640"/>
    <mergeCell ref="K640:L640"/>
    <mergeCell ref="M640:N640"/>
    <mergeCell ref="A641:G641"/>
    <mergeCell ref="I641:J641"/>
    <mergeCell ref="K641:L641"/>
    <mergeCell ref="M641:N641"/>
    <mergeCell ref="A638:G638"/>
    <mergeCell ref="I638:J638"/>
    <mergeCell ref="K638:L638"/>
    <mergeCell ref="M638:N638"/>
    <mergeCell ref="K639:L639"/>
    <mergeCell ref="M639:N639"/>
    <mergeCell ref="A652:G652"/>
    <mergeCell ref="I652:J652"/>
    <mergeCell ref="M652:N652"/>
    <mergeCell ref="M653:N653"/>
    <mergeCell ref="A647:G647"/>
    <mergeCell ref="I647:J647"/>
    <mergeCell ref="M647:N647"/>
    <mergeCell ref="M648:N648"/>
    <mergeCell ref="A646:N646"/>
    <mergeCell ref="A648:G648"/>
    <mergeCell ref="I648:J648"/>
    <mergeCell ref="A643:G643"/>
    <mergeCell ref="I643:J643"/>
    <mergeCell ref="K643:L643"/>
    <mergeCell ref="M643:N643"/>
    <mergeCell ref="K644:L644"/>
    <mergeCell ref="M644:N644"/>
    <mergeCell ref="A649:G649"/>
    <mergeCell ref="I649:J649"/>
    <mergeCell ref="M649:N649"/>
    <mergeCell ref="A650:G650"/>
    <mergeCell ref="I650:J650"/>
    <mergeCell ref="M650:N650"/>
    <mergeCell ref="K653:L653"/>
    <mergeCell ref="A651:G651"/>
    <mergeCell ref="I651:J651"/>
    <mergeCell ref="M651:N651"/>
    <mergeCell ref="K622:L622"/>
    <mergeCell ref="M622:N622"/>
    <mergeCell ref="A623:G623"/>
    <mergeCell ref="I623:J623"/>
    <mergeCell ref="K623:L623"/>
    <mergeCell ref="M623:N623"/>
    <mergeCell ref="A624:G624"/>
    <mergeCell ref="I624:J624"/>
    <mergeCell ref="K624:L624"/>
    <mergeCell ref="M624:N624"/>
    <mergeCell ref="A642:G642"/>
    <mergeCell ref="I642:J642"/>
    <mergeCell ref="K642:L642"/>
    <mergeCell ref="M642:N642"/>
    <mergeCell ref="K635:L635"/>
    <mergeCell ref="M635:N635"/>
    <mergeCell ref="A633:G633"/>
    <mergeCell ref="I633:J633"/>
    <mergeCell ref="K633:L633"/>
    <mergeCell ref="M633:N633"/>
    <mergeCell ref="A634:G634"/>
    <mergeCell ref="I634:J634"/>
    <mergeCell ref="K634:L634"/>
    <mergeCell ref="M634:N634"/>
    <mergeCell ref="A629:G629"/>
    <mergeCell ref="I629:J629"/>
    <mergeCell ref="K629:L629"/>
    <mergeCell ref="M629:N629"/>
    <mergeCell ref="K630:L630"/>
    <mergeCell ref="M630:N630"/>
    <mergeCell ref="A631:G631"/>
    <mergeCell ref="I631:J631"/>
    <mergeCell ref="A628:N628"/>
    <mergeCell ref="A630:G630"/>
    <mergeCell ref="I630:J630"/>
    <mergeCell ref="K611:L611"/>
    <mergeCell ref="M611:N611"/>
    <mergeCell ref="A614:N615"/>
    <mergeCell ref="A619:N619"/>
    <mergeCell ref="A620:G620"/>
    <mergeCell ref="I620:J620"/>
    <mergeCell ref="K620:L620"/>
    <mergeCell ref="M620:N620"/>
    <mergeCell ref="A621:G621"/>
    <mergeCell ref="I621:J621"/>
    <mergeCell ref="K621:L621"/>
    <mergeCell ref="M621:N621"/>
    <mergeCell ref="A608:G608"/>
    <mergeCell ref="I608:J608"/>
    <mergeCell ref="M608:N608"/>
    <mergeCell ref="A609:G609"/>
    <mergeCell ref="I609:J609"/>
    <mergeCell ref="M609:N609"/>
    <mergeCell ref="A610:G610"/>
    <mergeCell ref="I610:J610"/>
    <mergeCell ref="M610:N610"/>
    <mergeCell ref="A625:G625"/>
    <mergeCell ref="I625:J625"/>
    <mergeCell ref="K625:L625"/>
    <mergeCell ref="M625:N625"/>
    <mergeCell ref="K626:L626"/>
    <mergeCell ref="M626:N626"/>
    <mergeCell ref="A622:G622"/>
    <mergeCell ref="I622:J622"/>
    <mergeCell ref="A604:N604"/>
    <mergeCell ref="A605:G605"/>
    <mergeCell ref="I605:J605"/>
    <mergeCell ref="M605:N605"/>
    <mergeCell ref="A606:G606"/>
    <mergeCell ref="I606:J606"/>
    <mergeCell ref="M606:N606"/>
    <mergeCell ref="A607:G607"/>
    <mergeCell ref="I607:J607"/>
    <mergeCell ref="M607:N607"/>
    <mergeCell ref="A600:G600"/>
    <mergeCell ref="I600:J600"/>
    <mergeCell ref="K600:L600"/>
    <mergeCell ref="M600:N600"/>
    <mergeCell ref="A601:G601"/>
    <mergeCell ref="I601:J601"/>
    <mergeCell ref="K601:L601"/>
    <mergeCell ref="M601:N601"/>
    <mergeCell ref="K602:L602"/>
    <mergeCell ref="M602:N602"/>
    <mergeCell ref="A597:G597"/>
    <mergeCell ref="I597:J597"/>
    <mergeCell ref="K597:L597"/>
    <mergeCell ref="M597:N597"/>
    <mergeCell ref="A598:G598"/>
    <mergeCell ref="I598:J598"/>
    <mergeCell ref="K598:L598"/>
    <mergeCell ref="M598:N598"/>
    <mergeCell ref="A599:G599"/>
    <mergeCell ref="I599:J599"/>
    <mergeCell ref="K599:L599"/>
    <mergeCell ref="M599:N599"/>
    <mergeCell ref="A592:G592"/>
    <mergeCell ref="I592:J592"/>
    <mergeCell ref="K592:L592"/>
    <mergeCell ref="M592:N592"/>
    <mergeCell ref="K593:L593"/>
    <mergeCell ref="M593:N593"/>
    <mergeCell ref="A595:N595"/>
    <mergeCell ref="A596:G596"/>
    <mergeCell ref="I596:J596"/>
    <mergeCell ref="K596:L596"/>
    <mergeCell ref="M596:N596"/>
    <mergeCell ref="A589:G589"/>
    <mergeCell ref="I589:J589"/>
    <mergeCell ref="K589:L589"/>
    <mergeCell ref="M589:N589"/>
    <mergeCell ref="A590:G590"/>
    <mergeCell ref="I590:J590"/>
    <mergeCell ref="K590:L590"/>
    <mergeCell ref="M590:N590"/>
    <mergeCell ref="A591:G591"/>
    <mergeCell ref="I591:J591"/>
    <mergeCell ref="K591:L591"/>
    <mergeCell ref="M591:N591"/>
    <mergeCell ref="A586:N586"/>
    <mergeCell ref="A587:G587"/>
    <mergeCell ref="I587:J587"/>
    <mergeCell ref="K587:L587"/>
    <mergeCell ref="M587:N587"/>
    <mergeCell ref="A588:G588"/>
    <mergeCell ref="I588:J588"/>
    <mergeCell ref="K588:L588"/>
    <mergeCell ref="M588:N588"/>
    <mergeCell ref="A582:G582"/>
    <mergeCell ref="I582:J582"/>
    <mergeCell ref="K582:L582"/>
    <mergeCell ref="M582:N582"/>
    <mergeCell ref="A583:G583"/>
    <mergeCell ref="I583:J583"/>
    <mergeCell ref="K583:L583"/>
    <mergeCell ref="M583:N583"/>
    <mergeCell ref="K584:L584"/>
    <mergeCell ref="M584:N584"/>
    <mergeCell ref="A579:G579"/>
    <mergeCell ref="I579:J579"/>
    <mergeCell ref="K579:L579"/>
    <mergeCell ref="M579:N579"/>
    <mergeCell ref="A580:G580"/>
    <mergeCell ref="I580:J580"/>
    <mergeCell ref="K580:L580"/>
    <mergeCell ref="M580:N580"/>
    <mergeCell ref="A581:G581"/>
    <mergeCell ref="I581:J581"/>
    <mergeCell ref="K581:L581"/>
    <mergeCell ref="M581:N581"/>
    <mergeCell ref="A576:N576"/>
    <mergeCell ref="A577:G577"/>
    <mergeCell ref="I577:J577"/>
    <mergeCell ref="K577:L577"/>
    <mergeCell ref="M577:N577"/>
    <mergeCell ref="A578:G578"/>
    <mergeCell ref="I578:J578"/>
    <mergeCell ref="K578:L578"/>
    <mergeCell ref="M578:N578"/>
    <mergeCell ref="A566:G566"/>
    <mergeCell ref="I566:J566"/>
    <mergeCell ref="M566:N566"/>
    <mergeCell ref="A567:G567"/>
    <mergeCell ref="I567:J567"/>
    <mergeCell ref="M567:N567"/>
    <mergeCell ref="K568:L568"/>
    <mergeCell ref="M568:N568"/>
    <mergeCell ref="A571:N572"/>
    <mergeCell ref="A563:G563"/>
    <mergeCell ref="I563:J563"/>
    <mergeCell ref="M563:N563"/>
    <mergeCell ref="A564:G564"/>
    <mergeCell ref="I564:J564"/>
    <mergeCell ref="M564:N564"/>
    <mergeCell ref="A565:G565"/>
    <mergeCell ref="I565:J565"/>
    <mergeCell ref="M565:N565"/>
    <mergeCell ref="A558:G558"/>
    <mergeCell ref="I558:J558"/>
    <mergeCell ref="K558:L558"/>
    <mergeCell ref="M558:N558"/>
    <mergeCell ref="K559:L559"/>
    <mergeCell ref="M559:N559"/>
    <mergeCell ref="A561:N561"/>
    <mergeCell ref="A562:G562"/>
    <mergeCell ref="I562:J562"/>
    <mergeCell ref="M562:N562"/>
    <mergeCell ref="A555:G555"/>
    <mergeCell ref="I555:J555"/>
    <mergeCell ref="K555:L555"/>
    <mergeCell ref="M555:N555"/>
    <mergeCell ref="A556:G556"/>
    <mergeCell ref="I556:J556"/>
    <mergeCell ref="K556:L556"/>
    <mergeCell ref="M556:N556"/>
    <mergeCell ref="A557:G557"/>
    <mergeCell ref="I557:J557"/>
    <mergeCell ref="K557:L557"/>
    <mergeCell ref="M557:N557"/>
    <mergeCell ref="A552:N552"/>
    <mergeCell ref="A553:G553"/>
    <mergeCell ref="I553:J553"/>
    <mergeCell ref="K553:L553"/>
    <mergeCell ref="M553:N553"/>
    <mergeCell ref="A554:G554"/>
    <mergeCell ref="I554:J554"/>
    <mergeCell ref="K554:L554"/>
    <mergeCell ref="M554:N554"/>
    <mergeCell ref="A548:G548"/>
    <mergeCell ref="I548:J548"/>
    <mergeCell ref="K548:L548"/>
    <mergeCell ref="M548:N548"/>
    <mergeCell ref="A549:G549"/>
    <mergeCell ref="I549:J549"/>
    <mergeCell ref="K549:L549"/>
    <mergeCell ref="M549:N549"/>
    <mergeCell ref="K550:L550"/>
    <mergeCell ref="M550:N550"/>
    <mergeCell ref="A545:G545"/>
    <mergeCell ref="I545:J545"/>
    <mergeCell ref="K545:L545"/>
    <mergeCell ref="M545:N545"/>
    <mergeCell ref="A546:G546"/>
    <mergeCell ref="I546:J546"/>
    <mergeCell ref="K546:L546"/>
    <mergeCell ref="M546:N546"/>
    <mergeCell ref="A547:G547"/>
    <mergeCell ref="I547:J547"/>
    <mergeCell ref="K547:L547"/>
    <mergeCell ref="M547:N547"/>
    <mergeCell ref="A540:G540"/>
    <mergeCell ref="I540:J540"/>
    <mergeCell ref="K540:L540"/>
    <mergeCell ref="M540:N540"/>
    <mergeCell ref="K541:L541"/>
    <mergeCell ref="M541:N541"/>
    <mergeCell ref="A543:N543"/>
    <mergeCell ref="A544:G544"/>
    <mergeCell ref="I544:J544"/>
    <mergeCell ref="K544:L544"/>
    <mergeCell ref="M544:N544"/>
    <mergeCell ref="A537:G537"/>
    <mergeCell ref="I537:J537"/>
    <mergeCell ref="K537:L537"/>
    <mergeCell ref="M537:N537"/>
    <mergeCell ref="A538:G538"/>
    <mergeCell ref="I538:J538"/>
    <mergeCell ref="K538:L538"/>
    <mergeCell ref="M538:N538"/>
    <mergeCell ref="A539:G539"/>
    <mergeCell ref="I539:J539"/>
    <mergeCell ref="K539:L539"/>
    <mergeCell ref="M539:N539"/>
    <mergeCell ref="K526:L526"/>
    <mergeCell ref="M526:N526"/>
    <mergeCell ref="A529:N530"/>
    <mergeCell ref="A534:N534"/>
    <mergeCell ref="A535:G535"/>
    <mergeCell ref="I535:J535"/>
    <mergeCell ref="K535:L535"/>
    <mergeCell ref="M535:N535"/>
    <mergeCell ref="A536:G536"/>
    <mergeCell ref="I536:J536"/>
    <mergeCell ref="K536:L536"/>
    <mergeCell ref="M536:N536"/>
    <mergeCell ref="A523:G523"/>
    <mergeCell ref="I523:J523"/>
    <mergeCell ref="M523:N523"/>
    <mergeCell ref="A524:G524"/>
    <mergeCell ref="I524:J524"/>
    <mergeCell ref="M524:N524"/>
    <mergeCell ref="A525:G525"/>
    <mergeCell ref="I525:J525"/>
    <mergeCell ref="M525:N525"/>
    <mergeCell ref="A519:N519"/>
    <mergeCell ref="A520:G520"/>
    <mergeCell ref="I520:J520"/>
    <mergeCell ref="M520:N520"/>
    <mergeCell ref="A521:G521"/>
    <mergeCell ref="I521:J521"/>
    <mergeCell ref="M521:N521"/>
    <mergeCell ref="A522:G522"/>
    <mergeCell ref="I522:J522"/>
    <mergeCell ref="M522:N522"/>
    <mergeCell ref="A515:G515"/>
    <mergeCell ref="I515:J515"/>
    <mergeCell ref="K515:L515"/>
    <mergeCell ref="M515:N515"/>
    <mergeCell ref="A516:G516"/>
    <mergeCell ref="I516:J516"/>
    <mergeCell ref="K516:L516"/>
    <mergeCell ref="M516:N516"/>
    <mergeCell ref="K517:L517"/>
    <mergeCell ref="M517:N517"/>
    <mergeCell ref="A512:G512"/>
    <mergeCell ref="I512:J512"/>
    <mergeCell ref="K512:L512"/>
    <mergeCell ref="M512:N512"/>
    <mergeCell ref="A513:G513"/>
    <mergeCell ref="I513:J513"/>
    <mergeCell ref="K513:L513"/>
    <mergeCell ref="M513:N513"/>
    <mergeCell ref="A514:G514"/>
    <mergeCell ref="I514:J514"/>
    <mergeCell ref="K514:L514"/>
    <mergeCell ref="M514:N514"/>
    <mergeCell ref="A507:G507"/>
    <mergeCell ref="I507:J507"/>
    <mergeCell ref="K507:L507"/>
    <mergeCell ref="M507:N507"/>
    <mergeCell ref="K508:L508"/>
    <mergeCell ref="M508:N508"/>
    <mergeCell ref="A510:N510"/>
    <mergeCell ref="A511:G511"/>
    <mergeCell ref="I511:J511"/>
    <mergeCell ref="K511:L511"/>
    <mergeCell ref="M511:N511"/>
    <mergeCell ref="A504:G504"/>
    <mergeCell ref="I504:J504"/>
    <mergeCell ref="K504:L504"/>
    <mergeCell ref="M504:N504"/>
    <mergeCell ref="A505:G505"/>
    <mergeCell ref="I505:J505"/>
    <mergeCell ref="K505:L505"/>
    <mergeCell ref="M505:N505"/>
    <mergeCell ref="A506:G506"/>
    <mergeCell ref="I506:J506"/>
    <mergeCell ref="K506:L506"/>
    <mergeCell ref="M506:N506"/>
    <mergeCell ref="A501:N501"/>
    <mergeCell ref="A502:G502"/>
    <mergeCell ref="I502:J502"/>
    <mergeCell ref="K502:L502"/>
    <mergeCell ref="M502:N502"/>
    <mergeCell ref="A503:G503"/>
    <mergeCell ref="I503:J503"/>
    <mergeCell ref="K503:L503"/>
    <mergeCell ref="M503:N503"/>
    <mergeCell ref="A497:G497"/>
    <mergeCell ref="I497:J497"/>
    <mergeCell ref="K497:L497"/>
    <mergeCell ref="M497:N497"/>
    <mergeCell ref="A498:G498"/>
    <mergeCell ref="I498:J498"/>
    <mergeCell ref="K498:L498"/>
    <mergeCell ref="M498:N498"/>
    <mergeCell ref="K499:L499"/>
    <mergeCell ref="M499:N499"/>
    <mergeCell ref="A494:G494"/>
    <mergeCell ref="I494:J494"/>
    <mergeCell ref="K494:L494"/>
    <mergeCell ref="M494:N494"/>
    <mergeCell ref="A495:G495"/>
    <mergeCell ref="I495:J495"/>
    <mergeCell ref="K495:L495"/>
    <mergeCell ref="M495:N495"/>
    <mergeCell ref="A496:G496"/>
    <mergeCell ref="I496:J496"/>
    <mergeCell ref="K496:L496"/>
    <mergeCell ref="M496:N496"/>
    <mergeCell ref="A491:G491"/>
    <mergeCell ref="I491:J491"/>
    <mergeCell ref="K491:L491"/>
    <mergeCell ref="M491:N491"/>
    <mergeCell ref="A492:G492"/>
    <mergeCell ref="I492:J492"/>
    <mergeCell ref="K492:L492"/>
    <mergeCell ref="M492:N492"/>
    <mergeCell ref="A493:G493"/>
    <mergeCell ref="I493:J493"/>
    <mergeCell ref="K493:L493"/>
    <mergeCell ref="M493:N493"/>
    <mergeCell ref="K480:L480"/>
    <mergeCell ref="M480:N480"/>
    <mergeCell ref="A483:N484"/>
    <mergeCell ref="A488:N488"/>
    <mergeCell ref="A489:G489"/>
    <mergeCell ref="I489:J489"/>
    <mergeCell ref="K489:L489"/>
    <mergeCell ref="M489:N489"/>
    <mergeCell ref="A490:G490"/>
    <mergeCell ref="I490:J490"/>
    <mergeCell ref="K490:L490"/>
    <mergeCell ref="M490:N490"/>
    <mergeCell ref="A477:G477"/>
    <mergeCell ref="I477:J477"/>
    <mergeCell ref="M477:N477"/>
    <mergeCell ref="A478:G478"/>
    <mergeCell ref="I478:J478"/>
    <mergeCell ref="M478:N478"/>
    <mergeCell ref="A479:G479"/>
    <mergeCell ref="I479:J479"/>
    <mergeCell ref="M479:N479"/>
    <mergeCell ref="A473:N473"/>
    <mergeCell ref="A474:G474"/>
    <mergeCell ref="I474:J474"/>
    <mergeCell ref="M474:N474"/>
    <mergeCell ref="A475:G475"/>
    <mergeCell ref="I475:J475"/>
    <mergeCell ref="M475:N475"/>
    <mergeCell ref="A476:G476"/>
    <mergeCell ref="I476:J476"/>
    <mergeCell ref="M476:N476"/>
    <mergeCell ref="A469:G469"/>
    <mergeCell ref="I469:J469"/>
    <mergeCell ref="K469:L469"/>
    <mergeCell ref="M469:N469"/>
    <mergeCell ref="A470:G470"/>
    <mergeCell ref="I470:J470"/>
    <mergeCell ref="K470:L470"/>
    <mergeCell ref="M470:N470"/>
    <mergeCell ref="K471:L471"/>
    <mergeCell ref="M471:N471"/>
    <mergeCell ref="A466:G466"/>
    <mergeCell ref="I466:J466"/>
    <mergeCell ref="K466:L466"/>
    <mergeCell ref="M466:N466"/>
    <mergeCell ref="A467:G467"/>
    <mergeCell ref="I467:J467"/>
    <mergeCell ref="K467:L467"/>
    <mergeCell ref="M467:N467"/>
    <mergeCell ref="A468:G468"/>
    <mergeCell ref="I468:J468"/>
    <mergeCell ref="K468:L468"/>
    <mergeCell ref="M468:N468"/>
    <mergeCell ref="A461:G461"/>
    <mergeCell ref="I461:J461"/>
    <mergeCell ref="K461:L461"/>
    <mergeCell ref="M461:N461"/>
    <mergeCell ref="K462:L462"/>
    <mergeCell ref="M462:N462"/>
    <mergeCell ref="A464:N464"/>
    <mergeCell ref="A465:G465"/>
    <mergeCell ref="I465:J465"/>
    <mergeCell ref="K465:L465"/>
    <mergeCell ref="M465:N465"/>
    <mergeCell ref="A458:G458"/>
    <mergeCell ref="I458:J458"/>
    <mergeCell ref="K458:L458"/>
    <mergeCell ref="M458:N458"/>
    <mergeCell ref="A459:G459"/>
    <mergeCell ref="I459:J459"/>
    <mergeCell ref="K459:L459"/>
    <mergeCell ref="M459:N459"/>
    <mergeCell ref="A460:G460"/>
    <mergeCell ref="I460:J460"/>
    <mergeCell ref="K460:L460"/>
    <mergeCell ref="M460:N460"/>
    <mergeCell ref="A455:N455"/>
    <mergeCell ref="A456:G456"/>
    <mergeCell ref="I456:J456"/>
    <mergeCell ref="K456:L456"/>
    <mergeCell ref="M456:N456"/>
    <mergeCell ref="A457:G457"/>
    <mergeCell ref="I457:J457"/>
    <mergeCell ref="K457:L457"/>
    <mergeCell ref="M457:N457"/>
    <mergeCell ref="A451:G451"/>
    <mergeCell ref="I451:J451"/>
    <mergeCell ref="K451:L451"/>
    <mergeCell ref="M451:N451"/>
    <mergeCell ref="A452:G452"/>
    <mergeCell ref="I452:J452"/>
    <mergeCell ref="K452:L452"/>
    <mergeCell ref="M452:N452"/>
    <mergeCell ref="K453:L453"/>
    <mergeCell ref="M453:N453"/>
    <mergeCell ref="A448:G448"/>
    <mergeCell ref="I448:J448"/>
    <mergeCell ref="K448:L448"/>
    <mergeCell ref="M448:N448"/>
    <mergeCell ref="A449:G449"/>
    <mergeCell ref="I449:J449"/>
    <mergeCell ref="K449:L449"/>
    <mergeCell ref="M449:N449"/>
    <mergeCell ref="A450:G450"/>
    <mergeCell ref="I450:J450"/>
    <mergeCell ref="K450:L450"/>
    <mergeCell ref="M450:N450"/>
    <mergeCell ref="A445:G445"/>
    <mergeCell ref="I445:J445"/>
    <mergeCell ref="K445:L445"/>
    <mergeCell ref="M445:N445"/>
    <mergeCell ref="A446:G446"/>
    <mergeCell ref="I446:J446"/>
    <mergeCell ref="K446:L446"/>
    <mergeCell ref="M446:N446"/>
    <mergeCell ref="A447:G447"/>
    <mergeCell ref="I447:J447"/>
    <mergeCell ref="K447:L447"/>
    <mergeCell ref="M447:N447"/>
    <mergeCell ref="K434:L434"/>
    <mergeCell ref="M434:N434"/>
    <mergeCell ref="A437:N438"/>
    <mergeCell ref="A442:N442"/>
    <mergeCell ref="A443:G443"/>
    <mergeCell ref="I443:J443"/>
    <mergeCell ref="K443:L443"/>
    <mergeCell ref="M443:N443"/>
    <mergeCell ref="A444:G444"/>
    <mergeCell ref="I444:J444"/>
    <mergeCell ref="K444:L444"/>
    <mergeCell ref="M444:N444"/>
    <mergeCell ref="A431:G431"/>
    <mergeCell ref="I431:J431"/>
    <mergeCell ref="M431:N431"/>
    <mergeCell ref="A432:G432"/>
    <mergeCell ref="I432:J432"/>
    <mergeCell ref="M432:N432"/>
    <mergeCell ref="A433:G433"/>
    <mergeCell ref="I433:J433"/>
    <mergeCell ref="M433:N433"/>
    <mergeCell ref="A427:N427"/>
    <mergeCell ref="A428:G428"/>
    <mergeCell ref="I428:J428"/>
    <mergeCell ref="M428:N428"/>
    <mergeCell ref="A429:G429"/>
    <mergeCell ref="I429:J429"/>
    <mergeCell ref="M429:N429"/>
    <mergeCell ref="A430:G430"/>
    <mergeCell ref="I430:J430"/>
    <mergeCell ref="M430:N430"/>
    <mergeCell ref="A423:G423"/>
    <mergeCell ref="I423:J423"/>
    <mergeCell ref="K423:L423"/>
    <mergeCell ref="M423:N423"/>
    <mergeCell ref="A424:G424"/>
    <mergeCell ref="I424:J424"/>
    <mergeCell ref="K424:L424"/>
    <mergeCell ref="M424:N424"/>
    <mergeCell ref="K425:L425"/>
    <mergeCell ref="M425:N425"/>
    <mergeCell ref="A420:G420"/>
    <mergeCell ref="I420:J420"/>
    <mergeCell ref="K420:L420"/>
    <mergeCell ref="M420:N420"/>
    <mergeCell ref="A421:G421"/>
    <mergeCell ref="I421:J421"/>
    <mergeCell ref="K421:L421"/>
    <mergeCell ref="M421:N421"/>
    <mergeCell ref="A422:G422"/>
    <mergeCell ref="I422:J422"/>
    <mergeCell ref="K422:L422"/>
    <mergeCell ref="M422:N422"/>
    <mergeCell ref="A415:G415"/>
    <mergeCell ref="I415:J415"/>
    <mergeCell ref="K415:L415"/>
    <mergeCell ref="M415:N415"/>
    <mergeCell ref="K416:L416"/>
    <mergeCell ref="M416:N416"/>
    <mergeCell ref="A418:N418"/>
    <mergeCell ref="A419:G419"/>
    <mergeCell ref="I419:J419"/>
    <mergeCell ref="K419:L419"/>
    <mergeCell ref="M419:N419"/>
    <mergeCell ref="A412:G412"/>
    <mergeCell ref="I412:J412"/>
    <mergeCell ref="K412:L412"/>
    <mergeCell ref="M412:N412"/>
    <mergeCell ref="A413:G413"/>
    <mergeCell ref="I413:J413"/>
    <mergeCell ref="K413:L413"/>
    <mergeCell ref="M413:N413"/>
    <mergeCell ref="A414:G414"/>
    <mergeCell ref="I414:J414"/>
    <mergeCell ref="K414:L414"/>
    <mergeCell ref="M414:N414"/>
    <mergeCell ref="A409:N409"/>
    <mergeCell ref="A410:G410"/>
    <mergeCell ref="I410:J410"/>
    <mergeCell ref="K410:L410"/>
    <mergeCell ref="M410:N410"/>
    <mergeCell ref="A411:G411"/>
    <mergeCell ref="I411:J411"/>
    <mergeCell ref="K411:L411"/>
    <mergeCell ref="M411:N411"/>
    <mergeCell ref="A405:G405"/>
    <mergeCell ref="I405:J405"/>
    <mergeCell ref="K405:L405"/>
    <mergeCell ref="M405:N405"/>
    <mergeCell ref="A406:G406"/>
    <mergeCell ref="I406:J406"/>
    <mergeCell ref="K406:L406"/>
    <mergeCell ref="M406:N406"/>
    <mergeCell ref="K407:L407"/>
    <mergeCell ref="M407:N407"/>
    <mergeCell ref="A402:G402"/>
    <mergeCell ref="I402:J402"/>
    <mergeCell ref="K402:L402"/>
    <mergeCell ref="M402:N402"/>
    <mergeCell ref="A403:G403"/>
    <mergeCell ref="I403:J403"/>
    <mergeCell ref="K403:L403"/>
    <mergeCell ref="M403:N403"/>
    <mergeCell ref="A404:G404"/>
    <mergeCell ref="I404:J404"/>
    <mergeCell ref="K404:L404"/>
    <mergeCell ref="M404:N404"/>
    <mergeCell ref="A399:G399"/>
    <mergeCell ref="I399:J399"/>
    <mergeCell ref="K399:L399"/>
    <mergeCell ref="M399:N399"/>
    <mergeCell ref="A400:G400"/>
    <mergeCell ref="I400:J400"/>
    <mergeCell ref="K400:L400"/>
    <mergeCell ref="M400:N400"/>
    <mergeCell ref="A401:G401"/>
    <mergeCell ref="I401:J401"/>
    <mergeCell ref="K401:L401"/>
    <mergeCell ref="M401:N401"/>
    <mergeCell ref="K388:L388"/>
    <mergeCell ref="M388:N388"/>
    <mergeCell ref="A391:N392"/>
    <mergeCell ref="A396:N396"/>
    <mergeCell ref="A397:G397"/>
    <mergeCell ref="I397:J397"/>
    <mergeCell ref="K397:L397"/>
    <mergeCell ref="M397:N397"/>
    <mergeCell ref="A398:G398"/>
    <mergeCell ref="I398:J398"/>
    <mergeCell ref="K398:L398"/>
    <mergeCell ref="M398:N398"/>
    <mergeCell ref="A385:G385"/>
    <mergeCell ref="I385:J385"/>
    <mergeCell ref="M385:N385"/>
    <mergeCell ref="A386:G386"/>
    <mergeCell ref="I386:J386"/>
    <mergeCell ref="M386:N386"/>
    <mergeCell ref="A387:G387"/>
    <mergeCell ref="I387:J387"/>
    <mergeCell ref="M387:N387"/>
    <mergeCell ref="A381:N381"/>
    <mergeCell ref="A382:G382"/>
    <mergeCell ref="I382:J382"/>
    <mergeCell ref="M382:N382"/>
    <mergeCell ref="A383:G383"/>
    <mergeCell ref="I383:J383"/>
    <mergeCell ref="M383:N383"/>
    <mergeCell ref="A384:G384"/>
    <mergeCell ref="I384:J384"/>
    <mergeCell ref="M384:N384"/>
    <mergeCell ref="A377:G377"/>
    <mergeCell ref="I377:J377"/>
    <mergeCell ref="K377:L377"/>
    <mergeCell ref="M377:N377"/>
    <mergeCell ref="A378:G378"/>
    <mergeCell ref="I378:J378"/>
    <mergeCell ref="K378:L378"/>
    <mergeCell ref="M378:N378"/>
    <mergeCell ref="K379:L379"/>
    <mergeCell ref="M379:N379"/>
    <mergeCell ref="A374:G374"/>
    <mergeCell ref="I374:J374"/>
    <mergeCell ref="K374:L374"/>
    <mergeCell ref="M374:N374"/>
    <mergeCell ref="A375:G375"/>
    <mergeCell ref="I375:J375"/>
    <mergeCell ref="K375:L375"/>
    <mergeCell ref="M375:N375"/>
    <mergeCell ref="A376:G376"/>
    <mergeCell ref="I376:J376"/>
    <mergeCell ref="K376:L376"/>
    <mergeCell ref="M376:N376"/>
    <mergeCell ref="A369:G369"/>
    <mergeCell ref="I369:J369"/>
    <mergeCell ref="K369:L369"/>
    <mergeCell ref="M369:N369"/>
    <mergeCell ref="K370:L370"/>
    <mergeCell ref="M370:N370"/>
    <mergeCell ref="A372:N372"/>
    <mergeCell ref="A373:G373"/>
    <mergeCell ref="I373:J373"/>
    <mergeCell ref="K373:L373"/>
    <mergeCell ref="M373:N373"/>
    <mergeCell ref="A366:G366"/>
    <mergeCell ref="I366:J366"/>
    <mergeCell ref="K366:L366"/>
    <mergeCell ref="M366:N366"/>
    <mergeCell ref="A367:G367"/>
    <mergeCell ref="I367:J367"/>
    <mergeCell ref="K367:L367"/>
    <mergeCell ref="M367:N367"/>
    <mergeCell ref="A368:G368"/>
    <mergeCell ref="I368:J368"/>
    <mergeCell ref="K368:L368"/>
    <mergeCell ref="M368:N368"/>
    <mergeCell ref="A363:N363"/>
    <mergeCell ref="A364:G364"/>
    <mergeCell ref="I364:J364"/>
    <mergeCell ref="K364:L364"/>
    <mergeCell ref="M364:N364"/>
    <mergeCell ref="A365:G365"/>
    <mergeCell ref="I365:J365"/>
    <mergeCell ref="K365:L365"/>
    <mergeCell ref="M365:N365"/>
    <mergeCell ref="A359:G359"/>
    <mergeCell ref="I359:J359"/>
    <mergeCell ref="K359:L359"/>
    <mergeCell ref="M359:N359"/>
    <mergeCell ref="A360:G360"/>
    <mergeCell ref="I360:J360"/>
    <mergeCell ref="K360:L360"/>
    <mergeCell ref="M360:N360"/>
    <mergeCell ref="K361:L361"/>
    <mergeCell ref="M361:N361"/>
    <mergeCell ref="A356:G356"/>
    <mergeCell ref="I356:J356"/>
    <mergeCell ref="K356:L356"/>
    <mergeCell ref="M356:N356"/>
    <mergeCell ref="A357:G357"/>
    <mergeCell ref="I357:J357"/>
    <mergeCell ref="K357:L357"/>
    <mergeCell ref="M357:N357"/>
    <mergeCell ref="A358:G358"/>
    <mergeCell ref="I358:J358"/>
    <mergeCell ref="K358:L358"/>
    <mergeCell ref="M358:N358"/>
    <mergeCell ref="A348:N349"/>
    <mergeCell ref="A353:N353"/>
    <mergeCell ref="A354:G354"/>
    <mergeCell ref="I354:J354"/>
    <mergeCell ref="K354:L354"/>
    <mergeCell ref="M354:N354"/>
    <mergeCell ref="A355:G355"/>
    <mergeCell ref="I355:J355"/>
    <mergeCell ref="K355:L355"/>
    <mergeCell ref="M355:N355"/>
    <mergeCell ref="A8:G8"/>
    <mergeCell ref="I8:J8"/>
    <mergeCell ref="K8:L8"/>
    <mergeCell ref="M8:N8"/>
    <mergeCell ref="A9:G9"/>
    <mergeCell ref="I9:J9"/>
    <mergeCell ref="K9:L9"/>
    <mergeCell ref="M9:N9"/>
    <mergeCell ref="A1:N2"/>
    <mergeCell ref="A6:N6"/>
    <mergeCell ref="A7:G7"/>
    <mergeCell ref="I7:J7"/>
    <mergeCell ref="K7:L7"/>
    <mergeCell ref="M7:N7"/>
    <mergeCell ref="A12:G12"/>
    <mergeCell ref="I12:J12"/>
    <mergeCell ref="K12:L12"/>
    <mergeCell ref="M12:N12"/>
    <mergeCell ref="A13:G13"/>
    <mergeCell ref="I13:J13"/>
    <mergeCell ref="K13:L13"/>
    <mergeCell ref="M13:N13"/>
    <mergeCell ref="A10:G10"/>
    <mergeCell ref="I10:J10"/>
    <mergeCell ref="K10:L10"/>
    <mergeCell ref="M10:N10"/>
    <mergeCell ref="A11:G11"/>
    <mergeCell ref="I11:J11"/>
    <mergeCell ref="K11:L11"/>
    <mergeCell ref="M11:N11"/>
    <mergeCell ref="A18:G18"/>
    <mergeCell ref="I18:J18"/>
    <mergeCell ref="K18:L18"/>
    <mergeCell ref="M18:N18"/>
    <mergeCell ref="A19:G19"/>
    <mergeCell ref="I19:J19"/>
    <mergeCell ref="K19:L19"/>
    <mergeCell ref="M19:N19"/>
    <mergeCell ref="K14:L14"/>
    <mergeCell ref="M14:N14"/>
    <mergeCell ref="A16:N16"/>
    <mergeCell ref="A17:G17"/>
    <mergeCell ref="I17:J17"/>
    <mergeCell ref="K17:L17"/>
    <mergeCell ref="M17:N17"/>
    <mergeCell ref="A22:G22"/>
    <mergeCell ref="I22:J22"/>
    <mergeCell ref="K22:L22"/>
    <mergeCell ref="M22:N22"/>
    <mergeCell ref="K23:L23"/>
    <mergeCell ref="M23:N23"/>
    <mergeCell ref="A20:G20"/>
    <mergeCell ref="I20:J20"/>
    <mergeCell ref="K20:L20"/>
    <mergeCell ref="M20:N20"/>
    <mergeCell ref="A21:G21"/>
    <mergeCell ref="I21:J21"/>
    <mergeCell ref="K21:L21"/>
    <mergeCell ref="M21:N21"/>
    <mergeCell ref="A25:N25"/>
    <mergeCell ref="A26:G26"/>
    <mergeCell ref="I26:J26"/>
    <mergeCell ref="K26:L26"/>
    <mergeCell ref="M26:N26"/>
    <mergeCell ref="A27:G27"/>
    <mergeCell ref="I27:J27"/>
    <mergeCell ref="K27:L27"/>
    <mergeCell ref="M27:N27"/>
    <mergeCell ref="A30:G30"/>
    <mergeCell ref="I30:J30"/>
    <mergeCell ref="K30:L30"/>
    <mergeCell ref="M30:N30"/>
    <mergeCell ref="A31:G31"/>
    <mergeCell ref="I31:J31"/>
    <mergeCell ref="K31:L31"/>
    <mergeCell ref="M31:N31"/>
    <mergeCell ref="A28:G28"/>
    <mergeCell ref="I28:J28"/>
    <mergeCell ref="K28:L28"/>
    <mergeCell ref="M28:N28"/>
    <mergeCell ref="A29:G29"/>
    <mergeCell ref="I29:J29"/>
    <mergeCell ref="K29:L29"/>
    <mergeCell ref="M29:N29"/>
    <mergeCell ref="A36:G36"/>
    <mergeCell ref="I36:J36"/>
    <mergeCell ref="M36:N36"/>
    <mergeCell ref="A37:G37"/>
    <mergeCell ref="I37:J37"/>
    <mergeCell ref="M37:N37"/>
    <mergeCell ref="K32:L32"/>
    <mergeCell ref="M32:N32"/>
    <mergeCell ref="A34:N34"/>
    <mergeCell ref="A35:G35"/>
    <mergeCell ref="I35:J35"/>
    <mergeCell ref="M35:N35"/>
    <mergeCell ref="A40:G40"/>
    <mergeCell ref="I40:J40"/>
    <mergeCell ref="M40:N40"/>
    <mergeCell ref="K41:L41"/>
    <mergeCell ref="M41:N41"/>
    <mergeCell ref="A38:G38"/>
    <mergeCell ref="I38:J38"/>
    <mergeCell ref="M38:N38"/>
    <mergeCell ref="A39:G39"/>
    <mergeCell ref="I39:J39"/>
    <mergeCell ref="M39:N39"/>
    <mergeCell ref="A51:G51"/>
    <mergeCell ref="I51:J51"/>
    <mergeCell ref="K51:L51"/>
    <mergeCell ref="M51:N51"/>
    <mergeCell ref="A52:G52"/>
    <mergeCell ref="I52:J52"/>
    <mergeCell ref="K52:L52"/>
    <mergeCell ref="M52:N52"/>
    <mergeCell ref="A50:G50"/>
    <mergeCell ref="I50:J50"/>
    <mergeCell ref="K50:L50"/>
    <mergeCell ref="M50:N50"/>
    <mergeCell ref="A60:G60"/>
    <mergeCell ref="I60:J60"/>
    <mergeCell ref="K60:L60"/>
    <mergeCell ref="M60:N60"/>
    <mergeCell ref="A59:N59"/>
    <mergeCell ref="K57:L57"/>
    <mergeCell ref="M57:N57"/>
    <mergeCell ref="A53:G53"/>
    <mergeCell ref="I53:J53"/>
    <mergeCell ref="K53:L53"/>
    <mergeCell ref="M53:N53"/>
    <mergeCell ref="K54:L54"/>
    <mergeCell ref="M54:N54"/>
    <mergeCell ref="K63:L63"/>
    <mergeCell ref="M63:N63"/>
    <mergeCell ref="K66:L66"/>
    <mergeCell ref="M66:N66"/>
    <mergeCell ref="A63:G63"/>
    <mergeCell ref="I63:J63"/>
    <mergeCell ref="A64:G64"/>
    <mergeCell ref="A61:G61"/>
    <mergeCell ref="I61:J61"/>
    <mergeCell ref="K61:L61"/>
    <mergeCell ref="M61:N61"/>
    <mergeCell ref="A62:G62"/>
    <mergeCell ref="I62:J62"/>
    <mergeCell ref="K62:L62"/>
    <mergeCell ref="M62:N62"/>
    <mergeCell ref="A78:G78"/>
    <mergeCell ref="I78:J78"/>
    <mergeCell ref="M78:N78"/>
    <mergeCell ref="A77:N77"/>
    <mergeCell ref="M75:N75"/>
    <mergeCell ref="K75:L75"/>
    <mergeCell ref="A71:G71"/>
    <mergeCell ref="I71:J71"/>
    <mergeCell ref="K71:L71"/>
    <mergeCell ref="M71:N71"/>
    <mergeCell ref="K72:L72"/>
    <mergeCell ref="M72:N72"/>
    <mergeCell ref="A72:G72"/>
    <mergeCell ref="I72:J72"/>
    <mergeCell ref="I73:J73"/>
    <mergeCell ref="K73:L73"/>
    <mergeCell ref="M73:N73"/>
    <mergeCell ref="I80:J80"/>
    <mergeCell ref="M80:N80"/>
    <mergeCell ref="M103:N103"/>
    <mergeCell ref="K96:L96"/>
    <mergeCell ref="M96:N96"/>
    <mergeCell ref="K99:L99"/>
    <mergeCell ref="M99:N99"/>
    <mergeCell ref="A97:G97"/>
    <mergeCell ref="I97:J97"/>
    <mergeCell ref="K97:L97"/>
    <mergeCell ref="A94:G94"/>
    <mergeCell ref="I94:J94"/>
    <mergeCell ref="K94:L94"/>
    <mergeCell ref="M94:N94"/>
    <mergeCell ref="A95:G95"/>
    <mergeCell ref="I95:J95"/>
    <mergeCell ref="K95:L95"/>
    <mergeCell ref="M95:N95"/>
    <mergeCell ref="K84:L84"/>
    <mergeCell ref="M84:N84"/>
    <mergeCell ref="A86:N87"/>
    <mergeCell ref="A91:N91"/>
    <mergeCell ref="A96:G96"/>
    <mergeCell ref="I96:J96"/>
    <mergeCell ref="A82:G82"/>
    <mergeCell ref="I102:J102"/>
    <mergeCell ref="K102:L102"/>
    <mergeCell ref="M102:N102"/>
    <mergeCell ref="A103:G103"/>
    <mergeCell ref="I103:J103"/>
    <mergeCell ref="M81:N81"/>
    <mergeCell ref="A81:G81"/>
    <mergeCell ref="A44:N45"/>
    <mergeCell ref="A49:N49"/>
    <mergeCell ref="A54:G54"/>
    <mergeCell ref="I54:J54"/>
    <mergeCell ref="A55:G55"/>
    <mergeCell ref="A120:G120"/>
    <mergeCell ref="I120:J120"/>
    <mergeCell ref="M120:N120"/>
    <mergeCell ref="A121:G121"/>
    <mergeCell ref="I121:J121"/>
    <mergeCell ref="M121:N121"/>
    <mergeCell ref="K114:L114"/>
    <mergeCell ref="M114:N114"/>
    <mergeCell ref="M117:N117"/>
    <mergeCell ref="A114:G114"/>
    <mergeCell ref="I114:J114"/>
    <mergeCell ref="A115:G115"/>
    <mergeCell ref="I115:J115"/>
    <mergeCell ref="A112:G112"/>
    <mergeCell ref="I112:J112"/>
    <mergeCell ref="K112:L112"/>
    <mergeCell ref="M112:N112"/>
    <mergeCell ref="A113:G113"/>
    <mergeCell ref="I113:J113"/>
    <mergeCell ref="I55:J55"/>
    <mergeCell ref="K55:L55"/>
    <mergeCell ref="M55:N55"/>
    <mergeCell ref="A56:G56"/>
    <mergeCell ref="I56:J56"/>
    <mergeCell ref="K56:L56"/>
    <mergeCell ref="M56:N56"/>
    <mergeCell ref="A73:G73"/>
    <mergeCell ref="A122:G122"/>
    <mergeCell ref="I122:J122"/>
    <mergeCell ref="M122:N122"/>
    <mergeCell ref="K113:L113"/>
    <mergeCell ref="M113:N113"/>
    <mergeCell ref="A111:G111"/>
    <mergeCell ref="I111:J111"/>
    <mergeCell ref="K111:L111"/>
    <mergeCell ref="M111:N111"/>
    <mergeCell ref="A110:N110"/>
    <mergeCell ref="K108:L108"/>
    <mergeCell ref="M108:N108"/>
    <mergeCell ref="A104:G104"/>
    <mergeCell ref="I104:J104"/>
    <mergeCell ref="K104:L104"/>
    <mergeCell ref="M104:N104"/>
    <mergeCell ref="K105:L105"/>
    <mergeCell ref="A107:G107"/>
    <mergeCell ref="I107:J107"/>
    <mergeCell ref="K107:L107"/>
    <mergeCell ref="M107:N107"/>
    <mergeCell ref="A74:G74"/>
    <mergeCell ref="I74:J74"/>
    <mergeCell ref="K74:L74"/>
    <mergeCell ref="M74:N74"/>
    <mergeCell ref="I64:J64"/>
    <mergeCell ref="K64:L64"/>
    <mergeCell ref="M64:N64"/>
    <mergeCell ref="A65:G65"/>
    <mergeCell ref="I65:J65"/>
    <mergeCell ref="K65:L65"/>
    <mergeCell ref="M65:N65"/>
    <mergeCell ref="A69:G69"/>
    <mergeCell ref="I69:J69"/>
    <mergeCell ref="K69:L69"/>
    <mergeCell ref="M69:N69"/>
    <mergeCell ref="A70:G70"/>
    <mergeCell ref="I70:J70"/>
    <mergeCell ref="K70:L70"/>
    <mergeCell ref="M70:N70"/>
    <mergeCell ref="A68:N68"/>
    <mergeCell ref="I81:J81"/>
    <mergeCell ref="A79:G79"/>
    <mergeCell ref="I79:J79"/>
    <mergeCell ref="M79:N79"/>
    <mergeCell ref="A80:G80"/>
    <mergeCell ref="A125:G125"/>
    <mergeCell ref="I125:J125"/>
    <mergeCell ref="M125:N125"/>
    <mergeCell ref="K126:L126"/>
    <mergeCell ref="M126:N126"/>
    <mergeCell ref="I82:J82"/>
    <mergeCell ref="M82:N82"/>
    <mergeCell ref="A83:G83"/>
    <mergeCell ref="I83:J83"/>
    <mergeCell ref="M83:N83"/>
    <mergeCell ref="A92:G92"/>
    <mergeCell ref="I92:J92"/>
    <mergeCell ref="K92:L92"/>
    <mergeCell ref="M92:N92"/>
    <mergeCell ref="A93:G93"/>
    <mergeCell ref="I93:J93"/>
    <mergeCell ref="K93:L93"/>
    <mergeCell ref="M93:N93"/>
    <mergeCell ref="A106:G106"/>
    <mergeCell ref="I106:J106"/>
    <mergeCell ref="K106:L106"/>
    <mergeCell ref="M106:N106"/>
    <mergeCell ref="M97:N97"/>
    <mergeCell ref="A98:G98"/>
    <mergeCell ref="I98:J98"/>
    <mergeCell ref="K98:L98"/>
    <mergeCell ref="M98:N98"/>
    <mergeCell ref="A101:N101"/>
    <mergeCell ref="M105:N105"/>
    <mergeCell ref="A105:G105"/>
    <mergeCell ref="I105:J105"/>
    <mergeCell ref="A102:G102"/>
    <mergeCell ref="A138:G138"/>
    <mergeCell ref="I138:J138"/>
    <mergeCell ref="K138:L138"/>
    <mergeCell ref="M138:N138"/>
    <mergeCell ref="I148:J148"/>
    <mergeCell ref="K148:L148"/>
    <mergeCell ref="M148:N148"/>
    <mergeCell ref="A146:G146"/>
    <mergeCell ref="I146:J146"/>
    <mergeCell ref="K146:L146"/>
    <mergeCell ref="M146:N146"/>
    <mergeCell ref="K143:L143"/>
    <mergeCell ref="M143:N143"/>
    <mergeCell ref="K103:L103"/>
    <mergeCell ref="K117:L117"/>
    <mergeCell ref="A119:N119"/>
    <mergeCell ref="A123:G123"/>
    <mergeCell ref="I123:J123"/>
    <mergeCell ref="A124:G124"/>
    <mergeCell ref="I124:J124"/>
    <mergeCell ref="M124:N124"/>
    <mergeCell ref="K115:L115"/>
    <mergeCell ref="M115:N115"/>
    <mergeCell ref="A116:G116"/>
    <mergeCell ref="I116:J116"/>
    <mergeCell ref="K116:L116"/>
    <mergeCell ref="M116:N116"/>
    <mergeCell ref="M123:N123"/>
    <mergeCell ref="A136:G136"/>
    <mergeCell ref="I136:J136"/>
    <mergeCell ref="K136:L136"/>
    <mergeCell ref="M136:N136"/>
    <mergeCell ref="A130:N131"/>
    <mergeCell ref="A135:N135"/>
    <mergeCell ref="A140:G140"/>
    <mergeCell ref="I140:J140"/>
    <mergeCell ref="A141:G141"/>
    <mergeCell ref="I141:J141"/>
    <mergeCell ref="K141:L141"/>
    <mergeCell ref="M141:N141"/>
    <mergeCell ref="I142:J142"/>
    <mergeCell ref="K142:L142"/>
    <mergeCell ref="M142:N142"/>
    <mergeCell ref="A145:N145"/>
    <mergeCell ref="A149:G149"/>
    <mergeCell ref="I149:J149"/>
    <mergeCell ref="K149:L149"/>
    <mergeCell ref="M149:N149"/>
    <mergeCell ref="A147:G147"/>
    <mergeCell ref="I147:J147"/>
    <mergeCell ref="K147:L147"/>
    <mergeCell ref="M147:N147"/>
    <mergeCell ref="A148:G148"/>
    <mergeCell ref="A142:G142"/>
    <mergeCell ref="A139:G139"/>
    <mergeCell ref="I139:J139"/>
    <mergeCell ref="K139:L139"/>
    <mergeCell ref="M139:N139"/>
    <mergeCell ref="K140:L140"/>
    <mergeCell ref="M140:N140"/>
    <mergeCell ref="A137:G137"/>
    <mergeCell ref="I137:J137"/>
    <mergeCell ref="K137:L137"/>
    <mergeCell ref="M137:N137"/>
    <mergeCell ref="A157:G157"/>
    <mergeCell ref="I157:J157"/>
    <mergeCell ref="K157:L157"/>
    <mergeCell ref="M157:N157"/>
    <mergeCell ref="K158:L158"/>
    <mergeCell ref="M158:N158"/>
    <mergeCell ref="A158:G158"/>
    <mergeCell ref="M150:N150"/>
    <mergeCell ref="A151:G151"/>
    <mergeCell ref="I151:J151"/>
    <mergeCell ref="K151:L151"/>
    <mergeCell ref="M151:N151"/>
    <mergeCell ref="A154:N154"/>
    <mergeCell ref="K152:L152"/>
    <mergeCell ref="M152:N152"/>
    <mergeCell ref="A150:G150"/>
    <mergeCell ref="I150:J150"/>
    <mergeCell ref="K150:L150"/>
    <mergeCell ref="I158:J158"/>
    <mergeCell ref="A155:G155"/>
    <mergeCell ref="I155:J155"/>
    <mergeCell ref="K155:L155"/>
    <mergeCell ref="M155:N155"/>
    <mergeCell ref="A156:G156"/>
    <mergeCell ref="I156:J156"/>
    <mergeCell ref="K156:L156"/>
    <mergeCell ref="M156:N156"/>
    <mergeCell ref="A167:G167"/>
    <mergeCell ref="I167:J167"/>
    <mergeCell ref="A168:G168"/>
    <mergeCell ref="I168:J168"/>
    <mergeCell ref="M168:N168"/>
    <mergeCell ref="A169:G169"/>
    <mergeCell ref="I169:J169"/>
    <mergeCell ref="M169:N169"/>
    <mergeCell ref="A159:G159"/>
    <mergeCell ref="I159:J159"/>
    <mergeCell ref="K159:L159"/>
    <mergeCell ref="M159:N159"/>
    <mergeCell ref="A160:G160"/>
    <mergeCell ref="I160:J160"/>
    <mergeCell ref="K160:L160"/>
    <mergeCell ref="M160:N160"/>
    <mergeCell ref="M167:N167"/>
    <mergeCell ref="A166:G166"/>
    <mergeCell ref="I166:J166"/>
    <mergeCell ref="M166:N166"/>
    <mergeCell ref="A165:G165"/>
    <mergeCell ref="I165:J165"/>
    <mergeCell ref="M165:N165"/>
    <mergeCell ref="A164:G164"/>
    <mergeCell ref="I164:J164"/>
    <mergeCell ref="M164:N164"/>
    <mergeCell ref="A163:N163"/>
    <mergeCell ref="M161:N161"/>
    <mergeCell ref="K161:L161"/>
    <mergeCell ref="A180:G180"/>
    <mergeCell ref="I180:J180"/>
    <mergeCell ref="K180:L180"/>
    <mergeCell ref="M180:N180"/>
    <mergeCell ref="A181:G181"/>
    <mergeCell ref="I181:J181"/>
    <mergeCell ref="K181:L181"/>
    <mergeCell ref="M181:N181"/>
    <mergeCell ref="K170:L170"/>
    <mergeCell ref="M170:N170"/>
    <mergeCell ref="A173:N174"/>
    <mergeCell ref="A178:N178"/>
    <mergeCell ref="A179:G179"/>
    <mergeCell ref="I179:J179"/>
    <mergeCell ref="K179:L179"/>
    <mergeCell ref="M179:N179"/>
    <mergeCell ref="A184:G184"/>
    <mergeCell ref="I184:J184"/>
    <mergeCell ref="K184:L184"/>
    <mergeCell ref="M184:N184"/>
    <mergeCell ref="K185:L185"/>
    <mergeCell ref="M185:N185"/>
    <mergeCell ref="A182:G182"/>
    <mergeCell ref="I182:J182"/>
    <mergeCell ref="K182:L182"/>
    <mergeCell ref="M182:N182"/>
    <mergeCell ref="A183:G183"/>
    <mergeCell ref="I183:J183"/>
    <mergeCell ref="K183:L183"/>
    <mergeCell ref="M183:N183"/>
    <mergeCell ref="A190:G190"/>
    <mergeCell ref="I190:J190"/>
    <mergeCell ref="K190:L190"/>
    <mergeCell ref="M190:N190"/>
    <mergeCell ref="A191:G191"/>
    <mergeCell ref="I191:J191"/>
    <mergeCell ref="K191:L191"/>
    <mergeCell ref="M191:N191"/>
    <mergeCell ref="A187:N187"/>
    <mergeCell ref="A188:G188"/>
    <mergeCell ref="I188:J188"/>
    <mergeCell ref="K188:L188"/>
    <mergeCell ref="M188:N188"/>
    <mergeCell ref="A189:G189"/>
    <mergeCell ref="I189:J189"/>
    <mergeCell ref="K189:L189"/>
    <mergeCell ref="M189:N189"/>
    <mergeCell ref="K194:L194"/>
    <mergeCell ref="M194:N194"/>
    <mergeCell ref="A196:N196"/>
    <mergeCell ref="A197:G197"/>
    <mergeCell ref="I197:J197"/>
    <mergeCell ref="K197:L197"/>
    <mergeCell ref="M197:N197"/>
    <mergeCell ref="A192:G192"/>
    <mergeCell ref="I192:J192"/>
    <mergeCell ref="K192:L192"/>
    <mergeCell ref="M192:N192"/>
    <mergeCell ref="A193:G193"/>
    <mergeCell ref="I193:J193"/>
    <mergeCell ref="K193:L193"/>
    <mergeCell ref="M193:N193"/>
    <mergeCell ref="A200:G200"/>
    <mergeCell ref="I200:J200"/>
    <mergeCell ref="K200:L200"/>
    <mergeCell ref="M200:N200"/>
    <mergeCell ref="A201:G201"/>
    <mergeCell ref="I201:J201"/>
    <mergeCell ref="K201:L201"/>
    <mergeCell ref="M201:N201"/>
    <mergeCell ref="A198:G198"/>
    <mergeCell ref="I198:J198"/>
    <mergeCell ref="K198:L198"/>
    <mergeCell ref="M198:N198"/>
    <mergeCell ref="A199:G199"/>
    <mergeCell ref="I199:J199"/>
    <mergeCell ref="K199:L199"/>
    <mergeCell ref="M199:N199"/>
    <mergeCell ref="A205:N205"/>
    <mergeCell ref="A206:G206"/>
    <mergeCell ref="I206:J206"/>
    <mergeCell ref="M206:N206"/>
    <mergeCell ref="A207:G207"/>
    <mergeCell ref="I207:J207"/>
    <mergeCell ref="M207:N207"/>
    <mergeCell ref="A202:G202"/>
    <mergeCell ref="I202:J202"/>
    <mergeCell ref="K202:L202"/>
    <mergeCell ref="M202:N202"/>
    <mergeCell ref="K203:L203"/>
    <mergeCell ref="M203:N203"/>
    <mergeCell ref="A210:G210"/>
    <mergeCell ref="I210:J210"/>
    <mergeCell ref="M210:N210"/>
    <mergeCell ref="A211:G211"/>
    <mergeCell ref="I211:J211"/>
    <mergeCell ref="M211:N211"/>
    <mergeCell ref="A208:G208"/>
    <mergeCell ref="I208:J208"/>
    <mergeCell ref="M208:N208"/>
    <mergeCell ref="A209:G209"/>
    <mergeCell ref="I209:J209"/>
    <mergeCell ref="M209:N209"/>
    <mergeCell ref="A222:G222"/>
    <mergeCell ref="I222:J222"/>
    <mergeCell ref="K222:L222"/>
    <mergeCell ref="M222:N222"/>
    <mergeCell ref="A223:G223"/>
    <mergeCell ref="I223:J223"/>
    <mergeCell ref="K223:L223"/>
    <mergeCell ref="M223:N223"/>
    <mergeCell ref="K212:L212"/>
    <mergeCell ref="M212:N212"/>
    <mergeCell ref="A215:N216"/>
    <mergeCell ref="A220:N220"/>
    <mergeCell ref="A221:G221"/>
    <mergeCell ref="I221:J221"/>
    <mergeCell ref="K221:L221"/>
    <mergeCell ref="M221:N221"/>
    <mergeCell ref="A226:G226"/>
    <mergeCell ref="I226:J226"/>
    <mergeCell ref="K226:L226"/>
    <mergeCell ref="M226:N226"/>
    <mergeCell ref="K227:L227"/>
    <mergeCell ref="M227:N227"/>
    <mergeCell ref="A224:G224"/>
    <mergeCell ref="I224:J224"/>
    <mergeCell ref="K224:L224"/>
    <mergeCell ref="M224:N224"/>
    <mergeCell ref="A225:G225"/>
    <mergeCell ref="I225:J225"/>
    <mergeCell ref="K225:L225"/>
    <mergeCell ref="M225:N225"/>
    <mergeCell ref="A232:G232"/>
    <mergeCell ref="I232:J232"/>
    <mergeCell ref="K232:L232"/>
    <mergeCell ref="M232:N232"/>
    <mergeCell ref="A233:G233"/>
    <mergeCell ref="I233:J233"/>
    <mergeCell ref="K233:L233"/>
    <mergeCell ref="M233:N233"/>
    <mergeCell ref="A229:N229"/>
    <mergeCell ref="A230:G230"/>
    <mergeCell ref="I230:J230"/>
    <mergeCell ref="K230:L230"/>
    <mergeCell ref="M230:N230"/>
    <mergeCell ref="A231:G231"/>
    <mergeCell ref="I231:J231"/>
    <mergeCell ref="K231:L231"/>
    <mergeCell ref="M231:N231"/>
    <mergeCell ref="K236:L236"/>
    <mergeCell ref="M236:N236"/>
    <mergeCell ref="A238:N238"/>
    <mergeCell ref="A239:G239"/>
    <mergeCell ref="I239:J239"/>
    <mergeCell ref="K239:L239"/>
    <mergeCell ref="M239:N239"/>
    <mergeCell ref="A234:G234"/>
    <mergeCell ref="I234:J234"/>
    <mergeCell ref="K234:L234"/>
    <mergeCell ref="M234:N234"/>
    <mergeCell ref="A235:G235"/>
    <mergeCell ref="I235:J235"/>
    <mergeCell ref="K235:L235"/>
    <mergeCell ref="M235:N235"/>
    <mergeCell ref="A242:G242"/>
    <mergeCell ref="I242:J242"/>
    <mergeCell ref="K242:L242"/>
    <mergeCell ref="M242:N242"/>
    <mergeCell ref="A243:G243"/>
    <mergeCell ref="I243:J243"/>
    <mergeCell ref="K243:L243"/>
    <mergeCell ref="M243:N243"/>
    <mergeCell ref="A240:G240"/>
    <mergeCell ref="I240:J240"/>
    <mergeCell ref="K240:L240"/>
    <mergeCell ref="M240:N240"/>
    <mergeCell ref="A241:G241"/>
    <mergeCell ref="I241:J241"/>
    <mergeCell ref="K241:L241"/>
    <mergeCell ref="M241:N241"/>
    <mergeCell ref="A247:N247"/>
    <mergeCell ref="A248:G248"/>
    <mergeCell ref="I248:J248"/>
    <mergeCell ref="M248:N248"/>
    <mergeCell ref="A249:G249"/>
    <mergeCell ref="I249:J249"/>
    <mergeCell ref="M249:N249"/>
    <mergeCell ref="A244:G244"/>
    <mergeCell ref="I244:J244"/>
    <mergeCell ref="K244:L244"/>
    <mergeCell ref="M244:N244"/>
    <mergeCell ref="K245:L245"/>
    <mergeCell ref="M245:N245"/>
    <mergeCell ref="A252:G252"/>
    <mergeCell ref="I252:J252"/>
    <mergeCell ref="M252:N252"/>
    <mergeCell ref="A253:G253"/>
    <mergeCell ref="I253:J253"/>
    <mergeCell ref="M253:N253"/>
    <mergeCell ref="A250:G250"/>
    <mergeCell ref="I250:J250"/>
    <mergeCell ref="M250:N250"/>
    <mergeCell ref="A251:G251"/>
    <mergeCell ref="I251:J251"/>
    <mergeCell ref="M251:N251"/>
    <mergeCell ref="A271:G271"/>
    <mergeCell ref="I271:J271"/>
    <mergeCell ref="K271:L271"/>
    <mergeCell ref="M271:N271"/>
    <mergeCell ref="A272:G272"/>
    <mergeCell ref="I272:J272"/>
    <mergeCell ref="K272:L272"/>
    <mergeCell ref="M272:N272"/>
    <mergeCell ref="K254:L254"/>
    <mergeCell ref="M254:N254"/>
    <mergeCell ref="A264:N265"/>
    <mergeCell ref="A269:N269"/>
    <mergeCell ref="A270:G270"/>
    <mergeCell ref="I270:J270"/>
    <mergeCell ref="K270:L270"/>
    <mergeCell ref="M270:N270"/>
    <mergeCell ref="A275:G275"/>
    <mergeCell ref="I275:J275"/>
    <mergeCell ref="K275:L275"/>
    <mergeCell ref="M275:N275"/>
    <mergeCell ref="K276:L276"/>
    <mergeCell ref="M276:N276"/>
    <mergeCell ref="A273:G273"/>
    <mergeCell ref="I273:J273"/>
    <mergeCell ref="K273:L273"/>
    <mergeCell ref="M273:N273"/>
    <mergeCell ref="A274:G274"/>
    <mergeCell ref="I274:J274"/>
    <mergeCell ref="K274:L274"/>
    <mergeCell ref="M274:N274"/>
    <mergeCell ref="A281:G281"/>
    <mergeCell ref="I281:J281"/>
    <mergeCell ref="K281:L281"/>
    <mergeCell ref="M281:N281"/>
    <mergeCell ref="A282:G282"/>
    <mergeCell ref="I282:J282"/>
    <mergeCell ref="K282:L282"/>
    <mergeCell ref="M282:N282"/>
    <mergeCell ref="A278:N278"/>
    <mergeCell ref="A279:G279"/>
    <mergeCell ref="I279:J279"/>
    <mergeCell ref="K279:L279"/>
    <mergeCell ref="M279:N279"/>
    <mergeCell ref="A280:G280"/>
    <mergeCell ref="I280:J280"/>
    <mergeCell ref="K280:L280"/>
    <mergeCell ref="M280:N280"/>
    <mergeCell ref="K285:L285"/>
    <mergeCell ref="M285:N285"/>
    <mergeCell ref="A287:N287"/>
    <mergeCell ref="A288:G288"/>
    <mergeCell ref="I288:J288"/>
    <mergeCell ref="K288:L288"/>
    <mergeCell ref="M288:N288"/>
    <mergeCell ref="A283:G283"/>
    <mergeCell ref="I283:J283"/>
    <mergeCell ref="K283:L283"/>
    <mergeCell ref="M283:N283"/>
    <mergeCell ref="A284:G284"/>
    <mergeCell ref="I284:J284"/>
    <mergeCell ref="K284:L284"/>
    <mergeCell ref="M284:N284"/>
    <mergeCell ref="A291:G291"/>
    <mergeCell ref="I291:J291"/>
    <mergeCell ref="K291:L291"/>
    <mergeCell ref="M291:N291"/>
    <mergeCell ref="A292:G292"/>
    <mergeCell ref="I292:J292"/>
    <mergeCell ref="K292:L292"/>
    <mergeCell ref="M292:N292"/>
    <mergeCell ref="A289:G289"/>
    <mergeCell ref="I289:J289"/>
    <mergeCell ref="K289:L289"/>
    <mergeCell ref="M289:N289"/>
    <mergeCell ref="A290:G290"/>
    <mergeCell ref="I290:J290"/>
    <mergeCell ref="K290:L290"/>
    <mergeCell ref="M290:N290"/>
    <mergeCell ref="A296:N296"/>
    <mergeCell ref="A297:G297"/>
    <mergeCell ref="I297:J297"/>
    <mergeCell ref="M297:N297"/>
    <mergeCell ref="A298:G298"/>
    <mergeCell ref="I298:J298"/>
    <mergeCell ref="M298:N298"/>
    <mergeCell ref="A293:G293"/>
    <mergeCell ref="I293:J293"/>
    <mergeCell ref="K293:L293"/>
    <mergeCell ref="M293:N293"/>
    <mergeCell ref="K294:L294"/>
    <mergeCell ref="M294:N294"/>
    <mergeCell ref="A301:G301"/>
    <mergeCell ref="I301:J301"/>
    <mergeCell ref="M301:N301"/>
    <mergeCell ref="A302:G302"/>
    <mergeCell ref="I302:J302"/>
    <mergeCell ref="M302:N302"/>
    <mergeCell ref="A299:G299"/>
    <mergeCell ref="I299:J299"/>
    <mergeCell ref="M299:N299"/>
    <mergeCell ref="A300:G300"/>
    <mergeCell ref="I300:J300"/>
    <mergeCell ref="M300:N300"/>
    <mergeCell ref="A313:G313"/>
    <mergeCell ref="I313:J313"/>
    <mergeCell ref="K313:L313"/>
    <mergeCell ref="M313:N313"/>
    <mergeCell ref="A314:G314"/>
    <mergeCell ref="I314:J314"/>
    <mergeCell ref="K314:L314"/>
    <mergeCell ref="M314:N314"/>
    <mergeCell ref="K303:L303"/>
    <mergeCell ref="M303:N303"/>
    <mergeCell ref="A306:N307"/>
    <mergeCell ref="A311:N311"/>
    <mergeCell ref="A312:G312"/>
    <mergeCell ref="I312:J312"/>
    <mergeCell ref="K312:L312"/>
    <mergeCell ref="M312:N312"/>
    <mergeCell ref="A317:G317"/>
    <mergeCell ref="I317:J317"/>
    <mergeCell ref="K317:L317"/>
    <mergeCell ref="M317:N317"/>
    <mergeCell ref="K318:L318"/>
    <mergeCell ref="M318:N318"/>
    <mergeCell ref="A315:G315"/>
    <mergeCell ref="I315:J315"/>
    <mergeCell ref="K315:L315"/>
    <mergeCell ref="M315:N315"/>
    <mergeCell ref="A316:G316"/>
    <mergeCell ref="I316:J316"/>
    <mergeCell ref="K316:L316"/>
    <mergeCell ref="M316:N316"/>
    <mergeCell ref="A323:G323"/>
    <mergeCell ref="I323:J323"/>
    <mergeCell ref="K323:L323"/>
    <mergeCell ref="M323:N323"/>
    <mergeCell ref="A324:G324"/>
    <mergeCell ref="I324:J324"/>
    <mergeCell ref="K324:L324"/>
    <mergeCell ref="M324:N324"/>
    <mergeCell ref="A320:N320"/>
    <mergeCell ref="A321:G321"/>
    <mergeCell ref="I321:J321"/>
    <mergeCell ref="K321:L321"/>
    <mergeCell ref="M321:N321"/>
    <mergeCell ref="A322:G322"/>
    <mergeCell ref="I322:J322"/>
    <mergeCell ref="K322:L322"/>
    <mergeCell ref="M322:N322"/>
    <mergeCell ref="K327:L327"/>
    <mergeCell ref="M327:N327"/>
    <mergeCell ref="A329:N329"/>
    <mergeCell ref="A330:G330"/>
    <mergeCell ref="I330:J330"/>
    <mergeCell ref="K330:L330"/>
    <mergeCell ref="M330:N330"/>
    <mergeCell ref="A325:G325"/>
    <mergeCell ref="I325:J325"/>
    <mergeCell ref="K325:L325"/>
    <mergeCell ref="M325:N325"/>
    <mergeCell ref="A326:G326"/>
    <mergeCell ref="I326:J326"/>
    <mergeCell ref="K326:L326"/>
    <mergeCell ref="M326:N326"/>
    <mergeCell ref="A333:G333"/>
    <mergeCell ref="I333:J333"/>
    <mergeCell ref="K333:L333"/>
    <mergeCell ref="M333:N333"/>
    <mergeCell ref="A334:G334"/>
    <mergeCell ref="I334:J334"/>
    <mergeCell ref="K334:L334"/>
    <mergeCell ref="M334:N334"/>
    <mergeCell ref="A331:G331"/>
    <mergeCell ref="I331:J331"/>
    <mergeCell ref="K331:L331"/>
    <mergeCell ref="M331:N331"/>
    <mergeCell ref="A332:G332"/>
    <mergeCell ref="I332:J332"/>
    <mergeCell ref="K332:L332"/>
    <mergeCell ref="M332:N332"/>
    <mergeCell ref="A338:N338"/>
    <mergeCell ref="A339:G339"/>
    <mergeCell ref="I339:J339"/>
    <mergeCell ref="M339:N339"/>
    <mergeCell ref="A340:G340"/>
    <mergeCell ref="I340:J340"/>
    <mergeCell ref="M340:N340"/>
    <mergeCell ref="A335:G335"/>
    <mergeCell ref="I335:J335"/>
    <mergeCell ref="K335:L335"/>
    <mergeCell ref="M335:N335"/>
    <mergeCell ref="K336:L336"/>
    <mergeCell ref="M336:N336"/>
    <mergeCell ref="K345:L345"/>
    <mergeCell ref="M345:N345"/>
    <mergeCell ref="A343:G343"/>
    <mergeCell ref="I343:J343"/>
    <mergeCell ref="M343:N343"/>
    <mergeCell ref="A344:G344"/>
    <mergeCell ref="I344:J344"/>
    <mergeCell ref="M344:N344"/>
    <mergeCell ref="A341:G341"/>
    <mergeCell ref="I341:J341"/>
    <mergeCell ref="M341:N341"/>
    <mergeCell ref="A342:G342"/>
    <mergeCell ref="I342:J342"/>
    <mergeCell ref="M342:N342"/>
    <mergeCell ref="A656:N657"/>
    <mergeCell ref="A661:N661"/>
    <mergeCell ref="A662:G662"/>
    <mergeCell ref="I662:J662"/>
    <mergeCell ref="K662:L662"/>
    <mergeCell ref="M662:N662"/>
    <mergeCell ref="A663:G663"/>
    <mergeCell ref="I663:J663"/>
    <mergeCell ref="K663:L663"/>
    <mergeCell ref="M663:N663"/>
    <mergeCell ref="A664:G664"/>
    <mergeCell ref="I664:J664"/>
    <mergeCell ref="K664:L664"/>
    <mergeCell ref="M664:N664"/>
    <mergeCell ref="A665:G665"/>
    <mergeCell ref="I665:J665"/>
    <mergeCell ref="K665:L665"/>
    <mergeCell ref="M665:N665"/>
    <mergeCell ref="A666:G666"/>
    <mergeCell ref="I666:J666"/>
    <mergeCell ref="K666:L666"/>
    <mergeCell ref="M666:N666"/>
    <mergeCell ref="A667:G667"/>
    <mergeCell ref="I667:J667"/>
    <mergeCell ref="K667:L667"/>
    <mergeCell ref="M667:N667"/>
    <mergeCell ref="A668:G668"/>
    <mergeCell ref="I668:J668"/>
    <mergeCell ref="K668:L668"/>
    <mergeCell ref="M668:N668"/>
    <mergeCell ref="A669:G669"/>
    <mergeCell ref="I669:J669"/>
    <mergeCell ref="K669:L669"/>
    <mergeCell ref="M669:N669"/>
    <mergeCell ref="A670:G670"/>
    <mergeCell ref="I670:J670"/>
    <mergeCell ref="K670:L670"/>
    <mergeCell ref="M670:N670"/>
    <mergeCell ref="K671:L671"/>
    <mergeCell ref="M671:N671"/>
    <mergeCell ref="A673:N673"/>
    <mergeCell ref="A674:G674"/>
    <mergeCell ref="I674:J674"/>
    <mergeCell ref="K674:L674"/>
    <mergeCell ref="M674:N674"/>
    <mergeCell ref="A675:G675"/>
    <mergeCell ref="I675:J675"/>
    <mergeCell ref="K675:L675"/>
    <mergeCell ref="M675:N675"/>
    <mergeCell ref="A676:G676"/>
    <mergeCell ref="I676:J676"/>
    <mergeCell ref="K676:L676"/>
    <mergeCell ref="M676:N676"/>
    <mergeCell ref="A677:G677"/>
    <mergeCell ref="I677:J677"/>
    <mergeCell ref="K677:L677"/>
    <mergeCell ref="M677:N677"/>
    <mergeCell ref="K687:L687"/>
    <mergeCell ref="M687:N687"/>
    <mergeCell ref="A688:G688"/>
    <mergeCell ref="I688:J688"/>
    <mergeCell ref="K688:L688"/>
    <mergeCell ref="M688:N688"/>
    <mergeCell ref="K689:L689"/>
    <mergeCell ref="M689:N689"/>
    <mergeCell ref="A678:G678"/>
    <mergeCell ref="I678:J678"/>
    <mergeCell ref="K678:L678"/>
    <mergeCell ref="M678:N678"/>
    <mergeCell ref="A679:G679"/>
    <mergeCell ref="I679:J679"/>
    <mergeCell ref="K679:L679"/>
    <mergeCell ref="M679:N679"/>
    <mergeCell ref="K680:L680"/>
    <mergeCell ref="M680:N680"/>
    <mergeCell ref="A682:N682"/>
    <mergeCell ref="A683:G683"/>
    <mergeCell ref="I683:J683"/>
    <mergeCell ref="K683:L683"/>
    <mergeCell ref="M683:N683"/>
    <mergeCell ref="A684:G684"/>
    <mergeCell ref="I684:J684"/>
    <mergeCell ref="K684:L684"/>
    <mergeCell ref="M684:N684"/>
    <mergeCell ref="K698:L698"/>
    <mergeCell ref="M698:N698"/>
    <mergeCell ref="A395:D395"/>
    <mergeCell ref="A691:N691"/>
    <mergeCell ref="A692:G692"/>
    <mergeCell ref="I692:J692"/>
    <mergeCell ref="M692:N692"/>
    <mergeCell ref="A693:G693"/>
    <mergeCell ref="I693:J693"/>
    <mergeCell ref="M693:N693"/>
    <mergeCell ref="A694:G694"/>
    <mergeCell ref="I694:J694"/>
    <mergeCell ref="M694:N694"/>
    <mergeCell ref="A695:G695"/>
    <mergeCell ref="I695:J695"/>
    <mergeCell ref="M695:N695"/>
    <mergeCell ref="A696:G696"/>
    <mergeCell ref="I696:J696"/>
    <mergeCell ref="M696:N696"/>
    <mergeCell ref="A697:G697"/>
    <mergeCell ref="I697:J697"/>
    <mergeCell ref="M697:N697"/>
    <mergeCell ref="A685:G685"/>
    <mergeCell ref="I685:J685"/>
    <mergeCell ref="K685:L685"/>
    <mergeCell ref="M685:N685"/>
    <mergeCell ref="A686:G686"/>
    <mergeCell ref="I686:J686"/>
    <mergeCell ref="K686:L686"/>
    <mergeCell ref="M686:N686"/>
    <mergeCell ref="A687:G687"/>
    <mergeCell ref="I687:J687"/>
  </mergeCells>
  <dataValidations count="4">
    <dataValidation type="list" allowBlank="1" showErrorMessage="1" sqref="A18:A22 A61:A65 A103:A107 A147 A150:A151 A189:A193 A231:A235 A280:A284 A322:A326 A365:A369 A411:A415 A457:A461 A503:A507 A588:A592 A630:A634 A675:A679" xr:uid="{CCE1FE4F-A9C3-4972-8375-AC36C64F8862}">
      <formula1>$C$6:$C$106</formula1>
    </dataValidation>
    <dataValidation type="list" allowBlank="1" showErrorMessage="1" sqref="A140" xr:uid="{57085DE8-0AD2-4450-B4CC-2308954EDACF}">
      <formula1>$C$6:$C$307</formula1>
    </dataValidation>
    <dataValidation type="list" allowBlank="1" showErrorMessage="1" sqref="A402 A404:A406 A448:A452 A494:A498 A667:A670" xr:uid="{194C2A32-9735-4D25-9B11-FEF23035A3B8}">
      <formula1>C$8:C$1005</formula1>
    </dataValidation>
    <dataValidation type="list" allowBlank="1" showErrorMessage="1" sqref="A398:A401 A444:A447 A490:A493 A663:A666" xr:uid="{DD7E01F8-9DB5-4FEA-9ABB-F8CF0427CB7D}">
      <formula1>$C$6:$C$1001</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ErrorMessage="1" xr:uid="{83A89E20-2864-4C6C-91DA-7BA159C2658C}">
          <x14:formula1>
            <xm:f>'precios '!$C$6:$C$100</xm:f>
          </x14:formula1>
          <xm:sqref>A8:A12 A51:A55 A93:A97 A138:A139 A141:A142 A180:A183 A222:A225 A271:A274 A313:A316 A356:A359 A536:A539 A579:A582 A621:A624</xm:sqref>
        </x14:dataValidation>
        <x14:dataValidation type="list" allowBlank="1" showErrorMessage="1" xr:uid="{BCC4FC1B-B3B9-4647-A0CF-3E142BA10084}">
          <x14:formula1>
            <xm:f>CUADRILLAS!$A$23:$A$67</xm:f>
          </x14:formula1>
          <xm:sqref>A36:A40 A79:A83 A121:A125 A165:A169 A207:A211 A249:A253 A298:A302 A340:A344 A383:A387 A429:A433 A475:A479 A521:A525 A563:A567 A606:A610 A648:A652 A693:A697</xm:sqref>
        </x14:dataValidation>
        <x14:dataValidation type="list" allowBlank="1" showErrorMessage="1" xr:uid="{CA064DD2-EE2C-4D95-BDC7-EBD986FB343B}">
          <x14:formula1>
            <xm:f>EQUIPOS!$C$6:$C$42</xm:f>
          </x14:formula1>
          <xm:sqref>A148:A149 A545:A549</xm:sqref>
        </x14:dataValidation>
        <x14:dataValidation type="list" allowBlank="1" showErrorMessage="1" xr:uid="{503F3AEE-0F71-4A61-A4F5-29005A7D74E9}">
          <x14:formula1>
            <xm:f>'precios '!$C$6:$C$647</xm:f>
          </x14:formula1>
          <xm:sqref>A137</xm:sqref>
        </x14:dataValidation>
        <x14:dataValidation type="list" allowBlank="1" showErrorMessage="1" xr:uid="{EE34365F-2395-40EA-8CDB-B264DB9776C1}">
          <x14:formula1>
            <xm:f>'precios '!$C$6:$C$223</xm:f>
          </x14:formula1>
          <xm:sqref>A355 A578</xm:sqref>
        </x14:dataValidation>
        <x14:dataValidation type="list" allowBlank="1" showErrorMessage="1" xr:uid="{A885A0C6-8567-4A66-855C-75505FE40A32}">
          <x14:formula1>
            <xm:f>'precios '!C$8:C$100</xm:f>
          </x14:formula1>
          <xm:sqref>A13 A625 A583 A540 A360 A317 A275 A226 A184 A98 A56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1288"/>
  <sheetViews>
    <sheetView view="pageBreakPreview" topLeftCell="C345" zoomScale="85" zoomScaleNormal="100" zoomScaleSheetLayoutView="85" workbookViewId="0">
      <selection activeCell="J362" sqref="J362:K362"/>
    </sheetView>
  </sheetViews>
  <sheetFormatPr baseColWidth="10" defaultColWidth="12.5703125" defaultRowHeight="15" customHeight="1" x14ac:dyDescent="0.2"/>
  <cols>
    <col min="1" max="4" width="10.5703125" customWidth="1"/>
    <col min="5" max="5" width="43.140625" customWidth="1"/>
    <col min="6" max="7" width="10.5703125" hidden="1" customWidth="1"/>
    <col min="8" max="8" width="14.42578125" hidden="1" customWidth="1"/>
    <col min="9" max="17" width="10.5703125" customWidth="1"/>
    <col min="18" max="18" width="20" customWidth="1"/>
  </cols>
  <sheetData>
    <row r="1" spans="1:19" ht="12.75" customHeight="1" x14ac:dyDescent="0.2">
      <c r="A1" s="283" t="s">
        <v>0</v>
      </c>
      <c r="B1" s="275"/>
      <c r="C1" s="275"/>
      <c r="D1" s="275"/>
      <c r="E1" s="275"/>
      <c r="F1" s="275"/>
      <c r="G1" s="275"/>
      <c r="H1" s="275"/>
      <c r="I1" s="275"/>
      <c r="J1" s="275"/>
      <c r="K1" s="275"/>
      <c r="L1" s="275"/>
      <c r="M1" s="453"/>
      <c r="N1" s="283" t="s">
        <v>1802</v>
      </c>
      <c r="O1" s="276"/>
      <c r="P1" s="287" t="s">
        <v>74</v>
      </c>
      <c r="Q1" s="273"/>
    </row>
    <row r="2" spans="1:19" ht="12.75" customHeight="1" x14ac:dyDescent="0.2">
      <c r="A2" s="284"/>
      <c r="B2" s="285"/>
      <c r="C2" s="285"/>
      <c r="D2" s="285"/>
      <c r="E2" s="285"/>
      <c r="F2" s="285"/>
      <c r="G2" s="285"/>
      <c r="H2" s="285"/>
      <c r="I2" s="285"/>
      <c r="J2" s="285"/>
      <c r="K2" s="285"/>
      <c r="L2" s="285"/>
      <c r="M2" s="454"/>
      <c r="N2" s="284"/>
      <c r="O2" s="286"/>
      <c r="P2" s="381">
        <f>Indice!$L$1</f>
        <v>46203</v>
      </c>
      <c r="Q2" s="276"/>
    </row>
    <row r="3" spans="1:19" ht="12.75" customHeight="1" x14ac:dyDescent="0.2">
      <c r="A3" s="277"/>
      <c r="B3" s="278"/>
      <c r="C3" s="278"/>
      <c r="D3" s="278"/>
      <c r="E3" s="278"/>
      <c r="F3" s="278"/>
      <c r="G3" s="278"/>
      <c r="H3" s="278"/>
      <c r="I3" s="278"/>
      <c r="J3" s="278"/>
      <c r="K3" s="278"/>
      <c r="L3" s="278"/>
      <c r="M3" s="455"/>
      <c r="N3" s="277"/>
      <c r="O3" s="279"/>
      <c r="P3" s="277"/>
      <c r="Q3" s="279"/>
    </row>
    <row r="4" spans="1:19" ht="12.75" customHeight="1" x14ac:dyDescent="0.2">
      <c r="C4" s="104">
        <v>1</v>
      </c>
      <c r="D4" s="104">
        <v>2</v>
      </c>
      <c r="E4" s="104">
        <v>3</v>
      </c>
      <c r="F4" s="104">
        <v>4</v>
      </c>
      <c r="G4" s="104">
        <v>5</v>
      </c>
      <c r="H4" s="104">
        <v>6</v>
      </c>
      <c r="I4" s="104">
        <v>7</v>
      </c>
      <c r="J4" s="104">
        <v>8</v>
      </c>
      <c r="K4" s="104">
        <v>9</v>
      </c>
      <c r="L4" s="104">
        <v>10</v>
      </c>
      <c r="M4" s="104">
        <v>11</v>
      </c>
      <c r="N4" s="104">
        <v>12</v>
      </c>
      <c r="O4" s="104">
        <v>13</v>
      </c>
      <c r="Q4" s="1"/>
    </row>
    <row r="5" spans="1:19" ht="12.75" customHeight="1" x14ac:dyDescent="0.2">
      <c r="A5" s="76" t="s">
        <v>1741</v>
      </c>
      <c r="B5" s="76" t="s">
        <v>74</v>
      </c>
      <c r="C5" s="456" t="s">
        <v>918</v>
      </c>
      <c r="D5" s="300"/>
      <c r="E5" s="300"/>
      <c r="F5" s="300"/>
      <c r="G5" s="300"/>
      <c r="H5" s="335"/>
      <c r="I5" s="76" t="s">
        <v>77</v>
      </c>
      <c r="J5" s="452" t="s">
        <v>1803</v>
      </c>
      <c r="K5" s="294"/>
      <c r="L5" s="452" t="s">
        <v>602</v>
      </c>
      <c r="M5" s="294"/>
      <c r="N5" s="452" t="s">
        <v>1804</v>
      </c>
      <c r="O5" s="294"/>
      <c r="P5" s="452" t="s">
        <v>1805</v>
      </c>
      <c r="Q5" s="294"/>
    </row>
    <row r="6" spans="1:19" ht="12.75" customHeight="1" x14ac:dyDescent="0.25">
      <c r="A6" s="105" t="s">
        <v>1806</v>
      </c>
      <c r="B6" s="106">
        <v>45032</v>
      </c>
      <c r="C6" s="459" t="s">
        <v>927</v>
      </c>
      <c r="D6" s="460"/>
      <c r="E6" s="460"/>
      <c r="F6" s="460"/>
      <c r="G6" s="460"/>
      <c r="H6" s="461"/>
      <c r="I6" s="107" t="s">
        <v>1807</v>
      </c>
      <c r="J6" s="457">
        <f t="shared" ref="J6:J13" si="0">AVERAGE(P6:Q6)</f>
        <v>0</v>
      </c>
      <c r="K6" s="458"/>
      <c r="L6" s="457">
        <v>0</v>
      </c>
      <c r="M6" s="458"/>
      <c r="N6" s="457">
        <v>0</v>
      </c>
      <c r="O6" s="458"/>
      <c r="P6" s="457">
        <v>0</v>
      </c>
      <c r="Q6" s="458"/>
      <c r="R6" cm="1">
        <f t="array" ref="R6:S6">presup!M368:$N$368</f>
        <v>0</v>
      </c>
      <c r="S6">
        <v>0</v>
      </c>
    </row>
    <row r="7" spans="1:19" ht="27" customHeight="1" x14ac:dyDescent="0.2">
      <c r="A7" s="108" t="s">
        <v>1808</v>
      </c>
      <c r="B7" s="109">
        <v>45032</v>
      </c>
      <c r="C7" s="462" t="s">
        <v>928</v>
      </c>
      <c r="D7" s="463"/>
      <c r="E7" s="463"/>
      <c r="F7" s="463"/>
      <c r="G7" s="463"/>
      <c r="H7" s="446"/>
      <c r="I7" s="110" t="s">
        <v>1809</v>
      </c>
      <c r="J7" s="438">
        <f t="shared" si="0"/>
        <v>237645</v>
      </c>
      <c r="K7" s="273"/>
      <c r="L7" s="438">
        <v>37943.319327731093</v>
      </c>
      <c r="M7" s="273"/>
      <c r="N7" s="438">
        <v>199701.68067226891</v>
      </c>
      <c r="O7" s="273"/>
      <c r="P7" s="438">
        <v>237645</v>
      </c>
      <c r="Q7" s="273"/>
      <c r="R7">
        <f>presup!M$368</f>
        <v>0</v>
      </c>
    </row>
    <row r="8" spans="1:19" ht="12.75" customHeight="1" x14ac:dyDescent="0.25">
      <c r="A8" s="111" t="s">
        <v>1810</v>
      </c>
      <c r="B8" s="106">
        <v>45032</v>
      </c>
      <c r="C8" s="464" t="s">
        <v>922</v>
      </c>
      <c r="D8" s="463"/>
      <c r="E8" s="463"/>
      <c r="F8" s="463"/>
      <c r="G8" s="463"/>
      <c r="H8" s="446"/>
      <c r="I8" s="20" t="s">
        <v>502</v>
      </c>
      <c r="J8" s="439">
        <f t="shared" si="0"/>
        <v>3741.67</v>
      </c>
      <c r="K8" s="273"/>
      <c r="L8" s="439">
        <v>597.40949579831931</v>
      </c>
      <c r="M8" s="273"/>
      <c r="N8" s="439">
        <v>3144.2605042016808</v>
      </c>
      <c r="O8" s="273"/>
      <c r="P8" s="439">
        <v>3741.67</v>
      </c>
      <c r="Q8" s="273"/>
      <c r="R8">
        <f>presup!M$368</f>
        <v>0</v>
      </c>
    </row>
    <row r="9" spans="1:19" ht="12.75" customHeight="1" x14ac:dyDescent="0.25">
      <c r="A9" s="111" t="s">
        <v>1811</v>
      </c>
      <c r="B9" s="106">
        <v>45032</v>
      </c>
      <c r="C9" s="464" t="s">
        <v>923</v>
      </c>
      <c r="D9" s="463"/>
      <c r="E9" s="463"/>
      <c r="F9" s="463"/>
      <c r="G9" s="463"/>
      <c r="H9" s="446"/>
      <c r="I9" s="20" t="s">
        <v>1410</v>
      </c>
      <c r="J9" s="439">
        <f t="shared" si="0"/>
        <v>75900</v>
      </c>
      <c r="K9" s="273"/>
      <c r="L9" s="439">
        <v>12118.487394957985</v>
      </c>
      <c r="M9" s="273"/>
      <c r="N9" s="439">
        <v>63781.512605042022</v>
      </c>
      <c r="O9" s="273"/>
      <c r="P9" s="439">
        <v>75900</v>
      </c>
      <c r="Q9" s="273"/>
      <c r="R9">
        <f>presup!M$368</f>
        <v>0</v>
      </c>
    </row>
    <row r="10" spans="1:19" ht="12.75" customHeight="1" x14ac:dyDescent="0.25">
      <c r="A10" s="111" t="s">
        <v>1812</v>
      </c>
      <c r="B10" s="106">
        <v>45032</v>
      </c>
      <c r="C10" s="464" t="s">
        <v>924</v>
      </c>
      <c r="D10" s="463"/>
      <c r="E10" s="463"/>
      <c r="F10" s="463"/>
      <c r="G10" s="463"/>
      <c r="H10" s="446"/>
      <c r="I10" s="20" t="s">
        <v>1813</v>
      </c>
      <c r="J10" s="439">
        <f t="shared" si="0"/>
        <v>4487</v>
      </c>
      <c r="K10" s="273"/>
      <c r="L10" s="439">
        <v>716.41176470588243</v>
      </c>
      <c r="M10" s="273"/>
      <c r="N10" s="439">
        <v>3770.588235294118</v>
      </c>
      <c r="O10" s="273"/>
      <c r="P10" s="439">
        <v>4487</v>
      </c>
      <c r="Q10" s="273"/>
      <c r="R10">
        <f>presup!M$368</f>
        <v>0</v>
      </c>
    </row>
    <row r="11" spans="1:19" ht="12.75" customHeight="1" x14ac:dyDescent="0.25">
      <c r="A11" s="111" t="s">
        <v>1814</v>
      </c>
      <c r="B11" s="106">
        <v>45032</v>
      </c>
      <c r="C11" s="464" t="s">
        <v>925</v>
      </c>
      <c r="D11" s="463"/>
      <c r="E11" s="463"/>
      <c r="F11" s="463"/>
      <c r="G11" s="463"/>
      <c r="H11" s="446"/>
      <c r="I11" s="20" t="s">
        <v>1815</v>
      </c>
      <c r="J11" s="439">
        <f t="shared" si="0"/>
        <v>238</v>
      </c>
      <c r="K11" s="273"/>
      <c r="L11" s="439">
        <v>38</v>
      </c>
      <c r="M11" s="273"/>
      <c r="N11" s="439">
        <v>200</v>
      </c>
      <c r="O11" s="273"/>
      <c r="P11" s="439">
        <v>238</v>
      </c>
      <c r="Q11" s="273"/>
      <c r="R11">
        <f>presup!M$368</f>
        <v>0</v>
      </c>
    </row>
    <row r="12" spans="1:19" ht="12.75" customHeight="1" x14ac:dyDescent="0.25">
      <c r="A12" s="111" t="s">
        <v>1816</v>
      </c>
      <c r="B12" s="106">
        <v>45032</v>
      </c>
      <c r="C12" s="464" t="s">
        <v>935</v>
      </c>
      <c r="D12" s="463"/>
      <c r="E12" s="463"/>
      <c r="F12" s="463"/>
      <c r="G12" s="463"/>
      <c r="H12" s="446"/>
      <c r="I12" s="20" t="s">
        <v>1815</v>
      </c>
      <c r="J12" s="439">
        <f t="shared" si="0"/>
        <v>189</v>
      </c>
      <c r="K12" s="273"/>
      <c r="L12" s="439">
        <v>30.176470588235297</v>
      </c>
      <c r="M12" s="273"/>
      <c r="N12" s="439">
        <v>158.82352941176472</v>
      </c>
      <c r="O12" s="273"/>
      <c r="P12" s="439">
        <v>189</v>
      </c>
      <c r="Q12" s="273"/>
      <c r="R12">
        <f>presup!M$368</f>
        <v>0</v>
      </c>
    </row>
    <row r="13" spans="1:19" ht="12.75" customHeight="1" x14ac:dyDescent="0.25">
      <c r="A13" s="111" t="s">
        <v>1817</v>
      </c>
      <c r="B13" s="106">
        <v>45033</v>
      </c>
      <c r="C13" s="464" t="s">
        <v>953</v>
      </c>
      <c r="D13" s="463"/>
      <c r="E13" s="463"/>
      <c r="F13" s="463"/>
      <c r="G13" s="463"/>
      <c r="H13" s="446"/>
      <c r="I13" s="20" t="s">
        <v>21</v>
      </c>
      <c r="J13" s="439">
        <f t="shared" si="0"/>
        <v>800</v>
      </c>
      <c r="K13" s="273"/>
      <c r="L13" s="439">
        <v>108.25210084033614</v>
      </c>
      <c r="M13" s="273"/>
      <c r="N13" s="439">
        <v>569.74789915966392</v>
      </c>
      <c r="O13" s="273"/>
      <c r="P13" s="439">
        <v>800</v>
      </c>
      <c r="Q13" s="273"/>
      <c r="R13">
        <f>presup!M$368</f>
        <v>0</v>
      </c>
    </row>
    <row r="14" spans="1:19" ht="12.75" customHeight="1" x14ac:dyDescent="0.25">
      <c r="A14" s="111" t="s">
        <v>1818</v>
      </c>
      <c r="B14" s="106">
        <v>45032</v>
      </c>
      <c r="C14" s="469" t="s">
        <v>954</v>
      </c>
      <c r="D14" s="373"/>
      <c r="E14" s="373"/>
      <c r="F14" s="373"/>
      <c r="G14" s="373"/>
      <c r="H14" s="361"/>
      <c r="I14" s="20" t="s">
        <v>1382</v>
      </c>
      <c r="J14" s="451">
        <v>83000</v>
      </c>
      <c r="K14" s="361"/>
      <c r="L14" s="439">
        <v>10234.92</v>
      </c>
      <c r="M14" s="273"/>
      <c r="N14" s="439">
        <v>53868</v>
      </c>
      <c r="O14" s="273"/>
      <c r="P14" s="439">
        <v>62000</v>
      </c>
      <c r="Q14" s="273"/>
      <c r="R14">
        <f>presup!M$368</f>
        <v>0</v>
      </c>
    </row>
    <row r="15" spans="1:19" ht="12.75" customHeight="1" x14ac:dyDescent="0.25">
      <c r="A15" s="111" t="s">
        <v>1819</v>
      </c>
      <c r="B15" s="106">
        <v>45032</v>
      </c>
      <c r="C15" s="469" t="s">
        <v>955</v>
      </c>
      <c r="D15" s="373"/>
      <c r="E15" s="373"/>
      <c r="F15" s="373"/>
      <c r="G15" s="373"/>
      <c r="H15" s="361"/>
      <c r="I15" s="20" t="s">
        <v>1382</v>
      </c>
      <c r="J15" s="451">
        <v>90000</v>
      </c>
      <c r="K15" s="361"/>
      <c r="L15" s="439">
        <v>13684.275798319328</v>
      </c>
      <c r="M15" s="273"/>
      <c r="N15" s="439">
        <v>72022.504201680669</v>
      </c>
      <c r="O15" s="273"/>
      <c r="P15" s="439">
        <v>77000</v>
      </c>
      <c r="Q15" s="273"/>
      <c r="R15">
        <f>presup!M$368</f>
        <v>0</v>
      </c>
    </row>
    <row r="16" spans="1:19" ht="12.75" customHeight="1" x14ac:dyDescent="0.25">
      <c r="A16" s="111" t="s">
        <v>1820</v>
      </c>
      <c r="B16" s="106">
        <v>45032</v>
      </c>
      <c r="C16" s="464" t="s">
        <v>956</v>
      </c>
      <c r="D16" s="463"/>
      <c r="E16" s="463"/>
      <c r="F16" s="463"/>
      <c r="G16" s="463"/>
      <c r="H16" s="446"/>
      <c r="I16" s="20" t="s">
        <v>1821</v>
      </c>
      <c r="J16" s="439">
        <f t="shared" ref="J16:J39" si="1">AVERAGE(P16:Q16)</f>
        <v>20</v>
      </c>
      <c r="K16" s="273"/>
      <c r="L16" s="439">
        <v>3.1932773109243699</v>
      </c>
      <c r="M16" s="273"/>
      <c r="N16" s="439">
        <v>16.806722689075631</v>
      </c>
      <c r="O16" s="273"/>
      <c r="P16" s="439">
        <v>20</v>
      </c>
      <c r="Q16" s="273"/>
      <c r="R16">
        <f>presup!M$368</f>
        <v>0</v>
      </c>
    </row>
    <row r="17" spans="1:18" ht="12.75" customHeight="1" x14ac:dyDescent="0.25">
      <c r="A17" s="111" t="s">
        <v>1822</v>
      </c>
      <c r="B17" s="106">
        <v>45032</v>
      </c>
      <c r="C17" s="464" t="s">
        <v>970</v>
      </c>
      <c r="D17" s="463"/>
      <c r="E17" s="463"/>
      <c r="F17" s="463"/>
      <c r="G17" s="463"/>
      <c r="H17" s="446"/>
      <c r="I17" s="20" t="s">
        <v>21</v>
      </c>
      <c r="J17" s="439">
        <f t="shared" si="1"/>
        <v>5883.1369999999997</v>
      </c>
      <c r="K17" s="273"/>
      <c r="L17" s="439">
        <v>939.32439495798326</v>
      </c>
      <c r="M17" s="273"/>
      <c r="N17" s="439">
        <v>4943.8126050420169</v>
      </c>
      <c r="O17" s="273"/>
      <c r="P17" s="439">
        <f>4525.49*1.3</f>
        <v>5883.1369999999997</v>
      </c>
      <c r="Q17" s="273"/>
      <c r="R17">
        <f>presup!M$368</f>
        <v>0</v>
      </c>
    </row>
    <row r="18" spans="1:18" ht="12.75" customHeight="1" x14ac:dyDescent="0.25">
      <c r="A18" s="111" t="s">
        <v>1823</v>
      </c>
      <c r="B18" s="106">
        <v>45035</v>
      </c>
      <c r="C18" s="464" t="s">
        <v>971</v>
      </c>
      <c r="D18" s="463"/>
      <c r="E18" s="463"/>
      <c r="F18" s="463"/>
      <c r="G18" s="463"/>
      <c r="H18" s="446"/>
      <c r="I18" s="20" t="s">
        <v>21</v>
      </c>
      <c r="J18" s="439">
        <f t="shared" si="1"/>
        <v>9302.8000000000011</v>
      </c>
      <c r="K18" s="273"/>
      <c r="L18" s="439">
        <v>1485.3210084033617</v>
      </c>
      <c r="M18" s="273"/>
      <c r="N18" s="439">
        <v>7817.4789915966403</v>
      </c>
      <c r="O18" s="273"/>
      <c r="P18" s="439">
        <f>7156*1.3</f>
        <v>9302.8000000000011</v>
      </c>
      <c r="Q18" s="273"/>
      <c r="R18">
        <f>presup!M$368</f>
        <v>0</v>
      </c>
    </row>
    <row r="19" spans="1:18" ht="12.75" customHeight="1" x14ac:dyDescent="0.25">
      <c r="A19" s="111" t="s">
        <v>1824</v>
      </c>
      <c r="B19" s="106">
        <v>45033</v>
      </c>
      <c r="C19" s="469" t="s">
        <v>974</v>
      </c>
      <c r="D19" s="373"/>
      <c r="E19" s="373"/>
      <c r="F19" s="373"/>
      <c r="G19" s="373"/>
      <c r="H19" s="361"/>
      <c r="I19" s="20" t="s">
        <v>1382</v>
      </c>
      <c r="J19" s="451">
        <v>83330</v>
      </c>
      <c r="K19" s="361"/>
      <c r="L19" s="439">
        <v>11385.86336134454</v>
      </c>
      <c r="M19" s="273"/>
      <c r="N19" s="439">
        <v>59925.596638655472</v>
      </c>
      <c r="O19" s="273"/>
      <c r="P19" s="439">
        <v>71311.460000000006</v>
      </c>
      <c r="Q19" s="273"/>
      <c r="R19">
        <f>presup!M$368</f>
        <v>0</v>
      </c>
    </row>
    <row r="20" spans="1:18" ht="12.75" customHeight="1" x14ac:dyDescent="0.25">
      <c r="A20" s="111" t="s">
        <v>1825</v>
      </c>
      <c r="B20" s="106">
        <v>45033</v>
      </c>
      <c r="C20" s="464" t="s">
        <v>987</v>
      </c>
      <c r="D20" s="463"/>
      <c r="E20" s="463"/>
      <c r="F20" s="463"/>
      <c r="G20" s="463"/>
      <c r="H20" s="446"/>
      <c r="I20" s="20" t="s">
        <v>1382</v>
      </c>
      <c r="J20" s="439">
        <f>+unitario!$F$458</f>
        <v>965054.12208278815</v>
      </c>
      <c r="K20" s="273"/>
      <c r="L20" s="439">
        <v>87257.73949579832</v>
      </c>
      <c r="M20" s="273"/>
      <c r="N20" s="439">
        <v>459251.26050420169</v>
      </c>
      <c r="O20" s="273"/>
      <c r="P20" s="439">
        <v>546509</v>
      </c>
      <c r="Q20" s="273"/>
      <c r="R20">
        <f>presup!M$368</f>
        <v>0</v>
      </c>
    </row>
    <row r="21" spans="1:18" ht="12.75" customHeight="1" x14ac:dyDescent="0.25">
      <c r="A21" s="111" t="s">
        <v>1826</v>
      </c>
      <c r="B21" s="106">
        <v>45033</v>
      </c>
      <c r="C21" s="464" t="s">
        <v>963</v>
      </c>
      <c r="D21" s="463"/>
      <c r="E21" s="463"/>
      <c r="F21" s="463"/>
      <c r="G21" s="463"/>
      <c r="H21" s="446"/>
      <c r="I21" s="20" t="s">
        <v>1827</v>
      </c>
      <c r="J21" s="439">
        <f t="shared" si="1"/>
        <v>8750</v>
      </c>
      <c r="K21" s="273"/>
      <c r="L21" s="439">
        <v>1397.0588235294117</v>
      </c>
      <c r="M21" s="273"/>
      <c r="N21" s="439">
        <v>7352.9411764705883</v>
      </c>
      <c r="O21" s="273"/>
      <c r="P21" s="439">
        <v>8750</v>
      </c>
      <c r="Q21" s="273"/>
      <c r="R21">
        <f>presup!M$368</f>
        <v>0</v>
      </c>
    </row>
    <row r="22" spans="1:18" ht="12.75" customHeight="1" x14ac:dyDescent="0.25">
      <c r="A22" s="111" t="s">
        <v>1828</v>
      </c>
      <c r="B22" s="106">
        <v>45033</v>
      </c>
      <c r="C22" s="309" t="s">
        <v>988</v>
      </c>
      <c r="D22" s="271"/>
      <c r="E22" s="271"/>
      <c r="F22" s="271"/>
      <c r="G22" s="271"/>
      <c r="H22" s="273"/>
      <c r="I22" s="20" t="s">
        <v>1382</v>
      </c>
      <c r="J22" s="439">
        <f t="shared" si="1"/>
        <v>418293</v>
      </c>
      <c r="K22" s="273"/>
      <c r="L22" s="439">
        <v>66786.277310924372</v>
      </c>
      <c r="M22" s="273"/>
      <c r="N22" s="439">
        <v>351506.72268907563</v>
      </c>
      <c r="O22" s="273"/>
      <c r="P22" s="439">
        <v>418293</v>
      </c>
      <c r="Q22" s="273"/>
      <c r="R22">
        <f>presup!M$368</f>
        <v>0</v>
      </c>
    </row>
    <row r="23" spans="1:18" ht="12.75" customHeight="1" x14ac:dyDescent="0.25">
      <c r="A23" s="111" t="s">
        <v>1829</v>
      </c>
      <c r="B23" s="106">
        <v>45037</v>
      </c>
      <c r="C23" s="309" t="s">
        <v>989</v>
      </c>
      <c r="D23" s="271"/>
      <c r="E23" s="271"/>
      <c r="F23" s="271"/>
      <c r="G23" s="271"/>
      <c r="H23" s="273"/>
      <c r="I23" s="20" t="s">
        <v>1827</v>
      </c>
      <c r="J23" s="439">
        <f t="shared" si="1"/>
        <v>20125</v>
      </c>
      <c r="K23" s="273"/>
      <c r="L23" s="439">
        <v>3213.2352941176473</v>
      </c>
      <c r="M23" s="273"/>
      <c r="N23" s="439">
        <v>16911.764705882353</v>
      </c>
      <c r="O23" s="273"/>
      <c r="P23" s="439">
        <v>20125</v>
      </c>
      <c r="Q23" s="273"/>
      <c r="R23">
        <f>presup!M$368</f>
        <v>0</v>
      </c>
    </row>
    <row r="24" spans="1:18" ht="12.75" customHeight="1" x14ac:dyDescent="0.25">
      <c r="A24" s="111" t="s">
        <v>1830</v>
      </c>
      <c r="B24" s="106">
        <v>45062</v>
      </c>
      <c r="C24" s="464" t="s">
        <v>993</v>
      </c>
      <c r="D24" s="463"/>
      <c r="E24" s="463"/>
      <c r="F24" s="463"/>
      <c r="G24" s="463"/>
      <c r="H24" s="446"/>
      <c r="I24" s="20" t="s">
        <v>21</v>
      </c>
      <c r="J24" s="439">
        <f t="shared" si="1"/>
        <v>23400</v>
      </c>
      <c r="K24" s="273"/>
      <c r="L24" s="439">
        <v>3736.1344537815125</v>
      </c>
      <c r="M24" s="273"/>
      <c r="N24" s="439">
        <v>19663.865546218487</v>
      </c>
      <c r="O24" s="273"/>
      <c r="P24" s="439">
        <v>23400</v>
      </c>
      <c r="Q24" s="273"/>
      <c r="R24">
        <f>presup!M$368</f>
        <v>0</v>
      </c>
    </row>
    <row r="25" spans="1:18" ht="12.75" customHeight="1" x14ac:dyDescent="0.25">
      <c r="A25" s="111" t="s">
        <v>1831</v>
      </c>
      <c r="B25" s="106">
        <v>45037</v>
      </c>
      <c r="C25" s="309" t="s">
        <v>994</v>
      </c>
      <c r="D25" s="271"/>
      <c r="E25" s="271"/>
      <c r="F25" s="271"/>
      <c r="G25" s="271"/>
      <c r="H25" s="273"/>
      <c r="I25" s="20" t="s">
        <v>1815</v>
      </c>
      <c r="J25" s="439">
        <f t="shared" si="1"/>
        <v>22125</v>
      </c>
      <c r="K25" s="273"/>
      <c r="L25" s="439">
        <v>3532.5630252100846</v>
      </c>
      <c r="M25" s="273"/>
      <c r="N25" s="439">
        <v>18592.436974789918</v>
      </c>
      <c r="O25" s="273"/>
      <c r="P25" s="439">
        <v>22125</v>
      </c>
      <c r="Q25" s="273"/>
      <c r="R25">
        <f>presup!M$368</f>
        <v>0</v>
      </c>
    </row>
    <row r="26" spans="1:18" ht="12.75" customHeight="1" x14ac:dyDescent="0.25">
      <c r="A26" s="111" t="s">
        <v>1832</v>
      </c>
      <c r="B26" s="106">
        <v>45037</v>
      </c>
      <c r="C26" s="464" t="s">
        <v>995</v>
      </c>
      <c r="D26" s="463"/>
      <c r="E26" s="463"/>
      <c r="F26" s="463"/>
      <c r="G26" s="463"/>
      <c r="H26" s="446"/>
      <c r="I26" s="20" t="s">
        <v>1410</v>
      </c>
      <c r="J26" s="439">
        <f t="shared" si="1"/>
        <v>95900</v>
      </c>
      <c r="K26" s="273"/>
      <c r="L26" s="439">
        <v>15311.764705882353</v>
      </c>
      <c r="M26" s="273"/>
      <c r="N26" s="439">
        <v>80588.23529411765</v>
      </c>
      <c r="O26" s="273"/>
      <c r="P26" s="439">
        <v>95900</v>
      </c>
      <c r="Q26" s="273"/>
      <c r="R26">
        <f>presup!M$368</f>
        <v>0</v>
      </c>
    </row>
    <row r="27" spans="1:18" ht="12.75" customHeight="1" x14ac:dyDescent="0.25">
      <c r="A27" s="111" t="s">
        <v>1833</v>
      </c>
      <c r="B27" s="106">
        <v>45037</v>
      </c>
      <c r="C27" s="464" t="s">
        <v>996</v>
      </c>
      <c r="D27" s="463"/>
      <c r="E27" s="463"/>
      <c r="F27" s="463"/>
      <c r="G27" s="463"/>
      <c r="H27" s="446"/>
      <c r="I27" s="20" t="s">
        <v>502</v>
      </c>
      <c r="J27" s="439">
        <f t="shared" si="1"/>
        <v>1900</v>
      </c>
      <c r="K27" s="273"/>
      <c r="L27" s="439">
        <v>303.36134453781517</v>
      </c>
      <c r="M27" s="273"/>
      <c r="N27" s="439">
        <v>1596.6386554621849</v>
      </c>
      <c r="O27" s="273"/>
      <c r="P27" s="439">
        <v>1900</v>
      </c>
      <c r="Q27" s="273"/>
      <c r="R27">
        <f>presup!M$368</f>
        <v>0</v>
      </c>
    </row>
    <row r="28" spans="1:18" ht="12.75" customHeight="1" x14ac:dyDescent="0.25">
      <c r="A28" s="111" t="s">
        <v>1834</v>
      </c>
      <c r="B28" s="106">
        <v>45037</v>
      </c>
      <c r="C28" s="309" t="s">
        <v>997</v>
      </c>
      <c r="D28" s="271"/>
      <c r="E28" s="271"/>
      <c r="F28" s="271"/>
      <c r="G28" s="271"/>
      <c r="H28" s="273"/>
      <c r="I28" s="20" t="s">
        <v>1382</v>
      </c>
      <c r="J28" s="439">
        <f t="shared" si="1"/>
        <v>497116</v>
      </c>
      <c r="K28" s="273"/>
      <c r="L28" s="439">
        <v>79371.462184873948</v>
      </c>
      <c r="M28" s="273"/>
      <c r="N28" s="439">
        <v>417744.53781512607</v>
      </c>
      <c r="O28" s="273"/>
      <c r="P28" s="439">
        <v>497116</v>
      </c>
      <c r="Q28" s="273"/>
      <c r="R28">
        <f>presup!M$368</f>
        <v>0</v>
      </c>
    </row>
    <row r="29" spans="1:18" ht="12.75" customHeight="1" x14ac:dyDescent="0.25">
      <c r="A29" s="111" t="s">
        <v>1835</v>
      </c>
      <c r="B29" s="106">
        <v>45037</v>
      </c>
      <c r="C29" s="309" t="s">
        <v>990</v>
      </c>
      <c r="D29" s="271"/>
      <c r="E29" s="271"/>
      <c r="F29" s="271"/>
      <c r="G29" s="271"/>
      <c r="H29" s="273"/>
      <c r="I29" s="20" t="s">
        <v>1815</v>
      </c>
      <c r="J29" s="439">
        <f t="shared" si="1"/>
        <v>7000</v>
      </c>
      <c r="K29" s="273"/>
      <c r="L29" s="439">
        <v>1117.6470588235295</v>
      </c>
      <c r="M29" s="273"/>
      <c r="N29" s="439">
        <v>5882.3529411764712</v>
      </c>
      <c r="O29" s="273"/>
      <c r="P29" s="439">
        <v>7000</v>
      </c>
      <c r="Q29" s="273"/>
      <c r="R29">
        <f>presup!M$368</f>
        <v>0</v>
      </c>
    </row>
    <row r="30" spans="1:18" ht="12.75" customHeight="1" x14ac:dyDescent="0.25">
      <c r="A30" s="111" t="s">
        <v>1836</v>
      </c>
      <c r="B30" s="106">
        <v>45037</v>
      </c>
      <c r="C30" s="309" t="s">
        <v>991</v>
      </c>
      <c r="D30" s="271"/>
      <c r="E30" s="271"/>
      <c r="F30" s="271"/>
      <c r="G30" s="271"/>
      <c r="H30" s="273"/>
      <c r="I30" s="20" t="s">
        <v>502</v>
      </c>
      <c r="J30" s="439">
        <f t="shared" si="1"/>
        <v>23550</v>
      </c>
      <c r="K30" s="273"/>
      <c r="L30" s="439">
        <v>3760.0840336134452</v>
      </c>
      <c r="M30" s="273"/>
      <c r="N30" s="439">
        <v>19789.915966386554</v>
      </c>
      <c r="O30" s="273"/>
      <c r="P30" s="439">
        <v>23550</v>
      </c>
      <c r="Q30" s="273"/>
      <c r="R30">
        <f>presup!M$368</f>
        <v>0</v>
      </c>
    </row>
    <row r="31" spans="1:18" ht="12.75" customHeight="1" x14ac:dyDescent="0.25">
      <c r="A31" s="111" t="s">
        <v>1837</v>
      </c>
      <c r="B31" s="106">
        <v>45037</v>
      </c>
      <c r="C31" s="309" t="s">
        <v>992</v>
      </c>
      <c r="D31" s="271"/>
      <c r="E31" s="271"/>
      <c r="F31" s="271"/>
      <c r="G31" s="271"/>
      <c r="H31" s="273"/>
      <c r="I31" s="20" t="s">
        <v>1815</v>
      </c>
      <c r="J31" s="439">
        <f t="shared" si="1"/>
        <v>868.29</v>
      </c>
      <c r="K31" s="273"/>
      <c r="L31" s="439">
        <v>138.63453781512607</v>
      </c>
      <c r="M31" s="273"/>
      <c r="N31" s="439">
        <v>729.65546218487395</v>
      </c>
      <c r="O31" s="273"/>
      <c r="P31" s="439">
        <v>868.29</v>
      </c>
      <c r="Q31" s="273"/>
      <c r="R31">
        <f>presup!M$368</f>
        <v>0</v>
      </c>
    </row>
    <row r="32" spans="1:18" ht="12.75" customHeight="1" x14ac:dyDescent="0.25">
      <c r="A32" s="105" t="s">
        <v>1838</v>
      </c>
      <c r="B32" s="106">
        <v>45038</v>
      </c>
      <c r="C32" s="309" t="s">
        <v>982</v>
      </c>
      <c r="D32" s="271"/>
      <c r="E32" s="271"/>
      <c r="F32" s="271"/>
      <c r="G32" s="271"/>
      <c r="H32" s="273"/>
      <c r="I32" s="20" t="s">
        <v>1815</v>
      </c>
      <c r="J32" s="439">
        <f t="shared" si="1"/>
        <v>19650</v>
      </c>
      <c r="K32" s="273"/>
      <c r="L32" s="439">
        <v>3137.3949579831933</v>
      </c>
      <c r="M32" s="273"/>
      <c r="N32" s="439">
        <v>16512.605042016807</v>
      </c>
      <c r="O32" s="273"/>
      <c r="P32" s="439">
        <v>19650</v>
      </c>
      <c r="Q32" s="273"/>
      <c r="R32">
        <f>presup!M$368</f>
        <v>0</v>
      </c>
    </row>
    <row r="33" spans="1:18" ht="12.75" customHeight="1" x14ac:dyDescent="0.25">
      <c r="A33" s="111" t="s">
        <v>1839</v>
      </c>
      <c r="B33" s="106">
        <v>45038</v>
      </c>
      <c r="C33" s="309" t="s">
        <v>983</v>
      </c>
      <c r="D33" s="271"/>
      <c r="E33" s="271"/>
      <c r="F33" s="271"/>
      <c r="G33" s="271"/>
      <c r="H33" s="273"/>
      <c r="I33" s="20" t="s">
        <v>502</v>
      </c>
      <c r="J33" s="439">
        <f t="shared" si="1"/>
        <v>10600</v>
      </c>
      <c r="K33" s="273"/>
      <c r="L33" s="439">
        <v>1692.4369747899159</v>
      </c>
      <c r="M33" s="273"/>
      <c r="N33" s="439">
        <v>8907.5630252100837</v>
      </c>
      <c r="O33" s="273"/>
      <c r="P33" s="439">
        <v>10600</v>
      </c>
      <c r="Q33" s="273"/>
      <c r="R33">
        <f>presup!M$368</f>
        <v>0</v>
      </c>
    </row>
    <row r="34" spans="1:18" ht="12.75" customHeight="1" x14ac:dyDescent="0.25">
      <c r="A34" s="111" t="s">
        <v>1840</v>
      </c>
      <c r="B34" s="106">
        <v>45038</v>
      </c>
      <c r="C34" s="464" t="s">
        <v>984</v>
      </c>
      <c r="D34" s="463"/>
      <c r="E34" s="463"/>
      <c r="F34" s="463"/>
      <c r="G34" s="463"/>
      <c r="H34" s="446"/>
      <c r="I34" s="20" t="s">
        <v>1410</v>
      </c>
      <c r="J34" s="439">
        <f t="shared" si="1"/>
        <v>80900</v>
      </c>
      <c r="K34" s="273"/>
      <c r="L34" s="439">
        <v>12916.806722689076</v>
      </c>
      <c r="M34" s="273"/>
      <c r="N34" s="439">
        <v>67983.193277310929</v>
      </c>
      <c r="O34" s="273"/>
      <c r="P34" s="439">
        <v>80900</v>
      </c>
      <c r="Q34" s="273"/>
      <c r="R34">
        <f>presup!M$368</f>
        <v>0</v>
      </c>
    </row>
    <row r="35" spans="1:18" ht="12.75" customHeight="1" x14ac:dyDescent="0.25">
      <c r="A35" s="111" t="s">
        <v>1841</v>
      </c>
      <c r="B35" s="106">
        <v>45038</v>
      </c>
      <c r="C35" s="464" t="s">
        <v>948</v>
      </c>
      <c r="D35" s="463"/>
      <c r="E35" s="463"/>
      <c r="F35" s="463"/>
      <c r="G35" s="463"/>
      <c r="H35" s="446"/>
      <c r="I35" s="20" t="s">
        <v>502</v>
      </c>
      <c r="J35" s="439">
        <f t="shared" si="1"/>
        <v>25000</v>
      </c>
      <c r="K35" s="273"/>
      <c r="L35" s="439">
        <v>3991.5966386554624</v>
      </c>
      <c r="M35" s="273"/>
      <c r="N35" s="439">
        <v>21008.403361344539</v>
      </c>
      <c r="O35" s="273"/>
      <c r="P35" s="439">
        <v>25000</v>
      </c>
      <c r="Q35" s="273"/>
      <c r="R35">
        <f>presup!M$368</f>
        <v>0</v>
      </c>
    </row>
    <row r="36" spans="1:18" ht="12.75" customHeight="1" x14ac:dyDescent="0.25">
      <c r="A36" s="105" t="s">
        <v>1842</v>
      </c>
      <c r="B36" s="106">
        <v>45038</v>
      </c>
      <c r="C36" s="309" t="s">
        <v>1002</v>
      </c>
      <c r="D36" s="271"/>
      <c r="E36" s="271"/>
      <c r="F36" s="271"/>
      <c r="G36" s="271"/>
      <c r="H36" s="273"/>
      <c r="I36" s="20" t="s">
        <v>502</v>
      </c>
      <c r="J36" s="439">
        <f t="shared" si="1"/>
        <v>12000</v>
      </c>
      <c r="K36" s="273"/>
      <c r="L36" s="439">
        <v>1915.966386554622</v>
      </c>
      <c r="M36" s="273"/>
      <c r="N36" s="439">
        <v>10084.033613445379</v>
      </c>
      <c r="O36" s="273"/>
      <c r="P36" s="439">
        <v>12000</v>
      </c>
      <c r="Q36" s="273"/>
      <c r="R36">
        <f>presup!M$368</f>
        <v>0</v>
      </c>
    </row>
    <row r="37" spans="1:18" ht="12.75" customHeight="1" x14ac:dyDescent="0.25">
      <c r="A37" s="111" t="s">
        <v>1843</v>
      </c>
      <c r="B37" s="106">
        <v>45038</v>
      </c>
      <c r="C37" s="464" t="s">
        <v>946</v>
      </c>
      <c r="D37" s="463"/>
      <c r="E37" s="463"/>
      <c r="F37" s="463"/>
      <c r="G37" s="463"/>
      <c r="H37" s="446"/>
      <c r="I37" s="20" t="s">
        <v>502</v>
      </c>
      <c r="J37" s="439">
        <f t="shared" si="1"/>
        <v>18000</v>
      </c>
      <c r="K37" s="273"/>
      <c r="L37" s="439">
        <v>2873.9495798319331</v>
      </c>
      <c r="M37" s="273"/>
      <c r="N37" s="439">
        <v>15126.050420168069</v>
      </c>
      <c r="O37" s="273"/>
      <c r="P37" s="439">
        <v>18000</v>
      </c>
      <c r="Q37" s="273"/>
      <c r="R37">
        <f>presup!M$368</f>
        <v>0</v>
      </c>
    </row>
    <row r="38" spans="1:18" ht="12.75" customHeight="1" x14ac:dyDescent="0.25">
      <c r="A38" s="111" t="s">
        <v>1844</v>
      </c>
      <c r="B38" s="106">
        <v>45038</v>
      </c>
      <c r="C38" s="464" t="s">
        <v>947</v>
      </c>
      <c r="D38" s="463"/>
      <c r="E38" s="463"/>
      <c r="F38" s="463"/>
      <c r="G38" s="463"/>
      <c r="H38" s="446"/>
      <c r="I38" s="20" t="s">
        <v>1845</v>
      </c>
      <c r="J38" s="439">
        <f t="shared" si="1"/>
        <v>5500</v>
      </c>
      <c r="K38" s="273"/>
      <c r="L38" s="439">
        <v>878.15126050420167</v>
      </c>
      <c r="M38" s="273"/>
      <c r="N38" s="439">
        <v>4621.8487394957983</v>
      </c>
      <c r="O38" s="273"/>
      <c r="P38" s="439">
        <v>5500</v>
      </c>
      <c r="Q38" s="273"/>
      <c r="R38">
        <f>presup!M$368</f>
        <v>0</v>
      </c>
    </row>
    <row r="39" spans="1:18" ht="12.75" customHeight="1" x14ac:dyDescent="0.25">
      <c r="A39" s="105" t="s">
        <v>1846</v>
      </c>
      <c r="B39" s="106">
        <v>45038</v>
      </c>
      <c r="C39" s="309" t="s">
        <v>1000</v>
      </c>
      <c r="D39" s="271"/>
      <c r="E39" s="271"/>
      <c r="F39" s="271"/>
      <c r="G39" s="271"/>
      <c r="H39" s="273"/>
      <c r="I39" s="20" t="s">
        <v>1382</v>
      </c>
      <c r="J39" s="439">
        <f t="shared" si="1"/>
        <v>539482</v>
      </c>
      <c r="K39" s="273"/>
      <c r="L39" s="439">
        <v>86135.781512605041</v>
      </c>
      <c r="M39" s="273"/>
      <c r="N39" s="439">
        <v>453346.21848739497</v>
      </c>
      <c r="O39" s="273"/>
      <c r="P39" s="439">
        <v>539482</v>
      </c>
      <c r="Q39" s="273"/>
      <c r="R39">
        <f>presup!M$368</f>
        <v>0</v>
      </c>
    </row>
    <row r="40" spans="1:18" ht="12.75" customHeight="1" x14ac:dyDescent="0.25">
      <c r="A40" s="111" t="s">
        <v>1847</v>
      </c>
      <c r="B40" s="106">
        <v>45038</v>
      </c>
      <c r="C40" s="309" t="s">
        <v>1175</v>
      </c>
      <c r="D40" s="271"/>
      <c r="E40" s="271"/>
      <c r="F40" s="271"/>
      <c r="G40" s="271"/>
      <c r="H40" s="273"/>
      <c r="I40" s="20" t="s">
        <v>21</v>
      </c>
      <c r="J40" s="439">
        <v>6303.68</v>
      </c>
      <c r="K40" s="273"/>
      <c r="L40" s="439">
        <v>1006.4699159663867</v>
      </c>
      <c r="M40" s="273"/>
      <c r="N40" s="439">
        <v>5297.2100840336143</v>
      </c>
      <c r="O40" s="273"/>
      <c r="P40" s="439">
        <v>13369.44</v>
      </c>
      <c r="Q40" s="273"/>
      <c r="R40">
        <f>presup!M$368</f>
        <v>0</v>
      </c>
    </row>
    <row r="41" spans="1:18" ht="12.75" customHeight="1" x14ac:dyDescent="0.25">
      <c r="A41" s="105" t="s">
        <v>1848</v>
      </c>
      <c r="B41" s="106">
        <v>45039</v>
      </c>
      <c r="C41" s="309" t="s">
        <v>978</v>
      </c>
      <c r="D41" s="271"/>
      <c r="E41" s="271"/>
      <c r="F41" s="271"/>
      <c r="G41" s="271"/>
      <c r="H41" s="273"/>
      <c r="I41" s="20" t="s">
        <v>1827</v>
      </c>
      <c r="J41" s="439">
        <f t="shared" ref="J41:J43" si="2">AVERAGE(P41:Q41)</f>
        <v>7857.14</v>
      </c>
      <c r="K41" s="273"/>
      <c r="L41" s="439">
        <v>1254.5013445378154</v>
      </c>
      <c r="M41" s="273"/>
      <c r="N41" s="439">
        <v>6602.6386554621859</v>
      </c>
      <c r="O41" s="273"/>
      <c r="P41" s="439">
        <v>7857.14</v>
      </c>
      <c r="Q41" s="273"/>
      <c r="R41">
        <f>presup!M$368</f>
        <v>0</v>
      </c>
    </row>
    <row r="42" spans="1:18" ht="12.75" customHeight="1" x14ac:dyDescent="0.25">
      <c r="A42" s="105" t="s">
        <v>1849</v>
      </c>
      <c r="B42" s="106">
        <v>45038</v>
      </c>
      <c r="C42" s="469" t="s">
        <v>975</v>
      </c>
      <c r="D42" s="373"/>
      <c r="E42" s="373"/>
      <c r="F42" s="373"/>
      <c r="G42" s="373"/>
      <c r="H42" s="361"/>
      <c r="I42" s="20" t="s">
        <v>1382</v>
      </c>
      <c r="J42" s="451">
        <v>95200</v>
      </c>
      <c r="K42" s="361"/>
      <c r="L42" s="439">
        <v>13271.31</v>
      </c>
      <c r="M42" s="273"/>
      <c r="N42" s="439">
        <v>69849</v>
      </c>
      <c r="O42" s="273"/>
      <c r="P42" s="439">
        <v>83120.31</v>
      </c>
      <c r="Q42" s="273"/>
      <c r="R42">
        <f>presup!M$368</f>
        <v>0</v>
      </c>
    </row>
    <row r="43" spans="1:18" ht="12.75" customHeight="1" x14ac:dyDescent="0.25">
      <c r="A43" s="111" t="s">
        <v>1850</v>
      </c>
      <c r="B43" s="106">
        <v>45041</v>
      </c>
      <c r="C43" s="464" t="s">
        <v>985</v>
      </c>
      <c r="D43" s="463"/>
      <c r="E43" s="463"/>
      <c r="F43" s="463"/>
      <c r="G43" s="463"/>
      <c r="H43" s="446"/>
      <c r="I43" s="20" t="s">
        <v>1410</v>
      </c>
      <c r="J43" s="439">
        <f t="shared" si="2"/>
        <v>47200</v>
      </c>
      <c r="K43" s="273"/>
      <c r="L43" s="439">
        <v>7536.134453781513</v>
      </c>
      <c r="M43" s="273"/>
      <c r="N43" s="439">
        <v>39663.865546218491</v>
      </c>
      <c r="O43" s="273"/>
      <c r="P43" s="439">
        <v>47200</v>
      </c>
      <c r="Q43" s="273"/>
      <c r="R43">
        <f>presup!M$368</f>
        <v>0</v>
      </c>
    </row>
    <row r="44" spans="1:18" ht="12.75" customHeight="1" x14ac:dyDescent="0.25">
      <c r="A44" s="105" t="s">
        <v>1851</v>
      </c>
      <c r="B44" s="106">
        <v>45041</v>
      </c>
      <c r="C44" s="309" t="s">
        <v>1004</v>
      </c>
      <c r="D44" s="271"/>
      <c r="E44" s="271"/>
      <c r="F44" s="271"/>
      <c r="G44" s="271"/>
      <c r="H44" s="273"/>
      <c r="I44" s="20" t="s">
        <v>21</v>
      </c>
      <c r="J44" s="439">
        <v>10433.73</v>
      </c>
      <c r="K44" s="273"/>
      <c r="L44" s="439">
        <v>1665.8896638655463</v>
      </c>
      <c r="M44" s="273"/>
      <c r="N44" s="439">
        <v>8767.8403361344535</v>
      </c>
      <c r="O44" s="273"/>
      <c r="P44" s="439">
        <v>10433.73</v>
      </c>
      <c r="Q44" s="273"/>
      <c r="R44">
        <f>presup!M$368</f>
        <v>0</v>
      </c>
    </row>
    <row r="45" spans="1:18" ht="12.75" customHeight="1" x14ac:dyDescent="0.25">
      <c r="A45" s="105" t="s">
        <v>1852</v>
      </c>
      <c r="B45" s="106">
        <v>45041</v>
      </c>
      <c r="C45" s="309" t="s">
        <v>1005</v>
      </c>
      <c r="D45" s="271"/>
      <c r="E45" s="271"/>
      <c r="F45" s="271"/>
      <c r="G45" s="271"/>
      <c r="H45" s="273"/>
      <c r="I45" s="20" t="s">
        <v>1382</v>
      </c>
      <c r="J45" s="439">
        <v>49455.87</v>
      </c>
      <c r="K45" s="273"/>
      <c r="L45" s="439">
        <v>7896.315378151261</v>
      </c>
      <c r="M45" s="273"/>
      <c r="N45" s="439">
        <v>41559.554621848743</v>
      </c>
      <c r="O45" s="273"/>
      <c r="P45" s="439">
        <v>49455.87</v>
      </c>
      <c r="Q45" s="273"/>
      <c r="R45">
        <f>presup!M$368</f>
        <v>0</v>
      </c>
    </row>
    <row r="46" spans="1:18" ht="12.75" customHeight="1" x14ac:dyDescent="0.25">
      <c r="A46" s="105" t="s">
        <v>1853</v>
      </c>
      <c r="B46" s="106">
        <v>45041</v>
      </c>
      <c r="C46" s="309" t="s">
        <v>1006</v>
      </c>
      <c r="D46" s="271"/>
      <c r="E46" s="271"/>
      <c r="F46" s="271"/>
      <c r="G46" s="271"/>
      <c r="H46" s="273"/>
      <c r="I46" s="20" t="s">
        <v>21</v>
      </c>
      <c r="J46" s="439">
        <v>62.6</v>
      </c>
      <c r="K46" s="273"/>
      <c r="L46" s="439">
        <v>9.9949579831932791</v>
      </c>
      <c r="M46" s="273"/>
      <c r="N46" s="439">
        <v>52.605042016806728</v>
      </c>
      <c r="O46" s="273"/>
      <c r="P46" s="439">
        <v>62.6</v>
      </c>
      <c r="Q46" s="273"/>
      <c r="R46">
        <f>presup!M$368</f>
        <v>0</v>
      </c>
    </row>
    <row r="47" spans="1:18" ht="12.75" customHeight="1" x14ac:dyDescent="0.25">
      <c r="A47" s="105" t="s">
        <v>1854</v>
      </c>
      <c r="B47" s="106">
        <v>45041</v>
      </c>
      <c r="C47" s="309" t="s">
        <v>1007</v>
      </c>
      <c r="D47" s="271"/>
      <c r="E47" s="271"/>
      <c r="F47" s="271"/>
      <c r="G47" s="271"/>
      <c r="H47" s="273"/>
      <c r="I47" s="20" t="s">
        <v>21</v>
      </c>
      <c r="J47" s="439">
        <v>855.57</v>
      </c>
      <c r="K47" s="273"/>
      <c r="L47" s="439">
        <v>136.60361344537819</v>
      </c>
      <c r="M47" s="273"/>
      <c r="N47" s="439">
        <v>718.96638655462198</v>
      </c>
      <c r="O47" s="273"/>
      <c r="P47" s="439">
        <v>855.57</v>
      </c>
      <c r="Q47" s="273"/>
      <c r="R47">
        <f>presup!M$368</f>
        <v>0</v>
      </c>
    </row>
    <row r="48" spans="1:18" ht="12.75" customHeight="1" x14ac:dyDescent="0.25">
      <c r="A48" s="111" t="s">
        <v>1855</v>
      </c>
      <c r="B48" s="106">
        <v>45041</v>
      </c>
      <c r="C48" s="469" t="s">
        <v>1010</v>
      </c>
      <c r="D48" s="373"/>
      <c r="E48" s="373"/>
      <c r="F48" s="373"/>
      <c r="G48" s="373"/>
      <c r="H48" s="361"/>
      <c r="I48" s="20" t="s">
        <v>1382</v>
      </c>
      <c r="J48" s="451">
        <v>49933.35</v>
      </c>
      <c r="K48" s="361"/>
      <c r="L48" s="439">
        <v>7972.551680672269</v>
      </c>
      <c r="M48" s="273"/>
      <c r="N48" s="439">
        <v>41960.798319327732</v>
      </c>
      <c r="O48" s="273"/>
      <c r="P48" s="439">
        <v>85500</v>
      </c>
      <c r="Q48" s="273"/>
      <c r="R48">
        <f>presup!M$368</f>
        <v>0</v>
      </c>
    </row>
    <row r="49" spans="1:18" ht="12.75" customHeight="1" x14ac:dyDescent="0.25">
      <c r="A49" s="111" t="s">
        <v>1856</v>
      </c>
      <c r="B49" s="106">
        <v>45041</v>
      </c>
      <c r="C49" s="464" t="s">
        <v>1013</v>
      </c>
      <c r="D49" s="463"/>
      <c r="E49" s="463"/>
      <c r="F49" s="463"/>
      <c r="G49" s="463"/>
      <c r="H49" s="446"/>
      <c r="I49" s="20" t="s">
        <v>1827</v>
      </c>
      <c r="J49" s="439">
        <v>7510.64</v>
      </c>
      <c r="K49" s="273"/>
      <c r="L49" s="439">
        <v>1199.1778151260505</v>
      </c>
      <c r="M49" s="273"/>
      <c r="N49" s="439">
        <v>6311.4621848739498</v>
      </c>
      <c r="O49" s="273"/>
      <c r="P49" s="439">
        <v>5629.98</v>
      </c>
      <c r="Q49" s="273"/>
      <c r="R49">
        <f>presup!M$368</f>
        <v>0</v>
      </c>
    </row>
    <row r="50" spans="1:18" ht="12.75" customHeight="1" x14ac:dyDescent="0.25">
      <c r="A50" s="111" t="s">
        <v>1857</v>
      </c>
      <c r="B50" s="106">
        <v>45041</v>
      </c>
      <c r="C50" s="464" t="s">
        <v>1014</v>
      </c>
      <c r="D50" s="463"/>
      <c r="E50" s="463"/>
      <c r="F50" s="463"/>
      <c r="G50" s="463"/>
      <c r="H50" s="446"/>
      <c r="I50" s="20" t="s">
        <v>21</v>
      </c>
      <c r="J50" s="439">
        <v>21975</v>
      </c>
      <c r="K50" s="273"/>
      <c r="L50" s="439">
        <v>3508.6134453781519</v>
      </c>
      <c r="M50" s="273"/>
      <c r="N50" s="439">
        <v>18466.386554621851</v>
      </c>
      <c r="O50" s="273"/>
      <c r="P50" s="439">
        <v>21975</v>
      </c>
      <c r="Q50" s="273"/>
      <c r="R50">
        <f>presup!M$368</f>
        <v>0</v>
      </c>
    </row>
    <row r="51" spans="1:18" ht="12.75" customHeight="1" x14ac:dyDescent="0.25">
      <c r="A51" s="111" t="s">
        <v>1858</v>
      </c>
      <c r="B51" s="106">
        <v>45041</v>
      </c>
      <c r="C51" s="309" t="s">
        <v>1021</v>
      </c>
      <c r="D51" s="271"/>
      <c r="E51" s="271"/>
      <c r="F51" s="271"/>
      <c r="G51" s="271"/>
      <c r="H51" s="273"/>
      <c r="I51" s="20" t="s">
        <v>1382</v>
      </c>
      <c r="J51" s="439">
        <v>38203.96</v>
      </c>
      <c r="K51" s="273"/>
      <c r="L51" s="439">
        <v>6099.7919327731097</v>
      </c>
      <c r="M51" s="273"/>
      <c r="N51" s="439">
        <v>32104.168067226892</v>
      </c>
      <c r="O51" s="273"/>
      <c r="P51" s="439">
        <v>38203.96</v>
      </c>
      <c r="Q51" s="273"/>
      <c r="R51">
        <f>presup!M$368</f>
        <v>0</v>
      </c>
    </row>
    <row r="52" spans="1:18" ht="12.75" customHeight="1" x14ac:dyDescent="0.25">
      <c r="A52" s="111" t="s">
        <v>1859</v>
      </c>
      <c r="B52" s="106">
        <v>45041</v>
      </c>
      <c r="C52" s="309" t="s">
        <v>1020</v>
      </c>
      <c r="D52" s="271"/>
      <c r="E52" s="271"/>
      <c r="F52" s="271"/>
      <c r="G52" s="271"/>
      <c r="H52" s="273"/>
      <c r="I52" s="20" t="s">
        <v>1815</v>
      </c>
      <c r="J52" s="439">
        <v>7889.29</v>
      </c>
      <c r="K52" s="273"/>
      <c r="L52" s="439">
        <v>1259.6345378151261</v>
      </c>
      <c r="M52" s="273"/>
      <c r="N52" s="439">
        <v>6629.6554621848745</v>
      </c>
      <c r="O52" s="273"/>
      <c r="P52" s="439">
        <v>7889.29</v>
      </c>
      <c r="Q52" s="273"/>
      <c r="R52">
        <f>presup!M$368</f>
        <v>0</v>
      </c>
    </row>
    <row r="53" spans="1:18" ht="12.75" customHeight="1" x14ac:dyDescent="0.25">
      <c r="A53" s="111" t="s">
        <v>1860</v>
      </c>
      <c r="B53" s="106">
        <v>45041</v>
      </c>
      <c r="C53" s="309" t="s">
        <v>1019</v>
      </c>
      <c r="D53" s="271"/>
      <c r="E53" s="271"/>
      <c r="F53" s="271"/>
      <c r="G53" s="271"/>
      <c r="H53" s="273"/>
      <c r="I53" s="20" t="s">
        <v>21</v>
      </c>
      <c r="J53" s="439">
        <v>23800</v>
      </c>
      <c r="K53" s="273"/>
      <c r="L53" s="439">
        <v>3800</v>
      </c>
      <c r="M53" s="273"/>
      <c r="N53" s="439">
        <v>20000</v>
      </c>
      <c r="O53" s="273"/>
      <c r="P53" s="439">
        <v>23800</v>
      </c>
      <c r="Q53" s="273"/>
      <c r="R53">
        <f>presup!M$368</f>
        <v>0</v>
      </c>
    </row>
    <row r="54" spans="1:18" ht="12.75" customHeight="1" x14ac:dyDescent="0.25">
      <c r="A54" s="111" t="s">
        <v>1861</v>
      </c>
      <c r="B54" s="106">
        <v>45041</v>
      </c>
      <c r="C54" s="309" t="s">
        <v>1018</v>
      </c>
      <c r="D54" s="271"/>
      <c r="E54" s="271"/>
      <c r="F54" s="271"/>
      <c r="G54" s="271"/>
      <c r="H54" s="273"/>
      <c r="I54" s="20" t="s">
        <v>1815</v>
      </c>
      <c r="J54" s="439">
        <v>8320.98</v>
      </c>
      <c r="K54" s="273"/>
      <c r="L54" s="439">
        <v>1328.559831932773</v>
      </c>
      <c r="M54" s="273"/>
      <c r="N54" s="439">
        <v>6992.4201680672268</v>
      </c>
      <c r="O54" s="273"/>
      <c r="P54" s="439">
        <v>8320.98</v>
      </c>
      <c r="Q54" s="273"/>
      <c r="R54">
        <f>presup!M$368</f>
        <v>0</v>
      </c>
    </row>
    <row r="55" spans="1:18" ht="12.75" customHeight="1" x14ac:dyDescent="0.25">
      <c r="A55" s="111" t="s">
        <v>1862</v>
      </c>
      <c r="B55" s="106">
        <v>45041</v>
      </c>
      <c r="C55" s="309" t="s">
        <v>1017</v>
      </c>
      <c r="D55" s="271"/>
      <c r="E55" s="271"/>
      <c r="F55" s="271"/>
      <c r="G55" s="271"/>
      <c r="H55" s="273"/>
      <c r="I55" s="20" t="s">
        <v>1815</v>
      </c>
      <c r="J55" s="439">
        <v>2110.38</v>
      </c>
      <c r="K55" s="273"/>
      <c r="L55" s="439">
        <v>336.95142857142861</v>
      </c>
      <c r="M55" s="273"/>
      <c r="N55" s="439">
        <v>1773.4285714285716</v>
      </c>
      <c r="O55" s="273"/>
      <c r="P55" s="439">
        <v>2110.38</v>
      </c>
      <c r="Q55" s="273"/>
      <c r="R55">
        <f>presup!M$368</f>
        <v>0</v>
      </c>
    </row>
    <row r="56" spans="1:18" ht="27" customHeight="1" x14ac:dyDescent="0.2">
      <c r="A56" s="108" t="s">
        <v>1863</v>
      </c>
      <c r="B56" s="112">
        <v>45041</v>
      </c>
      <c r="C56" s="365" t="s">
        <v>1016</v>
      </c>
      <c r="D56" s="271"/>
      <c r="E56" s="271"/>
      <c r="F56" s="271"/>
      <c r="G56" s="271"/>
      <c r="H56" s="273"/>
      <c r="I56" s="26" t="s">
        <v>502</v>
      </c>
      <c r="J56" s="440">
        <v>56982.559999999998</v>
      </c>
      <c r="K56" s="273"/>
      <c r="L56" s="440">
        <v>9098.0557983193266</v>
      </c>
      <c r="M56" s="273"/>
      <c r="N56" s="440">
        <v>47884.504201680669</v>
      </c>
      <c r="O56" s="273"/>
      <c r="P56" s="440">
        <v>56982.559999999998</v>
      </c>
      <c r="Q56" s="273"/>
      <c r="R56">
        <f>presup!M$368</f>
        <v>0</v>
      </c>
    </row>
    <row r="57" spans="1:18" ht="12.75" customHeight="1" x14ac:dyDescent="0.25">
      <c r="A57" s="111" t="s">
        <v>1864</v>
      </c>
      <c r="B57" s="106">
        <v>45041</v>
      </c>
      <c r="C57" s="464" t="s">
        <v>1028</v>
      </c>
      <c r="D57" s="463"/>
      <c r="E57" s="463"/>
      <c r="F57" s="463"/>
      <c r="G57" s="463"/>
      <c r="H57" s="446"/>
      <c r="I57" s="20" t="s">
        <v>1815</v>
      </c>
      <c r="J57" s="439">
        <v>18316.669999999998</v>
      </c>
      <c r="K57" s="273"/>
      <c r="L57" s="439">
        <v>2924.5103361344536</v>
      </c>
      <c r="M57" s="273"/>
      <c r="N57" s="439">
        <v>15392.159663865545</v>
      </c>
      <c r="O57" s="273"/>
      <c r="P57" s="439">
        <v>18316.669999999998</v>
      </c>
      <c r="Q57" s="273"/>
      <c r="R57">
        <f>presup!M$368</f>
        <v>0</v>
      </c>
    </row>
    <row r="58" spans="1:18" ht="12.75" customHeight="1" x14ac:dyDescent="0.25">
      <c r="A58" s="111" t="s">
        <v>1865</v>
      </c>
      <c r="B58" s="106">
        <v>45041</v>
      </c>
      <c r="C58" s="464" t="s">
        <v>1029</v>
      </c>
      <c r="D58" s="463"/>
      <c r="E58" s="463"/>
      <c r="F58" s="463"/>
      <c r="G58" s="463"/>
      <c r="H58" s="446"/>
      <c r="I58" s="20" t="s">
        <v>502</v>
      </c>
      <c r="J58" s="439">
        <v>24887</v>
      </c>
      <c r="K58" s="273"/>
      <c r="L58" s="439">
        <v>3973.5546218487393</v>
      </c>
      <c r="M58" s="273"/>
      <c r="N58" s="439">
        <v>20913.44537815126</v>
      </c>
      <c r="O58" s="273"/>
      <c r="P58" s="439">
        <v>24887</v>
      </c>
      <c r="Q58" s="273"/>
      <c r="R58">
        <f>presup!M$368</f>
        <v>0</v>
      </c>
    </row>
    <row r="59" spans="1:18" ht="12.75" customHeight="1" x14ac:dyDescent="0.25">
      <c r="A59" s="111" t="s">
        <v>1866</v>
      </c>
      <c r="B59" s="106">
        <v>45041</v>
      </c>
      <c r="C59" s="464" t="s">
        <v>1030</v>
      </c>
      <c r="D59" s="463"/>
      <c r="E59" s="463"/>
      <c r="F59" s="463"/>
      <c r="G59" s="463"/>
      <c r="H59" s="446"/>
      <c r="I59" s="20" t="s">
        <v>502</v>
      </c>
      <c r="J59" s="439">
        <v>2841</v>
      </c>
      <c r="K59" s="273"/>
      <c r="L59" s="439">
        <v>453.60504201680675</v>
      </c>
      <c r="M59" s="273"/>
      <c r="N59" s="439">
        <v>2387.3949579831933</v>
      </c>
      <c r="O59" s="273"/>
      <c r="P59" s="439">
        <v>2841</v>
      </c>
      <c r="Q59" s="273"/>
      <c r="R59">
        <f>presup!M$368</f>
        <v>0</v>
      </c>
    </row>
    <row r="60" spans="1:18" ht="12.75" customHeight="1" x14ac:dyDescent="0.25">
      <c r="A60" s="111" t="s">
        <v>1867</v>
      </c>
      <c r="B60" s="106">
        <v>45041</v>
      </c>
      <c r="C60" s="464" t="s">
        <v>1031</v>
      </c>
      <c r="D60" s="463"/>
      <c r="E60" s="463"/>
      <c r="F60" s="463"/>
      <c r="G60" s="463"/>
      <c r="H60" s="446"/>
      <c r="I60" s="20" t="s">
        <v>21</v>
      </c>
      <c r="J60" s="439">
        <v>21380</v>
      </c>
      <c r="K60" s="273"/>
      <c r="L60" s="439">
        <v>3413.6134453781519</v>
      </c>
      <c r="M60" s="273"/>
      <c r="N60" s="439">
        <v>17966.386554621851</v>
      </c>
      <c r="O60" s="273"/>
      <c r="P60" s="439">
        <v>21380</v>
      </c>
      <c r="Q60" s="273"/>
      <c r="R60">
        <f>presup!M$368</f>
        <v>0</v>
      </c>
    </row>
    <row r="61" spans="1:18" ht="12.75" customHeight="1" x14ac:dyDescent="0.25">
      <c r="A61" s="111" t="s">
        <v>1868</v>
      </c>
      <c r="B61" s="106">
        <v>45041</v>
      </c>
      <c r="C61" s="464" t="s">
        <v>1035</v>
      </c>
      <c r="D61" s="463"/>
      <c r="E61" s="463"/>
      <c r="F61" s="463"/>
      <c r="G61" s="463"/>
      <c r="H61" s="446"/>
      <c r="I61" s="20" t="s">
        <v>502</v>
      </c>
      <c r="J61" s="439">
        <v>70615.460000000006</v>
      </c>
      <c r="K61" s="273"/>
      <c r="L61" s="439">
        <v>11274.737310924371</v>
      </c>
      <c r="M61" s="273"/>
      <c r="N61" s="439">
        <v>59340.722689075636</v>
      </c>
      <c r="O61" s="273"/>
      <c r="P61" s="439">
        <v>70615.460000000006</v>
      </c>
      <c r="Q61" s="273"/>
      <c r="R61">
        <f>presup!M$368</f>
        <v>0</v>
      </c>
    </row>
    <row r="62" spans="1:18" ht="12.75" customHeight="1" x14ac:dyDescent="0.25">
      <c r="A62" s="111" t="s">
        <v>1869</v>
      </c>
      <c r="B62" s="106">
        <v>45041</v>
      </c>
      <c r="C62" s="464" t="s">
        <v>1036</v>
      </c>
      <c r="D62" s="463"/>
      <c r="E62" s="463"/>
      <c r="F62" s="463"/>
      <c r="G62" s="463"/>
      <c r="H62" s="446"/>
      <c r="I62" s="20" t="s">
        <v>502</v>
      </c>
      <c r="J62" s="439">
        <v>14423.59</v>
      </c>
      <c r="K62" s="273"/>
      <c r="L62" s="439">
        <v>2302.9261344537817</v>
      </c>
      <c r="M62" s="273"/>
      <c r="N62" s="439">
        <v>12120.663865546219</v>
      </c>
      <c r="O62" s="273"/>
      <c r="P62" s="439">
        <v>14423.59</v>
      </c>
      <c r="Q62" s="273"/>
      <c r="R62">
        <f>presup!M$368</f>
        <v>0</v>
      </c>
    </row>
    <row r="63" spans="1:18" ht="12.75" customHeight="1" x14ac:dyDescent="0.25">
      <c r="A63" s="111" t="s">
        <v>1870</v>
      </c>
      <c r="B63" s="106">
        <v>45041</v>
      </c>
      <c r="C63" s="464" t="s">
        <v>1037</v>
      </c>
      <c r="D63" s="463"/>
      <c r="E63" s="463"/>
      <c r="F63" s="463"/>
      <c r="G63" s="463"/>
      <c r="H63" s="446"/>
      <c r="I63" s="20" t="s">
        <v>502</v>
      </c>
      <c r="J63" s="439">
        <v>2584225.38</v>
      </c>
      <c r="K63" s="273"/>
      <c r="L63" s="439">
        <v>412607.41361344542</v>
      </c>
      <c r="M63" s="273"/>
      <c r="N63" s="439">
        <v>2171617.9663865548</v>
      </c>
      <c r="O63" s="273"/>
      <c r="P63" s="439">
        <v>2584225.38</v>
      </c>
      <c r="Q63" s="273"/>
      <c r="R63">
        <f>presup!M$368</f>
        <v>0</v>
      </c>
    </row>
    <row r="64" spans="1:18" ht="12.75" customHeight="1" x14ac:dyDescent="0.25">
      <c r="A64" s="111" t="s">
        <v>1871</v>
      </c>
      <c r="B64" s="106">
        <v>45041</v>
      </c>
      <c r="C64" s="464" t="s">
        <v>1038</v>
      </c>
      <c r="D64" s="463"/>
      <c r="E64" s="463"/>
      <c r="F64" s="463"/>
      <c r="G64" s="463"/>
      <c r="H64" s="446"/>
      <c r="I64" s="20" t="s">
        <v>1827</v>
      </c>
      <c r="J64" s="439">
        <v>85800</v>
      </c>
      <c r="K64" s="273"/>
      <c r="L64" s="439">
        <v>13699.159663865546</v>
      </c>
      <c r="M64" s="273"/>
      <c r="N64" s="439">
        <v>72100.840336134454</v>
      </c>
      <c r="O64" s="273"/>
      <c r="P64" s="439">
        <v>42100</v>
      </c>
      <c r="Q64" s="273"/>
      <c r="R64">
        <f>presup!M$368</f>
        <v>0</v>
      </c>
    </row>
    <row r="65" spans="1:18" ht="12.75" customHeight="1" x14ac:dyDescent="0.25">
      <c r="A65" s="111" t="s">
        <v>1872</v>
      </c>
      <c r="B65" s="106">
        <v>45041</v>
      </c>
      <c r="C65" s="464" t="s">
        <v>1039</v>
      </c>
      <c r="D65" s="463"/>
      <c r="E65" s="463"/>
      <c r="F65" s="463"/>
      <c r="G65" s="463"/>
      <c r="H65" s="446"/>
      <c r="I65" s="20" t="s">
        <v>21</v>
      </c>
      <c r="J65" s="439">
        <v>1596</v>
      </c>
      <c r="K65" s="273"/>
      <c r="L65" s="439">
        <v>254.82352941176472</v>
      </c>
      <c r="M65" s="273"/>
      <c r="N65" s="439">
        <v>1341.1764705882354</v>
      </c>
      <c r="O65" s="273"/>
      <c r="P65" s="439">
        <v>1596</v>
      </c>
      <c r="Q65" s="273"/>
      <c r="R65">
        <f>presup!M$368</f>
        <v>0</v>
      </c>
    </row>
    <row r="66" spans="1:18" ht="12.75" customHeight="1" x14ac:dyDescent="0.25">
      <c r="A66" s="111" t="s">
        <v>1873</v>
      </c>
      <c r="B66" s="106">
        <v>45041</v>
      </c>
      <c r="C66" s="464" t="s">
        <v>1040</v>
      </c>
      <c r="D66" s="463"/>
      <c r="E66" s="463"/>
      <c r="F66" s="463"/>
      <c r="G66" s="463"/>
      <c r="H66" s="446"/>
      <c r="I66" s="20" t="s">
        <v>21</v>
      </c>
      <c r="J66" s="439">
        <v>6800</v>
      </c>
      <c r="K66" s="273"/>
      <c r="L66" s="439">
        <v>1085.7142857142858</v>
      </c>
      <c r="M66" s="273"/>
      <c r="N66" s="439">
        <v>5714.2857142857147</v>
      </c>
      <c r="O66" s="273"/>
      <c r="P66" s="439">
        <v>6800</v>
      </c>
      <c r="Q66" s="273"/>
      <c r="R66">
        <f>presup!M$368</f>
        <v>0</v>
      </c>
    </row>
    <row r="67" spans="1:18" ht="12.75" customHeight="1" x14ac:dyDescent="0.25">
      <c r="A67" s="111" t="s">
        <v>1874</v>
      </c>
      <c r="B67" s="106">
        <v>45041</v>
      </c>
      <c r="C67" s="464" t="s">
        <v>1042</v>
      </c>
      <c r="D67" s="463"/>
      <c r="E67" s="463"/>
      <c r="F67" s="463"/>
      <c r="G67" s="463"/>
      <c r="H67" s="446"/>
      <c r="I67" s="20" t="s">
        <v>1827</v>
      </c>
      <c r="J67" s="439">
        <v>39900</v>
      </c>
      <c r="K67" s="273"/>
      <c r="L67" s="439">
        <v>6370.5882352941171</v>
      </c>
      <c r="M67" s="273"/>
      <c r="N67" s="439">
        <v>33529.411764705881</v>
      </c>
      <c r="O67" s="273"/>
      <c r="P67" s="439">
        <v>39900</v>
      </c>
      <c r="Q67" s="273"/>
      <c r="R67">
        <f>presup!M$368</f>
        <v>0</v>
      </c>
    </row>
    <row r="68" spans="1:18" ht="12.75" customHeight="1" x14ac:dyDescent="0.25">
      <c r="A68" s="111" t="s">
        <v>1875</v>
      </c>
      <c r="B68" s="106">
        <v>45041</v>
      </c>
      <c r="C68" s="464" t="s">
        <v>1043</v>
      </c>
      <c r="D68" s="463"/>
      <c r="E68" s="463"/>
      <c r="F68" s="463"/>
      <c r="G68" s="463"/>
      <c r="H68" s="446"/>
      <c r="I68" s="20" t="s">
        <v>1410</v>
      </c>
      <c r="J68" s="439">
        <v>80900</v>
      </c>
      <c r="K68" s="273"/>
      <c r="L68" s="439">
        <v>12916.806722689076</v>
      </c>
      <c r="M68" s="273"/>
      <c r="N68" s="439">
        <v>67983.193277310929</v>
      </c>
      <c r="O68" s="273"/>
      <c r="P68" s="439">
        <v>80900</v>
      </c>
      <c r="Q68" s="273"/>
      <c r="R68">
        <f>presup!M$368</f>
        <v>0</v>
      </c>
    </row>
    <row r="69" spans="1:18" ht="12.75" customHeight="1" x14ac:dyDescent="0.25">
      <c r="A69" s="111" t="s">
        <v>1876</v>
      </c>
      <c r="B69" s="106">
        <v>45041</v>
      </c>
      <c r="C69" s="464" t="s">
        <v>1044</v>
      </c>
      <c r="D69" s="463"/>
      <c r="E69" s="463"/>
      <c r="F69" s="463"/>
      <c r="G69" s="463"/>
      <c r="H69" s="446"/>
      <c r="I69" s="20" t="s">
        <v>1410</v>
      </c>
      <c r="J69" s="439">
        <v>76900</v>
      </c>
      <c r="K69" s="273"/>
      <c r="L69" s="439">
        <v>12278.151260504203</v>
      </c>
      <c r="M69" s="273"/>
      <c r="N69" s="439">
        <v>64621.848739495799</v>
      </c>
      <c r="O69" s="273"/>
      <c r="P69" s="439">
        <v>76900</v>
      </c>
      <c r="Q69" s="273"/>
      <c r="R69">
        <f>presup!M$368</f>
        <v>0</v>
      </c>
    </row>
    <row r="70" spans="1:18" ht="12.75" customHeight="1" x14ac:dyDescent="0.25">
      <c r="A70" s="111" t="s">
        <v>1877</v>
      </c>
      <c r="B70" s="106">
        <v>45041</v>
      </c>
      <c r="C70" s="464" t="s">
        <v>1045</v>
      </c>
      <c r="D70" s="463"/>
      <c r="E70" s="463"/>
      <c r="F70" s="463"/>
      <c r="G70" s="463"/>
      <c r="H70" s="446"/>
      <c r="I70" s="20" t="s">
        <v>502</v>
      </c>
      <c r="J70" s="439">
        <v>185200</v>
      </c>
      <c r="K70" s="273"/>
      <c r="L70" s="439">
        <v>29569.747899159669</v>
      </c>
      <c r="M70" s="273"/>
      <c r="N70" s="439">
        <v>155630.25210084036</v>
      </c>
      <c r="O70" s="273"/>
      <c r="P70" s="439">
        <v>185200</v>
      </c>
      <c r="Q70" s="273"/>
      <c r="R70">
        <f>presup!M$368</f>
        <v>0</v>
      </c>
    </row>
    <row r="71" spans="1:18" ht="12.75" customHeight="1" x14ac:dyDescent="0.25">
      <c r="A71" s="111" t="s">
        <v>1878</v>
      </c>
      <c r="B71" s="106">
        <v>45041</v>
      </c>
      <c r="C71" s="464" t="s">
        <v>1046</v>
      </c>
      <c r="D71" s="463"/>
      <c r="E71" s="463"/>
      <c r="F71" s="463"/>
      <c r="G71" s="463"/>
      <c r="H71" s="446"/>
      <c r="I71" s="20" t="s">
        <v>1410</v>
      </c>
      <c r="J71" s="439">
        <v>199900</v>
      </c>
      <c r="K71" s="273"/>
      <c r="L71" s="439">
        <v>31916.806722689078</v>
      </c>
      <c r="M71" s="273"/>
      <c r="N71" s="439">
        <v>167983.19327731093</v>
      </c>
      <c r="O71" s="273"/>
      <c r="P71" s="439">
        <v>199900</v>
      </c>
      <c r="Q71" s="273"/>
      <c r="R71">
        <f>presup!M$368</f>
        <v>0</v>
      </c>
    </row>
    <row r="72" spans="1:18" ht="12.75" customHeight="1" x14ac:dyDescent="0.25">
      <c r="A72" s="111" t="s">
        <v>1879</v>
      </c>
      <c r="B72" s="106">
        <v>45042</v>
      </c>
      <c r="C72" s="464" t="s">
        <v>1048</v>
      </c>
      <c r="D72" s="463"/>
      <c r="E72" s="463"/>
      <c r="F72" s="463"/>
      <c r="G72" s="463"/>
      <c r="H72" s="446"/>
      <c r="I72" s="20" t="s">
        <v>502</v>
      </c>
      <c r="J72" s="439">
        <v>2898840</v>
      </c>
      <c r="K72" s="273"/>
      <c r="L72" s="439">
        <v>462840</v>
      </c>
      <c r="M72" s="273"/>
      <c r="N72" s="439">
        <v>2436000</v>
      </c>
      <c r="O72" s="273"/>
      <c r="P72" s="439">
        <v>1502000</v>
      </c>
      <c r="Q72" s="273"/>
      <c r="R72">
        <f>presup!M$368</f>
        <v>0</v>
      </c>
    </row>
    <row r="73" spans="1:18" ht="12.75" customHeight="1" x14ac:dyDescent="0.25">
      <c r="A73" s="113" t="s">
        <v>1880</v>
      </c>
      <c r="B73" s="106">
        <v>45042</v>
      </c>
      <c r="C73" s="309" t="s">
        <v>1293</v>
      </c>
      <c r="D73" s="271"/>
      <c r="E73" s="271"/>
      <c r="F73" s="271"/>
      <c r="G73" s="271"/>
      <c r="H73" s="273"/>
      <c r="I73" s="20" t="s">
        <v>502</v>
      </c>
      <c r="J73" s="439">
        <v>600000</v>
      </c>
      <c r="K73" s="273"/>
      <c r="L73" s="439">
        <v>120381.62579831932</v>
      </c>
      <c r="M73" s="273"/>
      <c r="N73" s="439">
        <v>633587.50420168065</v>
      </c>
      <c r="O73" s="273"/>
      <c r="P73" s="439">
        <v>753969.13</v>
      </c>
      <c r="Q73" s="273"/>
      <c r="R73">
        <f>presup!M$368</f>
        <v>0</v>
      </c>
    </row>
    <row r="74" spans="1:18" s="219" customFormat="1" ht="12.75" customHeight="1" x14ac:dyDescent="0.25">
      <c r="A74" s="225" t="s">
        <v>1881</v>
      </c>
      <c r="B74" s="226">
        <v>45042</v>
      </c>
      <c r="C74" s="468" t="s">
        <v>1294</v>
      </c>
      <c r="D74" s="370"/>
      <c r="E74" s="370"/>
      <c r="F74" s="370"/>
      <c r="G74" s="370"/>
      <c r="H74" s="368"/>
      <c r="I74" s="227" t="s">
        <v>502</v>
      </c>
      <c r="J74" s="444">
        <v>1500000</v>
      </c>
      <c r="K74" s="368"/>
      <c r="L74" s="444">
        <v>369637.93966386555</v>
      </c>
      <c r="M74" s="368"/>
      <c r="N74" s="444">
        <v>1945462.8403361344</v>
      </c>
      <c r="O74" s="368"/>
      <c r="P74" s="444">
        <v>2315100.7799999998</v>
      </c>
      <c r="Q74" s="368"/>
      <c r="R74" s="219">
        <f>presup!M$368</f>
        <v>0</v>
      </c>
    </row>
    <row r="75" spans="1:18" ht="12.75" customHeight="1" x14ac:dyDescent="0.25">
      <c r="A75" s="113" t="s">
        <v>1882</v>
      </c>
      <c r="B75" s="106">
        <v>45042</v>
      </c>
      <c r="C75" s="309" t="s">
        <v>1295</v>
      </c>
      <c r="D75" s="271"/>
      <c r="E75" s="271"/>
      <c r="F75" s="271"/>
      <c r="G75" s="271"/>
      <c r="H75" s="273"/>
      <c r="I75" s="20" t="s">
        <v>502</v>
      </c>
      <c r="J75" s="439">
        <v>57316.81</v>
      </c>
      <c r="K75" s="273"/>
      <c r="L75" s="439">
        <v>9151.4234453781519</v>
      </c>
      <c r="M75" s="273"/>
      <c r="N75" s="439">
        <v>48165.386554621851</v>
      </c>
      <c r="O75" s="273"/>
      <c r="P75" s="439">
        <v>57316.81</v>
      </c>
      <c r="Q75" s="273"/>
      <c r="R75">
        <f>presup!M$368</f>
        <v>0</v>
      </c>
    </row>
    <row r="76" spans="1:18" ht="12.75" customHeight="1" x14ac:dyDescent="0.25">
      <c r="A76" s="113" t="s">
        <v>1883</v>
      </c>
      <c r="B76" s="106">
        <v>45042</v>
      </c>
      <c r="C76" s="309" t="s">
        <v>1296</v>
      </c>
      <c r="D76" s="271"/>
      <c r="E76" s="271"/>
      <c r="F76" s="271"/>
      <c r="G76" s="271"/>
      <c r="H76" s="273"/>
      <c r="I76" s="20" t="s">
        <v>502</v>
      </c>
      <c r="J76" s="439">
        <v>57676.480000000003</v>
      </c>
      <c r="K76" s="273"/>
      <c r="L76" s="439">
        <v>9208.8497478991612</v>
      </c>
      <c r="M76" s="273"/>
      <c r="N76" s="439">
        <v>48467.630252100847</v>
      </c>
      <c r="O76" s="273"/>
      <c r="P76" s="439">
        <v>57676.480000000003</v>
      </c>
      <c r="Q76" s="273"/>
      <c r="R76">
        <f>presup!M$368</f>
        <v>0</v>
      </c>
    </row>
    <row r="77" spans="1:18" ht="12.75" customHeight="1" x14ac:dyDescent="0.25">
      <c r="A77" s="113" t="s">
        <v>1884</v>
      </c>
      <c r="B77" s="106">
        <v>45042</v>
      </c>
      <c r="C77" s="309" t="s">
        <v>1297</v>
      </c>
      <c r="D77" s="271"/>
      <c r="E77" s="271"/>
      <c r="F77" s="271"/>
      <c r="G77" s="271"/>
      <c r="H77" s="273"/>
      <c r="I77" s="20" t="s">
        <v>502</v>
      </c>
      <c r="J77" s="439">
        <v>12845.55</v>
      </c>
      <c r="K77" s="273"/>
      <c r="L77" s="439">
        <v>2050.970168067227</v>
      </c>
      <c r="M77" s="273"/>
      <c r="N77" s="439">
        <v>10794.579831932773</v>
      </c>
      <c r="O77" s="273"/>
      <c r="P77" s="439">
        <v>12845.55</v>
      </c>
      <c r="Q77" s="273"/>
      <c r="R77">
        <f>presup!M$368</f>
        <v>0</v>
      </c>
    </row>
    <row r="78" spans="1:18" ht="12.75" customHeight="1" x14ac:dyDescent="0.25">
      <c r="A78" s="111" t="s">
        <v>1885</v>
      </c>
      <c r="B78" s="106">
        <v>45042</v>
      </c>
      <c r="C78" s="309" t="s">
        <v>1051</v>
      </c>
      <c r="D78" s="271"/>
      <c r="E78" s="271"/>
      <c r="F78" s="271"/>
      <c r="G78" s="271"/>
      <c r="H78" s="273"/>
      <c r="I78" s="20" t="s">
        <v>502</v>
      </c>
      <c r="J78" s="439">
        <v>8590900</v>
      </c>
      <c r="K78" s="273"/>
      <c r="L78" s="439">
        <v>1371656.3025210085</v>
      </c>
      <c r="M78" s="273"/>
      <c r="N78" s="439">
        <v>7219243.6974789919</v>
      </c>
      <c r="O78" s="273"/>
      <c r="P78" s="439">
        <v>2395000</v>
      </c>
      <c r="Q78" s="273"/>
      <c r="R78">
        <f>presup!M$368</f>
        <v>0</v>
      </c>
    </row>
    <row r="79" spans="1:18" ht="12.75" customHeight="1" x14ac:dyDescent="0.25">
      <c r="A79" s="111" t="s">
        <v>1886</v>
      </c>
      <c r="B79" s="106">
        <v>45042</v>
      </c>
      <c r="C79" s="309" t="s">
        <v>1052</v>
      </c>
      <c r="D79" s="271"/>
      <c r="E79" s="271"/>
      <c r="F79" s="271"/>
      <c r="G79" s="271"/>
      <c r="H79" s="273"/>
      <c r="I79" s="20" t="s">
        <v>502</v>
      </c>
      <c r="J79" s="439">
        <v>4044000</v>
      </c>
      <c r="K79" s="273"/>
      <c r="L79" s="439">
        <v>645680.67226890754</v>
      </c>
      <c r="M79" s="273"/>
      <c r="N79" s="439">
        <v>3398319.3277310925</v>
      </c>
      <c r="O79" s="273"/>
      <c r="P79" s="439">
        <v>4044000</v>
      </c>
      <c r="Q79" s="273"/>
      <c r="R79">
        <f>presup!M$368</f>
        <v>0</v>
      </c>
    </row>
    <row r="80" spans="1:18" ht="12.75" customHeight="1" x14ac:dyDescent="0.25">
      <c r="A80" s="111" t="s">
        <v>1887</v>
      </c>
      <c r="B80" s="106">
        <v>45042</v>
      </c>
      <c r="C80" s="464" t="s">
        <v>1055</v>
      </c>
      <c r="D80" s="463"/>
      <c r="E80" s="463"/>
      <c r="F80" s="463"/>
      <c r="G80" s="463"/>
      <c r="H80" s="446"/>
      <c r="I80" s="20" t="s">
        <v>502</v>
      </c>
      <c r="J80" s="439">
        <v>2473900</v>
      </c>
      <c r="K80" s="273"/>
      <c r="L80" s="439">
        <v>394992.43697478995</v>
      </c>
      <c r="M80" s="273"/>
      <c r="N80" s="439">
        <v>2078907.5630252103</v>
      </c>
      <c r="O80" s="273"/>
      <c r="P80" s="439">
        <v>2473900</v>
      </c>
      <c r="Q80" s="273"/>
      <c r="R80">
        <f>presup!M$368</f>
        <v>0</v>
      </c>
    </row>
    <row r="81" spans="1:18" ht="12.75" customHeight="1" x14ac:dyDescent="0.25">
      <c r="A81" s="111" t="s">
        <v>1888</v>
      </c>
      <c r="B81" s="106">
        <v>45042</v>
      </c>
      <c r="C81" s="309" t="s">
        <v>1217</v>
      </c>
      <c r="D81" s="271"/>
      <c r="E81" s="271"/>
      <c r="F81" s="271"/>
      <c r="G81" s="271"/>
      <c r="H81" s="273"/>
      <c r="I81" s="20" t="s">
        <v>502</v>
      </c>
      <c r="J81" s="439">
        <v>291900</v>
      </c>
      <c r="K81" s="273"/>
      <c r="L81" s="439">
        <v>46605.882352941175</v>
      </c>
      <c r="M81" s="273"/>
      <c r="N81" s="439">
        <v>245294.11764705883</v>
      </c>
      <c r="O81" s="273"/>
      <c r="P81" s="439">
        <v>291900</v>
      </c>
      <c r="Q81" s="273"/>
      <c r="R81">
        <f>presup!M$368</f>
        <v>0</v>
      </c>
    </row>
    <row r="82" spans="1:18" ht="13.5" customHeight="1" x14ac:dyDescent="0.3">
      <c r="A82" s="105" t="s">
        <v>1889</v>
      </c>
      <c r="B82" s="106">
        <v>45042</v>
      </c>
      <c r="C82" s="309" t="s">
        <v>1890</v>
      </c>
      <c r="D82" s="271"/>
      <c r="E82" s="271"/>
      <c r="F82" s="271"/>
      <c r="G82" s="271"/>
      <c r="H82" s="273"/>
      <c r="I82" s="20" t="s">
        <v>502</v>
      </c>
      <c r="J82" s="439">
        <f t="shared" ref="J82:J85" si="3">AVERAGE(P82:Q82)</f>
        <v>161000</v>
      </c>
      <c r="K82" s="273"/>
      <c r="L82" s="439">
        <v>25705.882352941178</v>
      </c>
      <c r="M82" s="273"/>
      <c r="N82" s="439">
        <v>135294.11764705883</v>
      </c>
      <c r="O82" s="273"/>
      <c r="P82" s="439">
        <v>161000</v>
      </c>
      <c r="Q82" s="273"/>
      <c r="R82">
        <f>presup!M$368</f>
        <v>0</v>
      </c>
    </row>
    <row r="83" spans="1:18" ht="12.75" customHeight="1" x14ac:dyDescent="0.3">
      <c r="A83" s="105" t="s">
        <v>1891</v>
      </c>
      <c r="B83" s="106">
        <v>45042</v>
      </c>
      <c r="C83" s="309" t="s">
        <v>1892</v>
      </c>
      <c r="D83" s="271"/>
      <c r="E83" s="271"/>
      <c r="F83" s="271"/>
      <c r="G83" s="271"/>
      <c r="H83" s="273"/>
      <c r="I83" s="20" t="s">
        <v>502</v>
      </c>
      <c r="J83" s="439">
        <f t="shared" si="3"/>
        <v>253000</v>
      </c>
      <c r="K83" s="273"/>
      <c r="L83" s="439">
        <v>40394.957983193279</v>
      </c>
      <c r="M83" s="273"/>
      <c r="N83" s="439">
        <v>212605.04201680672</v>
      </c>
      <c r="O83" s="273"/>
      <c r="P83" s="439">
        <v>253000</v>
      </c>
      <c r="Q83" s="273"/>
      <c r="R83">
        <f>presup!M$368</f>
        <v>0</v>
      </c>
    </row>
    <row r="84" spans="1:18" ht="12.75" customHeight="1" x14ac:dyDescent="0.25">
      <c r="A84" s="111" t="s">
        <v>1893</v>
      </c>
      <c r="B84" s="106">
        <v>45042</v>
      </c>
      <c r="C84" s="309" t="s">
        <v>1533</v>
      </c>
      <c r="D84" s="271"/>
      <c r="E84" s="271"/>
      <c r="F84" s="271"/>
      <c r="G84" s="271"/>
      <c r="H84" s="273"/>
      <c r="I84" s="20" t="s">
        <v>502</v>
      </c>
      <c r="J84" s="439">
        <f t="shared" si="3"/>
        <v>168000</v>
      </c>
      <c r="K84" s="273"/>
      <c r="L84" s="439">
        <v>26823.529411764706</v>
      </c>
      <c r="M84" s="273"/>
      <c r="N84" s="439">
        <v>141176.4705882353</v>
      </c>
      <c r="O84" s="273"/>
      <c r="P84" s="439">
        <v>168000</v>
      </c>
      <c r="Q84" s="273"/>
      <c r="R84">
        <f>presup!M$368</f>
        <v>0</v>
      </c>
    </row>
    <row r="85" spans="1:18" ht="12.75" customHeight="1" x14ac:dyDescent="0.25">
      <c r="A85" s="105" t="s">
        <v>1894</v>
      </c>
      <c r="B85" s="106">
        <v>45042</v>
      </c>
      <c r="C85" s="309" t="s">
        <v>1895</v>
      </c>
      <c r="D85" s="271"/>
      <c r="E85" s="271"/>
      <c r="F85" s="271"/>
      <c r="G85" s="271"/>
      <c r="H85" s="273"/>
      <c r="I85" s="20" t="s">
        <v>502</v>
      </c>
      <c r="J85" s="439">
        <f t="shared" si="3"/>
        <v>275000</v>
      </c>
      <c r="K85" s="273"/>
      <c r="L85" s="439">
        <v>43907.563025210082</v>
      </c>
      <c r="M85" s="273"/>
      <c r="N85" s="439">
        <v>231092.43697478992</v>
      </c>
      <c r="O85" s="273"/>
      <c r="P85" s="439">
        <v>275000</v>
      </c>
      <c r="Q85" s="273"/>
      <c r="R85">
        <f>presup!M$368</f>
        <v>0</v>
      </c>
    </row>
    <row r="86" spans="1:18" ht="12.75" customHeight="1" x14ac:dyDescent="0.25">
      <c r="A86" s="105" t="s">
        <v>1896</v>
      </c>
      <c r="B86" s="106">
        <v>45042</v>
      </c>
      <c r="C86" s="309" t="s">
        <v>1064</v>
      </c>
      <c r="D86" s="271"/>
      <c r="E86" s="271"/>
      <c r="F86" s="271"/>
      <c r="G86" s="271"/>
      <c r="H86" s="273"/>
      <c r="I86" s="20" t="s">
        <v>502</v>
      </c>
      <c r="J86" s="439">
        <v>119000</v>
      </c>
      <c r="K86" s="273"/>
      <c r="L86" s="439">
        <v>19000</v>
      </c>
      <c r="M86" s="273"/>
      <c r="N86" s="439">
        <v>100000</v>
      </c>
      <c r="O86" s="273"/>
      <c r="P86" s="439">
        <v>119000</v>
      </c>
      <c r="Q86" s="273"/>
      <c r="R86">
        <f>presup!M$368</f>
        <v>0</v>
      </c>
    </row>
    <row r="87" spans="1:18" ht="12.75" customHeight="1" x14ac:dyDescent="0.25">
      <c r="A87" s="105" t="s">
        <v>1897</v>
      </c>
      <c r="B87" s="106">
        <v>45042</v>
      </c>
      <c r="C87" s="309" t="s">
        <v>1066</v>
      </c>
      <c r="D87" s="271"/>
      <c r="E87" s="271"/>
      <c r="F87" s="271"/>
      <c r="G87" s="271"/>
      <c r="H87" s="273"/>
      <c r="I87" s="20" t="s">
        <v>502</v>
      </c>
      <c r="J87" s="439">
        <v>242000</v>
      </c>
      <c r="K87" s="273"/>
      <c r="L87" s="439">
        <v>38638.655462184877</v>
      </c>
      <c r="M87" s="273"/>
      <c r="N87" s="439">
        <v>203361.34453781514</v>
      </c>
      <c r="O87" s="273"/>
      <c r="P87" s="439">
        <v>242000</v>
      </c>
      <c r="Q87" s="273"/>
      <c r="R87">
        <f>presup!M$368</f>
        <v>0</v>
      </c>
    </row>
    <row r="88" spans="1:18" ht="12.75" customHeight="1" x14ac:dyDescent="0.25">
      <c r="A88" s="105" t="s">
        <v>1898</v>
      </c>
      <c r="B88" s="106">
        <v>45042</v>
      </c>
      <c r="C88" s="309" t="s">
        <v>1068</v>
      </c>
      <c r="D88" s="271"/>
      <c r="E88" s="271"/>
      <c r="F88" s="271"/>
      <c r="G88" s="271"/>
      <c r="H88" s="273"/>
      <c r="I88" s="20" t="s">
        <v>502</v>
      </c>
      <c r="J88" s="439">
        <v>109000</v>
      </c>
      <c r="K88" s="273"/>
      <c r="L88" s="439">
        <v>17403.361344537814</v>
      </c>
      <c r="M88" s="273"/>
      <c r="N88" s="439">
        <v>91596.638655462186</v>
      </c>
      <c r="O88" s="273"/>
      <c r="P88" s="439">
        <v>109000</v>
      </c>
      <c r="Q88" s="273"/>
      <c r="R88">
        <f>presup!M$368</f>
        <v>0</v>
      </c>
    </row>
    <row r="89" spans="1:18" ht="12.75" customHeight="1" x14ac:dyDescent="0.25">
      <c r="A89" s="105" t="s">
        <v>1899</v>
      </c>
      <c r="B89" s="106">
        <v>45042</v>
      </c>
      <c r="C89" s="309" t="s">
        <v>1070</v>
      </c>
      <c r="D89" s="271"/>
      <c r="E89" s="271"/>
      <c r="F89" s="271"/>
      <c r="G89" s="271"/>
      <c r="H89" s="273"/>
      <c r="I89" s="20" t="s">
        <v>502</v>
      </c>
      <c r="J89" s="439">
        <v>274000</v>
      </c>
      <c r="K89" s="273"/>
      <c r="L89" s="439">
        <v>43747.899159663866</v>
      </c>
      <c r="M89" s="273"/>
      <c r="N89" s="439">
        <v>230252.10084033615</v>
      </c>
      <c r="O89" s="273"/>
      <c r="P89" s="439">
        <v>274000</v>
      </c>
      <c r="Q89" s="273"/>
      <c r="R89">
        <f>presup!M$368</f>
        <v>0</v>
      </c>
    </row>
    <row r="90" spans="1:18" ht="12.75" customHeight="1" x14ac:dyDescent="0.25">
      <c r="A90" s="105" t="s">
        <v>1900</v>
      </c>
      <c r="B90" s="106">
        <v>45042</v>
      </c>
      <c r="C90" s="309" t="s">
        <v>1072</v>
      </c>
      <c r="D90" s="271"/>
      <c r="E90" s="271"/>
      <c r="F90" s="271"/>
      <c r="G90" s="271"/>
      <c r="H90" s="273"/>
      <c r="I90" s="20" t="s">
        <v>502</v>
      </c>
      <c r="J90" s="439">
        <v>856443</v>
      </c>
      <c r="K90" s="273"/>
      <c r="L90" s="439">
        <v>136743</v>
      </c>
      <c r="M90" s="273"/>
      <c r="N90" s="439">
        <v>719700</v>
      </c>
      <c r="O90" s="273"/>
      <c r="P90" s="439">
        <v>856443</v>
      </c>
      <c r="Q90" s="273"/>
      <c r="R90">
        <f>presup!M$368</f>
        <v>0</v>
      </c>
    </row>
    <row r="91" spans="1:18" ht="12.75" customHeight="1" x14ac:dyDescent="0.25">
      <c r="A91" s="111" t="s">
        <v>1901</v>
      </c>
      <c r="B91" s="106">
        <v>45042</v>
      </c>
      <c r="C91" s="309" t="s">
        <v>1074</v>
      </c>
      <c r="D91" s="271"/>
      <c r="E91" s="271"/>
      <c r="F91" s="271"/>
      <c r="G91" s="271"/>
      <c r="H91" s="273"/>
      <c r="I91" s="20" t="s">
        <v>502</v>
      </c>
      <c r="J91" s="439">
        <v>1501399</v>
      </c>
      <c r="K91" s="273"/>
      <c r="L91" s="439">
        <v>239719.16806722688</v>
      </c>
      <c r="M91" s="273"/>
      <c r="N91" s="439">
        <v>1261679.8319327731</v>
      </c>
      <c r="O91" s="273"/>
      <c r="P91" s="439">
        <v>1501399</v>
      </c>
      <c r="Q91" s="273"/>
      <c r="R91">
        <f>presup!M$368</f>
        <v>0</v>
      </c>
    </row>
    <row r="92" spans="1:18" ht="12.75" customHeight="1" x14ac:dyDescent="0.25">
      <c r="A92" s="105" t="s">
        <v>1902</v>
      </c>
      <c r="B92" s="106">
        <v>45042</v>
      </c>
      <c r="C92" s="309" t="s">
        <v>1076</v>
      </c>
      <c r="D92" s="271"/>
      <c r="E92" s="271"/>
      <c r="F92" s="271"/>
      <c r="G92" s="271"/>
      <c r="H92" s="273"/>
      <c r="I92" s="20" t="s">
        <v>502</v>
      </c>
      <c r="J92" s="439">
        <v>495000</v>
      </c>
      <c r="K92" s="273"/>
      <c r="L92" s="439">
        <v>79033.613445378156</v>
      </c>
      <c r="M92" s="273"/>
      <c r="N92" s="439">
        <v>415966.38655462186</v>
      </c>
      <c r="O92" s="273"/>
      <c r="P92" s="439">
        <v>495000</v>
      </c>
      <c r="Q92" s="273"/>
      <c r="R92">
        <f>presup!M$368</f>
        <v>0</v>
      </c>
    </row>
    <row r="93" spans="1:18" ht="12.75" customHeight="1" x14ac:dyDescent="0.25">
      <c r="A93" s="105" t="s">
        <v>1903</v>
      </c>
      <c r="B93" s="106">
        <v>45042</v>
      </c>
      <c r="C93" s="309" t="s">
        <v>1078</v>
      </c>
      <c r="D93" s="271"/>
      <c r="E93" s="271"/>
      <c r="F93" s="271"/>
      <c r="G93" s="271"/>
      <c r="H93" s="273"/>
      <c r="I93" s="20" t="s">
        <v>502</v>
      </c>
      <c r="J93" s="439">
        <v>900000</v>
      </c>
      <c r="K93" s="273"/>
      <c r="L93" s="439">
        <v>143697.47899159664</v>
      </c>
      <c r="M93" s="273"/>
      <c r="N93" s="439">
        <v>756302.52100840339</v>
      </c>
      <c r="O93" s="273"/>
      <c r="P93" s="439">
        <v>900000</v>
      </c>
      <c r="Q93" s="273"/>
      <c r="R93">
        <f>presup!M$368</f>
        <v>0</v>
      </c>
    </row>
    <row r="94" spans="1:18" ht="12.75" customHeight="1" x14ac:dyDescent="0.25">
      <c r="A94" s="111" t="s">
        <v>1904</v>
      </c>
      <c r="B94" s="106">
        <v>45042</v>
      </c>
      <c r="C94" s="466" t="s">
        <v>3252</v>
      </c>
      <c r="D94" s="373"/>
      <c r="E94" s="373"/>
      <c r="F94" s="373"/>
      <c r="G94" s="373"/>
      <c r="H94" s="361"/>
      <c r="I94" s="20" t="s">
        <v>502</v>
      </c>
      <c r="J94" s="451">
        <v>460000</v>
      </c>
      <c r="K94" s="361"/>
      <c r="L94" s="439">
        <v>112882.35294117649</v>
      </c>
      <c r="M94" s="273"/>
      <c r="N94" s="439">
        <v>594117.64705882361</v>
      </c>
      <c r="O94" s="273"/>
      <c r="P94" s="439">
        <v>707000</v>
      </c>
      <c r="Q94" s="273"/>
      <c r="R94">
        <f>presup!M$368</f>
        <v>0</v>
      </c>
    </row>
    <row r="95" spans="1:18" ht="12.75" customHeight="1" x14ac:dyDescent="0.25">
      <c r="A95" s="105" t="s">
        <v>1905</v>
      </c>
      <c r="B95" s="106">
        <v>45042</v>
      </c>
      <c r="C95" s="309" t="s">
        <v>1080</v>
      </c>
      <c r="D95" s="271"/>
      <c r="E95" s="271"/>
      <c r="F95" s="271"/>
      <c r="G95" s="271"/>
      <c r="H95" s="273"/>
      <c r="I95" s="20" t="s">
        <v>502</v>
      </c>
      <c r="J95" s="439">
        <v>1029000</v>
      </c>
      <c r="K95" s="273"/>
      <c r="L95" s="439">
        <v>164294.11764705883</v>
      </c>
      <c r="M95" s="273"/>
      <c r="N95" s="439">
        <v>864705.8823529412</v>
      </c>
      <c r="O95" s="273"/>
      <c r="P95" s="439">
        <v>1029000</v>
      </c>
      <c r="Q95" s="273"/>
      <c r="R95">
        <f>presup!M$368</f>
        <v>0</v>
      </c>
    </row>
    <row r="96" spans="1:18" ht="12.75" customHeight="1" x14ac:dyDescent="0.25">
      <c r="A96" s="111" t="s">
        <v>1906</v>
      </c>
      <c r="B96" s="106">
        <v>45045</v>
      </c>
      <c r="C96" s="464" t="s">
        <v>1081</v>
      </c>
      <c r="D96" s="463"/>
      <c r="E96" s="463"/>
      <c r="F96" s="463"/>
      <c r="G96" s="463"/>
      <c r="H96" s="446"/>
      <c r="I96" s="20" t="s">
        <v>502</v>
      </c>
      <c r="J96" s="439">
        <v>1158000</v>
      </c>
      <c r="K96" s="273"/>
      <c r="L96" s="439">
        <v>184890.75630252101</v>
      </c>
      <c r="M96" s="273"/>
      <c r="N96" s="439">
        <v>973109.24369747902</v>
      </c>
      <c r="O96" s="273"/>
      <c r="P96" s="439">
        <v>1158000</v>
      </c>
      <c r="Q96" s="273"/>
      <c r="R96">
        <f>presup!M$368</f>
        <v>0</v>
      </c>
    </row>
    <row r="97" spans="1:18" ht="12.75" customHeight="1" x14ac:dyDescent="0.25">
      <c r="A97" s="111" t="s">
        <v>1907</v>
      </c>
      <c r="B97" s="106">
        <v>45045</v>
      </c>
      <c r="C97" s="309" t="s">
        <v>1082</v>
      </c>
      <c r="D97" s="271"/>
      <c r="E97" s="271"/>
      <c r="F97" s="271"/>
      <c r="G97" s="271"/>
      <c r="H97" s="273"/>
      <c r="I97" s="20" t="s">
        <v>502</v>
      </c>
      <c r="J97" s="439">
        <v>1956000</v>
      </c>
      <c r="K97" s="273"/>
      <c r="L97" s="439">
        <v>312302.52100840339</v>
      </c>
      <c r="M97" s="273"/>
      <c r="N97" s="439">
        <v>1643697.4789915967</v>
      </c>
      <c r="O97" s="273"/>
      <c r="P97" s="439">
        <v>1956000</v>
      </c>
      <c r="Q97" s="273"/>
      <c r="R97">
        <f>presup!M$368</f>
        <v>0</v>
      </c>
    </row>
    <row r="98" spans="1:18" ht="12.75" customHeight="1" x14ac:dyDescent="0.25">
      <c r="A98" s="114" t="s">
        <v>1908</v>
      </c>
      <c r="B98" s="106">
        <v>45043</v>
      </c>
      <c r="C98" s="464" t="s">
        <v>1083</v>
      </c>
      <c r="D98" s="463"/>
      <c r="E98" s="463"/>
      <c r="F98" s="463"/>
      <c r="G98" s="463"/>
      <c r="H98" s="446"/>
      <c r="I98" s="20" t="s">
        <v>502</v>
      </c>
      <c r="J98" s="439">
        <v>231924</v>
      </c>
      <c r="K98" s="273"/>
      <c r="L98" s="439">
        <v>37029.882352941175</v>
      </c>
      <c r="M98" s="273"/>
      <c r="N98" s="439">
        <v>194894.11764705883</v>
      </c>
      <c r="O98" s="273"/>
      <c r="P98" s="439">
        <v>0</v>
      </c>
      <c r="Q98" s="273"/>
      <c r="R98">
        <f>presup!M$368</f>
        <v>0</v>
      </c>
    </row>
    <row r="99" spans="1:18" ht="12.75" customHeight="1" x14ac:dyDescent="0.25">
      <c r="A99" s="113" t="s">
        <v>1909</v>
      </c>
      <c r="B99" s="106">
        <v>45043</v>
      </c>
      <c r="C99" s="309" t="s">
        <v>1085</v>
      </c>
      <c r="D99" s="271"/>
      <c r="E99" s="271"/>
      <c r="F99" s="271"/>
      <c r="G99" s="271"/>
      <c r="H99" s="273"/>
      <c r="I99" s="20" t="s">
        <v>502</v>
      </c>
      <c r="J99" s="439">
        <v>0</v>
      </c>
      <c r="K99" s="273"/>
      <c r="L99" s="439">
        <v>0</v>
      </c>
      <c r="M99" s="273"/>
      <c r="N99" s="439">
        <v>0</v>
      </c>
      <c r="O99" s="273"/>
      <c r="P99" s="439">
        <v>0</v>
      </c>
      <c r="Q99" s="273"/>
      <c r="R99">
        <f>presup!M$368</f>
        <v>0</v>
      </c>
    </row>
    <row r="100" spans="1:18" ht="12.75" customHeight="1" x14ac:dyDescent="0.25">
      <c r="A100" s="113" t="s">
        <v>1910</v>
      </c>
      <c r="B100" s="106">
        <v>45043</v>
      </c>
      <c r="C100" s="309" t="s">
        <v>1087</v>
      </c>
      <c r="D100" s="271"/>
      <c r="E100" s="271"/>
      <c r="F100" s="271"/>
      <c r="G100" s="271"/>
      <c r="H100" s="273"/>
      <c r="I100" s="20" t="s">
        <v>502</v>
      </c>
      <c r="J100" s="439">
        <v>0</v>
      </c>
      <c r="K100" s="273"/>
      <c r="L100" s="439">
        <v>0</v>
      </c>
      <c r="M100" s="273"/>
      <c r="N100" s="439">
        <v>0</v>
      </c>
      <c r="O100" s="273"/>
      <c r="P100" s="439">
        <v>0</v>
      </c>
      <c r="Q100" s="273"/>
      <c r="R100">
        <f>presup!M$368</f>
        <v>0</v>
      </c>
    </row>
    <row r="101" spans="1:18" ht="12.75" customHeight="1" x14ac:dyDescent="0.25">
      <c r="A101" s="114" t="s">
        <v>1911</v>
      </c>
      <c r="B101" s="106">
        <v>45043</v>
      </c>
      <c r="C101" s="309" t="s">
        <v>1305</v>
      </c>
      <c r="D101" s="271"/>
      <c r="E101" s="271"/>
      <c r="F101" s="271"/>
      <c r="G101" s="271"/>
      <c r="H101" s="273"/>
      <c r="I101" s="20" t="s">
        <v>502</v>
      </c>
      <c r="J101" s="439">
        <v>431213</v>
      </c>
      <c r="K101" s="273"/>
      <c r="L101" s="439">
        <v>68849.134453781517</v>
      </c>
      <c r="M101" s="273"/>
      <c r="N101" s="439">
        <v>362363.86554621853</v>
      </c>
      <c r="O101" s="273"/>
      <c r="P101" s="439">
        <v>0</v>
      </c>
      <c r="Q101" s="273"/>
      <c r="R101">
        <f>presup!M$368</f>
        <v>0</v>
      </c>
    </row>
    <row r="102" spans="1:18" ht="15" customHeight="1" x14ac:dyDescent="0.25">
      <c r="A102" s="115" t="s">
        <v>1912</v>
      </c>
      <c r="B102" s="106">
        <v>45043</v>
      </c>
      <c r="C102" s="467" t="s">
        <v>1089</v>
      </c>
      <c r="D102" s="463"/>
      <c r="E102" s="463"/>
      <c r="F102" s="463"/>
      <c r="G102" s="463"/>
      <c r="H102" s="446"/>
      <c r="I102" s="20" t="s">
        <v>1827</v>
      </c>
      <c r="J102" s="439">
        <v>180540</v>
      </c>
      <c r="K102" s="273"/>
      <c r="L102" s="439">
        <v>28825.714285714286</v>
      </c>
      <c r="M102" s="273"/>
      <c r="N102" s="439">
        <v>151714.28571428571</v>
      </c>
      <c r="O102" s="273"/>
      <c r="P102" s="439">
        <v>180540</v>
      </c>
      <c r="Q102" s="273"/>
      <c r="R102">
        <f>presup!M$368</f>
        <v>0</v>
      </c>
    </row>
    <row r="103" spans="1:18" ht="12.75" customHeight="1" x14ac:dyDescent="0.25">
      <c r="A103" s="114" t="s">
        <v>1913</v>
      </c>
      <c r="B103" s="106">
        <v>45043</v>
      </c>
      <c r="C103" s="464" t="s">
        <v>1094</v>
      </c>
      <c r="D103" s="463"/>
      <c r="E103" s="463"/>
      <c r="F103" s="463"/>
      <c r="G103" s="463"/>
      <c r="H103" s="446"/>
      <c r="I103" s="20" t="s">
        <v>502</v>
      </c>
      <c r="J103" s="439">
        <v>209612</v>
      </c>
      <c r="K103" s="273"/>
      <c r="L103" s="439">
        <v>33467.462184873955</v>
      </c>
      <c r="M103" s="273"/>
      <c r="N103" s="439">
        <v>176144.53781512607</v>
      </c>
      <c r="O103" s="273"/>
      <c r="P103" s="439">
        <v>209612</v>
      </c>
      <c r="Q103" s="273"/>
      <c r="R103">
        <f>presup!M$368</f>
        <v>0</v>
      </c>
    </row>
    <row r="104" spans="1:18" ht="12.75" customHeight="1" x14ac:dyDescent="0.25">
      <c r="A104" s="114" t="s">
        <v>1914</v>
      </c>
      <c r="B104" s="106">
        <v>45043</v>
      </c>
      <c r="C104" s="464" t="s">
        <v>1023</v>
      </c>
      <c r="D104" s="463"/>
      <c r="E104" s="463"/>
      <c r="F104" s="463"/>
      <c r="G104" s="463"/>
      <c r="H104" s="446"/>
      <c r="I104" s="20" t="s">
        <v>1382</v>
      </c>
      <c r="J104" s="439">
        <f>+unitario!$F$13820</f>
        <v>745047.0496790678</v>
      </c>
      <c r="K104" s="273"/>
      <c r="L104" s="439">
        <v>87525.97478991597</v>
      </c>
      <c r="M104" s="273"/>
      <c r="N104" s="439">
        <v>460663.02521008404</v>
      </c>
      <c r="O104" s="273"/>
      <c r="P104" s="439">
        <v>747304</v>
      </c>
      <c r="Q104" s="273"/>
      <c r="R104">
        <f>presup!M$368</f>
        <v>0</v>
      </c>
    </row>
    <row r="105" spans="1:18" ht="12.75" customHeight="1" x14ac:dyDescent="0.25">
      <c r="A105" s="114" t="s">
        <v>1915</v>
      </c>
      <c r="B105" s="106">
        <v>45043</v>
      </c>
      <c r="C105" s="309" t="s">
        <v>1095</v>
      </c>
      <c r="D105" s="271"/>
      <c r="E105" s="271"/>
      <c r="F105" s="271"/>
      <c r="G105" s="271"/>
      <c r="H105" s="273"/>
      <c r="I105" s="20" t="s">
        <v>502</v>
      </c>
      <c r="J105" s="439">
        <v>250000</v>
      </c>
      <c r="K105" s="273"/>
      <c r="L105" s="439">
        <v>39915.966386554624</v>
      </c>
      <c r="M105" s="273"/>
      <c r="N105" s="439">
        <v>210084.03361344538</v>
      </c>
      <c r="O105" s="273"/>
      <c r="P105" s="439">
        <v>250000</v>
      </c>
      <c r="Q105" s="273"/>
      <c r="R105">
        <f>presup!M$368</f>
        <v>0</v>
      </c>
    </row>
    <row r="106" spans="1:18" ht="12.75" customHeight="1" x14ac:dyDescent="0.25">
      <c r="A106" s="114" t="s">
        <v>1916</v>
      </c>
      <c r="B106" s="106">
        <v>45043</v>
      </c>
      <c r="C106" s="464" t="s">
        <v>1090</v>
      </c>
      <c r="D106" s="463"/>
      <c r="E106" s="463"/>
      <c r="F106" s="463"/>
      <c r="G106" s="463"/>
      <c r="H106" s="446"/>
      <c r="I106" s="20" t="s">
        <v>1815</v>
      </c>
      <c r="J106" s="439">
        <v>6669</v>
      </c>
      <c r="K106" s="273"/>
      <c r="L106" s="439">
        <v>1064.7983193277312</v>
      </c>
      <c r="M106" s="273"/>
      <c r="N106" s="439">
        <v>5604.2016806722695</v>
      </c>
      <c r="O106" s="273"/>
      <c r="P106" s="439">
        <v>6669</v>
      </c>
      <c r="Q106" s="273"/>
      <c r="R106">
        <f>presup!M$368</f>
        <v>0</v>
      </c>
    </row>
    <row r="107" spans="1:18" ht="12.75" customHeight="1" x14ac:dyDescent="0.25">
      <c r="A107" s="111" t="s">
        <v>1917</v>
      </c>
      <c r="B107" s="106">
        <v>45043</v>
      </c>
      <c r="C107" s="464" t="s">
        <v>1091</v>
      </c>
      <c r="D107" s="463"/>
      <c r="E107" s="463"/>
      <c r="F107" s="463"/>
      <c r="G107" s="463"/>
      <c r="H107" s="446"/>
      <c r="I107" s="20" t="s">
        <v>21</v>
      </c>
      <c r="J107" s="439">
        <v>4525.49</v>
      </c>
      <c r="K107" s="273"/>
      <c r="L107" s="439">
        <v>722.55722689075628</v>
      </c>
      <c r="M107" s="273"/>
      <c r="N107" s="439">
        <v>3802.9327731092435</v>
      </c>
      <c r="O107" s="273"/>
      <c r="P107" s="439">
        <v>4525.49</v>
      </c>
      <c r="Q107" s="273"/>
      <c r="R107">
        <f>presup!M$368</f>
        <v>0</v>
      </c>
    </row>
    <row r="108" spans="1:18" ht="12.75" customHeight="1" x14ac:dyDescent="0.25">
      <c r="A108" s="113" t="s">
        <v>1918</v>
      </c>
      <c r="B108" s="106">
        <v>45043</v>
      </c>
      <c r="C108" s="309" t="s">
        <v>1919</v>
      </c>
      <c r="D108" s="271"/>
      <c r="E108" s="271"/>
      <c r="F108" s="271"/>
      <c r="G108" s="271"/>
      <c r="H108" s="273"/>
      <c r="I108" s="20" t="s">
        <v>502</v>
      </c>
      <c r="J108" s="439">
        <v>422126</v>
      </c>
      <c r="K108" s="273"/>
      <c r="L108" s="439">
        <v>67398.268907563033</v>
      </c>
      <c r="M108" s="273"/>
      <c r="N108" s="439">
        <v>354727.731092437</v>
      </c>
      <c r="O108" s="273"/>
      <c r="P108" s="439">
        <v>422126</v>
      </c>
      <c r="Q108" s="273"/>
      <c r="R108">
        <f>presup!M$368</f>
        <v>0</v>
      </c>
    </row>
    <row r="109" spans="1:18" ht="12.75" customHeight="1" x14ac:dyDescent="0.25">
      <c r="A109" s="111" t="s">
        <v>1920</v>
      </c>
      <c r="B109" s="106">
        <v>45043</v>
      </c>
      <c r="C109" s="464" t="s">
        <v>1053</v>
      </c>
      <c r="D109" s="463"/>
      <c r="E109" s="463"/>
      <c r="F109" s="463"/>
      <c r="G109" s="463"/>
      <c r="H109" s="446"/>
      <c r="I109" s="20" t="s">
        <v>502</v>
      </c>
      <c r="J109" s="439">
        <v>10722000</v>
      </c>
      <c r="K109" s="273"/>
      <c r="L109" s="439">
        <v>1711915.9663865545</v>
      </c>
      <c r="M109" s="273"/>
      <c r="N109" s="439">
        <v>9010084.0336134452</v>
      </c>
      <c r="O109" s="273"/>
      <c r="P109" s="439">
        <v>10722000</v>
      </c>
      <c r="Q109" s="273"/>
      <c r="R109">
        <f>presup!M$368</f>
        <v>0</v>
      </c>
    </row>
    <row r="110" spans="1:18" ht="12.75" customHeight="1" x14ac:dyDescent="0.25">
      <c r="A110" s="111" t="s">
        <v>1921</v>
      </c>
      <c r="B110" s="106">
        <v>45043</v>
      </c>
      <c r="C110" s="309" t="s">
        <v>1054</v>
      </c>
      <c r="D110" s="271"/>
      <c r="E110" s="271"/>
      <c r="F110" s="271"/>
      <c r="G110" s="271"/>
      <c r="H110" s="273"/>
      <c r="I110" s="20" t="s">
        <v>502</v>
      </c>
      <c r="J110" s="439">
        <v>17051000</v>
      </c>
      <c r="K110" s="273"/>
      <c r="L110" s="439">
        <v>2722428.5714285714</v>
      </c>
      <c r="M110" s="273"/>
      <c r="N110" s="439">
        <v>14328571.428571429</v>
      </c>
      <c r="O110" s="273"/>
      <c r="P110" s="439">
        <v>17051000</v>
      </c>
      <c r="Q110" s="273"/>
      <c r="R110">
        <f>presup!M$368</f>
        <v>0</v>
      </c>
    </row>
    <row r="111" spans="1:18" ht="12.75" customHeight="1" x14ac:dyDescent="0.25">
      <c r="A111" s="111" t="s">
        <v>1922</v>
      </c>
      <c r="B111" s="106">
        <v>45043</v>
      </c>
      <c r="C111" s="464" t="s">
        <v>1097</v>
      </c>
      <c r="D111" s="463"/>
      <c r="E111" s="463"/>
      <c r="F111" s="463"/>
      <c r="G111" s="463"/>
      <c r="H111" s="446"/>
      <c r="I111" s="20" t="s">
        <v>502</v>
      </c>
      <c r="J111" s="439">
        <v>306103</v>
      </c>
      <c r="K111" s="273"/>
      <c r="L111" s="439">
        <v>48873.588235294119</v>
      </c>
      <c r="M111" s="273"/>
      <c r="N111" s="439">
        <v>257229.4117647059</v>
      </c>
      <c r="O111" s="273"/>
      <c r="P111" s="439">
        <v>306103</v>
      </c>
      <c r="Q111" s="273"/>
      <c r="R111">
        <f>presup!M$368</f>
        <v>0</v>
      </c>
    </row>
    <row r="112" spans="1:18" ht="12.75" customHeight="1" x14ac:dyDescent="0.25">
      <c r="A112" s="111" t="s">
        <v>1923</v>
      </c>
      <c r="B112" s="106">
        <v>45043</v>
      </c>
      <c r="C112" s="464" t="s">
        <v>1099</v>
      </c>
      <c r="D112" s="463"/>
      <c r="E112" s="463"/>
      <c r="F112" s="463"/>
      <c r="G112" s="463"/>
      <c r="H112" s="446"/>
      <c r="I112" s="20" t="s">
        <v>502</v>
      </c>
      <c r="J112" s="439">
        <v>588564</v>
      </c>
      <c r="K112" s="273"/>
      <c r="L112" s="439">
        <v>93972.403361344535</v>
      </c>
      <c r="M112" s="273"/>
      <c r="N112" s="439">
        <v>494591.59663865546</v>
      </c>
      <c r="O112" s="273"/>
      <c r="P112" s="439">
        <v>588564</v>
      </c>
      <c r="Q112" s="273"/>
      <c r="R112">
        <f>presup!M$368</f>
        <v>0</v>
      </c>
    </row>
    <row r="113" spans="1:18" ht="12.75" customHeight="1" x14ac:dyDescent="0.25">
      <c r="A113" s="111" t="s">
        <v>1924</v>
      </c>
      <c r="B113" s="106">
        <v>45045</v>
      </c>
      <c r="C113" s="464" t="s">
        <v>1024</v>
      </c>
      <c r="D113" s="463"/>
      <c r="E113" s="463"/>
      <c r="F113" s="463"/>
      <c r="G113" s="463"/>
      <c r="H113" s="446"/>
      <c r="I113" s="20" t="s">
        <v>1827</v>
      </c>
      <c r="J113" s="439">
        <f>+unitario!$F$1262</f>
        <v>176760.03327710004</v>
      </c>
      <c r="K113" s="273"/>
      <c r="L113" s="439">
        <v>11779.80361344538</v>
      </c>
      <c r="M113" s="273"/>
      <c r="N113" s="439">
        <v>61998.966386554624</v>
      </c>
      <c r="O113" s="273"/>
      <c r="P113" s="439">
        <v>73778.77</v>
      </c>
      <c r="Q113" s="273"/>
      <c r="R113">
        <f>presup!M$368</f>
        <v>0</v>
      </c>
    </row>
    <row r="114" spans="1:18" ht="12.75" customHeight="1" x14ac:dyDescent="0.25">
      <c r="A114" s="111" t="s">
        <v>1925</v>
      </c>
      <c r="B114" s="106">
        <v>45045</v>
      </c>
      <c r="C114" s="309" t="s">
        <v>1100</v>
      </c>
      <c r="D114" s="271"/>
      <c r="E114" s="271"/>
      <c r="F114" s="271"/>
      <c r="G114" s="271"/>
      <c r="H114" s="273"/>
      <c r="I114" s="20" t="s">
        <v>1827</v>
      </c>
      <c r="J114" s="439">
        <f>580000*1.19*1.1</f>
        <v>759220.00000000012</v>
      </c>
      <c r="K114" s="273"/>
      <c r="L114" s="439">
        <v>255462.18487394959</v>
      </c>
      <c r="M114" s="273"/>
      <c r="N114" s="439">
        <v>1344537.8151260505</v>
      </c>
      <c r="O114" s="273"/>
      <c r="P114" s="439">
        <v>1600000</v>
      </c>
      <c r="Q114" s="273"/>
      <c r="R114">
        <f>presup!M$368</f>
        <v>0</v>
      </c>
    </row>
    <row r="115" spans="1:18" ht="13.5" customHeight="1" x14ac:dyDescent="0.25">
      <c r="A115" s="108" t="s">
        <v>1926</v>
      </c>
      <c r="B115" s="106">
        <v>45045</v>
      </c>
      <c r="C115" s="426" t="s">
        <v>1104</v>
      </c>
      <c r="D115" s="271"/>
      <c r="E115" s="271"/>
      <c r="F115" s="271"/>
      <c r="G115" s="271"/>
      <c r="H115" s="273"/>
      <c r="I115" s="20" t="s">
        <v>1827</v>
      </c>
      <c r="J115" s="439">
        <v>1500000</v>
      </c>
      <c r="K115" s="273"/>
      <c r="L115" s="439">
        <v>239495.79831932776</v>
      </c>
      <c r="M115" s="273"/>
      <c r="N115" s="439">
        <v>1260504.2016806724</v>
      </c>
      <c r="O115" s="273"/>
      <c r="P115" s="439">
        <v>1500000</v>
      </c>
      <c r="Q115" s="273"/>
      <c r="R115">
        <f>presup!M$368</f>
        <v>0</v>
      </c>
    </row>
    <row r="116" spans="1:18" ht="12.75" customHeight="1" x14ac:dyDescent="0.25">
      <c r="A116" s="111" t="s">
        <v>1927</v>
      </c>
      <c r="B116" s="106">
        <v>45045</v>
      </c>
      <c r="C116" s="309" t="s">
        <v>1103</v>
      </c>
      <c r="D116" s="271"/>
      <c r="E116" s="271"/>
      <c r="F116" s="271"/>
      <c r="G116" s="271"/>
      <c r="H116" s="273"/>
      <c r="I116" s="20" t="s">
        <v>1815</v>
      </c>
      <c r="J116" s="439">
        <v>71933.33</v>
      </c>
      <c r="K116" s="273"/>
      <c r="L116" s="439">
        <v>11485.153529411766</v>
      </c>
      <c r="M116" s="273"/>
      <c r="N116" s="439">
        <v>60448.176470588238</v>
      </c>
      <c r="O116" s="273"/>
      <c r="P116" s="439">
        <v>351888.87</v>
      </c>
      <c r="Q116" s="273"/>
      <c r="R116">
        <f>presup!M$368</f>
        <v>0</v>
      </c>
    </row>
    <row r="117" spans="1:18" ht="27" customHeight="1" x14ac:dyDescent="0.2">
      <c r="A117" s="108" t="s">
        <v>1928</v>
      </c>
      <c r="B117" s="112">
        <v>45046</v>
      </c>
      <c r="C117" s="365" t="s">
        <v>1929</v>
      </c>
      <c r="D117" s="271"/>
      <c r="E117" s="271"/>
      <c r="F117" s="271"/>
      <c r="G117" s="271"/>
      <c r="H117" s="273"/>
      <c r="I117" s="26" t="s">
        <v>502</v>
      </c>
      <c r="J117" s="440">
        <v>2856000</v>
      </c>
      <c r="K117" s="273"/>
      <c r="L117" s="440">
        <v>456000</v>
      </c>
      <c r="M117" s="273"/>
      <c r="N117" s="440">
        <v>2400000</v>
      </c>
      <c r="O117" s="273"/>
      <c r="P117" s="440">
        <v>2856000</v>
      </c>
      <c r="Q117" s="273"/>
      <c r="R117">
        <f>presup!M$368</f>
        <v>0</v>
      </c>
    </row>
    <row r="118" spans="1:18" ht="12.75" customHeight="1" x14ac:dyDescent="0.25">
      <c r="A118" s="111" t="s">
        <v>1930</v>
      </c>
      <c r="B118" s="106">
        <v>45046</v>
      </c>
      <c r="C118" s="464" t="s">
        <v>1485</v>
      </c>
      <c r="D118" s="463"/>
      <c r="E118" s="463"/>
      <c r="F118" s="463"/>
      <c r="G118" s="463"/>
      <c r="H118" s="446"/>
      <c r="I118" s="20" t="s">
        <v>1382</v>
      </c>
      <c r="J118" s="439">
        <v>64260</v>
      </c>
      <c r="K118" s="273"/>
      <c r="L118" s="439">
        <v>10260</v>
      </c>
      <c r="M118" s="273"/>
      <c r="N118" s="439">
        <v>54000</v>
      </c>
      <c r="O118" s="273"/>
      <c r="P118" s="439">
        <v>96582</v>
      </c>
      <c r="Q118" s="273"/>
      <c r="R118">
        <f>presup!M$368</f>
        <v>0</v>
      </c>
    </row>
    <row r="119" spans="1:18" ht="12.75" customHeight="1" x14ac:dyDescent="0.25">
      <c r="A119" s="111" t="s">
        <v>1931</v>
      </c>
      <c r="B119" s="106">
        <v>45046</v>
      </c>
      <c r="C119" s="464" t="s">
        <v>1108</v>
      </c>
      <c r="D119" s="463"/>
      <c r="E119" s="463"/>
      <c r="F119" s="463"/>
      <c r="G119" s="463"/>
      <c r="H119" s="446"/>
      <c r="I119" s="20" t="s">
        <v>1382</v>
      </c>
      <c r="J119" s="439">
        <v>85706.78</v>
      </c>
      <c r="K119" s="273"/>
      <c r="L119" s="439">
        <v>13684.275798319328</v>
      </c>
      <c r="M119" s="273"/>
      <c r="N119" s="439">
        <v>72022.504201680669</v>
      </c>
      <c r="O119" s="273"/>
      <c r="P119" s="439">
        <v>107649</v>
      </c>
      <c r="Q119" s="273"/>
      <c r="R119">
        <f>presup!M$368</f>
        <v>0</v>
      </c>
    </row>
    <row r="120" spans="1:18" ht="12.75" customHeight="1" x14ac:dyDescent="0.25">
      <c r="A120" s="105" t="s">
        <v>1932</v>
      </c>
      <c r="B120" s="106">
        <v>45046</v>
      </c>
      <c r="C120" s="309" t="s">
        <v>1110</v>
      </c>
      <c r="D120" s="271"/>
      <c r="E120" s="271"/>
      <c r="F120" s="271"/>
      <c r="G120" s="271"/>
      <c r="H120" s="273"/>
      <c r="I120" s="20" t="s">
        <v>502</v>
      </c>
      <c r="J120" s="439">
        <v>258000</v>
      </c>
      <c r="K120" s="273"/>
      <c r="L120" s="439">
        <v>41193.277310924372</v>
      </c>
      <c r="M120" s="273"/>
      <c r="N120" s="439">
        <v>216806.72268907563</v>
      </c>
      <c r="O120" s="273"/>
      <c r="P120" s="439">
        <v>258000</v>
      </c>
      <c r="Q120" s="273"/>
      <c r="R120">
        <f>presup!M$368</f>
        <v>0</v>
      </c>
    </row>
    <row r="121" spans="1:18" ht="12.75" customHeight="1" x14ac:dyDescent="0.25">
      <c r="A121" s="105" t="s">
        <v>1933</v>
      </c>
      <c r="B121" s="106">
        <v>45047</v>
      </c>
      <c r="C121" s="309" t="s">
        <v>1114</v>
      </c>
      <c r="D121" s="271"/>
      <c r="E121" s="271"/>
      <c r="F121" s="271"/>
      <c r="G121" s="271"/>
      <c r="H121" s="273"/>
      <c r="I121" s="20" t="s">
        <v>502</v>
      </c>
      <c r="J121" s="439">
        <v>419000</v>
      </c>
      <c r="K121" s="273"/>
      <c r="L121" s="439">
        <v>66899.159663865546</v>
      </c>
      <c r="M121" s="273"/>
      <c r="N121" s="439">
        <v>352100.84033613448</v>
      </c>
      <c r="O121" s="273"/>
      <c r="P121" s="439">
        <v>419000</v>
      </c>
      <c r="Q121" s="273"/>
      <c r="R121">
        <f>presup!M$368</f>
        <v>0</v>
      </c>
    </row>
    <row r="122" spans="1:18" ht="12.75" customHeight="1" x14ac:dyDescent="0.25">
      <c r="A122" s="111" t="s">
        <v>1934</v>
      </c>
      <c r="B122" s="106">
        <v>45046</v>
      </c>
      <c r="C122" s="464" t="s">
        <v>1111</v>
      </c>
      <c r="D122" s="463"/>
      <c r="E122" s="463"/>
      <c r="F122" s="463"/>
      <c r="G122" s="463"/>
      <c r="H122" s="446"/>
      <c r="I122" s="20" t="s">
        <v>502</v>
      </c>
      <c r="J122" s="439">
        <v>22535</v>
      </c>
      <c r="K122" s="273"/>
      <c r="L122" s="439">
        <v>3598.0252100840335</v>
      </c>
      <c r="M122" s="273"/>
      <c r="N122" s="439">
        <v>18936.974789915967</v>
      </c>
      <c r="O122" s="273"/>
      <c r="P122" s="439">
        <v>22535</v>
      </c>
      <c r="Q122" s="273"/>
      <c r="R122">
        <f>presup!M$368</f>
        <v>0</v>
      </c>
    </row>
    <row r="123" spans="1:18" ht="12.75" customHeight="1" x14ac:dyDescent="0.25">
      <c r="A123" s="105" t="s">
        <v>1935</v>
      </c>
      <c r="B123" s="106">
        <v>45047</v>
      </c>
      <c r="C123" s="309" t="s">
        <v>1116</v>
      </c>
      <c r="D123" s="271"/>
      <c r="E123" s="271"/>
      <c r="F123" s="271"/>
      <c r="G123" s="271"/>
      <c r="H123" s="273"/>
      <c r="I123" s="20" t="s">
        <v>502</v>
      </c>
      <c r="J123" s="439"/>
      <c r="K123" s="273"/>
      <c r="L123" s="439">
        <v>0</v>
      </c>
      <c r="M123" s="273"/>
      <c r="N123" s="439">
        <v>0</v>
      </c>
      <c r="O123" s="273"/>
      <c r="P123" s="439">
        <v>0</v>
      </c>
      <c r="Q123" s="273"/>
      <c r="R123">
        <f>presup!M$368</f>
        <v>0</v>
      </c>
    </row>
    <row r="124" spans="1:18" ht="12.75" customHeight="1" x14ac:dyDescent="0.25">
      <c r="A124" s="105" t="s">
        <v>1936</v>
      </c>
      <c r="B124" s="106">
        <v>45047</v>
      </c>
      <c r="C124" s="309" t="s">
        <v>1118</v>
      </c>
      <c r="D124" s="271"/>
      <c r="E124" s="271"/>
      <c r="F124" s="271"/>
      <c r="G124" s="271"/>
      <c r="H124" s="273"/>
      <c r="I124" s="20" t="s">
        <v>502</v>
      </c>
      <c r="J124" s="439">
        <v>140000</v>
      </c>
      <c r="K124" s="273"/>
      <c r="L124" s="439">
        <v>22352.941176470587</v>
      </c>
      <c r="M124" s="273"/>
      <c r="N124" s="439">
        <v>117647.05882352941</v>
      </c>
      <c r="O124" s="273"/>
      <c r="P124" s="439">
        <v>0</v>
      </c>
      <c r="Q124" s="273"/>
      <c r="R124">
        <f>presup!M$368</f>
        <v>0</v>
      </c>
    </row>
    <row r="125" spans="1:18" ht="12.75" customHeight="1" x14ac:dyDescent="0.25">
      <c r="A125" s="105" t="s">
        <v>1937</v>
      </c>
      <c r="B125" s="106">
        <v>45047</v>
      </c>
      <c r="C125" s="309" t="s">
        <v>1120</v>
      </c>
      <c r="D125" s="271"/>
      <c r="E125" s="271"/>
      <c r="F125" s="271"/>
      <c r="G125" s="271"/>
      <c r="H125" s="273"/>
      <c r="I125" s="20" t="s">
        <v>502</v>
      </c>
      <c r="J125" s="439">
        <v>261020</v>
      </c>
      <c r="K125" s="273"/>
      <c r="L125" s="439">
        <v>41675.462184873955</v>
      </c>
      <c r="M125" s="273"/>
      <c r="N125" s="439">
        <v>219344.53781512607</v>
      </c>
      <c r="O125" s="273"/>
      <c r="P125" s="439">
        <v>0</v>
      </c>
      <c r="Q125" s="273"/>
      <c r="R125">
        <f>presup!M$368</f>
        <v>0</v>
      </c>
    </row>
    <row r="126" spans="1:18" ht="12.75" customHeight="1" x14ac:dyDescent="0.25">
      <c r="A126" s="105" t="s">
        <v>1938</v>
      </c>
      <c r="B126" s="106">
        <v>45047</v>
      </c>
      <c r="C126" s="309" t="s">
        <v>1122</v>
      </c>
      <c r="D126" s="271"/>
      <c r="E126" s="271"/>
      <c r="F126" s="271"/>
      <c r="G126" s="271"/>
      <c r="H126" s="273"/>
      <c r="I126" s="20" t="s">
        <v>502</v>
      </c>
      <c r="J126" s="439"/>
      <c r="K126" s="273"/>
      <c r="L126" s="439">
        <v>0</v>
      </c>
      <c r="M126" s="273"/>
      <c r="N126" s="439">
        <v>0</v>
      </c>
      <c r="O126" s="273"/>
      <c r="P126" s="439">
        <v>0</v>
      </c>
      <c r="Q126" s="273"/>
      <c r="R126">
        <f>presup!M$368</f>
        <v>0</v>
      </c>
    </row>
    <row r="127" spans="1:18" ht="12.75" customHeight="1" x14ac:dyDescent="0.25">
      <c r="A127" s="111" t="s">
        <v>1939</v>
      </c>
      <c r="B127" s="106">
        <v>45047</v>
      </c>
      <c r="C127" s="464" t="s">
        <v>1124</v>
      </c>
      <c r="D127" s="463"/>
      <c r="E127" s="463"/>
      <c r="F127" s="463"/>
      <c r="G127" s="463"/>
      <c r="H127" s="446"/>
      <c r="I127" s="20" t="s">
        <v>502</v>
      </c>
      <c r="J127" s="439">
        <v>190000</v>
      </c>
      <c r="K127" s="273"/>
      <c r="L127" s="439">
        <v>30336.134453781517</v>
      </c>
      <c r="M127" s="273"/>
      <c r="N127" s="439">
        <v>159663.8655462185</v>
      </c>
      <c r="O127" s="273"/>
      <c r="P127" s="439">
        <v>0</v>
      </c>
      <c r="Q127" s="273"/>
      <c r="R127">
        <f>presup!M$368</f>
        <v>0</v>
      </c>
    </row>
    <row r="128" spans="1:18" ht="12.75" customHeight="1" x14ac:dyDescent="0.25">
      <c r="A128" s="105" t="s">
        <v>1940</v>
      </c>
      <c r="B128" s="106">
        <v>45047</v>
      </c>
      <c r="C128" s="464" t="s">
        <v>1126</v>
      </c>
      <c r="D128" s="463"/>
      <c r="E128" s="463"/>
      <c r="F128" s="463"/>
      <c r="G128" s="463"/>
      <c r="H128" s="446"/>
      <c r="I128" s="20" t="s">
        <v>502</v>
      </c>
      <c r="J128" s="439">
        <v>391530</v>
      </c>
      <c r="K128" s="273"/>
      <c r="L128" s="439">
        <v>62513.193277310922</v>
      </c>
      <c r="M128" s="273"/>
      <c r="N128" s="439">
        <v>329016.80672268907</v>
      </c>
      <c r="O128" s="273"/>
      <c r="P128" s="439">
        <v>0</v>
      </c>
      <c r="Q128" s="273"/>
      <c r="R128">
        <f>presup!M$368</f>
        <v>0</v>
      </c>
    </row>
    <row r="129" spans="1:18" ht="12.75" customHeight="1" x14ac:dyDescent="0.25">
      <c r="A129" s="105" t="s">
        <v>1941</v>
      </c>
      <c r="B129" s="106">
        <v>45047</v>
      </c>
      <c r="C129" s="309" t="s">
        <v>1128</v>
      </c>
      <c r="D129" s="271"/>
      <c r="E129" s="271"/>
      <c r="F129" s="271"/>
      <c r="G129" s="271"/>
      <c r="H129" s="273"/>
      <c r="I129" s="20" t="s">
        <v>502</v>
      </c>
      <c r="J129" s="439"/>
      <c r="K129" s="273"/>
      <c r="L129" s="439">
        <v>0</v>
      </c>
      <c r="M129" s="273"/>
      <c r="N129" s="439">
        <v>0</v>
      </c>
      <c r="O129" s="273"/>
      <c r="P129" s="439">
        <v>0</v>
      </c>
      <c r="Q129" s="273"/>
      <c r="R129">
        <f>presup!M$368</f>
        <v>0</v>
      </c>
    </row>
    <row r="130" spans="1:18" ht="12.75" customHeight="1" x14ac:dyDescent="0.25">
      <c r="A130" s="111" t="s">
        <v>1942</v>
      </c>
      <c r="B130" s="106">
        <v>45047</v>
      </c>
      <c r="C130" s="309" t="s">
        <v>1130</v>
      </c>
      <c r="D130" s="271"/>
      <c r="E130" s="271"/>
      <c r="F130" s="271"/>
      <c r="G130" s="271"/>
      <c r="H130" s="273"/>
      <c r="I130" s="20" t="s">
        <v>502</v>
      </c>
      <c r="J130" s="439">
        <v>245000</v>
      </c>
      <c r="K130" s="273"/>
      <c r="L130" s="439">
        <v>39117.647058823532</v>
      </c>
      <c r="M130" s="273"/>
      <c r="N130" s="439">
        <v>205882.35294117648</v>
      </c>
      <c r="O130" s="273"/>
      <c r="P130" s="439">
        <v>0</v>
      </c>
      <c r="Q130" s="273"/>
      <c r="R130">
        <f>presup!M$368</f>
        <v>0</v>
      </c>
    </row>
    <row r="131" spans="1:18" ht="12.75" customHeight="1" x14ac:dyDescent="0.25">
      <c r="A131" s="105" t="s">
        <v>1943</v>
      </c>
      <c r="B131" s="106">
        <v>45047</v>
      </c>
      <c r="C131" s="464" t="s">
        <v>1132</v>
      </c>
      <c r="D131" s="463"/>
      <c r="E131" s="463"/>
      <c r="F131" s="463"/>
      <c r="G131" s="463"/>
      <c r="H131" s="446"/>
      <c r="I131" s="20" t="s">
        <v>502</v>
      </c>
      <c r="J131" s="439">
        <v>480000</v>
      </c>
      <c r="K131" s="273"/>
      <c r="L131" s="439">
        <v>76638.655462184877</v>
      </c>
      <c r="M131" s="273"/>
      <c r="N131" s="439">
        <v>403361.34453781514</v>
      </c>
      <c r="O131" s="273"/>
      <c r="P131" s="439">
        <v>0</v>
      </c>
      <c r="Q131" s="273"/>
      <c r="R131">
        <f>presup!M$368</f>
        <v>0</v>
      </c>
    </row>
    <row r="132" spans="1:18" ht="12.75" customHeight="1" x14ac:dyDescent="0.25">
      <c r="A132" s="105" t="s">
        <v>1944</v>
      </c>
      <c r="B132" s="106">
        <v>45047</v>
      </c>
      <c r="C132" s="309" t="s">
        <v>1134</v>
      </c>
      <c r="D132" s="271"/>
      <c r="E132" s="271"/>
      <c r="F132" s="271"/>
      <c r="G132" s="271"/>
      <c r="H132" s="273"/>
      <c r="I132" s="20" t="s">
        <v>502</v>
      </c>
      <c r="J132" s="439">
        <v>564000</v>
      </c>
      <c r="K132" s="273"/>
      <c r="L132" s="439">
        <v>90050.420168067227</v>
      </c>
      <c r="M132" s="273"/>
      <c r="N132" s="439">
        <v>473949.57983193279</v>
      </c>
      <c r="O132" s="273"/>
      <c r="P132" s="439">
        <v>564000</v>
      </c>
      <c r="Q132" s="273"/>
      <c r="R132">
        <f>presup!M$368</f>
        <v>0</v>
      </c>
    </row>
    <row r="133" spans="1:18" ht="12.75" customHeight="1" x14ac:dyDescent="0.25">
      <c r="A133" s="111" t="s">
        <v>1945</v>
      </c>
      <c r="B133" s="106">
        <v>45047</v>
      </c>
      <c r="C133" s="464" t="s">
        <v>1135</v>
      </c>
      <c r="D133" s="463"/>
      <c r="E133" s="463"/>
      <c r="F133" s="463"/>
      <c r="G133" s="463"/>
      <c r="H133" s="446"/>
      <c r="I133" s="20" t="s">
        <v>502</v>
      </c>
      <c r="J133" s="439">
        <v>886000</v>
      </c>
      <c r="K133" s="273"/>
      <c r="L133" s="439">
        <v>141462.18487394959</v>
      </c>
      <c r="M133" s="273"/>
      <c r="N133" s="439">
        <v>744537.8151260505</v>
      </c>
      <c r="O133" s="273"/>
      <c r="P133" s="439">
        <v>886000</v>
      </c>
      <c r="Q133" s="273"/>
      <c r="R133">
        <f>presup!M$368</f>
        <v>0</v>
      </c>
    </row>
    <row r="134" spans="1:18" ht="12.75" customHeight="1" x14ac:dyDescent="0.25">
      <c r="A134" s="111" t="s">
        <v>1946</v>
      </c>
      <c r="B134" s="106">
        <v>45047</v>
      </c>
      <c r="C134" s="464" t="s">
        <v>1137</v>
      </c>
      <c r="D134" s="463"/>
      <c r="E134" s="463"/>
      <c r="F134" s="463"/>
      <c r="G134" s="463"/>
      <c r="H134" s="446"/>
      <c r="I134" s="20" t="s">
        <v>502</v>
      </c>
      <c r="J134" s="439">
        <v>65000</v>
      </c>
      <c r="K134" s="273"/>
      <c r="L134" s="439">
        <v>0</v>
      </c>
      <c r="M134" s="273"/>
      <c r="N134" s="439">
        <v>0</v>
      </c>
      <c r="O134" s="273"/>
      <c r="P134" s="439">
        <v>0</v>
      </c>
      <c r="Q134" s="273"/>
      <c r="R134">
        <f>presup!M$368</f>
        <v>0</v>
      </c>
    </row>
    <row r="135" spans="1:18" ht="12.75" customHeight="1" x14ac:dyDescent="0.25">
      <c r="A135" s="105" t="s">
        <v>1947</v>
      </c>
      <c r="B135" s="106">
        <v>45047</v>
      </c>
      <c r="C135" s="309" t="s">
        <v>1139</v>
      </c>
      <c r="D135" s="271"/>
      <c r="E135" s="271"/>
      <c r="F135" s="271"/>
      <c r="G135" s="271"/>
      <c r="H135" s="273"/>
      <c r="I135" s="20" t="s">
        <v>502</v>
      </c>
      <c r="J135" s="439">
        <v>90000</v>
      </c>
      <c r="K135" s="273"/>
      <c r="L135" s="439">
        <v>14369.747899159665</v>
      </c>
      <c r="M135" s="273"/>
      <c r="N135" s="439">
        <v>75630.252100840342</v>
      </c>
      <c r="O135" s="273"/>
      <c r="P135" s="439">
        <v>0</v>
      </c>
      <c r="Q135" s="273"/>
      <c r="R135">
        <f>presup!M$368</f>
        <v>0</v>
      </c>
    </row>
    <row r="136" spans="1:18" ht="12.75" customHeight="1" x14ac:dyDescent="0.25">
      <c r="A136" s="105" t="s">
        <v>1948</v>
      </c>
      <c r="B136" s="106">
        <v>45047</v>
      </c>
      <c r="C136" s="309" t="s">
        <v>1141</v>
      </c>
      <c r="D136" s="271"/>
      <c r="E136" s="271"/>
      <c r="F136" s="271"/>
      <c r="G136" s="271"/>
      <c r="H136" s="273"/>
      <c r="I136" s="20" t="s">
        <v>502</v>
      </c>
      <c r="J136" s="439">
        <v>168000</v>
      </c>
      <c r="K136" s="273"/>
      <c r="L136" s="439">
        <v>26823.529411764706</v>
      </c>
      <c r="M136" s="273"/>
      <c r="N136" s="439">
        <v>141176.4705882353</v>
      </c>
      <c r="O136" s="273"/>
      <c r="P136" s="439">
        <v>0</v>
      </c>
      <c r="Q136" s="273"/>
      <c r="R136">
        <f>presup!M$368</f>
        <v>0</v>
      </c>
    </row>
    <row r="137" spans="1:18" ht="12.75" customHeight="1" x14ac:dyDescent="0.25">
      <c r="A137" s="105" t="s">
        <v>1949</v>
      </c>
      <c r="B137" s="106">
        <v>45047</v>
      </c>
      <c r="C137" s="309" t="s">
        <v>1143</v>
      </c>
      <c r="D137" s="271"/>
      <c r="E137" s="271"/>
      <c r="F137" s="271"/>
      <c r="G137" s="271"/>
      <c r="H137" s="273"/>
      <c r="I137" s="20" t="s">
        <v>502</v>
      </c>
      <c r="J137" s="439"/>
      <c r="K137" s="273"/>
      <c r="L137" s="439">
        <v>0</v>
      </c>
      <c r="M137" s="273"/>
      <c r="N137" s="439">
        <v>0</v>
      </c>
      <c r="O137" s="273"/>
      <c r="P137" s="439">
        <v>0</v>
      </c>
      <c r="Q137" s="273"/>
      <c r="R137">
        <f>presup!M$368</f>
        <v>0</v>
      </c>
    </row>
    <row r="138" spans="1:18" ht="12.75" customHeight="1" x14ac:dyDescent="0.25">
      <c r="A138" s="111" t="s">
        <v>1950</v>
      </c>
      <c r="B138" s="106">
        <v>45047</v>
      </c>
      <c r="C138" s="464" t="s">
        <v>1145</v>
      </c>
      <c r="D138" s="463"/>
      <c r="E138" s="463"/>
      <c r="F138" s="463"/>
      <c r="G138" s="463"/>
      <c r="H138" s="446"/>
      <c r="I138" s="20" t="s">
        <v>502</v>
      </c>
      <c r="J138" s="439">
        <v>130000</v>
      </c>
      <c r="K138" s="273"/>
      <c r="L138" s="439">
        <v>20756.302521008405</v>
      </c>
      <c r="M138" s="273"/>
      <c r="N138" s="439">
        <v>109243.6974789916</v>
      </c>
      <c r="O138" s="273"/>
      <c r="P138" s="439">
        <v>0</v>
      </c>
      <c r="Q138" s="273"/>
      <c r="R138">
        <f>presup!M$368</f>
        <v>0</v>
      </c>
    </row>
    <row r="139" spans="1:18" ht="12.75" customHeight="1" x14ac:dyDescent="0.25">
      <c r="A139" s="105" t="s">
        <v>1951</v>
      </c>
      <c r="B139" s="106">
        <v>45047</v>
      </c>
      <c r="C139" s="309" t="s">
        <v>1147</v>
      </c>
      <c r="D139" s="271"/>
      <c r="E139" s="271"/>
      <c r="F139" s="271"/>
      <c r="G139" s="271"/>
      <c r="H139" s="273"/>
      <c r="I139" s="20" t="s">
        <v>502</v>
      </c>
      <c r="J139" s="439">
        <v>250000</v>
      </c>
      <c r="K139" s="273"/>
      <c r="L139" s="439">
        <v>39915.966386554624</v>
      </c>
      <c r="M139" s="273"/>
      <c r="N139" s="439">
        <v>210084.03361344538</v>
      </c>
      <c r="O139" s="273"/>
      <c r="P139" s="439">
        <v>0</v>
      </c>
      <c r="Q139" s="273"/>
      <c r="R139">
        <f>presup!M$368</f>
        <v>0</v>
      </c>
    </row>
    <row r="140" spans="1:18" ht="12.75" customHeight="1" x14ac:dyDescent="0.25">
      <c r="A140" s="105" t="s">
        <v>1952</v>
      </c>
      <c r="B140" s="106">
        <v>45047</v>
      </c>
      <c r="C140" s="464" t="s">
        <v>1149</v>
      </c>
      <c r="D140" s="463"/>
      <c r="E140" s="463"/>
      <c r="F140" s="463"/>
      <c r="G140" s="463"/>
      <c r="H140" s="446"/>
      <c r="I140" s="20" t="s">
        <v>502</v>
      </c>
      <c r="J140" s="439">
        <v>927698</v>
      </c>
      <c r="K140" s="273"/>
      <c r="L140" s="439">
        <v>148119.84873949582</v>
      </c>
      <c r="M140" s="273"/>
      <c r="N140" s="439">
        <v>779578.15126050427</v>
      </c>
      <c r="O140" s="273"/>
      <c r="P140" s="439">
        <v>0</v>
      </c>
      <c r="Q140" s="273"/>
      <c r="R140">
        <f>presup!M$368</f>
        <v>0</v>
      </c>
    </row>
    <row r="141" spans="1:18" ht="12.75" customHeight="1" x14ac:dyDescent="0.25">
      <c r="A141" s="105" t="s">
        <v>1953</v>
      </c>
      <c r="B141" s="106">
        <v>45047</v>
      </c>
      <c r="C141" s="309" t="s">
        <v>1151</v>
      </c>
      <c r="D141" s="271"/>
      <c r="E141" s="271"/>
      <c r="F141" s="271"/>
      <c r="G141" s="271"/>
      <c r="H141" s="273"/>
      <c r="I141" s="20" t="s">
        <v>502</v>
      </c>
      <c r="J141" s="439">
        <v>321000</v>
      </c>
      <c r="K141" s="273"/>
      <c r="L141" s="439">
        <v>51252.100840336141</v>
      </c>
      <c r="M141" s="273"/>
      <c r="N141" s="439">
        <v>269747.89915966388</v>
      </c>
      <c r="O141" s="273"/>
      <c r="P141" s="439">
        <v>321000</v>
      </c>
      <c r="Q141" s="273"/>
      <c r="R141">
        <f>presup!M$368</f>
        <v>0</v>
      </c>
    </row>
    <row r="142" spans="1:18" ht="12.75" customHeight="1" x14ac:dyDescent="0.25">
      <c r="A142" s="111" t="s">
        <v>1954</v>
      </c>
      <c r="B142" s="106">
        <v>45047</v>
      </c>
      <c r="C142" s="464" t="s">
        <v>1152</v>
      </c>
      <c r="D142" s="463"/>
      <c r="E142" s="463"/>
      <c r="F142" s="463"/>
      <c r="G142" s="463"/>
      <c r="H142" s="446"/>
      <c r="I142" s="20" t="s">
        <v>502</v>
      </c>
      <c r="J142" s="439">
        <v>504000</v>
      </c>
      <c r="K142" s="273"/>
      <c r="L142" s="439">
        <v>80470.588235294126</v>
      </c>
      <c r="M142" s="273"/>
      <c r="N142" s="439">
        <v>423529.4117647059</v>
      </c>
      <c r="O142" s="273"/>
      <c r="P142" s="439">
        <v>504000</v>
      </c>
      <c r="Q142" s="273"/>
      <c r="R142">
        <f>presup!M$368</f>
        <v>0</v>
      </c>
    </row>
    <row r="143" spans="1:18" ht="12.75" customHeight="1" x14ac:dyDescent="0.25">
      <c r="A143" s="111" t="s">
        <v>1955</v>
      </c>
      <c r="B143" s="106">
        <v>45047</v>
      </c>
      <c r="C143" s="464" t="s">
        <v>1154</v>
      </c>
      <c r="D143" s="463"/>
      <c r="E143" s="463"/>
      <c r="F143" s="463"/>
      <c r="G143" s="463"/>
      <c r="H143" s="446"/>
      <c r="I143" s="20" t="s">
        <v>502</v>
      </c>
      <c r="J143" s="439">
        <v>687000</v>
      </c>
      <c r="K143" s="273"/>
      <c r="L143" s="439">
        <v>109689.07563025209</v>
      </c>
      <c r="M143" s="273"/>
      <c r="N143" s="439">
        <v>577310.92436974787</v>
      </c>
      <c r="O143" s="273"/>
      <c r="P143" s="439">
        <v>687000</v>
      </c>
      <c r="Q143" s="273"/>
      <c r="R143">
        <f>presup!M$368</f>
        <v>0</v>
      </c>
    </row>
    <row r="144" spans="1:18" ht="12.75" customHeight="1" x14ac:dyDescent="0.25">
      <c r="A144" s="105" t="s">
        <v>1956</v>
      </c>
      <c r="B144" s="106">
        <v>45047</v>
      </c>
      <c r="C144" s="309" t="s">
        <v>1156</v>
      </c>
      <c r="D144" s="271"/>
      <c r="E144" s="271"/>
      <c r="F144" s="271"/>
      <c r="G144" s="271"/>
      <c r="H144" s="273"/>
      <c r="I144" s="20" t="s">
        <v>502</v>
      </c>
      <c r="J144" s="439">
        <v>1341000</v>
      </c>
      <c r="K144" s="273"/>
      <c r="L144" s="439">
        <v>214109.24369747902</v>
      </c>
      <c r="M144" s="273"/>
      <c r="N144" s="439">
        <v>1126890.7563025211</v>
      </c>
      <c r="O144" s="273"/>
      <c r="P144" s="439">
        <v>1341000</v>
      </c>
      <c r="Q144" s="273"/>
      <c r="R144">
        <f>presup!M$368</f>
        <v>0</v>
      </c>
    </row>
    <row r="145" spans="1:18" ht="12.75" customHeight="1" x14ac:dyDescent="0.25">
      <c r="A145" s="105" t="s">
        <v>1957</v>
      </c>
      <c r="B145" s="106">
        <v>45047</v>
      </c>
      <c r="C145" s="464" t="s">
        <v>1158</v>
      </c>
      <c r="D145" s="463"/>
      <c r="E145" s="463"/>
      <c r="F145" s="463"/>
      <c r="G145" s="463"/>
      <c r="H145" s="446"/>
      <c r="I145" s="20" t="s">
        <v>502</v>
      </c>
      <c r="J145" s="439">
        <v>1667000</v>
      </c>
      <c r="K145" s="273"/>
      <c r="L145" s="439">
        <v>266159.66386554623</v>
      </c>
      <c r="M145" s="273"/>
      <c r="N145" s="439">
        <v>1400840.3361344538</v>
      </c>
      <c r="O145" s="273"/>
      <c r="P145" s="439">
        <v>1667000</v>
      </c>
      <c r="Q145" s="273"/>
      <c r="R145">
        <f>presup!M$368</f>
        <v>0</v>
      </c>
    </row>
    <row r="146" spans="1:18" ht="12.75" customHeight="1" x14ac:dyDescent="0.25">
      <c r="A146" s="105" t="s">
        <v>1958</v>
      </c>
      <c r="B146" s="106">
        <v>45047</v>
      </c>
      <c r="C146" s="309" t="s">
        <v>1160</v>
      </c>
      <c r="D146" s="271"/>
      <c r="E146" s="271"/>
      <c r="F146" s="271"/>
      <c r="G146" s="271"/>
      <c r="H146" s="273"/>
      <c r="I146" s="20" t="s">
        <v>502</v>
      </c>
      <c r="J146" s="439">
        <v>2206000</v>
      </c>
      <c r="K146" s="273"/>
      <c r="L146" s="439">
        <v>352218.48739495804</v>
      </c>
      <c r="M146" s="273"/>
      <c r="N146" s="439">
        <v>1853781.5126050422</v>
      </c>
      <c r="O146" s="273"/>
      <c r="P146" s="439">
        <v>2206000</v>
      </c>
      <c r="Q146" s="273"/>
      <c r="R146">
        <f>presup!M$368</f>
        <v>0</v>
      </c>
    </row>
    <row r="147" spans="1:18" ht="12.75" customHeight="1" x14ac:dyDescent="0.25">
      <c r="A147" s="111" t="s">
        <v>1959</v>
      </c>
      <c r="B147" s="106">
        <v>45047</v>
      </c>
      <c r="C147" s="464" t="s">
        <v>1162</v>
      </c>
      <c r="D147" s="463"/>
      <c r="E147" s="463"/>
      <c r="F147" s="463"/>
      <c r="G147" s="463"/>
      <c r="H147" s="446"/>
      <c r="I147" s="20" t="s">
        <v>1815</v>
      </c>
      <c r="J147" s="439">
        <f>MAX(P147:Q147)</f>
        <v>47570.25</v>
      </c>
      <c r="K147" s="273"/>
      <c r="L147" s="439">
        <v>7595.25</v>
      </c>
      <c r="M147" s="273"/>
      <c r="N147" s="439">
        <v>39975</v>
      </c>
      <c r="O147" s="273"/>
      <c r="P147" s="439">
        <f>219555*1.3/6</f>
        <v>47570.25</v>
      </c>
      <c r="Q147" s="273"/>
      <c r="R147">
        <f>presup!M$368</f>
        <v>0</v>
      </c>
    </row>
    <row r="148" spans="1:18" ht="12.75" customHeight="1" x14ac:dyDescent="0.25">
      <c r="A148" s="111" t="s">
        <v>1960</v>
      </c>
      <c r="B148" s="106">
        <v>45047</v>
      </c>
      <c r="C148" s="309" t="s">
        <v>1218</v>
      </c>
      <c r="D148" s="271"/>
      <c r="E148" s="271"/>
      <c r="F148" s="271"/>
      <c r="G148" s="271"/>
      <c r="H148" s="273"/>
      <c r="I148" s="20" t="s">
        <v>21</v>
      </c>
      <c r="J148" s="439">
        <v>11869.58</v>
      </c>
      <c r="K148" s="273"/>
      <c r="L148" s="439">
        <v>1895.143025210084</v>
      </c>
      <c r="M148" s="273"/>
      <c r="N148" s="439">
        <v>9974.4369747899163</v>
      </c>
      <c r="O148" s="273"/>
      <c r="P148" s="439">
        <v>11869.58</v>
      </c>
      <c r="Q148" s="273"/>
      <c r="R148">
        <f>presup!M$368</f>
        <v>0</v>
      </c>
    </row>
    <row r="149" spans="1:18" ht="12.75" customHeight="1" x14ac:dyDescent="0.25">
      <c r="A149" s="111" t="s">
        <v>1961</v>
      </c>
      <c r="B149" s="106">
        <v>45047</v>
      </c>
      <c r="C149" s="464" t="s">
        <v>1168</v>
      </c>
      <c r="D149" s="463"/>
      <c r="E149" s="463"/>
      <c r="F149" s="463"/>
      <c r="G149" s="463"/>
      <c r="H149" s="446"/>
      <c r="I149" s="20" t="s">
        <v>1815</v>
      </c>
      <c r="J149" s="439">
        <v>82150</v>
      </c>
      <c r="K149" s="273"/>
      <c r="L149" s="439">
        <v>13116.386554621849</v>
      </c>
      <c r="M149" s="273"/>
      <c r="N149" s="439">
        <v>69033.613445378156</v>
      </c>
      <c r="O149" s="273"/>
      <c r="P149" s="439">
        <v>0</v>
      </c>
      <c r="Q149" s="273"/>
      <c r="R149">
        <f>presup!M$368</f>
        <v>0</v>
      </c>
    </row>
    <row r="150" spans="1:18" ht="12.75" customHeight="1" x14ac:dyDescent="0.25">
      <c r="A150" s="111" t="s">
        <v>1962</v>
      </c>
      <c r="B150" s="106">
        <v>45047</v>
      </c>
      <c r="C150" s="309" t="s">
        <v>1172</v>
      </c>
      <c r="D150" s="271"/>
      <c r="E150" s="271"/>
      <c r="F150" s="271"/>
      <c r="G150" s="271"/>
      <c r="H150" s="273"/>
      <c r="I150" s="20" t="s">
        <v>1821</v>
      </c>
      <c r="J150" s="439">
        <v>19749.88</v>
      </c>
      <c r="K150" s="273"/>
      <c r="L150" s="439">
        <v>3153.3421848739499</v>
      </c>
      <c r="M150" s="273"/>
      <c r="N150" s="439">
        <v>16596.537815126052</v>
      </c>
      <c r="O150" s="273"/>
      <c r="P150" s="439">
        <v>19749.88</v>
      </c>
      <c r="Q150" s="273"/>
      <c r="R150">
        <f>presup!M$368</f>
        <v>0</v>
      </c>
    </row>
    <row r="151" spans="1:18" ht="12.75" customHeight="1" x14ac:dyDescent="0.25">
      <c r="A151" s="111" t="s">
        <v>1963</v>
      </c>
      <c r="B151" s="106">
        <v>45047</v>
      </c>
      <c r="C151" s="309" t="s">
        <v>1173</v>
      </c>
      <c r="D151" s="271"/>
      <c r="E151" s="271"/>
      <c r="F151" s="271"/>
      <c r="G151" s="271"/>
      <c r="H151" s="273"/>
      <c r="I151" s="20" t="s">
        <v>21</v>
      </c>
      <c r="J151" s="439">
        <v>14016.83</v>
      </c>
      <c r="K151" s="273"/>
      <c r="L151" s="439">
        <v>2237.9812605042021</v>
      </c>
      <c r="M151" s="273"/>
      <c r="N151" s="439">
        <v>11778.848739495799</v>
      </c>
      <c r="O151" s="273"/>
      <c r="P151" s="439">
        <v>14016.83</v>
      </c>
      <c r="Q151" s="273"/>
      <c r="R151">
        <f>presup!M$368</f>
        <v>0</v>
      </c>
    </row>
    <row r="152" spans="1:18" ht="12.75" customHeight="1" x14ac:dyDescent="0.25">
      <c r="A152" s="111" t="s">
        <v>1964</v>
      </c>
      <c r="B152" s="106">
        <v>45047</v>
      </c>
      <c r="C152" s="309" t="s">
        <v>1174</v>
      </c>
      <c r="D152" s="271"/>
      <c r="E152" s="271"/>
      <c r="F152" s="271"/>
      <c r="G152" s="271"/>
      <c r="H152" s="273"/>
      <c r="I152" s="20" t="s">
        <v>1815</v>
      </c>
      <c r="J152" s="439">
        <v>2782.03</v>
      </c>
      <c r="K152" s="273"/>
      <c r="L152" s="439">
        <v>444.18966386554627</v>
      </c>
      <c r="M152" s="273"/>
      <c r="N152" s="439">
        <v>2337.840336134454</v>
      </c>
      <c r="O152" s="273"/>
      <c r="P152" s="439">
        <v>2782.03</v>
      </c>
      <c r="Q152" s="273"/>
      <c r="R152">
        <f>presup!M$368</f>
        <v>0</v>
      </c>
    </row>
    <row r="153" spans="1:18" ht="12.75" customHeight="1" x14ac:dyDescent="0.25">
      <c r="A153" s="111" t="s">
        <v>1965</v>
      </c>
      <c r="B153" s="106">
        <v>45047</v>
      </c>
      <c r="C153" s="309" t="s">
        <v>1178</v>
      </c>
      <c r="D153" s="271"/>
      <c r="E153" s="271"/>
      <c r="F153" s="271"/>
      <c r="G153" s="271"/>
      <c r="H153" s="273"/>
      <c r="I153" s="20" t="s">
        <v>502</v>
      </c>
      <c r="J153" s="439">
        <v>2496000</v>
      </c>
      <c r="K153" s="273"/>
      <c r="L153" s="439">
        <v>398521.00840336137</v>
      </c>
      <c r="M153" s="273"/>
      <c r="N153" s="439">
        <v>2097478.9915966387</v>
      </c>
      <c r="O153" s="273"/>
      <c r="P153" s="439">
        <v>2496000</v>
      </c>
      <c r="Q153" s="273"/>
      <c r="R153">
        <f>presup!M$368</f>
        <v>0</v>
      </c>
    </row>
    <row r="154" spans="1:18" ht="12.75" customHeight="1" x14ac:dyDescent="0.25">
      <c r="A154" s="105" t="s">
        <v>1966</v>
      </c>
      <c r="B154" s="106">
        <v>45047</v>
      </c>
      <c r="C154" s="309" t="s">
        <v>1180</v>
      </c>
      <c r="D154" s="271"/>
      <c r="E154" s="271"/>
      <c r="F154" s="271"/>
      <c r="G154" s="271"/>
      <c r="H154" s="273"/>
      <c r="I154" s="20" t="s">
        <v>502</v>
      </c>
      <c r="J154" s="439">
        <v>1797000</v>
      </c>
      <c r="K154" s="273"/>
      <c r="L154" s="439">
        <v>286915.96638655465</v>
      </c>
      <c r="M154" s="273"/>
      <c r="N154" s="439">
        <v>1510084.0336134455</v>
      </c>
      <c r="O154" s="273"/>
      <c r="P154" s="439">
        <v>1797000</v>
      </c>
      <c r="Q154" s="273"/>
      <c r="R154">
        <f>presup!M$368</f>
        <v>0</v>
      </c>
    </row>
    <row r="155" spans="1:18" ht="12.75" customHeight="1" x14ac:dyDescent="0.25">
      <c r="A155" s="105" t="s">
        <v>1967</v>
      </c>
      <c r="B155" s="106">
        <v>45047</v>
      </c>
      <c r="C155" s="309" t="s">
        <v>1182</v>
      </c>
      <c r="D155" s="271"/>
      <c r="E155" s="271"/>
      <c r="F155" s="271"/>
      <c r="G155" s="271"/>
      <c r="H155" s="273"/>
      <c r="I155" s="20" t="s">
        <v>502</v>
      </c>
      <c r="J155" s="439">
        <v>1879000</v>
      </c>
      <c r="K155" s="273"/>
      <c r="L155" s="439">
        <v>300008.40336134454</v>
      </c>
      <c r="M155" s="273"/>
      <c r="N155" s="439">
        <v>1578991.5966386555</v>
      </c>
      <c r="O155" s="273"/>
      <c r="P155" s="439">
        <v>1879000</v>
      </c>
      <c r="Q155" s="273"/>
      <c r="R155">
        <f>presup!M$368</f>
        <v>0</v>
      </c>
    </row>
    <row r="156" spans="1:18" ht="12.75" customHeight="1" x14ac:dyDescent="0.25">
      <c r="A156" s="111" t="s">
        <v>1968</v>
      </c>
      <c r="B156" s="106">
        <v>45047</v>
      </c>
      <c r="C156" s="309" t="s">
        <v>1183</v>
      </c>
      <c r="D156" s="271"/>
      <c r="E156" s="271"/>
      <c r="F156" s="271"/>
      <c r="G156" s="271"/>
      <c r="H156" s="273"/>
      <c r="I156" s="20" t="s">
        <v>502</v>
      </c>
      <c r="J156" s="439">
        <v>3128000</v>
      </c>
      <c r="K156" s="273"/>
      <c r="L156" s="439">
        <v>499428.57142857142</v>
      </c>
      <c r="M156" s="273"/>
      <c r="N156" s="439">
        <v>2628571.4285714286</v>
      </c>
      <c r="O156" s="273"/>
      <c r="P156" s="439">
        <v>3128000</v>
      </c>
      <c r="Q156" s="273"/>
      <c r="R156">
        <f>presup!M$368</f>
        <v>0</v>
      </c>
    </row>
    <row r="157" spans="1:18" ht="12.75" customHeight="1" x14ac:dyDescent="0.25">
      <c r="A157" s="111" t="s">
        <v>1969</v>
      </c>
      <c r="B157" s="106">
        <v>45047</v>
      </c>
      <c r="C157" s="309" t="s">
        <v>1184</v>
      </c>
      <c r="D157" s="271"/>
      <c r="E157" s="271"/>
      <c r="F157" s="271"/>
      <c r="G157" s="271"/>
      <c r="H157" s="273"/>
      <c r="I157" s="20" t="s">
        <v>502</v>
      </c>
      <c r="J157" s="439">
        <v>5082000</v>
      </c>
      <c r="K157" s="273"/>
      <c r="L157" s="439">
        <v>811411.76470588241</v>
      </c>
      <c r="M157" s="273"/>
      <c r="N157" s="439">
        <v>4270588.2352941176</v>
      </c>
      <c r="O157" s="273"/>
      <c r="P157" s="439">
        <v>5082000</v>
      </c>
      <c r="Q157" s="273"/>
      <c r="R157">
        <f>presup!M$368</f>
        <v>0</v>
      </c>
    </row>
    <row r="158" spans="1:18" ht="12.75" customHeight="1" x14ac:dyDescent="0.25">
      <c r="A158" s="111" t="s">
        <v>1970</v>
      </c>
      <c r="B158" s="106">
        <v>45047</v>
      </c>
      <c r="C158" s="309" t="s">
        <v>1186</v>
      </c>
      <c r="D158" s="271"/>
      <c r="E158" s="271"/>
      <c r="F158" s="271"/>
      <c r="G158" s="271"/>
      <c r="H158" s="273"/>
      <c r="I158" s="20" t="s">
        <v>1815</v>
      </c>
      <c r="J158" s="439">
        <v>232059.93</v>
      </c>
      <c r="K158" s="273"/>
      <c r="L158" s="439">
        <v>37051.585462184878</v>
      </c>
      <c r="M158" s="273"/>
      <c r="N158" s="439">
        <v>195008.34453781514</v>
      </c>
      <c r="O158" s="273"/>
      <c r="P158" s="439">
        <v>232059.93</v>
      </c>
      <c r="Q158" s="273"/>
      <c r="R158">
        <f>presup!M$368</f>
        <v>0</v>
      </c>
    </row>
    <row r="159" spans="1:18" ht="12.75" customHeight="1" x14ac:dyDescent="0.25">
      <c r="A159" s="105" t="s">
        <v>1971</v>
      </c>
      <c r="B159" s="106">
        <v>45047</v>
      </c>
      <c r="C159" s="309" t="s">
        <v>1188</v>
      </c>
      <c r="D159" s="271"/>
      <c r="E159" s="271"/>
      <c r="F159" s="271"/>
      <c r="G159" s="271"/>
      <c r="H159" s="273"/>
      <c r="I159" s="20" t="s">
        <v>502</v>
      </c>
      <c r="J159" s="439">
        <v>22633230.59</v>
      </c>
      <c r="K159" s="273"/>
      <c r="L159" s="439">
        <v>3613709.0857983194</v>
      </c>
      <c r="M159" s="273"/>
      <c r="N159" s="439">
        <v>19019521.50420168</v>
      </c>
      <c r="O159" s="273"/>
      <c r="P159" s="439">
        <v>22633230.59</v>
      </c>
      <c r="Q159" s="273"/>
      <c r="R159">
        <f>presup!M$368</f>
        <v>0</v>
      </c>
    </row>
    <row r="160" spans="1:18" ht="12.75" customHeight="1" x14ac:dyDescent="0.25">
      <c r="A160" s="105" t="s">
        <v>1972</v>
      </c>
      <c r="B160" s="106">
        <v>45047</v>
      </c>
      <c r="C160" s="464" t="s">
        <v>1190</v>
      </c>
      <c r="D160" s="463"/>
      <c r="E160" s="463"/>
      <c r="F160" s="463"/>
      <c r="G160" s="463"/>
      <c r="H160" s="446"/>
      <c r="I160" s="20" t="s">
        <v>1815</v>
      </c>
      <c r="J160" s="439">
        <v>54300</v>
      </c>
      <c r="K160" s="273"/>
      <c r="L160" s="439">
        <v>8669.7478991596636</v>
      </c>
      <c r="M160" s="273"/>
      <c r="N160" s="439">
        <v>45630.252100840335</v>
      </c>
      <c r="O160" s="273"/>
      <c r="P160" s="439">
        <v>54650</v>
      </c>
      <c r="Q160" s="273"/>
      <c r="R160">
        <f>presup!M$368</f>
        <v>0</v>
      </c>
    </row>
    <row r="161" spans="1:18" ht="12.75" customHeight="1" x14ac:dyDescent="0.25">
      <c r="A161" s="105" t="s">
        <v>1973</v>
      </c>
      <c r="B161" s="106">
        <v>45047</v>
      </c>
      <c r="C161" s="464" t="s">
        <v>1192</v>
      </c>
      <c r="D161" s="463"/>
      <c r="E161" s="463"/>
      <c r="F161" s="463"/>
      <c r="G161" s="463"/>
      <c r="H161" s="446"/>
      <c r="I161" s="20" t="s">
        <v>502</v>
      </c>
      <c r="J161" s="439">
        <v>420.37</v>
      </c>
      <c r="K161" s="273"/>
      <c r="L161" s="439">
        <v>67.117899159663864</v>
      </c>
      <c r="M161" s="273"/>
      <c r="N161" s="439">
        <v>353.25210084033614</v>
      </c>
      <c r="O161" s="273"/>
      <c r="P161" s="439">
        <v>420.37</v>
      </c>
      <c r="Q161" s="273"/>
      <c r="R161">
        <f>presup!M$368</f>
        <v>0</v>
      </c>
    </row>
    <row r="162" spans="1:18" ht="12.75" customHeight="1" x14ac:dyDescent="0.25">
      <c r="A162" s="105" t="s">
        <v>1974</v>
      </c>
      <c r="B162" s="106">
        <v>45047</v>
      </c>
      <c r="C162" s="464" t="s">
        <v>1193</v>
      </c>
      <c r="D162" s="463"/>
      <c r="E162" s="463"/>
      <c r="F162" s="463"/>
      <c r="G162" s="463"/>
      <c r="H162" s="446"/>
      <c r="I162" s="20" t="s">
        <v>502</v>
      </c>
      <c r="J162" s="439">
        <v>3760.07</v>
      </c>
      <c r="K162" s="273"/>
      <c r="L162" s="439">
        <v>600.34731092436982</v>
      </c>
      <c r="M162" s="273"/>
      <c r="N162" s="439">
        <v>3159.7226890756306</v>
      </c>
      <c r="O162" s="273"/>
      <c r="P162" s="439">
        <v>3760.07</v>
      </c>
      <c r="Q162" s="273"/>
      <c r="R162">
        <f>presup!M$368</f>
        <v>0</v>
      </c>
    </row>
    <row r="163" spans="1:18" ht="12.75" customHeight="1" x14ac:dyDescent="0.25">
      <c r="A163" s="105" t="s">
        <v>1975</v>
      </c>
      <c r="B163" s="106">
        <v>45047</v>
      </c>
      <c r="C163" s="464" t="s">
        <v>1194</v>
      </c>
      <c r="D163" s="463"/>
      <c r="E163" s="463"/>
      <c r="F163" s="463"/>
      <c r="G163" s="463"/>
      <c r="H163" s="446"/>
      <c r="I163" s="20" t="s">
        <v>502</v>
      </c>
      <c r="J163" s="439">
        <v>132.03</v>
      </c>
      <c r="K163" s="273"/>
      <c r="L163" s="439">
        <v>21.080420168067228</v>
      </c>
      <c r="M163" s="273"/>
      <c r="N163" s="439">
        <v>110.94957983193278</v>
      </c>
      <c r="O163" s="273"/>
      <c r="P163" s="439">
        <v>132.03</v>
      </c>
      <c r="Q163" s="273"/>
      <c r="R163">
        <f>presup!M$368</f>
        <v>0</v>
      </c>
    </row>
    <row r="164" spans="1:18" ht="12.75" customHeight="1" x14ac:dyDescent="0.25">
      <c r="A164" s="105" t="s">
        <v>1976</v>
      </c>
      <c r="B164" s="106">
        <v>45047</v>
      </c>
      <c r="C164" s="464" t="s">
        <v>1195</v>
      </c>
      <c r="D164" s="463"/>
      <c r="E164" s="463"/>
      <c r="F164" s="463"/>
      <c r="G164" s="463"/>
      <c r="H164" s="446"/>
      <c r="I164" s="20" t="s">
        <v>1815</v>
      </c>
      <c r="J164" s="439">
        <v>16819.990000000002</v>
      </c>
      <c r="K164" s="273"/>
      <c r="L164" s="439">
        <v>2685.54462184874</v>
      </c>
      <c r="M164" s="273"/>
      <c r="N164" s="439">
        <v>14134.445378151262</v>
      </c>
      <c r="O164" s="273"/>
      <c r="P164" s="439">
        <v>16819.990000000002</v>
      </c>
      <c r="Q164" s="273"/>
      <c r="R164">
        <f>presup!M$368</f>
        <v>0</v>
      </c>
    </row>
    <row r="165" spans="1:18" ht="12.75" customHeight="1" x14ac:dyDescent="0.25">
      <c r="A165" s="105" t="s">
        <v>1977</v>
      </c>
      <c r="B165" s="106">
        <v>45047</v>
      </c>
      <c r="C165" s="464" t="s">
        <v>1196</v>
      </c>
      <c r="D165" s="463"/>
      <c r="E165" s="463"/>
      <c r="F165" s="463"/>
      <c r="G165" s="463"/>
      <c r="H165" s="446"/>
      <c r="I165" s="20" t="s">
        <v>502</v>
      </c>
      <c r="J165" s="439">
        <v>422.48</v>
      </c>
      <c r="K165" s="273"/>
      <c r="L165" s="439">
        <v>67.454789915966387</v>
      </c>
      <c r="M165" s="273"/>
      <c r="N165" s="439">
        <v>355.02521008403363</v>
      </c>
      <c r="O165" s="273"/>
      <c r="P165" s="439">
        <v>422.48</v>
      </c>
      <c r="Q165" s="273"/>
      <c r="R165">
        <f>presup!M$368</f>
        <v>0</v>
      </c>
    </row>
    <row r="166" spans="1:18" ht="12.75" customHeight="1" x14ac:dyDescent="0.25">
      <c r="A166" s="105" t="s">
        <v>1978</v>
      </c>
      <c r="B166" s="106">
        <v>45047</v>
      </c>
      <c r="C166" s="464" t="s">
        <v>1197</v>
      </c>
      <c r="D166" s="463"/>
      <c r="E166" s="463"/>
      <c r="F166" s="463"/>
      <c r="G166" s="463"/>
      <c r="H166" s="446"/>
      <c r="I166" s="20" t="s">
        <v>502</v>
      </c>
      <c r="J166" s="439">
        <v>485.85</v>
      </c>
      <c r="K166" s="273"/>
      <c r="L166" s="439">
        <v>77.572689075630251</v>
      </c>
      <c r="M166" s="273"/>
      <c r="N166" s="439">
        <v>408.27731092436977</v>
      </c>
      <c r="O166" s="273"/>
      <c r="P166" s="439">
        <v>485.85</v>
      </c>
      <c r="Q166" s="273"/>
      <c r="R166">
        <f>presup!M$368</f>
        <v>0</v>
      </c>
    </row>
    <row r="167" spans="1:18" ht="12.75" customHeight="1" x14ac:dyDescent="0.25">
      <c r="A167" s="105" t="s">
        <v>1979</v>
      </c>
      <c r="B167" s="106">
        <v>45047</v>
      </c>
      <c r="C167" s="309" t="s">
        <v>1199</v>
      </c>
      <c r="D167" s="271"/>
      <c r="E167" s="271"/>
      <c r="F167" s="271"/>
      <c r="G167" s="271"/>
      <c r="H167" s="273"/>
      <c r="I167" s="20" t="s">
        <v>502</v>
      </c>
      <c r="J167" s="439">
        <v>1700</v>
      </c>
      <c r="K167" s="273"/>
      <c r="L167" s="439">
        <v>271.42857142857144</v>
      </c>
      <c r="M167" s="273"/>
      <c r="N167" s="439">
        <v>1428.5714285714287</v>
      </c>
      <c r="O167" s="273"/>
      <c r="P167" s="439">
        <v>1700</v>
      </c>
      <c r="Q167" s="273"/>
      <c r="R167">
        <f>presup!M$368</f>
        <v>0</v>
      </c>
    </row>
    <row r="168" spans="1:18" ht="12.75" customHeight="1" x14ac:dyDescent="0.25">
      <c r="A168" s="105" t="s">
        <v>1980</v>
      </c>
      <c r="B168" s="106">
        <v>45047</v>
      </c>
      <c r="C168" s="309" t="s">
        <v>1200</v>
      </c>
      <c r="D168" s="271"/>
      <c r="E168" s="271"/>
      <c r="F168" s="271"/>
      <c r="G168" s="271"/>
      <c r="H168" s="273"/>
      <c r="I168" s="20" t="s">
        <v>502</v>
      </c>
      <c r="J168" s="439">
        <v>8500</v>
      </c>
      <c r="K168" s="273"/>
      <c r="L168" s="439">
        <v>1357.1428571428571</v>
      </c>
      <c r="M168" s="273"/>
      <c r="N168" s="439">
        <v>7142.8571428571431</v>
      </c>
      <c r="O168" s="273"/>
      <c r="P168" s="439">
        <v>8500</v>
      </c>
      <c r="Q168" s="273"/>
      <c r="R168">
        <f>presup!M$368</f>
        <v>0</v>
      </c>
    </row>
    <row r="169" spans="1:18" ht="12.75" customHeight="1" x14ac:dyDescent="0.25">
      <c r="A169" s="105" t="s">
        <v>1981</v>
      </c>
      <c r="B169" s="106">
        <v>45047</v>
      </c>
      <c r="C169" s="309" t="s">
        <v>1201</v>
      </c>
      <c r="D169" s="271"/>
      <c r="E169" s="271"/>
      <c r="F169" s="271"/>
      <c r="G169" s="271"/>
      <c r="H169" s="273"/>
      <c r="I169" s="20" t="s">
        <v>502</v>
      </c>
      <c r="J169" s="439">
        <v>6000</v>
      </c>
      <c r="K169" s="273"/>
      <c r="L169" s="439">
        <v>957.98319327731099</v>
      </c>
      <c r="M169" s="273"/>
      <c r="N169" s="439">
        <v>5042.0168067226896</v>
      </c>
      <c r="O169" s="273"/>
      <c r="P169" s="439">
        <v>6000</v>
      </c>
      <c r="Q169" s="273"/>
      <c r="R169">
        <f>presup!M$368</f>
        <v>0</v>
      </c>
    </row>
    <row r="170" spans="1:18" ht="12.75" customHeight="1" x14ac:dyDescent="0.25">
      <c r="A170" s="105" t="s">
        <v>1982</v>
      </c>
      <c r="B170" s="106">
        <v>45047</v>
      </c>
      <c r="C170" s="309" t="s">
        <v>1202</v>
      </c>
      <c r="D170" s="271"/>
      <c r="E170" s="271"/>
      <c r="F170" s="271"/>
      <c r="G170" s="271"/>
      <c r="H170" s="273"/>
      <c r="I170" s="20" t="s">
        <v>21</v>
      </c>
      <c r="J170" s="439">
        <v>6090</v>
      </c>
      <c r="K170" s="273"/>
      <c r="L170" s="439">
        <v>972.35294117647061</v>
      </c>
      <c r="M170" s="273"/>
      <c r="N170" s="439">
        <v>5117.6470588235297</v>
      </c>
      <c r="O170" s="273"/>
      <c r="P170" s="439">
        <v>6090</v>
      </c>
      <c r="Q170" s="273"/>
      <c r="R170">
        <f>presup!M$368</f>
        <v>0</v>
      </c>
    </row>
    <row r="171" spans="1:18" ht="12.75" customHeight="1" x14ac:dyDescent="0.25">
      <c r="A171" s="111" t="s">
        <v>1983</v>
      </c>
      <c r="B171" s="106">
        <v>45047</v>
      </c>
      <c r="C171" s="464" t="s">
        <v>1205</v>
      </c>
      <c r="D171" s="463"/>
      <c r="E171" s="463"/>
      <c r="F171" s="463"/>
      <c r="G171" s="463"/>
      <c r="H171" s="446"/>
      <c r="I171" s="20" t="s">
        <v>502</v>
      </c>
      <c r="J171" s="439">
        <v>62372.83</v>
      </c>
      <c r="K171" s="273"/>
      <c r="L171" s="439">
        <v>9958.6871428571449</v>
      </c>
      <c r="M171" s="273"/>
      <c r="N171" s="439">
        <v>52414.142857142862</v>
      </c>
      <c r="O171" s="273"/>
      <c r="P171" s="439">
        <v>62372.83</v>
      </c>
      <c r="Q171" s="273"/>
      <c r="R171">
        <f>presup!M$368</f>
        <v>0</v>
      </c>
    </row>
    <row r="172" spans="1:18" ht="12.75" customHeight="1" x14ac:dyDescent="0.25">
      <c r="A172" s="111" t="s">
        <v>1984</v>
      </c>
      <c r="B172" s="106">
        <v>45047</v>
      </c>
      <c r="C172" s="464" t="s">
        <v>1206</v>
      </c>
      <c r="D172" s="463"/>
      <c r="E172" s="463"/>
      <c r="F172" s="463"/>
      <c r="G172" s="463"/>
      <c r="H172" s="446"/>
      <c r="I172" s="20" t="s">
        <v>502</v>
      </c>
      <c r="J172" s="439">
        <v>419000</v>
      </c>
      <c r="K172" s="273"/>
      <c r="L172" s="439">
        <v>66899.159663865546</v>
      </c>
      <c r="M172" s="273"/>
      <c r="N172" s="439">
        <v>352100.84033613448</v>
      </c>
      <c r="O172" s="273"/>
      <c r="P172" s="439">
        <v>419000</v>
      </c>
      <c r="Q172" s="273"/>
      <c r="R172">
        <f>presup!M$368</f>
        <v>0</v>
      </c>
    </row>
    <row r="173" spans="1:18" ht="12.75" customHeight="1" x14ac:dyDescent="0.25">
      <c r="A173" s="111" t="s">
        <v>1985</v>
      </c>
      <c r="B173" s="106">
        <v>45047</v>
      </c>
      <c r="C173" s="464" t="s">
        <v>1207</v>
      </c>
      <c r="D173" s="463"/>
      <c r="E173" s="463"/>
      <c r="F173" s="463"/>
      <c r="G173" s="463"/>
      <c r="H173" s="446"/>
      <c r="I173" s="20" t="s">
        <v>502</v>
      </c>
      <c r="J173" s="439">
        <v>124017.95</v>
      </c>
      <c r="K173" s="273"/>
      <c r="L173" s="439">
        <v>19801.185294117648</v>
      </c>
      <c r="M173" s="273"/>
      <c r="N173" s="439">
        <v>104216.76470588235</v>
      </c>
      <c r="O173" s="273"/>
      <c r="P173" s="439">
        <v>124017.95</v>
      </c>
      <c r="Q173" s="273"/>
      <c r="R173">
        <f>presup!M$368</f>
        <v>0</v>
      </c>
    </row>
    <row r="174" spans="1:18" ht="12.75" customHeight="1" x14ac:dyDescent="0.25">
      <c r="A174" s="111" t="s">
        <v>1986</v>
      </c>
      <c r="B174" s="106">
        <v>45048</v>
      </c>
      <c r="C174" s="464" t="s">
        <v>1209</v>
      </c>
      <c r="D174" s="463"/>
      <c r="E174" s="463"/>
      <c r="F174" s="463"/>
      <c r="G174" s="463"/>
      <c r="H174" s="446"/>
      <c r="I174" s="20" t="s">
        <v>502</v>
      </c>
      <c r="J174" s="439">
        <v>193337.41</v>
      </c>
      <c r="K174" s="273"/>
      <c r="L174" s="439">
        <v>30868.998235294122</v>
      </c>
      <c r="M174" s="273"/>
      <c r="N174" s="439">
        <v>162468.4117647059</v>
      </c>
      <c r="O174" s="273"/>
      <c r="P174" s="439">
        <v>193337.41</v>
      </c>
      <c r="Q174" s="273"/>
      <c r="R174">
        <f>presup!M$368</f>
        <v>0</v>
      </c>
    </row>
    <row r="175" spans="1:18" ht="12.75" customHeight="1" x14ac:dyDescent="0.25">
      <c r="A175" s="105" t="s">
        <v>1987</v>
      </c>
      <c r="B175" s="106">
        <v>45048</v>
      </c>
      <c r="C175" s="309" t="s">
        <v>1211</v>
      </c>
      <c r="D175" s="271"/>
      <c r="E175" s="271"/>
      <c r="F175" s="271"/>
      <c r="G175" s="271"/>
      <c r="H175" s="273"/>
      <c r="I175" s="20" t="s">
        <v>502</v>
      </c>
      <c r="J175" s="439">
        <v>813264</v>
      </c>
      <c r="K175" s="273"/>
      <c r="L175" s="439">
        <v>129848.87394957985</v>
      </c>
      <c r="M175" s="273"/>
      <c r="N175" s="439">
        <v>683415.12605042022</v>
      </c>
      <c r="O175" s="273"/>
      <c r="P175" s="439">
        <v>813264</v>
      </c>
      <c r="Q175" s="273"/>
      <c r="R175">
        <f>presup!M$368</f>
        <v>0</v>
      </c>
    </row>
    <row r="176" spans="1:18" ht="12.75" customHeight="1" x14ac:dyDescent="0.25">
      <c r="A176" s="113" t="s">
        <v>1988</v>
      </c>
      <c r="B176" s="106">
        <v>45048</v>
      </c>
      <c r="C176" s="464" t="s">
        <v>1213</v>
      </c>
      <c r="D176" s="463"/>
      <c r="E176" s="463"/>
      <c r="F176" s="463"/>
      <c r="G176" s="463"/>
      <c r="H176" s="446"/>
      <c r="I176" s="20" t="s">
        <v>502</v>
      </c>
      <c r="J176" s="439">
        <v>2500000</v>
      </c>
      <c r="K176" s="273"/>
      <c r="L176" s="439">
        <v>418000</v>
      </c>
      <c r="M176" s="273"/>
      <c r="N176" s="439">
        <v>2200000</v>
      </c>
      <c r="O176" s="273"/>
      <c r="P176" s="439">
        <v>2618000</v>
      </c>
      <c r="Q176" s="273"/>
      <c r="R176">
        <f>presup!M$368</f>
        <v>0</v>
      </c>
    </row>
    <row r="177" spans="1:18" ht="12.75" customHeight="1" x14ac:dyDescent="0.25">
      <c r="A177" s="114" t="s">
        <v>1989</v>
      </c>
      <c r="B177" s="106">
        <v>45048</v>
      </c>
      <c r="C177" s="464" t="s">
        <v>1214</v>
      </c>
      <c r="D177" s="463"/>
      <c r="E177" s="463"/>
      <c r="F177" s="463"/>
      <c r="G177" s="463"/>
      <c r="H177" s="446"/>
      <c r="I177" s="20" t="s">
        <v>502</v>
      </c>
      <c r="J177" s="444">
        <v>1600000</v>
      </c>
      <c r="K177" s="368"/>
      <c r="L177" s="444">
        <v>286200.61957983195</v>
      </c>
      <c r="M177" s="368"/>
      <c r="N177" s="444">
        <v>1506319.0504201681</v>
      </c>
      <c r="O177" s="368"/>
      <c r="P177" s="444">
        <v>1792519.67</v>
      </c>
      <c r="Q177" s="368"/>
      <c r="R177">
        <f>presup!M$368</f>
        <v>0</v>
      </c>
    </row>
    <row r="178" spans="1:18" ht="12.75" customHeight="1" x14ac:dyDescent="0.25">
      <c r="A178" s="114" t="s">
        <v>1990</v>
      </c>
      <c r="B178" s="106">
        <v>45048</v>
      </c>
      <c r="C178" s="464" t="s">
        <v>1215</v>
      </c>
      <c r="D178" s="463"/>
      <c r="E178" s="463"/>
      <c r="F178" s="463"/>
      <c r="G178" s="463"/>
      <c r="H178" s="446"/>
      <c r="I178" s="20" t="s">
        <v>1382</v>
      </c>
      <c r="J178" s="439">
        <f>+consolidado!M19</f>
        <v>790161.82467906782</v>
      </c>
      <c r="K178" s="273"/>
      <c r="L178" s="439">
        <v>105730.32344537815</v>
      </c>
      <c r="M178" s="273"/>
      <c r="N178" s="439">
        <v>556475.38655462186</v>
      </c>
      <c r="O178" s="273"/>
      <c r="P178" s="439">
        <v>662205.71</v>
      </c>
      <c r="Q178" s="273"/>
      <c r="R178">
        <f>presup!M$368</f>
        <v>0</v>
      </c>
    </row>
    <row r="179" spans="1:18" ht="12.75" customHeight="1" x14ac:dyDescent="0.25">
      <c r="A179" s="114" t="s">
        <v>1991</v>
      </c>
      <c r="B179" s="106">
        <v>45048</v>
      </c>
      <c r="C179" s="464" t="s">
        <v>1216</v>
      </c>
      <c r="D179" s="463"/>
      <c r="E179" s="463"/>
      <c r="F179" s="463"/>
      <c r="G179" s="463"/>
      <c r="H179" s="446"/>
      <c r="I179" s="20" t="s">
        <v>502</v>
      </c>
      <c r="J179" s="439">
        <v>276410.71000000002</v>
      </c>
      <c r="K179" s="273"/>
      <c r="L179" s="439">
        <v>44132.802436974795</v>
      </c>
      <c r="M179" s="273"/>
      <c r="N179" s="439">
        <v>232277.90756302525</v>
      </c>
      <c r="O179" s="273"/>
      <c r="P179" s="439">
        <v>276410.71000000002</v>
      </c>
      <c r="Q179" s="273"/>
      <c r="R179">
        <f>presup!M$368</f>
        <v>0</v>
      </c>
    </row>
    <row r="180" spans="1:18" ht="12.75" customHeight="1" x14ac:dyDescent="0.25">
      <c r="A180" s="111" t="s">
        <v>1992</v>
      </c>
      <c r="B180" s="106">
        <v>45048</v>
      </c>
      <c r="C180" s="309" t="s">
        <v>1219</v>
      </c>
      <c r="D180" s="271"/>
      <c r="E180" s="271"/>
      <c r="F180" s="271"/>
      <c r="G180" s="271"/>
      <c r="H180" s="273"/>
      <c r="I180" s="20" t="s">
        <v>502</v>
      </c>
      <c r="J180" s="439">
        <v>2834000</v>
      </c>
      <c r="K180" s="273"/>
      <c r="L180" s="439">
        <v>452487.39495798323</v>
      </c>
      <c r="M180" s="273"/>
      <c r="N180" s="439">
        <v>2381512.6050420171</v>
      </c>
      <c r="O180" s="273"/>
      <c r="P180" s="439">
        <v>2834000</v>
      </c>
      <c r="Q180" s="273"/>
      <c r="R180">
        <f>presup!M$368</f>
        <v>0</v>
      </c>
    </row>
    <row r="181" spans="1:18" ht="12.75" customHeight="1" x14ac:dyDescent="0.25">
      <c r="A181" s="111" t="s">
        <v>1993</v>
      </c>
      <c r="B181" s="106">
        <v>45048</v>
      </c>
      <c r="C181" s="464" t="s">
        <v>1220</v>
      </c>
      <c r="D181" s="463"/>
      <c r="E181" s="463"/>
      <c r="F181" s="463"/>
      <c r="G181" s="463"/>
      <c r="H181" s="446"/>
      <c r="I181" s="20" t="s">
        <v>502</v>
      </c>
      <c r="J181" s="439">
        <v>691000</v>
      </c>
      <c r="K181" s="273"/>
      <c r="L181" s="439">
        <v>110327.73109243698</v>
      </c>
      <c r="M181" s="273"/>
      <c r="N181" s="439">
        <v>580672.26890756306</v>
      </c>
      <c r="O181" s="273"/>
      <c r="P181" s="439">
        <v>691000</v>
      </c>
      <c r="Q181" s="273"/>
      <c r="R181">
        <f>presup!M$368</f>
        <v>0</v>
      </c>
    </row>
    <row r="182" spans="1:18" ht="12.75" customHeight="1" x14ac:dyDescent="0.25">
      <c r="A182" s="111" t="s">
        <v>1994</v>
      </c>
      <c r="B182" s="106">
        <v>45048</v>
      </c>
      <c r="C182" s="309" t="s">
        <v>1221</v>
      </c>
      <c r="D182" s="271"/>
      <c r="E182" s="271"/>
      <c r="F182" s="271"/>
      <c r="G182" s="271"/>
      <c r="H182" s="273"/>
      <c r="I182" s="20" t="s">
        <v>502</v>
      </c>
      <c r="J182" s="439">
        <v>900000</v>
      </c>
      <c r="K182" s="273"/>
      <c r="L182" s="439">
        <v>143697.47899159664</v>
      </c>
      <c r="M182" s="273"/>
      <c r="N182" s="439">
        <v>756302.52100840339</v>
      </c>
      <c r="O182" s="273"/>
      <c r="P182" s="439">
        <v>900000</v>
      </c>
      <c r="Q182" s="273"/>
      <c r="R182">
        <f>presup!M$368</f>
        <v>0</v>
      </c>
    </row>
    <row r="183" spans="1:18" ht="12.75" customHeight="1" x14ac:dyDescent="0.25">
      <c r="A183" s="114" t="s">
        <v>1995</v>
      </c>
      <c r="B183" s="106">
        <v>45048</v>
      </c>
      <c r="C183" s="309" t="s">
        <v>1223</v>
      </c>
      <c r="D183" s="271"/>
      <c r="E183" s="271"/>
      <c r="F183" s="271"/>
      <c r="G183" s="271"/>
      <c r="H183" s="273"/>
      <c r="I183" s="20" t="s">
        <v>502</v>
      </c>
      <c r="J183" s="439">
        <v>924175</v>
      </c>
      <c r="K183" s="273"/>
      <c r="L183" s="439">
        <v>147557.35294117648</v>
      </c>
      <c r="M183" s="273"/>
      <c r="N183" s="439">
        <v>776617.64705882361</v>
      </c>
      <c r="O183" s="273"/>
      <c r="P183" s="439">
        <f t="shared" ref="P183:P437" si="4">+J183</f>
        <v>924175</v>
      </c>
      <c r="Q183" s="273"/>
      <c r="R183">
        <f>presup!M$368</f>
        <v>0</v>
      </c>
    </row>
    <row r="184" spans="1:18" ht="12.75" customHeight="1" x14ac:dyDescent="0.25">
      <c r="A184" s="111" t="s">
        <v>1996</v>
      </c>
      <c r="B184" s="106">
        <v>45048</v>
      </c>
      <c r="C184" s="309" t="s">
        <v>1224</v>
      </c>
      <c r="D184" s="271"/>
      <c r="E184" s="271"/>
      <c r="F184" s="271"/>
      <c r="G184" s="271"/>
      <c r="H184" s="273"/>
      <c r="I184" s="20" t="s">
        <v>502</v>
      </c>
      <c r="J184" s="439">
        <v>2320000</v>
      </c>
      <c r="K184" s="273"/>
      <c r="L184" s="439" t="e">
        <f t="shared" ref="L184:L438" si="5">#N/A</f>
        <v>#N/A</v>
      </c>
      <c r="M184" s="273"/>
      <c r="N184" s="439">
        <v>1949579.8319327731</v>
      </c>
      <c r="O184" s="273"/>
      <c r="P184" s="439">
        <f t="shared" si="4"/>
        <v>2320000</v>
      </c>
      <c r="Q184" s="273"/>
      <c r="R184">
        <f>presup!M$368</f>
        <v>0</v>
      </c>
    </row>
    <row r="185" spans="1:18" ht="12.75" customHeight="1" x14ac:dyDescent="0.25">
      <c r="A185" s="113" t="s">
        <v>1997</v>
      </c>
      <c r="B185" s="106">
        <v>45048</v>
      </c>
      <c r="C185" s="309" t="s">
        <v>1226</v>
      </c>
      <c r="D185" s="271"/>
      <c r="E185" s="271"/>
      <c r="F185" s="271"/>
      <c r="G185" s="271"/>
      <c r="H185" s="273"/>
      <c r="I185" s="20" t="s">
        <v>502</v>
      </c>
      <c r="J185" s="439">
        <v>2975000</v>
      </c>
      <c r="K185" s="273"/>
      <c r="L185" s="439" t="e">
        <f t="shared" si="5"/>
        <v>#N/A</v>
      </c>
      <c r="M185" s="273"/>
      <c r="N185" s="439">
        <v>2500000</v>
      </c>
      <c r="O185" s="273"/>
      <c r="P185" s="439">
        <f t="shared" si="4"/>
        <v>2975000</v>
      </c>
      <c r="Q185" s="273"/>
      <c r="R185">
        <f>presup!M$368</f>
        <v>0</v>
      </c>
    </row>
    <row r="186" spans="1:18" ht="12.75" customHeight="1" x14ac:dyDescent="0.25">
      <c r="A186" s="111" t="s">
        <v>1998</v>
      </c>
      <c r="B186" s="106">
        <v>45048</v>
      </c>
      <c r="C186" s="309" t="s">
        <v>1228</v>
      </c>
      <c r="D186" s="271"/>
      <c r="E186" s="271"/>
      <c r="F186" s="271"/>
      <c r="G186" s="271"/>
      <c r="H186" s="273"/>
      <c r="I186" s="20" t="s">
        <v>502</v>
      </c>
      <c r="J186" s="439">
        <v>195397</v>
      </c>
      <c r="K186" s="273"/>
      <c r="L186" s="439" t="e">
        <f t="shared" si="5"/>
        <v>#N/A</v>
      </c>
      <c r="M186" s="273"/>
      <c r="N186" s="439">
        <v>164199.15966386555</v>
      </c>
      <c r="O186" s="273"/>
      <c r="P186" s="439">
        <f t="shared" si="4"/>
        <v>195397</v>
      </c>
      <c r="Q186" s="273"/>
      <c r="R186">
        <f>presup!M$368</f>
        <v>0</v>
      </c>
    </row>
    <row r="187" spans="1:18" ht="12.75" customHeight="1" x14ac:dyDescent="0.25">
      <c r="A187" s="111" t="s">
        <v>1999</v>
      </c>
      <c r="B187" s="106">
        <v>45049</v>
      </c>
      <c r="C187" s="464" t="s">
        <v>1165</v>
      </c>
      <c r="D187" s="463"/>
      <c r="E187" s="463"/>
      <c r="F187" s="463"/>
      <c r="G187" s="463"/>
      <c r="H187" s="446"/>
      <c r="I187" s="20" t="s">
        <v>502</v>
      </c>
      <c r="J187" s="439">
        <v>2400</v>
      </c>
      <c r="K187" s="273"/>
      <c r="L187" s="439" t="e">
        <f t="shared" si="5"/>
        <v>#N/A</v>
      </c>
      <c r="M187" s="273"/>
      <c r="N187" s="439">
        <v>2016.8067226890757</v>
      </c>
      <c r="O187" s="273"/>
      <c r="P187" s="439">
        <f t="shared" si="4"/>
        <v>2400</v>
      </c>
      <c r="Q187" s="273"/>
      <c r="R187">
        <f>presup!M$368</f>
        <v>0</v>
      </c>
    </row>
    <row r="188" spans="1:18" ht="12.75" customHeight="1" x14ac:dyDescent="0.25">
      <c r="A188" s="111" t="s">
        <v>2000</v>
      </c>
      <c r="B188" s="106">
        <v>45049</v>
      </c>
      <c r="C188" s="464" t="s">
        <v>1164</v>
      </c>
      <c r="D188" s="463"/>
      <c r="E188" s="463"/>
      <c r="F188" s="463"/>
      <c r="G188" s="463"/>
      <c r="H188" s="446"/>
      <c r="I188" s="20" t="s">
        <v>21</v>
      </c>
      <c r="J188" s="439">
        <v>24422.22</v>
      </c>
      <c r="K188" s="273"/>
      <c r="L188" s="439" t="e">
        <f t="shared" si="5"/>
        <v>#N/A</v>
      </c>
      <c r="M188" s="273"/>
      <c r="N188" s="439">
        <v>20522.873949579833</v>
      </c>
      <c r="O188" s="273"/>
      <c r="P188" s="439">
        <f t="shared" si="4"/>
        <v>24422.22</v>
      </c>
      <c r="Q188" s="273"/>
      <c r="R188">
        <f>presup!M$368</f>
        <v>0</v>
      </c>
    </row>
    <row r="189" spans="1:18" ht="12.75" customHeight="1" x14ac:dyDescent="0.25">
      <c r="A189" s="111" t="s">
        <v>2001</v>
      </c>
      <c r="B189" s="106">
        <v>45049</v>
      </c>
      <c r="C189" s="464" t="s">
        <v>1166</v>
      </c>
      <c r="D189" s="463"/>
      <c r="E189" s="463"/>
      <c r="F189" s="463"/>
      <c r="G189" s="463"/>
      <c r="H189" s="446"/>
      <c r="I189" s="20" t="s">
        <v>502</v>
      </c>
      <c r="J189" s="439">
        <v>8000</v>
      </c>
      <c r="K189" s="273"/>
      <c r="L189" s="439" t="e">
        <f t="shared" si="5"/>
        <v>#N/A</v>
      </c>
      <c r="M189" s="273"/>
      <c r="N189" s="439">
        <v>6722.6890756302528</v>
      </c>
      <c r="O189" s="273"/>
      <c r="P189" s="439">
        <f t="shared" si="4"/>
        <v>8000</v>
      </c>
      <c r="Q189" s="273"/>
      <c r="R189">
        <f>presup!M$368</f>
        <v>0</v>
      </c>
    </row>
    <row r="190" spans="1:18" ht="12.75" customHeight="1" x14ac:dyDescent="0.25">
      <c r="A190" s="105" t="s">
        <v>2002</v>
      </c>
      <c r="B190" s="106">
        <v>45049</v>
      </c>
      <c r="C190" s="309" t="s">
        <v>1232</v>
      </c>
      <c r="D190" s="271"/>
      <c r="E190" s="271"/>
      <c r="F190" s="271"/>
      <c r="G190" s="271"/>
      <c r="H190" s="273"/>
      <c r="I190" s="20" t="s">
        <v>1382</v>
      </c>
      <c r="J190" s="439">
        <v>71400</v>
      </c>
      <c r="K190" s="273"/>
      <c r="L190" s="439" t="e">
        <f t="shared" si="5"/>
        <v>#N/A</v>
      </c>
      <c r="M190" s="273"/>
      <c r="N190" s="439">
        <v>60000</v>
      </c>
      <c r="O190" s="273"/>
      <c r="P190" s="439">
        <f t="shared" si="4"/>
        <v>71400</v>
      </c>
      <c r="Q190" s="273"/>
      <c r="R190">
        <f>presup!M$368</f>
        <v>0</v>
      </c>
    </row>
    <row r="191" spans="1:18" ht="12.75" customHeight="1" x14ac:dyDescent="0.25">
      <c r="A191" s="111" t="s">
        <v>2003</v>
      </c>
      <c r="B191" s="106">
        <v>45049</v>
      </c>
      <c r="C191" s="464" t="s">
        <v>1233</v>
      </c>
      <c r="D191" s="463"/>
      <c r="E191" s="463"/>
      <c r="F191" s="463"/>
      <c r="G191" s="463"/>
      <c r="H191" s="446"/>
      <c r="I191" s="20" t="s">
        <v>502</v>
      </c>
      <c r="J191" s="439">
        <v>897.06</v>
      </c>
      <c r="K191" s="273"/>
      <c r="L191" s="439" t="e">
        <f t="shared" si="5"/>
        <v>#N/A</v>
      </c>
      <c r="M191" s="273"/>
      <c r="N191" s="439">
        <v>753.8319327731092</v>
      </c>
      <c r="O191" s="273"/>
      <c r="P191" s="439">
        <f t="shared" si="4"/>
        <v>897.06</v>
      </c>
      <c r="Q191" s="273"/>
      <c r="R191">
        <f>presup!M$368</f>
        <v>0</v>
      </c>
    </row>
    <row r="192" spans="1:18" ht="12.75" customHeight="1" x14ac:dyDescent="0.25">
      <c r="A192" s="105" t="s">
        <v>2004</v>
      </c>
      <c r="B192" s="106">
        <v>45049</v>
      </c>
      <c r="C192" s="309" t="s">
        <v>1235</v>
      </c>
      <c r="D192" s="271"/>
      <c r="E192" s="271"/>
      <c r="F192" s="271"/>
      <c r="G192" s="271"/>
      <c r="H192" s="273"/>
      <c r="I192" s="20" t="s">
        <v>502</v>
      </c>
      <c r="J192" s="439">
        <v>5655951</v>
      </c>
      <c r="K192" s="273"/>
      <c r="L192" s="439" t="e">
        <f t="shared" si="5"/>
        <v>#N/A</v>
      </c>
      <c r="M192" s="273"/>
      <c r="N192" s="439">
        <v>4752900</v>
      </c>
      <c r="O192" s="273"/>
      <c r="P192" s="439">
        <f t="shared" si="4"/>
        <v>5655951</v>
      </c>
      <c r="Q192" s="273"/>
      <c r="R192">
        <f>presup!M$368</f>
        <v>0</v>
      </c>
    </row>
    <row r="193" spans="1:18" ht="12.75" customHeight="1" x14ac:dyDescent="0.25">
      <c r="A193" s="111" t="s">
        <v>2005</v>
      </c>
      <c r="B193" s="106">
        <v>45049</v>
      </c>
      <c r="C193" s="309" t="s">
        <v>1237</v>
      </c>
      <c r="D193" s="271"/>
      <c r="E193" s="271"/>
      <c r="F193" s="271"/>
      <c r="G193" s="271"/>
      <c r="H193" s="273"/>
      <c r="I193" s="20" t="s">
        <v>502</v>
      </c>
      <c r="J193" s="439">
        <v>27900</v>
      </c>
      <c r="K193" s="273"/>
      <c r="L193" s="439" t="e">
        <f t="shared" si="5"/>
        <v>#N/A</v>
      </c>
      <c r="M193" s="273"/>
      <c r="N193" s="439">
        <v>23445.378151260506</v>
      </c>
      <c r="O193" s="273"/>
      <c r="P193" s="439">
        <f t="shared" si="4"/>
        <v>27900</v>
      </c>
      <c r="Q193" s="273"/>
      <c r="R193">
        <f>presup!M$368</f>
        <v>0</v>
      </c>
    </row>
    <row r="194" spans="1:18" ht="12.75" customHeight="1" x14ac:dyDescent="0.25">
      <c r="A194" s="111" t="s">
        <v>2006</v>
      </c>
      <c r="B194" s="106">
        <v>45049</v>
      </c>
      <c r="C194" s="309" t="s">
        <v>1239</v>
      </c>
      <c r="D194" s="271"/>
      <c r="E194" s="271"/>
      <c r="F194" s="271"/>
      <c r="G194" s="271"/>
      <c r="H194" s="273"/>
      <c r="I194" s="20" t="s">
        <v>502</v>
      </c>
      <c r="J194" s="439">
        <v>87900</v>
      </c>
      <c r="K194" s="273"/>
      <c r="L194" s="439" t="e">
        <f t="shared" si="5"/>
        <v>#N/A</v>
      </c>
      <c r="M194" s="273"/>
      <c r="N194" s="439">
        <v>73865.546218487405</v>
      </c>
      <c r="O194" s="273"/>
      <c r="P194" s="439">
        <f t="shared" si="4"/>
        <v>87900</v>
      </c>
      <c r="Q194" s="273"/>
      <c r="R194">
        <f>presup!M$368</f>
        <v>0</v>
      </c>
    </row>
    <row r="195" spans="1:18" ht="12.75" customHeight="1" x14ac:dyDescent="0.25">
      <c r="A195" s="105" t="s">
        <v>2007</v>
      </c>
      <c r="B195" s="106">
        <v>45049</v>
      </c>
      <c r="C195" s="309" t="s">
        <v>1242</v>
      </c>
      <c r="D195" s="271"/>
      <c r="E195" s="271"/>
      <c r="F195" s="271"/>
      <c r="G195" s="271"/>
      <c r="H195" s="273"/>
      <c r="I195" s="20" t="s">
        <v>1382</v>
      </c>
      <c r="J195" s="439">
        <v>833789.63</v>
      </c>
      <c r="K195" s="273"/>
      <c r="L195" s="439" t="e">
        <f t="shared" si="5"/>
        <v>#N/A</v>
      </c>
      <c r="M195" s="273"/>
      <c r="N195" s="439">
        <v>700663.55462184874</v>
      </c>
      <c r="O195" s="273"/>
      <c r="P195" s="439">
        <f t="shared" si="4"/>
        <v>833789.63</v>
      </c>
      <c r="Q195" s="273"/>
      <c r="R195">
        <f>presup!M$368</f>
        <v>0</v>
      </c>
    </row>
    <row r="196" spans="1:18" ht="12.75" customHeight="1" x14ac:dyDescent="0.25">
      <c r="A196" s="105" t="s">
        <v>2008</v>
      </c>
      <c r="B196" s="106">
        <v>45049</v>
      </c>
      <c r="C196" s="464" t="s">
        <v>1245</v>
      </c>
      <c r="D196" s="463"/>
      <c r="E196" s="463"/>
      <c r="F196" s="463"/>
      <c r="G196" s="463"/>
      <c r="H196" s="446"/>
      <c r="I196" s="20" t="s">
        <v>502</v>
      </c>
      <c r="J196" s="439">
        <v>2535300</v>
      </c>
      <c r="K196" s="273"/>
      <c r="L196" s="439" t="e">
        <f t="shared" si="5"/>
        <v>#N/A</v>
      </c>
      <c r="M196" s="273"/>
      <c r="N196" s="439">
        <v>2130504.2016806724</v>
      </c>
      <c r="O196" s="273"/>
      <c r="P196" s="439">
        <f t="shared" si="4"/>
        <v>2535300</v>
      </c>
      <c r="Q196" s="273"/>
      <c r="R196">
        <f>presup!M$368</f>
        <v>0</v>
      </c>
    </row>
    <row r="197" spans="1:18" ht="12.75" customHeight="1" x14ac:dyDescent="0.25">
      <c r="A197" s="105" t="s">
        <v>2009</v>
      </c>
      <c r="B197" s="106">
        <v>45049</v>
      </c>
      <c r="C197" s="309" t="s">
        <v>1248</v>
      </c>
      <c r="D197" s="271"/>
      <c r="E197" s="271"/>
      <c r="F197" s="271"/>
      <c r="G197" s="271"/>
      <c r="H197" s="273"/>
      <c r="I197" s="20" t="s">
        <v>1247</v>
      </c>
      <c r="J197" s="439">
        <v>94011600</v>
      </c>
      <c r="K197" s="273"/>
      <c r="L197" s="439" t="e">
        <f t="shared" si="5"/>
        <v>#N/A</v>
      </c>
      <c r="M197" s="273"/>
      <c r="N197" s="439">
        <v>79001344.537815124</v>
      </c>
      <c r="O197" s="273"/>
      <c r="P197" s="439">
        <f t="shared" si="4"/>
        <v>94011600</v>
      </c>
      <c r="Q197" s="273"/>
      <c r="R197">
        <f>presup!M$368</f>
        <v>0</v>
      </c>
    </row>
    <row r="198" spans="1:18" ht="12.75" customHeight="1" x14ac:dyDescent="0.25">
      <c r="A198" s="105" t="s">
        <v>2010</v>
      </c>
      <c r="B198" s="106">
        <v>45049</v>
      </c>
      <c r="C198" s="309" t="s">
        <v>2011</v>
      </c>
      <c r="D198" s="271"/>
      <c r="E198" s="271"/>
      <c r="F198" s="271"/>
      <c r="G198" s="271"/>
      <c r="H198" s="273"/>
      <c r="I198" s="20" t="s">
        <v>502</v>
      </c>
      <c r="J198" s="439">
        <v>2395000</v>
      </c>
      <c r="K198" s="273"/>
      <c r="L198" s="439" t="e">
        <f t="shared" si="5"/>
        <v>#N/A</v>
      </c>
      <c r="M198" s="273"/>
      <c r="N198" s="439">
        <v>2012605.0420168068</v>
      </c>
      <c r="O198" s="273"/>
      <c r="P198" s="439">
        <f t="shared" si="4"/>
        <v>2395000</v>
      </c>
      <c r="Q198" s="273"/>
      <c r="R198">
        <f>presup!M$368</f>
        <v>0</v>
      </c>
    </row>
    <row r="199" spans="1:18" ht="12.75" customHeight="1" x14ac:dyDescent="0.25">
      <c r="A199" s="111" t="s">
        <v>2012</v>
      </c>
      <c r="B199" s="106">
        <v>45049</v>
      </c>
      <c r="C199" s="464" t="s">
        <v>1251</v>
      </c>
      <c r="D199" s="463"/>
      <c r="E199" s="463"/>
      <c r="F199" s="463"/>
      <c r="G199" s="463"/>
      <c r="H199" s="446"/>
      <c r="I199" s="20" t="s">
        <v>502</v>
      </c>
      <c r="J199" s="439">
        <v>6000000</v>
      </c>
      <c r="K199" s="273"/>
      <c r="L199" s="439" t="e">
        <f t="shared" si="5"/>
        <v>#N/A</v>
      </c>
      <c r="M199" s="273"/>
      <c r="N199" s="439">
        <v>5042016.8067226894</v>
      </c>
      <c r="O199" s="273"/>
      <c r="P199" s="439">
        <f t="shared" si="4"/>
        <v>6000000</v>
      </c>
      <c r="Q199" s="273"/>
      <c r="R199">
        <f>presup!M$368</f>
        <v>0</v>
      </c>
    </row>
    <row r="200" spans="1:18" ht="12.75" customHeight="1" x14ac:dyDescent="0.25">
      <c r="A200" s="105" t="s">
        <v>2013</v>
      </c>
      <c r="B200" s="106">
        <v>45050</v>
      </c>
      <c r="C200" s="309" t="s">
        <v>1253</v>
      </c>
      <c r="D200" s="271"/>
      <c r="E200" s="271"/>
      <c r="F200" s="271"/>
      <c r="G200" s="271"/>
      <c r="H200" s="273"/>
      <c r="I200" s="20" t="s">
        <v>502</v>
      </c>
      <c r="J200" s="439">
        <v>25724</v>
      </c>
      <c r="K200" s="273"/>
      <c r="L200" s="439" t="e">
        <f t="shared" si="5"/>
        <v>#N/A</v>
      </c>
      <c r="M200" s="273"/>
      <c r="N200" s="439">
        <v>21616.806722689078</v>
      </c>
      <c r="O200" s="273"/>
      <c r="P200" s="439">
        <f t="shared" si="4"/>
        <v>25724</v>
      </c>
      <c r="Q200" s="273"/>
      <c r="R200">
        <f>presup!M$368</f>
        <v>0</v>
      </c>
    </row>
    <row r="201" spans="1:18" ht="12.75" customHeight="1" x14ac:dyDescent="0.25">
      <c r="A201" s="105" t="s">
        <v>2014</v>
      </c>
      <c r="B201" s="106">
        <v>45050</v>
      </c>
      <c r="C201" s="309" t="s">
        <v>1255</v>
      </c>
      <c r="D201" s="271"/>
      <c r="E201" s="271"/>
      <c r="F201" s="271"/>
      <c r="G201" s="271"/>
      <c r="H201" s="273"/>
      <c r="I201" s="20" t="s">
        <v>502</v>
      </c>
      <c r="J201" s="439">
        <v>915933</v>
      </c>
      <c r="K201" s="273"/>
      <c r="L201" s="439" t="e">
        <f t="shared" si="5"/>
        <v>#N/A</v>
      </c>
      <c r="M201" s="273"/>
      <c r="N201" s="439">
        <v>769691.59663865552</v>
      </c>
      <c r="O201" s="273"/>
      <c r="P201" s="439">
        <f t="shared" si="4"/>
        <v>915933</v>
      </c>
      <c r="Q201" s="273"/>
      <c r="R201">
        <f>presup!M$368</f>
        <v>0</v>
      </c>
    </row>
    <row r="202" spans="1:18" ht="12.75" customHeight="1" x14ac:dyDescent="0.25">
      <c r="A202" s="111" t="s">
        <v>2015</v>
      </c>
      <c r="B202" s="106">
        <v>45050</v>
      </c>
      <c r="C202" s="464" t="s">
        <v>1258</v>
      </c>
      <c r="D202" s="463"/>
      <c r="E202" s="463"/>
      <c r="F202" s="463"/>
      <c r="G202" s="463"/>
      <c r="H202" s="446"/>
      <c r="I202" s="20" t="s">
        <v>502</v>
      </c>
      <c r="J202" s="439">
        <v>299017.61</v>
      </c>
      <c r="K202" s="273"/>
      <c r="L202" s="439" t="e">
        <f t="shared" si="5"/>
        <v>#N/A</v>
      </c>
      <c r="M202" s="273"/>
      <c r="N202" s="439">
        <v>251275.30252100842</v>
      </c>
      <c r="O202" s="273"/>
      <c r="P202" s="439">
        <f t="shared" si="4"/>
        <v>299017.61</v>
      </c>
      <c r="Q202" s="273"/>
      <c r="R202">
        <f>presup!M$368</f>
        <v>0</v>
      </c>
    </row>
    <row r="203" spans="1:18" ht="12.75" customHeight="1" x14ac:dyDescent="0.25">
      <c r="A203" s="105" t="s">
        <v>2016</v>
      </c>
      <c r="B203" s="106">
        <v>45050</v>
      </c>
      <c r="C203" s="309" t="s">
        <v>1261</v>
      </c>
      <c r="D203" s="271"/>
      <c r="E203" s="271"/>
      <c r="F203" s="271"/>
      <c r="G203" s="271"/>
      <c r="H203" s="273"/>
      <c r="I203" s="20" t="s">
        <v>1815</v>
      </c>
      <c r="J203" s="439">
        <v>18501.099999999999</v>
      </c>
      <c r="K203" s="273"/>
      <c r="L203" s="439" t="e">
        <f t="shared" si="5"/>
        <v>#N/A</v>
      </c>
      <c r="M203" s="273"/>
      <c r="N203" s="439">
        <v>15547.142857142857</v>
      </c>
      <c r="O203" s="273"/>
      <c r="P203" s="439">
        <f t="shared" si="4"/>
        <v>18501.099999999999</v>
      </c>
      <c r="Q203" s="273"/>
      <c r="R203">
        <f>presup!M$368</f>
        <v>0</v>
      </c>
    </row>
    <row r="204" spans="1:18" ht="12.75" customHeight="1" x14ac:dyDescent="0.25">
      <c r="A204" s="105" t="s">
        <v>2017</v>
      </c>
      <c r="B204" s="106">
        <v>45050</v>
      </c>
      <c r="C204" s="309" t="s">
        <v>2018</v>
      </c>
      <c r="D204" s="271"/>
      <c r="E204" s="271"/>
      <c r="F204" s="271"/>
      <c r="G204" s="271"/>
      <c r="H204" s="273"/>
      <c r="I204" s="20" t="s">
        <v>502</v>
      </c>
      <c r="J204" s="439">
        <v>549540.86</v>
      </c>
      <c r="K204" s="273"/>
      <c r="L204" s="439" t="e">
        <f t="shared" si="5"/>
        <v>#N/A</v>
      </c>
      <c r="M204" s="273"/>
      <c r="N204" s="439">
        <v>461799.04201680672</v>
      </c>
      <c r="O204" s="273"/>
      <c r="P204" s="439">
        <f t="shared" si="4"/>
        <v>549540.86</v>
      </c>
      <c r="Q204" s="273"/>
      <c r="R204">
        <f>presup!M$368</f>
        <v>0</v>
      </c>
    </row>
    <row r="205" spans="1:18" ht="12.75" customHeight="1" x14ac:dyDescent="0.25">
      <c r="A205" s="105" t="s">
        <v>2019</v>
      </c>
      <c r="B205" s="106">
        <v>45050</v>
      </c>
      <c r="C205" s="309" t="s">
        <v>2020</v>
      </c>
      <c r="D205" s="271"/>
      <c r="E205" s="271"/>
      <c r="F205" s="271"/>
      <c r="G205" s="271"/>
      <c r="H205" s="273"/>
      <c r="I205" s="20" t="s">
        <v>502</v>
      </c>
      <c r="J205" s="439">
        <v>549541.86</v>
      </c>
      <c r="K205" s="273"/>
      <c r="L205" s="439" t="e">
        <f t="shared" si="5"/>
        <v>#N/A</v>
      </c>
      <c r="M205" s="273"/>
      <c r="N205" s="439">
        <v>461799.8823529412</v>
      </c>
      <c r="O205" s="273"/>
      <c r="P205" s="439">
        <f t="shared" si="4"/>
        <v>549541.86</v>
      </c>
      <c r="Q205" s="273"/>
      <c r="R205">
        <f>presup!M$368</f>
        <v>0</v>
      </c>
    </row>
    <row r="206" spans="1:18" ht="12.75" customHeight="1" x14ac:dyDescent="0.25">
      <c r="A206" s="105" t="s">
        <v>2021</v>
      </c>
      <c r="B206" s="106">
        <v>45050</v>
      </c>
      <c r="C206" s="309" t="s">
        <v>2022</v>
      </c>
      <c r="D206" s="271"/>
      <c r="E206" s="271"/>
      <c r="F206" s="271"/>
      <c r="G206" s="271"/>
      <c r="H206" s="273"/>
      <c r="I206" s="20" t="s">
        <v>502</v>
      </c>
      <c r="J206" s="439">
        <v>549542.86</v>
      </c>
      <c r="K206" s="273"/>
      <c r="L206" s="439" t="e">
        <f t="shared" si="5"/>
        <v>#N/A</v>
      </c>
      <c r="M206" s="273"/>
      <c r="N206" s="439">
        <v>461800.72268907563</v>
      </c>
      <c r="O206" s="273"/>
      <c r="P206" s="439">
        <f t="shared" si="4"/>
        <v>549542.86</v>
      </c>
      <c r="Q206" s="273"/>
      <c r="R206">
        <f>presup!M$368</f>
        <v>0</v>
      </c>
    </row>
    <row r="207" spans="1:18" ht="12.75" customHeight="1" x14ac:dyDescent="0.25">
      <c r="A207" s="105" t="s">
        <v>2023</v>
      </c>
      <c r="B207" s="106">
        <v>45050</v>
      </c>
      <c r="C207" s="309" t="s">
        <v>1269</v>
      </c>
      <c r="D207" s="271"/>
      <c r="E207" s="271"/>
      <c r="F207" s="271"/>
      <c r="G207" s="271"/>
      <c r="H207" s="273"/>
      <c r="I207" s="20" t="s">
        <v>1815</v>
      </c>
      <c r="J207" s="439">
        <v>1848.35</v>
      </c>
      <c r="K207" s="273"/>
      <c r="L207" s="439" t="e">
        <f t="shared" si="5"/>
        <v>#N/A</v>
      </c>
      <c r="M207" s="273"/>
      <c r="N207" s="439">
        <v>1553.2352941176471</v>
      </c>
      <c r="O207" s="273"/>
      <c r="P207" s="439">
        <f t="shared" si="4"/>
        <v>1848.35</v>
      </c>
      <c r="Q207" s="273"/>
      <c r="R207">
        <f>presup!M$368</f>
        <v>0</v>
      </c>
    </row>
    <row r="208" spans="1:18" ht="12.75" customHeight="1" x14ac:dyDescent="0.25">
      <c r="A208" s="105" t="s">
        <v>2024</v>
      </c>
      <c r="B208" s="106">
        <v>45050</v>
      </c>
      <c r="C208" s="309" t="s">
        <v>1273</v>
      </c>
      <c r="D208" s="271"/>
      <c r="E208" s="271"/>
      <c r="F208" s="271"/>
      <c r="G208" s="271"/>
      <c r="H208" s="273"/>
      <c r="I208" s="20" t="s">
        <v>502</v>
      </c>
      <c r="J208" s="439">
        <v>89801.29</v>
      </c>
      <c r="K208" s="273"/>
      <c r="L208" s="439" t="e">
        <f t="shared" si="5"/>
        <v>#N/A</v>
      </c>
      <c r="M208" s="273"/>
      <c r="N208" s="439">
        <v>75463.268907563019</v>
      </c>
      <c r="O208" s="273"/>
      <c r="P208" s="439">
        <f t="shared" si="4"/>
        <v>89801.29</v>
      </c>
      <c r="Q208" s="273"/>
      <c r="R208">
        <f>presup!M$368</f>
        <v>0</v>
      </c>
    </row>
    <row r="209" spans="1:18" ht="12.75" customHeight="1" x14ac:dyDescent="0.25">
      <c r="A209" s="105" t="s">
        <v>2025</v>
      </c>
      <c r="B209" s="106">
        <v>45050</v>
      </c>
      <c r="C209" s="309" t="s">
        <v>1272</v>
      </c>
      <c r="D209" s="271"/>
      <c r="E209" s="271"/>
      <c r="F209" s="271"/>
      <c r="G209" s="271"/>
      <c r="H209" s="273"/>
      <c r="I209" s="20" t="s">
        <v>1845</v>
      </c>
      <c r="J209" s="439">
        <v>8129.57</v>
      </c>
      <c r="K209" s="273"/>
      <c r="L209" s="439" t="e">
        <f t="shared" si="5"/>
        <v>#N/A</v>
      </c>
      <c r="M209" s="273"/>
      <c r="N209" s="439">
        <v>6831.5714285714284</v>
      </c>
      <c r="O209" s="273"/>
      <c r="P209" s="439">
        <f t="shared" si="4"/>
        <v>8129.57</v>
      </c>
      <c r="Q209" s="273"/>
      <c r="R209">
        <f>presup!M$368</f>
        <v>0</v>
      </c>
    </row>
    <row r="210" spans="1:18" ht="12.75" customHeight="1" x14ac:dyDescent="0.25">
      <c r="A210" s="105" t="s">
        <v>2026</v>
      </c>
      <c r="B210" s="106">
        <v>45050</v>
      </c>
      <c r="C210" s="309" t="s">
        <v>1271</v>
      </c>
      <c r="D210" s="271"/>
      <c r="E210" s="271"/>
      <c r="F210" s="271"/>
      <c r="G210" s="271"/>
      <c r="H210" s="273"/>
      <c r="I210" s="20" t="s">
        <v>21</v>
      </c>
      <c r="J210" s="439">
        <v>6068.93</v>
      </c>
      <c r="K210" s="273"/>
      <c r="L210" s="439" t="e">
        <f t="shared" si="5"/>
        <v>#N/A</v>
      </c>
      <c r="M210" s="273"/>
      <c r="N210" s="439">
        <v>5099.9411764705883</v>
      </c>
      <c r="O210" s="273"/>
      <c r="P210" s="439">
        <f t="shared" si="4"/>
        <v>6068.93</v>
      </c>
      <c r="Q210" s="273"/>
      <c r="R210">
        <f>presup!M$368</f>
        <v>0</v>
      </c>
    </row>
    <row r="211" spans="1:18" ht="12.75" customHeight="1" x14ac:dyDescent="0.25">
      <c r="A211" s="105" t="s">
        <v>2027</v>
      </c>
      <c r="B211" s="106">
        <v>45050</v>
      </c>
      <c r="C211" s="309" t="s">
        <v>1275</v>
      </c>
      <c r="D211" s="271"/>
      <c r="E211" s="271"/>
      <c r="F211" s="271"/>
      <c r="G211" s="271"/>
      <c r="H211" s="273"/>
      <c r="I211" s="20" t="s">
        <v>1382</v>
      </c>
      <c r="J211" s="439">
        <v>474126.5</v>
      </c>
      <c r="K211" s="273"/>
      <c r="L211" s="439" t="e">
        <f t="shared" si="5"/>
        <v>#N/A</v>
      </c>
      <c r="M211" s="273"/>
      <c r="N211" s="439">
        <v>398425.63025210088</v>
      </c>
      <c r="O211" s="273"/>
      <c r="P211" s="439">
        <f t="shared" si="4"/>
        <v>474126.5</v>
      </c>
      <c r="Q211" s="273"/>
      <c r="R211">
        <f>presup!M$368</f>
        <v>0</v>
      </c>
    </row>
    <row r="212" spans="1:18" ht="12.75" customHeight="1" x14ac:dyDescent="0.25">
      <c r="A212" s="105" t="s">
        <v>2028</v>
      </c>
      <c r="B212" s="106">
        <v>45050</v>
      </c>
      <c r="C212" s="309" t="s">
        <v>1276</v>
      </c>
      <c r="D212" s="271"/>
      <c r="E212" s="271"/>
      <c r="F212" s="271"/>
      <c r="G212" s="271"/>
      <c r="H212" s="273"/>
      <c r="I212" s="20" t="s">
        <v>1815</v>
      </c>
      <c r="J212" s="439">
        <v>3084.1</v>
      </c>
      <c r="K212" s="273"/>
      <c r="L212" s="439" t="e">
        <f t="shared" si="5"/>
        <v>#N/A</v>
      </c>
      <c r="M212" s="273"/>
      <c r="N212" s="439">
        <v>2591.6806722689075</v>
      </c>
      <c r="O212" s="273"/>
      <c r="P212" s="439">
        <f t="shared" si="4"/>
        <v>3084.1</v>
      </c>
      <c r="Q212" s="273"/>
      <c r="R212">
        <f>presup!M$368</f>
        <v>0</v>
      </c>
    </row>
    <row r="213" spans="1:18" ht="12.75" customHeight="1" x14ac:dyDescent="0.25">
      <c r="A213" s="105" t="s">
        <v>2029</v>
      </c>
      <c r="B213" s="106">
        <v>45050</v>
      </c>
      <c r="C213" s="309" t="s">
        <v>1277</v>
      </c>
      <c r="D213" s="271"/>
      <c r="E213" s="271"/>
      <c r="F213" s="271"/>
      <c r="G213" s="271"/>
      <c r="H213" s="273"/>
      <c r="I213" s="20" t="s">
        <v>1815</v>
      </c>
      <c r="J213" s="439">
        <v>4552.22</v>
      </c>
      <c r="K213" s="273"/>
      <c r="L213" s="439" t="e">
        <f t="shared" si="5"/>
        <v>#N/A</v>
      </c>
      <c r="M213" s="273"/>
      <c r="N213" s="439">
        <v>3825.3949579831938</v>
      </c>
      <c r="O213" s="273"/>
      <c r="P213" s="439">
        <f t="shared" si="4"/>
        <v>4552.22</v>
      </c>
      <c r="Q213" s="273"/>
      <c r="R213">
        <f>presup!M$368</f>
        <v>0</v>
      </c>
    </row>
    <row r="214" spans="1:18" ht="12.75" customHeight="1" x14ac:dyDescent="0.25">
      <c r="A214" s="105" t="s">
        <v>2030</v>
      </c>
      <c r="B214" s="106">
        <v>45050</v>
      </c>
      <c r="C214" s="309" t="s">
        <v>1279</v>
      </c>
      <c r="D214" s="271"/>
      <c r="E214" s="271"/>
      <c r="F214" s="271"/>
      <c r="G214" s="271"/>
      <c r="H214" s="273"/>
      <c r="I214" s="20" t="s">
        <v>502</v>
      </c>
      <c r="J214" s="439">
        <v>1200</v>
      </c>
      <c r="K214" s="273"/>
      <c r="L214" s="439" t="e">
        <f t="shared" si="5"/>
        <v>#N/A</v>
      </c>
      <c r="M214" s="273"/>
      <c r="N214" s="439">
        <v>1008.4033613445379</v>
      </c>
      <c r="O214" s="273"/>
      <c r="P214" s="439">
        <f t="shared" si="4"/>
        <v>1200</v>
      </c>
      <c r="Q214" s="273"/>
      <c r="R214">
        <f>presup!M$368</f>
        <v>0</v>
      </c>
    </row>
    <row r="215" spans="1:18" ht="12" customHeight="1" x14ac:dyDescent="0.25">
      <c r="A215" s="108" t="s">
        <v>2031</v>
      </c>
      <c r="B215" s="106">
        <v>45050</v>
      </c>
      <c r="C215" s="426" t="s">
        <v>1281</v>
      </c>
      <c r="D215" s="271"/>
      <c r="E215" s="271"/>
      <c r="F215" s="271"/>
      <c r="G215" s="271"/>
      <c r="H215" s="273"/>
      <c r="I215" s="20" t="s">
        <v>1827</v>
      </c>
      <c r="J215" s="439">
        <v>13455.99</v>
      </c>
      <c r="K215" s="273"/>
      <c r="L215" s="439" t="e">
        <f t="shared" si="5"/>
        <v>#N/A</v>
      </c>
      <c r="M215" s="273"/>
      <c r="N215" s="439">
        <v>11307.55462184874</v>
      </c>
      <c r="O215" s="273"/>
      <c r="P215" s="439">
        <f t="shared" si="4"/>
        <v>13455.99</v>
      </c>
      <c r="Q215" s="273"/>
      <c r="R215">
        <f>presup!M$368</f>
        <v>0</v>
      </c>
    </row>
    <row r="216" spans="1:18" ht="12.75" customHeight="1" x14ac:dyDescent="0.25">
      <c r="A216" s="111" t="s">
        <v>2032</v>
      </c>
      <c r="B216" s="106">
        <v>45050</v>
      </c>
      <c r="C216" s="309" t="s">
        <v>1283</v>
      </c>
      <c r="D216" s="271"/>
      <c r="E216" s="271"/>
      <c r="F216" s="271"/>
      <c r="G216" s="271"/>
      <c r="H216" s="273"/>
      <c r="I216" s="20" t="s">
        <v>502</v>
      </c>
      <c r="J216" s="439">
        <v>5500</v>
      </c>
      <c r="K216" s="273"/>
      <c r="L216" s="439" t="e">
        <f t="shared" si="5"/>
        <v>#N/A</v>
      </c>
      <c r="M216" s="273"/>
      <c r="N216" s="439">
        <v>4621.8487394957983</v>
      </c>
      <c r="O216" s="273"/>
      <c r="P216" s="439">
        <f t="shared" si="4"/>
        <v>5500</v>
      </c>
      <c r="Q216" s="273"/>
      <c r="R216">
        <f>presup!M$368</f>
        <v>0</v>
      </c>
    </row>
    <row r="217" spans="1:18" ht="12.75" customHeight="1" x14ac:dyDescent="0.25">
      <c r="A217" s="111" t="s">
        <v>2033</v>
      </c>
      <c r="B217" s="106">
        <v>45050</v>
      </c>
      <c r="C217" s="309" t="s">
        <v>1284</v>
      </c>
      <c r="D217" s="271"/>
      <c r="E217" s="271"/>
      <c r="F217" s="271"/>
      <c r="G217" s="271"/>
      <c r="H217" s="273"/>
      <c r="I217" s="20" t="s">
        <v>502</v>
      </c>
      <c r="J217" s="439">
        <v>5750</v>
      </c>
      <c r="K217" s="273"/>
      <c r="L217" s="439" t="e">
        <f t="shared" si="5"/>
        <v>#N/A</v>
      </c>
      <c r="M217" s="273"/>
      <c r="N217" s="439">
        <v>4831.9327731092435</v>
      </c>
      <c r="O217" s="273"/>
      <c r="P217" s="439">
        <f t="shared" si="4"/>
        <v>5750</v>
      </c>
      <c r="Q217" s="273"/>
      <c r="R217">
        <f>presup!M$368</f>
        <v>0</v>
      </c>
    </row>
    <row r="218" spans="1:18" ht="12.75" customHeight="1" x14ac:dyDescent="0.25">
      <c r="A218" s="111" t="s">
        <v>2034</v>
      </c>
      <c r="B218" s="106">
        <v>45050</v>
      </c>
      <c r="C218" s="464" t="s">
        <v>1047</v>
      </c>
      <c r="D218" s="463"/>
      <c r="E218" s="463"/>
      <c r="F218" s="463"/>
      <c r="G218" s="463"/>
      <c r="H218" s="446"/>
      <c r="I218" s="20" t="s">
        <v>1410</v>
      </c>
      <c r="J218" s="439">
        <v>42000</v>
      </c>
      <c r="K218" s="273"/>
      <c r="L218" s="439" t="e">
        <f t="shared" si="5"/>
        <v>#N/A</v>
      </c>
      <c r="M218" s="273"/>
      <c r="N218" s="439">
        <v>35294.117647058825</v>
      </c>
      <c r="O218" s="273"/>
      <c r="P218" s="439">
        <f t="shared" si="4"/>
        <v>42000</v>
      </c>
      <c r="Q218" s="273"/>
      <c r="R218">
        <f>presup!M$368</f>
        <v>0</v>
      </c>
    </row>
    <row r="219" spans="1:18" ht="12.75" customHeight="1" x14ac:dyDescent="0.25">
      <c r="A219" s="111" t="s">
        <v>2035</v>
      </c>
      <c r="B219" s="106">
        <v>45054</v>
      </c>
      <c r="C219" s="309" t="s">
        <v>1289</v>
      </c>
      <c r="D219" s="271"/>
      <c r="E219" s="271"/>
      <c r="F219" s="271"/>
      <c r="G219" s="271"/>
      <c r="H219" s="273"/>
      <c r="I219" s="20" t="s">
        <v>1382</v>
      </c>
      <c r="J219" s="439">
        <f>58905*1.61</f>
        <v>94837.05</v>
      </c>
      <c r="K219" s="273"/>
      <c r="L219" s="439" t="e">
        <f t="shared" si="5"/>
        <v>#N/A</v>
      </c>
      <c r="M219" s="273"/>
      <c r="N219" s="439">
        <v>79695</v>
      </c>
      <c r="O219" s="273"/>
      <c r="P219" s="439">
        <f t="shared" si="4"/>
        <v>94837.05</v>
      </c>
      <c r="Q219" s="273"/>
      <c r="R219">
        <f>presup!M$368</f>
        <v>0</v>
      </c>
    </row>
    <row r="220" spans="1:18" ht="12.75" customHeight="1" x14ac:dyDescent="0.25">
      <c r="A220" s="111" t="s">
        <v>2036</v>
      </c>
      <c r="B220" s="106">
        <v>45055</v>
      </c>
      <c r="C220" s="309" t="s">
        <v>1290</v>
      </c>
      <c r="D220" s="271"/>
      <c r="E220" s="271"/>
      <c r="F220" s="271"/>
      <c r="G220" s="271"/>
      <c r="H220" s="273"/>
      <c r="I220" s="20" t="s">
        <v>502</v>
      </c>
      <c r="J220" s="439">
        <v>1617616</v>
      </c>
      <c r="K220" s="273"/>
      <c r="L220" s="439" t="e">
        <f t="shared" si="5"/>
        <v>#N/A</v>
      </c>
      <c r="M220" s="273"/>
      <c r="N220" s="439">
        <v>1359341.1764705882</v>
      </c>
      <c r="O220" s="273"/>
      <c r="P220" s="439">
        <f t="shared" si="4"/>
        <v>1617616</v>
      </c>
      <c r="Q220" s="273"/>
      <c r="R220">
        <f>presup!M$368</f>
        <v>0</v>
      </c>
    </row>
    <row r="221" spans="1:18" ht="12.75" customHeight="1" x14ac:dyDescent="0.25">
      <c r="A221" s="105" t="s">
        <v>2037</v>
      </c>
      <c r="B221" s="106">
        <v>45055</v>
      </c>
      <c r="C221" s="309" t="s">
        <v>2038</v>
      </c>
      <c r="D221" s="271"/>
      <c r="E221" s="271"/>
      <c r="F221" s="271"/>
      <c r="G221" s="271"/>
      <c r="H221" s="273"/>
      <c r="I221" s="20" t="s">
        <v>502</v>
      </c>
      <c r="J221" s="439">
        <v>10605</v>
      </c>
      <c r="K221" s="273"/>
      <c r="L221" s="439" t="e">
        <f t="shared" si="5"/>
        <v>#N/A</v>
      </c>
      <c r="M221" s="273"/>
      <c r="N221" s="439">
        <v>8911.7647058823532</v>
      </c>
      <c r="O221" s="273"/>
      <c r="P221" s="439">
        <f t="shared" si="4"/>
        <v>10605</v>
      </c>
      <c r="Q221" s="273"/>
      <c r="R221">
        <f>presup!M$368</f>
        <v>0</v>
      </c>
    </row>
    <row r="222" spans="1:18" ht="12.75" customHeight="1" x14ac:dyDescent="0.25">
      <c r="A222" s="111" t="s">
        <v>2039</v>
      </c>
      <c r="B222" s="106">
        <v>45056</v>
      </c>
      <c r="C222" s="309" t="s">
        <v>2040</v>
      </c>
      <c r="D222" s="271"/>
      <c r="E222" s="271"/>
      <c r="F222" s="271"/>
      <c r="G222" s="271"/>
      <c r="H222" s="273"/>
      <c r="I222" s="20" t="s">
        <v>32</v>
      </c>
      <c r="J222" s="445">
        <f>+unitario!$F$8396</f>
        <v>2077.2367952644231</v>
      </c>
      <c r="K222" s="446"/>
      <c r="L222" s="439" t="e">
        <f t="shared" si="5"/>
        <v>#N/A</v>
      </c>
      <c r="M222" s="273"/>
      <c r="N222" s="439">
        <v>1320.2499431396493</v>
      </c>
      <c r="O222" s="273"/>
      <c r="P222" s="439">
        <f t="shared" si="4"/>
        <v>2077.2367952644231</v>
      </c>
      <c r="Q222" s="273"/>
      <c r="R222">
        <f>presup!M$368</f>
        <v>0</v>
      </c>
    </row>
    <row r="223" spans="1:18" ht="12.75" customHeight="1" x14ac:dyDescent="0.25">
      <c r="A223" s="111" t="s">
        <v>2041</v>
      </c>
      <c r="B223" s="106">
        <v>45057</v>
      </c>
      <c r="C223" s="309" t="s">
        <v>2042</v>
      </c>
      <c r="D223" s="271"/>
      <c r="E223" s="271"/>
      <c r="F223" s="271"/>
      <c r="G223" s="271"/>
      <c r="H223" s="273"/>
      <c r="I223" s="20" t="s">
        <v>1382</v>
      </c>
      <c r="J223" s="439">
        <v>1132</v>
      </c>
      <c r="K223" s="273"/>
      <c r="L223" s="439" t="e">
        <f t="shared" si="5"/>
        <v>#N/A</v>
      </c>
      <c r="M223" s="273"/>
      <c r="N223" s="439">
        <v>951.26050420168076</v>
      </c>
      <c r="O223" s="273"/>
      <c r="P223" s="439">
        <f t="shared" si="4"/>
        <v>1132</v>
      </c>
      <c r="Q223" s="273"/>
      <c r="R223">
        <f>presup!M$368</f>
        <v>0</v>
      </c>
    </row>
    <row r="224" spans="1:18" ht="12.75" customHeight="1" x14ac:dyDescent="0.25">
      <c r="A224" s="105" t="s">
        <v>2043</v>
      </c>
      <c r="B224" s="106">
        <v>45057</v>
      </c>
      <c r="C224" s="309" t="s">
        <v>1300</v>
      </c>
      <c r="D224" s="271"/>
      <c r="E224" s="271"/>
      <c r="F224" s="271"/>
      <c r="G224" s="271"/>
      <c r="H224" s="273"/>
      <c r="I224" s="20" t="s">
        <v>502</v>
      </c>
      <c r="J224" s="439">
        <v>1950</v>
      </c>
      <c r="K224" s="273"/>
      <c r="L224" s="439" t="e">
        <f t="shared" si="5"/>
        <v>#N/A</v>
      </c>
      <c r="M224" s="273"/>
      <c r="N224" s="439">
        <v>1638.6554621848741</v>
      </c>
      <c r="O224" s="273"/>
      <c r="P224" s="439">
        <f t="shared" si="4"/>
        <v>1950</v>
      </c>
      <c r="Q224" s="273"/>
      <c r="R224">
        <f>presup!M$368</f>
        <v>0</v>
      </c>
    </row>
    <row r="225" spans="1:18" ht="12.75" customHeight="1" x14ac:dyDescent="0.25">
      <c r="A225" s="105" t="s">
        <v>2044</v>
      </c>
      <c r="B225" s="106">
        <v>45057</v>
      </c>
      <c r="C225" s="309" t="s">
        <v>1299</v>
      </c>
      <c r="D225" s="271"/>
      <c r="E225" s="271"/>
      <c r="F225" s="271"/>
      <c r="G225" s="271"/>
      <c r="H225" s="273"/>
      <c r="I225" s="20" t="s">
        <v>502</v>
      </c>
      <c r="J225" s="439">
        <v>2800</v>
      </c>
      <c r="K225" s="273"/>
      <c r="L225" s="439" t="e">
        <f t="shared" si="5"/>
        <v>#N/A</v>
      </c>
      <c r="M225" s="273"/>
      <c r="N225" s="439">
        <v>2352.9411764705883</v>
      </c>
      <c r="O225" s="273"/>
      <c r="P225" s="439">
        <f t="shared" si="4"/>
        <v>2800</v>
      </c>
      <c r="Q225" s="273"/>
      <c r="R225">
        <f>presup!M$368</f>
        <v>0</v>
      </c>
    </row>
    <row r="226" spans="1:18" ht="12.75" customHeight="1" x14ac:dyDescent="0.25">
      <c r="A226" s="105" t="s">
        <v>2045</v>
      </c>
      <c r="B226" s="106">
        <v>45057</v>
      </c>
      <c r="C226" s="309" t="s">
        <v>1298</v>
      </c>
      <c r="D226" s="271"/>
      <c r="E226" s="271"/>
      <c r="F226" s="271"/>
      <c r="G226" s="271"/>
      <c r="H226" s="273"/>
      <c r="I226" s="20" t="s">
        <v>1815</v>
      </c>
      <c r="J226" s="439">
        <v>5316.67</v>
      </c>
      <c r="K226" s="273"/>
      <c r="L226" s="439" t="e">
        <f t="shared" si="5"/>
        <v>#N/A</v>
      </c>
      <c r="M226" s="273"/>
      <c r="N226" s="439">
        <v>4467.7899159663866</v>
      </c>
      <c r="O226" s="273"/>
      <c r="P226" s="439">
        <f t="shared" si="4"/>
        <v>5316.67</v>
      </c>
      <c r="Q226" s="273"/>
      <c r="R226">
        <f>presup!M$368</f>
        <v>0</v>
      </c>
    </row>
    <row r="227" spans="1:18" ht="12.75" customHeight="1" x14ac:dyDescent="0.25">
      <c r="A227" s="111" t="s">
        <v>2046</v>
      </c>
      <c r="B227" s="106">
        <v>45057</v>
      </c>
      <c r="C227" s="464" t="s">
        <v>1302</v>
      </c>
      <c r="D227" s="463"/>
      <c r="E227" s="463"/>
      <c r="F227" s="463"/>
      <c r="G227" s="463"/>
      <c r="H227" s="446"/>
      <c r="I227" s="20" t="s">
        <v>502</v>
      </c>
      <c r="J227" s="439">
        <v>285000</v>
      </c>
      <c r="K227" s="273"/>
      <c r="L227" s="439" t="e">
        <f t="shared" si="5"/>
        <v>#N/A</v>
      </c>
      <c r="M227" s="273"/>
      <c r="N227" s="439">
        <v>239495.79831932773</v>
      </c>
      <c r="O227" s="273"/>
      <c r="P227" s="439">
        <f t="shared" si="4"/>
        <v>285000</v>
      </c>
      <c r="Q227" s="273"/>
      <c r="R227">
        <f>presup!M$368</f>
        <v>0</v>
      </c>
    </row>
    <row r="228" spans="1:18" ht="12.75" customHeight="1" x14ac:dyDescent="0.25">
      <c r="A228" s="111" t="s">
        <v>2047</v>
      </c>
      <c r="B228" s="106">
        <v>45057</v>
      </c>
      <c r="C228" s="309" t="s">
        <v>1303</v>
      </c>
      <c r="D228" s="271"/>
      <c r="E228" s="271"/>
      <c r="F228" s="271"/>
      <c r="G228" s="271"/>
      <c r="H228" s="273"/>
      <c r="I228" s="20" t="s">
        <v>502</v>
      </c>
      <c r="J228" s="439">
        <v>643000</v>
      </c>
      <c r="K228" s="273"/>
      <c r="L228" s="439" t="e">
        <f t="shared" si="5"/>
        <v>#N/A</v>
      </c>
      <c r="M228" s="273"/>
      <c r="N228" s="439">
        <v>540336.13445378153</v>
      </c>
      <c r="O228" s="273"/>
      <c r="P228" s="439">
        <f t="shared" si="4"/>
        <v>643000</v>
      </c>
      <c r="Q228" s="273"/>
      <c r="R228">
        <f>presup!M$368</f>
        <v>0</v>
      </c>
    </row>
    <row r="229" spans="1:18" ht="12.75" customHeight="1" x14ac:dyDescent="0.25">
      <c r="A229" s="111" t="s">
        <v>2048</v>
      </c>
      <c r="B229" s="106">
        <v>45057</v>
      </c>
      <c r="C229" s="309" t="s">
        <v>2049</v>
      </c>
      <c r="D229" s="271"/>
      <c r="E229" s="271"/>
      <c r="F229" s="271"/>
      <c r="G229" s="271"/>
      <c r="H229" s="273"/>
      <c r="I229" s="20" t="s">
        <v>502</v>
      </c>
      <c r="J229" s="439">
        <v>862427</v>
      </c>
      <c r="K229" s="273"/>
      <c r="L229" s="439" t="e">
        <f t="shared" si="5"/>
        <v>#N/A</v>
      </c>
      <c r="M229" s="273"/>
      <c r="N229" s="439">
        <v>724728.57142857148</v>
      </c>
      <c r="O229" s="273"/>
      <c r="P229" s="439">
        <f t="shared" si="4"/>
        <v>862427</v>
      </c>
      <c r="Q229" s="273"/>
      <c r="R229">
        <f>presup!M$368</f>
        <v>0</v>
      </c>
    </row>
    <row r="230" spans="1:18" ht="13.5" customHeight="1" x14ac:dyDescent="0.25">
      <c r="A230" s="105" t="s">
        <v>2050</v>
      </c>
      <c r="B230" s="106">
        <v>45057</v>
      </c>
      <c r="C230" s="309" t="s">
        <v>2051</v>
      </c>
      <c r="D230" s="271"/>
      <c r="E230" s="271"/>
      <c r="F230" s="271"/>
      <c r="G230" s="271"/>
      <c r="H230" s="273"/>
      <c r="I230" s="20" t="s">
        <v>502</v>
      </c>
      <c r="J230" s="439"/>
      <c r="K230" s="273"/>
      <c r="L230" s="439" t="e">
        <f t="shared" si="5"/>
        <v>#N/A</v>
      </c>
      <c r="M230" s="273"/>
      <c r="N230" s="439">
        <v>0</v>
      </c>
      <c r="O230" s="273"/>
      <c r="P230" s="439">
        <f t="shared" si="4"/>
        <v>0</v>
      </c>
      <c r="Q230" s="273"/>
      <c r="R230">
        <f>presup!M$368</f>
        <v>0</v>
      </c>
    </row>
    <row r="231" spans="1:18" ht="12.75" customHeight="1" x14ac:dyDescent="0.25">
      <c r="A231" s="111" t="s">
        <v>2052</v>
      </c>
      <c r="B231" s="106">
        <v>45057</v>
      </c>
      <c r="C231" s="464" t="s">
        <v>1049</v>
      </c>
      <c r="D231" s="463"/>
      <c r="E231" s="463"/>
      <c r="F231" s="463"/>
      <c r="G231" s="463"/>
      <c r="H231" s="446"/>
      <c r="I231" s="20" t="s">
        <v>1815</v>
      </c>
      <c r="J231" s="439">
        <v>5900</v>
      </c>
      <c r="K231" s="273"/>
      <c r="L231" s="439" t="e">
        <f t="shared" si="5"/>
        <v>#N/A</v>
      </c>
      <c r="M231" s="273"/>
      <c r="N231" s="439">
        <v>4957.9831932773113</v>
      </c>
      <c r="O231" s="273"/>
      <c r="P231" s="439">
        <f t="shared" si="4"/>
        <v>5900</v>
      </c>
      <c r="Q231" s="273"/>
      <c r="R231">
        <f>presup!M$368</f>
        <v>0</v>
      </c>
    </row>
    <row r="232" spans="1:18" ht="13.5" customHeight="1" x14ac:dyDescent="0.25">
      <c r="A232" s="111" t="s">
        <v>2053</v>
      </c>
      <c r="B232" s="106">
        <v>45057</v>
      </c>
      <c r="C232" s="464" t="s">
        <v>1050</v>
      </c>
      <c r="D232" s="463"/>
      <c r="E232" s="463"/>
      <c r="F232" s="463"/>
      <c r="G232" s="463"/>
      <c r="H232" s="446"/>
      <c r="I232" s="20" t="s">
        <v>502</v>
      </c>
      <c r="J232" s="439">
        <v>52900</v>
      </c>
      <c r="K232" s="273"/>
      <c r="L232" s="439" t="e">
        <f t="shared" si="5"/>
        <v>#N/A</v>
      </c>
      <c r="M232" s="273"/>
      <c r="N232" s="439">
        <v>44453.781512605041</v>
      </c>
      <c r="O232" s="273"/>
      <c r="P232" s="439">
        <f t="shared" si="4"/>
        <v>52900</v>
      </c>
      <c r="Q232" s="273"/>
      <c r="R232">
        <f>presup!M$368</f>
        <v>0</v>
      </c>
    </row>
    <row r="233" spans="1:18" ht="40.5" customHeight="1" x14ac:dyDescent="0.25">
      <c r="A233" s="108" t="s">
        <v>2054</v>
      </c>
      <c r="B233" s="112">
        <v>45057</v>
      </c>
      <c r="C233" s="462" t="s">
        <v>1056</v>
      </c>
      <c r="D233" s="463"/>
      <c r="E233" s="463"/>
      <c r="F233" s="463"/>
      <c r="G233" s="463"/>
      <c r="H233" s="446"/>
      <c r="I233" s="29" t="s">
        <v>502</v>
      </c>
      <c r="J233" s="440">
        <v>78000</v>
      </c>
      <c r="K233" s="273"/>
      <c r="L233" s="439" t="e">
        <f t="shared" si="5"/>
        <v>#N/A</v>
      </c>
      <c r="M233" s="273"/>
      <c r="N233" s="439">
        <v>65546.218487394959</v>
      </c>
      <c r="O233" s="273"/>
      <c r="P233" s="439">
        <f t="shared" si="4"/>
        <v>78000</v>
      </c>
      <c r="Q233" s="273"/>
      <c r="R233">
        <f>presup!M$368</f>
        <v>0</v>
      </c>
    </row>
    <row r="234" spans="1:18" ht="27" customHeight="1" x14ac:dyDescent="0.25">
      <c r="A234" s="108" t="s">
        <v>2055</v>
      </c>
      <c r="B234" s="112">
        <v>45060</v>
      </c>
      <c r="C234" s="462" t="s">
        <v>1307</v>
      </c>
      <c r="D234" s="463"/>
      <c r="E234" s="463"/>
      <c r="F234" s="463"/>
      <c r="G234" s="463"/>
      <c r="H234" s="446"/>
      <c r="I234" s="26" t="s">
        <v>1827</v>
      </c>
      <c r="J234" s="440">
        <f>+consolidado!M10</f>
        <v>5395.0282271600026</v>
      </c>
      <c r="K234" s="273"/>
      <c r="L234" s="439" t="e">
        <f t="shared" si="5"/>
        <v>#N/A</v>
      </c>
      <c r="M234" s="273"/>
      <c r="N234" s="439">
        <v>4080.2184873949582</v>
      </c>
      <c r="O234" s="273"/>
      <c r="P234" s="439">
        <f t="shared" si="4"/>
        <v>5395.0282271600026</v>
      </c>
      <c r="Q234" s="273"/>
      <c r="R234">
        <f>presup!M$368</f>
        <v>0</v>
      </c>
    </row>
    <row r="235" spans="1:18" ht="27" customHeight="1" x14ac:dyDescent="0.25">
      <c r="A235" s="108" t="s">
        <v>2056</v>
      </c>
      <c r="B235" s="112">
        <v>45060</v>
      </c>
      <c r="C235" s="462" t="s">
        <v>1513</v>
      </c>
      <c r="D235" s="463"/>
      <c r="E235" s="463"/>
      <c r="F235" s="463"/>
      <c r="G235" s="463"/>
      <c r="H235" s="446"/>
      <c r="I235" s="26" t="s">
        <v>1382</v>
      </c>
      <c r="J235" s="440">
        <f>+consolidado!M11</f>
        <v>51472.658045714285</v>
      </c>
      <c r="K235" s="273"/>
      <c r="L235" s="439" t="e">
        <f t="shared" si="5"/>
        <v>#N/A</v>
      </c>
      <c r="M235" s="273"/>
      <c r="N235" s="439">
        <v>27438.630252100844</v>
      </c>
      <c r="O235" s="273"/>
      <c r="P235" s="439">
        <f t="shared" si="4"/>
        <v>51472.658045714285</v>
      </c>
      <c r="Q235" s="273"/>
      <c r="R235">
        <f>presup!M$368</f>
        <v>0</v>
      </c>
    </row>
    <row r="236" spans="1:18" ht="40.5" customHeight="1" x14ac:dyDescent="0.25">
      <c r="A236" s="108" t="s">
        <v>2057</v>
      </c>
      <c r="B236" s="112">
        <v>45060</v>
      </c>
      <c r="C236" s="462" t="s">
        <v>1309</v>
      </c>
      <c r="D236" s="463"/>
      <c r="E236" s="463"/>
      <c r="F236" s="463"/>
      <c r="G236" s="463"/>
      <c r="H236" s="446"/>
      <c r="I236" s="26" t="s">
        <v>1382</v>
      </c>
      <c r="J236" s="440">
        <f>+consolidado!M23</f>
        <v>229192.31748567708</v>
      </c>
      <c r="K236" s="273"/>
      <c r="L236" s="439" t="e">
        <f t="shared" si="5"/>
        <v>#N/A</v>
      </c>
      <c r="M236" s="273"/>
      <c r="N236" s="439">
        <v>126767.61344537816</v>
      </c>
      <c r="O236" s="273"/>
      <c r="P236" s="439">
        <f t="shared" si="4"/>
        <v>229192.31748567708</v>
      </c>
      <c r="Q236" s="273"/>
      <c r="R236">
        <f>presup!M$368</f>
        <v>0</v>
      </c>
    </row>
    <row r="237" spans="1:18" ht="40.5" customHeight="1" x14ac:dyDescent="0.25">
      <c r="A237" s="108" t="s">
        <v>2058</v>
      </c>
      <c r="B237" s="112">
        <v>45060</v>
      </c>
      <c r="C237" s="365" t="s">
        <v>1332</v>
      </c>
      <c r="D237" s="271"/>
      <c r="E237" s="271"/>
      <c r="F237" s="271"/>
      <c r="G237" s="271"/>
      <c r="H237" s="273"/>
      <c r="I237" s="26" t="s">
        <v>1382</v>
      </c>
      <c r="J237" s="440">
        <v>18218.939999999999</v>
      </c>
      <c r="K237" s="273"/>
      <c r="L237" s="439" t="e">
        <f t="shared" si="5"/>
        <v>#N/A</v>
      </c>
      <c r="M237" s="273"/>
      <c r="N237" s="439">
        <v>15310.033613445377</v>
      </c>
      <c r="O237" s="273"/>
      <c r="P237" s="439">
        <f t="shared" si="4"/>
        <v>18218.939999999999</v>
      </c>
      <c r="Q237" s="273"/>
      <c r="R237">
        <f>presup!M$368</f>
        <v>0</v>
      </c>
    </row>
    <row r="238" spans="1:18" ht="13.5" customHeight="1" x14ac:dyDescent="0.25">
      <c r="A238" s="108" t="s">
        <v>2059</v>
      </c>
      <c r="B238" s="112">
        <v>45060</v>
      </c>
      <c r="C238" s="462" t="s">
        <v>1310</v>
      </c>
      <c r="D238" s="463"/>
      <c r="E238" s="463"/>
      <c r="F238" s="463"/>
      <c r="G238" s="463"/>
      <c r="H238" s="446"/>
      <c r="I238" s="26" t="s">
        <v>1382</v>
      </c>
      <c r="J238" s="442">
        <f>'BASICOS SIN AIU '!F218</f>
        <v>619876.4246790678</v>
      </c>
      <c r="K238" s="368"/>
      <c r="L238" s="439" t="e">
        <f t="shared" si="5"/>
        <v>#N/A</v>
      </c>
      <c r="M238" s="273"/>
      <c r="N238" s="439">
        <v>411246.05882352946</v>
      </c>
      <c r="O238" s="273"/>
      <c r="P238" s="439">
        <f t="shared" si="4"/>
        <v>619876.4246790678</v>
      </c>
      <c r="Q238" s="273"/>
      <c r="R238">
        <f>presup!M$368</f>
        <v>0</v>
      </c>
    </row>
    <row r="239" spans="1:18" ht="27" customHeight="1" x14ac:dyDescent="0.25">
      <c r="A239" s="108" t="s">
        <v>2060</v>
      </c>
      <c r="B239" s="112">
        <v>45060</v>
      </c>
      <c r="C239" s="462" t="s">
        <v>1311</v>
      </c>
      <c r="D239" s="463"/>
      <c r="E239" s="463"/>
      <c r="F239" s="463"/>
      <c r="G239" s="463"/>
      <c r="H239" s="446"/>
      <c r="I239" s="26" t="s">
        <v>21</v>
      </c>
      <c r="J239" s="440">
        <f>+unitario!$F$546</f>
        <v>10407.86484233889</v>
      </c>
      <c r="K239" s="273"/>
      <c r="L239" s="439" t="e">
        <f t="shared" si="5"/>
        <v>#N/A</v>
      </c>
      <c r="M239" s="273"/>
      <c r="N239" s="439">
        <v>6694.306236483194</v>
      </c>
      <c r="O239" s="273"/>
      <c r="P239" s="439">
        <f t="shared" si="4"/>
        <v>10407.86484233889</v>
      </c>
      <c r="Q239" s="273"/>
      <c r="R239">
        <f>presup!M$368</f>
        <v>0</v>
      </c>
    </row>
    <row r="240" spans="1:18" ht="13.5" customHeight="1" x14ac:dyDescent="0.25">
      <c r="A240" s="108" t="s">
        <v>2061</v>
      </c>
      <c r="B240" s="112">
        <v>45060</v>
      </c>
      <c r="C240" s="462" t="s">
        <v>1371</v>
      </c>
      <c r="D240" s="463"/>
      <c r="E240" s="463"/>
      <c r="F240" s="463"/>
      <c r="G240" s="463"/>
      <c r="H240" s="446"/>
      <c r="I240" s="26" t="s">
        <v>1382</v>
      </c>
      <c r="J240" s="442">
        <f>+unitario!$F$6694</f>
        <v>1389173.4069229569</v>
      </c>
      <c r="K240" s="368"/>
      <c r="L240" s="439" t="e">
        <f t="shared" si="5"/>
        <v>#N/A</v>
      </c>
      <c r="M240" s="273"/>
      <c r="N240" s="439">
        <v>1000114.2605042018</v>
      </c>
      <c r="O240" s="273"/>
      <c r="P240" s="439">
        <f t="shared" si="4"/>
        <v>1389173.4069229569</v>
      </c>
      <c r="Q240" s="273"/>
      <c r="R240">
        <f>presup!M$368</f>
        <v>0</v>
      </c>
    </row>
    <row r="241" spans="1:18" ht="13.5" customHeight="1" x14ac:dyDescent="0.25">
      <c r="A241" s="108" t="s">
        <v>2062</v>
      </c>
      <c r="B241" s="112">
        <v>45060</v>
      </c>
      <c r="C241" s="462" t="s">
        <v>1463</v>
      </c>
      <c r="D241" s="463"/>
      <c r="E241" s="463"/>
      <c r="F241" s="463"/>
      <c r="G241" s="463"/>
      <c r="H241" s="446"/>
      <c r="I241" s="26" t="s">
        <v>1382</v>
      </c>
      <c r="J241" s="442">
        <f>+consolidado!M63</f>
        <v>1917601.7724229568</v>
      </c>
      <c r="K241" s="368"/>
      <c r="L241" s="439" t="e">
        <f t="shared" si="5"/>
        <v>#N/A</v>
      </c>
      <c r="M241" s="273"/>
      <c r="N241" s="439">
        <v>1418517.6218487395</v>
      </c>
      <c r="O241" s="273"/>
      <c r="P241" s="439">
        <f t="shared" si="4"/>
        <v>1917601.7724229568</v>
      </c>
      <c r="Q241" s="273"/>
      <c r="R241">
        <f>presup!M$368</f>
        <v>0</v>
      </c>
    </row>
    <row r="242" spans="1:18" ht="13.5" customHeight="1" x14ac:dyDescent="0.25">
      <c r="A242" s="108" t="s">
        <v>2063</v>
      </c>
      <c r="B242" s="112">
        <v>45060</v>
      </c>
      <c r="C242" s="462" t="s">
        <v>1462</v>
      </c>
      <c r="D242" s="463"/>
      <c r="E242" s="463"/>
      <c r="F242" s="463"/>
      <c r="G242" s="463"/>
      <c r="H242" s="446"/>
      <c r="I242" s="26" t="s">
        <v>1382</v>
      </c>
      <c r="J242" s="442">
        <f>+consolidado!M64</f>
        <v>844782.11970906786</v>
      </c>
      <c r="K242" s="368"/>
      <c r="L242" s="439" t="e">
        <f t="shared" si="5"/>
        <v>#N/A</v>
      </c>
      <c r="M242" s="273"/>
      <c r="N242" s="439">
        <v>573588.52100840339</v>
      </c>
      <c r="O242" s="273"/>
      <c r="P242" s="439">
        <f t="shared" si="4"/>
        <v>844782.11970906786</v>
      </c>
      <c r="Q242" s="273"/>
      <c r="R242">
        <f>presup!M$368</f>
        <v>0</v>
      </c>
    </row>
    <row r="243" spans="1:18" ht="40.5" customHeight="1" x14ac:dyDescent="0.25">
      <c r="A243" s="108" t="s">
        <v>2064</v>
      </c>
      <c r="B243" s="112">
        <v>45060</v>
      </c>
      <c r="C243" s="462" t="s">
        <v>1315</v>
      </c>
      <c r="D243" s="463"/>
      <c r="E243" s="463"/>
      <c r="F243" s="463"/>
      <c r="G243" s="463"/>
      <c r="H243" s="446"/>
      <c r="I243" s="26" t="s">
        <v>502</v>
      </c>
      <c r="J243" s="440">
        <f>+consolidado!M40</f>
        <v>133822.58162650003</v>
      </c>
      <c r="K243" s="273"/>
      <c r="L243" s="439" t="e">
        <f t="shared" si="5"/>
        <v>#N/A</v>
      </c>
      <c r="M243" s="273"/>
      <c r="N243" s="439">
        <v>82078.865546218498</v>
      </c>
      <c r="O243" s="273"/>
      <c r="P243" s="439">
        <f t="shared" si="4"/>
        <v>133822.58162650003</v>
      </c>
      <c r="Q243" s="273"/>
      <c r="R243">
        <f>presup!M$368</f>
        <v>0</v>
      </c>
    </row>
    <row r="244" spans="1:18" ht="27" customHeight="1" x14ac:dyDescent="0.25">
      <c r="A244" s="116" t="s">
        <v>2065</v>
      </c>
      <c r="B244" s="112">
        <v>45060</v>
      </c>
      <c r="C244" s="462" t="s">
        <v>1326</v>
      </c>
      <c r="D244" s="463"/>
      <c r="E244" s="463"/>
      <c r="F244" s="463"/>
      <c r="G244" s="463"/>
      <c r="H244" s="446"/>
      <c r="I244" s="26" t="s">
        <v>502</v>
      </c>
      <c r="J244" s="440">
        <v>785400</v>
      </c>
      <c r="K244" s="273"/>
      <c r="L244" s="439" t="e">
        <f t="shared" si="5"/>
        <v>#N/A</v>
      </c>
      <c r="M244" s="273"/>
      <c r="N244" s="439">
        <v>660000</v>
      </c>
      <c r="O244" s="273"/>
      <c r="P244" s="439">
        <f t="shared" si="4"/>
        <v>785400</v>
      </c>
      <c r="Q244" s="273"/>
      <c r="R244">
        <f>presup!M$368</f>
        <v>0</v>
      </c>
    </row>
    <row r="245" spans="1:18" ht="40.5" customHeight="1" x14ac:dyDescent="0.25">
      <c r="A245" s="108" t="s">
        <v>2066</v>
      </c>
      <c r="B245" s="112">
        <v>45060</v>
      </c>
      <c r="C245" s="462" t="s">
        <v>1316</v>
      </c>
      <c r="D245" s="463"/>
      <c r="E245" s="463"/>
      <c r="F245" s="463"/>
      <c r="G245" s="463"/>
      <c r="H245" s="446"/>
      <c r="I245" s="26" t="s">
        <v>502</v>
      </c>
      <c r="J245" s="440">
        <v>833487.79</v>
      </c>
      <c r="K245" s="273"/>
      <c r="L245" s="439" t="e">
        <f t="shared" si="5"/>
        <v>#N/A</v>
      </c>
      <c r="M245" s="273"/>
      <c r="N245" s="439">
        <v>700409.90756302525</v>
      </c>
      <c r="O245" s="273"/>
      <c r="P245" s="439">
        <f t="shared" si="4"/>
        <v>833487.79</v>
      </c>
      <c r="Q245" s="273"/>
      <c r="R245">
        <f>presup!M$368</f>
        <v>0</v>
      </c>
    </row>
    <row r="246" spans="1:18" ht="27" customHeight="1" x14ac:dyDescent="0.25">
      <c r="A246" s="108" t="s">
        <v>2067</v>
      </c>
      <c r="B246" s="112">
        <v>45060</v>
      </c>
      <c r="C246" s="462" t="s">
        <v>1319</v>
      </c>
      <c r="D246" s="463"/>
      <c r="E246" s="463"/>
      <c r="F246" s="463"/>
      <c r="G246" s="463"/>
      <c r="H246" s="446"/>
      <c r="I246" s="26" t="s">
        <v>502</v>
      </c>
      <c r="J246" s="440">
        <f>+consolidado!M72</f>
        <v>450049.64202499995</v>
      </c>
      <c r="K246" s="273"/>
      <c r="L246" s="439" t="e">
        <f t="shared" si="5"/>
        <v>#N/A</v>
      </c>
      <c r="M246" s="273"/>
      <c r="N246" s="439">
        <v>364580.46218487399</v>
      </c>
      <c r="O246" s="273"/>
      <c r="P246" s="439">
        <f t="shared" si="4"/>
        <v>450049.64202499995</v>
      </c>
      <c r="Q246" s="273"/>
      <c r="R246">
        <f>presup!M$368</f>
        <v>0</v>
      </c>
    </row>
    <row r="247" spans="1:18" ht="13.5" customHeight="1" x14ac:dyDescent="0.25">
      <c r="A247" s="108" t="s">
        <v>2068</v>
      </c>
      <c r="B247" s="112">
        <v>45060</v>
      </c>
      <c r="C247" s="462" t="s">
        <v>1323</v>
      </c>
      <c r="D247" s="463"/>
      <c r="E247" s="463"/>
      <c r="F247" s="463"/>
      <c r="G247" s="463"/>
      <c r="H247" s="446"/>
      <c r="I247" s="26" t="s">
        <v>502</v>
      </c>
      <c r="J247" s="440">
        <f>+unitario!$F$8101</f>
        <v>131542.5405</v>
      </c>
      <c r="K247" s="273"/>
      <c r="L247" s="439" t="e">
        <f t="shared" si="5"/>
        <v>#N/A</v>
      </c>
      <c r="M247" s="273"/>
      <c r="N247" s="439">
        <v>97111.840336134454</v>
      </c>
      <c r="O247" s="273"/>
      <c r="P247" s="439">
        <f t="shared" si="4"/>
        <v>131542.5405</v>
      </c>
      <c r="Q247" s="273"/>
      <c r="R247">
        <f>presup!M$368</f>
        <v>0</v>
      </c>
    </row>
    <row r="248" spans="1:18" ht="13.5" customHeight="1" x14ac:dyDescent="0.25">
      <c r="A248" s="108" t="s">
        <v>2069</v>
      </c>
      <c r="B248" s="112">
        <v>45060</v>
      </c>
      <c r="C248" s="462" t="s">
        <v>1338</v>
      </c>
      <c r="D248" s="463"/>
      <c r="E248" s="463"/>
      <c r="F248" s="463"/>
      <c r="G248" s="463"/>
      <c r="H248" s="446"/>
      <c r="I248" s="26" t="s">
        <v>502</v>
      </c>
      <c r="J248" s="440">
        <f>+consolidado!M41</f>
        <v>642792.78230843006</v>
      </c>
      <c r="K248" s="273"/>
      <c r="L248" s="439" t="e">
        <f t="shared" si="5"/>
        <v>#N/A</v>
      </c>
      <c r="M248" s="273"/>
      <c r="N248" s="439">
        <v>631762.45378151257</v>
      </c>
      <c r="O248" s="273"/>
      <c r="P248" s="439">
        <f t="shared" si="4"/>
        <v>642792.78230843006</v>
      </c>
      <c r="Q248" s="273"/>
      <c r="R248">
        <f>presup!M$368</f>
        <v>0</v>
      </c>
    </row>
    <row r="249" spans="1:18" ht="27" customHeight="1" x14ac:dyDescent="0.25">
      <c r="A249" s="116" t="s">
        <v>2070</v>
      </c>
      <c r="B249" s="112">
        <v>45060</v>
      </c>
      <c r="C249" s="365" t="s">
        <v>2071</v>
      </c>
      <c r="D249" s="271"/>
      <c r="E249" s="271"/>
      <c r="F249" s="271"/>
      <c r="G249" s="271"/>
      <c r="H249" s="273"/>
      <c r="I249" s="26" t="s">
        <v>502</v>
      </c>
      <c r="J249" s="440">
        <v>310816.03999999998</v>
      </c>
      <c r="K249" s="273"/>
      <c r="L249" s="438" t="e">
        <f t="shared" si="5"/>
        <v>#N/A</v>
      </c>
      <c r="M249" s="273"/>
      <c r="N249" s="438">
        <v>261189.94957983194</v>
      </c>
      <c r="O249" s="273"/>
      <c r="P249" s="439">
        <f t="shared" si="4"/>
        <v>310816.03999999998</v>
      </c>
      <c r="Q249" s="273"/>
      <c r="R249">
        <f>presup!M$368</f>
        <v>0</v>
      </c>
    </row>
    <row r="250" spans="1:18" ht="13.5" customHeight="1" x14ac:dyDescent="0.25">
      <c r="A250" s="116" t="s">
        <v>2072</v>
      </c>
      <c r="B250" s="112">
        <v>45060</v>
      </c>
      <c r="C250" s="365" t="s">
        <v>2073</v>
      </c>
      <c r="D250" s="271"/>
      <c r="E250" s="271"/>
      <c r="F250" s="271"/>
      <c r="G250" s="271"/>
      <c r="H250" s="273"/>
      <c r="I250" s="26" t="s">
        <v>502</v>
      </c>
      <c r="J250" s="440">
        <v>2405185.7000000002</v>
      </c>
      <c r="K250" s="273"/>
      <c r="L250" s="438" t="e">
        <f t="shared" si="5"/>
        <v>#N/A</v>
      </c>
      <c r="M250" s="273"/>
      <c r="N250" s="438">
        <v>2021164.4537815128</v>
      </c>
      <c r="O250" s="273"/>
      <c r="P250" s="439">
        <f t="shared" si="4"/>
        <v>2405185.7000000002</v>
      </c>
      <c r="Q250" s="273"/>
      <c r="R250">
        <f>presup!M$368</f>
        <v>0</v>
      </c>
    </row>
    <row r="251" spans="1:18" ht="13.5" customHeight="1" x14ac:dyDescent="0.25">
      <c r="A251" s="108" t="s">
        <v>2074</v>
      </c>
      <c r="B251" s="112">
        <v>45061</v>
      </c>
      <c r="C251" s="462" t="s">
        <v>1308</v>
      </c>
      <c r="D251" s="463"/>
      <c r="E251" s="463"/>
      <c r="F251" s="463"/>
      <c r="G251" s="463"/>
      <c r="H251" s="446"/>
      <c r="I251" s="26" t="s">
        <v>1382</v>
      </c>
      <c r="J251" s="440">
        <f>+consolidado!M12</f>
        <v>68458.635200799996</v>
      </c>
      <c r="K251" s="273"/>
      <c r="L251" s="438" t="e">
        <f t="shared" si="5"/>
        <v>#N/A</v>
      </c>
      <c r="M251" s="273"/>
      <c r="N251" s="438">
        <v>48017.605042016803</v>
      </c>
      <c r="O251" s="273"/>
      <c r="P251" s="439">
        <f t="shared" si="4"/>
        <v>68458.635200799996</v>
      </c>
      <c r="Q251" s="273"/>
      <c r="R251">
        <f>presup!M$368</f>
        <v>0</v>
      </c>
    </row>
    <row r="252" spans="1:18" ht="13.5" customHeight="1" x14ac:dyDescent="0.25">
      <c r="A252" s="108" t="s">
        <v>2075</v>
      </c>
      <c r="B252" s="112">
        <v>45061</v>
      </c>
      <c r="C252" s="462" t="s">
        <v>1333</v>
      </c>
      <c r="D252" s="463"/>
      <c r="E252" s="463"/>
      <c r="F252" s="463"/>
      <c r="G252" s="463"/>
      <c r="H252" s="446"/>
      <c r="I252" s="26" t="s">
        <v>1382</v>
      </c>
      <c r="J252" s="440">
        <f>+consolidado!M28</f>
        <v>6384.6287895000005</v>
      </c>
      <c r="K252" s="273"/>
      <c r="L252" s="438" t="e">
        <f t="shared" si="5"/>
        <v>#N/A</v>
      </c>
      <c r="M252" s="273"/>
      <c r="N252" s="438">
        <v>3891.6554621848741</v>
      </c>
      <c r="O252" s="273"/>
      <c r="P252" s="439">
        <f t="shared" si="4"/>
        <v>6384.6287895000005</v>
      </c>
      <c r="Q252" s="273"/>
      <c r="R252">
        <f>presup!M$368</f>
        <v>0</v>
      </c>
    </row>
    <row r="253" spans="1:18" ht="13.5" customHeight="1" x14ac:dyDescent="0.25">
      <c r="A253" s="108" t="s">
        <v>2076</v>
      </c>
      <c r="B253" s="112">
        <v>45061</v>
      </c>
      <c r="C253" s="462" t="s">
        <v>1312</v>
      </c>
      <c r="D253" s="463"/>
      <c r="E253" s="463"/>
      <c r="F253" s="463"/>
      <c r="G253" s="463"/>
      <c r="H253" s="446"/>
      <c r="I253" s="26" t="s">
        <v>1382</v>
      </c>
      <c r="J253" s="440">
        <f>+consolidado!M19</f>
        <v>790161.82467906782</v>
      </c>
      <c r="K253" s="273"/>
      <c r="L253" s="438" t="e">
        <f t="shared" si="5"/>
        <v>#N/A</v>
      </c>
      <c r="M253" s="273"/>
      <c r="N253" s="438">
        <v>508094.37815126055</v>
      </c>
      <c r="O253" s="273"/>
      <c r="P253" s="439">
        <f t="shared" si="4"/>
        <v>790161.82467906782</v>
      </c>
      <c r="Q253" s="273"/>
      <c r="R253">
        <f>presup!M$368</f>
        <v>0</v>
      </c>
    </row>
    <row r="254" spans="1:18" ht="27" customHeight="1" x14ac:dyDescent="0.25">
      <c r="A254" s="108" t="s">
        <v>2077</v>
      </c>
      <c r="B254" s="112">
        <v>45061</v>
      </c>
      <c r="C254" s="462" t="s">
        <v>1313</v>
      </c>
      <c r="D254" s="463"/>
      <c r="E254" s="463"/>
      <c r="F254" s="463"/>
      <c r="G254" s="463"/>
      <c r="H254" s="446"/>
      <c r="I254" s="26" t="s">
        <v>1827</v>
      </c>
      <c r="J254" s="440">
        <f>+consolidado!M51</f>
        <v>84116.633390000003</v>
      </c>
      <c r="K254" s="273"/>
      <c r="L254" s="438" t="e">
        <f t="shared" si="5"/>
        <v>#N/A</v>
      </c>
      <c r="M254" s="273"/>
      <c r="N254" s="438">
        <v>63601.899159663866</v>
      </c>
      <c r="O254" s="273"/>
      <c r="P254" s="439">
        <f t="shared" si="4"/>
        <v>84116.633390000003</v>
      </c>
      <c r="Q254" s="273"/>
      <c r="R254">
        <f>presup!M$368</f>
        <v>0</v>
      </c>
    </row>
    <row r="255" spans="1:18" ht="27" customHeight="1" x14ac:dyDescent="0.25">
      <c r="A255" s="116" t="s">
        <v>2078</v>
      </c>
      <c r="B255" s="112">
        <v>45061</v>
      </c>
      <c r="C255" s="365" t="s">
        <v>2079</v>
      </c>
      <c r="D255" s="271"/>
      <c r="E255" s="271"/>
      <c r="F255" s="271"/>
      <c r="G255" s="271"/>
      <c r="H255" s="273"/>
      <c r="I255" s="26" t="s">
        <v>502</v>
      </c>
      <c r="J255" s="440">
        <f>+unitario!F7800</f>
        <v>219610.55550000002</v>
      </c>
      <c r="K255" s="273"/>
      <c r="L255" s="438" t="e">
        <f t="shared" si="5"/>
        <v>#N/A</v>
      </c>
      <c r="M255" s="273"/>
      <c r="N255" s="438">
        <v>171118.57915808825</v>
      </c>
      <c r="O255" s="273"/>
      <c r="P255" s="439">
        <f t="shared" si="4"/>
        <v>219610.55550000002</v>
      </c>
      <c r="Q255" s="273"/>
      <c r="R255">
        <f>presup!M$368</f>
        <v>0</v>
      </c>
    </row>
    <row r="256" spans="1:18" ht="27" customHeight="1" x14ac:dyDescent="0.25">
      <c r="A256" s="116" t="s">
        <v>2080</v>
      </c>
      <c r="B256" s="112">
        <v>45061</v>
      </c>
      <c r="C256" s="365" t="s">
        <v>2081</v>
      </c>
      <c r="D256" s="271"/>
      <c r="E256" s="271"/>
      <c r="F256" s="271"/>
      <c r="G256" s="271"/>
      <c r="H256" s="273"/>
      <c r="I256" s="26" t="s">
        <v>502</v>
      </c>
      <c r="J256" s="440">
        <f>+unitario!F7842</f>
        <v>153833.51550000001</v>
      </c>
      <c r="K256" s="273"/>
      <c r="L256" s="438" t="e">
        <f t="shared" si="5"/>
        <v>#N/A</v>
      </c>
      <c r="M256" s="273"/>
      <c r="N256" s="438">
        <v>115843.75562867649</v>
      </c>
      <c r="O256" s="273"/>
      <c r="P256" s="439">
        <f t="shared" si="4"/>
        <v>153833.51550000001</v>
      </c>
      <c r="Q256" s="273"/>
      <c r="R256">
        <f>presup!M$368</f>
        <v>0</v>
      </c>
    </row>
    <row r="257" spans="1:18" ht="27" customHeight="1" x14ac:dyDescent="0.25">
      <c r="A257" s="116" t="s">
        <v>2082</v>
      </c>
      <c r="B257" s="112">
        <v>45061</v>
      </c>
      <c r="C257" s="365" t="s">
        <v>2083</v>
      </c>
      <c r="D257" s="271"/>
      <c r="E257" s="271"/>
      <c r="F257" s="271"/>
      <c r="G257" s="271"/>
      <c r="H257" s="273"/>
      <c r="I257" s="26" t="s">
        <v>502</v>
      </c>
      <c r="J257" s="440">
        <f>+unitario!F7884</f>
        <v>256610.14049999998</v>
      </c>
      <c r="K257" s="273"/>
      <c r="L257" s="438" t="e">
        <f t="shared" si="5"/>
        <v>#N/A</v>
      </c>
      <c r="M257" s="273"/>
      <c r="N257" s="438">
        <v>202210.66739338235</v>
      </c>
      <c r="O257" s="273"/>
      <c r="P257" s="439">
        <f t="shared" si="4"/>
        <v>256610.14049999998</v>
      </c>
      <c r="Q257" s="273"/>
      <c r="R257">
        <f>presup!M$368</f>
        <v>0</v>
      </c>
    </row>
    <row r="258" spans="1:18" ht="13.5" customHeight="1" x14ac:dyDescent="0.25">
      <c r="A258" s="116" t="s">
        <v>2084</v>
      </c>
      <c r="B258" s="112">
        <v>45061</v>
      </c>
      <c r="C258" s="365" t="s">
        <v>2085</v>
      </c>
      <c r="D258" s="271"/>
      <c r="E258" s="271"/>
      <c r="F258" s="271"/>
      <c r="G258" s="271"/>
      <c r="H258" s="273"/>
      <c r="I258" s="26" t="s">
        <v>502</v>
      </c>
      <c r="J258" s="440">
        <v>437269.03</v>
      </c>
      <c r="K258" s="273"/>
      <c r="L258" s="438" t="e">
        <f t="shared" si="5"/>
        <v>#N/A</v>
      </c>
      <c r="M258" s="273"/>
      <c r="N258" s="438">
        <v>367452.96638655465</v>
      </c>
      <c r="O258" s="273"/>
      <c r="P258" s="439">
        <f t="shared" si="4"/>
        <v>437269.03</v>
      </c>
      <c r="Q258" s="273"/>
      <c r="R258">
        <f>presup!M$368</f>
        <v>0</v>
      </c>
    </row>
    <row r="259" spans="1:18" ht="27" customHeight="1" x14ac:dyDescent="0.25">
      <c r="A259" s="116" t="s">
        <v>2086</v>
      </c>
      <c r="B259" s="112">
        <v>45061</v>
      </c>
      <c r="C259" s="365" t="s">
        <v>2087</v>
      </c>
      <c r="D259" s="271"/>
      <c r="E259" s="271"/>
      <c r="F259" s="271"/>
      <c r="G259" s="271"/>
      <c r="H259" s="273"/>
      <c r="I259" s="26" t="s">
        <v>502</v>
      </c>
      <c r="J259" s="440">
        <v>987584.13</v>
      </c>
      <c r="K259" s="273"/>
      <c r="L259" s="438" t="e">
        <f t="shared" si="5"/>
        <v>#N/A</v>
      </c>
      <c r="M259" s="273"/>
      <c r="N259" s="438">
        <v>829902.63025210088</v>
      </c>
      <c r="O259" s="273"/>
      <c r="P259" s="439">
        <f t="shared" si="4"/>
        <v>987584.13</v>
      </c>
      <c r="Q259" s="273"/>
      <c r="R259">
        <f>presup!M$368</f>
        <v>0</v>
      </c>
    </row>
    <row r="260" spans="1:18" ht="13.5" customHeight="1" x14ac:dyDescent="0.25">
      <c r="A260" s="108" t="s">
        <v>2088</v>
      </c>
      <c r="B260" s="112">
        <v>45061</v>
      </c>
      <c r="C260" s="462" t="s">
        <v>1347</v>
      </c>
      <c r="D260" s="463"/>
      <c r="E260" s="463"/>
      <c r="F260" s="463"/>
      <c r="G260" s="463"/>
      <c r="H260" s="446"/>
      <c r="I260" s="26" t="s">
        <v>1815</v>
      </c>
      <c r="J260" s="440">
        <v>26984</v>
      </c>
      <c r="K260" s="273"/>
      <c r="L260" s="438" t="e">
        <f t="shared" si="5"/>
        <v>#N/A</v>
      </c>
      <c r="M260" s="273"/>
      <c r="N260" s="438">
        <v>22675.63025210084</v>
      </c>
      <c r="O260" s="273"/>
      <c r="P260" s="439">
        <f t="shared" si="4"/>
        <v>26984</v>
      </c>
      <c r="Q260" s="273"/>
      <c r="R260">
        <f>presup!M$368</f>
        <v>0</v>
      </c>
    </row>
    <row r="261" spans="1:18" ht="13.5" customHeight="1" x14ac:dyDescent="0.25">
      <c r="A261" s="108" t="s">
        <v>2089</v>
      </c>
      <c r="B261" s="112">
        <v>45061</v>
      </c>
      <c r="C261" s="462" t="s">
        <v>1340</v>
      </c>
      <c r="D261" s="463"/>
      <c r="E261" s="463"/>
      <c r="F261" s="463"/>
      <c r="G261" s="463"/>
      <c r="H261" s="446"/>
      <c r="I261" s="26" t="s">
        <v>1815</v>
      </c>
      <c r="J261" s="440">
        <f>+unitario!$F$7926</f>
        <v>36032.115585416672</v>
      </c>
      <c r="K261" s="273"/>
      <c r="L261" s="438" t="e">
        <f t="shared" si="5"/>
        <v>#N/A</v>
      </c>
      <c r="M261" s="273"/>
      <c r="N261" s="438">
        <v>29144.714285714286</v>
      </c>
      <c r="O261" s="273"/>
      <c r="P261" s="439">
        <f t="shared" si="4"/>
        <v>36032.115585416672</v>
      </c>
      <c r="Q261" s="273"/>
      <c r="R261">
        <f>presup!M$368</f>
        <v>0</v>
      </c>
    </row>
    <row r="262" spans="1:18" ht="27" customHeight="1" x14ac:dyDescent="0.25">
      <c r="A262" s="108" t="s">
        <v>2090</v>
      </c>
      <c r="B262" s="112">
        <v>45061</v>
      </c>
      <c r="C262" s="462" t="s">
        <v>1348</v>
      </c>
      <c r="D262" s="463"/>
      <c r="E262" s="463"/>
      <c r="F262" s="463"/>
      <c r="G262" s="463"/>
      <c r="H262" s="446"/>
      <c r="I262" s="26" t="s">
        <v>1827</v>
      </c>
      <c r="J262" s="440">
        <f>+consolidado!M10</f>
        <v>5395.0282271600026</v>
      </c>
      <c r="K262" s="273"/>
      <c r="L262" s="438" t="e">
        <f t="shared" si="5"/>
        <v>#N/A</v>
      </c>
      <c r="M262" s="273"/>
      <c r="N262" s="438">
        <v>4977.8823529411766</v>
      </c>
      <c r="O262" s="273"/>
      <c r="P262" s="439">
        <f t="shared" si="4"/>
        <v>5395.0282271600026</v>
      </c>
      <c r="Q262" s="273"/>
      <c r="R262">
        <f>presup!M$368</f>
        <v>0</v>
      </c>
    </row>
    <row r="263" spans="1:18" ht="13.5" customHeight="1" x14ac:dyDescent="0.25">
      <c r="A263" s="116" t="s">
        <v>2091</v>
      </c>
      <c r="B263" s="112">
        <v>45061</v>
      </c>
      <c r="C263" s="462" t="s">
        <v>1359</v>
      </c>
      <c r="D263" s="463"/>
      <c r="E263" s="463"/>
      <c r="F263" s="463"/>
      <c r="G263" s="463"/>
      <c r="H263" s="446"/>
      <c r="I263" s="26" t="s">
        <v>21</v>
      </c>
      <c r="J263" s="440">
        <v>10760</v>
      </c>
      <c r="K263" s="273"/>
      <c r="L263" s="438" t="e">
        <f t="shared" si="5"/>
        <v>#N/A</v>
      </c>
      <c r="M263" s="273"/>
      <c r="N263" s="438">
        <v>9042.0168067226896</v>
      </c>
      <c r="O263" s="273"/>
      <c r="P263" s="439">
        <f t="shared" si="4"/>
        <v>10760</v>
      </c>
      <c r="Q263" s="273"/>
      <c r="R263">
        <f>presup!M$368</f>
        <v>0</v>
      </c>
    </row>
    <row r="264" spans="1:18" ht="27" customHeight="1" x14ac:dyDescent="0.25">
      <c r="A264" s="108" t="s">
        <v>2092</v>
      </c>
      <c r="B264" s="112">
        <v>45061</v>
      </c>
      <c r="C264" s="462" t="s">
        <v>1349</v>
      </c>
      <c r="D264" s="463"/>
      <c r="E264" s="463"/>
      <c r="F264" s="463"/>
      <c r="G264" s="463"/>
      <c r="H264" s="446"/>
      <c r="I264" s="26" t="s">
        <v>21</v>
      </c>
      <c r="J264" s="440">
        <f>+unitario!$F$8017</f>
        <v>28758.641138999999</v>
      </c>
      <c r="K264" s="273"/>
      <c r="L264" s="438" t="e">
        <f t="shared" si="5"/>
        <v>#N/A</v>
      </c>
      <c r="M264" s="273"/>
      <c r="N264" s="438">
        <v>20419.663865546219</v>
      </c>
      <c r="O264" s="273"/>
      <c r="P264" s="439">
        <f t="shared" si="4"/>
        <v>28758.641138999999</v>
      </c>
      <c r="Q264" s="273"/>
      <c r="R264">
        <f>presup!M$368</f>
        <v>0</v>
      </c>
    </row>
    <row r="265" spans="1:18" ht="27" customHeight="1" x14ac:dyDescent="0.25">
      <c r="A265" s="108" t="s">
        <v>2093</v>
      </c>
      <c r="B265" s="112">
        <v>45061</v>
      </c>
      <c r="C265" s="462" t="s">
        <v>1350</v>
      </c>
      <c r="D265" s="463"/>
      <c r="E265" s="463"/>
      <c r="F265" s="463"/>
      <c r="G265" s="463"/>
      <c r="H265" s="446"/>
      <c r="I265" s="26" t="s">
        <v>1382</v>
      </c>
      <c r="J265" s="440">
        <f>546509*1.75</f>
        <v>956390.75</v>
      </c>
      <c r="K265" s="273"/>
      <c r="L265" s="438" t="e">
        <f t="shared" si="5"/>
        <v>#N/A</v>
      </c>
      <c r="M265" s="273"/>
      <c r="N265" s="438">
        <v>459251.26050420169</v>
      </c>
      <c r="O265" s="273"/>
      <c r="P265" s="439">
        <f t="shared" si="4"/>
        <v>956390.75</v>
      </c>
      <c r="Q265" s="273"/>
      <c r="R265">
        <f>presup!M$368</f>
        <v>0</v>
      </c>
    </row>
    <row r="266" spans="1:18" ht="27" customHeight="1" x14ac:dyDescent="0.25">
      <c r="A266" s="108" t="s">
        <v>2094</v>
      </c>
      <c r="B266" s="112">
        <v>45061</v>
      </c>
      <c r="C266" s="462" t="s">
        <v>1351</v>
      </c>
      <c r="D266" s="463"/>
      <c r="E266" s="463"/>
      <c r="F266" s="463"/>
      <c r="G266" s="463"/>
      <c r="H266" s="446"/>
      <c r="I266" s="26" t="s">
        <v>21</v>
      </c>
      <c r="J266" s="440">
        <f>6229.51*1.2</f>
        <v>7475.4120000000003</v>
      </c>
      <c r="K266" s="273"/>
      <c r="L266" s="438" t="e">
        <f t="shared" si="5"/>
        <v>#N/A</v>
      </c>
      <c r="M266" s="273"/>
      <c r="N266" s="438">
        <v>5234.8823529411766</v>
      </c>
      <c r="O266" s="273"/>
      <c r="P266" s="439">
        <f t="shared" si="4"/>
        <v>7475.4120000000003</v>
      </c>
      <c r="Q266" s="273"/>
      <c r="R266">
        <f>presup!M$368</f>
        <v>0</v>
      </c>
    </row>
    <row r="267" spans="1:18" ht="13.5" customHeight="1" x14ac:dyDescent="0.25">
      <c r="A267" s="108" t="s">
        <v>2095</v>
      </c>
      <c r="B267" s="112">
        <v>45061</v>
      </c>
      <c r="C267" s="462" t="s">
        <v>1352</v>
      </c>
      <c r="D267" s="463"/>
      <c r="E267" s="463"/>
      <c r="F267" s="463"/>
      <c r="G267" s="463"/>
      <c r="H267" s="446"/>
      <c r="I267" s="26" t="s">
        <v>1827</v>
      </c>
      <c r="J267" s="440">
        <v>28126.05</v>
      </c>
      <c r="K267" s="273"/>
      <c r="L267" s="438" t="e">
        <f t="shared" si="5"/>
        <v>#N/A</v>
      </c>
      <c r="M267" s="273"/>
      <c r="N267" s="438">
        <v>23635.336134453781</v>
      </c>
      <c r="O267" s="273"/>
      <c r="P267" s="439">
        <f t="shared" si="4"/>
        <v>28126.05</v>
      </c>
      <c r="Q267" s="273"/>
      <c r="R267">
        <f>presup!M$368</f>
        <v>0</v>
      </c>
    </row>
    <row r="268" spans="1:18" ht="13.5" customHeight="1" x14ac:dyDescent="0.25">
      <c r="A268" s="108" t="s">
        <v>2096</v>
      </c>
      <c r="B268" s="112">
        <v>45061</v>
      </c>
      <c r="C268" s="462" t="s">
        <v>1355</v>
      </c>
      <c r="D268" s="463"/>
      <c r="E268" s="463"/>
      <c r="F268" s="463"/>
      <c r="G268" s="463"/>
      <c r="H268" s="446"/>
      <c r="I268" s="26" t="s">
        <v>502</v>
      </c>
      <c r="J268" s="440">
        <v>31952</v>
      </c>
      <c r="K268" s="273"/>
      <c r="L268" s="438" t="e">
        <f t="shared" si="5"/>
        <v>#N/A</v>
      </c>
      <c r="M268" s="273"/>
      <c r="N268" s="438">
        <v>26850.420168067227</v>
      </c>
      <c r="O268" s="273"/>
      <c r="P268" s="439">
        <f t="shared" si="4"/>
        <v>31952</v>
      </c>
      <c r="Q268" s="273"/>
      <c r="R268">
        <f>presup!M$368</f>
        <v>0</v>
      </c>
    </row>
    <row r="269" spans="1:18" ht="13.5" customHeight="1" x14ac:dyDescent="0.25">
      <c r="A269" s="108" t="s">
        <v>2097</v>
      </c>
      <c r="B269" s="112">
        <v>45061</v>
      </c>
      <c r="C269" s="462" t="s">
        <v>1354</v>
      </c>
      <c r="D269" s="463"/>
      <c r="E269" s="463"/>
      <c r="F269" s="463"/>
      <c r="G269" s="463"/>
      <c r="H269" s="446"/>
      <c r="I269" s="26" t="s">
        <v>502</v>
      </c>
      <c r="J269" s="440">
        <f>+unitario!$F$8269</f>
        <v>289509.73813000001</v>
      </c>
      <c r="K269" s="273"/>
      <c r="L269" s="438" t="e">
        <f t="shared" si="5"/>
        <v>#N/A</v>
      </c>
      <c r="M269" s="273"/>
      <c r="N269" s="438">
        <v>529839.49579831935</v>
      </c>
      <c r="O269" s="273"/>
      <c r="P269" s="439">
        <f t="shared" si="4"/>
        <v>289509.73813000001</v>
      </c>
      <c r="Q269" s="273"/>
      <c r="R269">
        <f>presup!M$368</f>
        <v>0</v>
      </c>
    </row>
    <row r="270" spans="1:18" ht="27" customHeight="1" x14ac:dyDescent="0.25">
      <c r="A270" s="108" t="s">
        <v>2098</v>
      </c>
      <c r="B270" s="112">
        <v>45061</v>
      </c>
      <c r="C270" s="462" t="s">
        <v>1317</v>
      </c>
      <c r="D270" s="463"/>
      <c r="E270" s="463"/>
      <c r="F270" s="463"/>
      <c r="G270" s="463"/>
      <c r="H270" s="446"/>
      <c r="I270" s="26" t="s">
        <v>502</v>
      </c>
      <c r="J270" s="440">
        <f>+unitario!$F$3867</f>
        <v>633135.17489999998</v>
      </c>
      <c r="K270" s="273"/>
      <c r="L270" s="438" t="e">
        <f t="shared" si="5"/>
        <v>#N/A</v>
      </c>
      <c r="M270" s="273"/>
      <c r="N270" s="438">
        <v>516732.28676470602</v>
      </c>
      <c r="O270" s="273"/>
      <c r="P270" s="439">
        <f t="shared" si="4"/>
        <v>633135.17489999998</v>
      </c>
      <c r="Q270" s="273"/>
      <c r="R270">
        <f>presup!M$368</f>
        <v>0</v>
      </c>
    </row>
    <row r="271" spans="1:18" ht="13.5" customHeight="1" x14ac:dyDescent="0.25">
      <c r="A271" s="108" t="s">
        <v>2099</v>
      </c>
      <c r="B271" s="112">
        <v>45061</v>
      </c>
      <c r="C271" s="462" t="s">
        <v>1320</v>
      </c>
      <c r="D271" s="463"/>
      <c r="E271" s="463"/>
      <c r="F271" s="463"/>
      <c r="G271" s="463"/>
      <c r="H271" s="446"/>
      <c r="I271" s="26" t="s">
        <v>502</v>
      </c>
      <c r="J271" s="440">
        <f>+consolidado!M74</f>
        <v>392494.73202499998</v>
      </c>
      <c r="K271" s="273"/>
      <c r="L271" s="438" t="e">
        <f t="shared" si="5"/>
        <v>#N/A</v>
      </c>
      <c r="M271" s="273"/>
      <c r="N271" s="438">
        <v>316214.99159663869</v>
      </c>
      <c r="O271" s="273"/>
      <c r="P271" s="439">
        <f t="shared" si="4"/>
        <v>392494.73202499998</v>
      </c>
      <c r="Q271" s="273"/>
      <c r="R271">
        <f>presup!M$368</f>
        <v>0</v>
      </c>
    </row>
    <row r="272" spans="1:18" ht="13.5" customHeight="1" x14ac:dyDescent="0.25">
      <c r="A272" s="116" t="s">
        <v>2100</v>
      </c>
      <c r="B272" s="112">
        <v>45061</v>
      </c>
      <c r="C272" s="365" t="s">
        <v>2101</v>
      </c>
      <c r="D272" s="271"/>
      <c r="E272" s="271"/>
      <c r="F272" s="271"/>
      <c r="G272" s="271"/>
      <c r="H272" s="273"/>
      <c r="I272" s="26" t="s">
        <v>502</v>
      </c>
      <c r="J272" s="440">
        <v>1496935.7</v>
      </c>
      <c r="K272" s="273"/>
      <c r="L272" s="438" t="e">
        <f t="shared" si="5"/>
        <v>#N/A</v>
      </c>
      <c r="M272" s="273"/>
      <c r="N272" s="438">
        <v>1257929.1596638656</v>
      </c>
      <c r="O272" s="273"/>
      <c r="P272" s="439">
        <f t="shared" si="4"/>
        <v>1496935.7</v>
      </c>
      <c r="Q272" s="273"/>
      <c r="R272">
        <f>presup!M$368</f>
        <v>0</v>
      </c>
    </row>
    <row r="273" spans="1:18" ht="13.5" customHeight="1" x14ac:dyDescent="0.25">
      <c r="A273" s="116" t="s">
        <v>2102</v>
      </c>
      <c r="B273" s="112">
        <v>45061</v>
      </c>
      <c r="C273" s="365" t="s">
        <v>2103</v>
      </c>
      <c r="D273" s="271"/>
      <c r="E273" s="271"/>
      <c r="F273" s="271"/>
      <c r="G273" s="271"/>
      <c r="H273" s="273"/>
      <c r="I273" s="26" t="s">
        <v>2104</v>
      </c>
      <c r="J273" s="440">
        <v>623</v>
      </c>
      <c r="K273" s="273"/>
      <c r="L273" s="438" t="e">
        <f t="shared" si="5"/>
        <v>#N/A</v>
      </c>
      <c r="M273" s="273"/>
      <c r="N273" s="438">
        <v>523.52941176470586</v>
      </c>
      <c r="O273" s="273"/>
      <c r="P273" s="439">
        <f t="shared" si="4"/>
        <v>623</v>
      </c>
      <c r="Q273" s="273"/>
      <c r="R273">
        <f>presup!M$368</f>
        <v>0</v>
      </c>
    </row>
    <row r="274" spans="1:18" ht="13.5" customHeight="1" x14ac:dyDescent="0.25">
      <c r="A274" s="108" t="s">
        <v>2105</v>
      </c>
      <c r="B274" s="112">
        <v>45061</v>
      </c>
      <c r="C274" s="462" t="s">
        <v>1322</v>
      </c>
      <c r="D274" s="463"/>
      <c r="E274" s="463"/>
      <c r="F274" s="463"/>
      <c r="G274" s="463"/>
      <c r="H274" s="446"/>
      <c r="I274" s="26" t="s">
        <v>1815</v>
      </c>
      <c r="J274" s="440">
        <v>79860</v>
      </c>
      <c r="K274" s="273"/>
      <c r="L274" s="438" t="e">
        <f t="shared" si="5"/>
        <v>#N/A</v>
      </c>
      <c r="M274" s="273"/>
      <c r="N274" s="438">
        <v>67109.243697478989</v>
      </c>
      <c r="O274" s="273"/>
      <c r="P274" s="439">
        <f t="shared" si="4"/>
        <v>79860</v>
      </c>
      <c r="Q274" s="273"/>
      <c r="R274">
        <f>presup!M$368</f>
        <v>0</v>
      </c>
    </row>
    <row r="275" spans="1:18" ht="27" customHeight="1" x14ac:dyDescent="0.25">
      <c r="A275" s="108" t="s">
        <v>2106</v>
      </c>
      <c r="B275" s="112">
        <v>45061</v>
      </c>
      <c r="C275" s="462" t="s">
        <v>1314</v>
      </c>
      <c r="D275" s="463"/>
      <c r="E275" s="463"/>
      <c r="F275" s="463"/>
      <c r="G275" s="463"/>
      <c r="H275" s="446"/>
      <c r="I275" s="26" t="s">
        <v>1827</v>
      </c>
      <c r="J275" s="440">
        <f>+consolidado!M75</f>
        <v>14730.7192215</v>
      </c>
      <c r="K275" s="273"/>
      <c r="L275" s="438" t="e">
        <f t="shared" si="5"/>
        <v>#N/A</v>
      </c>
      <c r="M275" s="273"/>
      <c r="N275" s="438">
        <v>11081.815126050422</v>
      </c>
      <c r="O275" s="273"/>
      <c r="P275" s="439">
        <f t="shared" si="4"/>
        <v>14730.7192215</v>
      </c>
      <c r="Q275" s="273"/>
      <c r="R275">
        <f>presup!M$368</f>
        <v>0</v>
      </c>
    </row>
    <row r="276" spans="1:18" ht="13.5" customHeight="1" x14ac:dyDescent="0.25">
      <c r="A276" s="116" t="s">
        <v>2107</v>
      </c>
      <c r="B276" s="112">
        <v>45061</v>
      </c>
      <c r="C276" s="365" t="s">
        <v>2108</v>
      </c>
      <c r="D276" s="271"/>
      <c r="E276" s="271"/>
      <c r="F276" s="271"/>
      <c r="G276" s="271"/>
      <c r="H276" s="273"/>
      <c r="I276" s="26" t="s">
        <v>502</v>
      </c>
      <c r="J276" s="440">
        <v>153000</v>
      </c>
      <c r="K276" s="273"/>
      <c r="L276" s="438" t="e">
        <f t="shared" si="5"/>
        <v>#N/A</v>
      </c>
      <c r="M276" s="273"/>
      <c r="N276" s="438">
        <v>128571.42857142858</v>
      </c>
      <c r="O276" s="273"/>
      <c r="P276" s="439">
        <f t="shared" si="4"/>
        <v>153000</v>
      </c>
      <c r="Q276" s="273"/>
      <c r="R276">
        <f>presup!M$368</f>
        <v>0</v>
      </c>
    </row>
    <row r="277" spans="1:18" ht="13.5" customHeight="1" x14ac:dyDescent="0.25">
      <c r="A277" s="108" t="s">
        <v>2109</v>
      </c>
      <c r="B277" s="112">
        <v>45061</v>
      </c>
      <c r="C277" s="462" t="s">
        <v>2110</v>
      </c>
      <c r="D277" s="463"/>
      <c r="E277" s="463"/>
      <c r="F277" s="463"/>
      <c r="G277" s="463"/>
      <c r="H277" s="446"/>
      <c r="I277" s="26" t="s">
        <v>502</v>
      </c>
      <c r="J277" s="440">
        <v>172078.17</v>
      </c>
      <c r="K277" s="273"/>
      <c r="L277" s="438" t="e">
        <f t="shared" si="5"/>
        <v>#N/A</v>
      </c>
      <c r="M277" s="273"/>
      <c r="N277" s="438">
        <v>144603.50420168068</v>
      </c>
      <c r="O277" s="273"/>
      <c r="P277" s="439">
        <f t="shared" si="4"/>
        <v>172078.17</v>
      </c>
      <c r="Q277" s="273"/>
      <c r="R277">
        <f>presup!M$368</f>
        <v>0</v>
      </c>
    </row>
    <row r="278" spans="1:18" ht="27" customHeight="1" x14ac:dyDescent="0.25">
      <c r="A278" s="116" t="s">
        <v>2111</v>
      </c>
      <c r="B278" s="112">
        <v>45061</v>
      </c>
      <c r="C278" s="462" t="s">
        <v>1332</v>
      </c>
      <c r="D278" s="463"/>
      <c r="E278" s="463"/>
      <c r="F278" s="463"/>
      <c r="G278" s="463"/>
      <c r="H278" s="446"/>
      <c r="I278" s="26" t="s">
        <v>1382</v>
      </c>
      <c r="J278" s="440">
        <f>+consolidado!M16</f>
        <v>26524.081196363637</v>
      </c>
      <c r="K278" s="273"/>
      <c r="L278" s="438" t="e">
        <f t="shared" si="5"/>
        <v>#N/A</v>
      </c>
      <c r="M278" s="273"/>
      <c r="N278" s="438">
        <v>15310.033613445377</v>
      </c>
      <c r="O278" s="273"/>
      <c r="P278" s="439">
        <f t="shared" si="4"/>
        <v>26524.081196363637</v>
      </c>
      <c r="Q278" s="273"/>
      <c r="R278">
        <f>presup!M$368</f>
        <v>0</v>
      </c>
    </row>
    <row r="279" spans="1:18" ht="27" customHeight="1" x14ac:dyDescent="0.25">
      <c r="A279" s="108" t="s">
        <v>2112</v>
      </c>
      <c r="B279" s="112">
        <v>45061</v>
      </c>
      <c r="C279" s="462" t="s">
        <v>1334</v>
      </c>
      <c r="D279" s="463"/>
      <c r="E279" s="463"/>
      <c r="F279" s="463"/>
      <c r="G279" s="463"/>
      <c r="H279" s="446"/>
      <c r="I279" s="26" t="s">
        <v>502</v>
      </c>
      <c r="J279" s="440">
        <f>+unitario!$F$3909</f>
        <v>825285.17489999998</v>
      </c>
      <c r="K279" s="273"/>
      <c r="L279" s="438" t="e">
        <f t="shared" si="5"/>
        <v>#N/A</v>
      </c>
      <c r="M279" s="273"/>
      <c r="N279" s="438">
        <v>678202.875</v>
      </c>
      <c r="O279" s="273"/>
      <c r="P279" s="439">
        <f t="shared" si="4"/>
        <v>825285.17489999998</v>
      </c>
      <c r="Q279" s="273"/>
      <c r="R279">
        <f>presup!M$368</f>
        <v>0</v>
      </c>
    </row>
    <row r="280" spans="1:18" ht="27" customHeight="1" x14ac:dyDescent="0.25">
      <c r="A280" s="108" t="s">
        <v>2113</v>
      </c>
      <c r="B280" s="112">
        <v>45061</v>
      </c>
      <c r="C280" s="462" t="s">
        <v>1335</v>
      </c>
      <c r="D280" s="463"/>
      <c r="E280" s="463"/>
      <c r="F280" s="463"/>
      <c r="G280" s="463"/>
      <c r="H280" s="446"/>
      <c r="I280" s="26" t="s">
        <v>502</v>
      </c>
      <c r="J280" s="440">
        <f>+unitario!$F$8143</f>
        <v>248407.5405</v>
      </c>
      <c r="K280" s="273"/>
      <c r="L280" s="438" t="e">
        <f t="shared" si="5"/>
        <v>#N/A</v>
      </c>
      <c r="M280" s="273"/>
      <c r="N280" s="438">
        <v>195317.72268907563</v>
      </c>
      <c r="O280" s="273"/>
      <c r="P280" s="439">
        <f t="shared" si="4"/>
        <v>248407.5405</v>
      </c>
      <c r="Q280" s="273"/>
      <c r="R280">
        <f>presup!M$368</f>
        <v>0</v>
      </c>
    </row>
    <row r="281" spans="1:18" ht="27" customHeight="1" x14ac:dyDescent="0.25">
      <c r="A281" s="108" t="s">
        <v>2114</v>
      </c>
      <c r="B281" s="112">
        <v>45061</v>
      </c>
      <c r="C281" s="462" t="s">
        <v>1337</v>
      </c>
      <c r="D281" s="463"/>
      <c r="E281" s="463"/>
      <c r="F281" s="463"/>
      <c r="G281" s="463"/>
      <c r="H281" s="446"/>
      <c r="I281" s="26" t="s">
        <v>502</v>
      </c>
      <c r="J281" s="440">
        <v>277788.09000000003</v>
      </c>
      <c r="K281" s="273"/>
      <c r="L281" s="438" t="e">
        <f t="shared" si="5"/>
        <v>#N/A</v>
      </c>
      <c r="M281" s="273"/>
      <c r="N281" s="438">
        <v>233435.36974789918</v>
      </c>
      <c r="O281" s="273"/>
      <c r="P281" s="439">
        <f t="shared" si="4"/>
        <v>277788.09000000003</v>
      </c>
      <c r="Q281" s="273"/>
      <c r="R281">
        <f>presup!M$368</f>
        <v>0</v>
      </c>
    </row>
    <row r="282" spans="1:18" ht="13.5" customHeight="1" x14ac:dyDescent="0.25">
      <c r="A282" s="108" t="s">
        <v>2115</v>
      </c>
      <c r="B282" s="112">
        <v>45061</v>
      </c>
      <c r="C282" s="462" t="s">
        <v>1336</v>
      </c>
      <c r="D282" s="463"/>
      <c r="E282" s="463"/>
      <c r="F282" s="463"/>
      <c r="G282" s="463"/>
      <c r="H282" s="446"/>
      <c r="I282" s="26" t="s">
        <v>502</v>
      </c>
      <c r="J282" s="440">
        <f>+consolidado!M73</f>
        <v>238499.42202499998</v>
      </c>
      <c r="K282" s="273"/>
      <c r="L282" s="438" t="e">
        <f t="shared" si="5"/>
        <v>#N/A</v>
      </c>
      <c r="M282" s="273"/>
      <c r="N282" s="438">
        <v>100789.60504201682</v>
      </c>
      <c r="O282" s="273"/>
      <c r="P282" s="439">
        <f t="shared" si="4"/>
        <v>238499.42202499998</v>
      </c>
      <c r="Q282" s="273"/>
      <c r="R282">
        <f>presup!M$368</f>
        <v>0</v>
      </c>
    </row>
    <row r="283" spans="1:18" ht="27" customHeight="1" x14ac:dyDescent="0.25">
      <c r="A283" s="108" t="s">
        <v>2116</v>
      </c>
      <c r="B283" s="112">
        <v>45061</v>
      </c>
      <c r="C283" s="462" t="s">
        <v>1339</v>
      </c>
      <c r="D283" s="463"/>
      <c r="E283" s="463"/>
      <c r="F283" s="463"/>
      <c r="G283" s="463"/>
      <c r="H283" s="446"/>
      <c r="I283" s="26" t="s">
        <v>502</v>
      </c>
      <c r="J283" s="440">
        <f>+unitario!$F$2313</f>
        <v>1740807.4441766667</v>
      </c>
      <c r="K283" s="273"/>
      <c r="L283" s="438" t="e">
        <f t="shared" si="5"/>
        <v>#N/A</v>
      </c>
      <c r="M283" s="273"/>
      <c r="N283" s="438">
        <v>1058474.0588235294</v>
      </c>
      <c r="O283" s="273"/>
      <c r="P283" s="439">
        <f t="shared" si="4"/>
        <v>1740807.4441766667</v>
      </c>
      <c r="Q283" s="273"/>
      <c r="R283">
        <f>presup!M$368</f>
        <v>0</v>
      </c>
    </row>
    <row r="284" spans="1:18" ht="13.5" customHeight="1" x14ac:dyDescent="0.25">
      <c r="A284" s="116" t="s">
        <v>2117</v>
      </c>
      <c r="B284" s="112">
        <v>45061</v>
      </c>
      <c r="C284" s="462" t="s">
        <v>1368</v>
      </c>
      <c r="D284" s="463"/>
      <c r="E284" s="463"/>
      <c r="F284" s="463"/>
      <c r="G284" s="463"/>
      <c r="H284" s="446"/>
      <c r="I284" s="26" t="s">
        <v>1382</v>
      </c>
      <c r="J284" s="440">
        <v>27478800</v>
      </c>
      <c r="K284" s="273"/>
      <c r="L284" s="438" t="e">
        <f t="shared" si="5"/>
        <v>#N/A</v>
      </c>
      <c r="M284" s="273"/>
      <c r="N284" s="438">
        <v>23091428.571428571</v>
      </c>
      <c r="O284" s="273"/>
      <c r="P284" s="439">
        <f t="shared" si="4"/>
        <v>27478800</v>
      </c>
      <c r="Q284" s="273"/>
      <c r="R284">
        <f>presup!M$368</f>
        <v>0</v>
      </c>
    </row>
    <row r="285" spans="1:18" ht="13.5" customHeight="1" x14ac:dyDescent="0.25">
      <c r="A285" s="116" t="s">
        <v>2118</v>
      </c>
      <c r="B285" s="112">
        <v>45061</v>
      </c>
      <c r="C285" s="462" t="s">
        <v>1369</v>
      </c>
      <c r="D285" s="463"/>
      <c r="E285" s="463"/>
      <c r="F285" s="463"/>
      <c r="G285" s="463"/>
      <c r="H285" s="446"/>
      <c r="I285" s="26" t="s">
        <v>502</v>
      </c>
      <c r="J285" s="440">
        <v>1875</v>
      </c>
      <c r="K285" s="273"/>
      <c r="L285" s="438" t="e">
        <f t="shared" si="5"/>
        <v>#N/A</v>
      </c>
      <c r="M285" s="273"/>
      <c r="N285" s="438">
        <v>1575.6302521008404</v>
      </c>
      <c r="O285" s="273"/>
      <c r="P285" s="439">
        <f t="shared" si="4"/>
        <v>1875</v>
      </c>
      <c r="Q285" s="273"/>
      <c r="R285">
        <f>presup!M$368</f>
        <v>0</v>
      </c>
    </row>
    <row r="286" spans="1:18" ht="13.5" customHeight="1" x14ac:dyDescent="0.25">
      <c r="A286" s="108" t="s">
        <v>2119</v>
      </c>
      <c r="B286" s="112">
        <v>45061</v>
      </c>
      <c r="C286" s="462" t="s">
        <v>1341</v>
      </c>
      <c r="D286" s="463"/>
      <c r="E286" s="463"/>
      <c r="F286" s="463"/>
      <c r="G286" s="463"/>
      <c r="H286" s="446"/>
      <c r="I286" s="26" t="s">
        <v>502</v>
      </c>
      <c r="J286" s="440">
        <f>+unitario!F8269</f>
        <v>289509.73813000001</v>
      </c>
      <c r="K286" s="273"/>
      <c r="L286" s="438" t="e">
        <f t="shared" si="5"/>
        <v>#N/A</v>
      </c>
      <c r="M286" s="273"/>
      <c r="N286" s="438">
        <v>191033.94957983194</v>
      </c>
      <c r="O286" s="273"/>
      <c r="P286" s="439">
        <f t="shared" si="4"/>
        <v>289509.73813000001</v>
      </c>
      <c r="Q286" s="273"/>
      <c r="R286">
        <f>presup!M$368</f>
        <v>0</v>
      </c>
    </row>
    <row r="287" spans="1:18" ht="13.5" customHeight="1" x14ac:dyDescent="0.25">
      <c r="A287" s="108" t="s">
        <v>2120</v>
      </c>
      <c r="B287" s="112">
        <v>45061</v>
      </c>
      <c r="C287" s="462" t="s">
        <v>1342</v>
      </c>
      <c r="D287" s="463"/>
      <c r="E287" s="463"/>
      <c r="F287" s="463"/>
      <c r="G287" s="463"/>
      <c r="H287" s="446"/>
      <c r="I287" s="26" t="s">
        <v>502</v>
      </c>
      <c r="J287" s="440">
        <f>+unitario!$F$8311</f>
        <v>735440.60118459305</v>
      </c>
      <c r="K287" s="273"/>
      <c r="L287" s="438" t="e">
        <f t="shared" si="5"/>
        <v>#N/A</v>
      </c>
      <c r="M287" s="273"/>
      <c r="N287" s="438">
        <v>620245.50420168077</v>
      </c>
      <c r="O287" s="273"/>
      <c r="P287" s="439">
        <f t="shared" si="4"/>
        <v>735440.60118459305</v>
      </c>
      <c r="Q287" s="273"/>
      <c r="R287">
        <f>presup!M$368</f>
        <v>0</v>
      </c>
    </row>
    <row r="288" spans="1:18" ht="13.5" customHeight="1" x14ac:dyDescent="0.25">
      <c r="A288" s="108" t="s">
        <v>2121</v>
      </c>
      <c r="B288" s="112">
        <v>45061</v>
      </c>
      <c r="C288" s="462" t="s">
        <v>1356</v>
      </c>
      <c r="D288" s="463"/>
      <c r="E288" s="463"/>
      <c r="F288" s="463"/>
      <c r="G288" s="463"/>
      <c r="H288" s="446"/>
      <c r="I288" s="26" t="s">
        <v>502</v>
      </c>
      <c r="J288" s="440">
        <v>12360</v>
      </c>
      <c r="K288" s="273"/>
      <c r="L288" s="438" t="e">
        <f t="shared" si="5"/>
        <v>#N/A</v>
      </c>
      <c r="M288" s="273"/>
      <c r="N288" s="438">
        <v>10386.55462184874</v>
      </c>
      <c r="O288" s="273"/>
      <c r="P288" s="439">
        <f t="shared" si="4"/>
        <v>12360</v>
      </c>
      <c r="Q288" s="273"/>
      <c r="R288">
        <f>presup!M$368</f>
        <v>0</v>
      </c>
    </row>
    <row r="289" spans="1:18" ht="13.5" customHeight="1" x14ac:dyDescent="0.25">
      <c r="A289" s="108" t="s">
        <v>2122</v>
      </c>
      <c r="B289" s="112">
        <v>45061</v>
      </c>
      <c r="C289" s="462" t="s">
        <v>1357</v>
      </c>
      <c r="D289" s="463"/>
      <c r="E289" s="463"/>
      <c r="F289" s="463"/>
      <c r="G289" s="463"/>
      <c r="H289" s="446"/>
      <c r="I289" s="26" t="s">
        <v>502</v>
      </c>
      <c r="J289" s="440">
        <v>14900</v>
      </c>
      <c r="K289" s="273"/>
      <c r="L289" s="438" t="e">
        <f t="shared" si="5"/>
        <v>#N/A</v>
      </c>
      <c r="M289" s="273"/>
      <c r="N289" s="438">
        <v>12521.008403361346</v>
      </c>
      <c r="O289" s="273"/>
      <c r="P289" s="439">
        <f t="shared" si="4"/>
        <v>14900</v>
      </c>
      <c r="Q289" s="273"/>
      <c r="R289">
        <f>presup!M$368</f>
        <v>0</v>
      </c>
    </row>
    <row r="290" spans="1:18" ht="13.5" customHeight="1" x14ac:dyDescent="0.25">
      <c r="A290" s="116" t="s">
        <v>2123</v>
      </c>
      <c r="B290" s="112">
        <v>45062</v>
      </c>
      <c r="C290" s="462" t="s">
        <v>1373</v>
      </c>
      <c r="D290" s="463"/>
      <c r="E290" s="463"/>
      <c r="F290" s="463"/>
      <c r="G290" s="463"/>
      <c r="H290" s="446"/>
      <c r="I290" s="26" t="s">
        <v>21</v>
      </c>
      <c r="J290" s="440">
        <v>24900</v>
      </c>
      <c r="K290" s="273"/>
      <c r="L290" s="438" t="e">
        <f t="shared" si="5"/>
        <v>#N/A</v>
      </c>
      <c r="M290" s="273"/>
      <c r="N290" s="438">
        <v>20924.36974789916</v>
      </c>
      <c r="O290" s="273"/>
      <c r="P290" s="439">
        <f t="shared" si="4"/>
        <v>24900</v>
      </c>
      <c r="Q290" s="273"/>
      <c r="R290">
        <f>presup!M$368</f>
        <v>0</v>
      </c>
    </row>
    <row r="291" spans="1:18" ht="13.5" customHeight="1" x14ac:dyDescent="0.25">
      <c r="A291" s="116" t="s">
        <v>2124</v>
      </c>
      <c r="B291" s="112">
        <v>45062</v>
      </c>
      <c r="C291" s="462" t="s">
        <v>1375</v>
      </c>
      <c r="D291" s="463"/>
      <c r="E291" s="463"/>
      <c r="F291" s="463"/>
      <c r="G291" s="463"/>
      <c r="H291" s="446"/>
      <c r="I291" s="26" t="s">
        <v>502</v>
      </c>
      <c r="J291" s="440">
        <v>11900</v>
      </c>
      <c r="K291" s="273"/>
      <c r="L291" s="438" t="e">
        <f t="shared" si="5"/>
        <v>#N/A</v>
      </c>
      <c r="M291" s="273"/>
      <c r="N291" s="438">
        <v>10000</v>
      </c>
      <c r="O291" s="273"/>
      <c r="P291" s="439">
        <f t="shared" si="4"/>
        <v>11900</v>
      </c>
      <c r="Q291" s="273"/>
      <c r="R291">
        <f>presup!M$368</f>
        <v>0</v>
      </c>
    </row>
    <row r="292" spans="1:18" ht="13.5" customHeight="1" x14ac:dyDescent="0.25">
      <c r="A292" s="116" t="s">
        <v>2125</v>
      </c>
      <c r="B292" s="112">
        <v>45062</v>
      </c>
      <c r="C292" s="365" t="s">
        <v>2126</v>
      </c>
      <c r="D292" s="271"/>
      <c r="E292" s="271"/>
      <c r="F292" s="271"/>
      <c r="G292" s="271"/>
      <c r="H292" s="273"/>
      <c r="I292" s="26" t="s">
        <v>502</v>
      </c>
      <c r="J292" s="440">
        <v>15900</v>
      </c>
      <c r="K292" s="273"/>
      <c r="L292" s="438" t="e">
        <f t="shared" si="5"/>
        <v>#N/A</v>
      </c>
      <c r="M292" s="273"/>
      <c r="N292" s="438">
        <v>13361.344537815126</v>
      </c>
      <c r="O292" s="273"/>
      <c r="P292" s="439">
        <f t="shared" si="4"/>
        <v>15900</v>
      </c>
      <c r="Q292" s="273"/>
      <c r="R292">
        <f>presup!M$368</f>
        <v>0</v>
      </c>
    </row>
    <row r="293" spans="1:18" ht="13.5" customHeight="1" x14ac:dyDescent="0.25">
      <c r="A293" s="116" t="s">
        <v>2127</v>
      </c>
      <c r="B293" s="112">
        <v>45065</v>
      </c>
      <c r="C293" s="462" t="s">
        <v>1374</v>
      </c>
      <c r="D293" s="463"/>
      <c r="E293" s="463"/>
      <c r="F293" s="463"/>
      <c r="G293" s="463"/>
      <c r="H293" s="446"/>
      <c r="I293" s="26" t="s">
        <v>502</v>
      </c>
      <c r="J293" s="440">
        <v>32900</v>
      </c>
      <c r="K293" s="273"/>
      <c r="L293" s="438" t="e">
        <f t="shared" si="5"/>
        <v>#N/A</v>
      </c>
      <c r="M293" s="273"/>
      <c r="N293" s="438">
        <v>27647.058823529413</v>
      </c>
      <c r="O293" s="273"/>
      <c r="P293" s="439">
        <f t="shared" si="4"/>
        <v>32900</v>
      </c>
      <c r="Q293" s="273"/>
      <c r="R293">
        <f>presup!M$368</f>
        <v>0</v>
      </c>
    </row>
    <row r="294" spans="1:18" ht="13.5" customHeight="1" x14ac:dyDescent="0.25">
      <c r="A294" s="108" t="s">
        <v>2128</v>
      </c>
      <c r="B294" s="112">
        <v>45062</v>
      </c>
      <c r="C294" s="462" t="s">
        <v>1353</v>
      </c>
      <c r="D294" s="463"/>
      <c r="E294" s="463"/>
      <c r="F294" s="463"/>
      <c r="G294" s="463"/>
      <c r="H294" s="446"/>
      <c r="I294" s="26" t="s">
        <v>502</v>
      </c>
      <c r="J294" s="440">
        <f>+unitario!F8356</f>
        <v>24472.486979166668</v>
      </c>
      <c r="K294" s="273"/>
      <c r="L294" s="438" t="e">
        <f t="shared" si="5"/>
        <v>#N/A</v>
      </c>
      <c r="M294" s="273"/>
      <c r="N294" s="438">
        <v>20558.862851781338</v>
      </c>
      <c r="O294" s="273"/>
      <c r="P294" s="439">
        <f t="shared" si="4"/>
        <v>24472.486979166668</v>
      </c>
      <c r="Q294" s="273"/>
      <c r="R294">
        <f>presup!M$368</f>
        <v>0</v>
      </c>
    </row>
    <row r="295" spans="1:18" ht="13.5" customHeight="1" x14ac:dyDescent="0.25">
      <c r="A295" s="116" t="s">
        <v>2129</v>
      </c>
      <c r="B295" s="112">
        <v>45062</v>
      </c>
      <c r="C295" s="365" t="s">
        <v>16</v>
      </c>
      <c r="D295" s="271"/>
      <c r="E295" s="271"/>
      <c r="F295" s="271"/>
      <c r="G295" s="271"/>
      <c r="H295" s="273"/>
      <c r="I295" s="26" t="s">
        <v>1382</v>
      </c>
      <c r="J295" s="440">
        <v>71340.98</v>
      </c>
      <c r="K295" s="273"/>
      <c r="L295" s="438" t="e">
        <f t="shared" si="5"/>
        <v>#N/A</v>
      </c>
      <c r="M295" s="273"/>
      <c r="N295" s="438">
        <v>59950.403361344535</v>
      </c>
      <c r="O295" s="273"/>
      <c r="P295" s="439">
        <f t="shared" si="4"/>
        <v>71340.98</v>
      </c>
      <c r="Q295" s="273"/>
      <c r="R295">
        <f>presup!M$368</f>
        <v>0</v>
      </c>
    </row>
    <row r="296" spans="1:18" ht="13.5" customHeight="1" x14ac:dyDescent="0.25">
      <c r="A296" s="116" t="s">
        <v>2130</v>
      </c>
      <c r="B296" s="112">
        <v>45062</v>
      </c>
      <c r="C296" s="365" t="s">
        <v>2131</v>
      </c>
      <c r="D296" s="271"/>
      <c r="E296" s="271"/>
      <c r="F296" s="271"/>
      <c r="G296" s="271"/>
      <c r="H296" s="273"/>
      <c r="I296" s="26" t="s">
        <v>502</v>
      </c>
      <c r="J296" s="440">
        <v>87000</v>
      </c>
      <c r="K296" s="273"/>
      <c r="L296" s="438" t="e">
        <f t="shared" si="5"/>
        <v>#N/A</v>
      </c>
      <c r="M296" s="273"/>
      <c r="N296" s="438">
        <v>73109.243697478989</v>
      </c>
      <c r="O296" s="273"/>
      <c r="P296" s="439">
        <f t="shared" si="4"/>
        <v>87000</v>
      </c>
      <c r="Q296" s="273"/>
      <c r="R296">
        <f>presup!M$368</f>
        <v>0</v>
      </c>
    </row>
    <row r="297" spans="1:18" ht="13.5" customHeight="1" x14ac:dyDescent="0.25">
      <c r="A297" s="108" t="s">
        <v>2132</v>
      </c>
      <c r="B297" s="112">
        <v>45062</v>
      </c>
      <c r="C297" s="365" t="s">
        <v>2133</v>
      </c>
      <c r="D297" s="271"/>
      <c r="E297" s="271"/>
      <c r="F297" s="271"/>
      <c r="G297" s="271"/>
      <c r="H297" s="273"/>
      <c r="I297" s="26" t="s">
        <v>502</v>
      </c>
      <c r="J297" s="440">
        <v>149000</v>
      </c>
      <c r="K297" s="273"/>
      <c r="L297" s="438" t="e">
        <f t="shared" si="5"/>
        <v>#N/A</v>
      </c>
      <c r="M297" s="273"/>
      <c r="N297" s="438">
        <v>125210.08403361346</v>
      </c>
      <c r="O297" s="273"/>
      <c r="P297" s="439">
        <f t="shared" si="4"/>
        <v>149000</v>
      </c>
      <c r="Q297" s="273"/>
      <c r="R297">
        <f>presup!M$368</f>
        <v>0</v>
      </c>
    </row>
    <row r="298" spans="1:18" ht="13.5" customHeight="1" x14ac:dyDescent="0.25">
      <c r="A298" s="116" t="s">
        <v>2134</v>
      </c>
      <c r="B298" s="112">
        <v>45062</v>
      </c>
      <c r="C298" s="365" t="s">
        <v>2135</v>
      </c>
      <c r="D298" s="271"/>
      <c r="E298" s="271"/>
      <c r="F298" s="271"/>
      <c r="G298" s="271"/>
      <c r="H298" s="273"/>
      <c r="I298" s="26" t="s">
        <v>502</v>
      </c>
      <c r="J298" s="440">
        <v>201000</v>
      </c>
      <c r="K298" s="273"/>
      <c r="L298" s="438" t="e">
        <f t="shared" si="5"/>
        <v>#N/A</v>
      </c>
      <c r="M298" s="273"/>
      <c r="N298" s="438">
        <v>168907.56302521008</v>
      </c>
      <c r="O298" s="273"/>
      <c r="P298" s="439">
        <f t="shared" si="4"/>
        <v>201000</v>
      </c>
      <c r="Q298" s="273"/>
      <c r="R298">
        <f>presup!M$368</f>
        <v>0</v>
      </c>
    </row>
    <row r="299" spans="1:18" ht="13.5" customHeight="1" x14ac:dyDescent="0.25">
      <c r="A299" s="116" t="s">
        <v>2136</v>
      </c>
      <c r="B299" s="112">
        <v>45062</v>
      </c>
      <c r="C299" s="365" t="s">
        <v>1431</v>
      </c>
      <c r="D299" s="271"/>
      <c r="E299" s="271"/>
      <c r="F299" s="271"/>
      <c r="G299" s="271"/>
      <c r="H299" s="273"/>
      <c r="I299" s="26" t="s">
        <v>502</v>
      </c>
      <c r="J299" s="440">
        <v>90000</v>
      </c>
      <c r="K299" s="273"/>
      <c r="L299" s="438" t="e">
        <f t="shared" si="5"/>
        <v>#N/A</v>
      </c>
      <c r="M299" s="273"/>
      <c r="N299" s="438">
        <v>75630.252100840342</v>
      </c>
      <c r="O299" s="273"/>
      <c r="P299" s="439">
        <f t="shared" si="4"/>
        <v>90000</v>
      </c>
      <c r="Q299" s="273"/>
      <c r="R299">
        <f>presup!M$368</f>
        <v>0</v>
      </c>
    </row>
    <row r="300" spans="1:18" ht="13.5" customHeight="1" x14ac:dyDescent="0.25">
      <c r="A300" s="108" t="s">
        <v>2137</v>
      </c>
      <c r="B300" s="112">
        <v>45062</v>
      </c>
      <c r="C300" s="372" t="s">
        <v>1432</v>
      </c>
      <c r="D300" s="373"/>
      <c r="E300" s="373"/>
      <c r="F300" s="373"/>
      <c r="G300" s="373"/>
      <c r="H300" s="361"/>
      <c r="I300" s="258" t="s">
        <v>502</v>
      </c>
      <c r="J300" s="441">
        <v>180000</v>
      </c>
      <c r="K300" s="361"/>
      <c r="L300" s="438" t="e">
        <f t="shared" si="5"/>
        <v>#N/A</v>
      </c>
      <c r="M300" s="273"/>
      <c r="N300" s="438">
        <v>125210.08403361346</v>
      </c>
      <c r="O300" s="273"/>
      <c r="P300" s="439">
        <f t="shared" si="4"/>
        <v>180000</v>
      </c>
      <c r="Q300" s="273"/>
      <c r="R300">
        <f>presup!M$368</f>
        <v>0</v>
      </c>
    </row>
    <row r="301" spans="1:18" ht="13.5" customHeight="1" x14ac:dyDescent="0.25">
      <c r="A301" s="116" t="s">
        <v>2138</v>
      </c>
      <c r="B301" s="112">
        <v>45062</v>
      </c>
      <c r="C301" s="365" t="s">
        <v>1434</v>
      </c>
      <c r="D301" s="271"/>
      <c r="E301" s="271"/>
      <c r="F301" s="271"/>
      <c r="G301" s="271"/>
      <c r="H301" s="273"/>
      <c r="I301" s="26" t="s">
        <v>502</v>
      </c>
      <c r="J301" s="440">
        <v>211000</v>
      </c>
      <c r="K301" s="273"/>
      <c r="L301" s="438" t="e">
        <f t="shared" si="5"/>
        <v>#N/A</v>
      </c>
      <c r="M301" s="273"/>
      <c r="N301" s="438">
        <v>177310.9243697479</v>
      </c>
      <c r="O301" s="273"/>
      <c r="P301" s="439">
        <f t="shared" si="4"/>
        <v>211000</v>
      </c>
      <c r="Q301" s="273"/>
      <c r="R301">
        <f>presup!M$368</f>
        <v>0</v>
      </c>
    </row>
    <row r="302" spans="1:18" ht="13.5" customHeight="1" x14ac:dyDescent="0.25">
      <c r="A302" s="116" t="s">
        <v>2139</v>
      </c>
      <c r="B302" s="112">
        <v>45062</v>
      </c>
      <c r="C302" s="365" t="s">
        <v>1436</v>
      </c>
      <c r="D302" s="271"/>
      <c r="E302" s="271"/>
      <c r="F302" s="271"/>
      <c r="G302" s="271"/>
      <c r="H302" s="273"/>
      <c r="I302" s="26" t="s">
        <v>502</v>
      </c>
      <c r="J302" s="440">
        <v>104000</v>
      </c>
      <c r="K302" s="273"/>
      <c r="L302" s="438" t="e">
        <f t="shared" si="5"/>
        <v>#N/A</v>
      </c>
      <c r="M302" s="273"/>
      <c r="N302" s="438">
        <v>87394.957983193279</v>
      </c>
      <c r="O302" s="273"/>
      <c r="P302" s="439">
        <f t="shared" si="4"/>
        <v>104000</v>
      </c>
      <c r="Q302" s="273"/>
      <c r="R302">
        <f>presup!M$368</f>
        <v>0</v>
      </c>
    </row>
    <row r="303" spans="1:18" ht="13.5" customHeight="1" x14ac:dyDescent="0.25">
      <c r="A303" s="108" t="s">
        <v>2140</v>
      </c>
      <c r="B303" s="112">
        <v>45062</v>
      </c>
      <c r="C303" s="365" t="s">
        <v>1437</v>
      </c>
      <c r="D303" s="271"/>
      <c r="E303" s="271"/>
      <c r="F303" s="271"/>
      <c r="G303" s="271"/>
      <c r="H303" s="273"/>
      <c r="I303" s="26" t="s">
        <v>502</v>
      </c>
      <c r="J303" s="440">
        <v>149000</v>
      </c>
      <c r="K303" s="273"/>
      <c r="L303" s="438" t="e">
        <f t="shared" si="5"/>
        <v>#N/A</v>
      </c>
      <c r="M303" s="273"/>
      <c r="N303" s="438">
        <v>125210.08403361346</v>
      </c>
      <c r="O303" s="273"/>
      <c r="P303" s="439">
        <f t="shared" si="4"/>
        <v>149000</v>
      </c>
      <c r="Q303" s="273"/>
      <c r="R303">
        <f>presup!M$368</f>
        <v>0</v>
      </c>
    </row>
    <row r="304" spans="1:18" ht="13.5" customHeight="1" x14ac:dyDescent="0.25">
      <c r="A304" s="116" t="s">
        <v>2141</v>
      </c>
      <c r="B304" s="112">
        <v>45062</v>
      </c>
      <c r="C304" s="365" t="s">
        <v>1439</v>
      </c>
      <c r="D304" s="271"/>
      <c r="E304" s="271"/>
      <c r="F304" s="271"/>
      <c r="G304" s="271"/>
      <c r="H304" s="273"/>
      <c r="I304" s="26" t="s">
        <v>502</v>
      </c>
      <c r="J304" s="440">
        <v>211000</v>
      </c>
      <c r="K304" s="273"/>
      <c r="L304" s="438" t="e">
        <f t="shared" si="5"/>
        <v>#N/A</v>
      </c>
      <c r="M304" s="273"/>
      <c r="N304" s="438">
        <v>177310.9243697479</v>
      </c>
      <c r="O304" s="273"/>
      <c r="P304" s="439">
        <f t="shared" si="4"/>
        <v>211000</v>
      </c>
      <c r="Q304" s="273"/>
      <c r="R304">
        <f>presup!M$368</f>
        <v>0</v>
      </c>
    </row>
    <row r="305" spans="1:18" ht="13.5" customHeight="1" x14ac:dyDescent="0.25">
      <c r="A305" s="116" t="s">
        <v>2142</v>
      </c>
      <c r="B305" s="112">
        <v>45062</v>
      </c>
      <c r="C305" s="365" t="s">
        <v>1441</v>
      </c>
      <c r="D305" s="271"/>
      <c r="E305" s="271"/>
      <c r="F305" s="271"/>
      <c r="G305" s="271"/>
      <c r="H305" s="273"/>
      <c r="I305" s="26" t="s">
        <v>502</v>
      </c>
      <c r="J305" s="440">
        <v>111000</v>
      </c>
      <c r="K305" s="273"/>
      <c r="L305" s="438" t="e">
        <f t="shared" si="5"/>
        <v>#N/A</v>
      </c>
      <c r="M305" s="273"/>
      <c r="N305" s="438">
        <v>93277.310924369755</v>
      </c>
      <c r="O305" s="273"/>
      <c r="P305" s="439">
        <f t="shared" si="4"/>
        <v>111000</v>
      </c>
      <c r="Q305" s="273"/>
      <c r="R305">
        <f>presup!M$368</f>
        <v>0</v>
      </c>
    </row>
    <row r="306" spans="1:18" ht="13.5" customHeight="1" x14ac:dyDescent="0.25">
      <c r="A306" s="108" t="s">
        <v>2143</v>
      </c>
      <c r="B306" s="112">
        <v>45062</v>
      </c>
      <c r="C306" s="372" t="s">
        <v>1442</v>
      </c>
      <c r="D306" s="373"/>
      <c r="E306" s="373"/>
      <c r="F306" s="373"/>
      <c r="G306" s="373"/>
      <c r="H306" s="361"/>
      <c r="I306" s="258" t="s">
        <v>502</v>
      </c>
      <c r="J306" s="441">
        <v>204000</v>
      </c>
      <c r="K306" s="361"/>
      <c r="L306" s="438" t="e">
        <f t="shared" si="5"/>
        <v>#N/A</v>
      </c>
      <c r="M306" s="273"/>
      <c r="N306" s="438">
        <v>131092.43697478992</v>
      </c>
      <c r="O306" s="273"/>
      <c r="P306" s="439">
        <f t="shared" si="4"/>
        <v>204000</v>
      </c>
      <c r="Q306" s="273"/>
      <c r="R306">
        <f>presup!M$368</f>
        <v>0</v>
      </c>
    </row>
    <row r="307" spans="1:18" ht="13.5" customHeight="1" x14ac:dyDescent="0.25">
      <c r="A307" s="116" t="s">
        <v>2144</v>
      </c>
      <c r="B307" s="112">
        <v>45062</v>
      </c>
      <c r="C307" s="365" t="s">
        <v>1444</v>
      </c>
      <c r="D307" s="271"/>
      <c r="E307" s="271"/>
      <c r="F307" s="271"/>
      <c r="G307" s="271"/>
      <c r="H307" s="273"/>
      <c r="I307" s="26" t="s">
        <v>502</v>
      </c>
      <c r="J307" s="440">
        <v>291000</v>
      </c>
      <c r="K307" s="273"/>
      <c r="L307" s="438" t="e">
        <f t="shared" si="5"/>
        <v>#N/A</v>
      </c>
      <c r="M307" s="273"/>
      <c r="N307" s="438">
        <v>244537.81512605044</v>
      </c>
      <c r="O307" s="273"/>
      <c r="P307" s="439">
        <f t="shared" si="4"/>
        <v>291000</v>
      </c>
      <c r="Q307" s="273"/>
      <c r="R307">
        <f>presup!M$368</f>
        <v>0</v>
      </c>
    </row>
    <row r="308" spans="1:18" ht="13.5" customHeight="1" x14ac:dyDescent="0.25">
      <c r="A308" s="116" t="s">
        <v>2145</v>
      </c>
      <c r="B308" s="112">
        <v>45063</v>
      </c>
      <c r="C308" s="365" t="s">
        <v>1446</v>
      </c>
      <c r="D308" s="271"/>
      <c r="E308" s="271"/>
      <c r="F308" s="271"/>
      <c r="G308" s="271"/>
      <c r="H308" s="273"/>
      <c r="I308" s="26" t="s">
        <v>502</v>
      </c>
      <c r="J308" s="440">
        <v>127000</v>
      </c>
      <c r="K308" s="273"/>
      <c r="L308" s="438" t="e">
        <f t="shared" si="5"/>
        <v>#N/A</v>
      </c>
      <c r="M308" s="273"/>
      <c r="N308" s="438">
        <v>106722.68907563026</v>
      </c>
      <c r="O308" s="273"/>
      <c r="P308" s="439">
        <f t="shared" si="4"/>
        <v>127000</v>
      </c>
      <c r="Q308" s="273"/>
      <c r="R308">
        <f>presup!M$368</f>
        <v>0</v>
      </c>
    </row>
    <row r="309" spans="1:18" ht="13.5" customHeight="1" x14ac:dyDescent="0.25">
      <c r="A309" s="108" t="s">
        <v>2146</v>
      </c>
      <c r="B309" s="112">
        <v>45063</v>
      </c>
      <c r="C309" s="372" t="s">
        <v>1447</v>
      </c>
      <c r="D309" s="373"/>
      <c r="E309" s="373"/>
      <c r="F309" s="373"/>
      <c r="G309" s="373"/>
      <c r="H309" s="361"/>
      <c r="I309" s="258" t="s">
        <v>502</v>
      </c>
      <c r="J309" s="441">
        <v>277000</v>
      </c>
      <c r="K309" s="361"/>
      <c r="L309" s="438" t="e">
        <f t="shared" si="5"/>
        <v>#N/A</v>
      </c>
      <c r="M309" s="273"/>
      <c r="N309" s="438">
        <v>190756.30252100842</v>
      </c>
      <c r="O309" s="273"/>
      <c r="P309" s="439">
        <f t="shared" si="4"/>
        <v>277000</v>
      </c>
      <c r="Q309" s="273"/>
      <c r="R309">
        <f>presup!M$368</f>
        <v>0</v>
      </c>
    </row>
    <row r="310" spans="1:18" ht="13.5" customHeight="1" x14ac:dyDescent="0.25">
      <c r="A310" s="116" t="s">
        <v>2147</v>
      </c>
      <c r="B310" s="112">
        <v>45063</v>
      </c>
      <c r="C310" s="372" t="s">
        <v>1449</v>
      </c>
      <c r="D310" s="373"/>
      <c r="E310" s="373"/>
      <c r="F310" s="373"/>
      <c r="G310" s="373"/>
      <c r="H310" s="361"/>
      <c r="I310" s="26" t="s">
        <v>502</v>
      </c>
      <c r="J310" s="441">
        <v>460000</v>
      </c>
      <c r="K310" s="361"/>
      <c r="L310" s="438" t="e">
        <f t="shared" si="5"/>
        <v>#N/A</v>
      </c>
      <c r="M310" s="273"/>
      <c r="N310" s="438">
        <v>317647.0588235294</v>
      </c>
      <c r="O310" s="273"/>
      <c r="P310" s="439">
        <f t="shared" si="4"/>
        <v>460000</v>
      </c>
      <c r="Q310" s="273"/>
      <c r="R310">
        <f>presup!M$368</f>
        <v>0</v>
      </c>
    </row>
    <row r="311" spans="1:18" ht="13.5" customHeight="1" x14ac:dyDescent="0.25">
      <c r="A311" s="108" t="s">
        <v>2148</v>
      </c>
      <c r="B311" s="112">
        <v>45063</v>
      </c>
      <c r="C311" s="462" t="s">
        <v>1451</v>
      </c>
      <c r="D311" s="463"/>
      <c r="E311" s="463"/>
      <c r="F311" s="463"/>
      <c r="G311" s="463"/>
      <c r="H311" s="446"/>
      <c r="I311" s="26" t="s">
        <v>502</v>
      </c>
      <c r="J311" s="440">
        <v>253000</v>
      </c>
      <c r="K311" s="273"/>
      <c r="L311" s="438" t="e">
        <f t="shared" si="5"/>
        <v>#N/A</v>
      </c>
      <c r="M311" s="273"/>
      <c r="N311" s="438">
        <v>212605.04201680672</v>
      </c>
      <c r="O311" s="273"/>
      <c r="P311" s="439">
        <f t="shared" si="4"/>
        <v>253000</v>
      </c>
      <c r="Q311" s="273"/>
      <c r="R311">
        <f>presup!M$368</f>
        <v>0</v>
      </c>
    </row>
    <row r="312" spans="1:18" ht="13.5" customHeight="1" x14ac:dyDescent="0.25">
      <c r="A312" s="108" t="s">
        <v>2149</v>
      </c>
      <c r="B312" s="112">
        <v>45063</v>
      </c>
      <c r="C312" s="365" t="s">
        <v>2150</v>
      </c>
      <c r="D312" s="271"/>
      <c r="E312" s="271"/>
      <c r="F312" s="271"/>
      <c r="G312" s="271"/>
      <c r="H312" s="273"/>
      <c r="I312" s="26" t="s">
        <v>502</v>
      </c>
      <c r="J312" s="440">
        <v>460000</v>
      </c>
      <c r="K312" s="273"/>
      <c r="L312" s="438" t="e">
        <f t="shared" si="5"/>
        <v>#N/A</v>
      </c>
      <c r="M312" s="273"/>
      <c r="N312" s="438">
        <v>386554.62184873951</v>
      </c>
      <c r="O312" s="273"/>
      <c r="P312" s="439">
        <f t="shared" si="4"/>
        <v>460000</v>
      </c>
      <c r="Q312" s="273"/>
      <c r="R312">
        <f>presup!M$368</f>
        <v>0</v>
      </c>
    </row>
    <row r="313" spans="1:18" ht="13.5" customHeight="1" x14ac:dyDescent="0.25">
      <c r="A313" s="108" t="s">
        <v>2151</v>
      </c>
      <c r="B313" s="112">
        <v>45063</v>
      </c>
      <c r="C313" s="365" t="s">
        <v>2152</v>
      </c>
      <c r="D313" s="271"/>
      <c r="E313" s="271"/>
      <c r="F313" s="271"/>
      <c r="G313" s="271"/>
      <c r="H313" s="273"/>
      <c r="I313" s="26" t="s">
        <v>1815</v>
      </c>
      <c r="J313" s="440">
        <v>33300</v>
      </c>
      <c r="K313" s="273"/>
      <c r="L313" s="438" t="e">
        <f t="shared" si="5"/>
        <v>#N/A</v>
      </c>
      <c r="M313" s="273"/>
      <c r="N313" s="438">
        <v>27983.193277310926</v>
      </c>
      <c r="O313" s="273"/>
      <c r="P313" s="439">
        <f t="shared" si="4"/>
        <v>33300</v>
      </c>
      <c r="Q313" s="273"/>
      <c r="R313">
        <f>presup!M$368</f>
        <v>0</v>
      </c>
    </row>
    <row r="314" spans="1:18" ht="13.5" customHeight="1" x14ac:dyDescent="0.25">
      <c r="A314" s="116" t="s">
        <v>2153</v>
      </c>
      <c r="B314" s="112">
        <v>45063</v>
      </c>
      <c r="C314" s="462" t="s">
        <v>2154</v>
      </c>
      <c r="D314" s="463"/>
      <c r="E314" s="463"/>
      <c r="F314" s="463"/>
      <c r="G314" s="463"/>
      <c r="H314" s="446"/>
      <c r="I314" s="26" t="s">
        <v>1815</v>
      </c>
      <c r="J314" s="440">
        <v>54966.67</v>
      </c>
      <c r="K314" s="273"/>
      <c r="L314" s="438" t="e">
        <f t="shared" si="5"/>
        <v>#N/A</v>
      </c>
      <c r="M314" s="273"/>
      <c r="N314" s="438">
        <v>46190.478991596639</v>
      </c>
      <c r="O314" s="273"/>
      <c r="P314" s="439">
        <f t="shared" si="4"/>
        <v>54966.67</v>
      </c>
      <c r="Q314" s="273"/>
      <c r="R314">
        <f>presup!M$368</f>
        <v>0</v>
      </c>
    </row>
    <row r="315" spans="1:18" ht="13.5" customHeight="1" x14ac:dyDescent="0.25">
      <c r="A315" s="108" t="s">
        <v>2155</v>
      </c>
      <c r="B315" s="112">
        <v>45063</v>
      </c>
      <c r="C315" s="365" t="s">
        <v>2156</v>
      </c>
      <c r="D315" s="271"/>
      <c r="E315" s="271"/>
      <c r="F315" s="271"/>
      <c r="G315" s="271"/>
      <c r="H315" s="273"/>
      <c r="I315" s="26" t="s">
        <v>1815</v>
      </c>
      <c r="J315" s="440">
        <v>66633.3</v>
      </c>
      <c r="K315" s="273"/>
      <c r="L315" s="438" t="e">
        <f t="shared" si="5"/>
        <v>#N/A</v>
      </c>
      <c r="M315" s="273"/>
      <c r="N315" s="438">
        <v>55994.369747899167</v>
      </c>
      <c r="O315" s="273"/>
      <c r="P315" s="439">
        <f t="shared" si="4"/>
        <v>66633.3</v>
      </c>
      <c r="Q315" s="273"/>
      <c r="R315">
        <f>presup!M$368</f>
        <v>0</v>
      </c>
    </row>
    <row r="316" spans="1:18" ht="13.5" customHeight="1" x14ac:dyDescent="0.25">
      <c r="A316" s="116" t="s">
        <v>2157</v>
      </c>
      <c r="B316" s="112">
        <v>45063</v>
      </c>
      <c r="C316" s="462" t="s">
        <v>2158</v>
      </c>
      <c r="D316" s="463"/>
      <c r="E316" s="463"/>
      <c r="F316" s="463"/>
      <c r="G316" s="463"/>
      <c r="H316" s="446"/>
      <c r="I316" s="26" t="s">
        <v>502</v>
      </c>
      <c r="J316" s="440">
        <v>655000</v>
      </c>
      <c r="K316" s="273"/>
      <c r="L316" s="438" t="e">
        <f t="shared" si="5"/>
        <v>#N/A</v>
      </c>
      <c r="M316" s="273"/>
      <c r="N316" s="438">
        <v>550420.16806722688</v>
      </c>
      <c r="O316" s="273"/>
      <c r="P316" s="439">
        <f t="shared" si="4"/>
        <v>655000</v>
      </c>
      <c r="Q316" s="273"/>
      <c r="R316">
        <f>presup!M$368</f>
        <v>0</v>
      </c>
    </row>
    <row r="317" spans="1:18" ht="13.5" customHeight="1" x14ac:dyDescent="0.25">
      <c r="A317" s="108" t="s">
        <v>2159</v>
      </c>
      <c r="B317" s="112">
        <v>45063</v>
      </c>
      <c r="C317" s="365" t="s">
        <v>2160</v>
      </c>
      <c r="D317" s="271"/>
      <c r="E317" s="271"/>
      <c r="F317" s="271"/>
      <c r="G317" s="271"/>
      <c r="H317" s="273"/>
      <c r="I317" s="26" t="s">
        <v>502</v>
      </c>
      <c r="J317" s="440">
        <v>868000</v>
      </c>
      <c r="K317" s="273"/>
      <c r="L317" s="438" t="e">
        <f t="shared" si="5"/>
        <v>#N/A</v>
      </c>
      <c r="M317" s="273"/>
      <c r="N317" s="438">
        <v>729411.76470588241</v>
      </c>
      <c r="O317" s="273"/>
      <c r="P317" s="439">
        <f t="shared" si="4"/>
        <v>868000</v>
      </c>
      <c r="Q317" s="273"/>
      <c r="R317">
        <f>presup!M$368</f>
        <v>0</v>
      </c>
    </row>
    <row r="318" spans="1:18" ht="13.5" customHeight="1" x14ac:dyDescent="0.25">
      <c r="A318" s="116" t="s">
        <v>2161</v>
      </c>
      <c r="B318" s="112">
        <v>45063</v>
      </c>
      <c r="C318" s="365" t="s">
        <v>1464</v>
      </c>
      <c r="D318" s="271"/>
      <c r="E318" s="271"/>
      <c r="F318" s="271"/>
      <c r="G318" s="271"/>
      <c r="H318" s="273"/>
      <c r="I318" s="26" t="s">
        <v>502</v>
      </c>
      <c r="J318" s="440">
        <f>+unitario!$F$9111</f>
        <v>151783.50810000001</v>
      </c>
      <c r="K318" s="273"/>
      <c r="L318" s="438" t="e">
        <f t="shared" si="5"/>
        <v>#N/A</v>
      </c>
      <c r="M318" s="273"/>
      <c r="N318" s="438">
        <v>124863.54524338237</v>
      </c>
      <c r="O318" s="273"/>
      <c r="P318" s="439">
        <f t="shared" si="4"/>
        <v>151783.50810000001</v>
      </c>
      <c r="Q318" s="273"/>
      <c r="R318">
        <f>presup!M$368</f>
        <v>0</v>
      </c>
    </row>
    <row r="319" spans="1:18" ht="13.5" customHeight="1" x14ac:dyDescent="0.25">
      <c r="A319" s="108" t="s">
        <v>2162</v>
      </c>
      <c r="B319" s="112">
        <v>45063</v>
      </c>
      <c r="C319" s="462" t="s">
        <v>1470</v>
      </c>
      <c r="D319" s="463"/>
      <c r="E319" s="463"/>
      <c r="F319" s="463"/>
      <c r="G319" s="463"/>
      <c r="H319" s="446"/>
      <c r="I319" s="26" t="s">
        <v>502</v>
      </c>
      <c r="J319" s="440">
        <f>+unitario!$F$9155</f>
        <v>402125.61662650009</v>
      </c>
      <c r="K319" s="273"/>
      <c r="L319" s="438" t="e">
        <f t="shared" si="5"/>
        <v>#N/A</v>
      </c>
      <c r="M319" s="273"/>
      <c r="N319" s="438">
        <v>213098.83936102942</v>
      </c>
      <c r="O319" s="273"/>
      <c r="P319" s="439">
        <f t="shared" si="4"/>
        <v>402125.61662650009</v>
      </c>
      <c r="Q319" s="273"/>
      <c r="R319">
        <f>presup!M$368</f>
        <v>0</v>
      </c>
    </row>
    <row r="320" spans="1:18" ht="13.5" customHeight="1" x14ac:dyDescent="0.25">
      <c r="A320" s="108" t="s">
        <v>2163</v>
      </c>
      <c r="B320" s="112">
        <v>45063</v>
      </c>
      <c r="C320" s="365" t="s">
        <v>1338</v>
      </c>
      <c r="D320" s="271"/>
      <c r="E320" s="271"/>
      <c r="F320" s="271"/>
      <c r="G320" s="271"/>
      <c r="H320" s="273"/>
      <c r="I320" s="26" t="s">
        <v>502</v>
      </c>
      <c r="J320" s="440">
        <f>+unitario!$F$9199</f>
        <v>501433.50810000004</v>
      </c>
      <c r="K320" s="273"/>
      <c r="L320" s="438" t="e">
        <f t="shared" si="5"/>
        <v>#N/A</v>
      </c>
      <c r="M320" s="273"/>
      <c r="N320" s="438">
        <v>346334.13347867649</v>
      </c>
      <c r="O320" s="273"/>
      <c r="P320" s="439">
        <f t="shared" si="4"/>
        <v>501433.50810000004</v>
      </c>
      <c r="Q320" s="273"/>
      <c r="R320">
        <f>presup!M$368</f>
        <v>0</v>
      </c>
    </row>
    <row r="321" spans="1:18" ht="13.5" customHeight="1" x14ac:dyDescent="0.25">
      <c r="A321" s="116" t="s">
        <v>2164</v>
      </c>
      <c r="B321" s="112">
        <v>45063</v>
      </c>
      <c r="C321" s="365" t="s">
        <v>2165</v>
      </c>
      <c r="D321" s="271"/>
      <c r="E321" s="271"/>
      <c r="F321" s="271"/>
      <c r="G321" s="271"/>
      <c r="H321" s="273"/>
      <c r="I321" s="26" t="s">
        <v>502</v>
      </c>
      <c r="J321" s="440">
        <f>+unitario!$F$9243</f>
        <v>2252651.690995554</v>
      </c>
      <c r="K321" s="273"/>
      <c r="L321" s="438" t="e">
        <f t="shared" si="5"/>
        <v>#N/A</v>
      </c>
      <c r="M321" s="273"/>
      <c r="N321" s="438">
        <v>1777164.5783848956</v>
      </c>
      <c r="O321" s="273"/>
      <c r="P321" s="439">
        <f t="shared" si="4"/>
        <v>2252651.690995554</v>
      </c>
      <c r="Q321" s="273"/>
      <c r="R321">
        <f>presup!M$368</f>
        <v>0</v>
      </c>
    </row>
    <row r="322" spans="1:18" ht="13.5" customHeight="1" x14ac:dyDescent="0.25">
      <c r="A322" s="116" t="s">
        <v>2166</v>
      </c>
      <c r="B322" s="112">
        <v>45063</v>
      </c>
      <c r="C322" s="365" t="s">
        <v>2167</v>
      </c>
      <c r="D322" s="271"/>
      <c r="E322" s="271"/>
      <c r="F322" s="271"/>
      <c r="G322" s="271"/>
      <c r="H322" s="273"/>
      <c r="I322" s="26" t="s">
        <v>502</v>
      </c>
      <c r="J322" s="440">
        <f>+unitario!$F$9292</f>
        <v>2662634.9767080643</v>
      </c>
      <c r="K322" s="273"/>
      <c r="L322" s="438" t="e">
        <f t="shared" si="5"/>
        <v>#N/A</v>
      </c>
      <c r="M322" s="273"/>
      <c r="N322" s="438">
        <v>1896783.2039252634</v>
      </c>
      <c r="O322" s="273"/>
      <c r="P322" s="439">
        <f t="shared" si="4"/>
        <v>2662634.9767080643</v>
      </c>
      <c r="Q322" s="273"/>
      <c r="R322">
        <f>presup!M$368</f>
        <v>0</v>
      </c>
    </row>
    <row r="323" spans="1:18" ht="13.5" customHeight="1" x14ac:dyDescent="0.25">
      <c r="A323" s="116" t="s">
        <v>2168</v>
      </c>
      <c r="B323" s="112">
        <v>45063</v>
      </c>
      <c r="C323" s="365" t="s">
        <v>2169</v>
      </c>
      <c r="D323" s="271"/>
      <c r="E323" s="271"/>
      <c r="F323" s="271"/>
      <c r="G323" s="271"/>
      <c r="H323" s="273"/>
      <c r="I323" s="26" t="s">
        <v>502</v>
      </c>
      <c r="J323" s="440">
        <f>+unitario!$F$9341</f>
        <v>2618635.3573983628</v>
      </c>
      <c r="K323" s="273"/>
      <c r="L323" s="438" t="e">
        <f t="shared" si="5"/>
        <v>#N/A</v>
      </c>
      <c r="M323" s="273"/>
      <c r="N323" s="438">
        <v>2085578.6913202216</v>
      </c>
      <c r="O323" s="273"/>
      <c r="P323" s="439">
        <f t="shared" si="4"/>
        <v>2618635.3573983628</v>
      </c>
      <c r="Q323" s="273"/>
      <c r="R323">
        <f>presup!M$368</f>
        <v>0</v>
      </c>
    </row>
    <row r="324" spans="1:18" s="219" customFormat="1" ht="13.5" customHeight="1" x14ac:dyDescent="0.25">
      <c r="A324" s="222" t="s">
        <v>2170</v>
      </c>
      <c r="B324" s="223">
        <v>45063</v>
      </c>
      <c r="C324" s="369" t="s">
        <v>2171</v>
      </c>
      <c r="D324" s="370"/>
      <c r="E324" s="370"/>
      <c r="F324" s="370"/>
      <c r="G324" s="370"/>
      <c r="H324" s="368"/>
      <c r="I324" s="224" t="s">
        <v>502</v>
      </c>
      <c r="J324" s="442">
        <v>1500000</v>
      </c>
      <c r="K324" s="368"/>
      <c r="L324" s="443" t="e">
        <f t="shared" si="5"/>
        <v>#N/A</v>
      </c>
      <c r="M324" s="368"/>
      <c r="N324" s="443">
        <v>1900000</v>
      </c>
      <c r="O324" s="368"/>
      <c r="P324" s="444">
        <f t="shared" si="4"/>
        <v>1500000</v>
      </c>
      <c r="Q324" s="368"/>
      <c r="R324" s="219">
        <f>presup!M$368</f>
        <v>0</v>
      </c>
    </row>
    <row r="325" spans="1:18" ht="13.5" customHeight="1" x14ac:dyDescent="0.25">
      <c r="A325" s="116" t="s">
        <v>2172</v>
      </c>
      <c r="B325" s="112">
        <v>45063</v>
      </c>
      <c r="C325" s="365" t="s">
        <v>2173</v>
      </c>
      <c r="D325" s="271"/>
      <c r="E325" s="271"/>
      <c r="F325" s="271"/>
      <c r="G325" s="271"/>
      <c r="H325" s="273"/>
      <c r="I325" s="26" t="s">
        <v>502</v>
      </c>
      <c r="J325" s="440">
        <f>+unitario!$F$9390</f>
        <v>25796892.267816257</v>
      </c>
      <c r="K325" s="273"/>
      <c r="L325" s="438" t="e">
        <f t="shared" si="5"/>
        <v>#N/A</v>
      </c>
      <c r="M325" s="273"/>
      <c r="N325" s="438">
        <v>20617143.6952479</v>
      </c>
      <c r="O325" s="273"/>
      <c r="P325" s="439">
        <f t="shared" si="4"/>
        <v>25796892.267816257</v>
      </c>
      <c r="Q325" s="273"/>
      <c r="R325">
        <f>presup!M$368</f>
        <v>0</v>
      </c>
    </row>
    <row r="326" spans="1:18" ht="13.5" customHeight="1" x14ac:dyDescent="0.25">
      <c r="A326" s="108" t="s">
        <v>2174</v>
      </c>
      <c r="B326" s="112">
        <v>45063</v>
      </c>
      <c r="C326" s="462" t="s">
        <v>2175</v>
      </c>
      <c r="D326" s="463"/>
      <c r="E326" s="463"/>
      <c r="F326" s="463"/>
      <c r="G326" s="463"/>
      <c r="H326" s="446"/>
      <c r="I326" s="224" t="s">
        <v>502</v>
      </c>
      <c r="J326" s="442">
        <f>+unitario!$F$5069</f>
        <v>8167256.96</v>
      </c>
      <c r="K326" s="368"/>
      <c r="L326" s="438" t="e">
        <f t="shared" si="5"/>
        <v>#N/A</v>
      </c>
      <c r="M326" s="273"/>
      <c r="N326" s="438">
        <v>20917143.6952479</v>
      </c>
      <c r="O326" s="273"/>
      <c r="P326" s="439">
        <f t="shared" si="4"/>
        <v>8167256.96</v>
      </c>
      <c r="Q326" s="273"/>
      <c r="R326">
        <f>presup!M$368</f>
        <v>0</v>
      </c>
    </row>
    <row r="327" spans="1:18" ht="13.5" customHeight="1" x14ac:dyDescent="0.25">
      <c r="A327" s="108" t="s">
        <v>2176</v>
      </c>
      <c r="B327" s="112">
        <v>45063</v>
      </c>
      <c r="C327" s="365" t="s">
        <v>2177</v>
      </c>
      <c r="D327" s="271"/>
      <c r="E327" s="271"/>
      <c r="F327" s="271"/>
      <c r="G327" s="271"/>
      <c r="H327" s="273"/>
      <c r="I327" s="26" t="s">
        <v>502</v>
      </c>
      <c r="J327" s="440">
        <f>unitario!$F$5327</f>
        <v>27271892.267816257</v>
      </c>
      <c r="K327" s="273"/>
      <c r="L327" s="438" t="e">
        <f t="shared" si="5"/>
        <v>#N/A</v>
      </c>
      <c r="M327" s="273"/>
      <c r="N327" s="438">
        <v>21217143.6952479</v>
      </c>
      <c r="O327" s="273"/>
      <c r="P327" s="439">
        <f t="shared" si="4"/>
        <v>27271892.267816257</v>
      </c>
      <c r="Q327" s="273"/>
      <c r="R327">
        <f>presup!M$368</f>
        <v>0</v>
      </c>
    </row>
    <row r="328" spans="1:18" ht="13.5" customHeight="1" x14ac:dyDescent="0.25">
      <c r="A328" s="116" t="s">
        <v>2178</v>
      </c>
      <c r="B328" s="112">
        <v>45063</v>
      </c>
      <c r="C328" s="365" t="s">
        <v>2179</v>
      </c>
      <c r="D328" s="271"/>
      <c r="E328" s="271"/>
      <c r="F328" s="271"/>
      <c r="G328" s="271"/>
      <c r="H328" s="273"/>
      <c r="I328" s="26" t="s">
        <v>502</v>
      </c>
      <c r="J328" s="440">
        <f>+unitario!$F$3825</f>
        <v>440738.29800000001</v>
      </c>
      <c r="K328" s="273"/>
      <c r="L328" s="438" t="e">
        <f t="shared" si="5"/>
        <v>#N/A</v>
      </c>
      <c r="M328" s="273"/>
      <c r="N328" s="438">
        <v>355261.69852941181</v>
      </c>
      <c r="O328" s="273"/>
      <c r="P328" s="439">
        <f t="shared" si="4"/>
        <v>440738.29800000001</v>
      </c>
      <c r="Q328" s="273"/>
      <c r="R328">
        <f>presup!M$368</f>
        <v>0</v>
      </c>
    </row>
    <row r="329" spans="1:18" ht="13.5" customHeight="1" x14ac:dyDescent="0.25">
      <c r="A329" s="116" t="s">
        <v>2180</v>
      </c>
      <c r="B329" s="112">
        <v>45063</v>
      </c>
      <c r="C329" s="365" t="s">
        <v>2181</v>
      </c>
      <c r="D329" s="271"/>
      <c r="E329" s="271"/>
      <c r="F329" s="271"/>
      <c r="G329" s="271"/>
      <c r="H329" s="273"/>
      <c r="I329" s="26" t="s">
        <v>502</v>
      </c>
      <c r="J329" s="440">
        <f>+unitario!$F$8979</f>
        <v>134983.50810000001</v>
      </c>
      <c r="K329" s="273"/>
      <c r="L329" s="438" t="e">
        <f t="shared" si="5"/>
        <v>#N/A</v>
      </c>
      <c r="M329" s="273"/>
      <c r="N329" s="438">
        <v>110745.89818455883</v>
      </c>
      <c r="O329" s="273"/>
      <c r="P329" s="439">
        <f t="shared" si="4"/>
        <v>134983.50810000001</v>
      </c>
      <c r="Q329" s="273"/>
      <c r="R329">
        <f>presup!M$368</f>
        <v>0</v>
      </c>
    </row>
    <row r="330" spans="1:18" ht="13.5" customHeight="1" x14ac:dyDescent="0.25">
      <c r="A330" s="108" t="s">
        <v>2182</v>
      </c>
      <c r="B330" s="112">
        <v>45063</v>
      </c>
      <c r="C330" s="462" t="s">
        <v>2183</v>
      </c>
      <c r="D330" s="463"/>
      <c r="E330" s="463"/>
      <c r="F330" s="463"/>
      <c r="G330" s="463"/>
      <c r="H330" s="446"/>
      <c r="I330" s="26" t="s">
        <v>502</v>
      </c>
      <c r="J330" s="440">
        <f>+unitario!$F$9023</f>
        <v>302480.61662649998</v>
      </c>
      <c r="K330" s="273"/>
      <c r="L330" s="438" t="e">
        <f t="shared" si="5"/>
        <v>#N/A</v>
      </c>
      <c r="M330" s="273"/>
      <c r="N330" s="438">
        <v>150451.78053750002</v>
      </c>
      <c r="O330" s="273"/>
      <c r="P330" s="439">
        <f t="shared" si="4"/>
        <v>302480.61662649998</v>
      </c>
      <c r="Q330" s="273"/>
      <c r="R330">
        <f>presup!M$368</f>
        <v>0</v>
      </c>
    </row>
    <row r="331" spans="1:18" ht="13.5" customHeight="1" x14ac:dyDescent="0.25">
      <c r="A331" s="108" t="s">
        <v>2184</v>
      </c>
      <c r="B331" s="112">
        <v>45063</v>
      </c>
      <c r="C331" s="365" t="s">
        <v>2185</v>
      </c>
      <c r="D331" s="271"/>
      <c r="E331" s="271"/>
      <c r="F331" s="271"/>
      <c r="G331" s="271"/>
      <c r="H331" s="273"/>
      <c r="I331" s="26" t="s">
        <v>502</v>
      </c>
      <c r="J331" s="440">
        <f>+unitario!$F$9067</f>
        <v>323983.50810000004</v>
      </c>
      <c r="K331" s="273"/>
      <c r="L331" s="438" t="e">
        <f t="shared" si="5"/>
        <v>#N/A</v>
      </c>
      <c r="M331" s="273"/>
      <c r="N331" s="438">
        <v>269569.4275963236</v>
      </c>
      <c r="O331" s="273"/>
      <c r="P331" s="439">
        <f t="shared" si="4"/>
        <v>323983.50810000004</v>
      </c>
      <c r="Q331" s="273"/>
      <c r="R331">
        <f>presup!M$368</f>
        <v>0</v>
      </c>
    </row>
    <row r="332" spans="1:18" ht="13.5" customHeight="1" x14ac:dyDescent="0.25">
      <c r="A332" s="116" t="s">
        <v>2186</v>
      </c>
      <c r="B332" s="112">
        <v>45063</v>
      </c>
      <c r="C332" s="365" t="s">
        <v>2187</v>
      </c>
      <c r="D332" s="271"/>
      <c r="E332" s="271"/>
      <c r="F332" s="271"/>
      <c r="G332" s="271"/>
      <c r="H332" s="273"/>
      <c r="I332" s="26" t="s">
        <v>1815</v>
      </c>
      <c r="J332" s="440">
        <v>7816.67</v>
      </c>
      <c r="K332" s="273"/>
      <c r="L332" s="438" t="e">
        <f t="shared" si="5"/>
        <v>#N/A</v>
      </c>
      <c r="M332" s="273"/>
      <c r="N332" s="438">
        <v>6568.6302521008411</v>
      </c>
      <c r="O332" s="273"/>
      <c r="P332" s="439">
        <f t="shared" si="4"/>
        <v>7816.67</v>
      </c>
      <c r="Q332" s="273"/>
      <c r="R332">
        <f>presup!M$368</f>
        <v>0</v>
      </c>
    </row>
    <row r="333" spans="1:18" ht="13.5" customHeight="1" x14ac:dyDescent="0.25">
      <c r="A333" s="116" t="s">
        <v>2188</v>
      </c>
      <c r="B333" s="112">
        <v>45063</v>
      </c>
      <c r="C333" s="365" t="s">
        <v>2189</v>
      </c>
      <c r="D333" s="271"/>
      <c r="E333" s="271"/>
      <c r="F333" s="271"/>
      <c r="G333" s="271"/>
      <c r="H333" s="273"/>
      <c r="I333" s="26" t="s">
        <v>1815</v>
      </c>
      <c r="J333" s="440">
        <v>11966.67</v>
      </c>
      <c r="K333" s="273"/>
      <c r="L333" s="438" t="e">
        <f t="shared" si="5"/>
        <v>#N/A</v>
      </c>
      <c r="M333" s="273"/>
      <c r="N333" s="438">
        <v>10056.025210084033</v>
      </c>
      <c r="O333" s="273"/>
      <c r="P333" s="439">
        <f t="shared" si="4"/>
        <v>11966.67</v>
      </c>
      <c r="Q333" s="273"/>
      <c r="R333">
        <f>presup!M$368</f>
        <v>0</v>
      </c>
    </row>
    <row r="334" spans="1:18" ht="13.5" customHeight="1" x14ac:dyDescent="0.25">
      <c r="A334" s="108" t="s">
        <v>2190</v>
      </c>
      <c r="B334" s="112">
        <v>45063</v>
      </c>
      <c r="C334" s="365" t="s">
        <v>1545</v>
      </c>
      <c r="D334" s="271"/>
      <c r="E334" s="271"/>
      <c r="F334" s="271"/>
      <c r="G334" s="271"/>
      <c r="H334" s="273"/>
      <c r="I334" s="26" t="s">
        <v>1382</v>
      </c>
      <c r="J334" s="440">
        <f>+unitario!F7308</f>
        <v>27023.145473999997</v>
      </c>
      <c r="K334" s="273"/>
      <c r="L334" s="438" t="e">
        <f t="shared" si="5"/>
        <v>#N/A</v>
      </c>
      <c r="M334" s="273"/>
      <c r="N334" s="438">
        <v>14405.280882352939</v>
      </c>
      <c r="O334" s="273"/>
      <c r="P334" s="439">
        <f t="shared" si="4"/>
        <v>27023.145473999997</v>
      </c>
      <c r="Q334" s="273"/>
      <c r="R334">
        <f>presup!M$368</f>
        <v>0</v>
      </c>
    </row>
    <row r="335" spans="1:18" ht="27" customHeight="1" x14ac:dyDescent="0.25">
      <c r="A335" s="116" t="s">
        <v>2191</v>
      </c>
      <c r="B335" s="112">
        <v>45063</v>
      </c>
      <c r="C335" s="365" t="s">
        <v>2192</v>
      </c>
      <c r="D335" s="271"/>
      <c r="E335" s="271"/>
      <c r="F335" s="271"/>
      <c r="G335" s="271"/>
      <c r="H335" s="273"/>
      <c r="I335" s="26" t="s">
        <v>502</v>
      </c>
      <c r="J335" s="440">
        <f>+unitario!F9845</f>
        <v>7753711.79779319</v>
      </c>
      <c r="K335" s="273"/>
      <c r="L335" s="438" t="e">
        <f t="shared" si="5"/>
        <v>#N/A</v>
      </c>
      <c r="M335" s="273"/>
      <c r="N335" s="438">
        <v>5532905.5168454433</v>
      </c>
      <c r="O335" s="273"/>
      <c r="P335" s="439">
        <f t="shared" si="4"/>
        <v>7753711.79779319</v>
      </c>
      <c r="Q335" s="273"/>
      <c r="R335">
        <f>presup!M$368</f>
        <v>0</v>
      </c>
    </row>
    <row r="336" spans="1:18" ht="13.5" customHeight="1" x14ac:dyDescent="0.25">
      <c r="A336" s="108" t="s">
        <v>2193</v>
      </c>
      <c r="B336" s="112">
        <v>45064</v>
      </c>
      <c r="C336" s="462" t="s">
        <v>1487</v>
      </c>
      <c r="D336" s="463"/>
      <c r="E336" s="463"/>
      <c r="F336" s="463"/>
      <c r="G336" s="463"/>
      <c r="H336" s="446"/>
      <c r="I336" s="26" t="s">
        <v>1815</v>
      </c>
      <c r="J336" s="440">
        <v>3943.33</v>
      </c>
      <c r="K336" s="273"/>
      <c r="L336" s="438" t="e">
        <f t="shared" si="5"/>
        <v>#N/A</v>
      </c>
      <c r="M336" s="273"/>
      <c r="N336" s="438">
        <v>3313.7226890756301</v>
      </c>
      <c r="O336" s="273"/>
      <c r="P336" s="439">
        <f t="shared" si="4"/>
        <v>3943.33</v>
      </c>
      <c r="Q336" s="273"/>
      <c r="R336">
        <f>presup!M$368</f>
        <v>0</v>
      </c>
    </row>
    <row r="337" spans="1:18" ht="13.5" customHeight="1" x14ac:dyDescent="0.25">
      <c r="A337" s="108" t="s">
        <v>2194</v>
      </c>
      <c r="B337" s="112">
        <v>45064</v>
      </c>
      <c r="C337" s="462" t="s">
        <v>1495</v>
      </c>
      <c r="D337" s="463"/>
      <c r="E337" s="463"/>
      <c r="F337" s="463"/>
      <c r="G337" s="463"/>
      <c r="H337" s="446"/>
      <c r="I337" s="26" t="s">
        <v>502</v>
      </c>
      <c r="J337" s="440">
        <v>119000</v>
      </c>
      <c r="K337" s="273"/>
      <c r="L337" s="438" t="e">
        <f t="shared" si="5"/>
        <v>#N/A</v>
      </c>
      <c r="M337" s="273"/>
      <c r="N337" s="438">
        <v>100000</v>
      </c>
      <c r="O337" s="273"/>
      <c r="P337" s="439">
        <f t="shared" si="4"/>
        <v>119000</v>
      </c>
      <c r="Q337" s="273"/>
      <c r="R337">
        <f>presup!M$368</f>
        <v>0</v>
      </c>
    </row>
    <row r="338" spans="1:18" ht="13.5" customHeight="1" x14ac:dyDescent="0.25">
      <c r="A338" s="108" t="s">
        <v>2195</v>
      </c>
      <c r="B338" s="112">
        <v>45064</v>
      </c>
      <c r="C338" s="465" t="s">
        <v>3244</v>
      </c>
      <c r="D338" s="373"/>
      <c r="E338" s="373"/>
      <c r="F338" s="373"/>
      <c r="G338" s="373"/>
      <c r="H338" s="361"/>
      <c r="I338" s="26" t="s">
        <v>502</v>
      </c>
      <c r="J338" s="441">
        <v>72000</v>
      </c>
      <c r="K338" s="361"/>
      <c r="L338" s="438" t="e">
        <f t="shared" si="5"/>
        <v>#N/A</v>
      </c>
      <c r="M338" s="273"/>
      <c r="N338" s="438">
        <v>165546.21848739497</v>
      </c>
      <c r="O338" s="273"/>
      <c r="P338" s="439">
        <f t="shared" si="4"/>
        <v>72000</v>
      </c>
      <c r="Q338" s="273"/>
      <c r="R338">
        <f>presup!M$368</f>
        <v>0</v>
      </c>
    </row>
    <row r="339" spans="1:18" ht="13.5" customHeight="1" x14ac:dyDescent="0.25">
      <c r="A339" s="108" t="s">
        <v>2196</v>
      </c>
      <c r="B339" s="112">
        <v>45064</v>
      </c>
      <c r="C339" s="462" t="s">
        <v>1496</v>
      </c>
      <c r="D339" s="463"/>
      <c r="E339" s="463"/>
      <c r="F339" s="463"/>
      <c r="G339" s="463"/>
      <c r="H339" s="446"/>
      <c r="I339" s="26" t="s">
        <v>502</v>
      </c>
      <c r="J339" s="440">
        <v>16830</v>
      </c>
      <c r="K339" s="273"/>
      <c r="L339" s="438" t="e">
        <f t="shared" si="5"/>
        <v>#N/A</v>
      </c>
      <c r="M339" s="273"/>
      <c r="N339" s="438">
        <v>14142.857142857143</v>
      </c>
      <c r="O339" s="273"/>
      <c r="P339" s="439">
        <f t="shared" si="4"/>
        <v>16830</v>
      </c>
      <c r="Q339" s="273"/>
      <c r="R339">
        <f>presup!M$368</f>
        <v>0</v>
      </c>
    </row>
    <row r="340" spans="1:18" ht="13.5" customHeight="1" x14ac:dyDescent="0.25">
      <c r="A340" s="108" t="s">
        <v>2197</v>
      </c>
      <c r="B340" s="112">
        <v>45064</v>
      </c>
      <c r="C340" s="462" t="s">
        <v>1498</v>
      </c>
      <c r="D340" s="463"/>
      <c r="E340" s="463"/>
      <c r="F340" s="463"/>
      <c r="G340" s="463"/>
      <c r="H340" s="446"/>
      <c r="I340" s="26" t="s">
        <v>502</v>
      </c>
      <c r="J340" s="440">
        <v>12557</v>
      </c>
      <c r="K340" s="273"/>
      <c r="L340" s="438" t="e">
        <f t="shared" si="5"/>
        <v>#N/A</v>
      </c>
      <c r="M340" s="273"/>
      <c r="N340" s="438">
        <v>10552.100840336136</v>
      </c>
      <c r="O340" s="273"/>
      <c r="P340" s="439">
        <f t="shared" si="4"/>
        <v>12557</v>
      </c>
      <c r="Q340" s="273"/>
      <c r="R340">
        <f>presup!M$368</f>
        <v>0</v>
      </c>
    </row>
    <row r="341" spans="1:18" ht="13.5" customHeight="1" x14ac:dyDescent="0.25">
      <c r="A341" s="108" t="s">
        <v>2198</v>
      </c>
      <c r="B341" s="112">
        <v>45064</v>
      </c>
      <c r="C341" s="462" t="s">
        <v>1491</v>
      </c>
      <c r="D341" s="463"/>
      <c r="E341" s="463"/>
      <c r="F341" s="463"/>
      <c r="G341" s="463"/>
      <c r="H341" s="446"/>
      <c r="I341" s="26" t="s">
        <v>502</v>
      </c>
      <c r="J341" s="440">
        <v>4258</v>
      </c>
      <c r="K341" s="273"/>
      <c r="L341" s="438" t="e">
        <f t="shared" si="5"/>
        <v>#N/A</v>
      </c>
      <c r="M341" s="273"/>
      <c r="N341" s="438">
        <v>3578.1512605042017</v>
      </c>
      <c r="O341" s="273"/>
      <c r="P341" s="439">
        <f t="shared" si="4"/>
        <v>4258</v>
      </c>
      <c r="Q341" s="273"/>
      <c r="R341">
        <f>presup!M$368</f>
        <v>0</v>
      </c>
    </row>
    <row r="342" spans="1:18" ht="13.5" customHeight="1" x14ac:dyDescent="0.25">
      <c r="A342" s="108" t="s">
        <v>2199</v>
      </c>
      <c r="B342" s="112">
        <v>45064</v>
      </c>
      <c r="C342" s="462" t="s">
        <v>1493</v>
      </c>
      <c r="D342" s="463"/>
      <c r="E342" s="463"/>
      <c r="F342" s="463"/>
      <c r="G342" s="463"/>
      <c r="H342" s="446"/>
      <c r="I342" s="26" t="s">
        <v>502</v>
      </c>
      <c r="J342" s="440">
        <v>15000</v>
      </c>
      <c r="K342" s="273"/>
      <c r="L342" s="438" t="e">
        <f t="shared" si="5"/>
        <v>#N/A</v>
      </c>
      <c r="M342" s="273"/>
      <c r="N342" s="438">
        <v>12605.042016806723</v>
      </c>
      <c r="O342" s="273"/>
      <c r="P342" s="439">
        <f t="shared" si="4"/>
        <v>15000</v>
      </c>
      <c r="Q342" s="273"/>
      <c r="R342">
        <f>presup!M$368</f>
        <v>0</v>
      </c>
    </row>
    <row r="343" spans="1:18" ht="13.5" customHeight="1" x14ac:dyDescent="0.25">
      <c r="A343" s="108" t="s">
        <v>2200</v>
      </c>
      <c r="B343" s="112">
        <v>45064</v>
      </c>
      <c r="C343" s="462" t="s">
        <v>1489</v>
      </c>
      <c r="D343" s="463"/>
      <c r="E343" s="463"/>
      <c r="F343" s="463"/>
      <c r="G343" s="463"/>
      <c r="H343" s="446"/>
      <c r="I343" s="26" t="s">
        <v>502</v>
      </c>
      <c r="J343" s="440">
        <v>874.14</v>
      </c>
      <c r="K343" s="273"/>
      <c r="L343" s="438" t="e">
        <f t="shared" si="5"/>
        <v>#N/A</v>
      </c>
      <c r="M343" s="273"/>
      <c r="N343" s="438">
        <v>734.57142857142856</v>
      </c>
      <c r="O343" s="273"/>
      <c r="P343" s="439">
        <f t="shared" si="4"/>
        <v>874.14</v>
      </c>
      <c r="Q343" s="273"/>
      <c r="R343">
        <f>presup!M$368</f>
        <v>0</v>
      </c>
    </row>
    <row r="344" spans="1:18" ht="13.5" customHeight="1" x14ac:dyDescent="0.25">
      <c r="A344" s="108" t="s">
        <v>2201</v>
      </c>
      <c r="B344" s="112">
        <v>45064</v>
      </c>
      <c r="C344" s="462" t="s">
        <v>1492</v>
      </c>
      <c r="D344" s="463"/>
      <c r="E344" s="463"/>
      <c r="F344" s="463"/>
      <c r="G344" s="463"/>
      <c r="H344" s="446"/>
      <c r="I344" s="26" t="s">
        <v>502</v>
      </c>
      <c r="J344" s="440">
        <v>584.74</v>
      </c>
      <c r="K344" s="273"/>
      <c r="L344" s="438" t="e">
        <f t="shared" si="5"/>
        <v>#N/A</v>
      </c>
      <c r="M344" s="273"/>
      <c r="N344" s="438">
        <v>491.37815126050424</v>
      </c>
      <c r="O344" s="273"/>
      <c r="P344" s="439">
        <f t="shared" si="4"/>
        <v>584.74</v>
      </c>
      <c r="Q344" s="273"/>
      <c r="R344">
        <f>presup!M$368</f>
        <v>0</v>
      </c>
    </row>
    <row r="345" spans="1:18" ht="13.5" customHeight="1" x14ac:dyDescent="0.25">
      <c r="A345" s="108" t="s">
        <v>2202</v>
      </c>
      <c r="B345" s="112">
        <v>45064</v>
      </c>
      <c r="C345" s="462" t="s">
        <v>1490</v>
      </c>
      <c r="D345" s="463"/>
      <c r="E345" s="463"/>
      <c r="F345" s="463"/>
      <c r="G345" s="463"/>
      <c r="H345" s="446"/>
      <c r="I345" s="26" t="s">
        <v>502</v>
      </c>
      <c r="J345" s="440">
        <v>490</v>
      </c>
      <c r="K345" s="273"/>
      <c r="L345" s="438" t="e">
        <f t="shared" si="5"/>
        <v>#N/A</v>
      </c>
      <c r="M345" s="273"/>
      <c r="N345" s="438">
        <v>411.76470588235298</v>
      </c>
      <c r="O345" s="273"/>
      <c r="P345" s="439">
        <f t="shared" si="4"/>
        <v>490</v>
      </c>
      <c r="Q345" s="273"/>
      <c r="R345">
        <f>presup!M$368</f>
        <v>0</v>
      </c>
    </row>
    <row r="346" spans="1:18" ht="13.5" customHeight="1" x14ac:dyDescent="0.25">
      <c r="A346" s="108" t="s">
        <v>2203</v>
      </c>
      <c r="B346" s="112">
        <v>45064</v>
      </c>
      <c r="C346" s="462" t="s">
        <v>1494</v>
      </c>
      <c r="D346" s="463"/>
      <c r="E346" s="463"/>
      <c r="F346" s="463"/>
      <c r="G346" s="463"/>
      <c r="H346" s="446"/>
      <c r="I346" s="26" t="s">
        <v>502</v>
      </c>
      <c r="J346" s="440">
        <v>5500</v>
      </c>
      <c r="K346" s="273"/>
      <c r="L346" s="438" t="e">
        <f t="shared" si="5"/>
        <v>#N/A</v>
      </c>
      <c r="M346" s="273"/>
      <c r="N346" s="438">
        <v>4621.8487394957983</v>
      </c>
      <c r="O346" s="273"/>
      <c r="P346" s="439">
        <f t="shared" si="4"/>
        <v>5500</v>
      </c>
      <c r="Q346" s="273"/>
      <c r="R346">
        <f>presup!M$368</f>
        <v>0</v>
      </c>
    </row>
    <row r="347" spans="1:18" ht="13.5" customHeight="1" x14ac:dyDescent="0.25">
      <c r="A347" s="116" t="s">
        <v>2204</v>
      </c>
      <c r="B347" s="112">
        <v>45064</v>
      </c>
      <c r="C347" s="365" t="s">
        <v>2205</v>
      </c>
      <c r="D347" s="271"/>
      <c r="E347" s="271"/>
      <c r="F347" s="271"/>
      <c r="G347" s="271"/>
      <c r="H347" s="273"/>
      <c r="I347" s="26" t="s">
        <v>502</v>
      </c>
      <c r="J347" s="440"/>
      <c r="K347" s="273"/>
      <c r="L347" s="438" t="e">
        <f t="shared" si="5"/>
        <v>#N/A</v>
      </c>
      <c r="M347" s="273"/>
      <c r="N347" s="438">
        <v>0</v>
      </c>
      <c r="O347" s="273"/>
      <c r="P347" s="439">
        <f t="shared" si="4"/>
        <v>0</v>
      </c>
      <c r="Q347" s="273"/>
      <c r="R347">
        <f>presup!M$368</f>
        <v>0</v>
      </c>
    </row>
    <row r="348" spans="1:18" ht="13.5" customHeight="1" x14ac:dyDescent="0.25">
      <c r="A348" s="108" t="s">
        <v>2206</v>
      </c>
      <c r="B348" s="112">
        <v>45064</v>
      </c>
      <c r="C348" s="462" t="s">
        <v>1497</v>
      </c>
      <c r="D348" s="463"/>
      <c r="E348" s="463"/>
      <c r="F348" s="463"/>
      <c r="G348" s="463"/>
      <c r="H348" s="446"/>
      <c r="I348" s="26" t="s">
        <v>502</v>
      </c>
      <c r="J348" s="440">
        <v>22658</v>
      </c>
      <c r="K348" s="273"/>
      <c r="L348" s="438" t="e">
        <f t="shared" si="5"/>
        <v>#N/A</v>
      </c>
      <c r="M348" s="273"/>
      <c r="N348" s="438">
        <v>19040.336134453781</v>
      </c>
      <c r="O348" s="273"/>
      <c r="P348" s="439">
        <f t="shared" si="4"/>
        <v>22658</v>
      </c>
      <c r="Q348" s="273"/>
      <c r="R348">
        <f>presup!M$368</f>
        <v>0</v>
      </c>
    </row>
    <row r="349" spans="1:18" ht="13.5" customHeight="1" x14ac:dyDescent="0.25">
      <c r="A349" s="108" t="s">
        <v>2207</v>
      </c>
      <c r="B349" s="112">
        <v>45064</v>
      </c>
      <c r="C349" s="462" t="s">
        <v>1450</v>
      </c>
      <c r="D349" s="463"/>
      <c r="E349" s="463"/>
      <c r="F349" s="463"/>
      <c r="G349" s="463"/>
      <c r="H349" s="446"/>
      <c r="I349" s="26" t="s">
        <v>502</v>
      </c>
      <c r="J349" s="440">
        <v>560347</v>
      </c>
      <c r="K349" s="273"/>
      <c r="L349" s="438" t="e">
        <f t="shared" si="5"/>
        <v>#N/A</v>
      </c>
      <c r="M349" s="273"/>
      <c r="N349" s="438">
        <v>470879.83193277312</v>
      </c>
      <c r="O349" s="273"/>
      <c r="P349" s="439">
        <f t="shared" si="4"/>
        <v>560347</v>
      </c>
      <c r="Q349" s="273"/>
      <c r="R349">
        <f>presup!M$368</f>
        <v>0</v>
      </c>
    </row>
    <row r="350" spans="1:18" ht="13.5" customHeight="1" x14ac:dyDescent="0.25">
      <c r="A350" s="108" t="s">
        <v>2208</v>
      </c>
      <c r="B350" s="112">
        <v>45064</v>
      </c>
      <c r="C350" s="462" t="s">
        <v>2209</v>
      </c>
      <c r="D350" s="463"/>
      <c r="E350" s="463"/>
      <c r="F350" s="463"/>
      <c r="G350" s="463"/>
      <c r="H350" s="446"/>
      <c r="I350" s="26" t="s">
        <v>502</v>
      </c>
      <c r="J350" s="440">
        <f>+unitario!$F$3993</f>
        <v>1873532.6493666666</v>
      </c>
      <c r="K350" s="273"/>
      <c r="L350" s="438" t="e">
        <f t="shared" si="5"/>
        <v>#N/A</v>
      </c>
      <c r="M350" s="273"/>
      <c r="N350" s="438">
        <v>1545576.2179852941</v>
      </c>
      <c r="O350" s="273"/>
      <c r="P350" s="439">
        <f t="shared" si="4"/>
        <v>1873532.6493666666</v>
      </c>
      <c r="Q350" s="273"/>
      <c r="R350">
        <f>presup!M$368</f>
        <v>0</v>
      </c>
    </row>
    <row r="351" spans="1:18" ht="13.5" customHeight="1" x14ac:dyDescent="0.25">
      <c r="A351" s="108" t="s">
        <v>2210</v>
      </c>
      <c r="B351" s="112">
        <v>45065</v>
      </c>
      <c r="C351" s="365" t="s">
        <v>1477</v>
      </c>
      <c r="D351" s="271"/>
      <c r="E351" s="271"/>
      <c r="F351" s="271"/>
      <c r="G351" s="271"/>
      <c r="H351" s="273"/>
      <c r="I351" s="26" t="s">
        <v>502</v>
      </c>
      <c r="J351" s="440">
        <v>490000</v>
      </c>
      <c r="K351" s="273"/>
      <c r="L351" s="438" t="e">
        <f t="shared" si="5"/>
        <v>#N/A</v>
      </c>
      <c r="M351" s="273"/>
      <c r="N351" s="438">
        <v>411764.70588235295</v>
      </c>
      <c r="O351" s="273"/>
      <c r="P351" s="439">
        <f t="shared" si="4"/>
        <v>490000</v>
      </c>
      <c r="Q351" s="273"/>
      <c r="R351">
        <f>presup!M$368</f>
        <v>0</v>
      </c>
    </row>
    <row r="352" spans="1:18" ht="13.5" customHeight="1" x14ac:dyDescent="0.25">
      <c r="A352" s="116" t="s">
        <v>2211</v>
      </c>
      <c r="B352" s="112">
        <v>45065</v>
      </c>
      <c r="C352" s="365" t="s">
        <v>2212</v>
      </c>
      <c r="D352" s="271"/>
      <c r="E352" s="271"/>
      <c r="F352" s="271"/>
      <c r="G352" s="271"/>
      <c r="H352" s="273"/>
      <c r="I352" s="26" t="s">
        <v>502</v>
      </c>
      <c r="J352" s="440">
        <v>165000</v>
      </c>
      <c r="K352" s="273"/>
      <c r="L352" s="438" t="e">
        <f t="shared" si="5"/>
        <v>#N/A</v>
      </c>
      <c r="M352" s="273"/>
      <c r="N352" s="438">
        <v>138655.46218487396</v>
      </c>
      <c r="O352" s="273"/>
      <c r="P352" s="439">
        <f t="shared" si="4"/>
        <v>165000</v>
      </c>
      <c r="Q352" s="273"/>
      <c r="R352">
        <f>presup!M$368</f>
        <v>0</v>
      </c>
    </row>
    <row r="353" spans="1:18" ht="13.5" customHeight="1" x14ac:dyDescent="0.25">
      <c r="A353" s="108" t="s">
        <v>2213</v>
      </c>
      <c r="B353" s="112">
        <v>45065</v>
      </c>
      <c r="C353" s="462" t="s">
        <v>2214</v>
      </c>
      <c r="D353" s="463"/>
      <c r="E353" s="463"/>
      <c r="F353" s="463"/>
      <c r="G353" s="463"/>
      <c r="H353" s="446"/>
      <c r="I353" s="26" t="s">
        <v>502</v>
      </c>
      <c r="J353" s="440">
        <v>250000</v>
      </c>
      <c r="K353" s="273"/>
      <c r="L353" s="438" t="e">
        <f t="shared" si="5"/>
        <v>#N/A</v>
      </c>
      <c r="M353" s="273"/>
      <c r="N353" s="438">
        <v>210084.03361344538</v>
      </c>
      <c r="O353" s="273"/>
      <c r="P353" s="439">
        <f t="shared" si="4"/>
        <v>250000</v>
      </c>
      <c r="Q353" s="273"/>
      <c r="R353">
        <f>presup!M$368</f>
        <v>0</v>
      </c>
    </row>
    <row r="354" spans="1:18" ht="13.5" customHeight="1" x14ac:dyDescent="0.25">
      <c r="A354" s="108" t="s">
        <v>2215</v>
      </c>
      <c r="B354" s="112">
        <v>45065</v>
      </c>
      <c r="C354" s="365" t="s">
        <v>2216</v>
      </c>
      <c r="D354" s="271"/>
      <c r="E354" s="271"/>
      <c r="F354" s="271"/>
      <c r="G354" s="271"/>
      <c r="H354" s="273"/>
      <c r="I354" s="26" t="s">
        <v>502</v>
      </c>
      <c r="J354" s="440">
        <v>495000</v>
      </c>
      <c r="K354" s="273"/>
      <c r="L354" s="438" t="e">
        <f t="shared" si="5"/>
        <v>#N/A</v>
      </c>
      <c r="M354" s="273"/>
      <c r="N354" s="438">
        <v>415966.38655462186</v>
      </c>
      <c r="O354" s="273"/>
      <c r="P354" s="439">
        <f t="shared" si="4"/>
        <v>495000</v>
      </c>
      <c r="Q354" s="273"/>
      <c r="R354">
        <f>presup!M$368</f>
        <v>0</v>
      </c>
    </row>
    <row r="355" spans="1:18" ht="13.5" customHeight="1" x14ac:dyDescent="0.25">
      <c r="A355" s="108" t="s">
        <v>2217</v>
      </c>
      <c r="B355" s="112">
        <v>45065</v>
      </c>
      <c r="C355" s="462" t="s">
        <v>1499</v>
      </c>
      <c r="D355" s="463"/>
      <c r="E355" s="463"/>
      <c r="F355" s="463"/>
      <c r="G355" s="463"/>
      <c r="H355" s="446"/>
      <c r="I355" s="26" t="s">
        <v>1827</v>
      </c>
      <c r="J355" s="440">
        <v>595000</v>
      </c>
      <c r="K355" s="273"/>
      <c r="L355" s="438" t="e">
        <f t="shared" si="5"/>
        <v>#N/A</v>
      </c>
      <c r="M355" s="273"/>
      <c r="N355" s="438">
        <v>500000</v>
      </c>
      <c r="O355" s="273"/>
      <c r="P355" s="439">
        <f t="shared" si="4"/>
        <v>595000</v>
      </c>
      <c r="Q355" s="273"/>
      <c r="R355">
        <f>presup!M$368</f>
        <v>0</v>
      </c>
    </row>
    <row r="356" spans="1:18" ht="13.5" customHeight="1" x14ac:dyDescent="0.25">
      <c r="A356" s="108" t="s">
        <v>2218</v>
      </c>
      <c r="B356" s="112">
        <v>45065</v>
      </c>
      <c r="C356" s="462" t="s">
        <v>1500</v>
      </c>
      <c r="D356" s="463"/>
      <c r="E356" s="463"/>
      <c r="F356" s="463"/>
      <c r="G356" s="463"/>
      <c r="H356" s="446"/>
      <c r="I356" s="26" t="s">
        <v>1410</v>
      </c>
      <c r="J356" s="440">
        <v>13090</v>
      </c>
      <c r="K356" s="273"/>
      <c r="L356" s="438" t="e">
        <f t="shared" si="5"/>
        <v>#N/A</v>
      </c>
      <c r="M356" s="273"/>
      <c r="N356" s="438">
        <v>11000</v>
      </c>
      <c r="O356" s="273"/>
      <c r="P356" s="439">
        <f t="shared" si="4"/>
        <v>13090</v>
      </c>
      <c r="Q356" s="273"/>
      <c r="R356">
        <f>presup!M$368</f>
        <v>0</v>
      </c>
    </row>
    <row r="357" spans="1:18" ht="13.5" customHeight="1" x14ac:dyDescent="0.25">
      <c r="A357" s="116" t="s">
        <v>2219</v>
      </c>
      <c r="B357" s="112">
        <v>45065</v>
      </c>
      <c r="C357" s="365" t="s">
        <v>2220</v>
      </c>
      <c r="D357" s="271"/>
      <c r="E357" s="271"/>
      <c r="F357" s="271"/>
      <c r="G357" s="271"/>
      <c r="H357" s="273"/>
      <c r="I357" s="26" t="s">
        <v>1815</v>
      </c>
      <c r="J357" s="440">
        <v>17150</v>
      </c>
      <c r="K357" s="273"/>
      <c r="L357" s="438" t="e">
        <f t="shared" si="5"/>
        <v>#N/A</v>
      </c>
      <c r="M357" s="273"/>
      <c r="N357" s="438">
        <v>14411.764705882353</v>
      </c>
      <c r="O357" s="273"/>
      <c r="P357" s="439">
        <f t="shared" si="4"/>
        <v>17150</v>
      </c>
      <c r="Q357" s="273"/>
      <c r="R357">
        <f>presup!M$368</f>
        <v>0</v>
      </c>
    </row>
    <row r="358" spans="1:18" ht="13.5" customHeight="1" x14ac:dyDescent="0.25">
      <c r="A358" s="108" t="s">
        <v>2221</v>
      </c>
      <c r="B358" s="112">
        <v>45066</v>
      </c>
      <c r="C358" s="372" t="s">
        <v>1504</v>
      </c>
      <c r="D358" s="373"/>
      <c r="E358" s="373"/>
      <c r="F358" s="373"/>
      <c r="G358" s="373"/>
      <c r="H358" s="361"/>
      <c r="I358" s="258" t="s">
        <v>1382</v>
      </c>
      <c r="J358" s="441">
        <v>107100</v>
      </c>
      <c r="K358" s="361"/>
      <c r="L358" s="438" t="e">
        <f t="shared" si="5"/>
        <v>#N/A</v>
      </c>
      <c r="M358" s="273"/>
      <c r="N358" s="438">
        <v>61948</v>
      </c>
      <c r="O358" s="273"/>
      <c r="P358" s="439">
        <f t="shared" si="4"/>
        <v>107100</v>
      </c>
      <c r="Q358" s="273"/>
      <c r="R358">
        <f>presup!M$368</f>
        <v>0</v>
      </c>
    </row>
    <row r="359" spans="1:18" ht="13.5" customHeight="1" x14ac:dyDescent="0.25">
      <c r="A359" s="108" t="s">
        <v>2222</v>
      </c>
      <c r="B359" s="112">
        <v>45066</v>
      </c>
      <c r="C359" s="462" t="s">
        <v>1505</v>
      </c>
      <c r="D359" s="463"/>
      <c r="E359" s="463"/>
      <c r="F359" s="463"/>
      <c r="G359" s="463"/>
      <c r="H359" s="446"/>
      <c r="I359" s="26" t="s">
        <v>1815</v>
      </c>
      <c r="J359" s="440">
        <v>32350</v>
      </c>
      <c r="K359" s="273"/>
      <c r="L359" s="438" t="e">
        <f t="shared" si="5"/>
        <v>#N/A</v>
      </c>
      <c r="M359" s="273"/>
      <c r="N359" s="438">
        <v>27184.873949579833</v>
      </c>
      <c r="O359" s="273"/>
      <c r="P359" s="439">
        <f t="shared" si="4"/>
        <v>32350</v>
      </c>
      <c r="Q359" s="273"/>
      <c r="R359">
        <f>presup!M$368</f>
        <v>0</v>
      </c>
    </row>
    <row r="360" spans="1:18" ht="13.5" customHeight="1" x14ac:dyDescent="0.25">
      <c r="A360" s="108" t="s">
        <v>2223</v>
      </c>
      <c r="B360" s="112">
        <v>45066</v>
      </c>
      <c r="C360" s="462" t="s">
        <v>1508</v>
      </c>
      <c r="D360" s="463"/>
      <c r="E360" s="463"/>
      <c r="F360" s="463"/>
      <c r="G360" s="463"/>
      <c r="H360" s="446"/>
      <c r="I360" s="26" t="s">
        <v>502</v>
      </c>
      <c r="J360" s="440">
        <v>429</v>
      </c>
      <c r="K360" s="273"/>
      <c r="L360" s="438" t="e">
        <f t="shared" si="5"/>
        <v>#N/A</v>
      </c>
      <c r="M360" s="273"/>
      <c r="N360" s="438">
        <v>360.50420168067228</v>
      </c>
      <c r="O360" s="273"/>
      <c r="P360" s="439">
        <f t="shared" si="4"/>
        <v>429</v>
      </c>
      <c r="Q360" s="273"/>
      <c r="R360">
        <f>presup!M$368</f>
        <v>0</v>
      </c>
    </row>
    <row r="361" spans="1:18" ht="13.5" customHeight="1" x14ac:dyDescent="0.25">
      <c r="A361" s="108" t="s">
        <v>2224</v>
      </c>
      <c r="B361" s="112">
        <v>45066</v>
      </c>
      <c r="C361" s="462" t="s">
        <v>1506</v>
      </c>
      <c r="D361" s="463"/>
      <c r="E361" s="463"/>
      <c r="F361" s="463"/>
      <c r="G361" s="463"/>
      <c r="H361" s="446"/>
      <c r="I361" s="26" t="s">
        <v>502</v>
      </c>
      <c r="J361" s="440">
        <v>1739</v>
      </c>
      <c r="K361" s="273"/>
      <c r="L361" s="438" t="e">
        <f t="shared" si="5"/>
        <v>#N/A</v>
      </c>
      <c r="M361" s="273"/>
      <c r="N361" s="438">
        <v>1461.3445378151262</v>
      </c>
      <c r="O361" s="273"/>
      <c r="P361" s="439">
        <f t="shared" si="4"/>
        <v>1739</v>
      </c>
      <c r="Q361" s="273"/>
      <c r="R361">
        <f>presup!M$368</f>
        <v>0</v>
      </c>
    </row>
    <row r="362" spans="1:18" ht="13.5" customHeight="1" x14ac:dyDescent="0.25">
      <c r="A362" s="108" t="s">
        <v>2225</v>
      </c>
      <c r="B362" s="112">
        <v>45066</v>
      </c>
      <c r="C362" s="462" t="s">
        <v>1507</v>
      </c>
      <c r="D362" s="463"/>
      <c r="E362" s="463"/>
      <c r="F362" s="463"/>
      <c r="G362" s="463"/>
      <c r="H362" s="446"/>
      <c r="I362" s="26" t="s">
        <v>1827</v>
      </c>
      <c r="J362" s="440">
        <v>55166.27</v>
      </c>
      <c r="K362" s="273"/>
      <c r="L362" s="438" t="e">
        <f t="shared" si="5"/>
        <v>#N/A</v>
      </c>
      <c r="M362" s="273"/>
      <c r="N362" s="438">
        <v>46358.210084033613</v>
      </c>
      <c r="O362" s="273"/>
      <c r="P362" s="439">
        <f t="shared" si="4"/>
        <v>55166.27</v>
      </c>
      <c r="Q362" s="273"/>
      <c r="R362">
        <f>presup!M$368</f>
        <v>0</v>
      </c>
    </row>
    <row r="363" spans="1:18" ht="13.5" customHeight="1" x14ac:dyDescent="0.25">
      <c r="A363" s="108" t="s">
        <v>2226</v>
      </c>
      <c r="B363" s="112">
        <v>45066</v>
      </c>
      <c r="C363" s="462" t="s">
        <v>1509</v>
      </c>
      <c r="D363" s="463"/>
      <c r="E363" s="463"/>
      <c r="F363" s="463"/>
      <c r="G363" s="463"/>
      <c r="H363" s="446"/>
      <c r="I363" s="26" t="s">
        <v>1815</v>
      </c>
      <c r="J363" s="440">
        <v>9325</v>
      </c>
      <c r="K363" s="273"/>
      <c r="L363" s="438" t="e">
        <f t="shared" si="5"/>
        <v>#N/A</v>
      </c>
      <c r="M363" s="273"/>
      <c r="N363" s="438">
        <v>7836.134453781513</v>
      </c>
      <c r="O363" s="273"/>
      <c r="P363" s="439">
        <f t="shared" si="4"/>
        <v>9325</v>
      </c>
      <c r="Q363" s="273"/>
      <c r="R363">
        <f>presup!M$368</f>
        <v>0</v>
      </c>
    </row>
    <row r="364" spans="1:18" ht="13.5" customHeight="1" x14ac:dyDescent="0.25">
      <c r="A364" s="108" t="s">
        <v>2227</v>
      </c>
      <c r="B364" s="112">
        <v>45066</v>
      </c>
      <c r="C364" s="365" t="s">
        <v>1511</v>
      </c>
      <c r="D364" s="271"/>
      <c r="E364" s="271"/>
      <c r="F364" s="271"/>
      <c r="G364" s="271"/>
      <c r="H364" s="273"/>
      <c r="I364" s="26" t="s">
        <v>1815</v>
      </c>
      <c r="J364" s="440">
        <v>7558.33</v>
      </c>
      <c r="K364" s="273"/>
      <c r="L364" s="438" t="e">
        <f t="shared" si="5"/>
        <v>#N/A</v>
      </c>
      <c r="M364" s="273"/>
      <c r="N364" s="438">
        <v>6351.5378151260502</v>
      </c>
      <c r="O364" s="273"/>
      <c r="P364" s="439">
        <f t="shared" si="4"/>
        <v>7558.33</v>
      </c>
      <c r="Q364" s="273"/>
      <c r="R364">
        <f>presup!M$368</f>
        <v>0</v>
      </c>
    </row>
    <row r="365" spans="1:18" ht="13.5" customHeight="1" x14ac:dyDescent="0.25">
      <c r="A365" s="116" t="s">
        <v>2228</v>
      </c>
      <c r="B365" s="112">
        <v>45066</v>
      </c>
      <c r="C365" s="365" t="s">
        <v>1515</v>
      </c>
      <c r="D365" s="271"/>
      <c r="E365" s="271"/>
      <c r="F365" s="271"/>
      <c r="G365" s="271"/>
      <c r="H365" s="273"/>
      <c r="I365" s="26" t="s">
        <v>1382</v>
      </c>
      <c r="J365" s="440">
        <v>416000</v>
      </c>
      <c r="K365" s="273"/>
      <c r="L365" s="438" t="e">
        <f t="shared" si="5"/>
        <v>#N/A</v>
      </c>
      <c r="M365" s="273"/>
      <c r="N365" s="438">
        <v>349579.83193277312</v>
      </c>
      <c r="O365" s="273"/>
      <c r="P365" s="439">
        <f t="shared" si="4"/>
        <v>416000</v>
      </c>
      <c r="Q365" s="273"/>
      <c r="R365">
        <f>presup!M$368</f>
        <v>0</v>
      </c>
    </row>
    <row r="366" spans="1:18" ht="13.5" customHeight="1" x14ac:dyDescent="0.25">
      <c r="A366" s="108" t="s">
        <v>2229</v>
      </c>
      <c r="B366" s="112">
        <v>45066</v>
      </c>
      <c r="C366" s="462" t="s">
        <v>1510</v>
      </c>
      <c r="D366" s="463"/>
      <c r="E366" s="463"/>
      <c r="F366" s="463"/>
      <c r="G366" s="463"/>
      <c r="H366" s="446"/>
      <c r="I366" s="26" t="s">
        <v>502</v>
      </c>
      <c r="J366" s="440">
        <v>19748</v>
      </c>
      <c r="K366" s="273"/>
      <c r="L366" s="438" t="e">
        <f t="shared" si="5"/>
        <v>#N/A</v>
      </c>
      <c r="M366" s="273"/>
      <c r="N366" s="438">
        <v>16594.957983193279</v>
      </c>
      <c r="O366" s="273"/>
      <c r="P366" s="439">
        <f t="shared" si="4"/>
        <v>19748</v>
      </c>
      <c r="Q366" s="273"/>
      <c r="R366">
        <f>presup!M$368</f>
        <v>0</v>
      </c>
    </row>
    <row r="367" spans="1:18" ht="13.5" customHeight="1" x14ac:dyDescent="0.25">
      <c r="A367" s="108" t="s">
        <v>2230</v>
      </c>
      <c r="B367" s="112">
        <v>45066</v>
      </c>
      <c r="C367" s="365" t="s">
        <v>1516</v>
      </c>
      <c r="D367" s="271"/>
      <c r="E367" s="271"/>
      <c r="F367" s="271"/>
      <c r="G367" s="271"/>
      <c r="H367" s="273"/>
      <c r="I367" s="26" t="s">
        <v>1827</v>
      </c>
      <c r="J367" s="440">
        <v>2235000</v>
      </c>
      <c r="K367" s="273"/>
      <c r="L367" s="438" t="e">
        <f t="shared" si="5"/>
        <v>#N/A</v>
      </c>
      <c r="M367" s="273"/>
      <c r="N367" s="438">
        <v>1878151.2605042018</v>
      </c>
      <c r="O367" s="273"/>
      <c r="P367" s="439">
        <f t="shared" si="4"/>
        <v>2235000</v>
      </c>
      <c r="Q367" s="273"/>
      <c r="R367">
        <f>presup!M$368</f>
        <v>0</v>
      </c>
    </row>
    <row r="368" spans="1:18" ht="13.5" customHeight="1" x14ac:dyDescent="0.25">
      <c r="A368" s="108" t="s">
        <v>2231</v>
      </c>
      <c r="B368" s="112">
        <v>45066</v>
      </c>
      <c r="C368" s="365" t="s">
        <v>1517</v>
      </c>
      <c r="D368" s="271"/>
      <c r="E368" s="271"/>
      <c r="F368" s="271"/>
      <c r="G368" s="271"/>
      <c r="H368" s="273"/>
      <c r="I368" s="26" t="s">
        <v>502</v>
      </c>
      <c r="J368" s="440">
        <v>158083200</v>
      </c>
      <c r="K368" s="273"/>
      <c r="L368" s="438" t="e">
        <f t="shared" si="5"/>
        <v>#N/A</v>
      </c>
      <c r="M368" s="273"/>
      <c r="N368" s="438">
        <v>115546218.48739496</v>
      </c>
      <c r="O368" s="273"/>
      <c r="P368" s="439">
        <f t="shared" si="4"/>
        <v>158083200</v>
      </c>
      <c r="Q368" s="273"/>
      <c r="R368">
        <f>presup!M$368</f>
        <v>0</v>
      </c>
    </row>
    <row r="369" spans="1:18" ht="13.5" customHeight="1" x14ac:dyDescent="0.25">
      <c r="A369" s="116" t="s">
        <v>2232</v>
      </c>
      <c r="B369" s="112">
        <v>45066</v>
      </c>
      <c r="C369" s="365" t="s">
        <v>1519</v>
      </c>
      <c r="D369" s="271"/>
      <c r="E369" s="271"/>
      <c r="F369" s="271"/>
      <c r="G369" s="271"/>
      <c r="H369" s="273"/>
      <c r="I369" s="26" t="s">
        <v>502</v>
      </c>
      <c r="J369" s="440"/>
      <c r="K369" s="273"/>
      <c r="L369" s="438" t="e">
        <f t="shared" si="5"/>
        <v>#N/A</v>
      </c>
      <c r="M369" s="273"/>
      <c r="N369" s="438">
        <v>0</v>
      </c>
      <c r="O369" s="273"/>
      <c r="P369" s="439">
        <f t="shared" si="4"/>
        <v>0</v>
      </c>
      <c r="Q369" s="273"/>
      <c r="R369">
        <f>presup!M$368</f>
        <v>0</v>
      </c>
    </row>
    <row r="370" spans="1:18" ht="13.5" customHeight="1" x14ac:dyDescent="0.25">
      <c r="A370" s="108" t="s">
        <v>2233</v>
      </c>
      <c r="B370" s="112">
        <v>45066</v>
      </c>
      <c r="C370" s="462" t="s">
        <v>1520</v>
      </c>
      <c r="D370" s="463"/>
      <c r="E370" s="463"/>
      <c r="F370" s="463"/>
      <c r="G370" s="463"/>
      <c r="H370" s="446"/>
      <c r="I370" s="26" t="s">
        <v>502</v>
      </c>
      <c r="J370" s="440">
        <v>94011600</v>
      </c>
      <c r="K370" s="273"/>
      <c r="L370" s="438" t="e">
        <f t="shared" si="5"/>
        <v>#N/A</v>
      </c>
      <c r="M370" s="273"/>
      <c r="N370" s="438">
        <v>65966386.554621853</v>
      </c>
      <c r="O370" s="273"/>
      <c r="P370" s="439">
        <f t="shared" si="4"/>
        <v>94011600</v>
      </c>
      <c r="Q370" s="273"/>
      <c r="R370">
        <f>presup!M$368</f>
        <v>0</v>
      </c>
    </row>
    <row r="371" spans="1:18" ht="13.5" customHeight="1" x14ac:dyDescent="0.25">
      <c r="A371" s="108" t="s">
        <v>2234</v>
      </c>
      <c r="B371" s="112">
        <v>45066</v>
      </c>
      <c r="C371" s="462" t="s">
        <v>1522</v>
      </c>
      <c r="D371" s="463"/>
      <c r="E371" s="463"/>
      <c r="F371" s="463"/>
      <c r="G371" s="463"/>
      <c r="H371" s="446"/>
      <c r="I371" s="26" t="s">
        <v>502</v>
      </c>
      <c r="J371" s="440">
        <v>2395000</v>
      </c>
      <c r="K371" s="273"/>
      <c r="L371" s="438" t="e">
        <f t="shared" si="5"/>
        <v>#N/A</v>
      </c>
      <c r="M371" s="273"/>
      <c r="N371" s="438">
        <v>2012605.0420168068</v>
      </c>
      <c r="O371" s="273"/>
      <c r="P371" s="439">
        <f t="shared" si="4"/>
        <v>2395000</v>
      </c>
      <c r="Q371" s="273"/>
      <c r="R371">
        <f>presup!M$368</f>
        <v>0</v>
      </c>
    </row>
    <row r="372" spans="1:18" ht="27" customHeight="1" x14ac:dyDescent="0.2">
      <c r="A372" s="108" t="s">
        <v>2235</v>
      </c>
      <c r="B372" s="112">
        <v>45066</v>
      </c>
      <c r="C372" s="462" t="s">
        <v>1521</v>
      </c>
      <c r="D372" s="463"/>
      <c r="E372" s="463"/>
      <c r="F372" s="463"/>
      <c r="G372" s="463"/>
      <c r="H372" s="446"/>
      <c r="I372" s="26" t="s">
        <v>502</v>
      </c>
      <c r="J372" s="440">
        <f>8433506+(3450000*1.19)</f>
        <v>12539006</v>
      </c>
      <c r="K372" s="273"/>
      <c r="L372" s="438" t="e">
        <f t="shared" si="5"/>
        <v>#N/A</v>
      </c>
      <c r="M372" s="273"/>
      <c r="N372" s="438">
        <v>2700000</v>
      </c>
      <c r="O372" s="273"/>
      <c r="P372" s="438">
        <f t="shared" si="4"/>
        <v>12539006</v>
      </c>
      <c r="Q372" s="273"/>
      <c r="R372">
        <f>presup!M$368</f>
        <v>0</v>
      </c>
    </row>
    <row r="373" spans="1:18" ht="13.5" customHeight="1" x14ac:dyDescent="0.25">
      <c r="A373" s="116" t="s">
        <v>2236</v>
      </c>
      <c r="B373" s="112">
        <v>45066</v>
      </c>
      <c r="C373" s="365" t="s">
        <v>2237</v>
      </c>
      <c r="D373" s="271"/>
      <c r="E373" s="271"/>
      <c r="F373" s="271"/>
      <c r="G373" s="271"/>
      <c r="H373" s="273"/>
      <c r="I373" s="26" t="s">
        <v>502</v>
      </c>
      <c r="J373" s="440"/>
      <c r="K373" s="273"/>
      <c r="L373" s="438" t="e">
        <f t="shared" si="5"/>
        <v>#N/A</v>
      </c>
      <c r="M373" s="273"/>
      <c r="N373" s="438">
        <v>0</v>
      </c>
      <c r="O373" s="273"/>
      <c r="P373" s="439">
        <f t="shared" si="4"/>
        <v>0</v>
      </c>
      <c r="Q373" s="273"/>
      <c r="R373">
        <f>presup!M$368</f>
        <v>0</v>
      </c>
    </row>
    <row r="374" spans="1:18" ht="13.5" customHeight="1" x14ac:dyDescent="0.25">
      <c r="A374" s="116" t="s">
        <v>2238</v>
      </c>
      <c r="B374" s="112">
        <v>45066</v>
      </c>
      <c r="C374" s="365" t="s">
        <v>2239</v>
      </c>
      <c r="D374" s="271"/>
      <c r="E374" s="271"/>
      <c r="F374" s="271"/>
      <c r="G374" s="271"/>
      <c r="H374" s="273"/>
      <c r="I374" s="26" t="s">
        <v>1815</v>
      </c>
      <c r="J374" s="440">
        <v>40998</v>
      </c>
      <c r="K374" s="273"/>
      <c r="L374" s="438" t="e">
        <f t="shared" si="5"/>
        <v>#N/A</v>
      </c>
      <c r="M374" s="273"/>
      <c r="N374" s="438">
        <v>34452.100840336134</v>
      </c>
      <c r="O374" s="273"/>
      <c r="P374" s="439">
        <f t="shared" si="4"/>
        <v>40998</v>
      </c>
      <c r="Q374" s="273"/>
      <c r="R374">
        <f>presup!M$368</f>
        <v>0</v>
      </c>
    </row>
    <row r="375" spans="1:18" ht="13.5" customHeight="1" x14ac:dyDescent="0.25">
      <c r="A375" s="108" t="s">
        <v>2240</v>
      </c>
      <c r="B375" s="112">
        <v>45066</v>
      </c>
      <c r="C375" s="462" t="s">
        <v>2241</v>
      </c>
      <c r="D375" s="463"/>
      <c r="E375" s="463"/>
      <c r="F375" s="463"/>
      <c r="G375" s="463"/>
      <c r="H375" s="446"/>
      <c r="I375" s="26" t="s">
        <v>1815</v>
      </c>
      <c r="J375" s="440">
        <v>17990</v>
      </c>
      <c r="K375" s="273"/>
      <c r="L375" s="438" t="e">
        <f t="shared" si="5"/>
        <v>#N/A</v>
      </c>
      <c r="M375" s="273"/>
      <c r="N375" s="438">
        <v>15117.64705882353</v>
      </c>
      <c r="O375" s="273"/>
      <c r="P375" s="439">
        <f t="shared" si="4"/>
        <v>17990</v>
      </c>
      <c r="Q375" s="273"/>
      <c r="R375">
        <f>presup!M$368</f>
        <v>0</v>
      </c>
    </row>
    <row r="376" spans="1:18" ht="13.5" customHeight="1" x14ac:dyDescent="0.25">
      <c r="A376" s="108" t="s">
        <v>2242</v>
      </c>
      <c r="B376" s="112">
        <v>45066</v>
      </c>
      <c r="C376" s="365" t="s">
        <v>1534</v>
      </c>
      <c r="D376" s="271"/>
      <c r="E376" s="271"/>
      <c r="F376" s="271"/>
      <c r="G376" s="271"/>
      <c r="H376" s="273"/>
      <c r="I376" s="26" t="s">
        <v>502</v>
      </c>
      <c r="J376" s="440">
        <v>153000</v>
      </c>
      <c r="K376" s="273"/>
      <c r="L376" s="438" t="e">
        <f t="shared" si="5"/>
        <v>#N/A</v>
      </c>
      <c r="M376" s="273"/>
      <c r="N376" s="438">
        <v>0</v>
      </c>
      <c r="O376" s="273"/>
      <c r="P376" s="439">
        <f t="shared" si="4"/>
        <v>153000</v>
      </c>
      <c r="Q376" s="273"/>
      <c r="R376">
        <f>presup!M$368</f>
        <v>0</v>
      </c>
    </row>
    <row r="377" spans="1:18" ht="13.5" customHeight="1" x14ac:dyDescent="0.25">
      <c r="A377" s="108" t="s">
        <v>2243</v>
      </c>
      <c r="B377" s="112">
        <v>45066</v>
      </c>
      <c r="C377" s="462" t="s">
        <v>1524</v>
      </c>
      <c r="D377" s="463"/>
      <c r="E377" s="463"/>
      <c r="F377" s="463"/>
      <c r="G377" s="463"/>
      <c r="H377" s="446"/>
      <c r="I377" s="26" t="s">
        <v>502</v>
      </c>
      <c r="J377" s="440">
        <v>6200</v>
      </c>
      <c r="K377" s="273"/>
      <c r="L377" s="438" t="e">
        <f t="shared" si="5"/>
        <v>#N/A</v>
      </c>
      <c r="M377" s="273"/>
      <c r="N377" s="438">
        <v>5210.0840336134452</v>
      </c>
      <c r="O377" s="273"/>
      <c r="P377" s="439">
        <f t="shared" si="4"/>
        <v>6200</v>
      </c>
      <c r="Q377" s="273"/>
      <c r="R377">
        <f>presup!M$368</f>
        <v>0</v>
      </c>
    </row>
    <row r="378" spans="1:18" ht="13.5" customHeight="1" x14ac:dyDescent="0.25">
      <c r="A378" s="108" t="s">
        <v>2244</v>
      </c>
      <c r="B378" s="112">
        <v>45066</v>
      </c>
      <c r="C378" s="462" t="s">
        <v>1538</v>
      </c>
      <c r="D378" s="463"/>
      <c r="E378" s="463"/>
      <c r="F378" s="463"/>
      <c r="G378" s="463"/>
      <c r="H378" s="446"/>
      <c r="I378" s="26" t="s">
        <v>502</v>
      </c>
      <c r="J378" s="440">
        <v>8900</v>
      </c>
      <c r="K378" s="273"/>
      <c r="L378" s="438" t="e">
        <f t="shared" si="5"/>
        <v>#N/A</v>
      </c>
      <c r="M378" s="273"/>
      <c r="N378" s="438">
        <v>7478.9915966386561</v>
      </c>
      <c r="O378" s="273"/>
      <c r="P378" s="439">
        <f t="shared" si="4"/>
        <v>8900</v>
      </c>
      <c r="Q378" s="273"/>
      <c r="R378">
        <f>presup!M$368</f>
        <v>0</v>
      </c>
    </row>
    <row r="379" spans="1:18" ht="13.5" customHeight="1" x14ac:dyDescent="0.25">
      <c r="A379" s="108" t="s">
        <v>2245</v>
      </c>
      <c r="B379" s="112">
        <v>45066</v>
      </c>
      <c r="C379" s="462" t="s">
        <v>1529</v>
      </c>
      <c r="D379" s="463"/>
      <c r="E379" s="463"/>
      <c r="F379" s="463"/>
      <c r="G379" s="463"/>
      <c r="H379" s="446"/>
      <c r="I379" s="26" t="s">
        <v>502</v>
      </c>
      <c r="J379" s="440">
        <v>18900</v>
      </c>
      <c r="K379" s="273"/>
      <c r="L379" s="438" t="e">
        <f t="shared" si="5"/>
        <v>#N/A</v>
      </c>
      <c r="M379" s="273"/>
      <c r="N379" s="438">
        <v>15882.352941176472</v>
      </c>
      <c r="O379" s="273"/>
      <c r="P379" s="439">
        <f t="shared" si="4"/>
        <v>18900</v>
      </c>
      <c r="Q379" s="273"/>
      <c r="R379">
        <f>presup!M$368</f>
        <v>0</v>
      </c>
    </row>
    <row r="380" spans="1:18" ht="13.5" customHeight="1" x14ac:dyDescent="0.25">
      <c r="A380" s="108" t="s">
        <v>2246</v>
      </c>
      <c r="B380" s="112">
        <v>45066</v>
      </c>
      <c r="C380" s="365" t="s">
        <v>1541</v>
      </c>
      <c r="D380" s="271"/>
      <c r="E380" s="271"/>
      <c r="F380" s="271"/>
      <c r="G380" s="271"/>
      <c r="H380" s="273"/>
      <c r="I380" s="26" t="s">
        <v>502</v>
      </c>
      <c r="J380" s="440">
        <v>8900</v>
      </c>
      <c r="K380" s="273"/>
      <c r="L380" s="438" t="e">
        <f t="shared" si="5"/>
        <v>#N/A</v>
      </c>
      <c r="M380" s="273"/>
      <c r="N380" s="438">
        <v>7478.9915966386561</v>
      </c>
      <c r="O380" s="273"/>
      <c r="P380" s="439">
        <f t="shared" si="4"/>
        <v>8900</v>
      </c>
      <c r="Q380" s="273"/>
      <c r="R380">
        <f>presup!M$368</f>
        <v>0</v>
      </c>
    </row>
    <row r="381" spans="1:18" ht="13.5" customHeight="1" x14ac:dyDescent="0.25">
      <c r="A381" s="108" t="s">
        <v>2247</v>
      </c>
      <c r="B381" s="112">
        <v>45066</v>
      </c>
      <c r="C381" s="365" t="s">
        <v>1543</v>
      </c>
      <c r="D381" s="271"/>
      <c r="E381" s="271"/>
      <c r="F381" s="271"/>
      <c r="G381" s="271"/>
      <c r="H381" s="273"/>
      <c r="I381" s="26" t="s">
        <v>502</v>
      </c>
      <c r="J381" s="440">
        <v>8000</v>
      </c>
      <c r="K381" s="273"/>
      <c r="L381" s="438" t="e">
        <f t="shared" si="5"/>
        <v>#N/A</v>
      </c>
      <c r="M381" s="273"/>
      <c r="N381" s="438">
        <v>6722.6890756302528</v>
      </c>
      <c r="O381" s="273"/>
      <c r="P381" s="439">
        <f t="shared" si="4"/>
        <v>8000</v>
      </c>
      <c r="Q381" s="273"/>
      <c r="R381">
        <f>presup!M$368</f>
        <v>0</v>
      </c>
    </row>
    <row r="382" spans="1:18" ht="13.5" customHeight="1" x14ac:dyDescent="0.25">
      <c r="A382" s="108" t="s">
        <v>2248</v>
      </c>
      <c r="B382" s="112">
        <v>45066</v>
      </c>
      <c r="C382" s="365" t="s">
        <v>1544</v>
      </c>
      <c r="D382" s="271"/>
      <c r="E382" s="271"/>
      <c r="F382" s="271"/>
      <c r="G382" s="271"/>
      <c r="H382" s="273"/>
      <c r="I382" s="26" t="s">
        <v>502</v>
      </c>
      <c r="J382" s="440">
        <v>332843</v>
      </c>
      <c r="K382" s="273"/>
      <c r="L382" s="438" t="e">
        <f t="shared" si="5"/>
        <v>#N/A</v>
      </c>
      <c r="M382" s="273"/>
      <c r="N382" s="438">
        <v>279700</v>
      </c>
      <c r="O382" s="273"/>
      <c r="P382" s="439">
        <f t="shared" si="4"/>
        <v>332843</v>
      </c>
      <c r="Q382" s="273"/>
      <c r="R382">
        <f>presup!M$368</f>
        <v>0</v>
      </c>
    </row>
    <row r="383" spans="1:18" ht="13.5" customHeight="1" x14ac:dyDescent="0.25">
      <c r="A383" s="108" t="s">
        <v>2249</v>
      </c>
      <c r="B383" s="112">
        <v>45066</v>
      </c>
      <c r="C383" s="462" t="s">
        <v>1530</v>
      </c>
      <c r="D383" s="463"/>
      <c r="E383" s="463"/>
      <c r="F383" s="463"/>
      <c r="G383" s="463"/>
      <c r="H383" s="446"/>
      <c r="I383" s="26" t="s">
        <v>502</v>
      </c>
      <c r="J383" s="440">
        <v>3200</v>
      </c>
      <c r="K383" s="273"/>
      <c r="L383" s="438" t="e">
        <f t="shared" si="5"/>
        <v>#N/A</v>
      </c>
      <c r="M383" s="273"/>
      <c r="N383" s="438">
        <v>2689.0756302521008</v>
      </c>
      <c r="O383" s="273"/>
      <c r="P383" s="439">
        <f t="shared" si="4"/>
        <v>3200</v>
      </c>
      <c r="Q383" s="273"/>
      <c r="R383">
        <f>presup!M$368</f>
        <v>0</v>
      </c>
    </row>
    <row r="384" spans="1:18" ht="13.5" customHeight="1" x14ac:dyDescent="0.25">
      <c r="A384" s="116" t="s">
        <v>2250</v>
      </c>
      <c r="B384" s="112">
        <v>45066</v>
      </c>
      <c r="C384" s="365" t="s">
        <v>2251</v>
      </c>
      <c r="D384" s="271"/>
      <c r="E384" s="271"/>
      <c r="F384" s="271"/>
      <c r="G384" s="271"/>
      <c r="H384" s="273"/>
      <c r="I384" s="26" t="s">
        <v>1815</v>
      </c>
      <c r="J384" s="440">
        <v>19816.669999999998</v>
      </c>
      <c r="K384" s="273"/>
      <c r="L384" s="438" t="e">
        <f t="shared" si="5"/>
        <v>#N/A</v>
      </c>
      <c r="M384" s="273"/>
      <c r="N384" s="438">
        <v>16652.663865546219</v>
      </c>
      <c r="O384" s="273"/>
      <c r="P384" s="439">
        <f t="shared" si="4"/>
        <v>19816.669999999998</v>
      </c>
      <c r="Q384" s="273"/>
      <c r="R384">
        <f>presup!M$368</f>
        <v>0</v>
      </c>
    </row>
    <row r="385" spans="1:18" ht="13.5" customHeight="1" x14ac:dyDescent="0.25">
      <c r="A385" s="108" t="s">
        <v>2252</v>
      </c>
      <c r="B385" s="112">
        <v>45066</v>
      </c>
      <c r="C385" s="462" t="s">
        <v>1531</v>
      </c>
      <c r="D385" s="463"/>
      <c r="E385" s="463"/>
      <c r="F385" s="463"/>
      <c r="G385" s="463"/>
      <c r="H385" s="446"/>
      <c r="I385" s="26" t="s">
        <v>1815</v>
      </c>
      <c r="J385" s="440">
        <f>101995/6</f>
        <v>16999.166666666668</v>
      </c>
      <c r="K385" s="273"/>
      <c r="L385" s="438" t="e">
        <f t="shared" si="5"/>
        <v>#N/A</v>
      </c>
      <c r="M385" s="273"/>
      <c r="N385" s="438">
        <v>14285.014005602243</v>
      </c>
      <c r="O385" s="273"/>
      <c r="P385" s="439">
        <f t="shared" si="4"/>
        <v>16999.166666666668</v>
      </c>
      <c r="Q385" s="273"/>
      <c r="R385">
        <f>presup!M$368</f>
        <v>0</v>
      </c>
    </row>
    <row r="386" spans="1:18" ht="13.5" customHeight="1" x14ac:dyDescent="0.25">
      <c r="A386" s="108" t="s">
        <v>2253</v>
      </c>
      <c r="B386" s="112">
        <v>45066</v>
      </c>
      <c r="C386" s="462" t="s">
        <v>1532</v>
      </c>
      <c r="D386" s="463"/>
      <c r="E386" s="463"/>
      <c r="F386" s="463"/>
      <c r="G386" s="463"/>
      <c r="H386" s="446"/>
      <c r="I386" s="26" t="s">
        <v>502</v>
      </c>
      <c r="J386" s="440">
        <v>43536</v>
      </c>
      <c r="K386" s="273"/>
      <c r="L386" s="438" t="e">
        <f t="shared" si="5"/>
        <v>#N/A</v>
      </c>
      <c r="M386" s="273"/>
      <c r="N386" s="438">
        <v>36584.873949579836</v>
      </c>
      <c r="O386" s="273"/>
      <c r="P386" s="439">
        <f t="shared" si="4"/>
        <v>43536</v>
      </c>
      <c r="Q386" s="273"/>
      <c r="R386">
        <f>presup!M$368</f>
        <v>0</v>
      </c>
    </row>
    <row r="387" spans="1:18" ht="13.5" customHeight="1" x14ac:dyDescent="0.25">
      <c r="A387" s="108" t="s">
        <v>2254</v>
      </c>
      <c r="B387" s="112">
        <v>45066</v>
      </c>
      <c r="C387" s="365" t="s">
        <v>1525</v>
      </c>
      <c r="D387" s="271"/>
      <c r="E387" s="271"/>
      <c r="F387" s="271"/>
      <c r="G387" s="271"/>
      <c r="H387" s="273"/>
      <c r="I387" s="26" t="s">
        <v>502</v>
      </c>
      <c r="J387" s="440">
        <v>191352</v>
      </c>
      <c r="K387" s="273"/>
      <c r="L387" s="438" t="e">
        <f t="shared" si="5"/>
        <v>#N/A</v>
      </c>
      <c r="M387" s="273"/>
      <c r="N387" s="438">
        <v>160800</v>
      </c>
      <c r="O387" s="273"/>
      <c r="P387" s="439">
        <f t="shared" si="4"/>
        <v>191352</v>
      </c>
      <c r="Q387" s="273"/>
      <c r="R387">
        <f>presup!M$368</f>
        <v>0</v>
      </c>
    </row>
    <row r="388" spans="1:18" ht="13.5" customHeight="1" x14ac:dyDescent="0.25">
      <c r="A388" s="108" t="s">
        <v>2255</v>
      </c>
      <c r="B388" s="112">
        <v>45066</v>
      </c>
      <c r="C388" s="365" t="s">
        <v>1546</v>
      </c>
      <c r="D388" s="271"/>
      <c r="E388" s="271"/>
      <c r="F388" s="271"/>
      <c r="G388" s="271"/>
      <c r="H388" s="273"/>
      <c r="I388" s="26" t="s">
        <v>1382</v>
      </c>
      <c r="J388" s="440">
        <f>+unitario!F458</f>
        <v>965054.12208278815</v>
      </c>
      <c r="K388" s="273"/>
      <c r="L388" s="438" t="e">
        <f t="shared" si="5"/>
        <v>#N/A</v>
      </c>
      <c r="M388" s="273"/>
      <c r="N388" s="438">
        <v>510732.97529234417</v>
      </c>
      <c r="O388" s="273"/>
      <c r="P388" s="439">
        <f t="shared" si="4"/>
        <v>965054.12208278815</v>
      </c>
      <c r="Q388" s="273"/>
      <c r="R388">
        <f>presup!M$368</f>
        <v>0</v>
      </c>
    </row>
    <row r="389" spans="1:18" ht="13.5" customHeight="1" x14ac:dyDescent="0.25">
      <c r="A389" s="108" t="s">
        <v>2256</v>
      </c>
      <c r="B389" s="112">
        <v>45066</v>
      </c>
      <c r="C389" s="365" t="s">
        <v>1547</v>
      </c>
      <c r="D389" s="271"/>
      <c r="E389" s="271"/>
      <c r="F389" s="271"/>
      <c r="G389" s="271"/>
      <c r="H389" s="273"/>
      <c r="I389" s="26" t="s">
        <v>502</v>
      </c>
      <c r="J389" s="440">
        <f>+unitario!$F$2565</f>
        <v>539720.19484499993</v>
      </c>
      <c r="K389" s="273"/>
      <c r="L389" s="438" t="e">
        <f t="shared" si="5"/>
        <v>#N/A</v>
      </c>
      <c r="M389" s="273"/>
      <c r="N389" s="438">
        <v>328095.09510582982</v>
      </c>
      <c r="O389" s="273"/>
      <c r="P389" s="439">
        <f t="shared" si="4"/>
        <v>539720.19484499993</v>
      </c>
      <c r="Q389" s="273"/>
      <c r="R389">
        <f>presup!M$368</f>
        <v>0</v>
      </c>
    </row>
    <row r="390" spans="1:18" ht="13.5" customHeight="1" x14ac:dyDescent="0.25">
      <c r="A390" s="117" t="s">
        <v>2257</v>
      </c>
      <c r="B390" s="112">
        <v>45068</v>
      </c>
      <c r="C390" s="462" t="s">
        <v>1548</v>
      </c>
      <c r="D390" s="463"/>
      <c r="E390" s="463"/>
      <c r="F390" s="463"/>
      <c r="G390" s="463"/>
      <c r="H390" s="446"/>
      <c r="I390" s="26" t="s">
        <v>19</v>
      </c>
      <c r="J390" s="440">
        <v>8461.9733333333334</v>
      </c>
      <c r="K390" s="273"/>
      <c r="L390" s="438" t="e">
        <f t="shared" si="5"/>
        <v>#N/A</v>
      </c>
      <c r="M390" s="273"/>
      <c r="N390" s="438">
        <v>7110.9019607843138</v>
      </c>
      <c r="O390" s="273"/>
      <c r="P390" s="439">
        <f t="shared" si="4"/>
        <v>8461.9733333333334</v>
      </c>
      <c r="Q390" s="273"/>
      <c r="R390">
        <f>presup!M$368</f>
        <v>0</v>
      </c>
    </row>
    <row r="391" spans="1:18" ht="13.5" customHeight="1" x14ac:dyDescent="0.25">
      <c r="A391" s="117" t="s">
        <v>2258</v>
      </c>
      <c r="B391" s="112">
        <v>45068</v>
      </c>
      <c r="C391" s="462" t="s">
        <v>1549</v>
      </c>
      <c r="D391" s="463"/>
      <c r="E391" s="463"/>
      <c r="F391" s="463"/>
      <c r="G391" s="463"/>
      <c r="H391" s="446"/>
      <c r="I391" s="26" t="s">
        <v>502</v>
      </c>
      <c r="J391" s="440">
        <v>1865.9199999999998</v>
      </c>
      <c r="K391" s="273"/>
      <c r="L391" s="438" t="e">
        <f t="shared" si="5"/>
        <v>#N/A</v>
      </c>
      <c r="M391" s="273"/>
      <c r="N391" s="438">
        <v>1568</v>
      </c>
      <c r="O391" s="273"/>
      <c r="P391" s="439">
        <f t="shared" si="4"/>
        <v>1865.9199999999998</v>
      </c>
      <c r="Q391" s="273"/>
      <c r="R391">
        <f>presup!M$368</f>
        <v>0</v>
      </c>
    </row>
    <row r="392" spans="1:18" ht="13.5" customHeight="1" x14ac:dyDescent="0.25">
      <c r="A392" s="117" t="s">
        <v>2259</v>
      </c>
      <c r="B392" s="112">
        <v>45068</v>
      </c>
      <c r="C392" s="462" t="s">
        <v>1550</v>
      </c>
      <c r="D392" s="463"/>
      <c r="E392" s="463"/>
      <c r="F392" s="463"/>
      <c r="G392" s="463"/>
      <c r="H392" s="446"/>
      <c r="I392" s="26" t="s">
        <v>502</v>
      </c>
      <c r="J392" s="440">
        <v>1697.3600000000001</v>
      </c>
      <c r="K392" s="273"/>
      <c r="L392" s="438" t="e">
        <f t="shared" si="5"/>
        <v>#N/A</v>
      </c>
      <c r="M392" s="273"/>
      <c r="N392" s="438">
        <v>1426.3529411764707</v>
      </c>
      <c r="O392" s="273"/>
      <c r="P392" s="439">
        <f t="shared" si="4"/>
        <v>1697.3600000000001</v>
      </c>
      <c r="Q392" s="273"/>
      <c r="R392">
        <f>presup!M$368</f>
        <v>0</v>
      </c>
    </row>
    <row r="393" spans="1:18" ht="13.5" customHeight="1" x14ac:dyDescent="0.25">
      <c r="A393" s="117" t="s">
        <v>2260</v>
      </c>
      <c r="B393" s="112">
        <v>45068</v>
      </c>
      <c r="C393" s="462" t="s">
        <v>1551</v>
      </c>
      <c r="D393" s="463"/>
      <c r="E393" s="463"/>
      <c r="F393" s="463"/>
      <c r="G393" s="463"/>
      <c r="H393" s="446"/>
      <c r="I393" s="26" t="s">
        <v>502</v>
      </c>
      <c r="J393" s="440">
        <v>2963.52</v>
      </c>
      <c r="K393" s="273"/>
      <c r="L393" s="438" t="e">
        <f t="shared" si="5"/>
        <v>#N/A</v>
      </c>
      <c r="M393" s="273"/>
      <c r="N393" s="438">
        <v>2490.3529411764707</v>
      </c>
      <c r="O393" s="273"/>
      <c r="P393" s="439">
        <f t="shared" si="4"/>
        <v>2963.52</v>
      </c>
      <c r="Q393" s="273"/>
      <c r="R393">
        <f>presup!M$368</f>
        <v>0</v>
      </c>
    </row>
    <row r="394" spans="1:18" ht="13.5" customHeight="1" x14ac:dyDescent="0.25">
      <c r="A394" s="117" t="s">
        <v>2261</v>
      </c>
      <c r="B394" s="112">
        <v>45068</v>
      </c>
      <c r="C394" s="462" t="s">
        <v>1552</v>
      </c>
      <c r="D394" s="463"/>
      <c r="E394" s="463"/>
      <c r="F394" s="463"/>
      <c r="G394" s="463"/>
      <c r="H394" s="446"/>
      <c r="I394" s="26" t="s">
        <v>502</v>
      </c>
      <c r="J394" s="440">
        <v>8639.6799999999985</v>
      </c>
      <c r="K394" s="273"/>
      <c r="L394" s="438" t="e">
        <f t="shared" si="5"/>
        <v>#N/A</v>
      </c>
      <c r="M394" s="273"/>
      <c r="N394" s="438">
        <v>7260.2352941176459</v>
      </c>
      <c r="O394" s="273"/>
      <c r="P394" s="439">
        <f t="shared" si="4"/>
        <v>8639.6799999999985</v>
      </c>
      <c r="Q394" s="273"/>
      <c r="R394">
        <f>presup!M$368</f>
        <v>0</v>
      </c>
    </row>
    <row r="395" spans="1:18" ht="13.5" customHeight="1" x14ac:dyDescent="0.25">
      <c r="A395" s="117" t="s">
        <v>2262</v>
      </c>
      <c r="B395" s="112">
        <v>45068</v>
      </c>
      <c r="C395" s="462" t="s">
        <v>1553</v>
      </c>
      <c r="D395" s="463"/>
      <c r="E395" s="463"/>
      <c r="F395" s="463"/>
      <c r="G395" s="463"/>
      <c r="H395" s="446"/>
      <c r="I395" s="26" t="s">
        <v>19</v>
      </c>
      <c r="J395" s="440">
        <v>4532.826666666665</v>
      </c>
      <c r="K395" s="273"/>
      <c r="L395" s="438" t="e">
        <f t="shared" si="5"/>
        <v>#N/A</v>
      </c>
      <c r="M395" s="273"/>
      <c r="N395" s="438">
        <v>3809.0980392156853</v>
      </c>
      <c r="O395" s="273"/>
      <c r="P395" s="439">
        <f t="shared" si="4"/>
        <v>4532.826666666665</v>
      </c>
      <c r="Q395" s="273"/>
      <c r="R395">
        <f>presup!M$368</f>
        <v>0</v>
      </c>
    </row>
    <row r="396" spans="1:18" ht="13.5" customHeight="1" x14ac:dyDescent="0.25">
      <c r="A396" s="117" t="s">
        <v>2263</v>
      </c>
      <c r="B396" s="112">
        <v>45068</v>
      </c>
      <c r="C396" s="462" t="s">
        <v>1554</v>
      </c>
      <c r="D396" s="463"/>
      <c r="E396" s="463"/>
      <c r="F396" s="463"/>
      <c r="G396" s="463"/>
      <c r="H396" s="446"/>
      <c r="I396" s="26" t="s">
        <v>502</v>
      </c>
      <c r="J396" s="440">
        <v>780.08</v>
      </c>
      <c r="K396" s="273"/>
      <c r="L396" s="438" t="e">
        <f t="shared" si="5"/>
        <v>#N/A</v>
      </c>
      <c r="M396" s="273"/>
      <c r="N396" s="438">
        <v>655.52941176470597</v>
      </c>
      <c r="O396" s="273"/>
      <c r="P396" s="439">
        <f t="shared" si="4"/>
        <v>780.08</v>
      </c>
      <c r="Q396" s="273"/>
      <c r="R396">
        <f>presup!M$368</f>
        <v>0</v>
      </c>
    </row>
    <row r="397" spans="1:18" ht="13.5" customHeight="1" x14ac:dyDescent="0.25">
      <c r="A397" s="117" t="s">
        <v>2264</v>
      </c>
      <c r="B397" s="112">
        <v>45068</v>
      </c>
      <c r="C397" s="462" t="s">
        <v>1555</v>
      </c>
      <c r="D397" s="463"/>
      <c r="E397" s="463"/>
      <c r="F397" s="463"/>
      <c r="G397" s="463"/>
      <c r="H397" s="446"/>
      <c r="I397" s="26" t="s">
        <v>502</v>
      </c>
      <c r="J397" s="440">
        <v>1058.3999999999999</v>
      </c>
      <c r="K397" s="273"/>
      <c r="L397" s="438" t="e">
        <f t="shared" si="5"/>
        <v>#N/A</v>
      </c>
      <c r="M397" s="273"/>
      <c r="N397" s="438">
        <v>889.41176470588232</v>
      </c>
      <c r="O397" s="273"/>
      <c r="P397" s="439">
        <f t="shared" si="4"/>
        <v>1058.3999999999999</v>
      </c>
      <c r="Q397" s="273"/>
      <c r="R397">
        <f>presup!M$368</f>
        <v>0</v>
      </c>
    </row>
    <row r="398" spans="1:18" ht="13.5" customHeight="1" x14ac:dyDescent="0.25">
      <c r="A398" s="117" t="s">
        <v>2265</v>
      </c>
      <c r="B398" s="112">
        <v>45068</v>
      </c>
      <c r="C398" s="462" t="s">
        <v>1556</v>
      </c>
      <c r="D398" s="463"/>
      <c r="E398" s="463"/>
      <c r="F398" s="463"/>
      <c r="G398" s="463"/>
      <c r="H398" s="446"/>
      <c r="I398" s="26" t="s">
        <v>19</v>
      </c>
      <c r="J398" s="440">
        <f>1.4*2263.8</f>
        <v>3169.32</v>
      </c>
      <c r="K398" s="273"/>
      <c r="L398" s="438" t="e">
        <f t="shared" si="5"/>
        <v>#N/A</v>
      </c>
      <c r="M398" s="273"/>
      <c r="N398" s="438">
        <v>2663.294117647059</v>
      </c>
      <c r="O398" s="273"/>
      <c r="P398" s="439">
        <f t="shared" si="4"/>
        <v>3169.32</v>
      </c>
      <c r="Q398" s="273"/>
      <c r="R398">
        <f>presup!M$368</f>
        <v>0</v>
      </c>
    </row>
    <row r="399" spans="1:18" ht="13.5" customHeight="1" x14ac:dyDescent="0.25">
      <c r="A399" s="117" t="s">
        <v>2266</v>
      </c>
      <c r="B399" s="112">
        <v>45068</v>
      </c>
      <c r="C399" s="462" t="s">
        <v>1557</v>
      </c>
      <c r="D399" s="463"/>
      <c r="E399" s="463"/>
      <c r="F399" s="463"/>
      <c r="G399" s="463"/>
      <c r="H399" s="446"/>
      <c r="I399" s="26" t="s">
        <v>502</v>
      </c>
      <c r="J399" s="440">
        <v>1470</v>
      </c>
      <c r="K399" s="273"/>
      <c r="L399" s="438" t="e">
        <f t="shared" si="5"/>
        <v>#N/A</v>
      </c>
      <c r="M399" s="273"/>
      <c r="N399" s="438">
        <v>1235.2941176470588</v>
      </c>
      <c r="O399" s="273"/>
      <c r="P399" s="439">
        <f t="shared" si="4"/>
        <v>1470</v>
      </c>
      <c r="Q399" s="273"/>
      <c r="R399">
        <f>presup!M$368</f>
        <v>0</v>
      </c>
    </row>
    <row r="400" spans="1:18" ht="13.5" customHeight="1" x14ac:dyDescent="0.25">
      <c r="A400" s="117" t="s">
        <v>2267</v>
      </c>
      <c r="B400" s="112">
        <v>45068</v>
      </c>
      <c r="C400" s="462" t="s">
        <v>1558</v>
      </c>
      <c r="D400" s="463"/>
      <c r="E400" s="463"/>
      <c r="F400" s="463"/>
      <c r="G400" s="463"/>
      <c r="H400" s="446"/>
      <c r="I400" s="26" t="s">
        <v>502</v>
      </c>
      <c r="J400" s="440">
        <v>1532.7199999999998</v>
      </c>
      <c r="K400" s="273"/>
      <c r="L400" s="438" t="e">
        <f t="shared" si="5"/>
        <v>#N/A</v>
      </c>
      <c r="M400" s="273"/>
      <c r="N400" s="438">
        <v>1288</v>
      </c>
      <c r="O400" s="273"/>
      <c r="P400" s="439">
        <f t="shared" si="4"/>
        <v>1532.7199999999998</v>
      </c>
      <c r="Q400" s="273"/>
      <c r="R400">
        <f>presup!M$368</f>
        <v>0</v>
      </c>
    </row>
    <row r="401" spans="1:18" ht="13.5" customHeight="1" x14ac:dyDescent="0.25">
      <c r="A401" s="117" t="s">
        <v>2268</v>
      </c>
      <c r="B401" s="112">
        <v>45069</v>
      </c>
      <c r="C401" s="462" t="s">
        <v>1560</v>
      </c>
      <c r="D401" s="463"/>
      <c r="E401" s="463"/>
      <c r="F401" s="463"/>
      <c r="G401" s="463"/>
      <c r="H401" s="446"/>
      <c r="I401" s="26" t="s">
        <v>502</v>
      </c>
      <c r="J401" s="440">
        <v>500000</v>
      </c>
      <c r="K401" s="273"/>
      <c r="L401" s="438" t="e">
        <f t="shared" si="5"/>
        <v>#N/A</v>
      </c>
      <c r="M401" s="273"/>
      <c r="N401" s="438">
        <v>420168.06722689077</v>
      </c>
      <c r="O401" s="273"/>
      <c r="P401" s="439">
        <f t="shared" si="4"/>
        <v>500000</v>
      </c>
      <c r="Q401" s="273"/>
      <c r="R401">
        <f>presup!M$368</f>
        <v>0</v>
      </c>
    </row>
    <row r="402" spans="1:18" ht="13.5" customHeight="1" x14ac:dyDescent="0.25">
      <c r="A402" s="117" t="s">
        <v>2269</v>
      </c>
      <c r="B402" s="112">
        <v>45069</v>
      </c>
      <c r="C402" s="365" t="s">
        <v>1561</v>
      </c>
      <c r="D402" s="271"/>
      <c r="E402" s="271"/>
      <c r="F402" s="271"/>
      <c r="G402" s="271"/>
      <c r="H402" s="273"/>
      <c r="I402" s="26" t="s">
        <v>502</v>
      </c>
      <c r="J402" s="447">
        <v>6550</v>
      </c>
      <c r="K402" s="273"/>
      <c r="L402" s="438" t="e">
        <f t="shared" si="5"/>
        <v>#N/A</v>
      </c>
      <c r="M402" s="273"/>
      <c r="N402" s="438">
        <v>5504.2016806722695</v>
      </c>
      <c r="O402" s="273"/>
      <c r="P402" s="439">
        <f t="shared" si="4"/>
        <v>6550</v>
      </c>
      <c r="Q402" s="273"/>
      <c r="R402">
        <f>presup!M$368</f>
        <v>0</v>
      </c>
    </row>
    <row r="403" spans="1:18" ht="13.5" customHeight="1" x14ac:dyDescent="0.25">
      <c r="A403" s="117" t="s">
        <v>2270</v>
      </c>
      <c r="B403" s="112">
        <v>45069</v>
      </c>
      <c r="C403" s="365" t="s">
        <v>1562</v>
      </c>
      <c r="D403" s="271"/>
      <c r="E403" s="271"/>
      <c r="F403" s="271"/>
      <c r="G403" s="271"/>
      <c r="H403" s="273"/>
      <c r="I403" s="26" t="s">
        <v>502</v>
      </c>
      <c r="J403" s="447">
        <v>3938</v>
      </c>
      <c r="K403" s="273"/>
      <c r="L403" s="438" t="e">
        <f t="shared" si="5"/>
        <v>#N/A</v>
      </c>
      <c r="M403" s="273"/>
      <c r="N403" s="438">
        <v>3309.2436974789916</v>
      </c>
      <c r="O403" s="273"/>
      <c r="P403" s="439">
        <f t="shared" si="4"/>
        <v>3938</v>
      </c>
      <c r="Q403" s="273"/>
      <c r="R403">
        <f>presup!M$368</f>
        <v>0</v>
      </c>
    </row>
    <row r="404" spans="1:18" ht="13.5" customHeight="1" x14ac:dyDescent="0.25">
      <c r="A404" s="117" t="s">
        <v>2271</v>
      </c>
      <c r="B404" s="112">
        <v>45069</v>
      </c>
      <c r="C404" s="365" t="s">
        <v>1563</v>
      </c>
      <c r="D404" s="271"/>
      <c r="E404" s="271"/>
      <c r="F404" s="271"/>
      <c r="G404" s="271"/>
      <c r="H404" s="273"/>
      <c r="I404" s="26" t="s">
        <v>1382</v>
      </c>
      <c r="J404" s="447">
        <v>35584</v>
      </c>
      <c r="K404" s="273"/>
      <c r="L404" s="438" t="e">
        <f t="shared" si="5"/>
        <v>#N/A</v>
      </c>
      <c r="M404" s="273"/>
      <c r="N404" s="438">
        <v>29902.521008403364</v>
      </c>
      <c r="O404" s="273"/>
      <c r="P404" s="439">
        <f t="shared" si="4"/>
        <v>35584</v>
      </c>
      <c r="Q404" s="273"/>
      <c r="R404">
        <f>presup!M$368</f>
        <v>0</v>
      </c>
    </row>
    <row r="405" spans="1:18" ht="13.5" customHeight="1" x14ac:dyDescent="0.25">
      <c r="A405" s="117" t="s">
        <v>2272</v>
      </c>
      <c r="B405" s="112">
        <v>45069</v>
      </c>
      <c r="C405" s="365" t="s">
        <v>1564</v>
      </c>
      <c r="D405" s="271"/>
      <c r="E405" s="271"/>
      <c r="F405" s="271"/>
      <c r="G405" s="271"/>
      <c r="H405" s="273"/>
      <c r="I405" s="26" t="s">
        <v>19</v>
      </c>
      <c r="J405" s="447">
        <v>31342</v>
      </c>
      <c r="K405" s="273"/>
      <c r="L405" s="438" t="e">
        <f t="shared" si="5"/>
        <v>#N/A</v>
      </c>
      <c r="M405" s="273"/>
      <c r="N405" s="438">
        <v>26337.81512605042</v>
      </c>
      <c r="O405" s="273"/>
      <c r="P405" s="439">
        <f t="shared" si="4"/>
        <v>31342</v>
      </c>
      <c r="Q405" s="273"/>
      <c r="R405">
        <f>presup!M$368</f>
        <v>0</v>
      </c>
    </row>
    <row r="406" spans="1:18" ht="13.5" customHeight="1" x14ac:dyDescent="0.25">
      <c r="A406" s="117" t="s">
        <v>2273</v>
      </c>
      <c r="B406" s="112">
        <v>45069</v>
      </c>
      <c r="C406" s="365" t="s">
        <v>1548</v>
      </c>
      <c r="D406" s="271"/>
      <c r="E406" s="271"/>
      <c r="F406" s="271"/>
      <c r="G406" s="271"/>
      <c r="H406" s="273"/>
      <c r="I406" s="26" t="s">
        <v>19</v>
      </c>
      <c r="J406" s="447">
        <v>7857.5466666666662</v>
      </c>
      <c r="K406" s="273"/>
      <c r="L406" s="438" t="e">
        <f t="shared" si="5"/>
        <v>#N/A</v>
      </c>
      <c r="M406" s="273"/>
      <c r="N406" s="438">
        <v>6602.9803921568628</v>
      </c>
      <c r="O406" s="273"/>
      <c r="P406" s="439">
        <f t="shared" si="4"/>
        <v>7857.5466666666662</v>
      </c>
      <c r="Q406" s="273"/>
      <c r="R406">
        <f>presup!M$368</f>
        <v>0</v>
      </c>
    </row>
    <row r="407" spans="1:18" ht="13.5" customHeight="1" x14ac:dyDescent="0.25">
      <c r="A407" s="117" t="s">
        <v>2274</v>
      </c>
      <c r="B407" s="112">
        <v>45069</v>
      </c>
      <c r="C407" s="365" t="s">
        <v>1549</v>
      </c>
      <c r="D407" s="271"/>
      <c r="E407" s="271"/>
      <c r="F407" s="271"/>
      <c r="G407" s="271"/>
      <c r="H407" s="273"/>
      <c r="I407" s="26" t="s">
        <v>502</v>
      </c>
      <c r="J407" s="447">
        <v>1732.64</v>
      </c>
      <c r="K407" s="273"/>
      <c r="L407" s="438" t="e">
        <f t="shared" si="5"/>
        <v>#N/A</v>
      </c>
      <c r="M407" s="273"/>
      <c r="N407" s="438">
        <v>1456.0000000000002</v>
      </c>
      <c r="O407" s="273"/>
      <c r="P407" s="439">
        <f t="shared" si="4"/>
        <v>1732.64</v>
      </c>
      <c r="Q407" s="273"/>
      <c r="R407">
        <f>presup!M$368</f>
        <v>0</v>
      </c>
    </row>
    <row r="408" spans="1:18" ht="13.5" customHeight="1" x14ac:dyDescent="0.25">
      <c r="A408" s="117" t="s">
        <v>2275</v>
      </c>
      <c r="B408" s="112">
        <v>45069</v>
      </c>
      <c r="C408" s="365" t="s">
        <v>1550</v>
      </c>
      <c r="D408" s="271"/>
      <c r="E408" s="271"/>
      <c r="F408" s="271"/>
      <c r="G408" s="271"/>
      <c r="H408" s="273"/>
      <c r="I408" s="26" t="s">
        <v>502</v>
      </c>
      <c r="J408" s="447">
        <v>1576.1200000000001</v>
      </c>
      <c r="K408" s="273"/>
      <c r="L408" s="438" t="e">
        <f t="shared" si="5"/>
        <v>#N/A</v>
      </c>
      <c r="M408" s="273"/>
      <c r="N408" s="438">
        <v>1324.4705882352944</v>
      </c>
      <c r="O408" s="273"/>
      <c r="P408" s="439">
        <f t="shared" si="4"/>
        <v>1576.1200000000001</v>
      </c>
      <c r="Q408" s="273"/>
      <c r="R408">
        <f>presup!M$368</f>
        <v>0</v>
      </c>
    </row>
    <row r="409" spans="1:18" ht="13.5" customHeight="1" x14ac:dyDescent="0.25">
      <c r="A409" s="117" t="s">
        <v>2276</v>
      </c>
      <c r="B409" s="112">
        <v>45069</v>
      </c>
      <c r="C409" s="365" t="s">
        <v>2277</v>
      </c>
      <c r="D409" s="271"/>
      <c r="E409" s="271"/>
      <c r="F409" s="271"/>
      <c r="G409" s="271"/>
      <c r="H409" s="273"/>
      <c r="I409" s="26" t="s">
        <v>502</v>
      </c>
      <c r="J409" s="447">
        <v>2751.84</v>
      </c>
      <c r="K409" s="273"/>
      <c r="L409" s="438" t="e">
        <f t="shared" si="5"/>
        <v>#N/A</v>
      </c>
      <c r="M409" s="273"/>
      <c r="N409" s="438">
        <v>2312.4705882352941</v>
      </c>
      <c r="O409" s="273"/>
      <c r="P409" s="439">
        <f t="shared" si="4"/>
        <v>2751.84</v>
      </c>
      <c r="Q409" s="273"/>
      <c r="R409">
        <f>presup!M$368</f>
        <v>0</v>
      </c>
    </row>
    <row r="410" spans="1:18" ht="13.5" customHeight="1" x14ac:dyDescent="0.25">
      <c r="A410" s="117" t="s">
        <v>2278</v>
      </c>
      <c r="B410" s="112">
        <v>45069</v>
      </c>
      <c r="C410" s="365" t="s">
        <v>1553</v>
      </c>
      <c r="D410" s="271"/>
      <c r="E410" s="271"/>
      <c r="F410" s="271"/>
      <c r="G410" s="271"/>
      <c r="H410" s="273"/>
      <c r="I410" s="26" t="s">
        <v>19</v>
      </c>
      <c r="J410" s="447">
        <v>4209.0533333333324</v>
      </c>
      <c r="K410" s="273"/>
      <c r="L410" s="438" t="e">
        <f t="shared" si="5"/>
        <v>#N/A</v>
      </c>
      <c r="M410" s="273"/>
      <c r="N410" s="438">
        <v>3537.0196078431368</v>
      </c>
      <c r="O410" s="273"/>
      <c r="P410" s="439">
        <f t="shared" si="4"/>
        <v>4209.0533333333324</v>
      </c>
      <c r="Q410" s="273"/>
      <c r="R410">
        <f>presup!M$368</f>
        <v>0</v>
      </c>
    </row>
    <row r="411" spans="1:18" ht="13.5" customHeight="1" x14ac:dyDescent="0.25">
      <c r="A411" s="117" t="s">
        <v>2279</v>
      </c>
      <c r="B411" s="112">
        <v>45069</v>
      </c>
      <c r="C411" s="365" t="s">
        <v>1554</v>
      </c>
      <c r="D411" s="271"/>
      <c r="E411" s="271"/>
      <c r="F411" s="271"/>
      <c r="G411" s="271"/>
      <c r="H411" s="273"/>
      <c r="I411" s="26" t="s">
        <v>502</v>
      </c>
      <c r="J411" s="447">
        <v>724.36000000000013</v>
      </c>
      <c r="K411" s="273"/>
      <c r="L411" s="438" t="e">
        <f t="shared" si="5"/>
        <v>#N/A</v>
      </c>
      <c r="M411" s="273"/>
      <c r="N411" s="438">
        <v>608.70588235294133</v>
      </c>
      <c r="O411" s="273"/>
      <c r="P411" s="439">
        <f t="shared" si="4"/>
        <v>724.36000000000013</v>
      </c>
      <c r="Q411" s="273"/>
      <c r="R411">
        <f>presup!M$368</f>
        <v>0</v>
      </c>
    </row>
    <row r="412" spans="1:18" ht="13.5" customHeight="1" x14ac:dyDescent="0.25">
      <c r="A412" s="117" t="s">
        <v>2280</v>
      </c>
      <c r="B412" s="112">
        <v>45069</v>
      </c>
      <c r="C412" s="365" t="s">
        <v>1555</v>
      </c>
      <c r="D412" s="271"/>
      <c r="E412" s="271"/>
      <c r="F412" s="271"/>
      <c r="G412" s="271"/>
      <c r="H412" s="273"/>
      <c r="I412" s="26" t="s">
        <v>502</v>
      </c>
      <c r="J412" s="447">
        <v>982.80000000000007</v>
      </c>
      <c r="K412" s="273"/>
      <c r="L412" s="438" t="e">
        <f t="shared" si="5"/>
        <v>#N/A</v>
      </c>
      <c r="M412" s="273"/>
      <c r="N412" s="438">
        <v>825.88235294117658</v>
      </c>
      <c r="O412" s="273"/>
      <c r="P412" s="439">
        <f t="shared" si="4"/>
        <v>982.80000000000007</v>
      </c>
      <c r="Q412" s="273"/>
      <c r="R412">
        <f>presup!M$368</f>
        <v>0</v>
      </c>
    </row>
    <row r="413" spans="1:18" ht="13.5" customHeight="1" x14ac:dyDescent="0.25">
      <c r="A413" s="117" t="s">
        <v>2281</v>
      </c>
      <c r="B413" s="112">
        <v>45069</v>
      </c>
      <c r="C413" s="365" t="s">
        <v>2282</v>
      </c>
      <c r="D413" s="271"/>
      <c r="E413" s="271"/>
      <c r="F413" s="271"/>
      <c r="G413" s="271"/>
      <c r="H413" s="273"/>
      <c r="I413" s="26" t="s">
        <v>19</v>
      </c>
      <c r="J413" s="447">
        <v>6737.64</v>
      </c>
      <c r="K413" s="273"/>
      <c r="L413" s="438" t="e">
        <f t="shared" si="5"/>
        <v>#N/A</v>
      </c>
      <c r="M413" s="273"/>
      <c r="N413" s="438">
        <v>5661.8823529411766</v>
      </c>
      <c r="O413" s="273"/>
      <c r="P413" s="439">
        <f t="shared" si="4"/>
        <v>6737.64</v>
      </c>
      <c r="Q413" s="273"/>
      <c r="R413">
        <f>presup!M$368</f>
        <v>0</v>
      </c>
    </row>
    <row r="414" spans="1:18" ht="13.5" customHeight="1" x14ac:dyDescent="0.25">
      <c r="A414" s="117" t="s">
        <v>2283</v>
      </c>
      <c r="B414" s="112">
        <v>45069</v>
      </c>
      <c r="C414" s="365" t="s">
        <v>1557</v>
      </c>
      <c r="D414" s="271"/>
      <c r="E414" s="271"/>
      <c r="F414" s="271"/>
      <c r="G414" s="271"/>
      <c r="H414" s="273"/>
      <c r="I414" s="26" t="s">
        <v>502</v>
      </c>
      <c r="J414" s="447">
        <v>1365</v>
      </c>
      <c r="K414" s="273"/>
      <c r="L414" s="438" t="e">
        <f t="shared" si="5"/>
        <v>#N/A</v>
      </c>
      <c r="M414" s="273"/>
      <c r="N414" s="438">
        <v>1147.0588235294117</v>
      </c>
      <c r="O414" s="273"/>
      <c r="P414" s="439">
        <f t="shared" si="4"/>
        <v>1365</v>
      </c>
      <c r="Q414" s="273"/>
      <c r="R414">
        <f>presup!M$368</f>
        <v>0</v>
      </c>
    </row>
    <row r="415" spans="1:18" ht="13.5" customHeight="1" x14ac:dyDescent="0.25">
      <c r="A415" s="117" t="s">
        <v>2284</v>
      </c>
      <c r="B415" s="112">
        <v>45069</v>
      </c>
      <c r="C415" s="365" t="s">
        <v>1558</v>
      </c>
      <c r="D415" s="271"/>
      <c r="E415" s="271"/>
      <c r="F415" s="271"/>
      <c r="G415" s="271"/>
      <c r="H415" s="273"/>
      <c r="I415" s="26" t="s">
        <v>502</v>
      </c>
      <c r="J415" s="447">
        <v>1423.24</v>
      </c>
      <c r="K415" s="273"/>
      <c r="L415" s="438" t="e">
        <f t="shared" si="5"/>
        <v>#N/A</v>
      </c>
      <c r="M415" s="273"/>
      <c r="N415" s="438">
        <v>1196</v>
      </c>
      <c r="O415" s="273"/>
      <c r="P415" s="439">
        <f t="shared" si="4"/>
        <v>1423.24</v>
      </c>
      <c r="Q415" s="273"/>
      <c r="R415">
        <f>presup!M$368</f>
        <v>0</v>
      </c>
    </row>
    <row r="416" spans="1:18" ht="13.5" customHeight="1" x14ac:dyDescent="0.25">
      <c r="A416" s="117" t="s">
        <v>2285</v>
      </c>
      <c r="B416" s="112">
        <v>45069</v>
      </c>
      <c r="C416" s="365" t="s">
        <v>2286</v>
      </c>
      <c r="D416" s="271"/>
      <c r="E416" s="271"/>
      <c r="F416" s="271"/>
      <c r="G416" s="271"/>
      <c r="H416" s="273"/>
      <c r="I416" s="26" t="s">
        <v>19</v>
      </c>
      <c r="J416" s="447">
        <v>16322.973333333332</v>
      </c>
      <c r="K416" s="273"/>
      <c r="L416" s="438" t="e">
        <f t="shared" si="5"/>
        <v>#N/A</v>
      </c>
      <c r="M416" s="273"/>
      <c r="N416" s="438">
        <v>13716.784313725489</v>
      </c>
      <c r="O416" s="273"/>
      <c r="P416" s="439">
        <f t="shared" si="4"/>
        <v>16322.973333333332</v>
      </c>
      <c r="Q416" s="273"/>
      <c r="R416">
        <f>presup!M$368</f>
        <v>0</v>
      </c>
    </row>
    <row r="417" spans="1:18" ht="13.5" customHeight="1" x14ac:dyDescent="0.25">
      <c r="A417" s="117" t="s">
        <v>2287</v>
      </c>
      <c r="B417" s="112">
        <v>45069</v>
      </c>
      <c r="C417" s="365" t="s">
        <v>2288</v>
      </c>
      <c r="D417" s="271"/>
      <c r="E417" s="271"/>
      <c r="F417" s="271"/>
      <c r="G417" s="271"/>
      <c r="H417" s="273"/>
      <c r="I417" s="26" t="s">
        <v>19</v>
      </c>
      <c r="J417" s="447">
        <v>4277</v>
      </c>
      <c r="K417" s="273"/>
      <c r="L417" s="438" t="e">
        <f t="shared" si="5"/>
        <v>#N/A</v>
      </c>
      <c r="M417" s="273"/>
      <c r="N417" s="438">
        <v>3594.1176470588239</v>
      </c>
      <c r="O417" s="273"/>
      <c r="P417" s="439">
        <f t="shared" si="4"/>
        <v>4277</v>
      </c>
      <c r="Q417" s="273"/>
      <c r="R417">
        <f>presup!M$368</f>
        <v>0</v>
      </c>
    </row>
    <row r="418" spans="1:18" ht="13.5" customHeight="1" x14ac:dyDescent="0.25">
      <c r="A418" s="117" t="s">
        <v>2289</v>
      </c>
      <c r="B418" s="112">
        <v>45069</v>
      </c>
      <c r="C418" s="365" t="s">
        <v>2290</v>
      </c>
      <c r="D418" s="271"/>
      <c r="E418" s="271"/>
      <c r="F418" s="271"/>
      <c r="G418" s="271"/>
      <c r="H418" s="273"/>
      <c r="I418" s="26" t="s">
        <v>502</v>
      </c>
      <c r="J418" s="447">
        <v>3094</v>
      </c>
      <c r="K418" s="273"/>
      <c r="L418" s="438" t="e">
        <f t="shared" si="5"/>
        <v>#N/A</v>
      </c>
      <c r="M418" s="273"/>
      <c r="N418" s="438">
        <v>2600</v>
      </c>
      <c r="O418" s="273"/>
      <c r="P418" s="439">
        <f t="shared" si="4"/>
        <v>3094</v>
      </c>
      <c r="Q418" s="273"/>
      <c r="R418">
        <f>presup!M$368</f>
        <v>0</v>
      </c>
    </row>
    <row r="419" spans="1:18" ht="13.5" customHeight="1" x14ac:dyDescent="0.25">
      <c r="A419" s="117" t="s">
        <v>2291</v>
      </c>
      <c r="B419" s="112">
        <v>45069</v>
      </c>
      <c r="C419" s="365" t="s">
        <v>2292</v>
      </c>
      <c r="D419" s="271"/>
      <c r="E419" s="271"/>
      <c r="F419" s="271"/>
      <c r="G419" s="271"/>
      <c r="H419" s="273"/>
      <c r="I419" s="26" t="s">
        <v>502</v>
      </c>
      <c r="J419" s="447">
        <v>960.95999999999992</v>
      </c>
      <c r="K419" s="273"/>
      <c r="L419" s="438" t="e">
        <f t="shared" si="5"/>
        <v>#N/A</v>
      </c>
      <c r="M419" s="273"/>
      <c r="N419" s="438">
        <v>807.52941176470586</v>
      </c>
      <c r="O419" s="273"/>
      <c r="P419" s="439">
        <f t="shared" si="4"/>
        <v>960.95999999999992</v>
      </c>
      <c r="Q419" s="273"/>
      <c r="R419">
        <f>presup!M$368</f>
        <v>0</v>
      </c>
    </row>
    <row r="420" spans="1:18" ht="13.5" customHeight="1" x14ac:dyDescent="0.25">
      <c r="A420" s="117" t="s">
        <v>2293</v>
      </c>
      <c r="B420" s="112">
        <v>45069</v>
      </c>
      <c r="C420" s="462" t="s">
        <v>1565</v>
      </c>
      <c r="D420" s="463"/>
      <c r="E420" s="463"/>
      <c r="F420" s="463"/>
      <c r="G420" s="463"/>
      <c r="H420" s="446"/>
      <c r="I420" s="26" t="s">
        <v>502</v>
      </c>
      <c r="J420" s="440">
        <v>4500000</v>
      </c>
      <c r="K420" s="273"/>
      <c r="L420" s="438" t="e">
        <f t="shared" si="5"/>
        <v>#N/A</v>
      </c>
      <c r="M420" s="273"/>
      <c r="N420" s="438">
        <v>3781512.6050420171</v>
      </c>
      <c r="O420" s="273"/>
      <c r="P420" s="439">
        <f t="shared" si="4"/>
        <v>4500000</v>
      </c>
      <c r="Q420" s="273"/>
      <c r="R420">
        <f>presup!M$368</f>
        <v>0</v>
      </c>
    </row>
    <row r="421" spans="1:18" ht="13.5" customHeight="1" x14ac:dyDescent="0.25">
      <c r="A421" s="117" t="s">
        <v>2294</v>
      </c>
      <c r="B421" s="112">
        <v>45069</v>
      </c>
      <c r="C421" s="462" t="s">
        <v>1674</v>
      </c>
      <c r="D421" s="463"/>
      <c r="E421" s="463"/>
      <c r="F421" s="463"/>
      <c r="G421" s="463"/>
      <c r="H421" s="446"/>
      <c r="I421" s="26" t="s">
        <v>502</v>
      </c>
      <c r="J421" s="440">
        <v>9660</v>
      </c>
      <c r="K421" s="273"/>
      <c r="L421" s="438" t="e">
        <f t="shared" si="5"/>
        <v>#N/A</v>
      </c>
      <c r="M421" s="273"/>
      <c r="N421" s="438">
        <v>8117.6470588235297</v>
      </c>
      <c r="O421" s="273"/>
      <c r="P421" s="439">
        <f t="shared" si="4"/>
        <v>9660</v>
      </c>
      <c r="Q421" s="273"/>
      <c r="R421">
        <f>presup!M$368</f>
        <v>0</v>
      </c>
    </row>
    <row r="422" spans="1:18" ht="13.5" customHeight="1" x14ac:dyDescent="0.25">
      <c r="A422" s="117" t="s">
        <v>2295</v>
      </c>
      <c r="B422" s="112">
        <v>45069</v>
      </c>
      <c r="C422" s="462" t="s">
        <v>1554</v>
      </c>
      <c r="D422" s="463"/>
      <c r="E422" s="463"/>
      <c r="F422" s="463"/>
      <c r="G422" s="463"/>
      <c r="H422" s="446"/>
      <c r="I422" s="26" t="s">
        <v>502</v>
      </c>
      <c r="J422" s="440">
        <v>780.08</v>
      </c>
      <c r="K422" s="273"/>
      <c r="L422" s="438" t="e">
        <f t="shared" si="5"/>
        <v>#N/A</v>
      </c>
      <c r="M422" s="273"/>
      <c r="N422" s="438">
        <v>655.52941176470597</v>
      </c>
      <c r="O422" s="273"/>
      <c r="P422" s="439">
        <f t="shared" si="4"/>
        <v>780.08</v>
      </c>
      <c r="Q422" s="273"/>
      <c r="R422">
        <f>presup!M$368</f>
        <v>0</v>
      </c>
    </row>
    <row r="423" spans="1:18" ht="13.5" customHeight="1" x14ac:dyDescent="0.25">
      <c r="A423" s="117" t="s">
        <v>2296</v>
      </c>
      <c r="B423" s="112">
        <v>45069</v>
      </c>
      <c r="C423" s="462" t="s">
        <v>2297</v>
      </c>
      <c r="D423" s="463"/>
      <c r="E423" s="463"/>
      <c r="F423" s="463"/>
      <c r="G423" s="463"/>
      <c r="H423" s="446"/>
      <c r="I423" s="20" t="s">
        <v>19</v>
      </c>
      <c r="J423" s="440">
        <f>4580*1.19/0.85</f>
        <v>6412</v>
      </c>
      <c r="K423" s="273"/>
      <c r="L423" s="438" t="e">
        <f t="shared" si="5"/>
        <v>#N/A</v>
      </c>
      <c r="M423" s="273"/>
      <c r="N423" s="438">
        <v>5388.2352941176478</v>
      </c>
      <c r="O423" s="273"/>
      <c r="P423" s="439">
        <f t="shared" si="4"/>
        <v>6412</v>
      </c>
      <c r="Q423" s="273"/>
      <c r="R423">
        <f>presup!M$368</f>
        <v>0</v>
      </c>
    </row>
    <row r="424" spans="1:18" ht="13.5" customHeight="1" x14ac:dyDescent="0.25">
      <c r="A424" s="117" t="s">
        <v>2298</v>
      </c>
      <c r="B424" s="112">
        <v>45069</v>
      </c>
      <c r="C424" s="462" t="s">
        <v>2299</v>
      </c>
      <c r="D424" s="463"/>
      <c r="E424" s="463"/>
      <c r="F424" s="463"/>
      <c r="G424" s="463"/>
      <c r="H424" s="446"/>
      <c r="I424" s="20" t="s">
        <v>19</v>
      </c>
      <c r="J424" s="440">
        <f>3300*1.19/0.85</f>
        <v>4620</v>
      </c>
      <c r="K424" s="273"/>
      <c r="L424" s="438" t="e">
        <f t="shared" si="5"/>
        <v>#N/A</v>
      </c>
      <c r="M424" s="273"/>
      <c r="N424" s="438">
        <v>3882.3529411764707</v>
      </c>
      <c r="O424" s="273"/>
      <c r="P424" s="439">
        <f t="shared" si="4"/>
        <v>4620</v>
      </c>
      <c r="Q424" s="273"/>
      <c r="R424">
        <f>presup!M$368</f>
        <v>0</v>
      </c>
    </row>
    <row r="425" spans="1:18" ht="13.5" customHeight="1" x14ac:dyDescent="0.25">
      <c r="A425" s="117" t="s">
        <v>2300</v>
      </c>
      <c r="B425" s="112">
        <v>45069</v>
      </c>
      <c r="C425" s="462" t="s">
        <v>1710</v>
      </c>
      <c r="D425" s="463"/>
      <c r="E425" s="463"/>
      <c r="F425" s="463"/>
      <c r="G425" s="463"/>
      <c r="H425" s="446"/>
      <c r="I425" s="26" t="s">
        <v>502</v>
      </c>
      <c r="J425" s="440">
        <f>2*1120</f>
        <v>2240</v>
      </c>
      <c r="K425" s="273"/>
      <c r="L425" s="438" t="e">
        <f t="shared" si="5"/>
        <v>#N/A</v>
      </c>
      <c r="M425" s="273"/>
      <c r="N425" s="438">
        <v>1882.3529411764707</v>
      </c>
      <c r="O425" s="273"/>
      <c r="P425" s="439">
        <f t="shared" si="4"/>
        <v>2240</v>
      </c>
      <c r="Q425" s="273"/>
      <c r="R425">
        <f>presup!M$368</f>
        <v>0</v>
      </c>
    </row>
    <row r="426" spans="1:18" ht="13.5" customHeight="1" x14ac:dyDescent="0.25">
      <c r="A426" s="117" t="s">
        <v>2301</v>
      </c>
      <c r="B426" s="112">
        <v>45069</v>
      </c>
      <c r="C426" s="462" t="s">
        <v>1710</v>
      </c>
      <c r="D426" s="463"/>
      <c r="E426" s="463"/>
      <c r="F426" s="463"/>
      <c r="G426" s="463"/>
      <c r="H426" s="446"/>
      <c r="I426" s="26" t="s">
        <v>502</v>
      </c>
      <c r="J426" s="440">
        <v>1120</v>
      </c>
      <c r="K426" s="273"/>
      <c r="L426" s="438" t="e">
        <f t="shared" si="5"/>
        <v>#N/A</v>
      </c>
      <c r="M426" s="273"/>
      <c r="N426" s="438">
        <v>941.17647058823536</v>
      </c>
      <c r="O426" s="273"/>
      <c r="P426" s="439">
        <f t="shared" si="4"/>
        <v>1120</v>
      </c>
      <c r="Q426" s="273"/>
      <c r="R426">
        <f>presup!M$368</f>
        <v>0</v>
      </c>
    </row>
    <row r="427" spans="1:18" ht="13.5" customHeight="1" x14ac:dyDescent="0.25">
      <c r="A427" s="117" t="s">
        <v>2302</v>
      </c>
      <c r="B427" s="112">
        <v>45069</v>
      </c>
      <c r="C427" s="462" t="s">
        <v>2303</v>
      </c>
      <c r="D427" s="463"/>
      <c r="E427" s="463"/>
      <c r="F427" s="463"/>
      <c r="G427" s="463"/>
      <c r="H427" s="446"/>
      <c r="I427" s="20" t="s">
        <v>19</v>
      </c>
      <c r="J427" s="440">
        <f>51200*1.19/0.85/3</f>
        <v>23893.333333333332</v>
      </c>
      <c r="K427" s="273"/>
      <c r="L427" s="438" t="e">
        <f t="shared" si="5"/>
        <v>#N/A</v>
      </c>
      <c r="M427" s="273"/>
      <c r="N427" s="438">
        <v>20078.431372549021</v>
      </c>
      <c r="O427" s="273"/>
      <c r="P427" s="439">
        <f t="shared" si="4"/>
        <v>23893.333333333332</v>
      </c>
      <c r="Q427" s="273"/>
      <c r="R427">
        <f>presup!M$368</f>
        <v>0</v>
      </c>
    </row>
    <row r="428" spans="1:18" ht="13.5" customHeight="1" x14ac:dyDescent="0.25">
      <c r="A428" s="117" t="s">
        <v>2304</v>
      </c>
      <c r="B428" s="112">
        <v>45069</v>
      </c>
      <c r="C428" s="462" t="s">
        <v>2305</v>
      </c>
      <c r="D428" s="463"/>
      <c r="E428" s="463"/>
      <c r="F428" s="463"/>
      <c r="G428" s="463"/>
      <c r="H428" s="446"/>
      <c r="I428" s="20" t="s">
        <v>19</v>
      </c>
      <c r="J428" s="440">
        <f>12100*1.19/0.85</f>
        <v>16940</v>
      </c>
      <c r="K428" s="273"/>
      <c r="L428" s="438" t="e">
        <f t="shared" si="5"/>
        <v>#N/A</v>
      </c>
      <c r="M428" s="273"/>
      <c r="N428" s="438">
        <v>14235.294117647059</v>
      </c>
      <c r="O428" s="273"/>
      <c r="P428" s="439">
        <f t="shared" si="4"/>
        <v>16940</v>
      </c>
      <c r="Q428" s="273"/>
      <c r="R428">
        <f>presup!M$368</f>
        <v>0</v>
      </c>
    </row>
    <row r="429" spans="1:18" ht="13.5" customHeight="1" x14ac:dyDescent="0.25">
      <c r="A429" s="117" t="s">
        <v>2306</v>
      </c>
      <c r="B429" s="112">
        <v>45069</v>
      </c>
      <c r="C429" s="462" t="s">
        <v>2307</v>
      </c>
      <c r="D429" s="463"/>
      <c r="E429" s="463"/>
      <c r="F429" s="463"/>
      <c r="G429" s="463"/>
      <c r="H429" s="446"/>
      <c r="I429" s="26" t="s">
        <v>502</v>
      </c>
      <c r="J429" s="440">
        <v>9240</v>
      </c>
      <c r="K429" s="273"/>
      <c r="L429" s="438" t="e">
        <f t="shared" si="5"/>
        <v>#N/A</v>
      </c>
      <c r="M429" s="273"/>
      <c r="N429" s="438">
        <v>7764.7058823529414</v>
      </c>
      <c r="O429" s="273"/>
      <c r="P429" s="439">
        <f t="shared" si="4"/>
        <v>9240</v>
      </c>
      <c r="Q429" s="273"/>
      <c r="R429">
        <f>presup!M$368</f>
        <v>0</v>
      </c>
    </row>
    <row r="430" spans="1:18" ht="13.5" customHeight="1" x14ac:dyDescent="0.25">
      <c r="A430" s="117" t="s">
        <v>2308</v>
      </c>
      <c r="B430" s="112">
        <v>45069</v>
      </c>
      <c r="C430" s="462" t="s">
        <v>2309</v>
      </c>
      <c r="D430" s="463"/>
      <c r="E430" s="463"/>
      <c r="F430" s="463"/>
      <c r="G430" s="463"/>
      <c r="H430" s="446"/>
      <c r="I430" s="26" t="s">
        <v>502</v>
      </c>
      <c r="J430" s="440">
        <v>14070</v>
      </c>
      <c r="K430" s="273"/>
      <c r="L430" s="438" t="e">
        <f t="shared" si="5"/>
        <v>#N/A</v>
      </c>
      <c r="M430" s="273"/>
      <c r="N430" s="438">
        <v>11823.529411764706</v>
      </c>
      <c r="O430" s="273"/>
      <c r="P430" s="439">
        <f t="shared" si="4"/>
        <v>14070</v>
      </c>
      <c r="Q430" s="273"/>
      <c r="R430">
        <f>presup!M$368</f>
        <v>0</v>
      </c>
    </row>
    <row r="431" spans="1:18" ht="13.5" customHeight="1" x14ac:dyDescent="0.25">
      <c r="A431" s="117" t="s">
        <v>2310</v>
      </c>
      <c r="B431" s="112">
        <v>45069</v>
      </c>
      <c r="C431" s="462" t="s">
        <v>1548</v>
      </c>
      <c r="D431" s="463"/>
      <c r="E431" s="463"/>
      <c r="F431" s="463"/>
      <c r="G431" s="463"/>
      <c r="H431" s="446"/>
      <c r="I431" s="20" t="s">
        <v>19</v>
      </c>
      <c r="J431" s="440">
        <v>8461.9733333333334</v>
      </c>
      <c r="K431" s="273"/>
      <c r="L431" s="438" t="e">
        <f t="shared" si="5"/>
        <v>#N/A</v>
      </c>
      <c r="M431" s="273"/>
      <c r="N431" s="438">
        <v>7110.9019607843138</v>
      </c>
      <c r="O431" s="273"/>
      <c r="P431" s="439">
        <f t="shared" si="4"/>
        <v>8461.9733333333334</v>
      </c>
      <c r="Q431" s="273"/>
      <c r="R431">
        <f>presup!M$368</f>
        <v>0</v>
      </c>
    </row>
    <row r="432" spans="1:18" ht="13.5" customHeight="1" x14ac:dyDescent="0.25">
      <c r="A432" s="117" t="s">
        <v>2311</v>
      </c>
      <c r="B432" s="112">
        <v>45069</v>
      </c>
      <c r="C432" s="462" t="s">
        <v>1549</v>
      </c>
      <c r="D432" s="463"/>
      <c r="E432" s="463"/>
      <c r="F432" s="463"/>
      <c r="G432" s="463"/>
      <c r="H432" s="446"/>
      <c r="I432" s="20" t="s">
        <v>2312</v>
      </c>
      <c r="J432" s="440">
        <v>1865.9199999999998</v>
      </c>
      <c r="K432" s="273"/>
      <c r="L432" s="438" t="e">
        <f t="shared" si="5"/>
        <v>#N/A</v>
      </c>
      <c r="M432" s="273"/>
      <c r="N432" s="438">
        <v>1568</v>
      </c>
      <c r="O432" s="273"/>
      <c r="P432" s="439">
        <f t="shared" si="4"/>
        <v>1865.9199999999998</v>
      </c>
      <c r="Q432" s="273"/>
      <c r="R432">
        <f>presup!M$368</f>
        <v>0</v>
      </c>
    </row>
    <row r="433" spans="1:18" ht="13.5" customHeight="1" x14ac:dyDescent="0.25">
      <c r="A433" s="117" t="s">
        <v>2313</v>
      </c>
      <c r="B433" s="112">
        <v>45069</v>
      </c>
      <c r="C433" s="462" t="s">
        <v>1550</v>
      </c>
      <c r="D433" s="463"/>
      <c r="E433" s="463"/>
      <c r="F433" s="463"/>
      <c r="G433" s="463"/>
      <c r="H433" s="446"/>
      <c r="I433" s="20" t="s">
        <v>2312</v>
      </c>
      <c r="J433" s="440">
        <v>1697.3600000000001</v>
      </c>
      <c r="K433" s="273"/>
      <c r="L433" s="438" t="e">
        <f t="shared" si="5"/>
        <v>#N/A</v>
      </c>
      <c r="M433" s="273"/>
      <c r="N433" s="438">
        <v>1426.3529411764707</v>
      </c>
      <c r="O433" s="273"/>
      <c r="P433" s="439">
        <f t="shared" si="4"/>
        <v>1697.3600000000001</v>
      </c>
      <c r="Q433" s="273"/>
      <c r="R433">
        <f>presup!M$368</f>
        <v>0</v>
      </c>
    </row>
    <row r="434" spans="1:18" ht="13.5" customHeight="1" x14ac:dyDescent="0.25">
      <c r="A434" s="117" t="s">
        <v>2314</v>
      </c>
      <c r="B434" s="112">
        <v>45069</v>
      </c>
      <c r="C434" s="462" t="s">
        <v>1566</v>
      </c>
      <c r="D434" s="463"/>
      <c r="E434" s="463"/>
      <c r="F434" s="463"/>
      <c r="G434" s="463"/>
      <c r="H434" s="446"/>
      <c r="I434" s="20" t="s">
        <v>2312</v>
      </c>
      <c r="J434" s="440">
        <v>3092.8799999999997</v>
      </c>
      <c r="K434" s="273"/>
      <c r="L434" s="438" t="e">
        <f t="shared" si="5"/>
        <v>#N/A</v>
      </c>
      <c r="M434" s="273"/>
      <c r="N434" s="438">
        <v>2599.0588235294117</v>
      </c>
      <c r="O434" s="273"/>
      <c r="P434" s="439">
        <f t="shared" si="4"/>
        <v>3092.8799999999997</v>
      </c>
      <c r="Q434" s="273"/>
      <c r="R434">
        <f>presup!M$368</f>
        <v>0</v>
      </c>
    </row>
    <row r="435" spans="1:18" ht="13.5" customHeight="1" x14ac:dyDescent="0.25">
      <c r="A435" s="117" t="s">
        <v>2315</v>
      </c>
      <c r="B435" s="112">
        <v>45069</v>
      </c>
      <c r="C435" s="462" t="s">
        <v>1555</v>
      </c>
      <c r="D435" s="463"/>
      <c r="E435" s="463"/>
      <c r="F435" s="463"/>
      <c r="G435" s="463"/>
      <c r="H435" s="446"/>
      <c r="I435" s="20" t="s">
        <v>2312</v>
      </c>
      <c r="J435" s="440">
        <v>1058.3999999999999</v>
      </c>
      <c r="K435" s="273"/>
      <c r="L435" s="438" t="e">
        <f t="shared" si="5"/>
        <v>#N/A</v>
      </c>
      <c r="M435" s="273"/>
      <c r="N435" s="438">
        <v>889.41176470588232</v>
      </c>
      <c r="O435" s="273"/>
      <c r="P435" s="439">
        <f t="shared" si="4"/>
        <v>1058.3999999999999</v>
      </c>
      <c r="Q435" s="273"/>
      <c r="R435">
        <f>presup!M$368</f>
        <v>0</v>
      </c>
    </row>
    <row r="436" spans="1:18" ht="13.5" customHeight="1" x14ac:dyDescent="0.25">
      <c r="A436" s="117" t="s">
        <v>2316</v>
      </c>
      <c r="B436" s="112">
        <v>45069</v>
      </c>
      <c r="C436" s="462" t="s">
        <v>1567</v>
      </c>
      <c r="D436" s="463"/>
      <c r="E436" s="463"/>
      <c r="F436" s="463"/>
      <c r="G436" s="463"/>
      <c r="H436" s="446"/>
      <c r="I436" s="20" t="s">
        <v>19</v>
      </c>
      <c r="J436" s="440">
        <v>7726.3199999999988</v>
      </c>
      <c r="K436" s="273"/>
      <c r="L436" s="438" t="e">
        <f t="shared" si="5"/>
        <v>#N/A</v>
      </c>
      <c r="M436" s="273"/>
      <c r="N436" s="438">
        <v>6492.7058823529405</v>
      </c>
      <c r="O436" s="273"/>
      <c r="P436" s="439">
        <f t="shared" si="4"/>
        <v>7726.3199999999988</v>
      </c>
      <c r="Q436" s="273"/>
      <c r="R436">
        <f>presup!M$368</f>
        <v>0</v>
      </c>
    </row>
    <row r="437" spans="1:18" ht="13.5" customHeight="1" x14ac:dyDescent="0.25">
      <c r="A437" s="117" t="s">
        <v>2317</v>
      </c>
      <c r="B437" s="112">
        <v>45069</v>
      </c>
      <c r="C437" s="462" t="s">
        <v>1557</v>
      </c>
      <c r="D437" s="463"/>
      <c r="E437" s="463"/>
      <c r="F437" s="463"/>
      <c r="G437" s="463"/>
      <c r="H437" s="446"/>
      <c r="I437" s="20" t="s">
        <v>2312</v>
      </c>
      <c r="J437" s="440">
        <v>1470</v>
      </c>
      <c r="K437" s="273"/>
      <c r="L437" s="438" t="e">
        <f t="shared" si="5"/>
        <v>#N/A</v>
      </c>
      <c r="M437" s="273"/>
      <c r="N437" s="438">
        <v>1235.2941176470588</v>
      </c>
      <c r="O437" s="273"/>
      <c r="P437" s="439">
        <f t="shared" si="4"/>
        <v>1470</v>
      </c>
      <c r="Q437" s="273"/>
      <c r="R437">
        <f>presup!M$368</f>
        <v>0</v>
      </c>
    </row>
    <row r="438" spans="1:18" ht="13.5" customHeight="1" x14ac:dyDescent="0.25">
      <c r="A438" s="117" t="s">
        <v>2318</v>
      </c>
      <c r="B438" s="112">
        <v>45069</v>
      </c>
      <c r="C438" s="462" t="s">
        <v>1568</v>
      </c>
      <c r="D438" s="463"/>
      <c r="E438" s="463"/>
      <c r="F438" s="463"/>
      <c r="G438" s="463"/>
      <c r="H438" s="446"/>
      <c r="I438" s="20" t="s">
        <v>2312</v>
      </c>
      <c r="J438" s="440">
        <v>1532.7199999999998</v>
      </c>
      <c r="K438" s="273"/>
      <c r="L438" s="438" t="e">
        <f t="shared" si="5"/>
        <v>#N/A</v>
      </c>
      <c r="M438" s="273"/>
      <c r="N438" s="438">
        <v>1288</v>
      </c>
      <c r="O438" s="273"/>
      <c r="P438" s="439">
        <f t="shared" ref="P438:P647" si="6">+J438</f>
        <v>1532.7199999999998</v>
      </c>
      <c r="Q438" s="273"/>
      <c r="R438">
        <f>presup!M$368</f>
        <v>0</v>
      </c>
    </row>
    <row r="439" spans="1:18" ht="13.5" customHeight="1" x14ac:dyDescent="0.25">
      <c r="A439" s="117" t="s">
        <v>2319</v>
      </c>
      <c r="B439" s="112">
        <v>45069</v>
      </c>
      <c r="C439" s="462" t="s">
        <v>1569</v>
      </c>
      <c r="D439" s="463"/>
      <c r="E439" s="463"/>
      <c r="F439" s="463"/>
      <c r="G439" s="463"/>
      <c r="H439" s="446"/>
      <c r="I439" s="20" t="s">
        <v>2312</v>
      </c>
      <c r="J439" s="440">
        <v>28769.999999999996</v>
      </c>
      <c r="K439" s="273"/>
      <c r="L439" s="438" t="e">
        <f t="shared" ref="L439:L647" si="7">#N/A</f>
        <v>#N/A</v>
      </c>
      <c r="M439" s="273"/>
      <c r="N439" s="438">
        <v>24176.470588235294</v>
      </c>
      <c r="O439" s="273"/>
      <c r="P439" s="439">
        <f t="shared" si="6"/>
        <v>28769.999999999996</v>
      </c>
      <c r="Q439" s="273"/>
      <c r="R439">
        <f>presup!M$368</f>
        <v>0</v>
      </c>
    </row>
    <row r="440" spans="1:18" ht="13.5" customHeight="1" x14ac:dyDescent="0.25">
      <c r="A440" s="117" t="s">
        <v>2320</v>
      </c>
      <c r="B440" s="112">
        <v>45069</v>
      </c>
      <c r="C440" s="462" t="s">
        <v>1570</v>
      </c>
      <c r="D440" s="463"/>
      <c r="E440" s="463"/>
      <c r="F440" s="463"/>
      <c r="G440" s="463"/>
      <c r="H440" s="446"/>
      <c r="I440" s="20" t="s">
        <v>2312</v>
      </c>
      <c r="J440" s="440">
        <v>1532.7199999999998</v>
      </c>
      <c r="K440" s="273"/>
      <c r="L440" s="438" t="e">
        <f t="shared" si="7"/>
        <v>#N/A</v>
      </c>
      <c r="M440" s="273"/>
      <c r="N440" s="438">
        <v>1288</v>
      </c>
      <c r="O440" s="273"/>
      <c r="P440" s="439">
        <f t="shared" si="6"/>
        <v>1532.7199999999998</v>
      </c>
      <c r="Q440" s="273"/>
      <c r="R440">
        <f>presup!M$368</f>
        <v>0</v>
      </c>
    </row>
    <row r="441" spans="1:18" ht="13.5" customHeight="1" x14ac:dyDescent="0.25">
      <c r="A441" s="117" t="s">
        <v>2321</v>
      </c>
      <c r="B441" s="112">
        <v>45069</v>
      </c>
      <c r="C441" s="462" t="s">
        <v>1571</v>
      </c>
      <c r="D441" s="463"/>
      <c r="E441" s="463"/>
      <c r="F441" s="463"/>
      <c r="G441" s="463"/>
      <c r="H441" s="446"/>
      <c r="I441" s="20" t="s">
        <v>19</v>
      </c>
      <c r="J441" s="440">
        <f>44067*1.2/0.85</f>
        <v>62212.23529411765</v>
      </c>
      <c r="K441" s="273"/>
      <c r="L441" s="438" t="e">
        <f t="shared" si="7"/>
        <v>#N/A</v>
      </c>
      <c r="M441" s="273"/>
      <c r="N441" s="438">
        <v>52279.189322787941</v>
      </c>
      <c r="O441" s="273"/>
      <c r="P441" s="439">
        <f t="shared" si="6"/>
        <v>62212.23529411765</v>
      </c>
      <c r="Q441" s="273"/>
      <c r="R441">
        <f>presup!M$368</f>
        <v>0</v>
      </c>
    </row>
    <row r="442" spans="1:18" ht="13.5" customHeight="1" x14ac:dyDescent="0.25">
      <c r="A442" s="117" t="s">
        <v>2322</v>
      </c>
      <c r="B442" s="112">
        <v>45069</v>
      </c>
      <c r="C442" s="462" t="s">
        <v>1570</v>
      </c>
      <c r="D442" s="463"/>
      <c r="E442" s="463"/>
      <c r="F442" s="463"/>
      <c r="G442" s="463"/>
      <c r="H442" s="446"/>
      <c r="I442" s="20" t="s">
        <v>2312</v>
      </c>
      <c r="J442" s="440">
        <v>1532.7199999999998</v>
      </c>
      <c r="K442" s="273"/>
      <c r="L442" s="438" t="e">
        <f t="shared" si="7"/>
        <v>#N/A</v>
      </c>
      <c r="M442" s="273"/>
      <c r="N442" s="438">
        <v>1288</v>
      </c>
      <c r="O442" s="273"/>
      <c r="P442" s="439">
        <f t="shared" si="6"/>
        <v>1532.7199999999998</v>
      </c>
      <c r="Q442" s="273"/>
      <c r="R442">
        <f>presup!M$368</f>
        <v>0</v>
      </c>
    </row>
    <row r="443" spans="1:18" ht="13.5" customHeight="1" x14ac:dyDescent="0.25">
      <c r="A443" s="117" t="s">
        <v>2323</v>
      </c>
      <c r="B443" s="112">
        <v>45069</v>
      </c>
      <c r="C443" s="462" t="s">
        <v>1572</v>
      </c>
      <c r="D443" s="463"/>
      <c r="E443" s="463"/>
      <c r="F443" s="463"/>
      <c r="G443" s="463"/>
      <c r="H443" s="446"/>
      <c r="I443" s="20" t="s">
        <v>1382</v>
      </c>
      <c r="J443" s="440">
        <v>35583.799999999996</v>
      </c>
      <c r="K443" s="273"/>
      <c r="L443" s="438" t="e">
        <f t="shared" si="7"/>
        <v>#N/A</v>
      </c>
      <c r="M443" s="273"/>
      <c r="N443" s="438">
        <v>29902.352941176468</v>
      </c>
      <c r="O443" s="273"/>
      <c r="P443" s="439">
        <f t="shared" si="6"/>
        <v>35583.799999999996</v>
      </c>
      <c r="Q443" s="273"/>
      <c r="R443">
        <f>presup!M$368</f>
        <v>0</v>
      </c>
    </row>
    <row r="444" spans="1:18" ht="13.5" customHeight="1" x14ac:dyDescent="0.25">
      <c r="A444" s="117" t="s">
        <v>2324</v>
      </c>
      <c r="B444" s="112">
        <v>45069</v>
      </c>
      <c r="C444" s="365" t="s">
        <v>1573</v>
      </c>
      <c r="D444" s="271"/>
      <c r="E444" s="271"/>
      <c r="F444" s="271"/>
      <c r="G444" s="271"/>
      <c r="H444" s="273"/>
      <c r="I444" s="20" t="s">
        <v>2312</v>
      </c>
      <c r="J444" s="440">
        <f>1636450/0.85*1.19</f>
        <v>2291030</v>
      </c>
      <c r="K444" s="273"/>
      <c r="L444" s="438" t="e">
        <f t="shared" si="7"/>
        <v>#N/A</v>
      </c>
      <c r="M444" s="273"/>
      <c r="N444" s="438">
        <v>1925235.2941176472</v>
      </c>
      <c r="O444" s="273"/>
      <c r="P444" s="439">
        <f t="shared" si="6"/>
        <v>2291030</v>
      </c>
      <c r="Q444" s="273"/>
      <c r="R444">
        <f>presup!M$368</f>
        <v>0</v>
      </c>
    </row>
    <row r="445" spans="1:18" ht="13.5" customHeight="1" x14ac:dyDescent="0.25">
      <c r="A445" s="117" t="s">
        <v>2325</v>
      </c>
      <c r="B445" s="112">
        <v>45069</v>
      </c>
      <c r="C445" s="365" t="s">
        <v>1574</v>
      </c>
      <c r="D445" s="271"/>
      <c r="E445" s="271"/>
      <c r="F445" s="271"/>
      <c r="G445" s="271"/>
      <c r="H445" s="273"/>
      <c r="I445" s="20" t="s">
        <v>2312</v>
      </c>
      <c r="J445" s="440">
        <v>47523</v>
      </c>
      <c r="K445" s="273"/>
      <c r="L445" s="438" t="e">
        <f t="shared" si="7"/>
        <v>#N/A</v>
      </c>
      <c r="M445" s="273"/>
      <c r="N445" s="438">
        <v>39935.294117647063</v>
      </c>
      <c r="O445" s="273"/>
      <c r="P445" s="439">
        <f t="shared" si="6"/>
        <v>47523</v>
      </c>
      <c r="Q445" s="273"/>
      <c r="R445">
        <f>presup!M$368</f>
        <v>0</v>
      </c>
    </row>
    <row r="446" spans="1:18" ht="13.5" customHeight="1" x14ac:dyDescent="0.25">
      <c r="A446" s="117" t="s">
        <v>2326</v>
      </c>
      <c r="B446" s="112">
        <v>45069</v>
      </c>
      <c r="C446" s="365" t="s">
        <v>1575</v>
      </c>
      <c r="D446" s="271"/>
      <c r="E446" s="271"/>
      <c r="F446" s="271"/>
      <c r="G446" s="271"/>
      <c r="H446" s="273"/>
      <c r="I446" s="20" t="s">
        <v>2312</v>
      </c>
      <c r="J446" s="440">
        <f>750000/0.85*1.19</f>
        <v>1050000</v>
      </c>
      <c r="K446" s="273"/>
      <c r="L446" s="438" t="e">
        <f t="shared" si="7"/>
        <v>#N/A</v>
      </c>
      <c r="M446" s="273"/>
      <c r="N446" s="438">
        <v>882352.9411764706</v>
      </c>
      <c r="O446" s="273"/>
      <c r="P446" s="439">
        <f t="shared" si="6"/>
        <v>1050000</v>
      </c>
      <c r="Q446" s="273"/>
      <c r="R446">
        <f>presup!M$368</f>
        <v>0</v>
      </c>
    </row>
    <row r="447" spans="1:18" ht="13.5" customHeight="1" x14ac:dyDescent="0.25">
      <c r="A447" s="117" t="s">
        <v>2327</v>
      </c>
      <c r="B447" s="112">
        <v>45069</v>
      </c>
      <c r="C447" s="365" t="s">
        <v>1576</v>
      </c>
      <c r="D447" s="271"/>
      <c r="E447" s="271"/>
      <c r="F447" s="271"/>
      <c r="G447" s="271"/>
      <c r="H447" s="273"/>
      <c r="I447" s="20" t="s">
        <v>2312</v>
      </c>
      <c r="J447" s="440">
        <f>270000*1.2/0.85</f>
        <v>381176.4705882353</v>
      </c>
      <c r="K447" s="273"/>
      <c r="L447" s="438" t="e">
        <f t="shared" si="7"/>
        <v>#N/A</v>
      </c>
      <c r="M447" s="273"/>
      <c r="N447" s="438">
        <v>320316.36183885322</v>
      </c>
      <c r="O447" s="273"/>
      <c r="P447" s="439">
        <f t="shared" si="6"/>
        <v>381176.4705882353</v>
      </c>
      <c r="Q447" s="273"/>
      <c r="R447">
        <f>presup!M$368</f>
        <v>0</v>
      </c>
    </row>
    <row r="448" spans="1:18" ht="13.5" customHeight="1" x14ac:dyDescent="0.25">
      <c r="A448" s="117" t="s">
        <v>2328</v>
      </c>
      <c r="B448" s="112">
        <v>45069</v>
      </c>
      <c r="C448" s="365" t="s">
        <v>1577</v>
      </c>
      <c r="D448" s="271"/>
      <c r="E448" s="271"/>
      <c r="F448" s="271"/>
      <c r="G448" s="271"/>
      <c r="H448" s="273"/>
      <c r="I448" s="20" t="s">
        <v>2312</v>
      </c>
      <c r="J448" s="440">
        <v>91000</v>
      </c>
      <c r="K448" s="273"/>
      <c r="L448" s="438" t="e">
        <f t="shared" si="7"/>
        <v>#N/A</v>
      </c>
      <c r="M448" s="273"/>
      <c r="N448" s="438">
        <v>76470.588235294126</v>
      </c>
      <c r="O448" s="273"/>
      <c r="P448" s="439">
        <f t="shared" si="6"/>
        <v>91000</v>
      </c>
      <c r="Q448" s="273"/>
      <c r="R448">
        <f>presup!M$368</f>
        <v>0</v>
      </c>
    </row>
    <row r="449" spans="1:18" ht="13.5" customHeight="1" x14ac:dyDescent="0.25">
      <c r="A449" s="117" t="s">
        <v>2329</v>
      </c>
      <c r="B449" s="112">
        <v>45069</v>
      </c>
      <c r="C449" s="365" t="s">
        <v>1578</v>
      </c>
      <c r="D449" s="271"/>
      <c r="E449" s="271"/>
      <c r="F449" s="271"/>
      <c r="G449" s="271"/>
      <c r="H449" s="273"/>
      <c r="I449" s="20" t="s">
        <v>19</v>
      </c>
      <c r="J449" s="440">
        <f>142100/0.85*1.1/30</f>
        <v>6129.8039215686285</v>
      </c>
      <c r="K449" s="273"/>
      <c r="L449" s="438" t="e">
        <f t="shared" si="7"/>
        <v>#N/A</v>
      </c>
      <c r="M449" s="273"/>
      <c r="N449" s="438">
        <v>5151.0957324106121</v>
      </c>
      <c r="O449" s="273"/>
      <c r="P449" s="439">
        <f t="shared" si="6"/>
        <v>6129.8039215686285</v>
      </c>
      <c r="Q449" s="273"/>
      <c r="R449">
        <f>presup!M$368</f>
        <v>0</v>
      </c>
    </row>
    <row r="450" spans="1:18" ht="13.5" customHeight="1" x14ac:dyDescent="0.25">
      <c r="A450" s="117" t="s">
        <v>2330</v>
      </c>
      <c r="B450" s="112">
        <v>45069</v>
      </c>
      <c r="C450" s="365" t="s">
        <v>1579</v>
      </c>
      <c r="D450" s="271"/>
      <c r="E450" s="271"/>
      <c r="F450" s="271"/>
      <c r="G450" s="271"/>
      <c r="H450" s="273"/>
      <c r="I450" s="20" t="s">
        <v>2312</v>
      </c>
      <c r="J450" s="440">
        <f>450*1.2/0.85</f>
        <v>635.29411764705878</v>
      </c>
      <c r="K450" s="273"/>
      <c r="L450" s="438" t="e">
        <f t="shared" si="7"/>
        <v>#N/A</v>
      </c>
      <c r="M450" s="273"/>
      <c r="N450" s="438">
        <v>533.86060306475531</v>
      </c>
      <c r="O450" s="273"/>
      <c r="P450" s="439">
        <f t="shared" si="6"/>
        <v>635.29411764705878</v>
      </c>
      <c r="Q450" s="273"/>
      <c r="R450">
        <f>presup!M$368</f>
        <v>0</v>
      </c>
    </row>
    <row r="451" spans="1:18" ht="13.5" customHeight="1" x14ac:dyDescent="0.25">
      <c r="A451" s="117" t="s">
        <v>2331</v>
      </c>
      <c r="B451" s="112">
        <v>45069</v>
      </c>
      <c r="C451" s="365" t="s">
        <v>1580</v>
      </c>
      <c r="D451" s="271"/>
      <c r="E451" s="271"/>
      <c r="F451" s="271"/>
      <c r="G451" s="271"/>
      <c r="H451" s="273"/>
      <c r="I451" s="20" t="s">
        <v>19</v>
      </c>
      <c r="J451" s="440">
        <f>22387*1.19/0.85</f>
        <v>31341.8</v>
      </c>
      <c r="K451" s="273"/>
      <c r="L451" s="438" t="e">
        <f t="shared" si="7"/>
        <v>#N/A</v>
      </c>
      <c r="M451" s="273"/>
      <c r="N451" s="438">
        <v>26337.647058823532</v>
      </c>
      <c r="O451" s="273"/>
      <c r="P451" s="439">
        <f t="shared" si="6"/>
        <v>31341.8</v>
      </c>
      <c r="Q451" s="273"/>
      <c r="R451">
        <f>presup!M$368</f>
        <v>0</v>
      </c>
    </row>
    <row r="452" spans="1:18" ht="13.5" customHeight="1" x14ac:dyDescent="0.25">
      <c r="A452" s="117" t="s">
        <v>2332</v>
      </c>
      <c r="B452" s="112">
        <v>45069</v>
      </c>
      <c r="C452" s="365" t="s">
        <v>1581</v>
      </c>
      <c r="D452" s="271"/>
      <c r="E452" s="271"/>
      <c r="F452" s="271"/>
      <c r="G452" s="271"/>
      <c r="H452" s="273"/>
      <c r="I452" s="20" t="s">
        <v>19</v>
      </c>
      <c r="J452" s="440">
        <f>3200*1.19/0.85</f>
        <v>4480</v>
      </c>
      <c r="K452" s="273"/>
      <c r="L452" s="438" t="e">
        <f t="shared" si="7"/>
        <v>#N/A</v>
      </c>
      <c r="M452" s="273"/>
      <c r="N452" s="438">
        <v>3764.7058823529414</v>
      </c>
      <c r="O452" s="273"/>
      <c r="P452" s="439">
        <f t="shared" si="6"/>
        <v>4480</v>
      </c>
      <c r="Q452" s="273"/>
      <c r="R452">
        <f>presup!M$368</f>
        <v>0</v>
      </c>
    </row>
    <row r="453" spans="1:18" ht="13.5" customHeight="1" x14ac:dyDescent="0.25">
      <c r="A453" s="117" t="s">
        <v>2333</v>
      </c>
      <c r="B453" s="112">
        <v>45069</v>
      </c>
      <c r="C453" s="365" t="s">
        <v>1582</v>
      </c>
      <c r="D453" s="271"/>
      <c r="E453" s="271"/>
      <c r="F453" s="271"/>
      <c r="G453" s="271"/>
      <c r="H453" s="273"/>
      <c r="I453" s="20" t="s">
        <v>2312</v>
      </c>
      <c r="J453" s="440">
        <f>1.2*92000/0.85</f>
        <v>129882.35294117648</v>
      </c>
      <c r="K453" s="273"/>
      <c r="L453" s="438" t="e">
        <f t="shared" si="7"/>
        <v>#N/A</v>
      </c>
      <c r="M453" s="273"/>
      <c r="N453" s="438">
        <v>109144.83440434998</v>
      </c>
      <c r="O453" s="273"/>
      <c r="P453" s="439">
        <f t="shared" si="6"/>
        <v>129882.35294117648</v>
      </c>
      <c r="Q453" s="273"/>
      <c r="R453">
        <f>presup!M$368</f>
        <v>0</v>
      </c>
    </row>
    <row r="454" spans="1:18" ht="13.5" customHeight="1" x14ac:dyDescent="0.25">
      <c r="A454" s="117" t="s">
        <v>2334</v>
      </c>
      <c r="B454" s="112">
        <v>45069</v>
      </c>
      <c r="C454" s="365" t="s">
        <v>1583</v>
      </c>
      <c r="D454" s="271"/>
      <c r="E454" s="271"/>
      <c r="F454" s="271"/>
      <c r="G454" s="271"/>
      <c r="H454" s="273"/>
      <c r="I454" s="20" t="s">
        <v>2312</v>
      </c>
      <c r="J454" s="440">
        <f>1.2*80000/0.85</f>
        <v>112941.17647058824</v>
      </c>
      <c r="K454" s="273"/>
      <c r="L454" s="438" t="e">
        <f t="shared" si="7"/>
        <v>#N/A</v>
      </c>
      <c r="M454" s="273"/>
      <c r="N454" s="438">
        <v>94908.5516559565</v>
      </c>
      <c r="O454" s="273"/>
      <c r="P454" s="439">
        <f t="shared" si="6"/>
        <v>112941.17647058824</v>
      </c>
      <c r="Q454" s="273"/>
      <c r="R454">
        <f>presup!M$368</f>
        <v>0</v>
      </c>
    </row>
    <row r="455" spans="1:18" ht="13.5" customHeight="1" x14ac:dyDescent="0.25">
      <c r="A455" s="117" t="s">
        <v>2335</v>
      </c>
      <c r="B455" s="112">
        <v>45069</v>
      </c>
      <c r="C455" s="462" t="s">
        <v>1584</v>
      </c>
      <c r="D455" s="463"/>
      <c r="E455" s="463"/>
      <c r="F455" s="463"/>
      <c r="G455" s="463"/>
      <c r="H455" s="446"/>
      <c r="I455" s="20" t="s">
        <v>502</v>
      </c>
      <c r="J455" s="440">
        <v>149165.51999999999</v>
      </c>
      <c r="K455" s="273"/>
      <c r="L455" s="438" t="e">
        <f t="shared" si="7"/>
        <v>#N/A</v>
      </c>
      <c r="M455" s="273"/>
      <c r="N455" s="438">
        <v>125349.17647058824</v>
      </c>
      <c r="O455" s="273"/>
      <c r="P455" s="439">
        <f t="shared" si="6"/>
        <v>149165.51999999999</v>
      </c>
      <c r="Q455" s="273"/>
      <c r="R455">
        <f>presup!M$368</f>
        <v>0</v>
      </c>
    </row>
    <row r="456" spans="1:18" ht="13.5" customHeight="1" x14ac:dyDescent="0.25">
      <c r="A456" s="117" t="s">
        <v>2336</v>
      </c>
      <c r="B456" s="112">
        <v>45069</v>
      </c>
      <c r="C456" s="365" t="s">
        <v>1585</v>
      </c>
      <c r="D456" s="271"/>
      <c r="E456" s="271"/>
      <c r="F456" s="271"/>
      <c r="G456" s="271"/>
      <c r="H456" s="273"/>
      <c r="I456" s="20" t="s">
        <v>502</v>
      </c>
      <c r="J456" s="440">
        <f>1.3*518000</f>
        <v>673400</v>
      </c>
      <c r="K456" s="273"/>
      <c r="L456" s="438" t="e">
        <f t="shared" si="7"/>
        <v>#N/A</v>
      </c>
      <c r="M456" s="273"/>
      <c r="N456" s="438">
        <v>565882.3529411765</v>
      </c>
      <c r="O456" s="273"/>
      <c r="P456" s="439">
        <f t="shared" si="6"/>
        <v>673400</v>
      </c>
      <c r="Q456" s="273"/>
      <c r="R456">
        <f>presup!M$368</f>
        <v>0</v>
      </c>
    </row>
    <row r="457" spans="1:18" ht="13.5" customHeight="1" x14ac:dyDescent="0.25">
      <c r="A457" s="117" t="s">
        <v>2337</v>
      </c>
      <c r="B457" s="112">
        <v>45069</v>
      </c>
      <c r="C457" s="365" t="s">
        <v>1586</v>
      </c>
      <c r="D457" s="271"/>
      <c r="E457" s="271"/>
      <c r="F457" s="271"/>
      <c r="G457" s="271"/>
      <c r="H457" s="273"/>
      <c r="I457" s="20" t="s">
        <v>502</v>
      </c>
      <c r="J457" s="440">
        <f>153000*1.4*2</f>
        <v>428400</v>
      </c>
      <c r="K457" s="273"/>
      <c r="L457" s="438" t="e">
        <f t="shared" si="7"/>
        <v>#N/A</v>
      </c>
      <c r="M457" s="273"/>
      <c r="N457" s="438">
        <v>360000</v>
      </c>
      <c r="O457" s="273"/>
      <c r="P457" s="439">
        <f t="shared" si="6"/>
        <v>428400</v>
      </c>
      <c r="Q457" s="273"/>
      <c r="R457">
        <f>presup!M$368</f>
        <v>0</v>
      </c>
    </row>
    <row r="458" spans="1:18" ht="13.5" customHeight="1" x14ac:dyDescent="0.25">
      <c r="A458" s="117" t="s">
        <v>2338</v>
      </c>
      <c r="B458" s="112">
        <v>45069</v>
      </c>
      <c r="C458" s="365" t="s">
        <v>1587</v>
      </c>
      <c r="D458" s="271"/>
      <c r="E458" s="271"/>
      <c r="F458" s="271"/>
      <c r="G458" s="271"/>
      <c r="H458" s="273"/>
      <c r="I458" s="20" t="s">
        <v>502</v>
      </c>
      <c r="J458" s="440">
        <v>1750</v>
      </c>
      <c r="K458" s="273"/>
      <c r="L458" s="438" t="e">
        <f t="shared" si="7"/>
        <v>#N/A</v>
      </c>
      <c r="M458" s="273"/>
      <c r="N458" s="438">
        <v>1470.5882352941178</v>
      </c>
      <c r="O458" s="273"/>
      <c r="P458" s="439">
        <f t="shared" si="6"/>
        <v>1750</v>
      </c>
      <c r="Q458" s="273"/>
      <c r="R458">
        <f>presup!M$368</f>
        <v>0</v>
      </c>
    </row>
    <row r="459" spans="1:18" ht="13.5" customHeight="1" x14ac:dyDescent="0.25">
      <c r="A459" s="117" t="s">
        <v>2339</v>
      </c>
      <c r="B459" s="112">
        <v>45069</v>
      </c>
      <c r="C459" s="365" t="s">
        <v>1588</v>
      </c>
      <c r="D459" s="271"/>
      <c r="E459" s="271"/>
      <c r="F459" s="271"/>
      <c r="G459" s="271"/>
      <c r="H459" s="273"/>
      <c r="I459" s="20" t="s">
        <v>502</v>
      </c>
      <c r="J459" s="440">
        <v>400</v>
      </c>
      <c r="K459" s="273"/>
      <c r="L459" s="438" t="e">
        <f t="shared" si="7"/>
        <v>#N/A</v>
      </c>
      <c r="M459" s="273"/>
      <c r="N459" s="438">
        <v>336.1344537815126</v>
      </c>
      <c r="O459" s="273"/>
      <c r="P459" s="439">
        <f t="shared" si="6"/>
        <v>400</v>
      </c>
      <c r="Q459" s="273"/>
      <c r="R459">
        <f>presup!M$368</f>
        <v>0</v>
      </c>
    </row>
    <row r="460" spans="1:18" ht="13.5" customHeight="1" x14ac:dyDescent="0.25">
      <c r="A460" s="117" t="s">
        <v>2340</v>
      </c>
      <c r="B460" s="112">
        <v>45069</v>
      </c>
      <c r="C460" s="365" t="s">
        <v>1589</v>
      </c>
      <c r="D460" s="271"/>
      <c r="E460" s="271"/>
      <c r="F460" s="271"/>
      <c r="G460" s="271"/>
      <c r="H460" s="273"/>
      <c r="I460" s="20" t="s">
        <v>502</v>
      </c>
      <c r="J460" s="440">
        <v>211400</v>
      </c>
      <c r="K460" s="273"/>
      <c r="L460" s="438" t="e">
        <f t="shared" si="7"/>
        <v>#N/A</v>
      </c>
      <c r="M460" s="273"/>
      <c r="N460" s="438">
        <v>177647.05882352943</v>
      </c>
      <c r="O460" s="273"/>
      <c r="P460" s="439">
        <f t="shared" si="6"/>
        <v>211400</v>
      </c>
      <c r="Q460" s="273"/>
      <c r="R460">
        <f>presup!M$368</f>
        <v>0</v>
      </c>
    </row>
    <row r="461" spans="1:18" ht="13.5" customHeight="1" x14ac:dyDescent="0.25">
      <c r="A461" s="117" t="s">
        <v>2341</v>
      </c>
      <c r="B461" s="112">
        <v>45069</v>
      </c>
      <c r="C461" s="365" t="s">
        <v>1590</v>
      </c>
      <c r="D461" s="271"/>
      <c r="E461" s="271"/>
      <c r="F461" s="271"/>
      <c r="G461" s="271"/>
      <c r="H461" s="273"/>
      <c r="I461" s="20" t="s">
        <v>502</v>
      </c>
      <c r="J461" s="440">
        <v>19600</v>
      </c>
      <c r="K461" s="273"/>
      <c r="L461" s="438" t="e">
        <f t="shared" si="7"/>
        <v>#N/A</v>
      </c>
      <c r="M461" s="273"/>
      <c r="N461" s="438">
        <v>16470.588235294119</v>
      </c>
      <c r="O461" s="273"/>
      <c r="P461" s="439">
        <f t="shared" si="6"/>
        <v>19600</v>
      </c>
      <c r="Q461" s="273"/>
      <c r="R461">
        <f>presup!M$368</f>
        <v>0</v>
      </c>
    </row>
    <row r="462" spans="1:18" ht="13.5" customHeight="1" x14ac:dyDescent="0.25">
      <c r="A462" s="117" t="s">
        <v>2342</v>
      </c>
      <c r="B462" s="112">
        <v>45069</v>
      </c>
      <c r="C462" s="365" t="s">
        <v>1591</v>
      </c>
      <c r="D462" s="271"/>
      <c r="E462" s="271"/>
      <c r="F462" s="271"/>
      <c r="G462" s="271"/>
      <c r="H462" s="273"/>
      <c r="I462" s="20" t="s">
        <v>502</v>
      </c>
      <c r="J462" s="440">
        <v>33600</v>
      </c>
      <c r="K462" s="273"/>
      <c r="L462" s="438" t="e">
        <f t="shared" si="7"/>
        <v>#N/A</v>
      </c>
      <c r="M462" s="273"/>
      <c r="N462" s="438">
        <v>28235.294117647059</v>
      </c>
      <c r="O462" s="273"/>
      <c r="P462" s="439">
        <f t="shared" si="6"/>
        <v>33600</v>
      </c>
      <c r="Q462" s="273"/>
      <c r="R462">
        <f>presup!M$368</f>
        <v>0</v>
      </c>
    </row>
    <row r="463" spans="1:18" ht="13.5" customHeight="1" x14ac:dyDescent="0.25">
      <c r="A463" s="117" t="s">
        <v>2343</v>
      </c>
      <c r="B463" s="112">
        <v>45069</v>
      </c>
      <c r="C463" s="365" t="s">
        <v>1592</v>
      </c>
      <c r="D463" s="271"/>
      <c r="E463" s="271"/>
      <c r="F463" s="271"/>
      <c r="G463" s="271"/>
      <c r="H463" s="273"/>
      <c r="I463" s="20" t="s">
        <v>502</v>
      </c>
      <c r="J463" s="440">
        <v>47523</v>
      </c>
      <c r="K463" s="273"/>
      <c r="L463" s="438" t="e">
        <f t="shared" si="7"/>
        <v>#N/A</v>
      </c>
      <c r="M463" s="273"/>
      <c r="N463" s="438">
        <v>39935.294117647063</v>
      </c>
      <c r="O463" s="273"/>
      <c r="P463" s="439">
        <f t="shared" si="6"/>
        <v>47523</v>
      </c>
      <c r="Q463" s="273"/>
      <c r="R463">
        <f>presup!M$368</f>
        <v>0</v>
      </c>
    </row>
    <row r="464" spans="1:18" ht="13.5" customHeight="1" x14ac:dyDescent="0.25">
      <c r="A464" s="117" t="s">
        <v>2344</v>
      </c>
      <c r="B464" s="112">
        <v>45069</v>
      </c>
      <c r="C464" s="365" t="s">
        <v>1593</v>
      </c>
      <c r="D464" s="271"/>
      <c r="E464" s="271"/>
      <c r="F464" s="271"/>
      <c r="G464" s="271"/>
      <c r="H464" s="273"/>
      <c r="I464" s="20" t="s">
        <v>502</v>
      </c>
      <c r="J464" s="440">
        <v>148750</v>
      </c>
      <c r="K464" s="273"/>
      <c r="L464" s="438" t="e">
        <f t="shared" si="7"/>
        <v>#N/A</v>
      </c>
      <c r="M464" s="273"/>
      <c r="N464" s="438">
        <v>125000</v>
      </c>
      <c r="O464" s="273"/>
      <c r="P464" s="439">
        <f t="shared" si="6"/>
        <v>148750</v>
      </c>
      <c r="Q464" s="273"/>
      <c r="R464">
        <f>presup!M$368</f>
        <v>0</v>
      </c>
    </row>
    <row r="465" spans="1:18" ht="13.5" customHeight="1" x14ac:dyDescent="0.25">
      <c r="A465" s="117" t="s">
        <v>2345</v>
      </c>
      <c r="B465" s="112">
        <v>45069</v>
      </c>
      <c r="C465" s="365" t="s">
        <v>1594</v>
      </c>
      <c r="D465" s="271"/>
      <c r="E465" s="271"/>
      <c r="F465" s="271"/>
      <c r="G465" s="271"/>
      <c r="H465" s="273"/>
      <c r="I465" s="20" t="s">
        <v>502</v>
      </c>
      <c r="J465" s="440">
        <v>4919936</v>
      </c>
      <c r="K465" s="273"/>
      <c r="L465" s="438" t="e">
        <f t="shared" si="7"/>
        <v>#N/A</v>
      </c>
      <c r="M465" s="273"/>
      <c r="N465" s="438">
        <v>4134400</v>
      </c>
      <c r="O465" s="273"/>
      <c r="P465" s="439">
        <f t="shared" si="6"/>
        <v>4919936</v>
      </c>
      <c r="Q465" s="273"/>
      <c r="R465">
        <f>presup!M$368</f>
        <v>0</v>
      </c>
    </row>
    <row r="466" spans="1:18" ht="13.5" customHeight="1" x14ac:dyDescent="0.25">
      <c r="A466" s="117" t="s">
        <v>2346</v>
      </c>
      <c r="B466" s="112">
        <v>45069</v>
      </c>
      <c r="C466" s="462" t="s">
        <v>1595</v>
      </c>
      <c r="D466" s="463"/>
      <c r="E466" s="463"/>
      <c r="F466" s="463"/>
      <c r="G466" s="463"/>
      <c r="H466" s="446"/>
      <c r="I466" s="20" t="s">
        <v>502</v>
      </c>
      <c r="J466" s="440">
        <v>114500</v>
      </c>
      <c r="K466" s="273"/>
      <c r="L466" s="438" t="e">
        <f t="shared" si="7"/>
        <v>#N/A</v>
      </c>
      <c r="M466" s="273"/>
      <c r="N466" s="438">
        <v>96218.487394957992</v>
      </c>
      <c r="O466" s="273"/>
      <c r="P466" s="439">
        <f t="shared" si="6"/>
        <v>114500</v>
      </c>
      <c r="Q466" s="273"/>
      <c r="R466">
        <f>presup!M$368</f>
        <v>0</v>
      </c>
    </row>
    <row r="467" spans="1:18" ht="13.5" customHeight="1" x14ac:dyDescent="0.25">
      <c r="A467" s="117" t="s">
        <v>2347</v>
      </c>
      <c r="B467" s="112">
        <v>45069</v>
      </c>
      <c r="C467" s="462" t="s">
        <v>1596</v>
      </c>
      <c r="D467" s="463"/>
      <c r="E467" s="463"/>
      <c r="F467" s="463"/>
      <c r="G467" s="463"/>
      <c r="H467" s="446"/>
      <c r="I467" s="20" t="s">
        <v>502</v>
      </c>
      <c r="J467" s="440">
        <v>3938</v>
      </c>
      <c r="K467" s="273"/>
      <c r="L467" s="438" t="e">
        <f t="shared" si="7"/>
        <v>#N/A</v>
      </c>
      <c r="M467" s="273"/>
      <c r="N467" s="438">
        <v>3309.2436974789916</v>
      </c>
      <c r="O467" s="273"/>
      <c r="P467" s="439">
        <f t="shared" si="6"/>
        <v>3938</v>
      </c>
      <c r="Q467" s="273"/>
      <c r="R467">
        <f>presup!M$368</f>
        <v>0</v>
      </c>
    </row>
    <row r="468" spans="1:18" ht="13.5" customHeight="1" x14ac:dyDescent="0.25">
      <c r="A468" s="117" t="s">
        <v>2348</v>
      </c>
      <c r="B468" s="112">
        <v>45069</v>
      </c>
      <c r="C468" s="462" t="s">
        <v>1597</v>
      </c>
      <c r="D468" s="463"/>
      <c r="E468" s="463"/>
      <c r="F468" s="463"/>
      <c r="G468" s="463"/>
      <c r="H468" s="446"/>
      <c r="I468" s="20" t="s">
        <v>1382</v>
      </c>
      <c r="J468" s="440">
        <v>35584</v>
      </c>
      <c r="K468" s="273"/>
      <c r="L468" s="438" t="e">
        <f t="shared" si="7"/>
        <v>#N/A</v>
      </c>
      <c r="M468" s="273"/>
      <c r="N468" s="438">
        <v>29902.521008403364</v>
      </c>
      <c r="O468" s="273"/>
      <c r="P468" s="439">
        <f t="shared" si="6"/>
        <v>35584</v>
      </c>
      <c r="Q468" s="273"/>
      <c r="R468">
        <f>presup!M$368</f>
        <v>0</v>
      </c>
    </row>
    <row r="469" spans="1:18" ht="13.5" customHeight="1" x14ac:dyDescent="0.25">
      <c r="A469" s="117" t="s">
        <v>2349</v>
      </c>
      <c r="B469" s="112">
        <v>45069</v>
      </c>
      <c r="C469" s="365" t="s">
        <v>1598</v>
      </c>
      <c r="D469" s="271"/>
      <c r="E469" s="271"/>
      <c r="F469" s="271"/>
      <c r="G469" s="271"/>
      <c r="H469" s="273"/>
      <c r="I469" s="20" t="s">
        <v>1402</v>
      </c>
      <c r="J469" s="440">
        <v>31637.759999999998</v>
      </c>
      <c r="K469" s="273"/>
      <c r="L469" s="438" t="e">
        <f t="shared" si="7"/>
        <v>#N/A</v>
      </c>
      <c r="M469" s="273"/>
      <c r="N469" s="438">
        <v>26586.352941176472</v>
      </c>
      <c r="O469" s="273"/>
      <c r="P469" s="439">
        <f t="shared" si="6"/>
        <v>31637.759999999998</v>
      </c>
      <c r="Q469" s="273"/>
      <c r="R469">
        <f>presup!M$368</f>
        <v>0</v>
      </c>
    </row>
    <row r="470" spans="1:18" ht="13.5" customHeight="1" x14ac:dyDescent="0.25">
      <c r="A470" s="117" t="s">
        <v>2350</v>
      </c>
      <c r="B470" s="112">
        <v>45069</v>
      </c>
      <c r="C470" s="365" t="s">
        <v>1599</v>
      </c>
      <c r="D470" s="271"/>
      <c r="E470" s="271"/>
      <c r="F470" s="271"/>
      <c r="G470" s="271"/>
      <c r="H470" s="273"/>
      <c r="I470" s="20" t="s">
        <v>2351</v>
      </c>
      <c r="J470" s="440">
        <v>8698.4500000000007</v>
      </c>
      <c r="K470" s="273"/>
      <c r="L470" s="438" t="e">
        <f t="shared" si="7"/>
        <v>#N/A</v>
      </c>
      <c r="M470" s="273"/>
      <c r="N470" s="438">
        <v>7309.6218487394972</v>
      </c>
      <c r="O470" s="273"/>
      <c r="P470" s="439">
        <f t="shared" si="6"/>
        <v>8698.4500000000007</v>
      </c>
      <c r="Q470" s="273"/>
      <c r="R470">
        <f>presup!M$368</f>
        <v>0</v>
      </c>
    </row>
    <row r="471" spans="1:18" ht="13.5" customHeight="1" x14ac:dyDescent="0.25">
      <c r="A471" s="117" t="s">
        <v>2352</v>
      </c>
      <c r="B471" s="112">
        <v>45069</v>
      </c>
      <c r="C471" s="365" t="s">
        <v>1600</v>
      </c>
      <c r="D471" s="271"/>
      <c r="E471" s="271"/>
      <c r="F471" s="271"/>
      <c r="G471" s="271"/>
      <c r="H471" s="273"/>
      <c r="I471" s="20" t="s">
        <v>1382</v>
      </c>
      <c r="J471" s="440">
        <v>1220265.2</v>
      </c>
      <c r="K471" s="273"/>
      <c r="L471" s="438" t="e">
        <f t="shared" si="7"/>
        <v>#N/A</v>
      </c>
      <c r="M471" s="273"/>
      <c r="N471" s="438">
        <v>1025432.9411764706</v>
      </c>
      <c r="O471" s="273"/>
      <c r="P471" s="439">
        <f t="shared" si="6"/>
        <v>1220265.2</v>
      </c>
      <c r="Q471" s="273"/>
      <c r="R471">
        <f>presup!M$368</f>
        <v>0</v>
      </c>
    </row>
    <row r="472" spans="1:18" ht="13.5" customHeight="1" x14ac:dyDescent="0.25">
      <c r="A472" s="117" t="s">
        <v>2353</v>
      </c>
      <c r="B472" s="112">
        <v>45069</v>
      </c>
      <c r="C472" s="365" t="s">
        <v>1601</v>
      </c>
      <c r="D472" s="271"/>
      <c r="E472" s="271"/>
      <c r="F472" s="271"/>
      <c r="G472" s="271"/>
      <c r="H472" s="273"/>
      <c r="I472" s="20" t="s">
        <v>1402</v>
      </c>
      <c r="J472" s="440">
        <v>45623.199999999997</v>
      </c>
      <c r="K472" s="273"/>
      <c r="L472" s="438" t="e">
        <f t="shared" si="7"/>
        <v>#N/A</v>
      </c>
      <c r="M472" s="273"/>
      <c r="N472" s="438">
        <v>38338.823529411762</v>
      </c>
      <c r="O472" s="273"/>
      <c r="P472" s="439">
        <f t="shared" si="6"/>
        <v>45623.199999999997</v>
      </c>
      <c r="Q472" s="273"/>
      <c r="R472">
        <f>presup!M$368</f>
        <v>0</v>
      </c>
    </row>
    <row r="473" spans="1:18" ht="13.5" customHeight="1" x14ac:dyDescent="0.25">
      <c r="A473" s="117" t="s">
        <v>2354</v>
      </c>
      <c r="B473" s="112">
        <v>45069</v>
      </c>
      <c r="C473" s="365" t="s">
        <v>1602</v>
      </c>
      <c r="D473" s="271"/>
      <c r="E473" s="271"/>
      <c r="F473" s="271"/>
      <c r="G473" s="271"/>
      <c r="H473" s="273"/>
      <c r="I473" s="20" t="s">
        <v>1402</v>
      </c>
      <c r="J473" s="440">
        <v>57482.6</v>
      </c>
      <c r="K473" s="273"/>
      <c r="L473" s="438" t="e">
        <f t="shared" si="7"/>
        <v>#N/A</v>
      </c>
      <c r="M473" s="273"/>
      <c r="N473" s="438">
        <v>48304.705882352944</v>
      </c>
      <c r="O473" s="273"/>
      <c r="P473" s="439">
        <f t="shared" si="6"/>
        <v>57482.6</v>
      </c>
      <c r="Q473" s="273"/>
      <c r="R473">
        <f>presup!M$368</f>
        <v>0</v>
      </c>
    </row>
    <row r="474" spans="1:18" ht="13.5" customHeight="1" x14ac:dyDescent="0.25">
      <c r="A474" s="117" t="s">
        <v>2355</v>
      </c>
      <c r="B474" s="112">
        <v>45069</v>
      </c>
      <c r="C474" s="365" t="s">
        <v>1603</v>
      </c>
      <c r="D474" s="271"/>
      <c r="E474" s="271"/>
      <c r="F474" s="271"/>
      <c r="G474" s="271"/>
      <c r="H474" s="273"/>
      <c r="I474" s="20" t="s">
        <v>1402</v>
      </c>
      <c r="J474" s="440">
        <v>150211.6</v>
      </c>
      <c r="K474" s="273"/>
      <c r="L474" s="438" t="e">
        <f t="shared" si="7"/>
        <v>#N/A</v>
      </c>
      <c r="M474" s="273"/>
      <c r="N474" s="438">
        <v>126228.23529411765</v>
      </c>
      <c r="O474" s="273"/>
      <c r="P474" s="439">
        <f t="shared" si="6"/>
        <v>150211.6</v>
      </c>
      <c r="Q474" s="273"/>
      <c r="R474">
        <f>presup!M$368</f>
        <v>0</v>
      </c>
    </row>
    <row r="475" spans="1:18" ht="13.5" customHeight="1" x14ac:dyDescent="0.25">
      <c r="A475" s="117" t="s">
        <v>2356</v>
      </c>
      <c r="B475" s="112">
        <v>45069</v>
      </c>
      <c r="C475" s="365" t="s">
        <v>1604</v>
      </c>
      <c r="D475" s="271"/>
      <c r="E475" s="271"/>
      <c r="F475" s="271"/>
      <c r="G475" s="271"/>
      <c r="H475" s="273"/>
      <c r="I475" s="20" t="s">
        <v>1382</v>
      </c>
      <c r="J475" s="440">
        <v>59610.6</v>
      </c>
      <c r="K475" s="273"/>
      <c r="L475" s="438" t="e">
        <f t="shared" si="7"/>
        <v>#N/A</v>
      </c>
      <c r="M475" s="273"/>
      <c r="N475" s="438">
        <v>50092.941176470587</v>
      </c>
      <c r="O475" s="273"/>
      <c r="P475" s="439">
        <f t="shared" si="6"/>
        <v>59610.6</v>
      </c>
      <c r="Q475" s="273"/>
      <c r="R475">
        <f>presup!M$368</f>
        <v>0</v>
      </c>
    </row>
    <row r="476" spans="1:18" ht="13.5" customHeight="1" x14ac:dyDescent="0.25">
      <c r="A476" s="117" t="s">
        <v>2357</v>
      </c>
      <c r="B476" s="112">
        <v>45069</v>
      </c>
      <c r="C476" s="365" t="s">
        <v>1605</v>
      </c>
      <c r="D476" s="271"/>
      <c r="E476" s="271"/>
      <c r="F476" s="271"/>
      <c r="G476" s="271"/>
      <c r="H476" s="273"/>
      <c r="I476" s="20" t="s">
        <v>1827</v>
      </c>
      <c r="J476" s="440">
        <v>18911.2</v>
      </c>
      <c r="K476" s="273"/>
      <c r="L476" s="438" t="e">
        <f t="shared" si="7"/>
        <v>#N/A</v>
      </c>
      <c r="M476" s="273"/>
      <c r="N476" s="438">
        <v>15891.764705882355</v>
      </c>
      <c r="O476" s="273"/>
      <c r="P476" s="439">
        <f t="shared" si="6"/>
        <v>18911.2</v>
      </c>
      <c r="Q476" s="273"/>
      <c r="R476">
        <f>presup!M$368</f>
        <v>0</v>
      </c>
    </row>
    <row r="477" spans="1:18" ht="13.5" customHeight="1" x14ac:dyDescent="0.25">
      <c r="A477" s="117" t="s">
        <v>2358</v>
      </c>
      <c r="B477" s="112">
        <v>45069</v>
      </c>
      <c r="C477" s="365" t="s">
        <v>1606</v>
      </c>
      <c r="D477" s="271"/>
      <c r="E477" s="271"/>
      <c r="F477" s="271"/>
      <c r="G477" s="271"/>
      <c r="H477" s="273"/>
      <c r="I477" s="20" t="s">
        <v>1402</v>
      </c>
      <c r="J477" s="440">
        <v>345717.4</v>
      </c>
      <c r="K477" s="273"/>
      <c r="L477" s="438" t="e">
        <f t="shared" si="7"/>
        <v>#N/A</v>
      </c>
      <c r="M477" s="273"/>
      <c r="N477" s="438">
        <v>290518.82352941181</v>
      </c>
      <c r="O477" s="273"/>
      <c r="P477" s="439">
        <f t="shared" si="6"/>
        <v>345717.4</v>
      </c>
      <c r="Q477" s="273"/>
      <c r="R477">
        <f>presup!M$368</f>
        <v>0</v>
      </c>
    </row>
    <row r="478" spans="1:18" ht="13.5" customHeight="1" x14ac:dyDescent="0.25">
      <c r="A478" s="117" t="s">
        <v>2359</v>
      </c>
      <c r="B478" s="112">
        <v>45069</v>
      </c>
      <c r="C478" s="365" t="s">
        <v>1607</v>
      </c>
      <c r="D478" s="271"/>
      <c r="E478" s="271"/>
      <c r="F478" s="271"/>
      <c r="G478" s="271"/>
      <c r="H478" s="273"/>
      <c r="I478" s="20" t="s">
        <v>1815</v>
      </c>
      <c r="J478" s="440">
        <v>68250</v>
      </c>
      <c r="K478" s="273"/>
      <c r="L478" s="438" t="e">
        <f t="shared" si="7"/>
        <v>#N/A</v>
      </c>
      <c r="M478" s="273"/>
      <c r="N478" s="438">
        <v>57352.941176470587</v>
      </c>
      <c r="O478" s="273"/>
      <c r="P478" s="439">
        <f t="shared" si="6"/>
        <v>68250</v>
      </c>
      <c r="Q478" s="273"/>
      <c r="R478">
        <f>presup!M$368</f>
        <v>0</v>
      </c>
    </row>
    <row r="479" spans="1:18" ht="13.5" customHeight="1" x14ac:dyDescent="0.25">
      <c r="A479" s="117" t="s">
        <v>2360</v>
      </c>
      <c r="B479" s="112">
        <v>45069</v>
      </c>
      <c r="C479" s="365" t="s">
        <v>1608</v>
      </c>
      <c r="D479" s="271"/>
      <c r="E479" s="271"/>
      <c r="F479" s="271"/>
      <c r="G479" s="271"/>
      <c r="H479" s="273"/>
      <c r="I479" s="20" t="s">
        <v>1402</v>
      </c>
      <c r="J479" s="440">
        <v>9882.6</v>
      </c>
      <c r="K479" s="273"/>
      <c r="L479" s="438" t="e">
        <f t="shared" si="7"/>
        <v>#N/A</v>
      </c>
      <c r="M479" s="273"/>
      <c r="N479" s="438">
        <v>8304.7058823529424</v>
      </c>
      <c r="O479" s="273"/>
      <c r="P479" s="439">
        <f t="shared" si="6"/>
        <v>9882.6</v>
      </c>
      <c r="Q479" s="273"/>
      <c r="R479">
        <f>presup!M$368</f>
        <v>0</v>
      </c>
    </row>
    <row r="480" spans="1:18" ht="13.5" customHeight="1" x14ac:dyDescent="0.25">
      <c r="A480" s="117" t="s">
        <v>2361</v>
      </c>
      <c r="B480" s="112">
        <v>45069</v>
      </c>
      <c r="C480" s="365" t="s">
        <v>1609</v>
      </c>
      <c r="D480" s="271"/>
      <c r="E480" s="271"/>
      <c r="F480" s="271"/>
      <c r="G480" s="271"/>
      <c r="H480" s="273"/>
      <c r="I480" s="20" t="s">
        <v>1815</v>
      </c>
      <c r="J480" s="440">
        <v>1470</v>
      </c>
      <c r="K480" s="273"/>
      <c r="L480" s="438" t="e">
        <f t="shared" si="7"/>
        <v>#N/A</v>
      </c>
      <c r="M480" s="273"/>
      <c r="N480" s="438">
        <v>1235.2941176470588</v>
      </c>
      <c r="O480" s="273"/>
      <c r="P480" s="439">
        <f t="shared" si="6"/>
        <v>1470</v>
      </c>
      <c r="Q480" s="273"/>
      <c r="R480">
        <f>presup!M$368</f>
        <v>0</v>
      </c>
    </row>
    <row r="481" spans="1:18" ht="13.5" customHeight="1" x14ac:dyDescent="0.25">
      <c r="A481" s="117" t="s">
        <v>2362</v>
      </c>
      <c r="B481" s="112">
        <v>45069</v>
      </c>
      <c r="C481" s="365" t="s">
        <v>1610</v>
      </c>
      <c r="D481" s="271"/>
      <c r="E481" s="271"/>
      <c r="F481" s="271"/>
      <c r="G481" s="271"/>
      <c r="H481" s="273"/>
      <c r="I481" s="20" t="s">
        <v>1815</v>
      </c>
      <c r="J481" s="440">
        <v>3312.4</v>
      </c>
      <c r="K481" s="273"/>
      <c r="L481" s="438" t="e">
        <f t="shared" si="7"/>
        <v>#N/A</v>
      </c>
      <c r="M481" s="273"/>
      <c r="N481" s="438">
        <v>2783.5294117647063</v>
      </c>
      <c r="O481" s="273"/>
      <c r="P481" s="439">
        <f t="shared" si="6"/>
        <v>3312.4</v>
      </c>
      <c r="Q481" s="273"/>
      <c r="R481">
        <f>presup!M$368</f>
        <v>0</v>
      </c>
    </row>
    <row r="482" spans="1:18" ht="13.5" customHeight="1" x14ac:dyDescent="0.25">
      <c r="A482" s="117" t="s">
        <v>2363</v>
      </c>
      <c r="B482" s="112">
        <v>45069</v>
      </c>
      <c r="C482" s="365" t="s">
        <v>1611</v>
      </c>
      <c r="D482" s="271"/>
      <c r="E482" s="271"/>
      <c r="F482" s="271"/>
      <c r="G482" s="271"/>
      <c r="H482" s="273"/>
      <c r="I482" s="20" t="s">
        <v>1382</v>
      </c>
      <c r="J482" s="440">
        <v>394251.88</v>
      </c>
      <c r="K482" s="273"/>
      <c r="L482" s="438" t="e">
        <f t="shared" si="7"/>
        <v>#N/A</v>
      </c>
      <c r="M482" s="273"/>
      <c r="N482" s="438">
        <v>331304.10084033618</v>
      </c>
      <c r="O482" s="273"/>
      <c r="P482" s="439">
        <f t="shared" si="6"/>
        <v>394251.88</v>
      </c>
      <c r="Q482" s="273"/>
      <c r="R482">
        <f>presup!M$368</f>
        <v>0</v>
      </c>
    </row>
    <row r="483" spans="1:18" ht="13.5" customHeight="1" x14ac:dyDescent="0.25">
      <c r="A483" s="117" t="s">
        <v>2364</v>
      </c>
      <c r="B483" s="112">
        <v>45069</v>
      </c>
      <c r="C483" s="365" t="s">
        <v>1612</v>
      </c>
      <c r="D483" s="271"/>
      <c r="E483" s="271"/>
      <c r="F483" s="271"/>
      <c r="G483" s="271"/>
      <c r="H483" s="273"/>
      <c r="I483" s="20" t="s">
        <v>1815</v>
      </c>
      <c r="J483" s="440">
        <v>22828.400000000001</v>
      </c>
      <c r="K483" s="273"/>
      <c r="L483" s="438" t="e">
        <f t="shared" si="7"/>
        <v>#N/A</v>
      </c>
      <c r="M483" s="273"/>
      <c r="N483" s="438">
        <v>19183.529411764706</v>
      </c>
      <c r="O483" s="273"/>
      <c r="P483" s="439">
        <f t="shared" si="6"/>
        <v>22828.400000000001</v>
      </c>
      <c r="Q483" s="273"/>
      <c r="R483">
        <f>presup!M$368</f>
        <v>0</v>
      </c>
    </row>
    <row r="484" spans="1:18" ht="13.5" customHeight="1" x14ac:dyDescent="0.25">
      <c r="A484" s="117" t="s">
        <v>2365</v>
      </c>
      <c r="B484" s="112">
        <v>45069</v>
      </c>
      <c r="C484" s="365" t="s">
        <v>1613</v>
      </c>
      <c r="D484" s="271"/>
      <c r="E484" s="271"/>
      <c r="F484" s="271"/>
      <c r="G484" s="271"/>
      <c r="H484" s="273"/>
      <c r="I484" s="20" t="s">
        <v>1815</v>
      </c>
      <c r="J484" s="440">
        <v>14578.2</v>
      </c>
      <c r="K484" s="273"/>
      <c r="L484" s="438" t="e">
        <f t="shared" si="7"/>
        <v>#N/A</v>
      </c>
      <c r="M484" s="273"/>
      <c r="N484" s="438">
        <v>12250.588235294119</v>
      </c>
      <c r="O484" s="273"/>
      <c r="P484" s="439">
        <f t="shared" si="6"/>
        <v>14578.2</v>
      </c>
      <c r="Q484" s="273"/>
      <c r="R484">
        <f>presup!M$368</f>
        <v>0</v>
      </c>
    </row>
    <row r="485" spans="1:18" ht="13.5" customHeight="1" x14ac:dyDescent="0.25">
      <c r="A485" s="117" t="s">
        <v>2366</v>
      </c>
      <c r="B485" s="112">
        <v>45069</v>
      </c>
      <c r="C485" s="365" t="s">
        <v>1614</v>
      </c>
      <c r="D485" s="271"/>
      <c r="E485" s="271"/>
      <c r="F485" s="271"/>
      <c r="G485" s="271"/>
      <c r="H485" s="273"/>
      <c r="I485" s="20" t="s">
        <v>502</v>
      </c>
      <c r="J485" s="440">
        <v>10475</v>
      </c>
      <c r="K485" s="273"/>
      <c r="L485" s="438" t="e">
        <f t="shared" si="7"/>
        <v>#N/A</v>
      </c>
      <c r="M485" s="273"/>
      <c r="N485" s="438">
        <v>8802.5210084033624</v>
      </c>
      <c r="O485" s="273"/>
      <c r="P485" s="439">
        <f t="shared" si="6"/>
        <v>10475</v>
      </c>
      <c r="Q485" s="273"/>
      <c r="R485">
        <f>presup!M$368</f>
        <v>0</v>
      </c>
    </row>
    <row r="486" spans="1:18" ht="13.5" customHeight="1" x14ac:dyDescent="0.25">
      <c r="A486" s="117" t="s">
        <v>2367</v>
      </c>
      <c r="B486" s="112">
        <v>45069</v>
      </c>
      <c r="C486" s="365" t="s">
        <v>1615</v>
      </c>
      <c r="D486" s="271"/>
      <c r="E486" s="271"/>
      <c r="F486" s="271"/>
      <c r="G486" s="271"/>
      <c r="H486" s="273"/>
      <c r="I486" s="20" t="s">
        <v>502</v>
      </c>
      <c r="J486" s="440">
        <v>7165</v>
      </c>
      <c r="K486" s="273"/>
      <c r="L486" s="438" t="e">
        <f t="shared" si="7"/>
        <v>#N/A</v>
      </c>
      <c r="M486" s="273"/>
      <c r="N486" s="438">
        <v>6021.0084033613448</v>
      </c>
      <c r="O486" s="273"/>
      <c r="P486" s="439">
        <f t="shared" si="6"/>
        <v>7165</v>
      </c>
      <c r="Q486" s="273"/>
      <c r="R486">
        <f>presup!M$368</f>
        <v>0</v>
      </c>
    </row>
    <row r="487" spans="1:18" ht="13.5" customHeight="1" x14ac:dyDescent="0.25">
      <c r="A487" s="117" t="s">
        <v>2368</v>
      </c>
      <c r="B487" s="112">
        <v>45069</v>
      </c>
      <c r="C487" s="365" t="s">
        <v>1616</v>
      </c>
      <c r="D487" s="271"/>
      <c r="E487" s="271"/>
      <c r="F487" s="271"/>
      <c r="G487" s="271"/>
      <c r="H487" s="273"/>
      <c r="I487" s="20" t="s">
        <v>502</v>
      </c>
      <c r="J487" s="440">
        <v>31302600</v>
      </c>
      <c r="K487" s="273"/>
      <c r="L487" s="438" t="e">
        <f t="shared" si="7"/>
        <v>#N/A</v>
      </c>
      <c r="M487" s="273"/>
      <c r="N487" s="438">
        <v>26304705.882352941</v>
      </c>
      <c r="O487" s="273"/>
      <c r="P487" s="439">
        <f t="shared" si="6"/>
        <v>31302600</v>
      </c>
      <c r="Q487" s="273"/>
      <c r="R487">
        <f>presup!M$368</f>
        <v>0</v>
      </c>
    </row>
    <row r="488" spans="1:18" ht="13.5" customHeight="1" x14ac:dyDescent="0.25">
      <c r="A488" s="117" t="s">
        <v>2369</v>
      </c>
      <c r="B488" s="112">
        <v>45069</v>
      </c>
      <c r="C488" s="365" t="s">
        <v>1617</v>
      </c>
      <c r="D488" s="271"/>
      <c r="E488" s="271"/>
      <c r="F488" s="271"/>
      <c r="G488" s="271"/>
      <c r="H488" s="273"/>
      <c r="I488" s="20" t="s">
        <v>502</v>
      </c>
      <c r="J488" s="440">
        <v>207529</v>
      </c>
      <c r="K488" s="273"/>
      <c r="L488" s="438" t="e">
        <f t="shared" si="7"/>
        <v>#N/A</v>
      </c>
      <c r="M488" s="273"/>
      <c r="N488" s="438">
        <v>174394.11764705883</v>
      </c>
      <c r="O488" s="273"/>
      <c r="P488" s="439">
        <f t="shared" si="6"/>
        <v>207529</v>
      </c>
      <c r="Q488" s="273"/>
      <c r="R488">
        <f>presup!M$368</f>
        <v>0</v>
      </c>
    </row>
    <row r="489" spans="1:18" ht="13.5" customHeight="1" x14ac:dyDescent="0.25">
      <c r="A489" s="117" t="s">
        <v>2370</v>
      </c>
      <c r="B489" s="112">
        <v>45069</v>
      </c>
      <c r="C489" s="365" t="s">
        <v>1618</v>
      </c>
      <c r="D489" s="271"/>
      <c r="E489" s="271"/>
      <c r="F489" s="271"/>
      <c r="G489" s="271"/>
      <c r="H489" s="273"/>
      <c r="I489" s="20" t="s">
        <v>502</v>
      </c>
      <c r="J489" s="440">
        <v>1680</v>
      </c>
      <c r="K489" s="273"/>
      <c r="L489" s="438" t="e">
        <f t="shared" si="7"/>
        <v>#N/A</v>
      </c>
      <c r="M489" s="273"/>
      <c r="N489" s="438">
        <v>1411.7647058823529</v>
      </c>
      <c r="O489" s="273"/>
      <c r="P489" s="439">
        <f t="shared" si="6"/>
        <v>1680</v>
      </c>
      <c r="Q489" s="273"/>
      <c r="R489">
        <f>presup!M$368</f>
        <v>0</v>
      </c>
    </row>
    <row r="490" spans="1:18" ht="13.5" customHeight="1" x14ac:dyDescent="0.25">
      <c r="A490" s="117" t="s">
        <v>2371</v>
      </c>
      <c r="B490" s="112">
        <v>45069</v>
      </c>
      <c r="C490" s="365" t="s">
        <v>1619</v>
      </c>
      <c r="D490" s="271"/>
      <c r="E490" s="271"/>
      <c r="F490" s="271"/>
      <c r="G490" s="271"/>
      <c r="H490" s="273"/>
      <c r="I490" s="20" t="s">
        <v>502</v>
      </c>
      <c r="J490" s="440">
        <v>824</v>
      </c>
      <c r="K490" s="273"/>
      <c r="L490" s="438" t="e">
        <f t="shared" si="7"/>
        <v>#N/A</v>
      </c>
      <c r="M490" s="273"/>
      <c r="N490" s="438">
        <v>692.43697478991601</v>
      </c>
      <c r="O490" s="273"/>
      <c r="P490" s="439">
        <f t="shared" si="6"/>
        <v>824</v>
      </c>
      <c r="Q490" s="273"/>
      <c r="R490">
        <f>presup!M$368</f>
        <v>0</v>
      </c>
    </row>
    <row r="491" spans="1:18" ht="13.5" customHeight="1" x14ac:dyDescent="0.25">
      <c r="A491" s="117" t="s">
        <v>2372</v>
      </c>
      <c r="B491" s="112">
        <v>45069</v>
      </c>
      <c r="C491" s="365" t="s">
        <v>1620</v>
      </c>
      <c r="D491" s="271"/>
      <c r="E491" s="271"/>
      <c r="F491" s="271"/>
      <c r="G491" s="271"/>
      <c r="H491" s="273"/>
      <c r="I491" s="20" t="s">
        <v>502</v>
      </c>
      <c r="J491" s="440">
        <v>239153</v>
      </c>
      <c r="K491" s="273"/>
      <c r="L491" s="438" t="e">
        <f t="shared" si="7"/>
        <v>#N/A</v>
      </c>
      <c r="M491" s="273"/>
      <c r="N491" s="438">
        <v>200968.90756302522</v>
      </c>
      <c r="O491" s="273"/>
      <c r="P491" s="439">
        <f t="shared" si="6"/>
        <v>239153</v>
      </c>
      <c r="Q491" s="273"/>
      <c r="R491">
        <f>presup!M$368</f>
        <v>0</v>
      </c>
    </row>
    <row r="492" spans="1:18" ht="13.5" customHeight="1" x14ac:dyDescent="0.25">
      <c r="A492" s="117" t="s">
        <v>2373</v>
      </c>
      <c r="B492" s="112">
        <v>45069</v>
      </c>
      <c r="C492" s="365" t="s">
        <v>1621</v>
      </c>
      <c r="D492" s="271"/>
      <c r="E492" s="271"/>
      <c r="F492" s="271"/>
      <c r="G492" s="271"/>
      <c r="H492" s="273"/>
      <c r="I492" s="20" t="s">
        <v>502</v>
      </c>
      <c r="J492" s="440">
        <v>15482</v>
      </c>
      <c r="K492" s="273"/>
      <c r="L492" s="438" t="e">
        <f t="shared" si="7"/>
        <v>#N/A</v>
      </c>
      <c r="M492" s="273"/>
      <c r="N492" s="438">
        <v>13010.084033613446</v>
      </c>
      <c r="O492" s="273"/>
      <c r="P492" s="439">
        <f t="shared" si="6"/>
        <v>15482</v>
      </c>
      <c r="Q492" s="273"/>
      <c r="R492">
        <f>presup!M$368</f>
        <v>0</v>
      </c>
    </row>
    <row r="493" spans="1:18" ht="13.5" customHeight="1" x14ac:dyDescent="0.25">
      <c r="A493" s="117" t="s">
        <v>2374</v>
      </c>
      <c r="B493" s="112">
        <v>45069</v>
      </c>
      <c r="C493" s="365" t="s">
        <v>1622</v>
      </c>
      <c r="D493" s="271"/>
      <c r="E493" s="271"/>
      <c r="F493" s="271"/>
      <c r="G493" s="271"/>
      <c r="H493" s="273"/>
      <c r="I493" s="20" t="s">
        <v>502</v>
      </c>
      <c r="J493" s="440">
        <v>447341</v>
      </c>
      <c r="K493" s="273"/>
      <c r="L493" s="438" t="e">
        <f t="shared" si="7"/>
        <v>#N/A</v>
      </c>
      <c r="M493" s="273"/>
      <c r="N493" s="438">
        <v>375916.80672268907</v>
      </c>
      <c r="O493" s="273"/>
      <c r="P493" s="439">
        <f t="shared" si="6"/>
        <v>447341</v>
      </c>
      <c r="Q493" s="273"/>
      <c r="R493">
        <f>presup!M$368</f>
        <v>0</v>
      </c>
    </row>
    <row r="494" spans="1:18" ht="13.5" customHeight="1" x14ac:dyDescent="0.25">
      <c r="A494" s="117" t="s">
        <v>2375</v>
      </c>
      <c r="B494" s="112">
        <v>45069</v>
      </c>
      <c r="C494" s="365" t="s">
        <v>1623</v>
      </c>
      <c r="D494" s="271"/>
      <c r="E494" s="271"/>
      <c r="F494" s="271"/>
      <c r="G494" s="271"/>
      <c r="H494" s="273"/>
      <c r="I494" s="20" t="s">
        <v>502</v>
      </c>
      <c r="J494" s="440">
        <v>17724</v>
      </c>
      <c r="K494" s="273"/>
      <c r="L494" s="438" t="e">
        <f t="shared" si="7"/>
        <v>#N/A</v>
      </c>
      <c r="M494" s="273"/>
      <c r="N494" s="438">
        <v>14894.117647058823</v>
      </c>
      <c r="O494" s="273"/>
      <c r="P494" s="439">
        <f t="shared" si="6"/>
        <v>17724</v>
      </c>
      <c r="Q494" s="273"/>
      <c r="R494">
        <f>presup!M$368</f>
        <v>0</v>
      </c>
    </row>
    <row r="495" spans="1:18" ht="13.5" customHeight="1" x14ac:dyDescent="0.25">
      <c r="A495" s="117" t="s">
        <v>2376</v>
      </c>
      <c r="B495" s="112">
        <v>45069</v>
      </c>
      <c r="C495" s="365" t="s">
        <v>1624</v>
      </c>
      <c r="D495" s="271"/>
      <c r="E495" s="271"/>
      <c r="F495" s="271"/>
      <c r="G495" s="271"/>
      <c r="H495" s="273"/>
      <c r="I495" s="20" t="s">
        <v>502</v>
      </c>
      <c r="J495" s="440">
        <v>61666</v>
      </c>
      <c r="K495" s="273"/>
      <c r="L495" s="438" t="e">
        <f t="shared" si="7"/>
        <v>#N/A</v>
      </c>
      <c r="M495" s="273"/>
      <c r="N495" s="438">
        <v>51820.168067226892</v>
      </c>
      <c r="O495" s="273"/>
      <c r="P495" s="439">
        <f t="shared" si="6"/>
        <v>61666</v>
      </c>
      <c r="Q495" s="273"/>
      <c r="R495">
        <f>presup!M$368</f>
        <v>0</v>
      </c>
    </row>
    <row r="496" spans="1:18" ht="13.5" customHeight="1" x14ac:dyDescent="0.25">
      <c r="A496" s="117" t="s">
        <v>2377</v>
      </c>
      <c r="B496" s="112">
        <v>45069</v>
      </c>
      <c r="C496" s="365" t="s">
        <v>1625</v>
      </c>
      <c r="D496" s="271"/>
      <c r="E496" s="271"/>
      <c r="F496" s="271"/>
      <c r="G496" s="271"/>
      <c r="H496" s="273"/>
      <c r="I496" s="20" t="s">
        <v>502</v>
      </c>
      <c r="J496" s="440">
        <v>44800</v>
      </c>
      <c r="K496" s="273"/>
      <c r="L496" s="438" t="e">
        <f t="shared" si="7"/>
        <v>#N/A</v>
      </c>
      <c r="M496" s="273"/>
      <c r="N496" s="438">
        <v>37647.058823529413</v>
      </c>
      <c r="O496" s="273"/>
      <c r="P496" s="439">
        <f t="shared" si="6"/>
        <v>44800</v>
      </c>
      <c r="Q496" s="273"/>
      <c r="R496">
        <f>presup!M$368</f>
        <v>0</v>
      </c>
    </row>
    <row r="497" spans="1:18" ht="13.5" customHeight="1" x14ac:dyDescent="0.25">
      <c r="A497" s="117" t="s">
        <v>2378</v>
      </c>
      <c r="B497" s="112">
        <v>45069</v>
      </c>
      <c r="C497" s="365" t="s">
        <v>1626</v>
      </c>
      <c r="D497" s="271"/>
      <c r="E497" s="271"/>
      <c r="F497" s="271"/>
      <c r="G497" s="271"/>
      <c r="H497" s="273"/>
      <c r="I497" s="20" t="s">
        <v>502</v>
      </c>
      <c r="J497" s="440">
        <v>22456</v>
      </c>
      <c r="K497" s="273"/>
      <c r="L497" s="438" t="e">
        <f t="shared" si="7"/>
        <v>#N/A</v>
      </c>
      <c r="M497" s="273"/>
      <c r="N497" s="438">
        <v>18870.588235294119</v>
      </c>
      <c r="O497" s="273"/>
      <c r="P497" s="439">
        <f t="shared" si="6"/>
        <v>22456</v>
      </c>
      <c r="Q497" s="273"/>
      <c r="R497">
        <f>presup!M$368</f>
        <v>0</v>
      </c>
    </row>
    <row r="498" spans="1:18" ht="13.5" customHeight="1" x14ac:dyDescent="0.25">
      <c r="A498" s="117" t="s">
        <v>2379</v>
      </c>
      <c r="B498" s="112">
        <v>45069</v>
      </c>
      <c r="C498" s="365" t="s">
        <v>1627</v>
      </c>
      <c r="D498" s="271"/>
      <c r="E498" s="271"/>
      <c r="F498" s="271"/>
      <c r="G498" s="271"/>
      <c r="H498" s="273"/>
      <c r="I498" s="20" t="s">
        <v>502</v>
      </c>
      <c r="J498" s="440">
        <v>9306</v>
      </c>
      <c r="K498" s="273"/>
      <c r="L498" s="438" t="e">
        <f t="shared" si="7"/>
        <v>#N/A</v>
      </c>
      <c r="M498" s="273"/>
      <c r="N498" s="438">
        <v>7820.1680672268913</v>
      </c>
      <c r="O498" s="273"/>
      <c r="P498" s="439">
        <f t="shared" si="6"/>
        <v>9306</v>
      </c>
      <c r="Q498" s="273"/>
      <c r="R498">
        <f>presup!M$368</f>
        <v>0</v>
      </c>
    </row>
    <row r="499" spans="1:18" ht="13.5" customHeight="1" x14ac:dyDescent="0.25">
      <c r="A499" s="117" t="s">
        <v>2380</v>
      </c>
      <c r="B499" s="112">
        <v>45069</v>
      </c>
      <c r="C499" s="365" t="s">
        <v>1628</v>
      </c>
      <c r="D499" s="271"/>
      <c r="E499" s="271"/>
      <c r="F499" s="271"/>
      <c r="G499" s="271"/>
      <c r="H499" s="273"/>
      <c r="I499" s="20" t="s">
        <v>502</v>
      </c>
      <c r="J499" s="440">
        <v>1820</v>
      </c>
      <c r="K499" s="273"/>
      <c r="L499" s="438" t="e">
        <f t="shared" si="7"/>
        <v>#N/A</v>
      </c>
      <c r="M499" s="273"/>
      <c r="N499" s="438">
        <v>1529.4117647058824</v>
      </c>
      <c r="O499" s="273"/>
      <c r="P499" s="439">
        <f t="shared" si="6"/>
        <v>1820</v>
      </c>
      <c r="Q499" s="273"/>
      <c r="R499">
        <f>presup!M$368</f>
        <v>0</v>
      </c>
    </row>
    <row r="500" spans="1:18" ht="13.5" customHeight="1" x14ac:dyDescent="0.25">
      <c r="A500" s="117" t="s">
        <v>2381</v>
      </c>
      <c r="B500" s="112">
        <v>45069</v>
      </c>
      <c r="C500" s="365" t="s">
        <v>1629</v>
      </c>
      <c r="D500" s="271"/>
      <c r="E500" s="271"/>
      <c r="F500" s="271"/>
      <c r="G500" s="271"/>
      <c r="H500" s="273"/>
      <c r="I500" s="20" t="s">
        <v>502</v>
      </c>
      <c r="J500" s="440">
        <v>1400</v>
      </c>
      <c r="K500" s="273"/>
      <c r="L500" s="438" t="e">
        <f t="shared" si="7"/>
        <v>#N/A</v>
      </c>
      <c r="M500" s="273"/>
      <c r="N500" s="438">
        <v>1176.4705882352941</v>
      </c>
      <c r="O500" s="273"/>
      <c r="P500" s="439">
        <f t="shared" si="6"/>
        <v>1400</v>
      </c>
      <c r="Q500" s="273"/>
      <c r="R500">
        <f>presup!M$368</f>
        <v>0</v>
      </c>
    </row>
    <row r="501" spans="1:18" ht="13.5" customHeight="1" x14ac:dyDescent="0.25">
      <c r="A501" s="117" t="s">
        <v>2382</v>
      </c>
      <c r="B501" s="112">
        <v>45069</v>
      </c>
      <c r="C501" s="365" t="s">
        <v>1630</v>
      </c>
      <c r="D501" s="271"/>
      <c r="E501" s="271"/>
      <c r="F501" s="271"/>
      <c r="G501" s="271"/>
      <c r="H501" s="273"/>
      <c r="I501" s="20" t="s">
        <v>502</v>
      </c>
      <c r="J501" s="440">
        <v>2060</v>
      </c>
      <c r="K501" s="273"/>
      <c r="L501" s="438" t="e">
        <f t="shared" si="7"/>
        <v>#N/A</v>
      </c>
      <c r="M501" s="273"/>
      <c r="N501" s="438">
        <v>1731.09243697479</v>
      </c>
      <c r="O501" s="273"/>
      <c r="P501" s="439">
        <f t="shared" si="6"/>
        <v>2060</v>
      </c>
      <c r="Q501" s="273"/>
      <c r="R501">
        <f>presup!M$368</f>
        <v>0</v>
      </c>
    </row>
    <row r="502" spans="1:18" ht="13.5" customHeight="1" x14ac:dyDescent="0.25">
      <c r="A502" s="117" t="s">
        <v>2383</v>
      </c>
      <c r="B502" s="112">
        <v>45069</v>
      </c>
      <c r="C502" s="365" t="s">
        <v>1631</v>
      </c>
      <c r="D502" s="271"/>
      <c r="E502" s="271"/>
      <c r="F502" s="271"/>
      <c r="G502" s="271"/>
      <c r="H502" s="273"/>
      <c r="I502" s="20" t="s">
        <v>502</v>
      </c>
      <c r="J502" s="440">
        <v>170882</v>
      </c>
      <c r="K502" s="273"/>
      <c r="L502" s="438" t="e">
        <f t="shared" si="7"/>
        <v>#N/A</v>
      </c>
      <c r="M502" s="273"/>
      <c r="N502" s="438">
        <v>143598.31932773109</v>
      </c>
      <c r="O502" s="273"/>
      <c r="P502" s="439">
        <f t="shared" si="6"/>
        <v>170882</v>
      </c>
      <c r="Q502" s="273"/>
      <c r="R502">
        <f>presup!M$368</f>
        <v>0</v>
      </c>
    </row>
    <row r="503" spans="1:18" ht="13.5" customHeight="1" x14ac:dyDescent="0.25">
      <c r="A503" s="117" t="s">
        <v>2384</v>
      </c>
      <c r="B503" s="112">
        <v>45069</v>
      </c>
      <c r="C503" s="365" t="s">
        <v>1632</v>
      </c>
      <c r="D503" s="271"/>
      <c r="E503" s="271"/>
      <c r="F503" s="271"/>
      <c r="G503" s="271"/>
      <c r="H503" s="273"/>
      <c r="I503" s="20" t="s">
        <v>502</v>
      </c>
      <c r="J503" s="440">
        <v>15190</v>
      </c>
      <c r="K503" s="273"/>
      <c r="L503" s="438" t="e">
        <f t="shared" si="7"/>
        <v>#N/A</v>
      </c>
      <c r="M503" s="273"/>
      <c r="N503" s="438">
        <v>12764.705882352942</v>
      </c>
      <c r="O503" s="273"/>
      <c r="P503" s="439">
        <f t="shared" si="6"/>
        <v>15190</v>
      </c>
      <c r="Q503" s="273"/>
      <c r="R503">
        <f>presup!M$368</f>
        <v>0</v>
      </c>
    </row>
    <row r="504" spans="1:18" ht="13.5" customHeight="1" x14ac:dyDescent="0.25">
      <c r="A504" s="117" t="s">
        <v>2385</v>
      </c>
      <c r="B504" s="112">
        <v>45069</v>
      </c>
      <c r="C504" s="365" t="s">
        <v>1633</v>
      </c>
      <c r="D504" s="271"/>
      <c r="E504" s="271"/>
      <c r="F504" s="271"/>
      <c r="G504" s="271"/>
      <c r="H504" s="273"/>
      <c r="I504" s="20" t="s">
        <v>502</v>
      </c>
      <c r="J504" s="440">
        <v>1262118</v>
      </c>
      <c r="K504" s="273"/>
      <c r="L504" s="438" t="e">
        <f t="shared" si="7"/>
        <v>#N/A</v>
      </c>
      <c r="M504" s="273"/>
      <c r="N504" s="438">
        <v>1060603.3613445379</v>
      </c>
      <c r="O504" s="273"/>
      <c r="P504" s="439">
        <f t="shared" si="6"/>
        <v>1262118</v>
      </c>
      <c r="Q504" s="273"/>
      <c r="R504">
        <f>presup!M$368</f>
        <v>0</v>
      </c>
    </row>
    <row r="505" spans="1:18" ht="13.5" customHeight="1" x14ac:dyDescent="0.25">
      <c r="A505" s="117" t="s">
        <v>2386</v>
      </c>
      <c r="B505" s="112">
        <v>45069</v>
      </c>
      <c r="C505" s="365" t="s">
        <v>1634</v>
      </c>
      <c r="D505" s="271"/>
      <c r="E505" s="271"/>
      <c r="F505" s="271"/>
      <c r="G505" s="271"/>
      <c r="H505" s="273"/>
      <c r="I505" s="20" t="s">
        <v>1382</v>
      </c>
      <c r="J505" s="440">
        <v>25417</v>
      </c>
      <c r="K505" s="273"/>
      <c r="L505" s="438" t="e">
        <f t="shared" si="7"/>
        <v>#N/A</v>
      </c>
      <c r="M505" s="273"/>
      <c r="N505" s="438">
        <v>21358.823529411766</v>
      </c>
      <c r="O505" s="273"/>
      <c r="P505" s="439">
        <f t="shared" si="6"/>
        <v>25417</v>
      </c>
      <c r="Q505" s="273"/>
      <c r="R505">
        <f>presup!M$368</f>
        <v>0</v>
      </c>
    </row>
    <row r="506" spans="1:18" ht="13.5" customHeight="1" x14ac:dyDescent="0.25">
      <c r="A506" s="117" t="s">
        <v>2387</v>
      </c>
      <c r="B506" s="112">
        <v>45069</v>
      </c>
      <c r="C506" s="365" t="s">
        <v>1635</v>
      </c>
      <c r="D506" s="271"/>
      <c r="E506" s="271"/>
      <c r="F506" s="271"/>
      <c r="G506" s="271"/>
      <c r="H506" s="273"/>
      <c r="I506" s="26" t="s">
        <v>502</v>
      </c>
      <c r="J506" s="440">
        <v>189166</v>
      </c>
      <c r="K506" s="273"/>
      <c r="L506" s="438" t="e">
        <f t="shared" si="7"/>
        <v>#N/A</v>
      </c>
      <c r="M506" s="273"/>
      <c r="N506" s="438">
        <v>158963.02521008404</v>
      </c>
      <c r="O506" s="273"/>
      <c r="P506" s="439">
        <f t="shared" si="6"/>
        <v>189166</v>
      </c>
      <c r="Q506" s="273"/>
      <c r="R506">
        <f>presup!M$368</f>
        <v>0</v>
      </c>
    </row>
    <row r="507" spans="1:18" ht="13.5" customHeight="1" x14ac:dyDescent="0.25">
      <c r="A507" s="117" t="s">
        <v>2388</v>
      </c>
      <c r="B507" s="112">
        <v>45069</v>
      </c>
      <c r="C507" s="365" t="s">
        <v>1637</v>
      </c>
      <c r="D507" s="271"/>
      <c r="E507" s="271"/>
      <c r="F507" s="271"/>
      <c r="G507" s="271"/>
      <c r="H507" s="273"/>
      <c r="I507" s="20" t="s">
        <v>19</v>
      </c>
      <c r="J507" s="440">
        <v>190960</v>
      </c>
      <c r="K507" s="273"/>
      <c r="L507" s="438" t="e">
        <f t="shared" si="7"/>
        <v>#N/A</v>
      </c>
      <c r="M507" s="273"/>
      <c r="N507" s="438">
        <v>160470.58823529413</v>
      </c>
      <c r="O507" s="273"/>
      <c r="P507" s="439">
        <f t="shared" si="6"/>
        <v>190960</v>
      </c>
      <c r="Q507" s="273"/>
      <c r="R507">
        <f>presup!M$368</f>
        <v>0</v>
      </c>
    </row>
    <row r="508" spans="1:18" ht="13.5" customHeight="1" x14ac:dyDescent="0.25">
      <c r="A508" s="117" t="s">
        <v>2389</v>
      </c>
      <c r="B508" s="112">
        <v>45069</v>
      </c>
      <c r="C508" s="365" t="s">
        <v>1638</v>
      </c>
      <c r="D508" s="271"/>
      <c r="E508" s="271"/>
      <c r="F508" s="271"/>
      <c r="G508" s="271"/>
      <c r="H508" s="273"/>
      <c r="I508" s="20" t="s">
        <v>502</v>
      </c>
      <c r="J508" s="440">
        <v>64400</v>
      </c>
      <c r="K508" s="273"/>
      <c r="L508" s="438" t="e">
        <f t="shared" si="7"/>
        <v>#N/A</v>
      </c>
      <c r="M508" s="273"/>
      <c r="N508" s="438">
        <v>54117.647058823532</v>
      </c>
      <c r="O508" s="273"/>
      <c r="P508" s="439">
        <f t="shared" si="6"/>
        <v>64400</v>
      </c>
      <c r="Q508" s="273"/>
      <c r="R508">
        <f>presup!M$368</f>
        <v>0</v>
      </c>
    </row>
    <row r="509" spans="1:18" ht="13.5" customHeight="1" x14ac:dyDescent="0.25">
      <c r="A509" s="117" t="s">
        <v>2390</v>
      </c>
      <c r="B509" s="112">
        <v>45069</v>
      </c>
      <c r="C509" s="365" t="s">
        <v>1639</v>
      </c>
      <c r="D509" s="271"/>
      <c r="E509" s="271"/>
      <c r="F509" s="271"/>
      <c r="G509" s="271"/>
      <c r="H509" s="273"/>
      <c r="I509" s="20" t="s">
        <v>19</v>
      </c>
      <c r="J509" s="440">
        <v>98560</v>
      </c>
      <c r="K509" s="273"/>
      <c r="L509" s="438" t="e">
        <f t="shared" si="7"/>
        <v>#N/A</v>
      </c>
      <c r="M509" s="273"/>
      <c r="N509" s="438">
        <v>82823.529411764714</v>
      </c>
      <c r="O509" s="273"/>
      <c r="P509" s="439">
        <f t="shared" si="6"/>
        <v>98560</v>
      </c>
      <c r="Q509" s="273"/>
      <c r="R509">
        <f>presup!M$368</f>
        <v>0</v>
      </c>
    </row>
    <row r="510" spans="1:18" ht="13.5" customHeight="1" x14ac:dyDescent="0.25">
      <c r="A510" s="117" t="s">
        <v>2391</v>
      </c>
      <c r="B510" s="112">
        <v>45069</v>
      </c>
      <c r="C510" s="365" t="s">
        <v>1640</v>
      </c>
      <c r="D510" s="271"/>
      <c r="E510" s="271"/>
      <c r="F510" s="271"/>
      <c r="G510" s="271"/>
      <c r="H510" s="273"/>
      <c r="I510" s="20" t="s">
        <v>502</v>
      </c>
      <c r="J510" s="440">
        <v>11340</v>
      </c>
      <c r="K510" s="273"/>
      <c r="L510" s="438" t="e">
        <f t="shared" si="7"/>
        <v>#N/A</v>
      </c>
      <c r="M510" s="273"/>
      <c r="N510" s="438">
        <v>9529.4117647058829</v>
      </c>
      <c r="O510" s="273"/>
      <c r="P510" s="439">
        <f t="shared" si="6"/>
        <v>11340</v>
      </c>
      <c r="Q510" s="273"/>
      <c r="R510">
        <f>presup!M$368</f>
        <v>0</v>
      </c>
    </row>
    <row r="511" spans="1:18" ht="13.5" customHeight="1" x14ac:dyDescent="0.25">
      <c r="A511" s="117" t="s">
        <v>2392</v>
      </c>
      <c r="B511" s="112">
        <v>45069</v>
      </c>
      <c r="C511" s="365" t="s">
        <v>1641</v>
      </c>
      <c r="D511" s="271"/>
      <c r="E511" s="271"/>
      <c r="F511" s="271"/>
      <c r="G511" s="271"/>
      <c r="H511" s="273"/>
      <c r="I511" s="20" t="s">
        <v>502</v>
      </c>
      <c r="J511" s="440">
        <v>2450</v>
      </c>
      <c r="K511" s="273"/>
      <c r="L511" s="438" t="e">
        <f t="shared" si="7"/>
        <v>#N/A</v>
      </c>
      <c r="M511" s="273"/>
      <c r="N511" s="438">
        <v>2058.8235294117649</v>
      </c>
      <c r="O511" s="273"/>
      <c r="P511" s="439">
        <f t="shared" si="6"/>
        <v>2450</v>
      </c>
      <c r="Q511" s="273"/>
      <c r="R511">
        <f>presup!M$368</f>
        <v>0</v>
      </c>
    </row>
    <row r="512" spans="1:18" ht="13.5" customHeight="1" x14ac:dyDescent="0.25">
      <c r="A512" s="117" t="s">
        <v>2393</v>
      </c>
      <c r="B512" s="112">
        <v>45069</v>
      </c>
      <c r="C512" s="365" t="s">
        <v>1642</v>
      </c>
      <c r="D512" s="271"/>
      <c r="E512" s="271"/>
      <c r="F512" s="271"/>
      <c r="G512" s="271"/>
      <c r="H512" s="273"/>
      <c r="I512" s="20" t="s">
        <v>502</v>
      </c>
      <c r="J512" s="440">
        <v>560</v>
      </c>
      <c r="K512" s="273"/>
      <c r="L512" s="438" t="e">
        <f t="shared" si="7"/>
        <v>#N/A</v>
      </c>
      <c r="M512" s="273"/>
      <c r="N512" s="438">
        <v>470.58823529411768</v>
      </c>
      <c r="O512" s="273"/>
      <c r="P512" s="439">
        <f t="shared" si="6"/>
        <v>560</v>
      </c>
      <c r="Q512" s="273"/>
      <c r="R512">
        <f>presup!M$368</f>
        <v>0</v>
      </c>
    </row>
    <row r="513" spans="1:18" ht="13.5" customHeight="1" x14ac:dyDescent="0.25">
      <c r="A513" s="117" t="s">
        <v>2394</v>
      </c>
      <c r="B513" s="112">
        <v>45069</v>
      </c>
      <c r="C513" s="365" t="s">
        <v>1643</v>
      </c>
      <c r="D513" s="271"/>
      <c r="E513" s="271"/>
      <c r="F513" s="271"/>
      <c r="G513" s="271"/>
      <c r="H513" s="273"/>
      <c r="I513" s="20" t="s">
        <v>19</v>
      </c>
      <c r="J513" s="440">
        <v>63980</v>
      </c>
      <c r="K513" s="273"/>
      <c r="L513" s="438" t="e">
        <f t="shared" si="7"/>
        <v>#N/A</v>
      </c>
      <c r="M513" s="273"/>
      <c r="N513" s="438">
        <v>53764.705882352944</v>
      </c>
      <c r="O513" s="273"/>
      <c r="P513" s="439">
        <f t="shared" si="6"/>
        <v>63980</v>
      </c>
      <c r="Q513" s="273"/>
      <c r="R513">
        <f>presup!M$368</f>
        <v>0</v>
      </c>
    </row>
    <row r="514" spans="1:18" ht="13.5" customHeight="1" x14ac:dyDescent="0.25">
      <c r="A514" s="117" t="s">
        <v>2395</v>
      </c>
      <c r="B514" s="112">
        <v>45069</v>
      </c>
      <c r="C514" s="365" t="s">
        <v>1644</v>
      </c>
      <c r="D514" s="271"/>
      <c r="E514" s="271"/>
      <c r="F514" s="271"/>
      <c r="G514" s="271"/>
      <c r="H514" s="273"/>
      <c r="I514" s="20" t="s">
        <v>502</v>
      </c>
      <c r="J514" s="440">
        <v>8456</v>
      </c>
      <c r="K514" s="273"/>
      <c r="L514" s="438" t="e">
        <f t="shared" si="7"/>
        <v>#N/A</v>
      </c>
      <c r="M514" s="273"/>
      <c r="N514" s="438">
        <v>7105.8823529411766</v>
      </c>
      <c r="O514" s="273"/>
      <c r="P514" s="439">
        <f t="shared" si="6"/>
        <v>8456</v>
      </c>
      <c r="Q514" s="273"/>
      <c r="R514">
        <f>presup!M$368</f>
        <v>0</v>
      </c>
    </row>
    <row r="515" spans="1:18" ht="13.5" customHeight="1" x14ac:dyDescent="0.25">
      <c r="A515" s="117" t="s">
        <v>2396</v>
      </c>
      <c r="B515" s="112">
        <v>45069</v>
      </c>
      <c r="C515" s="365" t="s">
        <v>1645</v>
      </c>
      <c r="D515" s="271"/>
      <c r="E515" s="271"/>
      <c r="F515" s="271"/>
      <c r="G515" s="271"/>
      <c r="H515" s="273"/>
      <c r="I515" s="20" t="s">
        <v>1815</v>
      </c>
      <c r="J515" s="440">
        <v>11861</v>
      </c>
      <c r="K515" s="273"/>
      <c r="L515" s="438" t="e">
        <f t="shared" si="7"/>
        <v>#N/A</v>
      </c>
      <c r="M515" s="273"/>
      <c r="N515" s="438">
        <v>9967.226890756303</v>
      </c>
      <c r="O515" s="273"/>
      <c r="P515" s="439">
        <f t="shared" si="6"/>
        <v>11861</v>
      </c>
      <c r="Q515" s="273"/>
      <c r="R515">
        <f>presup!M$368</f>
        <v>0</v>
      </c>
    </row>
    <row r="516" spans="1:18" ht="13.5" customHeight="1" x14ac:dyDescent="0.25">
      <c r="A516" s="117" t="s">
        <v>2397</v>
      </c>
      <c r="B516" s="112">
        <v>45069</v>
      </c>
      <c r="C516" s="365" t="s">
        <v>1646</v>
      </c>
      <c r="D516" s="271"/>
      <c r="E516" s="271"/>
      <c r="F516" s="271"/>
      <c r="G516" s="271"/>
      <c r="H516" s="273"/>
      <c r="I516" s="20" t="s">
        <v>19</v>
      </c>
      <c r="J516" s="440">
        <v>6113</v>
      </c>
      <c r="K516" s="273"/>
      <c r="L516" s="438" t="e">
        <f t="shared" si="7"/>
        <v>#N/A</v>
      </c>
      <c r="M516" s="273"/>
      <c r="N516" s="438">
        <v>5136.9747899159665</v>
      </c>
      <c r="O516" s="273"/>
      <c r="P516" s="439">
        <f t="shared" si="6"/>
        <v>6113</v>
      </c>
      <c r="Q516" s="273"/>
      <c r="R516">
        <f>presup!M$368</f>
        <v>0</v>
      </c>
    </row>
    <row r="517" spans="1:18" ht="13.5" customHeight="1" x14ac:dyDescent="0.25">
      <c r="A517" s="117" t="s">
        <v>2398</v>
      </c>
      <c r="B517" s="112">
        <v>45069</v>
      </c>
      <c r="C517" s="365" t="s">
        <v>1647</v>
      </c>
      <c r="D517" s="271"/>
      <c r="E517" s="271"/>
      <c r="F517" s="271"/>
      <c r="G517" s="271"/>
      <c r="H517" s="273"/>
      <c r="I517" s="26" t="s">
        <v>19</v>
      </c>
      <c r="J517" s="440">
        <v>3220</v>
      </c>
      <c r="K517" s="273"/>
      <c r="L517" s="438" t="e">
        <f t="shared" si="7"/>
        <v>#N/A</v>
      </c>
      <c r="M517" s="273"/>
      <c r="N517" s="438">
        <v>2705.8823529411766</v>
      </c>
      <c r="O517" s="273"/>
      <c r="P517" s="439">
        <f t="shared" si="6"/>
        <v>3220</v>
      </c>
      <c r="Q517" s="273"/>
      <c r="R517">
        <f>presup!M$368</f>
        <v>0</v>
      </c>
    </row>
    <row r="518" spans="1:18" ht="13.5" customHeight="1" x14ac:dyDescent="0.25">
      <c r="A518" s="117" t="s">
        <v>2399</v>
      </c>
      <c r="B518" s="112">
        <v>45069</v>
      </c>
      <c r="C518" s="365" t="s">
        <v>1648</v>
      </c>
      <c r="D518" s="271"/>
      <c r="E518" s="271"/>
      <c r="F518" s="271"/>
      <c r="G518" s="271"/>
      <c r="H518" s="273"/>
      <c r="I518" s="26" t="s">
        <v>502</v>
      </c>
      <c r="J518" s="440">
        <v>8456</v>
      </c>
      <c r="K518" s="273"/>
      <c r="L518" s="438" t="e">
        <f t="shared" si="7"/>
        <v>#N/A</v>
      </c>
      <c r="M518" s="273"/>
      <c r="N518" s="438">
        <v>7105.8823529411766</v>
      </c>
      <c r="O518" s="273"/>
      <c r="P518" s="439">
        <f t="shared" si="6"/>
        <v>8456</v>
      </c>
      <c r="Q518" s="273"/>
      <c r="R518">
        <f>presup!M$368</f>
        <v>0</v>
      </c>
    </row>
    <row r="519" spans="1:18" ht="13.5" customHeight="1" x14ac:dyDescent="0.25">
      <c r="A519" s="117" t="s">
        <v>2400</v>
      </c>
      <c r="B519" s="112">
        <v>45069</v>
      </c>
      <c r="C519" s="365" t="s">
        <v>1649</v>
      </c>
      <c r="D519" s="271"/>
      <c r="E519" s="271"/>
      <c r="F519" s="271"/>
      <c r="G519" s="271"/>
      <c r="H519" s="273"/>
      <c r="I519" s="26" t="s">
        <v>1815</v>
      </c>
      <c r="J519" s="440">
        <v>11861</v>
      </c>
      <c r="K519" s="273"/>
      <c r="L519" s="438" t="e">
        <f t="shared" si="7"/>
        <v>#N/A</v>
      </c>
      <c r="M519" s="273"/>
      <c r="N519" s="438">
        <v>9967.226890756303</v>
      </c>
      <c r="O519" s="273"/>
      <c r="P519" s="439">
        <f t="shared" si="6"/>
        <v>11861</v>
      </c>
      <c r="Q519" s="273"/>
      <c r="R519">
        <f>presup!M$368</f>
        <v>0</v>
      </c>
    </row>
    <row r="520" spans="1:18" ht="13.5" customHeight="1" x14ac:dyDescent="0.25">
      <c r="A520" s="117" t="s">
        <v>2401</v>
      </c>
      <c r="B520" s="112">
        <v>45069</v>
      </c>
      <c r="C520" s="365" t="s">
        <v>1650</v>
      </c>
      <c r="D520" s="271"/>
      <c r="E520" s="271"/>
      <c r="F520" s="271"/>
      <c r="G520" s="271"/>
      <c r="H520" s="273"/>
      <c r="I520" s="26" t="s">
        <v>502</v>
      </c>
      <c r="J520" s="440">
        <v>18163600</v>
      </c>
      <c r="K520" s="273"/>
      <c r="L520" s="438" t="e">
        <f t="shared" si="7"/>
        <v>#N/A</v>
      </c>
      <c r="M520" s="273"/>
      <c r="N520" s="438">
        <v>15263529.411764707</v>
      </c>
      <c r="O520" s="273"/>
      <c r="P520" s="439">
        <f t="shared" si="6"/>
        <v>18163600</v>
      </c>
      <c r="Q520" s="273"/>
      <c r="R520">
        <f>presup!M$368</f>
        <v>0</v>
      </c>
    </row>
    <row r="521" spans="1:18" ht="13.5" customHeight="1" x14ac:dyDescent="0.25">
      <c r="A521" s="117" t="s">
        <v>2402</v>
      </c>
      <c r="B521" s="112">
        <v>45069</v>
      </c>
      <c r="C521" s="365" t="s">
        <v>1651</v>
      </c>
      <c r="D521" s="271"/>
      <c r="E521" s="271"/>
      <c r="F521" s="271"/>
      <c r="G521" s="271"/>
      <c r="H521" s="273"/>
      <c r="I521" s="26" t="s">
        <v>502</v>
      </c>
      <c r="J521" s="440">
        <v>1719304</v>
      </c>
      <c r="K521" s="273"/>
      <c r="L521" s="438" t="e">
        <f t="shared" si="7"/>
        <v>#N/A</v>
      </c>
      <c r="M521" s="273"/>
      <c r="N521" s="438">
        <v>1444793.2773109244</v>
      </c>
      <c r="O521" s="273"/>
      <c r="P521" s="439">
        <f t="shared" si="6"/>
        <v>1719304</v>
      </c>
      <c r="Q521" s="273"/>
      <c r="R521">
        <f>presup!M$368</f>
        <v>0</v>
      </c>
    </row>
    <row r="522" spans="1:18" ht="13.5" customHeight="1" x14ac:dyDescent="0.25">
      <c r="A522" s="117" t="s">
        <v>2403</v>
      </c>
      <c r="B522" s="112">
        <v>45069</v>
      </c>
      <c r="C522" s="365" t="s">
        <v>1652</v>
      </c>
      <c r="D522" s="271"/>
      <c r="E522" s="271"/>
      <c r="F522" s="271"/>
      <c r="G522" s="271"/>
      <c r="H522" s="273"/>
      <c r="I522" s="26" t="s">
        <v>502</v>
      </c>
      <c r="J522" s="440">
        <v>72965</v>
      </c>
      <c r="K522" s="273"/>
      <c r="L522" s="438" t="e">
        <f t="shared" si="7"/>
        <v>#N/A</v>
      </c>
      <c r="M522" s="273"/>
      <c r="N522" s="438">
        <v>61315.126050420171</v>
      </c>
      <c r="O522" s="273"/>
      <c r="P522" s="439">
        <f t="shared" si="6"/>
        <v>72965</v>
      </c>
      <c r="Q522" s="273"/>
      <c r="R522">
        <f>presup!M$368</f>
        <v>0</v>
      </c>
    </row>
    <row r="523" spans="1:18" ht="13.5" customHeight="1" x14ac:dyDescent="0.25">
      <c r="A523" s="117" t="s">
        <v>2404</v>
      </c>
      <c r="B523" s="112">
        <v>45069</v>
      </c>
      <c r="C523" s="365" t="s">
        <v>1653</v>
      </c>
      <c r="D523" s="271"/>
      <c r="E523" s="271"/>
      <c r="F523" s="271"/>
      <c r="G523" s="271"/>
      <c r="H523" s="273"/>
      <c r="I523" s="26" t="s">
        <v>502</v>
      </c>
      <c r="J523" s="440">
        <v>89106</v>
      </c>
      <c r="K523" s="273"/>
      <c r="L523" s="438" t="e">
        <f t="shared" si="7"/>
        <v>#N/A</v>
      </c>
      <c r="M523" s="273"/>
      <c r="N523" s="438">
        <v>74878.991596638662</v>
      </c>
      <c r="O523" s="273"/>
      <c r="P523" s="439">
        <f t="shared" si="6"/>
        <v>89106</v>
      </c>
      <c r="Q523" s="273"/>
      <c r="R523">
        <f>presup!M$368</f>
        <v>0</v>
      </c>
    </row>
    <row r="524" spans="1:18" ht="13.5" customHeight="1" x14ac:dyDescent="0.25">
      <c r="A524" s="117" t="s">
        <v>2405</v>
      </c>
      <c r="B524" s="112">
        <v>45069</v>
      </c>
      <c r="C524" s="365" t="s">
        <v>1654</v>
      </c>
      <c r="D524" s="271"/>
      <c r="E524" s="271"/>
      <c r="F524" s="271"/>
      <c r="G524" s="271"/>
      <c r="H524" s="273"/>
      <c r="I524" s="26" t="s">
        <v>502</v>
      </c>
      <c r="J524" s="440">
        <v>49576</v>
      </c>
      <c r="K524" s="273"/>
      <c r="L524" s="438" t="e">
        <f t="shared" si="7"/>
        <v>#N/A</v>
      </c>
      <c r="M524" s="273"/>
      <c r="N524" s="438">
        <v>41660.504201680676</v>
      </c>
      <c r="O524" s="273"/>
      <c r="P524" s="439">
        <f t="shared" si="6"/>
        <v>49576</v>
      </c>
      <c r="Q524" s="273"/>
      <c r="R524">
        <f>presup!M$368</f>
        <v>0</v>
      </c>
    </row>
    <row r="525" spans="1:18" ht="13.5" customHeight="1" x14ac:dyDescent="0.25">
      <c r="A525" s="117" t="s">
        <v>2406</v>
      </c>
      <c r="B525" s="112">
        <v>45069</v>
      </c>
      <c r="C525" s="365" t="s">
        <v>1655</v>
      </c>
      <c r="D525" s="271"/>
      <c r="E525" s="271"/>
      <c r="F525" s="271"/>
      <c r="G525" s="271"/>
      <c r="H525" s="273"/>
      <c r="I525" s="26" t="s">
        <v>1815</v>
      </c>
      <c r="J525" s="440">
        <v>4118</v>
      </c>
      <c r="K525" s="273"/>
      <c r="L525" s="438" t="e">
        <f t="shared" si="7"/>
        <v>#N/A</v>
      </c>
      <c r="M525" s="273"/>
      <c r="N525" s="438">
        <v>3460.5042016806724</v>
      </c>
      <c r="O525" s="273"/>
      <c r="P525" s="439">
        <f t="shared" si="6"/>
        <v>4118</v>
      </c>
      <c r="Q525" s="273"/>
      <c r="R525">
        <f>presup!M$368</f>
        <v>0</v>
      </c>
    </row>
    <row r="526" spans="1:18" ht="13.5" customHeight="1" x14ac:dyDescent="0.25">
      <c r="A526" s="117" t="s">
        <v>2407</v>
      </c>
      <c r="B526" s="112">
        <v>45069</v>
      </c>
      <c r="C526" s="365" t="s">
        <v>1656</v>
      </c>
      <c r="D526" s="271"/>
      <c r="E526" s="271"/>
      <c r="F526" s="271"/>
      <c r="G526" s="271"/>
      <c r="H526" s="273"/>
      <c r="I526" s="26" t="s">
        <v>502</v>
      </c>
      <c r="J526" s="440">
        <v>395294</v>
      </c>
      <c r="K526" s="273"/>
      <c r="L526" s="438" t="e">
        <f t="shared" si="7"/>
        <v>#N/A</v>
      </c>
      <c r="M526" s="273"/>
      <c r="N526" s="438">
        <v>332179.83193277312</v>
      </c>
      <c r="O526" s="273"/>
      <c r="P526" s="439">
        <f t="shared" si="6"/>
        <v>395294</v>
      </c>
      <c r="Q526" s="273"/>
      <c r="R526">
        <f>presup!M$368</f>
        <v>0</v>
      </c>
    </row>
    <row r="527" spans="1:18" ht="13.5" customHeight="1" x14ac:dyDescent="0.25">
      <c r="A527" s="117" t="s">
        <v>2408</v>
      </c>
      <c r="B527" s="112">
        <v>45069</v>
      </c>
      <c r="C527" s="365" t="s">
        <v>1657</v>
      </c>
      <c r="D527" s="271"/>
      <c r="E527" s="271"/>
      <c r="F527" s="271"/>
      <c r="G527" s="271"/>
      <c r="H527" s="273"/>
      <c r="I527" s="26" t="s">
        <v>502</v>
      </c>
      <c r="J527" s="440">
        <v>1201200</v>
      </c>
      <c r="K527" s="273"/>
      <c r="L527" s="438" t="e">
        <f t="shared" si="7"/>
        <v>#N/A</v>
      </c>
      <c r="M527" s="273"/>
      <c r="N527" s="438">
        <v>1009411.7647058824</v>
      </c>
      <c r="O527" s="273"/>
      <c r="P527" s="439">
        <f t="shared" si="6"/>
        <v>1201200</v>
      </c>
      <c r="Q527" s="273"/>
      <c r="R527">
        <f>presup!M$368</f>
        <v>0</v>
      </c>
    </row>
    <row r="528" spans="1:18" ht="13.5" customHeight="1" x14ac:dyDescent="0.25">
      <c r="A528" s="117" t="s">
        <v>2409</v>
      </c>
      <c r="B528" s="112">
        <v>45069</v>
      </c>
      <c r="C528" s="365" t="s">
        <v>1658</v>
      </c>
      <c r="D528" s="271"/>
      <c r="E528" s="271"/>
      <c r="F528" s="271"/>
      <c r="G528" s="271"/>
      <c r="H528" s="273"/>
      <c r="I528" s="26" t="s">
        <v>502</v>
      </c>
      <c r="J528" s="440">
        <v>1542716</v>
      </c>
      <c r="K528" s="273"/>
      <c r="L528" s="438" t="e">
        <f t="shared" si="7"/>
        <v>#N/A</v>
      </c>
      <c r="M528" s="273"/>
      <c r="N528" s="438">
        <v>1296400</v>
      </c>
      <c r="O528" s="273"/>
      <c r="P528" s="439">
        <f t="shared" si="6"/>
        <v>1542716</v>
      </c>
      <c r="Q528" s="273"/>
      <c r="R528">
        <f>presup!M$368</f>
        <v>0</v>
      </c>
    </row>
    <row r="529" spans="1:18" ht="13.5" customHeight="1" x14ac:dyDescent="0.25">
      <c r="A529" s="117" t="s">
        <v>2410</v>
      </c>
      <c r="B529" s="112">
        <v>45069</v>
      </c>
      <c r="C529" s="365" t="s">
        <v>1659</v>
      </c>
      <c r="D529" s="271"/>
      <c r="E529" s="271"/>
      <c r="F529" s="271"/>
      <c r="G529" s="271"/>
      <c r="H529" s="273"/>
      <c r="I529" s="26" t="s">
        <v>502</v>
      </c>
      <c r="J529" s="440">
        <v>295100</v>
      </c>
      <c r="K529" s="273"/>
      <c r="L529" s="438" t="e">
        <f t="shared" si="7"/>
        <v>#N/A</v>
      </c>
      <c r="M529" s="273"/>
      <c r="N529" s="438">
        <v>247983.19327731093</v>
      </c>
      <c r="O529" s="273"/>
      <c r="P529" s="439">
        <f t="shared" si="6"/>
        <v>295100</v>
      </c>
      <c r="Q529" s="273"/>
      <c r="R529">
        <f>presup!M$368</f>
        <v>0</v>
      </c>
    </row>
    <row r="530" spans="1:18" ht="13.5" customHeight="1" x14ac:dyDescent="0.25">
      <c r="A530" s="117" t="s">
        <v>2411</v>
      </c>
      <c r="B530" s="112">
        <v>45069</v>
      </c>
      <c r="C530" s="365" t="s">
        <v>1660</v>
      </c>
      <c r="D530" s="271"/>
      <c r="E530" s="271"/>
      <c r="F530" s="271"/>
      <c r="G530" s="271"/>
      <c r="H530" s="273"/>
      <c r="I530" s="26" t="s">
        <v>502</v>
      </c>
      <c r="J530" s="440">
        <v>295100</v>
      </c>
      <c r="K530" s="273"/>
      <c r="L530" s="438" t="e">
        <f t="shared" si="7"/>
        <v>#N/A</v>
      </c>
      <c r="M530" s="273"/>
      <c r="N530" s="438">
        <v>247983.19327731093</v>
      </c>
      <c r="O530" s="273"/>
      <c r="P530" s="439">
        <f t="shared" si="6"/>
        <v>295100</v>
      </c>
      <c r="Q530" s="273"/>
      <c r="R530">
        <f>presup!M$368</f>
        <v>0</v>
      </c>
    </row>
    <row r="531" spans="1:18" ht="13.5" customHeight="1" x14ac:dyDescent="0.25">
      <c r="A531" s="117" t="s">
        <v>2412</v>
      </c>
      <c r="B531" s="112">
        <v>45069</v>
      </c>
      <c r="C531" s="365" t="s">
        <v>1661</v>
      </c>
      <c r="D531" s="271"/>
      <c r="E531" s="271"/>
      <c r="F531" s="271"/>
      <c r="G531" s="271"/>
      <c r="H531" s="273"/>
      <c r="I531" s="26" t="s">
        <v>502</v>
      </c>
      <c r="J531" s="440">
        <v>49400</v>
      </c>
      <c r="K531" s="273"/>
      <c r="L531" s="438" t="e">
        <f t="shared" si="7"/>
        <v>#N/A</v>
      </c>
      <c r="M531" s="273"/>
      <c r="N531" s="438">
        <v>41512.60504201681</v>
      </c>
      <c r="O531" s="273"/>
      <c r="P531" s="439">
        <f t="shared" si="6"/>
        <v>49400</v>
      </c>
      <c r="Q531" s="273"/>
      <c r="R531">
        <f>presup!M$368</f>
        <v>0</v>
      </c>
    </row>
    <row r="532" spans="1:18" ht="13.5" customHeight="1" x14ac:dyDescent="0.25">
      <c r="A532" s="117" t="s">
        <v>2413</v>
      </c>
      <c r="B532" s="112">
        <v>45069</v>
      </c>
      <c r="C532" s="365" t="s">
        <v>1662</v>
      </c>
      <c r="D532" s="271"/>
      <c r="E532" s="271"/>
      <c r="F532" s="271"/>
      <c r="G532" s="271"/>
      <c r="H532" s="273"/>
      <c r="I532" s="26" t="s">
        <v>502</v>
      </c>
      <c r="J532" s="440">
        <v>66532</v>
      </c>
      <c r="K532" s="273"/>
      <c r="L532" s="438" t="e">
        <f t="shared" si="7"/>
        <v>#N/A</v>
      </c>
      <c r="M532" s="273"/>
      <c r="N532" s="438">
        <v>55909.243697478996</v>
      </c>
      <c r="O532" s="273"/>
      <c r="P532" s="439">
        <f t="shared" si="6"/>
        <v>66532</v>
      </c>
      <c r="Q532" s="273"/>
      <c r="R532">
        <f>presup!M$368</f>
        <v>0</v>
      </c>
    </row>
    <row r="533" spans="1:18" ht="13.5" customHeight="1" x14ac:dyDescent="0.25">
      <c r="A533" s="117" t="s">
        <v>2414</v>
      </c>
      <c r="B533" s="112">
        <v>45069</v>
      </c>
      <c r="C533" s="365" t="s">
        <v>1593</v>
      </c>
      <c r="D533" s="271"/>
      <c r="E533" s="271"/>
      <c r="F533" s="271"/>
      <c r="G533" s="271"/>
      <c r="H533" s="273"/>
      <c r="I533" s="26" t="s">
        <v>502</v>
      </c>
      <c r="J533" s="440">
        <v>208250</v>
      </c>
      <c r="K533" s="273"/>
      <c r="L533" s="438" t="e">
        <f t="shared" si="7"/>
        <v>#N/A</v>
      </c>
      <c r="M533" s="273"/>
      <c r="N533" s="438">
        <v>175000</v>
      </c>
      <c r="O533" s="273"/>
      <c r="P533" s="439">
        <f t="shared" si="6"/>
        <v>208250</v>
      </c>
      <c r="Q533" s="273"/>
      <c r="R533">
        <f>presup!M$368</f>
        <v>0</v>
      </c>
    </row>
    <row r="534" spans="1:18" ht="13.5" customHeight="1" x14ac:dyDescent="0.25">
      <c r="A534" s="117" t="s">
        <v>2415</v>
      </c>
      <c r="B534" s="112">
        <v>45069</v>
      </c>
      <c r="C534" s="365" t="s">
        <v>1663</v>
      </c>
      <c r="D534" s="271"/>
      <c r="E534" s="271"/>
      <c r="F534" s="271"/>
      <c r="G534" s="271"/>
      <c r="H534" s="273"/>
      <c r="I534" s="26" t="s">
        <v>502</v>
      </c>
      <c r="J534" s="440">
        <v>1084720</v>
      </c>
      <c r="K534" s="273"/>
      <c r="L534" s="438" t="e">
        <f t="shared" si="7"/>
        <v>#N/A</v>
      </c>
      <c r="M534" s="273"/>
      <c r="N534" s="438">
        <v>911529.4117647059</v>
      </c>
      <c r="O534" s="273"/>
      <c r="P534" s="439">
        <f t="shared" si="6"/>
        <v>1084720</v>
      </c>
      <c r="Q534" s="273"/>
      <c r="R534">
        <f>presup!M$368</f>
        <v>0</v>
      </c>
    </row>
    <row r="535" spans="1:18" ht="13.5" customHeight="1" x14ac:dyDescent="0.25">
      <c r="A535" s="117" t="s">
        <v>2416</v>
      </c>
      <c r="B535" s="112">
        <v>45069</v>
      </c>
      <c r="C535" s="365" t="s">
        <v>1664</v>
      </c>
      <c r="D535" s="271"/>
      <c r="E535" s="271"/>
      <c r="F535" s="271"/>
      <c r="G535" s="271"/>
      <c r="H535" s="273"/>
      <c r="I535" s="26" t="s">
        <v>502</v>
      </c>
      <c r="J535" s="440">
        <v>1114360</v>
      </c>
      <c r="K535" s="273"/>
      <c r="L535" s="438" t="e">
        <f t="shared" si="7"/>
        <v>#N/A</v>
      </c>
      <c r="M535" s="273"/>
      <c r="N535" s="438">
        <v>936436.97478991596</v>
      </c>
      <c r="O535" s="273"/>
      <c r="P535" s="439">
        <f t="shared" si="6"/>
        <v>1114360</v>
      </c>
      <c r="Q535" s="273"/>
      <c r="R535">
        <f>presup!M$368</f>
        <v>0</v>
      </c>
    </row>
    <row r="536" spans="1:18" ht="13.5" customHeight="1" x14ac:dyDescent="0.25">
      <c r="A536" s="117" t="s">
        <v>2417</v>
      </c>
      <c r="B536" s="112">
        <v>45069</v>
      </c>
      <c r="C536" s="365" t="s">
        <v>1665</v>
      </c>
      <c r="D536" s="271"/>
      <c r="E536" s="271"/>
      <c r="F536" s="271"/>
      <c r="G536" s="271"/>
      <c r="H536" s="273"/>
      <c r="I536" s="26" t="s">
        <v>502</v>
      </c>
      <c r="J536" s="440">
        <v>777920</v>
      </c>
      <c r="K536" s="273"/>
      <c r="L536" s="438" t="e">
        <f t="shared" si="7"/>
        <v>#N/A</v>
      </c>
      <c r="M536" s="273"/>
      <c r="N536" s="438">
        <v>653714.2857142858</v>
      </c>
      <c r="O536" s="273"/>
      <c r="P536" s="439">
        <f t="shared" si="6"/>
        <v>777920</v>
      </c>
      <c r="Q536" s="273"/>
      <c r="R536">
        <f>presup!M$368</f>
        <v>0</v>
      </c>
    </row>
    <row r="537" spans="1:18" ht="13.5" customHeight="1" x14ac:dyDescent="0.25">
      <c r="A537" s="117" t="s">
        <v>2418</v>
      </c>
      <c r="B537" s="112">
        <v>45069</v>
      </c>
      <c r="C537" s="365" t="s">
        <v>1666</v>
      </c>
      <c r="D537" s="271"/>
      <c r="E537" s="271"/>
      <c r="F537" s="271"/>
      <c r="G537" s="271"/>
      <c r="H537" s="273"/>
      <c r="I537" s="26" t="s">
        <v>502</v>
      </c>
      <c r="J537" s="440">
        <v>295100</v>
      </c>
      <c r="K537" s="273"/>
      <c r="L537" s="438" t="e">
        <f t="shared" si="7"/>
        <v>#N/A</v>
      </c>
      <c r="M537" s="273"/>
      <c r="N537" s="438">
        <v>247983.19327731093</v>
      </c>
      <c r="O537" s="273"/>
      <c r="P537" s="439">
        <f t="shared" si="6"/>
        <v>295100</v>
      </c>
      <c r="Q537" s="273"/>
      <c r="R537">
        <f>presup!M$368</f>
        <v>0</v>
      </c>
    </row>
    <row r="538" spans="1:18" ht="13.5" customHeight="1" x14ac:dyDescent="0.25">
      <c r="A538" s="117" t="s">
        <v>2419</v>
      </c>
      <c r="B538" s="112">
        <v>45069</v>
      </c>
      <c r="C538" s="365" t="s">
        <v>1667</v>
      </c>
      <c r="D538" s="271"/>
      <c r="E538" s="271"/>
      <c r="F538" s="271"/>
      <c r="G538" s="271"/>
      <c r="H538" s="273"/>
      <c r="I538" s="26" t="s">
        <v>502</v>
      </c>
      <c r="J538" s="440">
        <v>295100</v>
      </c>
      <c r="K538" s="273"/>
      <c r="L538" s="438" t="e">
        <f t="shared" si="7"/>
        <v>#N/A</v>
      </c>
      <c r="M538" s="273"/>
      <c r="N538" s="438">
        <v>247983.19327731093</v>
      </c>
      <c r="O538" s="273"/>
      <c r="P538" s="439">
        <f t="shared" si="6"/>
        <v>295100</v>
      </c>
      <c r="Q538" s="273"/>
      <c r="R538">
        <f>presup!M$368</f>
        <v>0</v>
      </c>
    </row>
    <row r="539" spans="1:18" ht="13.5" customHeight="1" x14ac:dyDescent="0.25">
      <c r="A539" s="117" t="s">
        <v>2420</v>
      </c>
      <c r="B539" s="112">
        <v>45069</v>
      </c>
      <c r="C539" s="365" t="s">
        <v>1668</v>
      </c>
      <c r="D539" s="271"/>
      <c r="E539" s="271"/>
      <c r="F539" s="271"/>
      <c r="G539" s="271"/>
      <c r="H539" s="273"/>
      <c r="I539" s="26" t="s">
        <v>502</v>
      </c>
      <c r="J539" s="440">
        <v>26390</v>
      </c>
      <c r="K539" s="273"/>
      <c r="L539" s="438" t="e">
        <f t="shared" si="7"/>
        <v>#N/A</v>
      </c>
      <c r="M539" s="273"/>
      <c r="N539" s="438">
        <v>22176.470588235294</v>
      </c>
      <c r="O539" s="273"/>
      <c r="P539" s="439">
        <f t="shared" si="6"/>
        <v>26390</v>
      </c>
      <c r="Q539" s="273"/>
      <c r="R539">
        <f>presup!M$368</f>
        <v>0</v>
      </c>
    </row>
    <row r="540" spans="1:18" ht="13.5" customHeight="1" x14ac:dyDescent="0.25">
      <c r="A540" s="117" t="s">
        <v>2421</v>
      </c>
      <c r="B540" s="112">
        <v>45069</v>
      </c>
      <c r="C540" s="365" t="s">
        <v>1669</v>
      </c>
      <c r="D540" s="271"/>
      <c r="E540" s="271"/>
      <c r="F540" s="271"/>
      <c r="G540" s="271"/>
      <c r="H540" s="273"/>
      <c r="I540" s="26" t="s">
        <v>502</v>
      </c>
      <c r="J540" s="440">
        <v>1566600</v>
      </c>
      <c r="K540" s="273"/>
      <c r="L540" s="438" t="e">
        <f t="shared" si="7"/>
        <v>#N/A</v>
      </c>
      <c r="M540" s="273"/>
      <c r="N540" s="438">
        <v>1316470.5882352942</v>
      </c>
      <c r="O540" s="273"/>
      <c r="P540" s="439">
        <f t="shared" si="6"/>
        <v>1566600</v>
      </c>
      <c r="Q540" s="273"/>
      <c r="R540">
        <f>presup!M$368</f>
        <v>0</v>
      </c>
    </row>
    <row r="541" spans="1:18" ht="13.5" customHeight="1" x14ac:dyDescent="0.25">
      <c r="A541" s="117" t="s">
        <v>2422</v>
      </c>
      <c r="B541" s="112">
        <v>45069</v>
      </c>
      <c r="C541" s="462" t="s">
        <v>1670</v>
      </c>
      <c r="D541" s="463"/>
      <c r="E541" s="463"/>
      <c r="F541" s="463"/>
      <c r="G541" s="463"/>
      <c r="H541" s="446"/>
      <c r="I541" s="26" t="s">
        <v>502</v>
      </c>
      <c r="J541" s="440">
        <v>381176</v>
      </c>
      <c r="K541" s="273"/>
      <c r="L541" s="438" t="e">
        <f t="shared" si="7"/>
        <v>#N/A</v>
      </c>
      <c r="M541" s="273"/>
      <c r="N541" s="438">
        <v>320315.96638655465</v>
      </c>
      <c r="O541" s="273"/>
      <c r="P541" s="439">
        <f t="shared" si="6"/>
        <v>381176</v>
      </c>
      <c r="Q541" s="273"/>
      <c r="R541">
        <f>presup!M$368</f>
        <v>0</v>
      </c>
    </row>
    <row r="542" spans="1:18" ht="13.5" customHeight="1" x14ac:dyDescent="0.25">
      <c r="A542" s="117" t="s">
        <v>2423</v>
      </c>
      <c r="B542" s="112">
        <v>45069</v>
      </c>
      <c r="C542" s="462" t="s">
        <v>1570</v>
      </c>
      <c r="D542" s="463"/>
      <c r="E542" s="463"/>
      <c r="F542" s="463"/>
      <c r="G542" s="463"/>
      <c r="H542" s="446"/>
      <c r="I542" s="26" t="s">
        <v>502</v>
      </c>
      <c r="J542" s="440">
        <v>1533</v>
      </c>
      <c r="K542" s="273"/>
      <c r="L542" s="438" t="e">
        <f t="shared" si="7"/>
        <v>#N/A</v>
      </c>
      <c r="M542" s="273"/>
      <c r="N542" s="438">
        <v>1288.2352941176471</v>
      </c>
      <c r="O542" s="273"/>
      <c r="P542" s="439">
        <f t="shared" si="6"/>
        <v>1533</v>
      </c>
      <c r="Q542" s="273"/>
      <c r="R542">
        <f>presup!M$368</f>
        <v>0</v>
      </c>
    </row>
    <row r="543" spans="1:18" ht="13.5" customHeight="1" x14ac:dyDescent="0.25">
      <c r="A543" s="117" t="s">
        <v>2424</v>
      </c>
      <c r="B543" s="112">
        <v>45069</v>
      </c>
      <c r="C543" s="462" t="s">
        <v>1577</v>
      </c>
      <c r="D543" s="463"/>
      <c r="E543" s="463"/>
      <c r="F543" s="463"/>
      <c r="G543" s="463"/>
      <c r="H543" s="446"/>
      <c r="I543" s="26" t="s">
        <v>502</v>
      </c>
      <c r="J543" s="440">
        <v>91000</v>
      </c>
      <c r="K543" s="273"/>
      <c r="L543" s="438" t="e">
        <f t="shared" si="7"/>
        <v>#N/A</v>
      </c>
      <c r="M543" s="273"/>
      <c r="N543" s="438">
        <v>76470.588235294126</v>
      </c>
      <c r="O543" s="273"/>
      <c r="P543" s="439">
        <f t="shared" si="6"/>
        <v>91000</v>
      </c>
      <c r="Q543" s="273"/>
      <c r="R543">
        <f>presup!M$368</f>
        <v>0</v>
      </c>
    </row>
    <row r="544" spans="1:18" ht="13.5" customHeight="1" x14ac:dyDescent="0.25">
      <c r="A544" s="117" t="s">
        <v>2425</v>
      </c>
      <c r="B544" s="112">
        <v>45069</v>
      </c>
      <c r="C544" s="462" t="s">
        <v>1671</v>
      </c>
      <c r="D544" s="463"/>
      <c r="E544" s="463"/>
      <c r="F544" s="463"/>
      <c r="G544" s="463"/>
      <c r="H544" s="446"/>
      <c r="I544" s="26" t="s">
        <v>1382</v>
      </c>
      <c r="J544" s="440">
        <v>35584</v>
      </c>
      <c r="K544" s="273"/>
      <c r="L544" s="438" t="e">
        <f t="shared" si="7"/>
        <v>#N/A</v>
      </c>
      <c r="M544" s="273"/>
      <c r="N544" s="438">
        <v>29902.521008403364</v>
      </c>
      <c r="O544" s="273"/>
      <c r="P544" s="439">
        <f t="shared" si="6"/>
        <v>35584</v>
      </c>
      <c r="Q544" s="273"/>
      <c r="R544">
        <f>presup!M$368</f>
        <v>0</v>
      </c>
    </row>
    <row r="545" spans="1:18" ht="13.5" customHeight="1" x14ac:dyDescent="0.25">
      <c r="A545" s="117" t="s">
        <v>2426</v>
      </c>
      <c r="B545" s="112">
        <v>45069</v>
      </c>
      <c r="C545" s="462" t="s">
        <v>1672</v>
      </c>
      <c r="D545" s="463"/>
      <c r="E545" s="463"/>
      <c r="F545" s="463"/>
      <c r="G545" s="463"/>
      <c r="H545" s="446"/>
      <c r="I545" s="26" t="s">
        <v>502</v>
      </c>
      <c r="J545" s="440">
        <v>6550</v>
      </c>
      <c r="K545" s="273"/>
      <c r="L545" s="438" t="e">
        <f t="shared" si="7"/>
        <v>#N/A</v>
      </c>
      <c r="M545" s="273"/>
      <c r="N545" s="438">
        <v>5504.2016806722695</v>
      </c>
      <c r="O545" s="273"/>
      <c r="P545" s="439">
        <f t="shared" si="6"/>
        <v>6550</v>
      </c>
      <c r="Q545" s="273"/>
      <c r="R545">
        <f>presup!M$368</f>
        <v>0</v>
      </c>
    </row>
    <row r="546" spans="1:18" ht="13.5" customHeight="1" x14ac:dyDescent="0.25">
      <c r="A546" s="117" t="s">
        <v>2427</v>
      </c>
      <c r="B546" s="112">
        <v>45069</v>
      </c>
      <c r="C546" s="462" t="s">
        <v>1596</v>
      </c>
      <c r="D546" s="463"/>
      <c r="E546" s="463"/>
      <c r="F546" s="463"/>
      <c r="G546" s="463"/>
      <c r="H546" s="446"/>
      <c r="I546" s="26" t="s">
        <v>502</v>
      </c>
      <c r="J546" s="440">
        <v>3938</v>
      </c>
      <c r="K546" s="273"/>
      <c r="L546" s="438" t="e">
        <f t="shared" si="7"/>
        <v>#N/A</v>
      </c>
      <c r="M546" s="273"/>
      <c r="N546" s="438">
        <v>3309.2436974789916</v>
      </c>
      <c r="O546" s="273"/>
      <c r="P546" s="439">
        <f t="shared" si="6"/>
        <v>3938</v>
      </c>
      <c r="Q546" s="273"/>
      <c r="R546">
        <f>presup!M$368</f>
        <v>0</v>
      </c>
    </row>
    <row r="547" spans="1:18" ht="13.5" customHeight="1" x14ac:dyDescent="0.25">
      <c r="A547" s="117" t="s">
        <v>2428</v>
      </c>
      <c r="B547" s="112">
        <v>45069</v>
      </c>
      <c r="C547" s="462" t="s">
        <v>1649</v>
      </c>
      <c r="D547" s="463"/>
      <c r="E547" s="463"/>
      <c r="F547" s="463"/>
      <c r="G547" s="463"/>
      <c r="H547" s="446"/>
      <c r="I547" s="26" t="s">
        <v>1382</v>
      </c>
      <c r="J547" s="440">
        <v>35584</v>
      </c>
      <c r="K547" s="273"/>
      <c r="L547" s="438" t="e">
        <f t="shared" si="7"/>
        <v>#N/A</v>
      </c>
      <c r="M547" s="273"/>
      <c r="N547" s="438">
        <v>29902.521008403364</v>
      </c>
      <c r="O547" s="273"/>
      <c r="P547" s="439">
        <f t="shared" si="6"/>
        <v>35584</v>
      </c>
      <c r="Q547" s="273"/>
      <c r="R547">
        <f>presup!M$368</f>
        <v>0</v>
      </c>
    </row>
    <row r="548" spans="1:18" ht="13.5" customHeight="1" x14ac:dyDescent="0.25">
      <c r="A548" s="117" t="s">
        <v>2429</v>
      </c>
      <c r="B548" s="112">
        <v>45069</v>
      </c>
      <c r="C548" s="462" t="s">
        <v>1673</v>
      </c>
      <c r="D548" s="463"/>
      <c r="E548" s="463"/>
      <c r="F548" s="463"/>
      <c r="G548" s="463"/>
      <c r="H548" s="446"/>
      <c r="I548" s="26" t="s">
        <v>19</v>
      </c>
      <c r="J548" s="440">
        <v>13930</v>
      </c>
      <c r="K548" s="273"/>
      <c r="L548" s="438" t="e">
        <f t="shared" si="7"/>
        <v>#N/A</v>
      </c>
      <c r="M548" s="273"/>
      <c r="N548" s="438">
        <v>11705.882352941177</v>
      </c>
      <c r="O548" s="273"/>
      <c r="P548" s="439">
        <f t="shared" si="6"/>
        <v>13930</v>
      </c>
      <c r="Q548" s="273"/>
      <c r="R548">
        <f>presup!M$368</f>
        <v>0</v>
      </c>
    </row>
    <row r="549" spans="1:18" ht="13.5" customHeight="1" x14ac:dyDescent="0.25">
      <c r="A549" s="117" t="s">
        <v>2430</v>
      </c>
      <c r="B549" s="112">
        <v>45069</v>
      </c>
      <c r="C549" s="462" t="s">
        <v>1674</v>
      </c>
      <c r="D549" s="463"/>
      <c r="E549" s="463"/>
      <c r="F549" s="463"/>
      <c r="G549" s="463"/>
      <c r="H549" s="446"/>
      <c r="I549" s="26" t="s">
        <v>502</v>
      </c>
      <c r="J549" s="440">
        <v>9660</v>
      </c>
      <c r="K549" s="273"/>
      <c r="L549" s="438" t="e">
        <f t="shared" si="7"/>
        <v>#N/A</v>
      </c>
      <c r="M549" s="273"/>
      <c r="N549" s="438">
        <v>8117.6470588235297</v>
      </c>
      <c r="O549" s="273"/>
      <c r="P549" s="439">
        <f t="shared" si="6"/>
        <v>9660</v>
      </c>
      <c r="Q549" s="273"/>
      <c r="R549">
        <f>presup!M$368</f>
        <v>0</v>
      </c>
    </row>
    <row r="550" spans="1:18" ht="13.5" customHeight="1" x14ac:dyDescent="0.25">
      <c r="A550" s="117" t="s">
        <v>2431</v>
      </c>
      <c r="B550" s="112">
        <v>45069</v>
      </c>
      <c r="C550" s="462" t="s">
        <v>1675</v>
      </c>
      <c r="D550" s="463"/>
      <c r="E550" s="463"/>
      <c r="F550" s="463"/>
      <c r="G550" s="463"/>
      <c r="H550" s="446"/>
      <c r="I550" s="26" t="s">
        <v>502</v>
      </c>
      <c r="J550" s="440">
        <v>780</v>
      </c>
      <c r="K550" s="273"/>
      <c r="L550" s="438" t="e">
        <f t="shared" si="7"/>
        <v>#N/A</v>
      </c>
      <c r="M550" s="273"/>
      <c r="N550" s="438">
        <v>655.46218487394958</v>
      </c>
      <c r="O550" s="273"/>
      <c r="P550" s="439">
        <f t="shared" si="6"/>
        <v>780</v>
      </c>
      <c r="Q550" s="273"/>
      <c r="R550">
        <f>presup!M$368</f>
        <v>0</v>
      </c>
    </row>
    <row r="551" spans="1:18" ht="13.5" customHeight="1" x14ac:dyDescent="0.25">
      <c r="A551" s="117" t="s">
        <v>2432</v>
      </c>
      <c r="B551" s="112">
        <v>45069</v>
      </c>
      <c r="C551" s="462" t="s">
        <v>1676</v>
      </c>
      <c r="D551" s="463"/>
      <c r="E551" s="463"/>
      <c r="F551" s="463"/>
      <c r="G551" s="463"/>
      <c r="H551" s="446"/>
      <c r="I551" s="26" t="s">
        <v>502</v>
      </c>
      <c r="J551" s="440">
        <v>6412</v>
      </c>
      <c r="K551" s="273"/>
      <c r="L551" s="438" t="e">
        <f t="shared" si="7"/>
        <v>#N/A</v>
      </c>
      <c r="M551" s="273"/>
      <c r="N551" s="438">
        <v>5388.2352941176478</v>
      </c>
      <c r="O551" s="273"/>
      <c r="P551" s="439">
        <f t="shared" si="6"/>
        <v>6412</v>
      </c>
      <c r="Q551" s="273"/>
      <c r="R551">
        <f>presup!M$368</f>
        <v>0</v>
      </c>
    </row>
    <row r="552" spans="1:18" ht="13.5" customHeight="1" x14ac:dyDescent="0.25">
      <c r="A552" s="117" t="s">
        <v>2433</v>
      </c>
      <c r="B552" s="112">
        <v>45069</v>
      </c>
      <c r="C552" s="462" t="s">
        <v>1677</v>
      </c>
      <c r="D552" s="463"/>
      <c r="E552" s="463"/>
      <c r="F552" s="463"/>
      <c r="G552" s="463"/>
      <c r="H552" s="446"/>
      <c r="I552" s="26" t="s">
        <v>19</v>
      </c>
      <c r="J552" s="440">
        <v>39410</v>
      </c>
      <c r="K552" s="273"/>
      <c r="L552" s="438" t="e">
        <f t="shared" si="7"/>
        <v>#N/A</v>
      </c>
      <c r="M552" s="273"/>
      <c r="N552" s="438">
        <v>33117.647058823532</v>
      </c>
      <c r="O552" s="273"/>
      <c r="P552" s="439">
        <f t="shared" si="6"/>
        <v>39410</v>
      </c>
      <c r="Q552" s="273"/>
      <c r="R552">
        <f>presup!M$368</f>
        <v>0</v>
      </c>
    </row>
    <row r="553" spans="1:18" ht="13.5" customHeight="1" x14ac:dyDescent="0.25">
      <c r="A553" s="117" t="s">
        <v>2434</v>
      </c>
      <c r="B553" s="112">
        <v>45069</v>
      </c>
      <c r="C553" s="462" t="s">
        <v>1678</v>
      </c>
      <c r="D553" s="463"/>
      <c r="E553" s="463"/>
      <c r="F553" s="463"/>
      <c r="G553" s="463"/>
      <c r="H553" s="446"/>
      <c r="I553" s="26" t="s">
        <v>19</v>
      </c>
      <c r="J553" s="440">
        <v>7000</v>
      </c>
      <c r="K553" s="273"/>
      <c r="L553" s="438" t="e">
        <f t="shared" si="7"/>
        <v>#N/A</v>
      </c>
      <c r="M553" s="273"/>
      <c r="N553" s="438">
        <v>5882.3529411764712</v>
      </c>
      <c r="O553" s="273"/>
      <c r="P553" s="439">
        <f t="shared" si="6"/>
        <v>7000</v>
      </c>
      <c r="Q553" s="273"/>
      <c r="R553">
        <f>presup!M$368</f>
        <v>0</v>
      </c>
    </row>
    <row r="554" spans="1:18" ht="13.5" customHeight="1" x14ac:dyDescent="0.25">
      <c r="A554" s="117" t="s">
        <v>2435</v>
      </c>
      <c r="B554" s="112">
        <v>45069</v>
      </c>
      <c r="C554" s="462" t="s">
        <v>1679</v>
      </c>
      <c r="D554" s="463"/>
      <c r="E554" s="463"/>
      <c r="F554" s="463"/>
      <c r="G554" s="463"/>
      <c r="H554" s="446"/>
      <c r="I554" s="26" t="s">
        <v>19</v>
      </c>
      <c r="J554" s="440">
        <v>4200</v>
      </c>
      <c r="K554" s="273"/>
      <c r="L554" s="438" t="e">
        <f t="shared" si="7"/>
        <v>#N/A</v>
      </c>
      <c r="M554" s="273"/>
      <c r="N554" s="438">
        <v>3529.4117647058824</v>
      </c>
      <c r="O554" s="273"/>
      <c r="P554" s="439">
        <f t="shared" si="6"/>
        <v>4200</v>
      </c>
      <c r="Q554" s="273"/>
      <c r="R554">
        <f>presup!M$368</f>
        <v>0</v>
      </c>
    </row>
    <row r="555" spans="1:18" ht="13.5" customHeight="1" x14ac:dyDescent="0.25">
      <c r="A555" s="117" t="s">
        <v>2436</v>
      </c>
      <c r="B555" s="112">
        <v>45069</v>
      </c>
      <c r="C555" s="462" t="s">
        <v>1680</v>
      </c>
      <c r="D555" s="463"/>
      <c r="E555" s="463"/>
      <c r="F555" s="463"/>
      <c r="G555" s="463"/>
      <c r="H555" s="446"/>
      <c r="I555" s="26" t="s">
        <v>502</v>
      </c>
      <c r="J555" s="440">
        <v>52033</v>
      </c>
      <c r="K555" s="273"/>
      <c r="L555" s="438" t="e">
        <f t="shared" si="7"/>
        <v>#N/A</v>
      </c>
      <c r="M555" s="273"/>
      <c r="N555" s="438">
        <v>43725.210084033613</v>
      </c>
      <c r="O555" s="273"/>
      <c r="P555" s="439">
        <f t="shared" si="6"/>
        <v>52033</v>
      </c>
      <c r="Q555" s="273"/>
      <c r="R555">
        <f>presup!M$368</f>
        <v>0</v>
      </c>
    </row>
    <row r="556" spans="1:18" ht="13.5" customHeight="1" x14ac:dyDescent="0.25">
      <c r="A556" s="117" t="s">
        <v>2437</v>
      </c>
      <c r="B556" s="112">
        <v>45069</v>
      </c>
      <c r="C556" s="462" t="s">
        <v>1681</v>
      </c>
      <c r="D556" s="463"/>
      <c r="E556" s="463"/>
      <c r="F556" s="463"/>
      <c r="G556" s="463"/>
      <c r="H556" s="446"/>
      <c r="I556" s="26" t="s">
        <v>502</v>
      </c>
      <c r="J556" s="440">
        <v>45500</v>
      </c>
      <c r="K556" s="273"/>
      <c r="L556" s="438" t="e">
        <f t="shared" si="7"/>
        <v>#N/A</v>
      </c>
      <c r="M556" s="273"/>
      <c r="N556" s="438">
        <v>38235.294117647063</v>
      </c>
      <c r="O556" s="273"/>
      <c r="P556" s="439">
        <f t="shared" si="6"/>
        <v>45500</v>
      </c>
      <c r="Q556" s="273"/>
      <c r="R556">
        <f>presup!M$368</f>
        <v>0</v>
      </c>
    </row>
    <row r="557" spans="1:18" ht="13.5" customHeight="1" x14ac:dyDescent="0.25">
      <c r="A557" s="117" t="s">
        <v>2438</v>
      </c>
      <c r="B557" s="112">
        <v>45069</v>
      </c>
      <c r="C557" s="462" t="s">
        <v>1682</v>
      </c>
      <c r="D557" s="463"/>
      <c r="E557" s="463"/>
      <c r="F557" s="463"/>
      <c r="G557" s="463"/>
      <c r="H557" s="446"/>
      <c r="I557" s="26" t="s">
        <v>19</v>
      </c>
      <c r="J557" s="440">
        <v>25200</v>
      </c>
      <c r="K557" s="273"/>
      <c r="L557" s="438" t="e">
        <f t="shared" si="7"/>
        <v>#N/A</v>
      </c>
      <c r="M557" s="273"/>
      <c r="N557" s="438">
        <v>21176.470588235294</v>
      </c>
      <c r="O557" s="273"/>
      <c r="P557" s="439">
        <f t="shared" si="6"/>
        <v>25200</v>
      </c>
      <c r="Q557" s="273"/>
      <c r="R557">
        <f>presup!M$368</f>
        <v>0</v>
      </c>
    </row>
    <row r="558" spans="1:18" ht="13.5" customHeight="1" x14ac:dyDescent="0.25">
      <c r="A558" s="117" t="s">
        <v>2439</v>
      </c>
      <c r="B558" s="112">
        <v>45069</v>
      </c>
      <c r="C558" s="462" t="s">
        <v>1683</v>
      </c>
      <c r="D558" s="463"/>
      <c r="E558" s="463"/>
      <c r="F558" s="463"/>
      <c r="G558" s="463"/>
      <c r="H558" s="446"/>
      <c r="I558" s="26" t="s">
        <v>502</v>
      </c>
      <c r="J558" s="440">
        <v>14070</v>
      </c>
      <c r="K558" s="273"/>
      <c r="L558" s="438" t="e">
        <f t="shared" si="7"/>
        <v>#N/A</v>
      </c>
      <c r="M558" s="273"/>
      <c r="N558" s="438">
        <v>11823.529411764706</v>
      </c>
      <c r="O558" s="273"/>
      <c r="P558" s="439">
        <f t="shared" si="6"/>
        <v>14070</v>
      </c>
      <c r="Q558" s="273"/>
      <c r="R558">
        <f>presup!M$368</f>
        <v>0</v>
      </c>
    </row>
    <row r="559" spans="1:18" ht="13.5" customHeight="1" x14ac:dyDescent="0.25">
      <c r="A559" s="117" t="s">
        <v>2440</v>
      </c>
      <c r="B559" s="112">
        <v>45069</v>
      </c>
      <c r="C559" s="462" t="s">
        <v>1684</v>
      </c>
      <c r="D559" s="463"/>
      <c r="E559" s="463"/>
      <c r="F559" s="463"/>
      <c r="G559" s="463"/>
      <c r="H559" s="446"/>
      <c r="I559" s="26" t="s">
        <v>502</v>
      </c>
      <c r="J559" s="440">
        <v>14393499</v>
      </c>
      <c r="K559" s="273"/>
      <c r="L559" s="438" t="e">
        <f t="shared" si="7"/>
        <v>#N/A</v>
      </c>
      <c r="M559" s="273"/>
      <c r="N559" s="438">
        <v>12095377.31092437</v>
      </c>
      <c r="O559" s="273"/>
      <c r="P559" s="439">
        <f t="shared" si="6"/>
        <v>14393499</v>
      </c>
      <c r="Q559" s="273"/>
      <c r="R559">
        <f>presup!M$368</f>
        <v>0</v>
      </c>
    </row>
    <row r="560" spans="1:18" ht="13.5" customHeight="1" x14ac:dyDescent="0.25">
      <c r="A560" s="117" t="s">
        <v>2441</v>
      </c>
      <c r="B560" s="112">
        <v>45069</v>
      </c>
      <c r="C560" s="462" t="s">
        <v>1685</v>
      </c>
      <c r="D560" s="463"/>
      <c r="E560" s="463"/>
      <c r="F560" s="463"/>
      <c r="G560" s="463"/>
      <c r="H560" s="446"/>
      <c r="I560" s="26" t="s">
        <v>502</v>
      </c>
      <c r="J560" s="440">
        <v>1903902</v>
      </c>
      <c r="K560" s="273"/>
      <c r="L560" s="438" t="e">
        <f t="shared" si="7"/>
        <v>#N/A</v>
      </c>
      <c r="M560" s="273"/>
      <c r="N560" s="438">
        <v>1599917.6470588236</v>
      </c>
      <c r="O560" s="273"/>
      <c r="P560" s="439">
        <f t="shared" si="6"/>
        <v>1903902</v>
      </c>
      <c r="Q560" s="273"/>
      <c r="R560">
        <f>presup!M$368</f>
        <v>0</v>
      </c>
    </row>
    <row r="561" spans="1:18" ht="13.5" customHeight="1" x14ac:dyDescent="0.25">
      <c r="A561" s="117" t="s">
        <v>2442</v>
      </c>
      <c r="B561" s="112">
        <v>45069</v>
      </c>
      <c r="C561" s="462" t="s">
        <v>1652</v>
      </c>
      <c r="D561" s="463"/>
      <c r="E561" s="463"/>
      <c r="F561" s="463"/>
      <c r="G561" s="463"/>
      <c r="H561" s="446"/>
      <c r="I561" s="26" t="s">
        <v>502</v>
      </c>
      <c r="J561" s="440">
        <v>72965</v>
      </c>
      <c r="K561" s="273"/>
      <c r="L561" s="438" t="e">
        <f t="shared" si="7"/>
        <v>#N/A</v>
      </c>
      <c r="M561" s="273"/>
      <c r="N561" s="438">
        <v>61315.126050420171</v>
      </c>
      <c r="O561" s="273"/>
      <c r="P561" s="439">
        <f t="shared" si="6"/>
        <v>72965</v>
      </c>
      <c r="Q561" s="273"/>
      <c r="R561">
        <f>presup!M$368</f>
        <v>0</v>
      </c>
    </row>
    <row r="562" spans="1:18" ht="13.5" customHeight="1" x14ac:dyDescent="0.25">
      <c r="A562" s="117" t="s">
        <v>2443</v>
      </c>
      <c r="B562" s="112">
        <v>45069</v>
      </c>
      <c r="C562" s="462" t="s">
        <v>1653</v>
      </c>
      <c r="D562" s="463"/>
      <c r="E562" s="463"/>
      <c r="F562" s="463"/>
      <c r="G562" s="463"/>
      <c r="H562" s="446"/>
      <c r="I562" s="26" t="s">
        <v>502</v>
      </c>
      <c r="J562" s="440">
        <v>86106</v>
      </c>
      <c r="K562" s="273"/>
      <c r="L562" s="438" t="e">
        <f t="shared" si="7"/>
        <v>#N/A</v>
      </c>
      <c r="M562" s="273"/>
      <c r="N562" s="438">
        <v>72357.983193277309</v>
      </c>
      <c r="O562" s="273"/>
      <c r="P562" s="439">
        <f t="shared" si="6"/>
        <v>86106</v>
      </c>
      <c r="Q562" s="273"/>
      <c r="R562">
        <f>presup!M$368</f>
        <v>0</v>
      </c>
    </row>
    <row r="563" spans="1:18" ht="13.5" customHeight="1" x14ac:dyDescent="0.25">
      <c r="A563" s="117" t="s">
        <v>2444</v>
      </c>
      <c r="B563" s="112">
        <v>45069</v>
      </c>
      <c r="C563" s="462" t="s">
        <v>1654</v>
      </c>
      <c r="D563" s="463"/>
      <c r="E563" s="463"/>
      <c r="F563" s="463"/>
      <c r="G563" s="463"/>
      <c r="H563" s="446"/>
      <c r="I563" s="26" t="s">
        <v>502</v>
      </c>
      <c r="J563" s="440">
        <v>49576</v>
      </c>
      <c r="K563" s="273"/>
      <c r="L563" s="438" t="e">
        <f t="shared" si="7"/>
        <v>#N/A</v>
      </c>
      <c r="M563" s="273"/>
      <c r="N563" s="438">
        <v>41660.504201680676</v>
      </c>
      <c r="O563" s="273"/>
      <c r="P563" s="439">
        <f t="shared" si="6"/>
        <v>49576</v>
      </c>
      <c r="Q563" s="273"/>
      <c r="R563">
        <f>presup!M$368</f>
        <v>0</v>
      </c>
    </row>
    <row r="564" spans="1:18" ht="13.5" customHeight="1" x14ac:dyDescent="0.25">
      <c r="A564" s="117" t="s">
        <v>2445</v>
      </c>
      <c r="B564" s="112">
        <v>45069</v>
      </c>
      <c r="C564" s="462" t="s">
        <v>1655</v>
      </c>
      <c r="D564" s="463"/>
      <c r="E564" s="463"/>
      <c r="F564" s="463"/>
      <c r="G564" s="463"/>
      <c r="H564" s="446"/>
      <c r="I564" s="26" t="s">
        <v>1815</v>
      </c>
      <c r="J564" s="440">
        <v>4118</v>
      </c>
      <c r="K564" s="273"/>
      <c r="L564" s="438" t="e">
        <f t="shared" si="7"/>
        <v>#N/A</v>
      </c>
      <c r="M564" s="273"/>
      <c r="N564" s="438">
        <v>3460.5042016806724</v>
      </c>
      <c r="O564" s="273"/>
      <c r="P564" s="439">
        <f t="shared" si="6"/>
        <v>4118</v>
      </c>
      <c r="Q564" s="273"/>
      <c r="R564">
        <f>presup!M$368</f>
        <v>0</v>
      </c>
    </row>
    <row r="565" spans="1:18" ht="13.5" customHeight="1" x14ac:dyDescent="0.25">
      <c r="A565" s="117" t="s">
        <v>2446</v>
      </c>
      <c r="B565" s="112">
        <v>45069</v>
      </c>
      <c r="C565" s="462" t="s">
        <v>1686</v>
      </c>
      <c r="D565" s="463"/>
      <c r="E565" s="463"/>
      <c r="F565" s="463"/>
      <c r="G565" s="463"/>
      <c r="H565" s="446"/>
      <c r="I565" s="26" t="s">
        <v>502</v>
      </c>
      <c r="J565" s="440">
        <v>395294</v>
      </c>
      <c r="K565" s="273"/>
      <c r="L565" s="438" t="e">
        <f t="shared" si="7"/>
        <v>#N/A</v>
      </c>
      <c r="M565" s="273"/>
      <c r="N565" s="438">
        <v>332179.83193277312</v>
      </c>
      <c r="O565" s="273"/>
      <c r="P565" s="439">
        <f t="shared" si="6"/>
        <v>395294</v>
      </c>
      <c r="Q565" s="273"/>
      <c r="R565">
        <f>presup!M$368</f>
        <v>0</v>
      </c>
    </row>
    <row r="566" spans="1:18" ht="13.5" customHeight="1" x14ac:dyDescent="0.25">
      <c r="A566" s="117" t="s">
        <v>2447</v>
      </c>
      <c r="B566" s="112">
        <v>45069</v>
      </c>
      <c r="C566" s="462" t="s">
        <v>1657</v>
      </c>
      <c r="D566" s="463"/>
      <c r="E566" s="463"/>
      <c r="F566" s="463"/>
      <c r="G566" s="463"/>
      <c r="H566" s="446"/>
      <c r="I566" s="26" t="s">
        <v>502</v>
      </c>
      <c r="J566" s="440">
        <v>1201200</v>
      </c>
      <c r="K566" s="273"/>
      <c r="L566" s="438" t="e">
        <f t="shared" si="7"/>
        <v>#N/A</v>
      </c>
      <c r="M566" s="273"/>
      <c r="N566" s="438">
        <v>1009411.7647058824</v>
      </c>
      <c r="O566" s="273"/>
      <c r="P566" s="439">
        <f t="shared" si="6"/>
        <v>1201200</v>
      </c>
      <c r="Q566" s="273"/>
      <c r="R566">
        <f>presup!M$368</f>
        <v>0</v>
      </c>
    </row>
    <row r="567" spans="1:18" ht="13.5" customHeight="1" x14ac:dyDescent="0.25">
      <c r="A567" s="117" t="s">
        <v>2448</v>
      </c>
      <c r="B567" s="112">
        <v>45069</v>
      </c>
      <c r="C567" s="462" t="s">
        <v>1687</v>
      </c>
      <c r="D567" s="463"/>
      <c r="E567" s="463"/>
      <c r="F567" s="463"/>
      <c r="G567" s="463"/>
      <c r="H567" s="446"/>
      <c r="I567" s="26" t="s">
        <v>502</v>
      </c>
      <c r="J567" s="440">
        <v>6552000</v>
      </c>
      <c r="K567" s="273"/>
      <c r="L567" s="438" t="e">
        <f t="shared" si="7"/>
        <v>#N/A</v>
      </c>
      <c r="M567" s="273"/>
      <c r="N567" s="438">
        <v>5505882.3529411769</v>
      </c>
      <c r="O567" s="273"/>
      <c r="P567" s="439">
        <f t="shared" si="6"/>
        <v>6552000</v>
      </c>
      <c r="Q567" s="273"/>
      <c r="R567">
        <f>presup!M$368</f>
        <v>0</v>
      </c>
    </row>
    <row r="568" spans="1:18" ht="13.5" customHeight="1" x14ac:dyDescent="0.25">
      <c r="A568" s="117" t="s">
        <v>2449</v>
      </c>
      <c r="B568" s="112">
        <v>45069</v>
      </c>
      <c r="C568" s="462" t="s">
        <v>1688</v>
      </c>
      <c r="D568" s="463"/>
      <c r="E568" s="463"/>
      <c r="F568" s="463"/>
      <c r="G568" s="463"/>
      <c r="H568" s="446"/>
      <c r="I568" s="26" t="s">
        <v>502</v>
      </c>
      <c r="J568" s="440">
        <v>1719304</v>
      </c>
      <c r="K568" s="273"/>
      <c r="L568" s="438" t="e">
        <f t="shared" si="7"/>
        <v>#N/A</v>
      </c>
      <c r="M568" s="273"/>
      <c r="N568" s="438">
        <v>1444793.2773109244</v>
      </c>
      <c r="O568" s="273"/>
      <c r="P568" s="439">
        <f t="shared" si="6"/>
        <v>1719304</v>
      </c>
      <c r="Q568" s="273"/>
      <c r="R568">
        <f>presup!M$368</f>
        <v>0</v>
      </c>
    </row>
    <row r="569" spans="1:18" ht="13.5" customHeight="1" x14ac:dyDescent="0.25">
      <c r="A569" s="117" t="s">
        <v>2450</v>
      </c>
      <c r="B569" s="112">
        <v>45069</v>
      </c>
      <c r="C569" s="462" t="s">
        <v>1652</v>
      </c>
      <c r="D569" s="463"/>
      <c r="E569" s="463"/>
      <c r="F569" s="463"/>
      <c r="G569" s="463"/>
      <c r="H569" s="446"/>
      <c r="I569" s="26" t="s">
        <v>502</v>
      </c>
      <c r="J569" s="440">
        <v>72965</v>
      </c>
      <c r="K569" s="273"/>
      <c r="L569" s="438" t="e">
        <f t="shared" si="7"/>
        <v>#N/A</v>
      </c>
      <c r="M569" s="273"/>
      <c r="N569" s="438">
        <v>61315.126050420171</v>
      </c>
      <c r="O569" s="273"/>
      <c r="P569" s="439">
        <f t="shared" si="6"/>
        <v>72965</v>
      </c>
      <c r="Q569" s="273"/>
      <c r="R569">
        <f>presup!M$368</f>
        <v>0</v>
      </c>
    </row>
    <row r="570" spans="1:18" ht="13.5" customHeight="1" x14ac:dyDescent="0.25">
      <c r="A570" s="117" t="s">
        <v>2451</v>
      </c>
      <c r="B570" s="112">
        <v>45069</v>
      </c>
      <c r="C570" s="462" t="s">
        <v>1716</v>
      </c>
      <c r="D570" s="463"/>
      <c r="E570" s="463"/>
      <c r="F570" s="463"/>
      <c r="G570" s="463"/>
      <c r="H570" s="446"/>
      <c r="I570" s="26" t="s">
        <v>502</v>
      </c>
      <c r="J570" s="440">
        <v>89106</v>
      </c>
      <c r="K570" s="273"/>
      <c r="L570" s="438" t="e">
        <f t="shared" si="7"/>
        <v>#N/A</v>
      </c>
      <c r="M570" s="273"/>
      <c r="N570" s="438">
        <v>74878.991596638662</v>
      </c>
      <c r="O570" s="273"/>
      <c r="P570" s="439">
        <f t="shared" si="6"/>
        <v>89106</v>
      </c>
      <c r="Q570" s="273"/>
      <c r="R570">
        <f>presup!M$368</f>
        <v>0</v>
      </c>
    </row>
    <row r="571" spans="1:18" ht="13.5" customHeight="1" x14ac:dyDescent="0.25">
      <c r="A571" s="117" t="s">
        <v>2452</v>
      </c>
      <c r="B571" s="112">
        <v>45069</v>
      </c>
      <c r="C571" s="462" t="s">
        <v>1654</v>
      </c>
      <c r="D571" s="463"/>
      <c r="E571" s="463"/>
      <c r="F571" s="463"/>
      <c r="G571" s="463"/>
      <c r="H571" s="446"/>
      <c r="I571" s="26" t="s">
        <v>502</v>
      </c>
      <c r="J571" s="440">
        <v>49576</v>
      </c>
      <c r="K571" s="273"/>
      <c r="L571" s="438" t="e">
        <f t="shared" si="7"/>
        <v>#N/A</v>
      </c>
      <c r="M571" s="273"/>
      <c r="N571" s="438">
        <v>41660.504201680676</v>
      </c>
      <c r="O571" s="273"/>
      <c r="P571" s="439">
        <f t="shared" si="6"/>
        <v>49576</v>
      </c>
      <c r="Q571" s="273"/>
      <c r="R571">
        <f>presup!M$368</f>
        <v>0</v>
      </c>
    </row>
    <row r="572" spans="1:18" ht="13.5" customHeight="1" x14ac:dyDescent="0.25">
      <c r="A572" s="117" t="s">
        <v>2453</v>
      </c>
      <c r="B572" s="112">
        <v>45069</v>
      </c>
      <c r="C572" s="462" t="s">
        <v>1655</v>
      </c>
      <c r="D572" s="463"/>
      <c r="E572" s="463"/>
      <c r="F572" s="463"/>
      <c r="G572" s="463"/>
      <c r="H572" s="446"/>
      <c r="I572" s="26" t="s">
        <v>19</v>
      </c>
      <c r="J572" s="440">
        <v>4118</v>
      </c>
      <c r="K572" s="273"/>
      <c r="L572" s="438" t="e">
        <f t="shared" si="7"/>
        <v>#N/A</v>
      </c>
      <c r="M572" s="273"/>
      <c r="N572" s="438">
        <v>3460.5042016806724</v>
      </c>
      <c r="O572" s="273"/>
      <c r="P572" s="439">
        <f t="shared" si="6"/>
        <v>4118</v>
      </c>
      <c r="Q572" s="273"/>
      <c r="R572">
        <f>presup!M$368</f>
        <v>0</v>
      </c>
    </row>
    <row r="573" spans="1:18" ht="13.5" customHeight="1" x14ac:dyDescent="0.25">
      <c r="A573" s="117" t="s">
        <v>2454</v>
      </c>
      <c r="B573" s="112">
        <v>45069</v>
      </c>
      <c r="C573" s="462" t="s">
        <v>1656</v>
      </c>
      <c r="D573" s="463"/>
      <c r="E573" s="463"/>
      <c r="F573" s="463"/>
      <c r="G573" s="463"/>
      <c r="H573" s="446"/>
      <c r="I573" s="26" t="s">
        <v>502</v>
      </c>
      <c r="J573" s="440">
        <v>395294</v>
      </c>
      <c r="K573" s="273"/>
      <c r="L573" s="438" t="e">
        <f t="shared" si="7"/>
        <v>#N/A</v>
      </c>
      <c r="M573" s="273"/>
      <c r="N573" s="438">
        <v>332179.83193277312</v>
      </c>
      <c r="O573" s="273"/>
      <c r="P573" s="439">
        <f t="shared" si="6"/>
        <v>395294</v>
      </c>
      <c r="Q573" s="273"/>
      <c r="R573">
        <f>presup!M$368</f>
        <v>0</v>
      </c>
    </row>
    <row r="574" spans="1:18" ht="13.5" customHeight="1" x14ac:dyDescent="0.25">
      <c r="A574" s="117" t="s">
        <v>2455</v>
      </c>
      <c r="B574" s="112">
        <v>45069</v>
      </c>
      <c r="C574" s="365" t="s">
        <v>2456</v>
      </c>
      <c r="D574" s="271"/>
      <c r="E574" s="271"/>
      <c r="F574" s="271"/>
      <c r="G574" s="271"/>
      <c r="H574" s="273"/>
      <c r="I574" s="26" t="s">
        <v>502</v>
      </c>
      <c r="J574" s="440">
        <v>1201200</v>
      </c>
      <c r="K574" s="273"/>
      <c r="L574" s="438" t="e">
        <f t="shared" si="7"/>
        <v>#N/A</v>
      </c>
      <c r="M574" s="273"/>
      <c r="N574" s="438">
        <v>1009411.7647058824</v>
      </c>
      <c r="O574" s="273"/>
      <c r="P574" s="439">
        <f t="shared" si="6"/>
        <v>1201200</v>
      </c>
      <c r="Q574" s="273"/>
      <c r="R574">
        <f>presup!M$368</f>
        <v>0</v>
      </c>
    </row>
    <row r="575" spans="1:18" ht="13.5" customHeight="1" x14ac:dyDescent="0.25">
      <c r="A575" s="117" t="s">
        <v>2457</v>
      </c>
      <c r="B575" s="112">
        <v>45069</v>
      </c>
      <c r="C575" s="462" t="s">
        <v>1689</v>
      </c>
      <c r="D575" s="463"/>
      <c r="E575" s="463"/>
      <c r="F575" s="463"/>
      <c r="G575" s="463"/>
      <c r="H575" s="446"/>
      <c r="I575" s="26" t="s">
        <v>502</v>
      </c>
      <c r="J575" s="440">
        <v>1101940</v>
      </c>
      <c r="K575" s="273"/>
      <c r="L575" s="438" t="e">
        <f t="shared" si="7"/>
        <v>#N/A</v>
      </c>
      <c r="M575" s="273"/>
      <c r="N575" s="438">
        <v>926000</v>
      </c>
      <c r="O575" s="273"/>
      <c r="P575" s="439">
        <f t="shared" si="6"/>
        <v>1101940</v>
      </c>
      <c r="Q575" s="273"/>
      <c r="R575">
        <f>presup!M$368</f>
        <v>0</v>
      </c>
    </row>
    <row r="576" spans="1:18" ht="13.5" customHeight="1" x14ac:dyDescent="0.25">
      <c r="A576" s="117" t="s">
        <v>2458</v>
      </c>
      <c r="B576" s="112">
        <v>45069</v>
      </c>
      <c r="C576" s="462" t="s">
        <v>1690</v>
      </c>
      <c r="D576" s="463"/>
      <c r="E576" s="463"/>
      <c r="F576" s="463"/>
      <c r="G576" s="463"/>
      <c r="H576" s="446"/>
      <c r="I576" s="26" t="s">
        <v>502</v>
      </c>
      <c r="J576" s="440">
        <v>226576</v>
      </c>
      <c r="K576" s="273"/>
      <c r="L576" s="438" t="e">
        <f t="shared" si="7"/>
        <v>#N/A</v>
      </c>
      <c r="M576" s="273"/>
      <c r="N576" s="438">
        <v>190400</v>
      </c>
      <c r="O576" s="273"/>
      <c r="P576" s="439">
        <f t="shared" si="6"/>
        <v>226576</v>
      </c>
      <c r="Q576" s="273"/>
      <c r="R576">
        <f>presup!M$368</f>
        <v>0</v>
      </c>
    </row>
    <row r="577" spans="1:18" ht="13.5" customHeight="1" x14ac:dyDescent="0.25">
      <c r="A577" s="117" t="s">
        <v>2459</v>
      </c>
      <c r="B577" s="112">
        <v>45069</v>
      </c>
      <c r="C577" s="462" t="s">
        <v>1691</v>
      </c>
      <c r="D577" s="463"/>
      <c r="E577" s="463"/>
      <c r="F577" s="463"/>
      <c r="G577" s="463"/>
      <c r="H577" s="446"/>
      <c r="I577" s="26" t="s">
        <v>502</v>
      </c>
      <c r="J577" s="440">
        <v>570370</v>
      </c>
      <c r="K577" s="273"/>
      <c r="L577" s="438" t="e">
        <f t="shared" si="7"/>
        <v>#N/A</v>
      </c>
      <c r="M577" s="273"/>
      <c r="N577" s="438">
        <v>479302.52100840339</v>
      </c>
      <c r="O577" s="273"/>
      <c r="P577" s="439">
        <f t="shared" si="6"/>
        <v>570370</v>
      </c>
      <c r="Q577" s="273"/>
      <c r="R577">
        <f>presup!M$368</f>
        <v>0</v>
      </c>
    </row>
    <row r="578" spans="1:18" ht="13.5" customHeight="1" x14ac:dyDescent="0.25">
      <c r="A578" s="117" t="s">
        <v>2460</v>
      </c>
      <c r="B578" s="112">
        <v>45069</v>
      </c>
      <c r="C578" s="462" t="s">
        <v>1692</v>
      </c>
      <c r="D578" s="463"/>
      <c r="E578" s="463"/>
      <c r="F578" s="463"/>
      <c r="G578" s="463"/>
      <c r="H578" s="446"/>
      <c r="I578" s="26" t="s">
        <v>502</v>
      </c>
      <c r="J578" s="440">
        <v>57117</v>
      </c>
      <c r="K578" s="273"/>
      <c r="L578" s="438" t="e">
        <f t="shared" si="7"/>
        <v>#N/A</v>
      </c>
      <c r="M578" s="273"/>
      <c r="N578" s="438">
        <v>47997.478991596639</v>
      </c>
      <c r="O578" s="273"/>
      <c r="P578" s="439">
        <f t="shared" si="6"/>
        <v>57117</v>
      </c>
      <c r="Q578" s="273"/>
      <c r="R578">
        <f>presup!M$368</f>
        <v>0</v>
      </c>
    </row>
    <row r="579" spans="1:18" ht="13.5" customHeight="1" x14ac:dyDescent="0.25">
      <c r="A579" s="117" t="s">
        <v>2461</v>
      </c>
      <c r="B579" s="112">
        <v>45069</v>
      </c>
      <c r="C579" s="462" t="s">
        <v>1693</v>
      </c>
      <c r="D579" s="463"/>
      <c r="E579" s="463"/>
      <c r="F579" s="463"/>
      <c r="G579" s="463"/>
      <c r="H579" s="446"/>
      <c r="I579" s="26" t="s">
        <v>502</v>
      </c>
      <c r="J579" s="440">
        <v>47523</v>
      </c>
      <c r="K579" s="273"/>
      <c r="L579" s="438" t="e">
        <f t="shared" si="7"/>
        <v>#N/A</v>
      </c>
      <c r="M579" s="273"/>
      <c r="N579" s="438">
        <v>39935.294117647063</v>
      </c>
      <c r="O579" s="273"/>
      <c r="P579" s="439">
        <f t="shared" si="6"/>
        <v>47523</v>
      </c>
      <c r="Q579" s="273"/>
      <c r="R579">
        <f>presup!M$368</f>
        <v>0</v>
      </c>
    </row>
    <row r="580" spans="1:18" ht="13.5" customHeight="1" x14ac:dyDescent="0.25">
      <c r="A580" s="117" t="s">
        <v>2462</v>
      </c>
      <c r="B580" s="112">
        <v>45069</v>
      </c>
      <c r="C580" s="462" t="s">
        <v>1694</v>
      </c>
      <c r="D580" s="463"/>
      <c r="E580" s="463"/>
      <c r="F580" s="463"/>
      <c r="G580" s="463"/>
      <c r="H580" s="446"/>
      <c r="I580" s="26" t="s">
        <v>502</v>
      </c>
      <c r="J580" s="440">
        <v>128750</v>
      </c>
      <c r="K580" s="273"/>
      <c r="L580" s="438" t="e">
        <f t="shared" si="7"/>
        <v>#N/A</v>
      </c>
      <c r="M580" s="273"/>
      <c r="N580" s="438">
        <v>108193.27731092437</v>
      </c>
      <c r="O580" s="273"/>
      <c r="P580" s="439">
        <f t="shared" si="6"/>
        <v>128750</v>
      </c>
      <c r="Q580" s="273"/>
      <c r="R580">
        <f>presup!M$368</f>
        <v>0</v>
      </c>
    </row>
    <row r="581" spans="1:18" ht="13.5" customHeight="1" x14ac:dyDescent="0.25">
      <c r="A581" s="117" t="s">
        <v>2463</v>
      </c>
      <c r="B581" s="112">
        <v>45069</v>
      </c>
      <c r="C581" s="365" t="s">
        <v>1695</v>
      </c>
      <c r="D581" s="271"/>
      <c r="E581" s="271"/>
      <c r="F581" s="271"/>
      <c r="G581" s="271"/>
      <c r="H581" s="273"/>
      <c r="I581" s="26" t="s">
        <v>19</v>
      </c>
      <c r="J581" s="440">
        <v>52033</v>
      </c>
      <c r="K581" s="273"/>
      <c r="L581" s="438" t="e">
        <f t="shared" si="7"/>
        <v>#N/A</v>
      </c>
      <c r="M581" s="273"/>
      <c r="N581" s="438">
        <v>43725.210084033613</v>
      </c>
      <c r="O581" s="273"/>
      <c r="P581" s="439">
        <f t="shared" si="6"/>
        <v>52033</v>
      </c>
      <c r="Q581" s="273"/>
      <c r="R581">
        <f>presup!M$368</f>
        <v>0</v>
      </c>
    </row>
    <row r="582" spans="1:18" ht="13.5" customHeight="1" x14ac:dyDescent="0.25">
      <c r="A582" s="117" t="s">
        <v>2464</v>
      </c>
      <c r="B582" s="112">
        <v>45069</v>
      </c>
      <c r="C582" s="365" t="s">
        <v>1696</v>
      </c>
      <c r="D582" s="271"/>
      <c r="E582" s="271"/>
      <c r="F582" s="271"/>
      <c r="G582" s="271"/>
      <c r="H582" s="273"/>
      <c r="I582" s="26" t="s">
        <v>502</v>
      </c>
      <c r="J582" s="440">
        <v>23100</v>
      </c>
      <c r="K582" s="273"/>
      <c r="L582" s="438" t="e">
        <f t="shared" si="7"/>
        <v>#N/A</v>
      </c>
      <c r="M582" s="273"/>
      <c r="N582" s="438">
        <v>19411.764705882353</v>
      </c>
      <c r="O582" s="273"/>
      <c r="P582" s="439">
        <f t="shared" si="6"/>
        <v>23100</v>
      </c>
      <c r="Q582" s="273"/>
      <c r="R582">
        <f>presup!M$368</f>
        <v>0</v>
      </c>
    </row>
    <row r="583" spans="1:18" ht="13.5" customHeight="1" x14ac:dyDescent="0.25">
      <c r="A583" s="117" t="s">
        <v>2465</v>
      </c>
      <c r="B583" s="112">
        <v>45069</v>
      </c>
      <c r="C583" s="365" t="s">
        <v>1697</v>
      </c>
      <c r="D583" s="271"/>
      <c r="E583" s="271"/>
      <c r="F583" s="271"/>
      <c r="G583" s="271"/>
      <c r="H583" s="273"/>
      <c r="I583" s="26" t="s">
        <v>502</v>
      </c>
      <c r="J583" s="440">
        <v>9940</v>
      </c>
      <c r="K583" s="273"/>
      <c r="L583" s="438" t="e">
        <f t="shared" si="7"/>
        <v>#N/A</v>
      </c>
      <c r="M583" s="273"/>
      <c r="N583" s="438">
        <v>8352.9411764705892</v>
      </c>
      <c r="O583" s="273"/>
      <c r="P583" s="439">
        <f t="shared" si="6"/>
        <v>9940</v>
      </c>
      <c r="Q583" s="273"/>
      <c r="R583">
        <f>presup!M$368</f>
        <v>0</v>
      </c>
    </row>
    <row r="584" spans="1:18" ht="13.5" customHeight="1" x14ac:dyDescent="0.25">
      <c r="A584" s="117" t="s">
        <v>2466</v>
      </c>
      <c r="B584" s="112">
        <v>45069</v>
      </c>
      <c r="C584" s="365" t="s">
        <v>1698</v>
      </c>
      <c r="D584" s="271"/>
      <c r="E584" s="271"/>
      <c r="F584" s="271"/>
      <c r="G584" s="271"/>
      <c r="H584" s="273"/>
      <c r="I584" s="26" t="s">
        <v>19</v>
      </c>
      <c r="J584" s="440">
        <v>20067</v>
      </c>
      <c r="K584" s="273"/>
      <c r="L584" s="438" t="e">
        <f t="shared" si="7"/>
        <v>#N/A</v>
      </c>
      <c r="M584" s="273"/>
      <c r="N584" s="438">
        <v>16863.025210084033</v>
      </c>
      <c r="O584" s="273"/>
      <c r="P584" s="439">
        <f t="shared" si="6"/>
        <v>20067</v>
      </c>
      <c r="Q584" s="273"/>
      <c r="R584">
        <f>presup!M$368</f>
        <v>0</v>
      </c>
    </row>
    <row r="585" spans="1:18" ht="13.5" customHeight="1" x14ac:dyDescent="0.25">
      <c r="A585" s="117" t="s">
        <v>2467</v>
      </c>
      <c r="B585" s="112">
        <v>45069</v>
      </c>
      <c r="C585" s="365" t="s">
        <v>1699</v>
      </c>
      <c r="D585" s="271"/>
      <c r="E585" s="271"/>
      <c r="F585" s="271"/>
      <c r="G585" s="271"/>
      <c r="H585" s="273"/>
      <c r="I585" s="26" t="s">
        <v>502</v>
      </c>
      <c r="J585" s="440">
        <v>6650</v>
      </c>
      <c r="K585" s="273"/>
      <c r="L585" s="438" t="e">
        <f t="shared" si="7"/>
        <v>#N/A</v>
      </c>
      <c r="M585" s="273"/>
      <c r="N585" s="438">
        <v>5588.2352941176478</v>
      </c>
      <c r="O585" s="273"/>
      <c r="P585" s="439">
        <f t="shared" si="6"/>
        <v>6650</v>
      </c>
      <c r="Q585" s="273"/>
      <c r="R585">
        <f>presup!M$368</f>
        <v>0</v>
      </c>
    </row>
    <row r="586" spans="1:18" ht="13.5" customHeight="1" x14ac:dyDescent="0.25">
      <c r="A586" s="117" t="s">
        <v>2468</v>
      </c>
      <c r="B586" s="112">
        <v>45069</v>
      </c>
      <c r="C586" s="365" t="s">
        <v>1700</v>
      </c>
      <c r="D586" s="271"/>
      <c r="E586" s="271"/>
      <c r="F586" s="271"/>
      <c r="G586" s="271"/>
      <c r="H586" s="273"/>
      <c r="I586" s="26" t="s">
        <v>19</v>
      </c>
      <c r="J586" s="440">
        <v>114387</v>
      </c>
      <c r="K586" s="273"/>
      <c r="L586" s="438" t="e">
        <f t="shared" si="7"/>
        <v>#N/A</v>
      </c>
      <c r="M586" s="273"/>
      <c r="N586" s="438">
        <v>96123.529411764714</v>
      </c>
      <c r="O586" s="273"/>
      <c r="P586" s="439">
        <f t="shared" si="6"/>
        <v>114387</v>
      </c>
      <c r="Q586" s="273"/>
      <c r="R586">
        <f>presup!M$368</f>
        <v>0</v>
      </c>
    </row>
    <row r="587" spans="1:18" ht="13.5" customHeight="1" x14ac:dyDescent="0.25">
      <c r="A587" s="117" t="s">
        <v>2469</v>
      </c>
      <c r="B587" s="112">
        <v>45069</v>
      </c>
      <c r="C587" s="365" t="s">
        <v>1701</v>
      </c>
      <c r="D587" s="271"/>
      <c r="E587" s="271"/>
      <c r="F587" s="271"/>
      <c r="G587" s="271"/>
      <c r="H587" s="273"/>
      <c r="I587" s="26" t="s">
        <v>502</v>
      </c>
      <c r="J587" s="440">
        <v>2520</v>
      </c>
      <c r="K587" s="273"/>
      <c r="L587" s="438" t="e">
        <f t="shared" si="7"/>
        <v>#N/A</v>
      </c>
      <c r="M587" s="273"/>
      <c r="N587" s="438">
        <v>2117.6470588235297</v>
      </c>
      <c r="O587" s="273"/>
      <c r="P587" s="439">
        <f t="shared" si="6"/>
        <v>2520</v>
      </c>
      <c r="Q587" s="273"/>
      <c r="R587">
        <f>presup!M$368</f>
        <v>0</v>
      </c>
    </row>
    <row r="588" spans="1:18" ht="13.5" customHeight="1" x14ac:dyDescent="0.25">
      <c r="A588" s="117" t="s">
        <v>2470</v>
      </c>
      <c r="B588" s="112">
        <v>45069</v>
      </c>
      <c r="C588" s="365" t="s">
        <v>1683</v>
      </c>
      <c r="D588" s="271"/>
      <c r="E588" s="271"/>
      <c r="F588" s="271"/>
      <c r="G588" s="271"/>
      <c r="H588" s="273"/>
      <c r="I588" s="26" t="s">
        <v>502</v>
      </c>
      <c r="J588" s="440">
        <v>14070</v>
      </c>
      <c r="K588" s="273"/>
      <c r="L588" s="438" t="e">
        <f t="shared" si="7"/>
        <v>#N/A</v>
      </c>
      <c r="M588" s="273"/>
      <c r="N588" s="438">
        <v>11823.529411764706</v>
      </c>
      <c r="O588" s="273"/>
      <c r="P588" s="439">
        <f t="shared" si="6"/>
        <v>14070</v>
      </c>
      <c r="Q588" s="273"/>
      <c r="R588">
        <f>presup!M$368</f>
        <v>0</v>
      </c>
    </row>
    <row r="589" spans="1:18" ht="13.5" customHeight="1" x14ac:dyDescent="0.25">
      <c r="A589" s="117" t="s">
        <v>2471</v>
      </c>
      <c r="B589" s="112">
        <v>45069</v>
      </c>
      <c r="C589" s="365" t="s">
        <v>1702</v>
      </c>
      <c r="D589" s="271"/>
      <c r="E589" s="271"/>
      <c r="F589" s="271"/>
      <c r="G589" s="271"/>
      <c r="H589" s="273"/>
      <c r="I589" s="26" t="s">
        <v>502</v>
      </c>
      <c r="J589" s="440">
        <v>16270</v>
      </c>
      <c r="K589" s="273"/>
      <c r="L589" s="438" t="e">
        <f t="shared" si="7"/>
        <v>#N/A</v>
      </c>
      <c r="M589" s="273"/>
      <c r="N589" s="438">
        <v>13672.268907563026</v>
      </c>
      <c r="O589" s="273"/>
      <c r="P589" s="439">
        <f t="shared" si="6"/>
        <v>16270</v>
      </c>
      <c r="Q589" s="273"/>
      <c r="R589">
        <f>presup!M$368</f>
        <v>0</v>
      </c>
    </row>
    <row r="590" spans="1:18" ht="13.5" customHeight="1" x14ac:dyDescent="0.25">
      <c r="A590" s="117" t="s">
        <v>2472</v>
      </c>
      <c r="B590" s="112">
        <v>45069</v>
      </c>
      <c r="C590" s="462" t="s">
        <v>1703</v>
      </c>
      <c r="D590" s="463"/>
      <c r="E590" s="463"/>
      <c r="F590" s="463"/>
      <c r="G590" s="463"/>
      <c r="H590" s="446"/>
      <c r="I590" s="26" t="s">
        <v>502</v>
      </c>
      <c r="J590" s="440">
        <v>1157459</v>
      </c>
      <c r="K590" s="273"/>
      <c r="L590" s="438" t="e">
        <f t="shared" si="7"/>
        <v>#N/A</v>
      </c>
      <c r="M590" s="273"/>
      <c r="N590" s="438">
        <v>972654.62184873957</v>
      </c>
      <c r="O590" s="273"/>
      <c r="P590" s="439">
        <f t="shared" si="6"/>
        <v>1157459</v>
      </c>
      <c r="Q590" s="273"/>
      <c r="R590">
        <f>presup!M$368</f>
        <v>0</v>
      </c>
    </row>
    <row r="591" spans="1:18" ht="13.5" customHeight="1" x14ac:dyDescent="0.25">
      <c r="A591" s="117" t="s">
        <v>2473</v>
      </c>
      <c r="B591" s="112">
        <v>45069</v>
      </c>
      <c r="C591" s="462" t="s">
        <v>1704</v>
      </c>
      <c r="D591" s="463"/>
      <c r="E591" s="463"/>
      <c r="F591" s="463"/>
      <c r="G591" s="463"/>
      <c r="H591" s="446"/>
      <c r="I591" s="26" t="s">
        <v>502</v>
      </c>
      <c r="J591" s="440">
        <v>138212</v>
      </c>
      <c r="K591" s="273"/>
      <c r="L591" s="438" t="e">
        <f t="shared" si="7"/>
        <v>#N/A</v>
      </c>
      <c r="M591" s="273"/>
      <c r="N591" s="438">
        <v>116144.53781512605</v>
      </c>
      <c r="O591" s="273"/>
      <c r="P591" s="439">
        <f t="shared" si="6"/>
        <v>138212</v>
      </c>
      <c r="Q591" s="273"/>
      <c r="R591">
        <f>presup!M$368</f>
        <v>0</v>
      </c>
    </row>
    <row r="592" spans="1:18" ht="13.5" customHeight="1" x14ac:dyDescent="0.25">
      <c r="A592" s="117" t="s">
        <v>2474</v>
      </c>
      <c r="B592" s="112">
        <v>45069</v>
      </c>
      <c r="C592" s="462" t="s">
        <v>1705</v>
      </c>
      <c r="D592" s="463"/>
      <c r="E592" s="463"/>
      <c r="F592" s="463"/>
      <c r="G592" s="463"/>
      <c r="H592" s="446"/>
      <c r="I592" s="26" t="s">
        <v>502</v>
      </c>
      <c r="J592" s="440">
        <v>24912</v>
      </c>
      <c r="K592" s="273"/>
      <c r="L592" s="438" t="e">
        <f t="shared" si="7"/>
        <v>#N/A</v>
      </c>
      <c r="M592" s="273"/>
      <c r="N592" s="438">
        <v>20934.453781512606</v>
      </c>
      <c r="O592" s="273"/>
      <c r="P592" s="439">
        <f t="shared" si="6"/>
        <v>24912</v>
      </c>
      <c r="Q592" s="273"/>
      <c r="R592">
        <f>presup!M$368</f>
        <v>0</v>
      </c>
    </row>
    <row r="593" spans="1:18" ht="12.75" customHeight="1" x14ac:dyDescent="0.25">
      <c r="A593" s="117" t="s">
        <v>2475</v>
      </c>
      <c r="B593" s="112">
        <v>45069</v>
      </c>
      <c r="C593" s="462" t="s">
        <v>1706</v>
      </c>
      <c r="D593" s="463"/>
      <c r="E593" s="463"/>
      <c r="F593" s="463"/>
      <c r="G593" s="463"/>
      <c r="H593" s="446"/>
      <c r="I593" s="26" t="s">
        <v>502</v>
      </c>
      <c r="J593" s="440">
        <v>1309000</v>
      </c>
      <c r="K593" s="273"/>
      <c r="L593" s="438" t="e">
        <f t="shared" si="7"/>
        <v>#N/A</v>
      </c>
      <c r="M593" s="273"/>
      <c r="N593" s="438">
        <v>1100000</v>
      </c>
      <c r="O593" s="273"/>
      <c r="P593" s="439">
        <f t="shared" si="6"/>
        <v>1309000</v>
      </c>
      <c r="Q593" s="273"/>
      <c r="R593">
        <f>presup!M$368</f>
        <v>0</v>
      </c>
    </row>
    <row r="594" spans="1:18" ht="12.75" customHeight="1" x14ac:dyDescent="0.25">
      <c r="A594" s="117" t="s">
        <v>2476</v>
      </c>
      <c r="B594" s="112">
        <v>45069</v>
      </c>
      <c r="C594" s="462" t="s">
        <v>1707</v>
      </c>
      <c r="D594" s="463"/>
      <c r="E594" s="463"/>
      <c r="F594" s="463"/>
      <c r="G594" s="463"/>
      <c r="H594" s="446"/>
      <c r="I594" s="26" t="s">
        <v>502</v>
      </c>
      <c r="J594" s="440">
        <v>9660</v>
      </c>
      <c r="K594" s="273"/>
      <c r="L594" s="438" t="e">
        <f t="shared" si="7"/>
        <v>#N/A</v>
      </c>
      <c r="M594" s="273"/>
      <c r="N594" s="438">
        <v>8117.6470588235297</v>
      </c>
      <c r="O594" s="273"/>
      <c r="P594" s="439">
        <f t="shared" si="6"/>
        <v>9660</v>
      </c>
      <c r="Q594" s="273"/>
      <c r="R594">
        <f>presup!M$368</f>
        <v>0</v>
      </c>
    </row>
    <row r="595" spans="1:18" ht="12.75" customHeight="1" x14ac:dyDescent="0.25">
      <c r="A595" s="117" t="s">
        <v>2477</v>
      </c>
      <c r="B595" s="112">
        <v>45069</v>
      </c>
      <c r="C595" s="462" t="s">
        <v>1708</v>
      </c>
      <c r="D595" s="463"/>
      <c r="E595" s="463"/>
      <c r="F595" s="463"/>
      <c r="G595" s="463"/>
      <c r="H595" s="446"/>
      <c r="I595" s="26" t="s">
        <v>502</v>
      </c>
      <c r="J595" s="440">
        <v>780</v>
      </c>
      <c r="K595" s="273"/>
      <c r="L595" s="438" t="e">
        <f t="shared" si="7"/>
        <v>#N/A</v>
      </c>
      <c r="M595" s="273"/>
      <c r="N595" s="438">
        <v>655.46218487394958</v>
      </c>
      <c r="O595" s="273"/>
      <c r="P595" s="439">
        <f t="shared" si="6"/>
        <v>780</v>
      </c>
      <c r="Q595" s="273"/>
      <c r="R595">
        <f>presup!M$368</f>
        <v>0</v>
      </c>
    </row>
    <row r="596" spans="1:18" ht="12.75" customHeight="1" x14ac:dyDescent="0.25">
      <c r="A596" s="117" t="s">
        <v>2478</v>
      </c>
      <c r="B596" s="112">
        <v>45069</v>
      </c>
      <c r="C596" s="462" t="s">
        <v>1709</v>
      </c>
      <c r="D596" s="463"/>
      <c r="E596" s="463"/>
      <c r="F596" s="463"/>
      <c r="G596" s="463"/>
      <c r="H596" s="446"/>
      <c r="I596" s="26" t="s">
        <v>19</v>
      </c>
      <c r="J596" s="440">
        <v>4620</v>
      </c>
      <c r="K596" s="273"/>
      <c r="L596" s="438" t="e">
        <f t="shared" si="7"/>
        <v>#N/A</v>
      </c>
      <c r="M596" s="273"/>
      <c r="N596" s="438">
        <v>3882.3529411764707</v>
      </c>
      <c r="O596" s="273"/>
      <c r="P596" s="439">
        <f t="shared" si="6"/>
        <v>4620</v>
      </c>
      <c r="Q596" s="273"/>
      <c r="R596">
        <f>presup!M$368</f>
        <v>0</v>
      </c>
    </row>
    <row r="597" spans="1:18" ht="12.75" customHeight="1" x14ac:dyDescent="0.25">
      <c r="A597" s="117" t="s">
        <v>2479</v>
      </c>
      <c r="B597" s="112">
        <v>45069</v>
      </c>
      <c r="C597" s="462" t="s">
        <v>1710</v>
      </c>
      <c r="D597" s="463"/>
      <c r="E597" s="463"/>
      <c r="F597" s="463"/>
      <c r="G597" s="463"/>
      <c r="H597" s="446"/>
      <c r="I597" s="26" t="s">
        <v>502</v>
      </c>
      <c r="J597" s="440">
        <v>1120</v>
      </c>
      <c r="K597" s="273"/>
      <c r="L597" s="438" t="e">
        <f t="shared" si="7"/>
        <v>#N/A</v>
      </c>
      <c r="M597" s="273"/>
      <c r="N597" s="438">
        <v>941.17647058823536</v>
      </c>
      <c r="O597" s="273"/>
      <c r="P597" s="439">
        <f t="shared" si="6"/>
        <v>1120</v>
      </c>
      <c r="Q597" s="273"/>
      <c r="R597">
        <f>presup!M$368</f>
        <v>0</v>
      </c>
    </row>
    <row r="598" spans="1:18" ht="12.75" customHeight="1" x14ac:dyDescent="0.25">
      <c r="A598" s="117" t="s">
        <v>2480</v>
      </c>
      <c r="B598" s="112">
        <v>45069</v>
      </c>
      <c r="C598" s="462" t="s">
        <v>1711</v>
      </c>
      <c r="D598" s="463"/>
      <c r="E598" s="463"/>
      <c r="F598" s="463"/>
      <c r="G598" s="463"/>
      <c r="H598" s="446"/>
      <c r="I598" s="26" t="s">
        <v>19</v>
      </c>
      <c r="J598" s="440">
        <v>13333</v>
      </c>
      <c r="K598" s="273"/>
      <c r="L598" s="438" t="e">
        <f t="shared" si="7"/>
        <v>#N/A</v>
      </c>
      <c r="M598" s="273"/>
      <c r="N598" s="438">
        <v>11204.20168067227</v>
      </c>
      <c r="O598" s="273"/>
      <c r="P598" s="439">
        <f t="shared" si="6"/>
        <v>13333</v>
      </c>
      <c r="Q598" s="273"/>
      <c r="R598">
        <f>presup!M$368</f>
        <v>0</v>
      </c>
    </row>
    <row r="599" spans="1:18" ht="12.75" customHeight="1" x14ac:dyDescent="0.25">
      <c r="A599" s="117" t="s">
        <v>2481</v>
      </c>
      <c r="B599" s="112">
        <v>45069</v>
      </c>
      <c r="C599" s="462" t="s">
        <v>1712</v>
      </c>
      <c r="D599" s="463"/>
      <c r="E599" s="463"/>
      <c r="F599" s="463"/>
      <c r="G599" s="463"/>
      <c r="H599" s="446"/>
      <c r="I599" s="26" t="s">
        <v>19</v>
      </c>
      <c r="J599" s="440">
        <v>12600</v>
      </c>
      <c r="K599" s="273"/>
      <c r="L599" s="438" t="e">
        <f t="shared" si="7"/>
        <v>#N/A</v>
      </c>
      <c r="M599" s="273"/>
      <c r="N599" s="438">
        <v>10588.235294117647</v>
      </c>
      <c r="O599" s="273"/>
      <c r="P599" s="439">
        <f t="shared" si="6"/>
        <v>12600</v>
      </c>
      <c r="Q599" s="273"/>
      <c r="R599">
        <f>presup!M$368</f>
        <v>0</v>
      </c>
    </row>
    <row r="600" spans="1:18" ht="12.75" customHeight="1" x14ac:dyDescent="0.25">
      <c r="A600" s="117" t="s">
        <v>2482</v>
      </c>
      <c r="B600" s="112">
        <v>45069</v>
      </c>
      <c r="C600" s="462" t="s">
        <v>1713</v>
      </c>
      <c r="D600" s="463"/>
      <c r="E600" s="463"/>
      <c r="F600" s="463"/>
      <c r="G600" s="463"/>
      <c r="H600" s="446"/>
      <c r="I600" s="26" t="s">
        <v>502</v>
      </c>
      <c r="J600" s="440">
        <v>9240</v>
      </c>
      <c r="K600" s="273"/>
      <c r="L600" s="438" t="e">
        <f t="shared" si="7"/>
        <v>#N/A</v>
      </c>
      <c r="M600" s="273"/>
      <c r="N600" s="438">
        <v>7764.7058823529414</v>
      </c>
      <c r="O600" s="273"/>
      <c r="P600" s="439">
        <f t="shared" si="6"/>
        <v>9240</v>
      </c>
      <c r="Q600" s="273"/>
      <c r="R600">
        <f>presup!M$368</f>
        <v>0</v>
      </c>
    </row>
    <row r="601" spans="1:18" ht="12.75" customHeight="1" x14ac:dyDescent="0.25">
      <c r="A601" s="117" t="s">
        <v>2483</v>
      </c>
      <c r="B601" s="112">
        <v>45069</v>
      </c>
      <c r="C601" s="462" t="s">
        <v>1683</v>
      </c>
      <c r="D601" s="463"/>
      <c r="E601" s="463"/>
      <c r="F601" s="463"/>
      <c r="G601" s="463"/>
      <c r="H601" s="446"/>
      <c r="I601" s="26" t="s">
        <v>502</v>
      </c>
      <c r="J601" s="440">
        <v>8070</v>
      </c>
      <c r="K601" s="273"/>
      <c r="L601" s="438" t="e">
        <f t="shared" si="7"/>
        <v>#N/A</v>
      </c>
      <c r="M601" s="273"/>
      <c r="N601" s="438">
        <v>6781.5126050420167</v>
      </c>
      <c r="O601" s="273"/>
      <c r="P601" s="439">
        <f t="shared" si="6"/>
        <v>8070</v>
      </c>
      <c r="Q601" s="273"/>
      <c r="R601">
        <f>presup!M$368</f>
        <v>0</v>
      </c>
    </row>
    <row r="602" spans="1:18" ht="12.75" customHeight="1" x14ac:dyDescent="0.25">
      <c r="A602" s="117" t="s">
        <v>2484</v>
      </c>
      <c r="B602" s="112">
        <v>45069</v>
      </c>
      <c r="C602" s="365" t="s">
        <v>1714</v>
      </c>
      <c r="D602" s="271"/>
      <c r="E602" s="271"/>
      <c r="F602" s="271"/>
      <c r="G602" s="271"/>
      <c r="H602" s="273"/>
      <c r="I602" s="26" t="s">
        <v>502</v>
      </c>
      <c r="J602" s="440">
        <v>5076960</v>
      </c>
      <c r="K602" s="273"/>
      <c r="L602" s="438" t="e">
        <f t="shared" si="7"/>
        <v>#N/A</v>
      </c>
      <c r="M602" s="273"/>
      <c r="N602" s="438">
        <v>4266352.9411764704</v>
      </c>
      <c r="O602" s="273"/>
      <c r="P602" s="439">
        <f t="shared" si="6"/>
        <v>5076960</v>
      </c>
      <c r="Q602" s="273"/>
      <c r="R602">
        <f>presup!M$368</f>
        <v>0</v>
      </c>
    </row>
    <row r="603" spans="1:18" ht="12.75" customHeight="1" x14ac:dyDescent="0.25">
      <c r="A603" s="117" t="s">
        <v>2485</v>
      </c>
      <c r="B603" s="112">
        <v>45069</v>
      </c>
      <c r="C603" s="365" t="s">
        <v>1657</v>
      </c>
      <c r="D603" s="271"/>
      <c r="E603" s="271"/>
      <c r="F603" s="271"/>
      <c r="G603" s="271"/>
      <c r="H603" s="273"/>
      <c r="I603" s="26" t="s">
        <v>502</v>
      </c>
      <c r="J603" s="440">
        <v>1201200</v>
      </c>
      <c r="K603" s="273"/>
      <c r="L603" s="438" t="e">
        <f t="shared" si="7"/>
        <v>#N/A</v>
      </c>
      <c r="M603" s="273"/>
      <c r="N603" s="438">
        <v>1009411.7647058824</v>
      </c>
      <c r="O603" s="273"/>
      <c r="P603" s="439">
        <f t="shared" si="6"/>
        <v>1201200</v>
      </c>
      <c r="Q603" s="273"/>
      <c r="R603">
        <f>presup!M$368</f>
        <v>0</v>
      </c>
    </row>
    <row r="604" spans="1:18" ht="12.75" customHeight="1" x14ac:dyDescent="0.25">
      <c r="A604" s="117" t="s">
        <v>2486</v>
      </c>
      <c r="B604" s="112">
        <v>45069</v>
      </c>
      <c r="C604" s="365" t="s">
        <v>1715</v>
      </c>
      <c r="D604" s="271"/>
      <c r="E604" s="271"/>
      <c r="F604" s="271"/>
      <c r="G604" s="271"/>
      <c r="H604" s="273"/>
      <c r="I604" s="26" t="s">
        <v>502</v>
      </c>
      <c r="J604" s="440">
        <v>1719304</v>
      </c>
      <c r="K604" s="273"/>
      <c r="L604" s="438" t="e">
        <f t="shared" si="7"/>
        <v>#N/A</v>
      </c>
      <c r="M604" s="273"/>
      <c r="N604" s="438">
        <v>1444793.2773109244</v>
      </c>
      <c r="O604" s="273"/>
      <c r="P604" s="439">
        <f t="shared" si="6"/>
        <v>1719304</v>
      </c>
      <c r="Q604" s="273"/>
      <c r="R604">
        <f>presup!M$368</f>
        <v>0</v>
      </c>
    </row>
    <row r="605" spans="1:18" ht="12.75" customHeight="1" x14ac:dyDescent="0.25">
      <c r="A605" s="117" t="s">
        <v>2487</v>
      </c>
      <c r="B605" s="112">
        <v>45069</v>
      </c>
      <c r="C605" s="365" t="s">
        <v>1652</v>
      </c>
      <c r="D605" s="271"/>
      <c r="E605" s="271"/>
      <c r="F605" s="271"/>
      <c r="G605" s="271"/>
      <c r="H605" s="273"/>
      <c r="I605" s="26" t="s">
        <v>502</v>
      </c>
      <c r="J605" s="440">
        <v>72965</v>
      </c>
      <c r="K605" s="273"/>
      <c r="L605" s="438" t="e">
        <f t="shared" si="7"/>
        <v>#N/A</v>
      </c>
      <c r="M605" s="273"/>
      <c r="N605" s="438">
        <v>61315.126050420171</v>
      </c>
      <c r="O605" s="273"/>
      <c r="P605" s="439">
        <f t="shared" si="6"/>
        <v>72965</v>
      </c>
      <c r="Q605" s="273"/>
      <c r="R605">
        <f>presup!M$368</f>
        <v>0</v>
      </c>
    </row>
    <row r="606" spans="1:18" ht="12.75" customHeight="1" x14ac:dyDescent="0.25">
      <c r="A606" s="117" t="s">
        <v>2488</v>
      </c>
      <c r="B606" s="112">
        <v>45069</v>
      </c>
      <c r="C606" s="365" t="s">
        <v>1716</v>
      </c>
      <c r="D606" s="271"/>
      <c r="E606" s="271"/>
      <c r="F606" s="271"/>
      <c r="G606" s="271"/>
      <c r="H606" s="273"/>
      <c r="I606" s="26" t="s">
        <v>502</v>
      </c>
      <c r="J606" s="440">
        <v>89106</v>
      </c>
      <c r="K606" s="273"/>
      <c r="L606" s="438" t="e">
        <f t="shared" si="7"/>
        <v>#N/A</v>
      </c>
      <c r="M606" s="273"/>
      <c r="N606" s="438">
        <v>74878.991596638662</v>
      </c>
      <c r="O606" s="273"/>
      <c r="P606" s="439">
        <f t="shared" si="6"/>
        <v>89106</v>
      </c>
      <c r="Q606" s="273"/>
      <c r="R606">
        <f>presup!M$368</f>
        <v>0</v>
      </c>
    </row>
    <row r="607" spans="1:18" ht="12.75" customHeight="1" x14ac:dyDescent="0.25">
      <c r="A607" s="117" t="s">
        <v>2489</v>
      </c>
      <c r="B607" s="112">
        <v>45069</v>
      </c>
      <c r="C607" s="365" t="s">
        <v>1654</v>
      </c>
      <c r="D607" s="271"/>
      <c r="E607" s="271"/>
      <c r="F607" s="271"/>
      <c r="G607" s="271"/>
      <c r="H607" s="273"/>
      <c r="I607" s="26" t="s">
        <v>502</v>
      </c>
      <c r="J607" s="440">
        <v>49576</v>
      </c>
      <c r="K607" s="273"/>
      <c r="L607" s="438" t="e">
        <f t="shared" si="7"/>
        <v>#N/A</v>
      </c>
      <c r="M607" s="273"/>
      <c r="N607" s="438">
        <v>41660.504201680676</v>
      </c>
      <c r="O607" s="273"/>
      <c r="P607" s="439">
        <f t="shared" si="6"/>
        <v>49576</v>
      </c>
      <c r="Q607" s="273"/>
      <c r="R607">
        <f>presup!M$368</f>
        <v>0</v>
      </c>
    </row>
    <row r="608" spans="1:18" ht="12.75" customHeight="1" x14ac:dyDescent="0.25">
      <c r="A608" s="117" t="s">
        <v>2490</v>
      </c>
      <c r="B608" s="112">
        <v>45069</v>
      </c>
      <c r="C608" s="365" t="s">
        <v>1655</v>
      </c>
      <c r="D608" s="271"/>
      <c r="E608" s="271"/>
      <c r="F608" s="271"/>
      <c r="G608" s="271"/>
      <c r="H608" s="273"/>
      <c r="I608" s="26" t="s">
        <v>19</v>
      </c>
      <c r="J608" s="440">
        <v>4118</v>
      </c>
      <c r="K608" s="273"/>
      <c r="L608" s="438" t="e">
        <f t="shared" si="7"/>
        <v>#N/A</v>
      </c>
      <c r="M608" s="273"/>
      <c r="N608" s="438">
        <v>3460.5042016806724</v>
      </c>
      <c r="O608" s="273"/>
      <c r="P608" s="439">
        <f t="shared" si="6"/>
        <v>4118</v>
      </c>
      <c r="Q608" s="273"/>
      <c r="R608">
        <f>presup!M$368</f>
        <v>0</v>
      </c>
    </row>
    <row r="609" spans="1:18" ht="12.75" customHeight="1" x14ac:dyDescent="0.25">
      <c r="A609" s="117" t="s">
        <v>2491</v>
      </c>
      <c r="B609" s="112">
        <v>45069</v>
      </c>
      <c r="C609" s="365" t="s">
        <v>1656</v>
      </c>
      <c r="D609" s="271"/>
      <c r="E609" s="271"/>
      <c r="F609" s="271"/>
      <c r="G609" s="271"/>
      <c r="H609" s="273"/>
      <c r="I609" s="26" t="s">
        <v>502</v>
      </c>
      <c r="J609" s="440">
        <v>395294</v>
      </c>
      <c r="K609" s="273"/>
      <c r="L609" s="438" t="e">
        <f t="shared" si="7"/>
        <v>#N/A</v>
      </c>
      <c r="M609" s="273"/>
      <c r="N609" s="438">
        <v>332179.83193277312</v>
      </c>
      <c r="O609" s="273"/>
      <c r="P609" s="439">
        <f t="shared" si="6"/>
        <v>395294</v>
      </c>
      <c r="Q609" s="273"/>
      <c r="R609">
        <f>presup!M$368</f>
        <v>0</v>
      </c>
    </row>
    <row r="610" spans="1:18" ht="13.5" customHeight="1" x14ac:dyDescent="0.25">
      <c r="A610" s="117" t="s">
        <v>2492</v>
      </c>
      <c r="B610" s="112">
        <v>45069</v>
      </c>
      <c r="C610" s="462" t="s">
        <v>1717</v>
      </c>
      <c r="D610" s="463"/>
      <c r="E610" s="463"/>
      <c r="F610" s="463"/>
      <c r="G610" s="463"/>
      <c r="H610" s="446"/>
      <c r="I610" s="26" t="s">
        <v>502</v>
      </c>
      <c r="J610" s="440">
        <v>211400</v>
      </c>
      <c r="K610" s="273"/>
      <c r="L610" s="438" t="e">
        <f t="shared" si="7"/>
        <v>#N/A</v>
      </c>
      <c r="M610" s="273"/>
      <c r="N610" s="438">
        <v>177647.05882352943</v>
      </c>
      <c r="O610" s="273"/>
      <c r="P610" s="439">
        <f t="shared" si="6"/>
        <v>211400</v>
      </c>
      <c r="Q610" s="273"/>
      <c r="R610">
        <f>presup!M$368</f>
        <v>0</v>
      </c>
    </row>
    <row r="611" spans="1:18" ht="13.5" customHeight="1" x14ac:dyDescent="0.25">
      <c r="A611" s="117" t="s">
        <v>2493</v>
      </c>
      <c r="B611" s="112">
        <v>45069</v>
      </c>
      <c r="C611" s="462" t="s">
        <v>1590</v>
      </c>
      <c r="D611" s="463"/>
      <c r="E611" s="463"/>
      <c r="F611" s="463"/>
      <c r="G611" s="463"/>
      <c r="H611" s="446"/>
      <c r="I611" s="26" t="s">
        <v>502</v>
      </c>
      <c r="J611" s="440">
        <v>19600</v>
      </c>
      <c r="K611" s="273"/>
      <c r="L611" s="438" t="e">
        <f t="shared" si="7"/>
        <v>#N/A</v>
      </c>
      <c r="M611" s="273"/>
      <c r="N611" s="438">
        <v>16470.588235294119</v>
      </c>
      <c r="O611" s="273"/>
      <c r="P611" s="439">
        <f t="shared" si="6"/>
        <v>19600</v>
      </c>
      <c r="Q611" s="273"/>
      <c r="R611">
        <f>presup!M$368</f>
        <v>0</v>
      </c>
    </row>
    <row r="612" spans="1:18" ht="13.5" customHeight="1" x14ac:dyDescent="0.25">
      <c r="A612" s="117" t="s">
        <v>2494</v>
      </c>
      <c r="B612" s="112">
        <v>45069</v>
      </c>
      <c r="C612" s="462" t="s">
        <v>1591</v>
      </c>
      <c r="D612" s="463"/>
      <c r="E612" s="463"/>
      <c r="F612" s="463"/>
      <c r="G612" s="463"/>
      <c r="H612" s="446"/>
      <c r="I612" s="26" t="s">
        <v>502</v>
      </c>
      <c r="J612" s="440">
        <v>33600</v>
      </c>
      <c r="K612" s="273"/>
      <c r="L612" s="438" t="e">
        <f t="shared" si="7"/>
        <v>#N/A</v>
      </c>
      <c r="M612" s="273"/>
      <c r="N612" s="438">
        <v>28235.294117647059</v>
      </c>
      <c r="O612" s="273"/>
      <c r="P612" s="439">
        <f t="shared" si="6"/>
        <v>33600</v>
      </c>
      <c r="Q612" s="273"/>
      <c r="R612">
        <f>presup!M$368</f>
        <v>0</v>
      </c>
    </row>
    <row r="613" spans="1:18" ht="13.5" customHeight="1" x14ac:dyDescent="0.25">
      <c r="A613" s="117" t="s">
        <v>2495</v>
      </c>
      <c r="B613" s="112">
        <v>45069</v>
      </c>
      <c r="C613" s="462" t="s">
        <v>1693</v>
      </c>
      <c r="D613" s="463"/>
      <c r="E613" s="463"/>
      <c r="F613" s="463"/>
      <c r="G613" s="463"/>
      <c r="H613" s="446"/>
      <c r="I613" s="26" t="s">
        <v>502</v>
      </c>
      <c r="J613" s="440">
        <v>47523</v>
      </c>
      <c r="K613" s="273"/>
      <c r="L613" s="438" t="e">
        <f t="shared" si="7"/>
        <v>#N/A</v>
      </c>
      <c r="M613" s="273"/>
      <c r="N613" s="438">
        <v>39935.294117647063</v>
      </c>
      <c r="O613" s="273"/>
      <c r="P613" s="439">
        <f t="shared" si="6"/>
        <v>47523</v>
      </c>
      <c r="Q613" s="273"/>
      <c r="R613">
        <f>presup!M$368</f>
        <v>0</v>
      </c>
    </row>
    <row r="614" spans="1:18" ht="13.5" customHeight="1" x14ac:dyDescent="0.25">
      <c r="A614" s="117" t="s">
        <v>2496</v>
      </c>
      <c r="B614" s="112">
        <v>45069</v>
      </c>
      <c r="C614" s="462" t="s">
        <v>1593</v>
      </c>
      <c r="D614" s="463"/>
      <c r="E614" s="463"/>
      <c r="F614" s="463"/>
      <c r="G614" s="463"/>
      <c r="H614" s="446"/>
      <c r="I614" s="26" t="s">
        <v>502</v>
      </c>
      <c r="J614" s="440">
        <v>148750</v>
      </c>
      <c r="K614" s="273"/>
      <c r="L614" s="438" t="e">
        <f t="shared" si="7"/>
        <v>#N/A</v>
      </c>
      <c r="M614" s="273"/>
      <c r="N614" s="438">
        <v>125000</v>
      </c>
      <c r="O614" s="273"/>
      <c r="P614" s="439">
        <f t="shared" si="6"/>
        <v>148750</v>
      </c>
      <c r="Q614" s="273"/>
      <c r="R614">
        <f>presup!M$368</f>
        <v>0</v>
      </c>
    </row>
    <row r="615" spans="1:18" ht="13.5" customHeight="1" x14ac:dyDescent="0.25">
      <c r="A615" s="117" t="s">
        <v>2497</v>
      </c>
      <c r="B615" s="112">
        <v>45069</v>
      </c>
      <c r="C615" s="462" t="s">
        <v>1718</v>
      </c>
      <c r="D615" s="463"/>
      <c r="E615" s="463"/>
      <c r="F615" s="463"/>
      <c r="G615" s="463"/>
      <c r="H615" s="446"/>
      <c r="I615" s="26" t="s">
        <v>502</v>
      </c>
      <c r="J615" s="440">
        <v>1101940</v>
      </c>
      <c r="K615" s="273"/>
      <c r="L615" s="438" t="e">
        <f t="shared" si="7"/>
        <v>#N/A</v>
      </c>
      <c r="M615" s="273"/>
      <c r="N615" s="438">
        <v>926000</v>
      </c>
      <c r="O615" s="273"/>
      <c r="P615" s="439">
        <f t="shared" si="6"/>
        <v>1101940</v>
      </c>
      <c r="Q615" s="273"/>
      <c r="R615">
        <f>presup!M$368</f>
        <v>0</v>
      </c>
    </row>
    <row r="616" spans="1:18" ht="13.5" customHeight="1" x14ac:dyDescent="0.25">
      <c r="A616" s="117" t="s">
        <v>2498</v>
      </c>
      <c r="B616" s="112">
        <v>45069</v>
      </c>
      <c r="C616" s="462" t="s">
        <v>1719</v>
      </c>
      <c r="D616" s="463"/>
      <c r="E616" s="463"/>
      <c r="F616" s="463"/>
      <c r="G616" s="463"/>
      <c r="H616" s="446"/>
      <c r="I616" s="26" t="s">
        <v>502</v>
      </c>
      <c r="J616" s="440">
        <v>361438</v>
      </c>
      <c r="K616" s="273"/>
      <c r="L616" s="438" t="e">
        <f t="shared" si="7"/>
        <v>#N/A</v>
      </c>
      <c r="M616" s="273"/>
      <c r="N616" s="438">
        <v>303729.4117647059</v>
      </c>
      <c r="O616" s="273"/>
      <c r="P616" s="439">
        <f t="shared" si="6"/>
        <v>361438</v>
      </c>
      <c r="Q616" s="273"/>
      <c r="R616">
        <f>presup!M$368</f>
        <v>0</v>
      </c>
    </row>
    <row r="617" spans="1:18" ht="13.5" customHeight="1" x14ac:dyDescent="0.25">
      <c r="A617" s="117" t="s">
        <v>2499</v>
      </c>
      <c r="B617" s="112">
        <v>45069</v>
      </c>
      <c r="C617" s="462" t="s">
        <v>1720</v>
      </c>
      <c r="D617" s="463"/>
      <c r="E617" s="463"/>
      <c r="F617" s="463"/>
      <c r="G617" s="463"/>
      <c r="H617" s="446"/>
      <c r="I617" s="26" t="s">
        <v>502</v>
      </c>
      <c r="J617" s="440">
        <v>361438</v>
      </c>
      <c r="K617" s="273"/>
      <c r="L617" s="438" t="e">
        <f t="shared" si="7"/>
        <v>#N/A</v>
      </c>
      <c r="M617" s="273"/>
      <c r="N617" s="438">
        <v>303729.4117647059</v>
      </c>
      <c r="O617" s="273"/>
      <c r="P617" s="439">
        <f t="shared" si="6"/>
        <v>361438</v>
      </c>
      <c r="Q617" s="273"/>
      <c r="R617">
        <f>presup!M$368</f>
        <v>0</v>
      </c>
    </row>
    <row r="618" spans="1:18" ht="13.5" customHeight="1" x14ac:dyDescent="0.25">
      <c r="A618" s="117" t="s">
        <v>2500</v>
      </c>
      <c r="B618" s="112">
        <v>45069</v>
      </c>
      <c r="C618" s="462" t="s">
        <v>1692</v>
      </c>
      <c r="D618" s="463"/>
      <c r="E618" s="463"/>
      <c r="F618" s="463"/>
      <c r="G618" s="463"/>
      <c r="H618" s="446"/>
      <c r="I618" s="26" t="s">
        <v>502</v>
      </c>
      <c r="J618" s="440">
        <v>29900</v>
      </c>
      <c r="K618" s="273"/>
      <c r="L618" s="438" t="e">
        <f t="shared" si="7"/>
        <v>#N/A</v>
      </c>
      <c r="M618" s="273"/>
      <c r="N618" s="438">
        <v>25126.050420168067</v>
      </c>
      <c r="O618" s="273"/>
      <c r="P618" s="439">
        <f t="shared" si="6"/>
        <v>29900</v>
      </c>
      <c r="Q618" s="273"/>
      <c r="R618">
        <f>presup!M$368</f>
        <v>0</v>
      </c>
    </row>
    <row r="619" spans="1:18" ht="13.5" customHeight="1" x14ac:dyDescent="0.25">
      <c r="A619" s="117" t="s">
        <v>2501</v>
      </c>
      <c r="B619" s="112">
        <v>45069</v>
      </c>
      <c r="C619" s="462" t="s">
        <v>1693</v>
      </c>
      <c r="D619" s="463"/>
      <c r="E619" s="463"/>
      <c r="F619" s="463"/>
      <c r="G619" s="463"/>
      <c r="H619" s="446"/>
      <c r="I619" s="26" t="s">
        <v>502</v>
      </c>
      <c r="J619" s="440">
        <v>47523</v>
      </c>
      <c r="K619" s="273"/>
      <c r="L619" s="438" t="e">
        <f t="shared" si="7"/>
        <v>#N/A</v>
      </c>
      <c r="M619" s="273"/>
      <c r="N619" s="438">
        <v>39935.294117647063</v>
      </c>
      <c r="O619" s="273"/>
      <c r="P619" s="439">
        <f t="shared" si="6"/>
        <v>47523</v>
      </c>
      <c r="Q619" s="273"/>
      <c r="R619">
        <f>presup!M$368</f>
        <v>0</v>
      </c>
    </row>
    <row r="620" spans="1:18" ht="13.5" customHeight="1" x14ac:dyDescent="0.25">
      <c r="A620" s="117" t="s">
        <v>2502</v>
      </c>
      <c r="B620" s="112">
        <v>45069</v>
      </c>
      <c r="C620" s="462" t="s">
        <v>1593</v>
      </c>
      <c r="D620" s="463"/>
      <c r="E620" s="463"/>
      <c r="F620" s="463"/>
      <c r="G620" s="463"/>
      <c r="H620" s="446"/>
      <c r="I620" s="26" t="s">
        <v>502</v>
      </c>
      <c r="J620" s="440">
        <v>148750</v>
      </c>
      <c r="K620" s="273"/>
      <c r="L620" s="438" t="e">
        <f t="shared" si="7"/>
        <v>#N/A</v>
      </c>
      <c r="M620" s="273"/>
      <c r="N620" s="438">
        <v>125000</v>
      </c>
      <c r="O620" s="273"/>
      <c r="P620" s="439">
        <f t="shared" si="6"/>
        <v>148750</v>
      </c>
      <c r="Q620" s="273"/>
      <c r="R620">
        <f>presup!M$368</f>
        <v>0</v>
      </c>
    </row>
    <row r="621" spans="1:18" ht="13.5" customHeight="1" x14ac:dyDescent="0.25">
      <c r="A621" s="117" t="s">
        <v>2503</v>
      </c>
      <c r="B621" s="112">
        <v>45069</v>
      </c>
      <c r="C621" s="462" t="s">
        <v>1721</v>
      </c>
      <c r="D621" s="463"/>
      <c r="E621" s="463"/>
      <c r="F621" s="463"/>
      <c r="G621" s="463"/>
      <c r="H621" s="446"/>
      <c r="I621" s="26" t="s">
        <v>19</v>
      </c>
      <c r="J621" s="440">
        <v>60392</v>
      </c>
      <c r="K621" s="273"/>
      <c r="L621" s="438" t="e">
        <f t="shared" si="7"/>
        <v>#N/A</v>
      </c>
      <c r="M621" s="273"/>
      <c r="N621" s="438">
        <v>50749.579831932773</v>
      </c>
      <c r="O621" s="273"/>
      <c r="P621" s="439">
        <f t="shared" si="6"/>
        <v>60392</v>
      </c>
      <c r="Q621" s="273"/>
      <c r="R621">
        <f>presup!M$368</f>
        <v>0</v>
      </c>
    </row>
    <row r="622" spans="1:18" ht="13.5" customHeight="1" x14ac:dyDescent="0.25">
      <c r="A622" s="117" t="s">
        <v>2504</v>
      </c>
      <c r="B622" s="112">
        <v>45069</v>
      </c>
      <c r="C622" s="462" t="s">
        <v>1722</v>
      </c>
      <c r="D622" s="463"/>
      <c r="E622" s="463"/>
      <c r="F622" s="463"/>
      <c r="G622" s="463"/>
      <c r="H622" s="446"/>
      <c r="I622" s="26" t="s">
        <v>502</v>
      </c>
      <c r="J622" s="440">
        <v>17150</v>
      </c>
      <c r="K622" s="273"/>
      <c r="L622" s="438" t="e">
        <f t="shared" si="7"/>
        <v>#N/A</v>
      </c>
      <c r="M622" s="273"/>
      <c r="N622" s="438">
        <v>14411.764705882353</v>
      </c>
      <c r="O622" s="273"/>
      <c r="P622" s="439">
        <f t="shared" si="6"/>
        <v>17150</v>
      </c>
      <c r="Q622" s="273"/>
      <c r="R622">
        <f>presup!M$368</f>
        <v>0</v>
      </c>
    </row>
    <row r="623" spans="1:18" ht="13.5" customHeight="1" x14ac:dyDescent="0.25">
      <c r="A623" s="117" t="s">
        <v>2505</v>
      </c>
      <c r="B623" s="112">
        <v>45069</v>
      </c>
      <c r="C623" s="462" t="s">
        <v>1723</v>
      </c>
      <c r="D623" s="463"/>
      <c r="E623" s="463"/>
      <c r="F623" s="463"/>
      <c r="G623" s="463"/>
      <c r="H623" s="446"/>
      <c r="I623" s="26" t="s">
        <v>19</v>
      </c>
      <c r="J623" s="440">
        <v>45353</v>
      </c>
      <c r="K623" s="273"/>
      <c r="L623" s="438" t="e">
        <f t="shared" si="7"/>
        <v>#N/A</v>
      </c>
      <c r="M623" s="273"/>
      <c r="N623" s="438">
        <v>38111.764705882357</v>
      </c>
      <c r="O623" s="273"/>
      <c r="P623" s="439">
        <f t="shared" si="6"/>
        <v>45353</v>
      </c>
      <c r="Q623" s="273"/>
      <c r="R623">
        <f>presup!M$368</f>
        <v>0</v>
      </c>
    </row>
    <row r="624" spans="1:18" ht="13.5" customHeight="1" x14ac:dyDescent="0.25">
      <c r="A624" s="117" t="s">
        <v>2506</v>
      </c>
      <c r="B624" s="112">
        <v>45069</v>
      </c>
      <c r="C624" s="462" t="s">
        <v>1724</v>
      </c>
      <c r="D624" s="463"/>
      <c r="E624" s="463"/>
      <c r="F624" s="463"/>
      <c r="G624" s="463"/>
      <c r="H624" s="446"/>
      <c r="I624" s="26" t="s">
        <v>502</v>
      </c>
      <c r="J624" s="440">
        <v>3346</v>
      </c>
      <c r="K624" s="273"/>
      <c r="L624" s="438" t="e">
        <f t="shared" si="7"/>
        <v>#N/A</v>
      </c>
      <c r="M624" s="273"/>
      <c r="N624" s="438">
        <v>2811.7647058823532</v>
      </c>
      <c r="O624" s="273"/>
      <c r="P624" s="439">
        <f t="shared" si="6"/>
        <v>3346</v>
      </c>
      <c r="Q624" s="273"/>
      <c r="R624">
        <f>presup!M$368</f>
        <v>0</v>
      </c>
    </row>
    <row r="625" spans="1:18" ht="13.5" customHeight="1" x14ac:dyDescent="0.25">
      <c r="A625" s="117" t="s">
        <v>2507</v>
      </c>
      <c r="B625" s="112">
        <v>45069</v>
      </c>
      <c r="C625" s="462" t="s">
        <v>1587</v>
      </c>
      <c r="D625" s="463"/>
      <c r="E625" s="463"/>
      <c r="F625" s="463"/>
      <c r="G625" s="463"/>
      <c r="H625" s="446"/>
      <c r="I625" s="26" t="s">
        <v>502</v>
      </c>
      <c r="J625" s="440">
        <v>2450</v>
      </c>
      <c r="K625" s="273"/>
      <c r="L625" s="438" t="e">
        <f t="shared" si="7"/>
        <v>#N/A</v>
      </c>
      <c r="M625" s="273"/>
      <c r="N625" s="438">
        <v>2058.8235294117649</v>
      </c>
      <c r="O625" s="273"/>
      <c r="P625" s="439">
        <f t="shared" si="6"/>
        <v>2450</v>
      </c>
      <c r="Q625" s="273"/>
      <c r="R625">
        <f>presup!M$368</f>
        <v>0</v>
      </c>
    </row>
    <row r="626" spans="1:18" ht="13.5" customHeight="1" x14ac:dyDescent="0.25">
      <c r="A626" s="117" t="s">
        <v>2508</v>
      </c>
      <c r="B626" s="112">
        <v>45069</v>
      </c>
      <c r="C626" s="462" t="s">
        <v>1588</v>
      </c>
      <c r="D626" s="463"/>
      <c r="E626" s="463"/>
      <c r="F626" s="463"/>
      <c r="G626" s="463"/>
      <c r="H626" s="446"/>
      <c r="I626" s="26" t="s">
        <v>502</v>
      </c>
      <c r="J626" s="440">
        <v>560</v>
      </c>
      <c r="K626" s="273"/>
      <c r="L626" s="438" t="e">
        <f t="shared" si="7"/>
        <v>#N/A</v>
      </c>
      <c r="M626" s="273"/>
      <c r="N626" s="438">
        <v>470.58823529411768</v>
      </c>
      <c r="O626" s="273"/>
      <c r="P626" s="439">
        <f t="shared" si="6"/>
        <v>560</v>
      </c>
      <c r="Q626" s="273"/>
      <c r="R626">
        <f>presup!M$368</f>
        <v>0</v>
      </c>
    </row>
    <row r="627" spans="1:18" ht="13.5" customHeight="1" x14ac:dyDescent="0.25">
      <c r="A627" s="117" t="s">
        <v>2509</v>
      </c>
      <c r="B627" s="112">
        <v>45069</v>
      </c>
      <c r="C627" s="462" t="s">
        <v>1725</v>
      </c>
      <c r="D627" s="463"/>
      <c r="E627" s="463"/>
      <c r="F627" s="463"/>
      <c r="G627" s="463"/>
      <c r="H627" s="446"/>
      <c r="I627" s="26" t="s">
        <v>502</v>
      </c>
      <c r="J627" s="440">
        <v>4620</v>
      </c>
      <c r="K627" s="273"/>
      <c r="L627" s="438" t="e">
        <f t="shared" si="7"/>
        <v>#N/A</v>
      </c>
      <c r="M627" s="273"/>
      <c r="N627" s="438">
        <v>3882.3529411764707</v>
      </c>
      <c r="O627" s="273"/>
      <c r="P627" s="439">
        <f t="shared" si="6"/>
        <v>4620</v>
      </c>
      <c r="Q627" s="273"/>
      <c r="R627">
        <f>presup!M$368</f>
        <v>0</v>
      </c>
    </row>
    <row r="628" spans="1:18" ht="13.5" customHeight="1" x14ac:dyDescent="0.25">
      <c r="A628" s="117" t="s">
        <v>2510</v>
      </c>
      <c r="B628" s="112">
        <v>45069</v>
      </c>
      <c r="C628" s="462" t="s">
        <v>1726</v>
      </c>
      <c r="D628" s="463"/>
      <c r="E628" s="463"/>
      <c r="F628" s="463"/>
      <c r="G628" s="463"/>
      <c r="H628" s="446"/>
      <c r="I628" s="26" t="s">
        <v>502</v>
      </c>
      <c r="J628" s="440">
        <v>1101940</v>
      </c>
      <c r="K628" s="273"/>
      <c r="L628" s="438" t="e">
        <f t="shared" si="7"/>
        <v>#N/A</v>
      </c>
      <c r="M628" s="273"/>
      <c r="N628" s="438">
        <v>926000</v>
      </c>
      <c r="O628" s="273"/>
      <c r="P628" s="439">
        <f t="shared" si="6"/>
        <v>1101940</v>
      </c>
      <c r="Q628" s="273"/>
      <c r="R628">
        <f>presup!M$368</f>
        <v>0</v>
      </c>
    </row>
    <row r="629" spans="1:18" ht="13.5" customHeight="1" x14ac:dyDescent="0.25">
      <c r="A629" s="117" t="s">
        <v>2511</v>
      </c>
      <c r="B629" s="112">
        <v>45069</v>
      </c>
      <c r="C629" s="462" t="s">
        <v>1727</v>
      </c>
      <c r="D629" s="463"/>
      <c r="E629" s="463"/>
      <c r="F629" s="463"/>
      <c r="G629" s="463"/>
      <c r="H629" s="446"/>
      <c r="I629" s="26" t="s">
        <v>502</v>
      </c>
      <c r="J629" s="440">
        <v>486090</v>
      </c>
      <c r="K629" s="273"/>
      <c r="L629" s="438" t="e">
        <f t="shared" si="7"/>
        <v>#N/A</v>
      </c>
      <c r="M629" s="273"/>
      <c r="N629" s="438">
        <v>408478.99159663869</v>
      </c>
      <c r="O629" s="273"/>
      <c r="P629" s="439">
        <f t="shared" si="6"/>
        <v>486090</v>
      </c>
      <c r="Q629" s="273"/>
      <c r="R629">
        <f>presup!M$368</f>
        <v>0</v>
      </c>
    </row>
    <row r="630" spans="1:18" ht="13.5" customHeight="1" x14ac:dyDescent="0.25">
      <c r="A630" s="117" t="s">
        <v>2512</v>
      </c>
      <c r="B630" s="112">
        <v>45069</v>
      </c>
      <c r="C630" s="462" t="s">
        <v>1728</v>
      </c>
      <c r="D630" s="463"/>
      <c r="E630" s="463"/>
      <c r="F630" s="463"/>
      <c r="G630" s="463"/>
      <c r="H630" s="446"/>
      <c r="I630" s="26" t="s">
        <v>502</v>
      </c>
      <c r="J630" s="440">
        <v>295100</v>
      </c>
      <c r="K630" s="273"/>
      <c r="L630" s="438" t="e">
        <f t="shared" si="7"/>
        <v>#N/A</v>
      </c>
      <c r="M630" s="273"/>
      <c r="N630" s="438">
        <v>247983.19327731093</v>
      </c>
      <c r="O630" s="273"/>
      <c r="P630" s="439">
        <f t="shared" si="6"/>
        <v>295100</v>
      </c>
      <c r="Q630" s="273"/>
      <c r="R630">
        <f>presup!M$368</f>
        <v>0</v>
      </c>
    </row>
    <row r="631" spans="1:18" ht="13.5" customHeight="1" x14ac:dyDescent="0.25">
      <c r="A631" s="117" t="s">
        <v>2513</v>
      </c>
      <c r="B631" s="112">
        <v>45069</v>
      </c>
      <c r="C631" s="462" t="s">
        <v>1729</v>
      </c>
      <c r="D631" s="463"/>
      <c r="E631" s="463"/>
      <c r="F631" s="463"/>
      <c r="G631" s="463"/>
      <c r="H631" s="446"/>
      <c r="I631" s="26" t="s">
        <v>502</v>
      </c>
      <c r="J631" s="440">
        <v>49400</v>
      </c>
      <c r="K631" s="273"/>
      <c r="L631" s="438" t="e">
        <f t="shared" si="7"/>
        <v>#N/A</v>
      </c>
      <c r="M631" s="273"/>
      <c r="N631" s="438">
        <v>41512.60504201681</v>
      </c>
      <c r="O631" s="273"/>
      <c r="P631" s="439">
        <f t="shared" si="6"/>
        <v>49400</v>
      </c>
      <c r="Q631" s="273"/>
      <c r="R631">
        <f>presup!M$368</f>
        <v>0</v>
      </c>
    </row>
    <row r="632" spans="1:18" ht="13.5" customHeight="1" x14ac:dyDescent="0.25">
      <c r="A632" s="117" t="s">
        <v>2514</v>
      </c>
      <c r="B632" s="112">
        <v>45069</v>
      </c>
      <c r="C632" s="462" t="s">
        <v>1730</v>
      </c>
      <c r="D632" s="463"/>
      <c r="E632" s="463"/>
      <c r="F632" s="463"/>
      <c r="G632" s="463"/>
      <c r="H632" s="446"/>
      <c r="I632" s="26" t="s">
        <v>502</v>
      </c>
      <c r="J632" s="440">
        <v>47523</v>
      </c>
      <c r="K632" s="273"/>
      <c r="L632" s="438" t="e">
        <f t="shared" si="7"/>
        <v>#N/A</v>
      </c>
      <c r="M632" s="273"/>
      <c r="N632" s="438">
        <v>39935.294117647063</v>
      </c>
      <c r="O632" s="273"/>
      <c r="P632" s="439">
        <f t="shared" si="6"/>
        <v>47523</v>
      </c>
      <c r="Q632" s="273"/>
      <c r="R632">
        <f>presup!M$368</f>
        <v>0</v>
      </c>
    </row>
    <row r="633" spans="1:18" ht="13.5" customHeight="1" x14ac:dyDescent="0.25">
      <c r="A633" s="117" t="s">
        <v>2515</v>
      </c>
      <c r="B633" s="112">
        <v>45069</v>
      </c>
      <c r="C633" s="462" t="s">
        <v>1593</v>
      </c>
      <c r="D633" s="463"/>
      <c r="E633" s="463"/>
      <c r="F633" s="463"/>
      <c r="G633" s="463"/>
      <c r="H633" s="446"/>
      <c r="I633" s="26" t="s">
        <v>502</v>
      </c>
      <c r="J633" s="440">
        <v>148750</v>
      </c>
      <c r="K633" s="273"/>
      <c r="L633" s="438" t="e">
        <f t="shared" si="7"/>
        <v>#N/A</v>
      </c>
      <c r="M633" s="273"/>
      <c r="N633" s="438">
        <v>125000</v>
      </c>
      <c r="O633" s="273"/>
      <c r="P633" s="439">
        <f t="shared" si="6"/>
        <v>148750</v>
      </c>
      <c r="Q633" s="273"/>
      <c r="R633">
        <f>presup!M$368</f>
        <v>0</v>
      </c>
    </row>
    <row r="634" spans="1:18" ht="13.5" customHeight="1" x14ac:dyDescent="0.25">
      <c r="A634" s="117" t="s">
        <v>2516</v>
      </c>
      <c r="B634" s="112">
        <v>45069</v>
      </c>
      <c r="C634" s="462" t="s">
        <v>1731</v>
      </c>
      <c r="D634" s="463"/>
      <c r="E634" s="463"/>
      <c r="F634" s="463"/>
      <c r="G634" s="463"/>
      <c r="H634" s="446"/>
      <c r="I634" s="26" t="s">
        <v>502</v>
      </c>
      <c r="J634" s="440">
        <v>1084720</v>
      </c>
      <c r="K634" s="273"/>
      <c r="L634" s="438" t="e">
        <f t="shared" si="7"/>
        <v>#N/A</v>
      </c>
      <c r="M634" s="273"/>
      <c r="N634" s="438">
        <v>911529.4117647059</v>
      </c>
      <c r="O634" s="273"/>
      <c r="P634" s="439">
        <f t="shared" si="6"/>
        <v>1084720</v>
      </c>
      <c r="Q634" s="273"/>
      <c r="R634">
        <f>presup!M$368</f>
        <v>0</v>
      </c>
    </row>
    <row r="635" spans="1:18" ht="13.5" customHeight="1" x14ac:dyDescent="0.25">
      <c r="A635" s="117" t="s">
        <v>2517</v>
      </c>
      <c r="B635" s="112">
        <v>45070</v>
      </c>
      <c r="C635" s="365" t="s">
        <v>1732</v>
      </c>
      <c r="D635" s="271"/>
      <c r="E635" s="271"/>
      <c r="F635" s="271"/>
      <c r="G635" s="271"/>
      <c r="H635" s="273"/>
      <c r="I635" s="26" t="s">
        <v>502</v>
      </c>
      <c r="J635" s="440">
        <v>1101940</v>
      </c>
      <c r="K635" s="273"/>
      <c r="L635" s="438" t="e">
        <f t="shared" si="7"/>
        <v>#N/A</v>
      </c>
      <c r="M635" s="273"/>
      <c r="N635" s="438">
        <v>926000</v>
      </c>
      <c r="O635" s="273"/>
      <c r="P635" s="439">
        <f t="shared" si="6"/>
        <v>1101940</v>
      </c>
      <c r="Q635" s="273"/>
      <c r="R635">
        <f>presup!M$368</f>
        <v>0</v>
      </c>
    </row>
    <row r="636" spans="1:18" ht="13.5" customHeight="1" x14ac:dyDescent="0.25">
      <c r="A636" s="117" t="s">
        <v>2518</v>
      </c>
      <c r="B636" s="112">
        <v>45070</v>
      </c>
      <c r="C636" s="365" t="s">
        <v>1733</v>
      </c>
      <c r="D636" s="271"/>
      <c r="E636" s="271"/>
      <c r="F636" s="271"/>
      <c r="G636" s="271"/>
      <c r="H636" s="273"/>
      <c r="I636" s="26" t="s">
        <v>502</v>
      </c>
      <c r="J636" s="440">
        <v>154000</v>
      </c>
      <c r="K636" s="273"/>
      <c r="L636" s="438" t="e">
        <f t="shared" si="7"/>
        <v>#N/A</v>
      </c>
      <c r="M636" s="273"/>
      <c r="N636" s="438">
        <v>129411.76470588236</v>
      </c>
      <c r="O636" s="273"/>
      <c r="P636" s="439">
        <f t="shared" si="6"/>
        <v>154000</v>
      </c>
      <c r="Q636" s="273"/>
      <c r="R636">
        <f>presup!M$368</f>
        <v>0</v>
      </c>
    </row>
    <row r="637" spans="1:18" ht="13.5" customHeight="1" x14ac:dyDescent="0.25">
      <c r="A637" s="117" t="s">
        <v>2519</v>
      </c>
      <c r="B637" s="112">
        <v>45070</v>
      </c>
      <c r="C637" s="365" t="s">
        <v>1734</v>
      </c>
      <c r="D637" s="271"/>
      <c r="E637" s="271"/>
      <c r="F637" s="271"/>
      <c r="G637" s="271"/>
      <c r="H637" s="273"/>
      <c r="I637" s="26" t="s">
        <v>502</v>
      </c>
      <c r="J637" s="440">
        <v>112312</v>
      </c>
      <c r="K637" s="273"/>
      <c r="L637" s="438" t="e">
        <f t="shared" si="7"/>
        <v>#N/A</v>
      </c>
      <c r="M637" s="273"/>
      <c r="N637" s="438">
        <v>94379.831932773115</v>
      </c>
      <c r="O637" s="273"/>
      <c r="P637" s="439">
        <f t="shared" si="6"/>
        <v>112312</v>
      </c>
      <c r="Q637" s="273"/>
      <c r="R637">
        <f>presup!M$368</f>
        <v>0</v>
      </c>
    </row>
    <row r="638" spans="1:18" ht="13.5" customHeight="1" x14ac:dyDescent="0.25">
      <c r="A638" s="117" t="s">
        <v>2520</v>
      </c>
      <c r="B638" s="112">
        <v>45070</v>
      </c>
      <c r="C638" s="365" t="s">
        <v>1735</v>
      </c>
      <c r="D638" s="271"/>
      <c r="E638" s="271"/>
      <c r="F638" s="271"/>
      <c r="G638" s="271"/>
      <c r="H638" s="273"/>
      <c r="I638" s="26" t="s">
        <v>502</v>
      </c>
      <c r="J638" s="440">
        <v>57117</v>
      </c>
      <c r="K638" s="273"/>
      <c r="L638" s="438" t="e">
        <f t="shared" si="7"/>
        <v>#N/A</v>
      </c>
      <c r="M638" s="273"/>
      <c r="N638" s="438">
        <v>47997.478991596639</v>
      </c>
      <c r="O638" s="273"/>
      <c r="P638" s="439">
        <f t="shared" si="6"/>
        <v>57117</v>
      </c>
      <c r="Q638" s="273"/>
      <c r="R638">
        <f>presup!M$368</f>
        <v>0</v>
      </c>
    </row>
    <row r="639" spans="1:18" ht="13.5" customHeight="1" x14ac:dyDescent="0.25">
      <c r="A639" s="117" t="s">
        <v>2521</v>
      </c>
      <c r="B639" s="112">
        <v>45070</v>
      </c>
      <c r="C639" s="365" t="s">
        <v>1730</v>
      </c>
      <c r="D639" s="271"/>
      <c r="E639" s="271"/>
      <c r="F639" s="271"/>
      <c r="G639" s="271"/>
      <c r="H639" s="273"/>
      <c r="I639" s="26" t="s">
        <v>502</v>
      </c>
      <c r="J639" s="440">
        <v>47523</v>
      </c>
      <c r="K639" s="273"/>
      <c r="L639" s="438" t="e">
        <f t="shared" si="7"/>
        <v>#N/A</v>
      </c>
      <c r="M639" s="273"/>
      <c r="N639" s="438">
        <v>39935.294117647063</v>
      </c>
      <c r="O639" s="273"/>
      <c r="P639" s="439">
        <f t="shared" si="6"/>
        <v>47523</v>
      </c>
      <c r="Q639" s="273"/>
      <c r="R639">
        <f>presup!M$368</f>
        <v>0</v>
      </c>
    </row>
    <row r="640" spans="1:18" ht="13.5" customHeight="1" x14ac:dyDescent="0.25">
      <c r="A640" s="117" t="s">
        <v>2522</v>
      </c>
      <c r="B640" s="112">
        <v>45070</v>
      </c>
      <c r="C640" s="365" t="s">
        <v>1593</v>
      </c>
      <c r="D640" s="271"/>
      <c r="E640" s="271"/>
      <c r="F640" s="271"/>
      <c r="G640" s="271"/>
      <c r="H640" s="273"/>
      <c r="I640" s="26" t="s">
        <v>502</v>
      </c>
      <c r="J640" s="440">
        <v>148750</v>
      </c>
      <c r="K640" s="273"/>
      <c r="L640" s="438" t="e">
        <f t="shared" si="7"/>
        <v>#N/A</v>
      </c>
      <c r="M640" s="273"/>
      <c r="N640" s="438">
        <v>125000</v>
      </c>
      <c r="O640" s="273"/>
      <c r="P640" s="439">
        <f t="shared" si="6"/>
        <v>148750</v>
      </c>
      <c r="Q640" s="273"/>
      <c r="R640">
        <f>presup!M$368</f>
        <v>0</v>
      </c>
    </row>
    <row r="641" spans="1:18" ht="13.5" customHeight="1" x14ac:dyDescent="0.25">
      <c r="A641" s="117" t="s">
        <v>2523</v>
      </c>
      <c r="B641" s="112">
        <v>45070</v>
      </c>
      <c r="C641" s="365" t="s">
        <v>1736</v>
      </c>
      <c r="D641" s="271"/>
      <c r="E641" s="271"/>
      <c r="F641" s="271"/>
      <c r="G641" s="271"/>
      <c r="H641" s="273"/>
      <c r="I641" s="26" t="s">
        <v>502</v>
      </c>
      <c r="J641" s="440">
        <v>211344</v>
      </c>
      <c r="K641" s="273"/>
      <c r="L641" s="438" t="e">
        <f t="shared" si="7"/>
        <v>#N/A</v>
      </c>
      <c r="M641" s="273"/>
      <c r="N641" s="438">
        <v>177600</v>
      </c>
      <c r="O641" s="273"/>
      <c r="P641" s="439">
        <f t="shared" si="6"/>
        <v>211344</v>
      </c>
      <c r="Q641" s="273"/>
      <c r="R641">
        <f>presup!M$368</f>
        <v>0</v>
      </c>
    </row>
    <row r="642" spans="1:18" ht="13.5" customHeight="1" x14ac:dyDescent="0.25">
      <c r="A642" s="117" t="s">
        <v>2524</v>
      </c>
      <c r="B642" s="112">
        <v>45070</v>
      </c>
      <c r="C642" s="365" t="s">
        <v>1737</v>
      </c>
      <c r="D642" s="271"/>
      <c r="E642" s="271"/>
      <c r="F642" s="271"/>
      <c r="G642" s="271"/>
      <c r="H642" s="273"/>
      <c r="I642" s="26" t="s">
        <v>502</v>
      </c>
      <c r="J642" s="440">
        <v>140400</v>
      </c>
      <c r="K642" s="273"/>
      <c r="L642" s="438" t="e">
        <f t="shared" si="7"/>
        <v>#N/A</v>
      </c>
      <c r="M642" s="273"/>
      <c r="N642" s="438">
        <v>117983.19327731093</v>
      </c>
      <c r="O642" s="273"/>
      <c r="P642" s="439">
        <f t="shared" si="6"/>
        <v>140400</v>
      </c>
      <c r="Q642" s="273"/>
      <c r="R642">
        <f>presup!M$368</f>
        <v>0</v>
      </c>
    </row>
    <row r="643" spans="1:18" ht="13.5" customHeight="1" x14ac:dyDescent="0.25">
      <c r="A643" s="117" t="s">
        <v>2525</v>
      </c>
      <c r="B643" s="112">
        <v>45070</v>
      </c>
      <c r="C643" s="365" t="s">
        <v>1735</v>
      </c>
      <c r="D643" s="271"/>
      <c r="E643" s="271"/>
      <c r="F643" s="271"/>
      <c r="G643" s="271"/>
      <c r="H643" s="273"/>
      <c r="I643" s="26" t="s">
        <v>502</v>
      </c>
      <c r="J643" s="440">
        <v>21190</v>
      </c>
      <c r="K643" s="273"/>
      <c r="L643" s="438" t="e">
        <f t="shared" si="7"/>
        <v>#N/A</v>
      </c>
      <c r="M643" s="273"/>
      <c r="N643" s="438">
        <v>17806.722689075632</v>
      </c>
      <c r="O643" s="273"/>
      <c r="P643" s="439">
        <f t="shared" si="6"/>
        <v>21190</v>
      </c>
      <c r="Q643" s="273"/>
      <c r="R643">
        <f>presup!M$368</f>
        <v>0</v>
      </c>
    </row>
    <row r="644" spans="1:18" ht="13.5" customHeight="1" x14ac:dyDescent="0.25">
      <c r="A644" s="117" t="s">
        <v>2526</v>
      </c>
      <c r="B644" s="112">
        <v>45070</v>
      </c>
      <c r="C644" s="365" t="s">
        <v>1730</v>
      </c>
      <c r="D644" s="271"/>
      <c r="E644" s="271"/>
      <c r="F644" s="271"/>
      <c r="G644" s="271"/>
      <c r="H644" s="273"/>
      <c r="I644" s="26" t="s">
        <v>502</v>
      </c>
      <c r="J644" s="440">
        <v>47523</v>
      </c>
      <c r="K644" s="273"/>
      <c r="L644" s="438" t="e">
        <f t="shared" si="7"/>
        <v>#N/A</v>
      </c>
      <c r="M644" s="273"/>
      <c r="N644" s="438">
        <v>39935.294117647063</v>
      </c>
      <c r="O644" s="273"/>
      <c r="P644" s="439">
        <f t="shared" si="6"/>
        <v>47523</v>
      </c>
      <c r="Q644" s="273"/>
      <c r="R644">
        <f>presup!M$368</f>
        <v>0</v>
      </c>
    </row>
    <row r="645" spans="1:18" ht="13.5" customHeight="1" x14ac:dyDescent="0.25">
      <c r="A645" s="117" t="s">
        <v>2527</v>
      </c>
      <c r="B645" s="112">
        <v>45070</v>
      </c>
      <c r="C645" s="365" t="s">
        <v>1593</v>
      </c>
      <c r="D645" s="271"/>
      <c r="E645" s="271"/>
      <c r="F645" s="271"/>
      <c r="G645" s="271"/>
      <c r="H645" s="273"/>
      <c r="I645" s="26" t="s">
        <v>502</v>
      </c>
      <c r="J645" s="440">
        <v>148750</v>
      </c>
      <c r="K645" s="273"/>
      <c r="L645" s="438" t="e">
        <f t="shared" si="7"/>
        <v>#N/A</v>
      </c>
      <c r="M645" s="273"/>
      <c r="N645" s="438">
        <v>125000</v>
      </c>
      <c r="O645" s="273"/>
      <c r="P645" s="439">
        <f t="shared" si="6"/>
        <v>148750</v>
      </c>
      <c r="Q645" s="273"/>
      <c r="R645">
        <f>presup!M$368</f>
        <v>0</v>
      </c>
    </row>
    <row r="646" spans="1:18" ht="13.5" customHeight="1" x14ac:dyDescent="0.25">
      <c r="A646" s="108" t="s">
        <v>2528</v>
      </c>
      <c r="B646" s="112">
        <v>45070</v>
      </c>
      <c r="C646" s="365" t="s">
        <v>1523</v>
      </c>
      <c r="D646" s="271"/>
      <c r="E646" s="271"/>
      <c r="F646" s="271"/>
      <c r="G646" s="271"/>
      <c r="H646" s="273"/>
      <c r="I646" s="26" t="s">
        <v>1815</v>
      </c>
      <c r="J646" s="440">
        <v>30500</v>
      </c>
      <c r="K646" s="273"/>
      <c r="L646" s="438" t="e">
        <f t="shared" si="7"/>
        <v>#N/A</v>
      </c>
      <c r="M646" s="273"/>
      <c r="N646" s="438">
        <v>25630.252100840338</v>
      </c>
      <c r="O646" s="273"/>
      <c r="P646" s="439">
        <f t="shared" si="6"/>
        <v>30500</v>
      </c>
      <c r="Q646" s="273"/>
      <c r="R646">
        <f>presup!M$368</f>
        <v>0</v>
      </c>
    </row>
    <row r="647" spans="1:18" ht="13.5" customHeight="1" x14ac:dyDescent="0.25">
      <c r="A647" s="248" t="s">
        <v>2529</v>
      </c>
      <c r="B647" s="249">
        <v>45073</v>
      </c>
      <c r="C647" s="470" t="s">
        <v>1739</v>
      </c>
      <c r="D647" s="471"/>
      <c r="E647" s="471"/>
      <c r="F647" s="471"/>
      <c r="G647" s="471"/>
      <c r="H647" s="472"/>
      <c r="I647" s="250" t="s">
        <v>502</v>
      </c>
      <c r="J647" s="450">
        <v>3965080</v>
      </c>
      <c r="K647" s="301"/>
      <c r="L647" s="448" t="e">
        <f t="shared" si="7"/>
        <v>#N/A</v>
      </c>
      <c r="M647" s="301"/>
      <c r="N647" s="448">
        <v>3332000</v>
      </c>
      <c r="O647" s="301"/>
      <c r="P647" s="449">
        <f t="shared" si="6"/>
        <v>3965080</v>
      </c>
      <c r="Q647" s="301"/>
      <c r="R647">
        <f>presup!M$368</f>
        <v>0</v>
      </c>
    </row>
    <row r="648" spans="1:18" ht="15.75" customHeight="1" x14ac:dyDescent="0.25">
      <c r="A648" s="251"/>
      <c r="B648" s="251"/>
      <c r="C648" s="473" t="s">
        <v>3237</v>
      </c>
      <c r="D648" s="474"/>
      <c r="E648" s="474"/>
      <c r="F648" s="474"/>
      <c r="G648" s="474"/>
      <c r="H648" s="474"/>
      <c r="I648" s="252" t="s">
        <v>502</v>
      </c>
      <c r="J648" s="475">
        <v>2400</v>
      </c>
      <c r="K648" s="475"/>
      <c r="L648" s="251"/>
      <c r="M648" s="251"/>
      <c r="N648" s="251"/>
      <c r="O648" s="251"/>
      <c r="P648" s="251"/>
      <c r="Q648" s="251"/>
      <c r="R648">
        <f>presup!M$368</f>
        <v>0</v>
      </c>
    </row>
    <row r="649" spans="1:18" ht="15.75" customHeight="1" x14ac:dyDescent="0.2">
      <c r="A649" s="1"/>
      <c r="B649" s="1"/>
      <c r="C649" s="1"/>
      <c r="D649" s="1"/>
      <c r="E649" s="1"/>
      <c r="F649" s="1"/>
      <c r="G649" s="1"/>
      <c r="H649" s="1"/>
      <c r="I649" s="1"/>
      <c r="J649" s="1"/>
      <c r="K649" s="1"/>
      <c r="L649" s="1"/>
      <c r="M649" s="1"/>
      <c r="N649" s="1"/>
      <c r="O649" s="1"/>
      <c r="P649" s="1"/>
      <c r="Q649" s="1"/>
      <c r="R649">
        <f>presup!M$368</f>
        <v>0</v>
      </c>
    </row>
    <row r="650" spans="1:18" ht="15.75" customHeight="1" x14ac:dyDescent="0.2">
      <c r="A650" s="1"/>
      <c r="B650" s="1"/>
      <c r="C650" s="1"/>
      <c r="D650" s="1"/>
      <c r="E650" s="1"/>
      <c r="F650" s="1"/>
      <c r="G650" s="1"/>
      <c r="H650" s="1"/>
      <c r="I650" s="1"/>
      <c r="J650" s="1"/>
      <c r="K650" s="1"/>
      <c r="L650" s="1"/>
      <c r="M650" s="1"/>
      <c r="N650" s="1"/>
      <c r="O650" s="1"/>
      <c r="P650" s="1"/>
      <c r="Q650" s="1"/>
      <c r="R650">
        <f>presup!M$368</f>
        <v>0</v>
      </c>
    </row>
    <row r="651" spans="1:18" ht="15.75" customHeight="1" x14ac:dyDescent="0.2">
      <c r="A651" s="1"/>
      <c r="B651" s="1"/>
      <c r="C651" s="1"/>
      <c r="D651" s="1"/>
      <c r="E651" s="1"/>
      <c r="F651" s="1"/>
      <c r="G651" s="1"/>
      <c r="H651" s="1"/>
      <c r="I651" s="1"/>
      <c r="J651" s="1"/>
      <c r="K651" s="1"/>
      <c r="L651" s="1"/>
      <c r="M651" s="1"/>
      <c r="N651" s="1"/>
      <c r="O651" s="1"/>
      <c r="P651" s="1"/>
      <c r="Q651" s="1"/>
      <c r="R651">
        <f>presup!M$368</f>
        <v>0</v>
      </c>
    </row>
    <row r="652" spans="1:18" ht="15.75" customHeight="1" x14ac:dyDescent="0.2">
      <c r="A652" s="1"/>
      <c r="B652" s="1"/>
      <c r="C652" s="1"/>
      <c r="D652" s="1"/>
      <c r="E652" s="1"/>
      <c r="F652" s="1"/>
      <c r="G652" s="1"/>
      <c r="H652" s="1"/>
      <c r="I652" s="1"/>
      <c r="J652" s="1"/>
      <c r="K652" s="1"/>
      <c r="L652" s="1"/>
      <c r="M652" s="1"/>
      <c r="N652" s="1"/>
      <c r="O652" s="1"/>
      <c r="P652" s="1"/>
      <c r="Q652" s="1"/>
      <c r="R652">
        <f>presup!M$368</f>
        <v>0</v>
      </c>
    </row>
    <row r="653" spans="1:18" ht="15.75" customHeight="1" x14ac:dyDescent="0.2">
      <c r="A653" s="1"/>
      <c r="B653" s="1"/>
      <c r="C653" s="1"/>
      <c r="D653" s="1"/>
      <c r="E653" s="1"/>
      <c r="F653" s="1"/>
      <c r="G653" s="1"/>
      <c r="H653" s="1"/>
      <c r="I653" s="1"/>
      <c r="J653" s="1"/>
      <c r="K653" s="1"/>
      <c r="L653" s="1"/>
      <c r="M653" s="1"/>
      <c r="N653" s="1"/>
      <c r="O653" s="1"/>
      <c r="P653" s="1"/>
      <c r="Q653" s="1"/>
      <c r="R653">
        <f>presup!M$368</f>
        <v>0</v>
      </c>
    </row>
    <row r="654" spans="1:18" ht="15.75" customHeight="1" x14ac:dyDescent="0.2">
      <c r="A654" s="1"/>
      <c r="B654" s="1"/>
      <c r="C654" s="1"/>
      <c r="D654" s="1"/>
      <c r="E654" s="1"/>
      <c r="F654" s="1"/>
      <c r="G654" s="1"/>
      <c r="H654" s="1"/>
      <c r="I654" s="1"/>
      <c r="J654" s="1"/>
      <c r="K654" s="1"/>
      <c r="L654" s="1"/>
      <c r="M654" s="1"/>
      <c r="N654" s="1"/>
      <c r="O654" s="1"/>
      <c r="P654" s="1"/>
      <c r="Q654" s="1"/>
      <c r="R654">
        <f>presup!M$368</f>
        <v>0</v>
      </c>
    </row>
    <row r="655" spans="1:18" ht="15.75" customHeight="1" x14ac:dyDescent="0.2">
      <c r="A655" s="1"/>
      <c r="B655" s="1"/>
      <c r="C655" s="1"/>
      <c r="D655" s="1"/>
      <c r="E655" s="1"/>
      <c r="F655" s="1"/>
      <c r="G655" s="1"/>
      <c r="H655" s="1"/>
      <c r="I655" s="1"/>
      <c r="J655" s="1"/>
      <c r="K655" s="1"/>
      <c r="L655" s="1"/>
      <c r="M655" s="1"/>
      <c r="N655" s="1"/>
      <c r="O655" s="1"/>
      <c r="P655" s="1"/>
      <c r="Q655" s="1"/>
      <c r="R655">
        <f>presup!M$368</f>
        <v>0</v>
      </c>
    </row>
    <row r="656" spans="1:18" ht="15.75" customHeight="1" x14ac:dyDescent="0.2">
      <c r="A656" s="1"/>
      <c r="B656" s="1"/>
      <c r="C656" s="1"/>
      <c r="D656" s="1"/>
      <c r="E656" s="1"/>
      <c r="F656" s="1"/>
      <c r="G656" s="1"/>
      <c r="H656" s="1"/>
      <c r="I656" s="1"/>
      <c r="J656" s="1"/>
      <c r="K656" s="1"/>
      <c r="L656" s="1"/>
      <c r="M656" s="1"/>
      <c r="N656" s="1"/>
      <c r="O656" s="1"/>
      <c r="P656" s="1"/>
      <c r="Q656" s="1"/>
      <c r="R656">
        <f>presup!M$368</f>
        <v>0</v>
      </c>
    </row>
    <row r="657" spans="1:18" ht="15.75" customHeight="1" x14ac:dyDescent="0.2">
      <c r="A657" s="1"/>
      <c r="B657" s="1"/>
      <c r="C657" s="1"/>
      <c r="D657" s="1"/>
      <c r="E657" s="1"/>
      <c r="F657" s="1"/>
      <c r="G657" s="1"/>
      <c r="H657" s="1"/>
      <c r="I657" s="1"/>
      <c r="J657" s="1"/>
      <c r="K657" s="1"/>
      <c r="L657" s="1"/>
      <c r="M657" s="1"/>
      <c r="N657" s="1"/>
      <c r="O657" s="1"/>
      <c r="P657" s="1"/>
      <c r="Q657" s="1"/>
      <c r="R657">
        <f>presup!M$368</f>
        <v>0</v>
      </c>
    </row>
    <row r="658" spans="1:18" ht="15.75" customHeight="1" x14ac:dyDescent="0.2">
      <c r="A658" s="1"/>
      <c r="B658" s="1"/>
      <c r="C658" s="1"/>
      <c r="D658" s="1"/>
      <c r="E658" s="1"/>
      <c r="F658" s="1"/>
      <c r="G658" s="1"/>
      <c r="H658" s="1"/>
      <c r="I658" s="1"/>
      <c r="J658" s="1"/>
      <c r="K658" s="1"/>
      <c r="L658" s="1"/>
      <c r="M658" s="1"/>
      <c r="N658" s="1"/>
      <c r="O658" s="1"/>
      <c r="P658" s="1"/>
      <c r="Q658" s="1"/>
      <c r="R658">
        <f>presup!M$368</f>
        <v>0</v>
      </c>
    </row>
    <row r="659" spans="1:18" ht="15.75" customHeight="1" x14ac:dyDescent="0.2">
      <c r="A659" s="1"/>
      <c r="B659" s="1"/>
      <c r="C659" s="1"/>
      <c r="D659" s="1"/>
      <c r="E659" s="1"/>
      <c r="F659" s="1"/>
      <c r="G659" s="1"/>
      <c r="H659" s="1"/>
      <c r="I659" s="1"/>
      <c r="J659" s="1"/>
      <c r="K659" s="1"/>
      <c r="L659" s="1"/>
      <c r="M659" s="1"/>
      <c r="N659" s="1"/>
      <c r="O659" s="1"/>
      <c r="P659" s="1"/>
      <c r="Q659" s="1"/>
      <c r="R659">
        <f>presup!M$368</f>
        <v>0</v>
      </c>
    </row>
    <row r="660" spans="1:18" ht="15.75" customHeight="1" x14ac:dyDescent="0.2">
      <c r="A660" s="1"/>
      <c r="B660" s="1"/>
      <c r="C660" s="1"/>
      <c r="D660" s="1"/>
      <c r="E660" s="1"/>
      <c r="F660" s="1"/>
      <c r="G660" s="1"/>
      <c r="H660" s="1"/>
      <c r="I660" s="1"/>
      <c r="J660" s="1"/>
      <c r="K660" s="1"/>
      <c r="L660" s="1"/>
      <c r="M660" s="1"/>
      <c r="N660" s="1"/>
      <c r="O660" s="1"/>
      <c r="P660" s="1"/>
      <c r="Q660" s="1"/>
      <c r="R660">
        <f>presup!M$368</f>
        <v>0</v>
      </c>
    </row>
    <row r="661" spans="1:18" ht="15.75" customHeight="1" x14ac:dyDescent="0.2">
      <c r="A661" s="1"/>
      <c r="B661" s="1"/>
      <c r="C661" s="1"/>
      <c r="D661" s="1"/>
      <c r="E661" s="1"/>
      <c r="F661" s="1"/>
      <c r="G661" s="1"/>
      <c r="H661" s="1"/>
      <c r="I661" s="1"/>
      <c r="J661" s="1"/>
      <c r="K661" s="1"/>
      <c r="L661" s="1"/>
      <c r="M661" s="1"/>
      <c r="N661" s="1"/>
      <c r="O661" s="1"/>
      <c r="P661" s="1"/>
      <c r="Q661" s="1"/>
      <c r="R661">
        <f>presup!M$368</f>
        <v>0</v>
      </c>
    </row>
    <row r="662" spans="1:18" ht="15.75" customHeight="1" x14ac:dyDescent="0.2">
      <c r="A662" s="1"/>
      <c r="B662" s="1"/>
      <c r="C662" s="1"/>
      <c r="D662" s="1"/>
      <c r="E662" s="1"/>
      <c r="F662" s="1"/>
      <c r="G662" s="1"/>
      <c r="H662" s="1"/>
      <c r="I662" s="1"/>
      <c r="J662" s="1"/>
      <c r="K662" s="1"/>
      <c r="L662" s="1"/>
      <c r="M662" s="1"/>
      <c r="N662" s="1"/>
      <c r="O662" s="1"/>
      <c r="P662" s="1"/>
      <c r="Q662" s="1"/>
      <c r="R662">
        <f>presup!M$368</f>
        <v>0</v>
      </c>
    </row>
    <row r="663" spans="1:18" ht="15.75" customHeight="1" x14ac:dyDescent="0.2">
      <c r="A663" s="1"/>
      <c r="B663" s="1"/>
      <c r="C663" s="1"/>
      <c r="D663" s="1"/>
      <c r="E663" s="1"/>
      <c r="F663" s="1"/>
      <c r="G663" s="1"/>
      <c r="H663" s="1"/>
      <c r="I663" s="1"/>
      <c r="J663" s="1"/>
      <c r="K663" s="1"/>
      <c r="L663" s="1"/>
      <c r="M663" s="1"/>
      <c r="N663" s="1"/>
      <c r="O663" s="1"/>
      <c r="P663" s="1"/>
      <c r="Q663" s="1"/>
      <c r="R663">
        <f>presup!M$368</f>
        <v>0</v>
      </c>
    </row>
    <row r="664" spans="1:18" ht="15.75" customHeight="1" x14ac:dyDescent="0.2">
      <c r="A664" s="1"/>
      <c r="B664" s="1"/>
      <c r="C664" s="1"/>
      <c r="D664" s="1"/>
      <c r="E664" s="1"/>
      <c r="F664" s="1"/>
      <c r="G664" s="1"/>
      <c r="H664" s="1"/>
      <c r="I664" s="1"/>
      <c r="J664" s="1"/>
      <c r="K664" s="1"/>
      <c r="L664" s="1"/>
      <c r="M664" s="1"/>
      <c r="N664" s="1"/>
      <c r="O664" s="1"/>
      <c r="P664" s="1"/>
      <c r="Q664" s="1"/>
      <c r="R664">
        <f>presup!M$368</f>
        <v>0</v>
      </c>
    </row>
    <row r="665" spans="1:18" ht="15.75" customHeight="1" x14ac:dyDescent="0.2">
      <c r="A665" s="1"/>
      <c r="B665" s="1"/>
      <c r="C665" s="1"/>
      <c r="D665" s="1"/>
      <c r="E665" s="1"/>
      <c r="F665" s="1"/>
      <c r="G665" s="1"/>
      <c r="H665" s="1"/>
      <c r="I665" s="1"/>
      <c r="J665" s="1"/>
      <c r="K665" s="1"/>
      <c r="L665" s="1"/>
      <c r="M665" s="1"/>
      <c r="N665" s="1"/>
      <c r="O665" s="1"/>
      <c r="P665" s="1"/>
      <c r="Q665" s="1"/>
      <c r="R665">
        <f>presup!M$368</f>
        <v>0</v>
      </c>
    </row>
    <row r="666" spans="1:18" ht="15.75" customHeight="1" x14ac:dyDescent="0.2">
      <c r="A666" s="1"/>
      <c r="B666" s="1"/>
      <c r="C666" s="1"/>
      <c r="D666" s="1"/>
      <c r="E666" s="1"/>
      <c r="F666" s="1"/>
      <c r="G666" s="1"/>
      <c r="H666" s="1"/>
      <c r="I666" s="1"/>
      <c r="J666" s="1"/>
      <c r="K666" s="1"/>
      <c r="L666" s="1"/>
      <c r="M666" s="1"/>
      <c r="N666" s="1"/>
      <c r="O666" s="1"/>
      <c r="P666" s="1"/>
      <c r="Q666" s="1"/>
      <c r="R666">
        <f>presup!M$368</f>
        <v>0</v>
      </c>
    </row>
    <row r="667" spans="1:18" ht="15.75" customHeight="1" x14ac:dyDescent="0.2">
      <c r="A667" s="1"/>
      <c r="B667" s="1"/>
      <c r="C667" s="1"/>
      <c r="D667" s="1"/>
      <c r="E667" s="1"/>
      <c r="F667" s="1"/>
      <c r="G667" s="1"/>
      <c r="H667" s="1"/>
      <c r="I667" s="1"/>
      <c r="J667" s="1"/>
      <c r="K667" s="1"/>
      <c r="L667" s="1"/>
      <c r="M667" s="1"/>
      <c r="N667" s="1"/>
      <c r="O667" s="1"/>
      <c r="P667" s="1"/>
      <c r="Q667" s="1"/>
      <c r="R667">
        <f>presup!M$368</f>
        <v>0</v>
      </c>
    </row>
    <row r="668" spans="1:18" ht="15.75" customHeight="1" x14ac:dyDescent="0.2">
      <c r="A668" s="1"/>
      <c r="B668" s="1"/>
      <c r="C668" s="1"/>
      <c r="D668" s="1"/>
      <c r="E668" s="1"/>
      <c r="F668" s="1"/>
      <c r="G668" s="1"/>
      <c r="H668" s="1"/>
      <c r="I668" s="1"/>
      <c r="J668" s="1"/>
      <c r="K668" s="1"/>
      <c r="L668" s="1"/>
      <c r="M668" s="1"/>
      <c r="N668" s="1"/>
      <c r="O668" s="1"/>
      <c r="P668" s="1"/>
      <c r="Q668" s="1"/>
      <c r="R668">
        <f>presup!M$368</f>
        <v>0</v>
      </c>
    </row>
    <row r="669" spans="1:18" ht="15.75" customHeight="1" x14ac:dyDescent="0.2">
      <c r="A669" s="1"/>
      <c r="B669" s="1"/>
      <c r="C669" s="1"/>
      <c r="D669" s="1"/>
      <c r="E669" s="1"/>
      <c r="F669" s="1"/>
      <c r="G669" s="1"/>
      <c r="H669" s="1"/>
      <c r="I669" s="1"/>
      <c r="J669" s="1"/>
      <c r="K669" s="1"/>
      <c r="L669" s="1"/>
      <c r="M669" s="1"/>
      <c r="N669" s="1"/>
      <c r="O669" s="1"/>
      <c r="P669" s="1"/>
      <c r="Q669" s="1"/>
      <c r="R669">
        <f>presup!M$368</f>
        <v>0</v>
      </c>
    </row>
    <row r="670" spans="1:18" ht="15.75" customHeight="1" x14ac:dyDescent="0.2">
      <c r="A670" s="1"/>
      <c r="B670" s="1"/>
      <c r="C670" s="1"/>
      <c r="D670" s="1"/>
      <c r="E670" s="1"/>
      <c r="F670" s="1"/>
      <c r="G670" s="1"/>
      <c r="H670" s="1"/>
      <c r="I670" s="1"/>
      <c r="J670" s="1"/>
      <c r="K670" s="1"/>
      <c r="L670" s="1"/>
      <c r="M670" s="1"/>
      <c r="N670" s="1"/>
      <c r="O670" s="1"/>
      <c r="P670" s="1"/>
      <c r="Q670" s="1"/>
      <c r="R670">
        <f>presup!M$368</f>
        <v>0</v>
      </c>
    </row>
    <row r="671" spans="1:18" ht="15.75" customHeight="1" x14ac:dyDescent="0.2">
      <c r="A671" s="1"/>
      <c r="B671" s="1"/>
      <c r="C671" s="1"/>
      <c r="D671" s="1"/>
      <c r="E671" s="1"/>
      <c r="F671" s="1"/>
      <c r="G671" s="1"/>
      <c r="H671" s="1"/>
      <c r="I671" s="1"/>
      <c r="J671" s="1"/>
      <c r="K671" s="1"/>
      <c r="L671" s="1"/>
      <c r="M671" s="1"/>
      <c r="N671" s="1"/>
      <c r="O671" s="1"/>
      <c r="P671" s="1"/>
      <c r="Q671" s="1"/>
      <c r="R671">
        <f>presup!M$368</f>
        <v>0</v>
      </c>
    </row>
    <row r="672" spans="1:18" ht="15.75" customHeight="1" x14ac:dyDescent="0.2">
      <c r="A672" s="1"/>
      <c r="B672" s="1"/>
      <c r="C672" s="1"/>
      <c r="D672" s="1"/>
      <c r="E672" s="1"/>
      <c r="F672" s="1"/>
      <c r="G672" s="1"/>
      <c r="H672" s="1"/>
      <c r="I672" s="1"/>
      <c r="J672" s="1"/>
      <c r="K672" s="1"/>
      <c r="L672" s="1"/>
      <c r="M672" s="1"/>
      <c r="N672" s="1"/>
      <c r="O672" s="1"/>
      <c r="P672" s="1"/>
      <c r="Q672" s="1"/>
      <c r="R672">
        <f>presup!M$368</f>
        <v>0</v>
      </c>
    </row>
    <row r="673" spans="1:18" ht="15.75" customHeight="1" x14ac:dyDescent="0.2">
      <c r="A673" s="1"/>
      <c r="B673" s="1"/>
      <c r="C673" s="1"/>
      <c r="D673" s="1"/>
      <c r="E673" s="1"/>
      <c r="F673" s="1"/>
      <c r="G673" s="1"/>
      <c r="H673" s="1"/>
      <c r="I673" s="1"/>
      <c r="J673" s="1"/>
      <c r="K673" s="1"/>
      <c r="L673" s="1"/>
      <c r="M673" s="1"/>
      <c r="N673" s="1"/>
      <c r="O673" s="1"/>
      <c r="P673" s="1"/>
      <c r="Q673" s="1"/>
      <c r="R673">
        <f>presup!M$368</f>
        <v>0</v>
      </c>
    </row>
    <row r="674" spans="1:18" ht="15.75" customHeight="1" x14ac:dyDescent="0.2">
      <c r="A674" s="1"/>
      <c r="B674" s="1"/>
      <c r="C674" s="1"/>
      <c r="D674" s="1"/>
      <c r="E674" s="1"/>
      <c r="F674" s="1"/>
      <c r="G674" s="1"/>
      <c r="H674" s="1"/>
      <c r="I674" s="1"/>
      <c r="J674" s="1"/>
      <c r="K674" s="1"/>
      <c r="L674" s="1"/>
      <c r="M674" s="1"/>
      <c r="N674" s="1"/>
      <c r="O674" s="1"/>
      <c r="P674" s="1"/>
      <c r="Q674" s="1"/>
      <c r="R674">
        <f>presup!M$368</f>
        <v>0</v>
      </c>
    </row>
    <row r="675" spans="1:18" ht="15.75" customHeight="1" x14ac:dyDescent="0.2">
      <c r="A675" s="1"/>
      <c r="B675" s="1"/>
      <c r="C675" s="1"/>
      <c r="D675" s="1"/>
      <c r="E675" s="1"/>
      <c r="F675" s="1"/>
      <c r="G675" s="1"/>
      <c r="H675" s="1"/>
      <c r="I675" s="1"/>
      <c r="J675" s="1"/>
      <c r="K675" s="1"/>
      <c r="L675" s="1"/>
      <c r="M675" s="1"/>
      <c r="N675" s="1"/>
      <c r="O675" s="1"/>
      <c r="P675" s="1"/>
      <c r="Q675" s="1"/>
      <c r="R675">
        <f>presup!M$368</f>
        <v>0</v>
      </c>
    </row>
    <row r="676" spans="1:18" ht="15.75" customHeight="1" x14ac:dyDescent="0.2">
      <c r="A676" s="1"/>
      <c r="B676" s="1"/>
      <c r="C676" s="1"/>
      <c r="D676" s="1"/>
      <c r="E676" s="1"/>
      <c r="F676" s="1"/>
      <c r="G676" s="1"/>
      <c r="H676" s="1"/>
      <c r="I676" s="1"/>
      <c r="J676" s="1"/>
      <c r="K676" s="1"/>
      <c r="L676" s="1"/>
      <c r="M676" s="1"/>
      <c r="N676" s="1"/>
      <c r="O676" s="1"/>
      <c r="P676" s="1"/>
      <c r="Q676" s="1"/>
      <c r="R676">
        <f>presup!M$368</f>
        <v>0</v>
      </c>
    </row>
    <row r="677" spans="1:18" ht="15.75" customHeight="1" x14ac:dyDescent="0.2">
      <c r="A677" s="1"/>
      <c r="B677" s="1"/>
      <c r="C677" s="1"/>
      <c r="D677" s="1"/>
      <c r="E677" s="1"/>
      <c r="F677" s="1"/>
      <c r="G677" s="1"/>
      <c r="H677" s="1"/>
      <c r="I677" s="1"/>
      <c r="J677" s="1"/>
      <c r="K677" s="1"/>
      <c r="L677" s="1"/>
      <c r="M677" s="1"/>
      <c r="N677" s="1"/>
      <c r="O677" s="1"/>
      <c r="P677" s="1"/>
      <c r="Q677" s="1"/>
      <c r="R677">
        <f>presup!M$368</f>
        <v>0</v>
      </c>
    </row>
    <row r="678" spans="1:18" ht="15.75" customHeight="1" x14ac:dyDescent="0.2">
      <c r="A678" s="1"/>
      <c r="B678" s="1"/>
      <c r="C678" s="1"/>
      <c r="D678" s="1"/>
      <c r="E678" s="1"/>
      <c r="F678" s="1"/>
      <c r="G678" s="1"/>
      <c r="H678" s="1"/>
      <c r="I678" s="1"/>
      <c r="J678" s="1"/>
      <c r="K678" s="1"/>
      <c r="L678" s="1"/>
      <c r="M678" s="1"/>
      <c r="N678" s="1"/>
      <c r="O678" s="1"/>
      <c r="P678" s="1"/>
      <c r="Q678" s="1"/>
      <c r="R678">
        <f>presup!M$368</f>
        <v>0</v>
      </c>
    </row>
    <row r="679" spans="1:18" ht="15.75" customHeight="1" x14ac:dyDescent="0.2">
      <c r="A679" s="1"/>
      <c r="B679" s="1"/>
      <c r="C679" s="1"/>
      <c r="D679" s="1"/>
      <c r="E679" s="1"/>
      <c r="F679" s="1"/>
      <c r="G679" s="1"/>
      <c r="H679" s="1"/>
      <c r="I679" s="1"/>
      <c r="J679" s="1"/>
      <c r="K679" s="1"/>
      <c r="L679" s="1"/>
      <c r="M679" s="1"/>
      <c r="N679" s="1"/>
      <c r="O679" s="1"/>
      <c r="P679" s="1"/>
      <c r="Q679" s="1"/>
      <c r="R679">
        <f>presup!M$368</f>
        <v>0</v>
      </c>
    </row>
    <row r="680" spans="1:18" ht="15.75" customHeight="1" x14ac:dyDescent="0.2">
      <c r="A680" s="1"/>
      <c r="B680" s="1"/>
      <c r="C680" s="1"/>
      <c r="D680" s="1"/>
      <c r="E680" s="1"/>
      <c r="F680" s="1"/>
      <c r="G680" s="1"/>
      <c r="H680" s="1"/>
      <c r="I680" s="1"/>
      <c r="J680" s="1"/>
      <c r="K680" s="1"/>
      <c r="L680" s="1"/>
      <c r="M680" s="1"/>
      <c r="N680" s="1"/>
      <c r="O680" s="1"/>
      <c r="P680" s="1"/>
      <c r="Q680" s="1"/>
      <c r="R680">
        <f>presup!M$368</f>
        <v>0</v>
      </c>
    </row>
    <row r="681" spans="1:18" ht="15.75" customHeight="1" x14ac:dyDescent="0.2">
      <c r="A681" s="1"/>
      <c r="B681" s="1"/>
      <c r="C681" s="1"/>
      <c r="D681" s="1"/>
      <c r="E681" s="1"/>
      <c r="F681" s="1"/>
      <c r="G681" s="1"/>
      <c r="H681" s="1"/>
      <c r="I681" s="1"/>
      <c r="J681" s="1"/>
      <c r="K681" s="1"/>
      <c r="L681" s="1"/>
      <c r="M681" s="1"/>
      <c r="N681" s="1"/>
      <c r="O681" s="1"/>
      <c r="P681" s="1"/>
      <c r="Q681" s="1"/>
      <c r="R681">
        <f>presup!M$368</f>
        <v>0</v>
      </c>
    </row>
    <row r="682" spans="1:18" ht="15.75" customHeight="1" x14ac:dyDescent="0.2">
      <c r="A682" s="1"/>
      <c r="B682" s="1"/>
      <c r="C682" s="1"/>
      <c r="D682" s="1"/>
      <c r="E682" s="1"/>
      <c r="F682" s="1"/>
      <c r="G682" s="1"/>
      <c r="H682" s="1"/>
      <c r="I682" s="1"/>
      <c r="J682" s="1"/>
      <c r="K682" s="1"/>
      <c r="L682" s="1"/>
      <c r="M682" s="1"/>
      <c r="N682" s="1"/>
      <c r="O682" s="1"/>
      <c r="P682" s="1"/>
      <c r="Q682" s="1"/>
      <c r="R682">
        <f>presup!M$368</f>
        <v>0</v>
      </c>
    </row>
    <row r="683" spans="1:18" ht="15.75" customHeight="1" x14ac:dyDescent="0.2">
      <c r="A683" s="1"/>
      <c r="B683" s="1"/>
      <c r="C683" s="1"/>
      <c r="D683" s="1"/>
      <c r="E683" s="1"/>
      <c r="F683" s="1"/>
      <c r="G683" s="1"/>
      <c r="H683" s="1"/>
      <c r="I683" s="1"/>
      <c r="J683" s="1"/>
      <c r="K683" s="1"/>
      <c r="L683" s="1"/>
      <c r="M683" s="1"/>
      <c r="N683" s="1"/>
      <c r="O683" s="1"/>
      <c r="P683" s="1"/>
      <c r="Q683" s="1"/>
      <c r="R683">
        <f>presup!M$368</f>
        <v>0</v>
      </c>
    </row>
    <row r="684" spans="1:18" ht="15.75" customHeight="1" x14ac:dyDescent="0.2">
      <c r="A684" s="1"/>
      <c r="B684" s="1"/>
      <c r="C684" s="1"/>
      <c r="D684" s="1"/>
      <c r="E684" s="1"/>
      <c r="F684" s="1"/>
      <c r="G684" s="1"/>
      <c r="H684" s="1"/>
      <c r="I684" s="1"/>
      <c r="J684" s="1"/>
      <c r="K684" s="1"/>
      <c r="L684" s="1"/>
      <c r="M684" s="1"/>
      <c r="N684" s="1"/>
      <c r="O684" s="1"/>
      <c r="P684" s="1"/>
      <c r="Q684" s="1"/>
      <c r="R684">
        <f>presup!M$368</f>
        <v>0</v>
      </c>
    </row>
    <row r="685" spans="1:18" ht="15.75" customHeight="1" x14ac:dyDescent="0.2">
      <c r="A685" s="1"/>
      <c r="B685" s="1"/>
      <c r="C685" s="1"/>
      <c r="D685" s="1"/>
      <c r="E685" s="1"/>
      <c r="F685" s="1"/>
      <c r="G685" s="1"/>
      <c r="H685" s="1"/>
      <c r="I685" s="1"/>
      <c r="J685" s="1"/>
      <c r="K685" s="1"/>
      <c r="L685" s="1"/>
      <c r="M685" s="1"/>
      <c r="N685" s="1"/>
      <c r="O685" s="1"/>
      <c r="P685" s="1"/>
      <c r="Q685" s="1"/>
      <c r="R685">
        <f>presup!M$368</f>
        <v>0</v>
      </c>
    </row>
    <row r="686" spans="1:18" ht="15.75" customHeight="1" x14ac:dyDescent="0.2">
      <c r="A686" s="1"/>
      <c r="B686" s="1"/>
      <c r="C686" s="1"/>
      <c r="D686" s="1"/>
      <c r="E686" s="1"/>
      <c r="F686" s="1"/>
      <c r="G686" s="1"/>
      <c r="H686" s="1"/>
      <c r="I686" s="1"/>
      <c r="J686" s="1"/>
      <c r="K686" s="1"/>
      <c r="L686" s="1"/>
      <c r="M686" s="1"/>
      <c r="N686" s="1"/>
      <c r="O686" s="1"/>
      <c r="P686" s="1"/>
      <c r="Q686" s="1"/>
      <c r="R686">
        <f>presup!M$368</f>
        <v>0</v>
      </c>
    </row>
    <row r="687" spans="1:18" ht="15.75" customHeight="1" x14ac:dyDescent="0.2">
      <c r="A687" s="1"/>
      <c r="B687" s="1"/>
      <c r="C687" s="1"/>
      <c r="D687" s="1"/>
      <c r="E687" s="1"/>
      <c r="F687" s="1"/>
      <c r="G687" s="1"/>
      <c r="H687" s="1"/>
      <c r="I687" s="1"/>
      <c r="J687" s="1"/>
      <c r="K687" s="1"/>
      <c r="L687" s="1"/>
      <c r="M687" s="1"/>
      <c r="N687" s="1"/>
      <c r="O687" s="1"/>
      <c r="P687" s="1"/>
      <c r="Q687" s="1"/>
      <c r="R687">
        <f>presup!M$368</f>
        <v>0</v>
      </c>
    </row>
    <row r="688" spans="1:18" ht="15.75" customHeight="1" x14ac:dyDescent="0.2">
      <c r="A688" s="1"/>
      <c r="B688" s="1"/>
      <c r="C688" s="1"/>
      <c r="D688" s="1"/>
      <c r="E688" s="1"/>
      <c r="F688" s="1"/>
      <c r="G688" s="1"/>
      <c r="H688" s="1"/>
      <c r="I688" s="1"/>
      <c r="J688" s="1"/>
      <c r="K688" s="1"/>
      <c r="L688" s="1"/>
      <c r="M688" s="1"/>
      <c r="N688" s="1"/>
      <c r="O688" s="1"/>
      <c r="P688" s="1"/>
      <c r="Q688" s="1"/>
      <c r="R688">
        <f>presup!M$368</f>
        <v>0</v>
      </c>
    </row>
    <row r="689" spans="1:18" ht="15.75" customHeight="1" x14ac:dyDescent="0.2">
      <c r="A689" s="1"/>
      <c r="B689" s="1"/>
      <c r="C689" s="1"/>
      <c r="D689" s="1"/>
      <c r="E689" s="1"/>
      <c r="F689" s="1"/>
      <c r="G689" s="1"/>
      <c r="H689" s="1"/>
      <c r="I689" s="1"/>
      <c r="J689" s="1"/>
      <c r="K689" s="1"/>
      <c r="L689" s="1"/>
      <c r="M689" s="1"/>
      <c r="N689" s="1"/>
      <c r="O689" s="1"/>
      <c r="P689" s="1"/>
      <c r="Q689" s="1"/>
      <c r="R689">
        <f>presup!M$368</f>
        <v>0</v>
      </c>
    </row>
    <row r="690" spans="1:18" ht="15.75" customHeight="1" x14ac:dyDescent="0.2">
      <c r="A690" s="1"/>
      <c r="B690" s="1"/>
      <c r="C690" s="1"/>
      <c r="D690" s="1"/>
      <c r="E690" s="1"/>
      <c r="F690" s="1"/>
      <c r="G690" s="1"/>
      <c r="H690" s="1"/>
      <c r="I690" s="1"/>
      <c r="J690" s="1"/>
      <c r="K690" s="1"/>
      <c r="L690" s="1"/>
      <c r="M690" s="1"/>
      <c r="N690" s="1"/>
      <c r="O690" s="1"/>
      <c r="P690" s="1"/>
      <c r="Q690" s="1"/>
      <c r="R690">
        <f>presup!M$368</f>
        <v>0</v>
      </c>
    </row>
    <row r="691" spans="1:18" ht="15.75" customHeight="1" x14ac:dyDescent="0.2">
      <c r="A691" s="1"/>
      <c r="B691" s="1"/>
      <c r="C691" s="1"/>
      <c r="D691" s="1"/>
      <c r="E691" s="1"/>
      <c r="F691" s="1"/>
      <c r="G691" s="1"/>
      <c r="H691" s="1"/>
      <c r="I691" s="1"/>
      <c r="J691" s="1"/>
      <c r="K691" s="1"/>
      <c r="L691" s="1"/>
      <c r="M691" s="1"/>
      <c r="N691" s="1"/>
      <c r="O691" s="1"/>
      <c r="P691" s="1"/>
      <c r="Q691" s="1"/>
      <c r="R691">
        <f>presup!M$368</f>
        <v>0</v>
      </c>
    </row>
    <row r="692" spans="1:18" ht="15.75" customHeight="1" x14ac:dyDescent="0.2">
      <c r="A692" s="1"/>
      <c r="B692" s="1"/>
      <c r="C692" s="1"/>
      <c r="D692" s="1"/>
      <c r="E692" s="1"/>
      <c r="F692" s="1"/>
      <c r="G692" s="1"/>
      <c r="H692" s="1"/>
      <c r="I692" s="1"/>
      <c r="J692" s="1"/>
      <c r="K692" s="1"/>
      <c r="L692" s="1"/>
      <c r="M692" s="1"/>
      <c r="N692" s="1"/>
      <c r="O692" s="1"/>
      <c r="P692" s="1"/>
      <c r="Q692" s="1"/>
      <c r="R692">
        <f>presup!M$368</f>
        <v>0</v>
      </c>
    </row>
    <row r="693" spans="1:18" ht="15.75" customHeight="1" x14ac:dyDescent="0.2">
      <c r="A693" s="1"/>
      <c r="B693" s="1"/>
      <c r="C693" s="1"/>
      <c r="D693" s="1"/>
      <c r="E693" s="1"/>
      <c r="F693" s="1"/>
      <c r="G693" s="1"/>
      <c r="H693" s="1"/>
      <c r="I693" s="1"/>
      <c r="J693" s="1"/>
      <c r="K693" s="1"/>
      <c r="L693" s="1"/>
      <c r="M693" s="1"/>
      <c r="N693" s="1"/>
      <c r="O693" s="1"/>
      <c r="P693" s="1"/>
      <c r="Q693" s="1"/>
      <c r="R693">
        <f>presup!M$368</f>
        <v>0</v>
      </c>
    </row>
    <row r="694" spans="1:18" ht="15.75" customHeight="1" x14ac:dyDescent="0.2">
      <c r="A694" s="1"/>
      <c r="B694" s="1"/>
      <c r="C694" s="1"/>
      <c r="D694" s="1"/>
      <c r="E694" s="1"/>
      <c r="F694" s="1"/>
      <c r="G694" s="1"/>
      <c r="H694" s="1"/>
      <c r="I694" s="1"/>
      <c r="J694" s="1"/>
      <c r="K694" s="1"/>
      <c r="L694" s="1"/>
      <c r="M694" s="1"/>
      <c r="N694" s="1"/>
      <c r="O694" s="1"/>
      <c r="P694" s="1"/>
      <c r="Q694" s="1"/>
      <c r="R694">
        <f>presup!M$368</f>
        <v>0</v>
      </c>
    </row>
    <row r="695" spans="1:18" ht="15.75" customHeight="1" x14ac:dyDescent="0.2">
      <c r="A695" s="1"/>
      <c r="B695" s="1"/>
      <c r="C695" s="1"/>
      <c r="D695" s="1"/>
      <c r="E695" s="1"/>
      <c r="F695" s="1"/>
      <c r="G695" s="1"/>
      <c r="H695" s="1"/>
      <c r="I695" s="1"/>
      <c r="J695" s="1"/>
      <c r="K695" s="1"/>
      <c r="L695" s="1"/>
      <c r="M695" s="1"/>
      <c r="N695" s="1"/>
      <c r="O695" s="1"/>
      <c r="P695" s="1"/>
      <c r="Q695" s="1"/>
      <c r="R695">
        <f>presup!M$368</f>
        <v>0</v>
      </c>
    </row>
    <row r="696" spans="1:18" ht="15.75" customHeight="1" x14ac:dyDescent="0.2">
      <c r="A696" s="1"/>
      <c r="B696" s="1"/>
      <c r="C696" s="1"/>
      <c r="D696" s="1"/>
      <c r="E696" s="1"/>
      <c r="F696" s="1"/>
      <c r="G696" s="1"/>
      <c r="H696" s="1"/>
      <c r="I696" s="1"/>
      <c r="J696" s="1"/>
      <c r="K696" s="1"/>
      <c r="L696" s="1"/>
      <c r="M696" s="1"/>
      <c r="N696" s="1"/>
      <c r="O696" s="1"/>
      <c r="P696" s="1"/>
      <c r="Q696" s="1"/>
      <c r="R696">
        <f>presup!M$368</f>
        <v>0</v>
      </c>
    </row>
    <row r="697" spans="1:18" ht="15.75" customHeight="1" x14ac:dyDescent="0.2">
      <c r="A697" s="1"/>
      <c r="B697" s="1"/>
      <c r="C697" s="1"/>
      <c r="D697" s="1"/>
      <c r="E697" s="1"/>
      <c r="F697" s="1"/>
      <c r="G697" s="1"/>
      <c r="H697" s="1"/>
      <c r="I697" s="1"/>
      <c r="J697" s="1"/>
      <c r="K697" s="1"/>
      <c r="L697" s="1"/>
      <c r="M697" s="1"/>
      <c r="N697" s="1"/>
      <c r="O697" s="1"/>
      <c r="P697" s="1"/>
      <c r="Q697" s="1"/>
      <c r="R697">
        <f>presup!M$368</f>
        <v>0</v>
      </c>
    </row>
    <row r="698" spans="1:18" ht="15.75" customHeight="1" x14ac:dyDescent="0.2">
      <c r="A698" s="1"/>
      <c r="B698" s="1"/>
      <c r="C698" s="1"/>
      <c r="D698" s="1"/>
      <c r="E698" s="1"/>
      <c r="F698" s="1"/>
      <c r="G698" s="1"/>
      <c r="H698" s="1"/>
      <c r="I698" s="1"/>
      <c r="J698" s="1"/>
      <c r="K698" s="1"/>
      <c r="L698" s="1"/>
      <c r="M698" s="1"/>
      <c r="N698" s="1"/>
      <c r="O698" s="1"/>
      <c r="P698" s="1"/>
      <c r="Q698" s="1"/>
      <c r="R698">
        <f>presup!M$368</f>
        <v>0</v>
      </c>
    </row>
    <row r="699" spans="1:18" ht="15.75" customHeight="1" x14ac:dyDescent="0.2">
      <c r="A699" s="1"/>
      <c r="B699" s="1"/>
      <c r="C699" s="1"/>
      <c r="D699" s="1"/>
      <c r="E699" s="1"/>
      <c r="F699" s="1"/>
      <c r="G699" s="1"/>
      <c r="H699" s="1"/>
      <c r="I699" s="1"/>
      <c r="J699" s="1"/>
      <c r="K699" s="1"/>
      <c r="L699" s="1"/>
      <c r="M699" s="1"/>
      <c r="N699" s="1"/>
      <c r="O699" s="1"/>
      <c r="P699" s="1"/>
      <c r="Q699" s="1"/>
      <c r="R699">
        <f>presup!M$368</f>
        <v>0</v>
      </c>
    </row>
    <row r="700" spans="1:18" ht="15.75" customHeight="1" x14ac:dyDescent="0.2">
      <c r="A700" s="1"/>
      <c r="B700" s="1"/>
      <c r="C700" s="1"/>
      <c r="D700" s="1"/>
      <c r="E700" s="1"/>
      <c r="F700" s="1"/>
      <c r="G700" s="1"/>
      <c r="H700" s="1"/>
      <c r="I700" s="1"/>
      <c r="J700" s="1"/>
      <c r="K700" s="1"/>
      <c r="L700" s="1"/>
      <c r="M700" s="1"/>
      <c r="N700" s="1"/>
      <c r="O700" s="1"/>
      <c r="P700" s="1"/>
      <c r="Q700" s="1"/>
      <c r="R700">
        <f>presup!M$368</f>
        <v>0</v>
      </c>
    </row>
    <row r="701" spans="1:18" ht="15.75" customHeight="1" x14ac:dyDescent="0.2">
      <c r="A701" s="1"/>
      <c r="B701" s="1"/>
      <c r="C701" s="1"/>
      <c r="D701" s="1"/>
      <c r="E701" s="1"/>
      <c r="F701" s="1"/>
      <c r="G701" s="1"/>
      <c r="H701" s="1"/>
      <c r="I701" s="1"/>
      <c r="J701" s="1"/>
      <c r="K701" s="1"/>
      <c r="L701" s="1"/>
      <c r="M701" s="1"/>
      <c r="N701" s="1"/>
      <c r="O701" s="1"/>
      <c r="P701" s="1"/>
      <c r="Q701" s="1"/>
      <c r="R701">
        <f>presup!M$368</f>
        <v>0</v>
      </c>
    </row>
    <row r="702" spans="1:18" ht="15.75" customHeight="1" x14ac:dyDescent="0.2">
      <c r="A702" s="1"/>
      <c r="B702" s="1"/>
      <c r="C702" s="1"/>
      <c r="D702" s="1"/>
      <c r="E702" s="1"/>
      <c r="F702" s="1"/>
      <c r="G702" s="1"/>
      <c r="H702" s="1"/>
      <c r="I702" s="1"/>
      <c r="J702" s="1"/>
      <c r="K702" s="1"/>
      <c r="L702" s="1"/>
      <c r="M702" s="1"/>
      <c r="N702" s="1"/>
      <c r="O702" s="1"/>
      <c r="P702" s="1"/>
      <c r="Q702" s="1"/>
      <c r="R702">
        <f>presup!M$368</f>
        <v>0</v>
      </c>
    </row>
    <row r="703" spans="1:18" ht="15.75" customHeight="1" x14ac:dyDescent="0.2">
      <c r="A703" s="1"/>
      <c r="B703" s="1"/>
      <c r="C703" s="1"/>
      <c r="D703" s="1"/>
      <c r="E703" s="1"/>
      <c r="F703" s="1"/>
      <c r="G703" s="1"/>
      <c r="H703" s="1"/>
      <c r="I703" s="1"/>
      <c r="J703" s="1"/>
      <c r="K703" s="1"/>
      <c r="L703" s="1"/>
      <c r="M703" s="1"/>
      <c r="N703" s="1"/>
      <c r="O703" s="1"/>
      <c r="P703" s="1"/>
      <c r="Q703" s="1"/>
      <c r="R703">
        <f>presup!M$368</f>
        <v>0</v>
      </c>
    </row>
    <row r="704" spans="1:18" ht="15.75" customHeight="1" x14ac:dyDescent="0.2">
      <c r="A704" s="1"/>
      <c r="B704" s="1"/>
      <c r="C704" s="1"/>
      <c r="D704" s="1"/>
      <c r="E704" s="1"/>
      <c r="F704" s="1"/>
      <c r="G704" s="1"/>
      <c r="H704" s="1"/>
      <c r="I704" s="1"/>
      <c r="J704" s="1"/>
      <c r="K704" s="1"/>
      <c r="L704" s="1"/>
      <c r="M704" s="1"/>
      <c r="N704" s="1"/>
      <c r="O704" s="1"/>
      <c r="P704" s="1"/>
      <c r="Q704" s="1"/>
      <c r="R704">
        <f>presup!M$368</f>
        <v>0</v>
      </c>
    </row>
    <row r="705" spans="1:18" ht="15.75" customHeight="1" x14ac:dyDescent="0.2">
      <c r="A705" s="1"/>
      <c r="B705" s="1"/>
      <c r="C705" s="1"/>
      <c r="D705" s="1"/>
      <c r="E705" s="1"/>
      <c r="F705" s="1"/>
      <c r="G705" s="1"/>
      <c r="H705" s="1"/>
      <c r="I705" s="1"/>
      <c r="J705" s="1"/>
      <c r="K705" s="1"/>
      <c r="L705" s="1"/>
      <c r="M705" s="1"/>
      <c r="N705" s="1"/>
      <c r="O705" s="1"/>
      <c r="P705" s="1"/>
      <c r="Q705" s="1"/>
      <c r="R705">
        <f>presup!M$368</f>
        <v>0</v>
      </c>
    </row>
    <row r="706" spans="1:18" ht="15.75" customHeight="1" x14ac:dyDescent="0.2">
      <c r="A706" s="1"/>
      <c r="B706" s="1"/>
      <c r="C706" s="1"/>
      <c r="D706" s="1"/>
      <c r="E706" s="1"/>
      <c r="F706" s="1"/>
      <c r="G706" s="1"/>
      <c r="H706" s="1"/>
      <c r="I706" s="1"/>
      <c r="J706" s="1"/>
      <c r="K706" s="1"/>
      <c r="L706" s="1"/>
      <c r="M706" s="1"/>
      <c r="N706" s="1"/>
      <c r="O706" s="1"/>
      <c r="P706" s="1"/>
      <c r="Q706" s="1"/>
      <c r="R706">
        <f>presup!M$368</f>
        <v>0</v>
      </c>
    </row>
    <row r="707" spans="1:18" ht="15.75" customHeight="1" x14ac:dyDescent="0.2">
      <c r="A707" s="1"/>
      <c r="B707" s="1"/>
      <c r="C707" s="1"/>
      <c r="D707" s="1"/>
      <c r="E707" s="1"/>
      <c r="F707" s="1"/>
      <c r="G707" s="1"/>
      <c r="H707" s="1"/>
      <c r="I707" s="1"/>
      <c r="J707" s="1"/>
      <c r="K707" s="1"/>
      <c r="L707" s="1"/>
      <c r="M707" s="1"/>
      <c r="N707" s="1"/>
      <c r="O707" s="1"/>
      <c r="P707" s="1"/>
      <c r="Q707" s="1"/>
      <c r="R707">
        <f>presup!M$368</f>
        <v>0</v>
      </c>
    </row>
    <row r="708" spans="1:18" ht="15.75" customHeight="1" x14ac:dyDescent="0.2">
      <c r="A708" s="1"/>
      <c r="B708" s="1"/>
      <c r="C708" s="1"/>
      <c r="D708" s="1"/>
      <c r="E708" s="1"/>
      <c r="F708" s="1"/>
      <c r="G708" s="1"/>
      <c r="H708" s="1"/>
      <c r="I708" s="1"/>
      <c r="J708" s="1"/>
      <c r="K708" s="1"/>
      <c r="L708" s="1"/>
      <c r="M708" s="1"/>
      <c r="N708" s="1"/>
      <c r="O708" s="1"/>
      <c r="P708" s="1"/>
      <c r="Q708" s="1"/>
      <c r="R708">
        <f>presup!M$368</f>
        <v>0</v>
      </c>
    </row>
    <row r="709" spans="1:18" ht="15.75" customHeight="1" x14ac:dyDescent="0.2">
      <c r="A709" s="1"/>
      <c r="B709" s="1"/>
      <c r="C709" s="1"/>
      <c r="D709" s="1"/>
      <c r="E709" s="1"/>
      <c r="F709" s="1"/>
      <c r="G709" s="1"/>
      <c r="H709" s="1"/>
      <c r="I709" s="1"/>
      <c r="J709" s="1"/>
      <c r="K709" s="1"/>
      <c r="L709" s="1"/>
      <c r="M709" s="1"/>
      <c r="N709" s="1"/>
      <c r="O709" s="1"/>
      <c r="P709" s="1"/>
      <c r="Q709" s="1"/>
      <c r="R709">
        <f>presup!M$368</f>
        <v>0</v>
      </c>
    </row>
    <row r="710" spans="1:18" ht="15.75" customHeight="1" x14ac:dyDescent="0.2">
      <c r="A710" s="1"/>
      <c r="B710" s="1"/>
      <c r="C710" s="1"/>
      <c r="D710" s="1"/>
      <c r="E710" s="1"/>
      <c r="F710" s="1"/>
      <c r="G710" s="1"/>
      <c r="H710" s="1"/>
      <c r="I710" s="1"/>
      <c r="J710" s="1"/>
      <c r="K710" s="1"/>
      <c r="L710" s="1"/>
      <c r="M710" s="1"/>
      <c r="N710" s="1"/>
      <c r="O710" s="1"/>
      <c r="P710" s="1"/>
      <c r="Q710" s="1"/>
      <c r="R710">
        <f>presup!M$368</f>
        <v>0</v>
      </c>
    </row>
    <row r="711" spans="1:18" ht="15.75" customHeight="1" x14ac:dyDescent="0.2">
      <c r="A711" s="1"/>
      <c r="B711" s="1"/>
      <c r="C711" s="1"/>
      <c r="D711" s="1"/>
      <c r="E711" s="1"/>
      <c r="F711" s="1"/>
      <c r="G711" s="1"/>
      <c r="H711" s="1"/>
      <c r="I711" s="1"/>
      <c r="J711" s="1"/>
      <c r="K711" s="1"/>
      <c r="L711" s="1"/>
      <c r="M711" s="1"/>
      <c r="N711" s="1"/>
      <c r="O711" s="1"/>
      <c r="P711" s="1"/>
      <c r="Q711" s="1"/>
      <c r="R711">
        <f>presup!M$368</f>
        <v>0</v>
      </c>
    </row>
    <row r="712" spans="1:18" ht="15.75" customHeight="1" x14ac:dyDescent="0.2">
      <c r="A712" s="1"/>
      <c r="B712" s="1"/>
      <c r="C712" s="1"/>
      <c r="D712" s="1"/>
      <c r="E712" s="1"/>
      <c r="F712" s="1"/>
      <c r="G712" s="1"/>
      <c r="H712" s="1"/>
      <c r="I712" s="1"/>
      <c r="J712" s="1"/>
      <c r="K712" s="1"/>
      <c r="L712" s="1"/>
      <c r="M712" s="1"/>
      <c r="N712" s="1"/>
      <c r="O712" s="1"/>
      <c r="P712" s="1"/>
      <c r="Q712" s="1"/>
      <c r="R712">
        <f>presup!M$368</f>
        <v>0</v>
      </c>
    </row>
    <row r="713" spans="1:18" ht="15.75" customHeight="1" x14ac:dyDescent="0.2">
      <c r="A713" s="1"/>
      <c r="B713" s="1"/>
      <c r="C713" s="1"/>
      <c r="D713" s="1"/>
      <c r="E713" s="1"/>
      <c r="F713" s="1"/>
      <c r="G713" s="1"/>
      <c r="H713" s="1"/>
      <c r="I713" s="1"/>
      <c r="J713" s="1"/>
      <c r="K713" s="1"/>
      <c r="L713" s="1"/>
      <c r="M713" s="1"/>
      <c r="N713" s="1"/>
      <c r="O713" s="1"/>
      <c r="P713" s="1"/>
      <c r="Q713" s="1"/>
      <c r="R713">
        <f>presup!M$368</f>
        <v>0</v>
      </c>
    </row>
    <row r="714" spans="1:18" ht="15.75" customHeight="1" x14ac:dyDescent="0.2">
      <c r="A714" s="1"/>
      <c r="B714" s="1"/>
      <c r="C714" s="1"/>
      <c r="D714" s="1"/>
      <c r="E714" s="1"/>
      <c r="F714" s="1"/>
      <c r="G714" s="1"/>
      <c r="H714" s="1"/>
      <c r="I714" s="1"/>
      <c r="J714" s="1"/>
      <c r="K714" s="1"/>
      <c r="L714" s="1"/>
      <c r="M714" s="1"/>
      <c r="N714" s="1"/>
      <c r="O714" s="1"/>
      <c r="P714" s="1"/>
      <c r="Q714" s="1"/>
      <c r="R714">
        <f>presup!M$368</f>
        <v>0</v>
      </c>
    </row>
    <row r="715" spans="1:18" ht="15.75" customHeight="1" x14ac:dyDescent="0.2">
      <c r="A715" s="1"/>
      <c r="B715" s="1"/>
      <c r="C715" s="1"/>
      <c r="D715" s="1"/>
      <c r="E715" s="1"/>
      <c r="F715" s="1"/>
      <c r="G715" s="1"/>
      <c r="H715" s="1"/>
      <c r="I715" s="1"/>
      <c r="J715" s="1"/>
      <c r="K715" s="1"/>
      <c r="L715" s="1"/>
      <c r="M715" s="1"/>
      <c r="N715" s="1"/>
      <c r="O715" s="1"/>
      <c r="P715" s="1"/>
      <c r="Q715" s="1"/>
      <c r="R715">
        <f>presup!M$368</f>
        <v>0</v>
      </c>
    </row>
    <row r="716" spans="1:18" ht="15.75" customHeight="1" x14ac:dyDescent="0.2">
      <c r="A716" s="1"/>
      <c r="B716" s="1"/>
      <c r="C716" s="1"/>
      <c r="D716" s="1"/>
      <c r="E716" s="1"/>
      <c r="F716" s="1"/>
      <c r="G716" s="1"/>
      <c r="H716" s="1"/>
      <c r="I716" s="1"/>
      <c r="J716" s="1"/>
      <c r="K716" s="1"/>
      <c r="L716" s="1"/>
      <c r="M716" s="1"/>
      <c r="N716" s="1"/>
      <c r="O716" s="1"/>
      <c r="P716" s="1"/>
      <c r="Q716" s="1"/>
      <c r="R716">
        <f>presup!M$368</f>
        <v>0</v>
      </c>
    </row>
    <row r="717" spans="1:18" ht="15.75" customHeight="1" x14ac:dyDescent="0.2">
      <c r="A717" s="1"/>
      <c r="B717" s="1"/>
      <c r="C717" s="1"/>
      <c r="D717" s="1"/>
      <c r="E717" s="1"/>
      <c r="F717" s="1"/>
      <c r="G717" s="1"/>
      <c r="H717" s="1"/>
      <c r="I717" s="1"/>
      <c r="J717" s="1"/>
      <c r="K717" s="1"/>
      <c r="L717" s="1"/>
      <c r="M717" s="1"/>
      <c r="N717" s="1"/>
      <c r="O717" s="1"/>
      <c r="P717" s="1"/>
      <c r="Q717" s="1"/>
      <c r="R717">
        <f>presup!M$368</f>
        <v>0</v>
      </c>
    </row>
    <row r="718" spans="1:18" ht="15.75" customHeight="1" x14ac:dyDescent="0.2">
      <c r="A718" s="1"/>
      <c r="B718" s="1"/>
      <c r="C718" s="1"/>
      <c r="D718" s="1"/>
      <c r="E718" s="1"/>
      <c r="F718" s="1"/>
      <c r="G718" s="1"/>
      <c r="H718" s="1"/>
      <c r="I718" s="1"/>
      <c r="J718" s="1"/>
      <c r="K718" s="1"/>
      <c r="L718" s="1"/>
      <c r="M718" s="1"/>
      <c r="N718" s="1"/>
      <c r="O718" s="1"/>
      <c r="P718" s="1"/>
      <c r="Q718" s="1"/>
      <c r="R718">
        <f>presup!M$368</f>
        <v>0</v>
      </c>
    </row>
    <row r="719" spans="1:18" ht="15.75" customHeight="1" x14ac:dyDescent="0.2">
      <c r="A719" s="1"/>
      <c r="B719" s="1"/>
      <c r="C719" s="1"/>
      <c r="D719" s="1"/>
      <c r="E719" s="1"/>
      <c r="F719" s="1"/>
      <c r="G719" s="1"/>
      <c r="H719" s="1"/>
      <c r="I719" s="1"/>
      <c r="J719" s="1"/>
      <c r="K719" s="1"/>
      <c r="L719" s="1"/>
      <c r="M719" s="1"/>
      <c r="N719" s="1"/>
      <c r="O719" s="1"/>
      <c r="P719" s="1"/>
      <c r="Q719" s="1"/>
      <c r="R719">
        <f>presup!M$368</f>
        <v>0</v>
      </c>
    </row>
    <row r="720" spans="1:18" ht="15.75" customHeight="1" x14ac:dyDescent="0.2">
      <c r="A720" s="1"/>
      <c r="B720" s="1"/>
      <c r="C720" s="1"/>
      <c r="D720" s="1"/>
      <c r="E720" s="1"/>
      <c r="F720" s="1"/>
      <c r="G720" s="1"/>
      <c r="H720" s="1"/>
      <c r="I720" s="1"/>
      <c r="J720" s="1"/>
      <c r="K720" s="1"/>
      <c r="L720" s="1"/>
      <c r="M720" s="1"/>
      <c r="N720" s="1"/>
      <c r="O720" s="1"/>
      <c r="P720" s="1"/>
      <c r="Q720" s="1"/>
      <c r="R720">
        <f>presup!M$368</f>
        <v>0</v>
      </c>
    </row>
    <row r="721" spans="1:18" ht="15.75" customHeight="1" x14ac:dyDescent="0.2">
      <c r="A721" s="1"/>
      <c r="B721" s="1"/>
      <c r="C721" s="1"/>
      <c r="D721" s="1"/>
      <c r="E721" s="1"/>
      <c r="F721" s="1"/>
      <c r="G721" s="1"/>
      <c r="H721" s="1"/>
      <c r="I721" s="1"/>
      <c r="J721" s="1"/>
      <c r="K721" s="1"/>
      <c r="L721" s="1"/>
      <c r="M721" s="1"/>
      <c r="N721" s="1"/>
      <c r="O721" s="1"/>
      <c r="P721" s="1"/>
      <c r="Q721" s="1"/>
      <c r="R721">
        <f>presup!M$368</f>
        <v>0</v>
      </c>
    </row>
    <row r="722" spans="1:18" ht="15.75" customHeight="1" x14ac:dyDescent="0.2">
      <c r="A722" s="1"/>
      <c r="B722" s="1"/>
      <c r="C722" s="1"/>
      <c r="D722" s="1"/>
      <c r="E722" s="1"/>
      <c r="F722" s="1"/>
      <c r="G722" s="1"/>
      <c r="H722" s="1"/>
      <c r="I722" s="1"/>
      <c r="J722" s="1"/>
      <c r="K722" s="1"/>
      <c r="L722" s="1"/>
      <c r="M722" s="1"/>
      <c r="N722" s="1"/>
      <c r="O722" s="1"/>
      <c r="P722" s="1"/>
      <c r="Q722" s="1"/>
      <c r="R722">
        <f>presup!M$368</f>
        <v>0</v>
      </c>
    </row>
    <row r="723" spans="1:18" ht="15.75" customHeight="1" x14ac:dyDescent="0.2">
      <c r="A723" s="1"/>
      <c r="B723" s="1"/>
      <c r="C723" s="1"/>
      <c r="D723" s="1"/>
      <c r="E723" s="1"/>
      <c r="F723" s="1"/>
      <c r="G723" s="1"/>
      <c r="H723" s="1"/>
      <c r="I723" s="1"/>
      <c r="J723" s="1"/>
      <c r="K723" s="1"/>
      <c r="L723" s="1"/>
      <c r="M723" s="1"/>
      <c r="N723" s="1"/>
      <c r="O723" s="1"/>
      <c r="P723" s="1"/>
      <c r="Q723" s="1"/>
      <c r="R723">
        <f>presup!M$368</f>
        <v>0</v>
      </c>
    </row>
    <row r="724" spans="1:18" ht="15.75" customHeight="1" x14ac:dyDescent="0.2">
      <c r="A724" s="1"/>
      <c r="B724" s="1"/>
      <c r="C724" s="1"/>
      <c r="D724" s="1"/>
      <c r="E724" s="1"/>
      <c r="F724" s="1"/>
      <c r="G724" s="1"/>
      <c r="H724" s="1"/>
      <c r="I724" s="1"/>
      <c r="J724" s="1"/>
      <c r="K724" s="1"/>
      <c r="L724" s="1"/>
      <c r="M724" s="1"/>
      <c r="N724" s="1"/>
      <c r="O724" s="1"/>
      <c r="P724" s="1"/>
      <c r="Q724" s="1"/>
      <c r="R724">
        <f>presup!M$368</f>
        <v>0</v>
      </c>
    </row>
    <row r="725" spans="1:18" ht="15.75" customHeight="1" x14ac:dyDescent="0.2">
      <c r="A725" s="1"/>
      <c r="B725" s="1"/>
      <c r="C725" s="1"/>
      <c r="D725" s="1"/>
      <c r="E725" s="1"/>
      <c r="F725" s="1"/>
      <c r="G725" s="1"/>
      <c r="H725" s="1"/>
      <c r="I725" s="1"/>
      <c r="J725" s="1"/>
      <c r="K725" s="1"/>
      <c r="L725" s="1"/>
      <c r="M725" s="1"/>
      <c r="N725" s="1"/>
      <c r="O725" s="1"/>
      <c r="P725" s="1"/>
      <c r="Q725" s="1"/>
      <c r="R725">
        <f>presup!M$368</f>
        <v>0</v>
      </c>
    </row>
    <row r="726" spans="1:18" ht="15.75" customHeight="1" x14ac:dyDescent="0.2">
      <c r="A726" s="1"/>
      <c r="B726" s="1"/>
      <c r="C726" s="1"/>
      <c r="D726" s="1"/>
      <c r="E726" s="1"/>
      <c r="F726" s="1"/>
      <c r="G726" s="1"/>
      <c r="H726" s="1"/>
      <c r="I726" s="1"/>
      <c r="J726" s="1"/>
      <c r="K726" s="1"/>
      <c r="L726" s="1"/>
      <c r="M726" s="1"/>
      <c r="N726" s="1"/>
      <c r="O726" s="1"/>
      <c r="P726" s="1"/>
      <c r="Q726" s="1"/>
      <c r="R726">
        <f>presup!M$368</f>
        <v>0</v>
      </c>
    </row>
    <row r="727" spans="1:18" ht="15.75" customHeight="1" x14ac:dyDescent="0.2">
      <c r="A727" s="1"/>
      <c r="B727" s="1"/>
      <c r="C727" s="1"/>
      <c r="D727" s="1"/>
      <c r="E727" s="1"/>
      <c r="F727" s="1"/>
      <c r="G727" s="1"/>
      <c r="H727" s="1"/>
      <c r="I727" s="1"/>
      <c r="J727" s="1"/>
      <c r="K727" s="1"/>
      <c r="L727" s="1"/>
      <c r="M727" s="1"/>
      <c r="N727" s="1"/>
      <c r="O727" s="1"/>
      <c r="P727" s="1"/>
      <c r="Q727" s="1"/>
      <c r="R727">
        <f>presup!M$368</f>
        <v>0</v>
      </c>
    </row>
    <row r="728" spans="1:18" ht="15.75" customHeight="1" x14ac:dyDescent="0.2">
      <c r="A728" s="1"/>
      <c r="B728" s="1"/>
      <c r="C728" s="1"/>
      <c r="D728" s="1"/>
      <c r="E728" s="1"/>
      <c r="F728" s="1"/>
      <c r="G728" s="1"/>
      <c r="H728" s="1"/>
      <c r="I728" s="1"/>
      <c r="J728" s="1"/>
      <c r="K728" s="1"/>
      <c r="L728" s="1"/>
      <c r="M728" s="1"/>
      <c r="N728" s="1"/>
      <c r="O728" s="1"/>
      <c r="P728" s="1"/>
      <c r="Q728" s="1"/>
      <c r="R728">
        <f>presup!M$368</f>
        <v>0</v>
      </c>
    </row>
    <row r="729" spans="1:18" ht="15.75" customHeight="1" x14ac:dyDescent="0.2">
      <c r="A729" s="1"/>
      <c r="B729" s="1"/>
      <c r="C729" s="1"/>
      <c r="D729" s="1"/>
      <c r="E729" s="1"/>
      <c r="F729" s="1"/>
      <c r="G729" s="1"/>
      <c r="H729" s="1"/>
      <c r="I729" s="1"/>
      <c r="J729" s="1"/>
      <c r="K729" s="1"/>
      <c r="L729" s="1"/>
      <c r="M729" s="1"/>
      <c r="N729" s="1"/>
      <c r="O729" s="1"/>
      <c r="P729" s="1"/>
      <c r="Q729" s="1"/>
      <c r="R729">
        <f>presup!M$368</f>
        <v>0</v>
      </c>
    </row>
    <row r="730" spans="1:18" ht="15.75" customHeight="1" x14ac:dyDescent="0.2">
      <c r="A730" s="1"/>
      <c r="B730" s="1"/>
      <c r="C730" s="1"/>
      <c r="D730" s="1"/>
      <c r="E730" s="1"/>
      <c r="F730" s="1"/>
      <c r="G730" s="1"/>
      <c r="H730" s="1"/>
      <c r="I730" s="1"/>
      <c r="J730" s="1"/>
      <c r="K730" s="1"/>
      <c r="L730" s="1"/>
      <c r="M730" s="1"/>
      <c r="N730" s="1"/>
      <c r="O730" s="1"/>
      <c r="P730" s="1"/>
      <c r="Q730" s="1"/>
      <c r="R730">
        <f>presup!M$368</f>
        <v>0</v>
      </c>
    </row>
    <row r="731" spans="1:18" ht="15.75" customHeight="1" x14ac:dyDescent="0.2">
      <c r="A731" s="1"/>
      <c r="B731" s="1"/>
      <c r="C731" s="1"/>
      <c r="D731" s="1"/>
      <c r="E731" s="1"/>
      <c r="F731" s="1"/>
      <c r="G731" s="1"/>
      <c r="H731" s="1"/>
      <c r="I731" s="1"/>
      <c r="J731" s="1"/>
      <c r="K731" s="1"/>
      <c r="L731" s="1"/>
      <c r="M731" s="1"/>
      <c r="N731" s="1"/>
      <c r="O731" s="1"/>
      <c r="P731" s="1"/>
      <c r="Q731" s="1"/>
      <c r="R731">
        <f>presup!M$368</f>
        <v>0</v>
      </c>
    </row>
    <row r="732" spans="1:18" ht="15.75" customHeight="1" x14ac:dyDescent="0.2">
      <c r="A732" s="1"/>
      <c r="B732" s="1"/>
      <c r="C732" s="1"/>
      <c r="D732" s="1"/>
      <c r="E732" s="1"/>
      <c r="F732" s="1"/>
      <c r="G732" s="1"/>
      <c r="H732" s="1"/>
      <c r="I732" s="1"/>
      <c r="J732" s="1"/>
      <c r="K732" s="1"/>
      <c r="L732" s="1"/>
      <c r="M732" s="1"/>
      <c r="N732" s="1"/>
      <c r="O732" s="1"/>
      <c r="P732" s="1"/>
      <c r="Q732" s="1"/>
      <c r="R732">
        <f>presup!M$368</f>
        <v>0</v>
      </c>
    </row>
    <row r="733" spans="1:18" ht="15.75" customHeight="1" x14ac:dyDescent="0.2">
      <c r="A733" s="1"/>
      <c r="B733" s="1"/>
      <c r="C733" s="1"/>
      <c r="D733" s="1"/>
      <c r="E733" s="1"/>
      <c r="F733" s="1"/>
      <c r="G733" s="1"/>
      <c r="H733" s="1"/>
      <c r="I733" s="1"/>
      <c r="J733" s="1"/>
      <c r="K733" s="1"/>
      <c r="L733" s="1"/>
      <c r="M733" s="1"/>
      <c r="N733" s="1"/>
      <c r="O733" s="1"/>
      <c r="P733" s="1"/>
      <c r="Q733" s="1"/>
      <c r="R733">
        <f>presup!M$368</f>
        <v>0</v>
      </c>
    </row>
    <row r="734" spans="1:18" ht="15.75" customHeight="1" x14ac:dyDescent="0.2">
      <c r="A734" s="1"/>
      <c r="B734" s="1"/>
      <c r="C734" s="1"/>
      <c r="D734" s="1"/>
      <c r="E734" s="1"/>
      <c r="F734" s="1"/>
      <c r="G734" s="1"/>
      <c r="H734" s="1"/>
      <c r="I734" s="1"/>
      <c r="J734" s="1"/>
      <c r="K734" s="1"/>
      <c r="L734" s="1"/>
      <c r="M734" s="1"/>
      <c r="N734" s="1"/>
      <c r="O734" s="1"/>
      <c r="P734" s="1"/>
      <c r="Q734" s="1"/>
      <c r="R734">
        <f>presup!M$368</f>
        <v>0</v>
      </c>
    </row>
    <row r="735" spans="1:18" ht="15.75" customHeight="1" x14ac:dyDescent="0.2">
      <c r="A735" s="1"/>
      <c r="B735" s="1"/>
      <c r="C735" s="1"/>
      <c r="D735" s="1"/>
      <c r="E735" s="1"/>
      <c r="F735" s="1"/>
      <c r="G735" s="1"/>
      <c r="H735" s="1"/>
      <c r="I735" s="1"/>
      <c r="J735" s="1"/>
      <c r="K735" s="1"/>
      <c r="L735" s="1"/>
      <c r="M735" s="1"/>
      <c r="N735" s="1"/>
      <c r="O735" s="1"/>
      <c r="P735" s="1"/>
      <c r="Q735" s="1"/>
      <c r="R735">
        <f>presup!M$368</f>
        <v>0</v>
      </c>
    </row>
    <row r="736" spans="1:18" ht="15.75" customHeight="1" x14ac:dyDescent="0.2">
      <c r="A736" s="1"/>
      <c r="B736" s="1"/>
      <c r="C736" s="1"/>
      <c r="D736" s="1"/>
      <c r="E736" s="1"/>
      <c r="F736" s="1"/>
      <c r="G736" s="1"/>
      <c r="H736" s="1"/>
      <c r="I736" s="1"/>
      <c r="J736" s="1"/>
      <c r="K736" s="1"/>
      <c r="L736" s="1"/>
      <c r="M736" s="1"/>
      <c r="N736" s="1"/>
      <c r="O736" s="1"/>
      <c r="P736" s="1"/>
      <c r="Q736" s="1"/>
      <c r="R736">
        <f>presup!M$368</f>
        <v>0</v>
      </c>
    </row>
    <row r="737" spans="1:18" ht="15.75" customHeight="1" x14ac:dyDescent="0.2">
      <c r="A737" s="1"/>
      <c r="B737" s="1"/>
      <c r="C737" s="1"/>
      <c r="D737" s="1"/>
      <c r="E737" s="1"/>
      <c r="F737" s="1"/>
      <c r="G737" s="1"/>
      <c r="H737" s="1"/>
      <c r="I737" s="1"/>
      <c r="J737" s="1"/>
      <c r="K737" s="1"/>
      <c r="L737" s="1"/>
      <c r="M737" s="1"/>
      <c r="N737" s="1"/>
      <c r="O737" s="1"/>
      <c r="P737" s="1"/>
      <c r="Q737" s="1"/>
      <c r="R737">
        <f>presup!M$368</f>
        <v>0</v>
      </c>
    </row>
    <row r="738" spans="1:18" ht="15.75" customHeight="1" x14ac:dyDescent="0.2">
      <c r="A738" s="1"/>
      <c r="B738" s="1"/>
      <c r="C738" s="1"/>
      <c r="D738" s="1"/>
      <c r="E738" s="1"/>
      <c r="F738" s="1"/>
      <c r="G738" s="1"/>
      <c r="H738" s="1"/>
      <c r="I738" s="1"/>
      <c r="J738" s="1"/>
      <c r="K738" s="1"/>
      <c r="L738" s="1"/>
      <c r="M738" s="1"/>
      <c r="N738" s="1"/>
      <c r="O738" s="1"/>
      <c r="P738" s="1"/>
      <c r="Q738" s="1"/>
      <c r="R738">
        <f>presup!M$368</f>
        <v>0</v>
      </c>
    </row>
    <row r="739" spans="1:18" ht="15.75" customHeight="1" x14ac:dyDescent="0.2">
      <c r="A739" s="1"/>
      <c r="B739" s="1"/>
      <c r="C739" s="1"/>
      <c r="D739" s="1"/>
      <c r="E739" s="1"/>
      <c r="F739" s="1"/>
      <c r="G739" s="1"/>
      <c r="H739" s="1"/>
      <c r="I739" s="1"/>
      <c r="J739" s="1"/>
      <c r="K739" s="1"/>
      <c r="L739" s="1"/>
      <c r="M739" s="1"/>
      <c r="N739" s="1"/>
      <c r="O739" s="1"/>
      <c r="P739" s="1"/>
      <c r="Q739" s="1"/>
      <c r="R739">
        <f>presup!M$368</f>
        <v>0</v>
      </c>
    </row>
    <row r="740" spans="1:18" ht="15.75" customHeight="1" x14ac:dyDescent="0.2">
      <c r="A740" s="1"/>
      <c r="B740" s="1"/>
      <c r="C740" s="1"/>
      <c r="D740" s="1"/>
      <c r="E740" s="1"/>
      <c r="F740" s="1"/>
      <c r="G740" s="1"/>
      <c r="H740" s="1"/>
      <c r="I740" s="1"/>
      <c r="J740" s="1"/>
      <c r="K740" s="1"/>
      <c r="L740" s="1"/>
      <c r="M740" s="1"/>
      <c r="N740" s="1"/>
      <c r="O740" s="1"/>
      <c r="P740" s="1"/>
      <c r="Q740" s="1"/>
      <c r="R740">
        <f>presup!M$368</f>
        <v>0</v>
      </c>
    </row>
    <row r="741" spans="1:18" ht="15.75" customHeight="1" x14ac:dyDescent="0.2">
      <c r="A741" s="1"/>
      <c r="B741" s="1"/>
      <c r="C741" s="1"/>
      <c r="D741" s="1"/>
      <c r="E741" s="1"/>
      <c r="F741" s="1"/>
      <c r="G741" s="1"/>
      <c r="H741" s="1"/>
      <c r="I741" s="1"/>
      <c r="J741" s="1"/>
      <c r="K741" s="1"/>
      <c r="L741" s="1"/>
      <c r="M741" s="1"/>
      <c r="N741" s="1"/>
      <c r="O741" s="1"/>
      <c r="P741" s="1"/>
      <c r="Q741" s="1"/>
      <c r="R741">
        <f>presup!M$368</f>
        <v>0</v>
      </c>
    </row>
    <row r="742" spans="1:18" ht="15.75" customHeight="1" x14ac:dyDescent="0.2">
      <c r="A742" s="1"/>
      <c r="B742" s="1"/>
      <c r="C742" s="1"/>
      <c r="D742" s="1"/>
      <c r="E742" s="1"/>
      <c r="F742" s="1"/>
      <c r="G742" s="1"/>
      <c r="H742" s="1"/>
      <c r="I742" s="1"/>
      <c r="J742" s="1"/>
      <c r="K742" s="1"/>
      <c r="L742" s="1"/>
      <c r="M742" s="1"/>
      <c r="N742" s="1"/>
      <c r="O742" s="1"/>
      <c r="P742" s="1"/>
      <c r="Q742" s="1"/>
      <c r="R742">
        <f>presup!M$368</f>
        <v>0</v>
      </c>
    </row>
    <row r="743" spans="1:18" ht="15.75" customHeight="1" x14ac:dyDescent="0.2">
      <c r="A743" s="1"/>
      <c r="B743" s="1"/>
      <c r="C743" s="1"/>
      <c r="D743" s="1"/>
      <c r="E743" s="1"/>
      <c r="F743" s="1"/>
      <c r="G743" s="1"/>
      <c r="H743" s="1"/>
      <c r="I743" s="1"/>
      <c r="J743" s="1"/>
      <c r="K743" s="1"/>
      <c r="L743" s="1"/>
      <c r="M743" s="1"/>
      <c r="N743" s="1"/>
      <c r="O743" s="1"/>
      <c r="P743" s="1"/>
      <c r="Q743" s="1"/>
      <c r="R743">
        <f>presup!M$368</f>
        <v>0</v>
      </c>
    </row>
    <row r="744" spans="1:18" ht="15.75" customHeight="1" x14ac:dyDescent="0.2">
      <c r="A744" s="1"/>
      <c r="B744" s="1"/>
      <c r="C744" s="1"/>
      <c r="D744" s="1"/>
      <c r="E744" s="1"/>
      <c r="F744" s="1"/>
      <c r="G744" s="1"/>
      <c r="H744" s="1"/>
      <c r="I744" s="1"/>
      <c r="J744" s="1"/>
      <c r="K744" s="1"/>
      <c r="L744" s="1"/>
      <c r="M744" s="1"/>
      <c r="N744" s="1"/>
      <c r="O744" s="1"/>
      <c r="P744" s="1"/>
      <c r="Q744" s="1"/>
      <c r="R744">
        <f>presup!M$368</f>
        <v>0</v>
      </c>
    </row>
    <row r="745" spans="1:18" ht="15.75" customHeight="1" x14ac:dyDescent="0.2">
      <c r="A745" s="1"/>
      <c r="B745" s="1"/>
      <c r="C745" s="1"/>
      <c r="D745" s="1"/>
      <c r="E745" s="1"/>
      <c r="F745" s="1"/>
      <c r="G745" s="1"/>
      <c r="H745" s="1"/>
      <c r="I745" s="1"/>
      <c r="J745" s="1"/>
      <c r="K745" s="1"/>
      <c r="L745" s="1"/>
      <c r="M745" s="1"/>
      <c r="N745" s="1"/>
      <c r="O745" s="1"/>
      <c r="P745" s="1"/>
      <c r="Q745" s="1"/>
      <c r="R745">
        <f>presup!M$368</f>
        <v>0</v>
      </c>
    </row>
    <row r="746" spans="1:18" ht="15.75" customHeight="1" x14ac:dyDescent="0.2">
      <c r="A746" s="1"/>
      <c r="B746" s="1"/>
      <c r="C746" s="1"/>
      <c r="D746" s="1"/>
      <c r="E746" s="1"/>
      <c r="F746" s="1"/>
      <c r="G746" s="1"/>
      <c r="H746" s="1"/>
      <c r="I746" s="1"/>
      <c r="J746" s="1"/>
      <c r="K746" s="1"/>
      <c r="L746" s="1"/>
      <c r="M746" s="1"/>
      <c r="N746" s="1"/>
      <c r="O746" s="1"/>
      <c r="P746" s="1"/>
      <c r="Q746" s="1"/>
      <c r="R746">
        <f>presup!M$368</f>
        <v>0</v>
      </c>
    </row>
    <row r="747" spans="1:18" ht="15.75" customHeight="1" x14ac:dyDescent="0.2">
      <c r="A747" s="1"/>
      <c r="B747" s="1"/>
      <c r="C747" s="1"/>
      <c r="D747" s="1"/>
      <c r="E747" s="1"/>
      <c r="F747" s="1"/>
      <c r="G747" s="1"/>
      <c r="H747" s="1"/>
      <c r="I747" s="1"/>
      <c r="J747" s="1"/>
      <c r="K747" s="1"/>
      <c r="L747" s="1"/>
      <c r="M747" s="1"/>
      <c r="N747" s="1"/>
      <c r="O747" s="1"/>
      <c r="P747" s="1"/>
      <c r="Q747" s="1"/>
      <c r="R747">
        <f>presup!M$368</f>
        <v>0</v>
      </c>
    </row>
    <row r="748" spans="1:18" ht="15.75" customHeight="1" x14ac:dyDescent="0.2">
      <c r="A748" s="1"/>
      <c r="B748" s="1"/>
      <c r="C748" s="1"/>
      <c r="D748" s="1"/>
      <c r="E748" s="1"/>
      <c r="F748" s="1"/>
      <c r="G748" s="1"/>
      <c r="H748" s="1"/>
      <c r="I748" s="1"/>
      <c r="J748" s="1"/>
      <c r="K748" s="1"/>
      <c r="L748" s="1"/>
      <c r="M748" s="1"/>
      <c r="N748" s="1"/>
      <c r="O748" s="1"/>
      <c r="P748" s="1"/>
      <c r="Q748" s="1"/>
      <c r="R748">
        <f>presup!M$368</f>
        <v>0</v>
      </c>
    </row>
    <row r="749" spans="1:18" ht="15.75" customHeight="1" x14ac:dyDescent="0.2">
      <c r="A749" s="1"/>
      <c r="B749" s="1"/>
      <c r="C749" s="1"/>
      <c r="D749" s="1"/>
      <c r="E749" s="1"/>
      <c r="F749" s="1"/>
      <c r="G749" s="1"/>
      <c r="H749" s="1"/>
      <c r="I749" s="1"/>
      <c r="J749" s="1"/>
      <c r="K749" s="1"/>
      <c r="L749" s="1"/>
      <c r="M749" s="1"/>
      <c r="N749" s="1"/>
      <c r="O749" s="1"/>
      <c r="P749" s="1"/>
      <c r="Q749" s="1"/>
      <c r="R749">
        <f>presup!M$368</f>
        <v>0</v>
      </c>
    </row>
    <row r="750" spans="1:18" ht="15.75" customHeight="1" x14ac:dyDescent="0.2">
      <c r="A750" s="1"/>
      <c r="B750" s="1"/>
      <c r="C750" s="1"/>
      <c r="D750" s="1"/>
      <c r="E750" s="1"/>
      <c r="F750" s="1"/>
      <c r="G750" s="1"/>
      <c r="H750" s="1"/>
      <c r="I750" s="1"/>
      <c r="J750" s="1"/>
      <c r="K750" s="1"/>
      <c r="L750" s="1"/>
      <c r="M750" s="1"/>
      <c r="N750" s="1"/>
      <c r="O750" s="1"/>
      <c r="P750" s="1"/>
      <c r="Q750" s="1"/>
      <c r="R750">
        <f>presup!M$368</f>
        <v>0</v>
      </c>
    </row>
    <row r="751" spans="1:18" ht="15.75" customHeight="1" x14ac:dyDescent="0.2">
      <c r="A751" s="1"/>
      <c r="B751" s="1"/>
      <c r="C751" s="1"/>
      <c r="D751" s="1"/>
      <c r="E751" s="1"/>
      <c r="F751" s="1"/>
      <c r="G751" s="1"/>
      <c r="H751" s="1"/>
      <c r="I751" s="1"/>
      <c r="J751" s="1"/>
      <c r="K751" s="1"/>
      <c r="L751" s="1"/>
      <c r="M751" s="1"/>
      <c r="N751" s="1"/>
      <c r="O751" s="1"/>
      <c r="P751" s="1"/>
      <c r="Q751" s="1"/>
      <c r="R751">
        <f>presup!M$368</f>
        <v>0</v>
      </c>
    </row>
    <row r="752" spans="1:18" ht="15.75" customHeight="1" x14ac:dyDescent="0.2">
      <c r="A752" s="1"/>
      <c r="B752" s="1"/>
      <c r="C752" s="1"/>
      <c r="D752" s="1"/>
      <c r="E752" s="1"/>
      <c r="F752" s="1"/>
      <c r="G752" s="1"/>
      <c r="H752" s="1"/>
      <c r="I752" s="1"/>
      <c r="J752" s="1"/>
      <c r="K752" s="1"/>
      <c r="L752" s="1"/>
      <c r="M752" s="1"/>
      <c r="N752" s="1"/>
      <c r="O752" s="1"/>
      <c r="P752" s="1"/>
      <c r="Q752" s="1"/>
      <c r="R752">
        <f>presup!M$368</f>
        <v>0</v>
      </c>
    </row>
    <row r="753" spans="1:18" ht="15.75" customHeight="1" x14ac:dyDescent="0.2">
      <c r="A753" s="1"/>
      <c r="B753" s="1"/>
      <c r="C753" s="1"/>
      <c r="D753" s="1"/>
      <c r="E753" s="1"/>
      <c r="F753" s="1"/>
      <c r="G753" s="1"/>
      <c r="H753" s="1"/>
      <c r="I753" s="1"/>
      <c r="J753" s="1"/>
      <c r="K753" s="1"/>
      <c r="L753" s="1"/>
      <c r="M753" s="1"/>
      <c r="N753" s="1"/>
      <c r="O753" s="1"/>
      <c r="P753" s="1"/>
      <c r="Q753" s="1"/>
      <c r="R753">
        <f>presup!M$368</f>
        <v>0</v>
      </c>
    </row>
    <row r="754" spans="1:18" ht="15.75" customHeight="1" x14ac:dyDescent="0.2">
      <c r="A754" s="1"/>
      <c r="B754" s="1"/>
      <c r="C754" s="1"/>
      <c r="D754" s="1"/>
      <c r="E754" s="1"/>
      <c r="F754" s="1"/>
      <c r="G754" s="1"/>
      <c r="H754" s="1"/>
      <c r="I754" s="1"/>
      <c r="J754" s="1"/>
      <c r="K754" s="1"/>
      <c r="L754" s="1"/>
      <c r="M754" s="1"/>
      <c r="N754" s="1"/>
      <c r="O754" s="1"/>
      <c r="P754" s="1"/>
      <c r="Q754" s="1"/>
      <c r="R754">
        <f>presup!M$368</f>
        <v>0</v>
      </c>
    </row>
    <row r="755" spans="1:18" ht="15.75" customHeight="1" x14ac:dyDescent="0.2">
      <c r="A755" s="1"/>
      <c r="B755" s="1"/>
      <c r="C755" s="1"/>
      <c r="D755" s="1"/>
      <c r="E755" s="1"/>
      <c r="F755" s="1"/>
      <c r="G755" s="1"/>
      <c r="H755" s="1"/>
      <c r="I755" s="1"/>
      <c r="J755" s="1"/>
      <c r="K755" s="1"/>
      <c r="L755" s="1"/>
      <c r="M755" s="1"/>
      <c r="N755" s="1"/>
      <c r="O755" s="1"/>
      <c r="P755" s="1"/>
      <c r="Q755" s="1"/>
      <c r="R755">
        <f>presup!M$368</f>
        <v>0</v>
      </c>
    </row>
    <row r="756" spans="1:18" ht="15.75" customHeight="1" x14ac:dyDescent="0.2">
      <c r="A756" s="1"/>
      <c r="B756" s="1"/>
      <c r="C756" s="1"/>
      <c r="D756" s="1"/>
      <c r="E756" s="1"/>
      <c r="F756" s="1"/>
      <c r="G756" s="1"/>
      <c r="H756" s="1"/>
      <c r="I756" s="1"/>
      <c r="J756" s="1"/>
      <c r="K756" s="1"/>
      <c r="L756" s="1"/>
      <c r="M756" s="1"/>
      <c r="N756" s="1"/>
      <c r="O756" s="1"/>
      <c r="P756" s="1"/>
      <c r="Q756" s="1"/>
      <c r="R756">
        <f>presup!M$368</f>
        <v>0</v>
      </c>
    </row>
    <row r="757" spans="1:18" ht="15.75" customHeight="1" x14ac:dyDescent="0.2">
      <c r="A757" s="1"/>
      <c r="B757" s="1"/>
      <c r="C757" s="1"/>
      <c r="D757" s="1"/>
      <c r="E757" s="1"/>
      <c r="F757" s="1"/>
      <c r="G757" s="1"/>
      <c r="H757" s="1"/>
      <c r="I757" s="1"/>
      <c r="J757" s="1"/>
      <c r="K757" s="1"/>
      <c r="L757" s="1"/>
      <c r="M757" s="1"/>
      <c r="N757" s="1"/>
      <c r="O757" s="1"/>
      <c r="P757" s="1"/>
      <c r="Q757" s="1"/>
      <c r="R757">
        <f>presup!M$368</f>
        <v>0</v>
      </c>
    </row>
    <row r="758" spans="1:18" ht="15.75" customHeight="1" x14ac:dyDescent="0.2">
      <c r="A758" s="1"/>
      <c r="B758" s="1"/>
      <c r="C758" s="1"/>
      <c r="D758" s="1"/>
      <c r="E758" s="1"/>
      <c r="F758" s="1"/>
      <c r="G758" s="1"/>
      <c r="H758" s="1"/>
      <c r="I758" s="1"/>
      <c r="J758" s="1"/>
      <c r="K758" s="1"/>
      <c r="L758" s="1"/>
      <c r="M758" s="1"/>
      <c r="N758" s="1"/>
      <c r="O758" s="1"/>
      <c r="P758" s="1"/>
      <c r="Q758" s="1"/>
      <c r="R758">
        <f>presup!M$368</f>
        <v>0</v>
      </c>
    </row>
    <row r="759" spans="1:18" ht="15.75" customHeight="1" x14ac:dyDescent="0.2">
      <c r="A759" s="1"/>
      <c r="B759" s="1"/>
      <c r="C759" s="1"/>
      <c r="D759" s="1"/>
      <c r="E759" s="1"/>
      <c r="F759" s="1"/>
      <c r="G759" s="1"/>
      <c r="H759" s="1"/>
      <c r="I759" s="1"/>
      <c r="J759" s="1"/>
      <c r="K759" s="1"/>
      <c r="L759" s="1"/>
      <c r="M759" s="1"/>
      <c r="N759" s="1"/>
      <c r="O759" s="1"/>
      <c r="P759" s="1"/>
      <c r="Q759" s="1"/>
      <c r="R759">
        <f>presup!M$368</f>
        <v>0</v>
      </c>
    </row>
    <row r="760" spans="1:18" ht="15.75" customHeight="1" x14ac:dyDescent="0.2">
      <c r="A760" s="1"/>
      <c r="B760" s="1"/>
      <c r="C760" s="1"/>
      <c r="D760" s="1"/>
      <c r="E760" s="1"/>
      <c r="F760" s="1"/>
      <c r="G760" s="1"/>
      <c r="H760" s="1"/>
      <c r="I760" s="1"/>
      <c r="J760" s="1"/>
      <c r="K760" s="1"/>
      <c r="L760" s="1"/>
      <c r="M760" s="1"/>
      <c r="N760" s="1"/>
      <c r="O760" s="1"/>
      <c r="P760" s="1"/>
      <c r="Q760" s="1"/>
      <c r="R760">
        <f>presup!M$368</f>
        <v>0</v>
      </c>
    </row>
    <row r="761" spans="1:18" ht="15.75" customHeight="1" x14ac:dyDescent="0.2">
      <c r="A761" s="1"/>
      <c r="B761" s="1"/>
      <c r="C761" s="1"/>
      <c r="D761" s="1"/>
      <c r="E761" s="1"/>
      <c r="F761" s="1"/>
      <c r="G761" s="1"/>
      <c r="H761" s="1"/>
      <c r="I761" s="1"/>
      <c r="J761" s="1"/>
      <c r="K761" s="1"/>
      <c r="L761" s="1"/>
      <c r="M761" s="1"/>
      <c r="N761" s="1"/>
      <c r="O761" s="1"/>
      <c r="P761" s="1"/>
      <c r="Q761" s="1"/>
      <c r="R761">
        <f>presup!M$368</f>
        <v>0</v>
      </c>
    </row>
    <row r="762" spans="1:18" ht="15.75" customHeight="1" x14ac:dyDescent="0.2">
      <c r="A762" s="1"/>
      <c r="B762" s="1"/>
      <c r="C762" s="1"/>
      <c r="D762" s="1"/>
      <c r="E762" s="1"/>
      <c r="F762" s="1"/>
      <c r="G762" s="1"/>
      <c r="H762" s="1"/>
      <c r="I762" s="1"/>
      <c r="J762" s="1"/>
      <c r="K762" s="1"/>
      <c r="L762" s="1"/>
      <c r="M762" s="1"/>
      <c r="N762" s="1"/>
      <c r="O762" s="1"/>
      <c r="P762" s="1"/>
      <c r="Q762" s="1"/>
      <c r="R762">
        <f>presup!M$368</f>
        <v>0</v>
      </c>
    </row>
    <row r="763" spans="1:18" ht="15.75" customHeight="1" x14ac:dyDescent="0.2">
      <c r="A763" s="1"/>
      <c r="B763" s="1"/>
      <c r="C763" s="1"/>
      <c r="D763" s="1"/>
      <c r="E763" s="1"/>
      <c r="F763" s="1"/>
      <c r="G763" s="1"/>
      <c r="H763" s="1"/>
      <c r="I763" s="1"/>
      <c r="J763" s="1"/>
      <c r="K763" s="1"/>
      <c r="L763" s="1"/>
      <c r="M763" s="1"/>
      <c r="N763" s="1"/>
      <c r="O763" s="1"/>
      <c r="P763" s="1"/>
      <c r="Q763" s="1"/>
      <c r="R763">
        <f>presup!M$368</f>
        <v>0</v>
      </c>
    </row>
    <row r="764" spans="1:18" ht="15.75" customHeight="1" x14ac:dyDescent="0.2">
      <c r="A764" s="1"/>
      <c r="B764" s="1"/>
      <c r="C764" s="1"/>
      <c r="D764" s="1"/>
      <c r="E764" s="1"/>
      <c r="F764" s="1"/>
      <c r="G764" s="1"/>
      <c r="H764" s="1"/>
      <c r="I764" s="1"/>
      <c r="J764" s="1"/>
      <c r="K764" s="1"/>
      <c r="L764" s="1"/>
      <c r="M764" s="1"/>
      <c r="N764" s="1"/>
      <c r="O764" s="1"/>
      <c r="P764" s="1"/>
      <c r="Q764" s="1"/>
      <c r="R764">
        <f>presup!M$368</f>
        <v>0</v>
      </c>
    </row>
    <row r="765" spans="1:18" ht="15.75" customHeight="1" x14ac:dyDescent="0.2">
      <c r="A765" s="1"/>
      <c r="B765" s="1"/>
      <c r="C765" s="1"/>
      <c r="D765" s="1"/>
      <c r="E765" s="1"/>
      <c r="F765" s="1"/>
      <c r="G765" s="1"/>
      <c r="H765" s="1"/>
      <c r="I765" s="1"/>
      <c r="J765" s="1"/>
      <c r="K765" s="1"/>
      <c r="L765" s="1"/>
      <c r="M765" s="1"/>
      <c r="N765" s="1"/>
      <c r="O765" s="1"/>
      <c r="P765" s="1"/>
      <c r="Q765" s="1"/>
      <c r="R765">
        <f>presup!M$368</f>
        <v>0</v>
      </c>
    </row>
    <row r="766" spans="1:18" ht="15.75" customHeight="1" x14ac:dyDescent="0.2">
      <c r="A766" s="1"/>
      <c r="B766" s="1"/>
      <c r="C766" s="1"/>
      <c r="D766" s="1"/>
      <c r="E766" s="1"/>
      <c r="F766" s="1"/>
      <c r="G766" s="1"/>
      <c r="H766" s="1"/>
      <c r="I766" s="1"/>
      <c r="J766" s="1"/>
      <c r="K766" s="1"/>
      <c r="L766" s="1"/>
      <c r="M766" s="1"/>
      <c r="N766" s="1"/>
      <c r="O766" s="1"/>
      <c r="P766" s="1"/>
      <c r="Q766" s="1"/>
      <c r="R766">
        <f>presup!M$368</f>
        <v>0</v>
      </c>
    </row>
    <row r="767" spans="1:18" ht="15.75" customHeight="1" x14ac:dyDescent="0.2">
      <c r="A767" s="1"/>
      <c r="B767" s="1"/>
      <c r="C767" s="1"/>
      <c r="D767" s="1"/>
      <c r="E767" s="1"/>
      <c r="F767" s="1"/>
      <c r="G767" s="1"/>
      <c r="H767" s="1"/>
      <c r="I767" s="1"/>
      <c r="J767" s="1"/>
      <c r="K767" s="1"/>
      <c r="L767" s="1"/>
      <c r="M767" s="1"/>
      <c r="N767" s="1"/>
      <c r="O767" s="1"/>
      <c r="P767" s="1"/>
      <c r="Q767" s="1"/>
      <c r="R767">
        <f>presup!M$368</f>
        <v>0</v>
      </c>
    </row>
    <row r="768" spans="1:18" ht="15.75" customHeight="1" x14ac:dyDescent="0.2">
      <c r="A768" s="1"/>
      <c r="B768" s="1"/>
      <c r="C768" s="1"/>
      <c r="D768" s="1"/>
      <c r="E768" s="1"/>
      <c r="F768" s="1"/>
      <c r="G768" s="1"/>
      <c r="H768" s="1"/>
      <c r="I768" s="1"/>
      <c r="J768" s="1"/>
      <c r="K768" s="1"/>
      <c r="L768" s="1"/>
      <c r="M768" s="1"/>
      <c r="N768" s="1"/>
      <c r="O768" s="1"/>
      <c r="P768" s="1"/>
      <c r="Q768" s="1"/>
      <c r="R768">
        <f>presup!M$368</f>
        <v>0</v>
      </c>
    </row>
    <row r="769" spans="1:18" ht="15.75" customHeight="1" x14ac:dyDescent="0.2">
      <c r="A769" s="1"/>
      <c r="B769" s="1"/>
      <c r="C769" s="1"/>
      <c r="D769" s="1"/>
      <c r="E769" s="1"/>
      <c r="F769" s="1"/>
      <c r="G769" s="1"/>
      <c r="H769" s="1"/>
      <c r="I769" s="1"/>
      <c r="J769" s="1"/>
      <c r="K769" s="1"/>
      <c r="L769" s="1"/>
      <c r="M769" s="1"/>
      <c r="N769" s="1"/>
      <c r="O769" s="1"/>
      <c r="P769" s="1"/>
      <c r="Q769" s="1"/>
      <c r="R769">
        <f>presup!M$368</f>
        <v>0</v>
      </c>
    </row>
    <row r="770" spans="1:18" ht="15.75" customHeight="1" x14ac:dyDescent="0.2">
      <c r="A770" s="1"/>
      <c r="B770" s="1"/>
      <c r="C770" s="1"/>
      <c r="D770" s="1"/>
      <c r="E770" s="1"/>
      <c r="F770" s="1"/>
      <c r="G770" s="1"/>
      <c r="H770" s="1"/>
      <c r="I770" s="1"/>
      <c r="J770" s="1"/>
      <c r="K770" s="1"/>
      <c r="L770" s="1"/>
      <c r="M770" s="1"/>
      <c r="N770" s="1"/>
      <c r="O770" s="1"/>
      <c r="P770" s="1"/>
      <c r="Q770" s="1"/>
      <c r="R770">
        <f>presup!M$368</f>
        <v>0</v>
      </c>
    </row>
    <row r="771" spans="1:18" ht="15.75" customHeight="1" x14ac:dyDescent="0.2">
      <c r="A771" s="1"/>
      <c r="B771" s="1"/>
      <c r="C771" s="1"/>
      <c r="D771" s="1"/>
      <c r="E771" s="1"/>
      <c r="F771" s="1"/>
      <c r="G771" s="1"/>
      <c r="H771" s="1"/>
      <c r="I771" s="1"/>
      <c r="J771" s="1"/>
      <c r="K771" s="1"/>
      <c r="L771" s="1"/>
      <c r="M771" s="1"/>
      <c r="N771" s="1"/>
      <c r="O771" s="1"/>
      <c r="P771" s="1"/>
      <c r="Q771" s="1"/>
      <c r="R771">
        <f>presup!M$368</f>
        <v>0</v>
      </c>
    </row>
    <row r="772" spans="1:18" ht="15.75" customHeight="1" x14ac:dyDescent="0.2">
      <c r="A772" s="1"/>
      <c r="B772" s="1"/>
      <c r="C772" s="1"/>
      <c r="D772" s="1"/>
      <c r="E772" s="1"/>
      <c r="F772" s="1"/>
      <c r="G772" s="1"/>
      <c r="H772" s="1"/>
      <c r="I772" s="1"/>
      <c r="J772" s="1"/>
      <c r="K772" s="1"/>
      <c r="L772" s="1"/>
      <c r="M772" s="1"/>
      <c r="N772" s="1"/>
      <c r="O772" s="1"/>
      <c r="P772" s="1"/>
      <c r="Q772" s="1"/>
      <c r="R772">
        <f>presup!M$368</f>
        <v>0</v>
      </c>
    </row>
    <row r="773" spans="1:18" ht="15.75" customHeight="1" x14ac:dyDescent="0.2">
      <c r="A773" s="1"/>
      <c r="B773" s="1"/>
      <c r="C773" s="1"/>
      <c r="D773" s="1"/>
      <c r="E773" s="1"/>
      <c r="F773" s="1"/>
      <c r="G773" s="1"/>
      <c r="H773" s="1"/>
      <c r="I773" s="1"/>
      <c r="J773" s="1"/>
      <c r="K773" s="1"/>
      <c r="L773" s="1"/>
      <c r="M773" s="1"/>
      <c r="N773" s="1"/>
      <c r="O773" s="1"/>
      <c r="P773" s="1"/>
      <c r="Q773" s="1"/>
      <c r="R773">
        <f>presup!M$368</f>
        <v>0</v>
      </c>
    </row>
    <row r="774" spans="1:18" ht="15.75" customHeight="1" x14ac:dyDescent="0.2">
      <c r="A774" s="1"/>
      <c r="B774" s="1"/>
      <c r="C774" s="1"/>
      <c r="D774" s="1"/>
      <c r="E774" s="1"/>
      <c r="F774" s="1"/>
      <c r="G774" s="1"/>
      <c r="H774" s="1"/>
      <c r="I774" s="1"/>
      <c r="J774" s="1"/>
      <c r="K774" s="1"/>
      <c r="L774" s="1"/>
      <c r="M774" s="1"/>
      <c r="N774" s="1"/>
      <c r="O774" s="1"/>
      <c r="P774" s="1"/>
      <c r="Q774" s="1"/>
      <c r="R774">
        <f>presup!M$368</f>
        <v>0</v>
      </c>
    </row>
    <row r="775" spans="1:18" ht="15.75" customHeight="1" x14ac:dyDescent="0.2">
      <c r="A775" s="1"/>
      <c r="B775" s="1"/>
      <c r="C775" s="1"/>
      <c r="D775" s="1"/>
      <c r="E775" s="1"/>
      <c r="F775" s="1"/>
      <c r="G775" s="1"/>
      <c r="H775" s="1"/>
      <c r="I775" s="1"/>
      <c r="J775" s="1"/>
      <c r="K775" s="1"/>
      <c r="L775" s="1"/>
      <c r="M775" s="1"/>
      <c r="N775" s="1"/>
      <c r="O775" s="1"/>
      <c r="P775" s="1"/>
      <c r="Q775" s="1"/>
      <c r="R775">
        <f>presup!M$368</f>
        <v>0</v>
      </c>
    </row>
    <row r="776" spans="1:18" ht="15.75" customHeight="1" x14ac:dyDescent="0.2">
      <c r="A776" s="1"/>
      <c r="B776" s="1"/>
      <c r="C776" s="1"/>
      <c r="D776" s="1"/>
      <c r="E776" s="1"/>
      <c r="F776" s="1"/>
      <c r="G776" s="1"/>
      <c r="H776" s="1"/>
      <c r="I776" s="1"/>
      <c r="J776" s="1"/>
      <c r="K776" s="1"/>
      <c r="L776" s="1"/>
      <c r="M776" s="1"/>
      <c r="N776" s="1"/>
      <c r="O776" s="1"/>
      <c r="P776" s="1"/>
      <c r="Q776" s="1"/>
      <c r="R776">
        <f>presup!M$368</f>
        <v>0</v>
      </c>
    </row>
    <row r="777" spans="1:18" ht="15.75" customHeight="1" x14ac:dyDescent="0.2">
      <c r="A777" s="1"/>
      <c r="B777" s="1"/>
      <c r="C777" s="1"/>
      <c r="D777" s="1"/>
      <c r="E777" s="1"/>
      <c r="F777" s="1"/>
      <c r="G777" s="1"/>
      <c r="H777" s="1"/>
      <c r="I777" s="1"/>
      <c r="J777" s="1"/>
      <c r="K777" s="1"/>
      <c r="L777" s="1"/>
      <c r="M777" s="1"/>
      <c r="N777" s="1"/>
      <c r="O777" s="1"/>
      <c r="P777" s="1"/>
      <c r="Q777" s="1"/>
      <c r="R777">
        <f>presup!M$368</f>
        <v>0</v>
      </c>
    </row>
    <row r="778" spans="1:18" ht="15.75" customHeight="1" x14ac:dyDescent="0.2">
      <c r="A778" s="1"/>
      <c r="B778" s="1"/>
      <c r="C778" s="1"/>
      <c r="D778" s="1"/>
      <c r="E778" s="1"/>
      <c r="F778" s="1"/>
      <c r="G778" s="1"/>
      <c r="H778" s="1"/>
      <c r="I778" s="1"/>
      <c r="J778" s="1"/>
      <c r="K778" s="1"/>
      <c r="L778" s="1"/>
      <c r="M778" s="1"/>
      <c r="N778" s="1"/>
      <c r="O778" s="1"/>
      <c r="P778" s="1"/>
      <c r="Q778" s="1"/>
      <c r="R778">
        <f>presup!M$368</f>
        <v>0</v>
      </c>
    </row>
    <row r="779" spans="1:18" ht="15.75" customHeight="1" x14ac:dyDescent="0.2">
      <c r="A779" s="1"/>
      <c r="B779" s="1"/>
      <c r="C779" s="1"/>
      <c r="D779" s="1"/>
      <c r="E779" s="1"/>
      <c r="F779" s="1"/>
      <c r="G779" s="1"/>
      <c r="H779" s="1"/>
      <c r="I779" s="1"/>
      <c r="J779" s="1"/>
      <c r="K779" s="1"/>
      <c r="L779" s="1"/>
      <c r="M779" s="1"/>
      <c r="N779" s="1"/>
      <c r="O779" s="1"/>
      <c r="P779" s="1"/>
      <c r="Q779" s="1"/>
      <c r="R779">
        <f>presup!M$368</f>
        <v>0</v>
      </c>
    </row>
    <row r="780" spans="1:18" ht="15.75" customHeight="1" x14ac:dyDescent="0.2">
      <c r="A780" s="1"/>
      <c r="B780" s="1"/>
      <c r="C780" s="1"/>
      <c r="D780" s="1"/>
      <c r="E780" s="1"/>
      <c r="F780" s="1"/>
      <c r="G780" s="1"/>
      <c r="H780" s="1"/>
      <c r="I780" s="1"/>
      <c r="J780" s="1"/>
      <c r="K780" s="1"/>
      <c r="L780" s="1"/>
      <c r="M780" s="1"/>
      <c r="N780" s="1"/>
      <c r="O780" s="1"/>
      <c r="P780" s="1"/>
      <c r="Q780" s="1"/>
      <c r="R780">
        <f>presup!M$368</f>
        <v>0</v>
      </c>
    </row>
    <row r="781" spans="1:18" ht="15.75" customHeight="1" x14ac:dyDescent="0.2">
      <c r="A781" s="1"/>
      <c r="B781" s="1"/>
      <c r="C781" s="1"/>
      <c r="D781" s="1"/>
      <c r="E781" s="1"/>
      <c r="F781" s="1"/>
      <c r="G781" s="1"/>
      <c r="H781" s="1"/>
      <c r="I781" s="1"/>
      <c r="J781" s="1"/>
      <c r="K781" s="1"/>
      <c r="L781" s="1"/>
      <c r="M781" s="1"/>
      <c r="N781" s="1"/>
      <c r="O781" s="1"/>
      <c r="P781" s="1"/>
      <c r="Q781" s="1"/>
      <c r="R781">
        <f>presup!M$368</f>
        <v>0</v>
      </c>
    </row>
    <row r="782" spans="1:18" ht="15.75" customHeight="1" x14ac:dyDescent="0.2">
      <c r="A782" s="1"/>
      <c r="B782" s="1"/>
      <c r="C782" s="1"/>
      <c r="D782" s="1"/>
      <c r="E782" s="1"/>
      <c r="F782" s="1"/>
      <c r="G782" s="1"/>
      <c r="H782" s="1"/>
      <c r="I782" s="1"/>
      <c r="J782" s="1"/>
      <c r="K782" s="1"/>
      <c r="L782" s="1"/>
      <c r="M782" s="1"/>
      <c r="N782" s="1"/>
      <c r="O782" s="1"/>
      <c r="P782" s="1"/>
      <c r="Q782" s="1"/>
      <c r="R782">
        <f>presup!M$368</f>
        <v>0</v>
      </c>
    </row>
    <row r="783" spans="1:18" ht="15.75" customHeight="1" x14ac:dyDescent="0.2">
      <c r="A783" s="1"/>
      <c r="B783" s="1"/>
      <c r="C783" s="1"/>
      <c r="D783" s="1"/>
      <c r="E783" s="1"/>
      <c r="F783" s="1"/>
      <c r="G783" s="1"/>
      <c r="H783" s="1"/>
      <c r="I783" s="1"/>
      <c r="J783" s="1"/>
      <c r="K783" s="1"/>
      <c r="L783" s="1"/>
      <c r="M783" s="1"/>
      <c r="N783" s="1"/>
      <c r="O783" s="1"/>
      <c r="P783" s="1"/>
      <c r="Q783" s="1"/>
      <c r="R783">
        <f>presup!M$368</f>
        <v>0</v>
      </c>
    </row>
    <row r="784" spans="1:18" ht="15.75" customHeight="1" x14ac:dyDescent="0.2">
      <c r="A784" s="1"/>
      <c r="B784" s="1"/>
      <c r="C784" s="1"/>
      <c r="D784" s="1"/>
      <c r="E784" s="1"/>
      <c r="F784" s="1"/>
      <c r="G784" s="1"/>
      <c r="H784" s="1"/>
      <c r="I784" s="1"/>
      <c r="J784" s="1"/>
      <c r="K784" s="1"/>
      <c r="L784" s="1"/>
      <c r="M784" s="1"/>
      <c r="N784" s="1"/>
      <c r="O784" s="1"/>
      <c r="P784" s="1"/>
      <c r="Q784" s="1"/>
      <c r="R784">
        <f>presup!M$368</f>
        <v>0</v>
      </c>
    </row>
    <row r="785" spans="1:18" ht="15.75" customHeight="1" x14ac:dyDescent="0.2">
      <c r="A785" s="1"/>
      <c r="B785" s="1"/>
      <c r="C785" s="1"/>
      <c r="D785" s="1"/>
      <c r="E785" s="1"/>
      <c r="F785" s="1"/>
      <c r="G785" s="1"/>
      <c r="H785" s="1"/>
      <c r="I785" s="1"/>
      <c r="J785" s="1"/>
      <c r="K785" s="1"/>
      <c r="L785" s="1"/>
      <c r="M785" s="1"/>
      <c r="N785" s="1"/>
      <c r="O785" s="1"/>
      <c r="P785" s="1"/>
      <c r="Q785" s="1"/>
      <c r="R785">
        <f>presup!M$368</f>
        <v>0</v>
      </c>
    </row>
    <row r="786" spans="1:18" ht="15.75" customHeight="1" x14ac:dyDescent="0.2">
      <c r="A786" s="1"/>
      <c r="B786" s="1"/>
      <c r="C786" s="1"/>
      <c r="D786" s="1"/>
      <c r="E786" s="1"/>
      <c r="F786" s="1"/>
      <c r="G786" s="1"/>
      <c r="H786" s="1"/>
      <c r="I786" s="1"/>
      <c r="J786" s="1"/>
      <c r="K786" s="1"/>
      <c r="L786" s="1"/>
      <c r="M786" s="1"/>
      <c r="N786" s="1"/>
      <c r="O786" s="1"/>
      <c r="P786" s="1"/>
      <c r="Q786" s="1"/>
      <c r="R786">
        <f>presup!M$368</f>
        <v>0</v>
      </c>
    </row>
    <row r="787" spans="1:18" ht="15.75" customHeight="1" x14ac:dyDescent="0.2">
      <c r="A787" s="1"/>
      <c r="B787" s="1"/>
      <c r="C787" s="1"/>
      <c r="D787" s="1"/>
      <c r="E787" s="1"/>
      <c r="F787" s="1"/>
      <c r="G787" s="1"/>
      <c r="H787" s="1"/>
      <c r="I787" s="1"/>
      <c r="J787" s="1"/>
      <c r="K787" s="1"/>
      <c r="L787" s="1"/>
      <c r="M787" s="1"/>
      <c r="N787" s="1"/>
      <c r="O787" s="1"/>
      <c r="P787" s="1"/>
      <c r="Q787" s="1"/>
      <c r="R787">
        <f>presup!M$368</f>
        <v>0</v>
      </c>
    </row>
    <row r="788" spans="1:18" ht="15.75" customHeight="1" x14ac:dyDescent="0.2">
      <c r="A788" s="1"/>
      <c r="B788" s="1"/>
      <c r="C788" s="1"/>
      <c r="D788" s="1"/>
      <c r="E788" s="1"/>
      <c r="F788" s="1"/>
      <c r="G788" s="1"/>
      <c r="H788" s="1"/>
      <c r="I788" s="1"/>
      <c r="J788" s="1"/>
      <c r="K788" s="1"/>
      <c r="L788" s="1"/>
      <c r="M788" s="1"/>
      <c r="N788" s="1"/>
      <c r="O788" s="1"/>
      <c r="P788" s="1"/>
      <c r="Q788" s="1"/>
      <c r="R788">
        <f>presup!M$368</f>
        <v>0</v>
      </c>
    </row>
    <row r="789" spans="1:18" ht="15.75" customHeight="1" x14ac:dyDescent="0.2">
      <c r="A789" s="1"/>
      <c r="B789" s="1"/>
      <c r="C789" s="1"/>
      <c r="D789" s="1"/>
      <c r="E789" s="1"/>
      <c r="F789" s="1"/>
      <c r="G789" s="1"/>
      <c r="H789" s="1"/>
      <c r="I789" s="1"/>
      <c r="J789" s="1"/>
      <c r="K789" s="1"/>
      <c r="L789" s="1"/>
      <c r="M789" s="1"/>
      <c r="N789" s="1"/>
      <c r="O789" s="1"/>
      <c r="P789" s="1"/>
      <c r="Q789" s="1"/>
      <c r="R789">
        <f>presup!M$368</f>
        <v>0</v>
      </c>
    </row>
    <row r="790" spans="1:18" ht="15.75" customHeight="1" x14ac:dyDescent="0.2">
      <c r="A790" s="1"/>
      <c r="B790" s="1"/>
      <c r="C790" s="1"/>
      <c r="D790" s="1"/>
      <c r="E790" s="1"/>
      <c r="F790" s="1"/>
      <c r="G790" s="1"/>
      <c r="H790" s="1"/>
      <c r="I790" s="1"/>
      <c r="J790" s="1"/>
      <c r="K790" s="1"/>
      <c r="L790" s="1"/>
      <c r="M790" s="1"/>
      <c r="N790" s="1"/>
      <c r="O790" s="1"/>
      <c r="P790" s="1"/>
      <c r="Q790" s="1"/>
      <c r="R790">
        <f>presup!M$368</f>
        <v>0</v>
      </c>
    </row>
    <row r="791" spans="1:18" ht="15.75" customHeight="1" x14ac:dyDescent="0.2">
      <c r="A791" s="1"/>
      <c r="B791" s="1"/>
      <c r="C791" s="1"/>
      <c r="D791" s="1"/>
      <c r="E791" s="1"/>
      <c r="F791" s="1"/>
      <c r="G791" s="1"/>
      <c r="H791" s="1"/>
      <c r="I791" s="1"/>
      <c r="J791" s="1"/>
      <c r="K791" s="1"/>
      <c r="L791" s="1"/>
      <c r="M791" s="1"/>
      <c r="N791" s="1"/>
      <c r="O791" s="1"/>
      <c r="P791" s="1"/>
      <c r="Q791" s="1"/>
      <c r="R791">
        <f>presup!M$368</f>
        <v>0</v>
      </c>
    </row>
    <row r="792" spans="1:18" ht="15.75" customHeight="1" x14ac:dyDescent="0.2">
      <c r="A792" s="1"/>
      <c r="B792" s="1"/>
      <c r="C792" s="1"/>
      <c r="D792" s="1"/>
      <c r="E792" s="1"/>
      <c r="F792" s="1"/>
      <c r="G792" s="1"/>
      <c r="H792" s="1"/>
      <c r="I792" s="1"/>
      <c r="J792" s="1"/>
      <c r="K792" s="1"/>
      <c r="L792" s="1"/>
      <c r="M792" s="1"/>
      <c r="N792" s="1"/>
      <c r="O792" s="1"/>
      <c r="P792" s="1"/>
      <c r="Q792" s="1"/>
      <c r="R792">
        <f>presup!M$368</f>
        <v>0</v>
      </c>
    </row>
    <row r="793" spans="1:18" ht="15.75" customHeight="1" x14ac:dyDescent="0.2">
      <c r="A793" s="1"/>
      <c r="B793" s="1"/>
      <c r="C793" s="1"/>
      <c r="D793" s="1"/>
      <c r="E793" s="1"/>
      <c r="F793" s="1"/>
      <c r="G793" s="1"/>
      <c r="H793" s="1"/>
      <c r="I793" s="1"/>
      <c r="J793" s="1"/>
      <c r="K793" s="1"/>
      <c r="L793" s="1"/>
      <c r="M793" s="1"/>
      <c r="N793" s="1"/>
      <c r="O793" s="1"/>
      <c r="P793" s="1"/>
      <c r="Q793" s="1"/>
      <c r="R793">
        <f>presup!M$368</f>
        <v>0</v>
      </c>
    </row>
    <row r="794" spans="1:18" ht="15.75" customHeight="1" x14ac:dyDescent="0.2">
      <c r="A794" s="1"/>
      <c r="B794" s="1"/>
      <c r="C794" s="1"/>
      <c r="D794" s="1"/>
      <c r="E794" s="1"/>
      <c r="F794" s="1"/>
      <c r="G794" s="1"/>
      <c r="H794" s="1"/>
      <c r="I794" s="1"/>
      <c r="J794" s="1"/>
      <c r="K794" s="1"/>
      <c r="L794" s="1"/>
      <c r="M794" s="1"/>
      <c r="N794" s="1"/>
      <c r="O794" s="1"/>
      <c r="P794" s="1"/>
      <c r="Q794" s="1"/>
      <c r="R794">
        <f>presup!M$368</f>
        <v>0</v>
      </c>
    </row>
    <row r="795" spans="1:18" ht="15.75" customHeight="1" x14ac:dyDescent="0.2">
      <c r="A795" s="1"/>
      <c r="B795" s="1"/>
      <c r="C795" s="1"/>
      <c r="D795" s="1"/>
      <c r="E795" s="1"/>
      <c r="F795" s="1"/>
      <c r="G795" s="1"/>
      <c r="H795" s="1"/>
      <c r="I795" s="1"/>
      <c r="J795" s="1"/>
      <c r="K795" s="1"/>
      <c r="L795" s="1"/>
      <c r="M795" s="1"/>
      <c r="N795" s="1"/>
      <c r="O795" s="1"/>
      <c r="P795" s="1"/>
      <c r="Q795" s="1"/>
      <c r="R795">
        <f>presup!M$368</f>
        <v>0</v>
      </c>
    </row>
    <row r="796" spans="1:18" ht="15.75" customHeight="1" x14ac:dyDescent="0.2">
      <c r="A796" s="1"/>
      <c r="B796" s="1"/>
      <c r="C796" s="1"/>
      <c r="D796" s="1"/>
      <c r="E796" s="1"/>
      <c r="F796" s="1"/>
      <c r="G796" s="1"/>
      <c r="H796" s="1"/>
      <c r="I796" s="1"/>
      <c r="J796" s="1"/>
      <c r="K796" s="1"/>
      <c r="L796" s="1"/>
      <c r="M796" s="1"/>
      <c r="N796" s="1"/>
      <c r="O796" s="1"/>
      <c r="P796" s="1"/>
      <c r="Q796" s="1"/>
      <c r="R796">
        <f>presup!M$368</f>
        <v>0</v>
      </c>
    </row>
    <row r="797" spans="1:18" ht="15.75" customHeight="1" x14ac:dyDescent="0.2">
      <c r="A797" s="1"/>
      <c r="B797" s="1"/>
      <c r="C797" s="1"/>
      <c r="D797" s="1"/>
      <c r="E797" s="1"/>
      <c r="F797" s="1"/>
      <c r="G797" s="1"/>
      <c r="H797" s="1"/>
      <c r="I797" s="1"/>
      <c r="J797" s="1"/>
      <c r="K797" s="1"/>
      <c r="L797" s="1"/>
      <c r="M797" s="1"/>
      <c r="N797" s="1"/>
      <c r="O797" s="1"/>
      <c r="P797" s="1"/>
      <c r="Q797" s="1"/>
      <c r="R797">
        <f>presup!M$368</f>
        <v>0</v>
      </c>
    </row>
    <row r="798" spans="1:18" ht="15.75" customHeight="1" x14ac:dyDescent="0.2">
      <c r="A798" s="1"/>
      <c r="B798" s="1"/>
      <c r="C798" s="1"/>
      <c r="D798" s="1"/>
      <c r="E798" s="1"/>
      <c r="F798" s="1"/>
      <c r="G798" s="1"/>
      <c r="H798" s="1"/>
      <c r="I798" s="1"/>
      <c r="J798" s="1"/>
      <c r="K798" s="1"/>
      <c r="L798" s="1"/>
      <c r="M798" s="1"/>
      <c r="N798" s="1"/>
      <c r="O798" s="1"/>
      <c r="P798" s="1"/>
      <c r="Q798" s="1"/>
      <c r="R798">
        <f>presup!M$368</f>
        <v>0</v>
      </c>
    </row>
    <row r="799" spans="1:18" ht="15.75" customHeight="1" x14ac:dyDescent="0.2">
      <c r="A799" s="1"/>
      <c r="B799" s="1"/>
      <c r="C799" s="1"/>
      <c r="D799" s="1"/>
      <c r="E799" s="1"/>
      <c r="F799" s="1"/>
      <c r="G799" s="1"/>
      <c r="H799" s="1"/>
      <c r="I799" s="1"/>
      <c r="J799" s="1"/>
      <c r="K799" s="1"/>
      <c r="L799" s="1"/>
      <c r="M799" s="1"/>
      <c r="N799" s="1"/>
      <c r="O799" s="1"/>
      <c r="P799" s="1"/>
      <c r="Q799" s="1"/>
      <c r="R799">
        <f>presup!M$368</f>
        <v>0</v>
      </c>
    </row>
    <row r="800" spans="1:18" ht="15.75" customHeight="1" x14ac:dyDescent="0.2">
      <c r="A800" s="1"/>
      <c r="B800" s="1"/>
      <c r="C800" s="1"/>
      <c r="D800" s="1"/>
      <c r="E800" s="1"/>
      <c r="F800" s="1"/>
      <c r="G800" s="1"/>
      <c r="H800" s="1"/>
      <c r="I800" s="1"/>
      <c r="J800" s="1"/>
      <c r="K800" s="1"/>
      <c r="L800" s="1"/>
      <c r="M800" s="1"/>
      <c r="N800" s="1"/>
      <c r="O800" s="1"/>
      <c r="P800" s="1"/>
      <c r="Q800" s="1"/>
      <c r="R800">
        <f>presup!M$368</f>
        <v>0</v>
      </c>
    </row>
    <row r="801" spans="1:18" ht="15.75" customHeight="1" x14ac:dyDescent="0.2">
      <c r="A801" s="1"/>
      <c r="B801" s="1"/>
      <c r="C801" s="1"/>
      <c r="D801" s="1"/>
      <c r="E801" s="1"/>
      <c r="F801" s="1"/>
      <c r="G801" s="1"/>
      <c r="H801" s="1"/>
      <c r="I801" s="1"/>
      <c r="J801" s="1"/>
      <c r="K801" s="1"/>
      <c r="L801" s="1"/>
      <c r="M801" s="1"/>
      <c r="N801" s="1"/>
      <c r="O801" s="1"/>
      <c r="P801" s="1"/>
      <c r="Q801" s="1"/>
      <c r="R801">
        <f>presup!M$368</f>
        <v>0</v>
      </c>
    </row>
    <row r="802" spans="1:18" ht="15.75" customHeight="1" x14ac:dyDescent="0.2">
      <c r="A802" s="1"/>
      <c r="B802" s="1"/>
      <c r="C802" s="1"/>
      <c r="D802" s="1"/>
      <c r="E802" s="1"/>
      <c r="F802" s="1"/>
      <c r="G802" s="1"/>
      <c r="H802" s="1"/>
      <c r="I802" s="1"/>
      <c r="J802" s="1"/>
      <c r="K802" s="1"/>
      <c r="L802" s="1"/>
      <c r="M802" s="1"/>
      <c r="N802" s="1"/>
      <c r="O802" s="1"/>
      <c r="P802" s="1"/>
      <c r="Q802" s="1"/>
      <c r="R802">
        <f>presup!M$368</f>
        <v>0</v>
      </c>
    </row>
    <row r="803" spans="1:18" ht="15.75" customHeight="1" x14ac:dyDescent="0.2">
      <c r="A803" s="1"/>
      <c r="B803" s="1"/>
      <c r="C803" s="1"/>
      <c r="D803" s="1"/>
      <c r="E803" s="1"/>
      <c r="F803" s="1"/>
      <c r="G803" s="1"/>
      <c r="H803" s="1"/>
      <c r="I803" s="1"/>
      <c r="J803" s="1"/>
      <c r="K803" s="1"/>
      <c r="L803" s="1"/>
      <c r="M803" s="1"/>
      <c r="N803" s="1"/>
      <c r="O803" s="1"/>
      <c r="P803" s="1"/>
      <c r="Q803" s="1"/>
      <c r="R803">
        <f>presup!M$368</f>
        <v>0</v>
      </c>
    </row>
    <row r="804" spans="1:18" ht="15.75" customHeight="1" x14ac:dyDescent="0.2">
      <c r="A804" s="1"/>
      <c r="B804" s="1"/>
      <c r="C804" s="1"/>
      <c r="D804" s="1"/>
      <c r="E804" s="1"/>
      <c r="F804" s="1"/>
      <c r="G804" s="1"/>
      <c r="H804" s="1"/>
      <c r="I804" s="1"/>
      <c r="J804" s="1"/>
      <c r="K804" s="1"/>
      <c r="L804" s="1"/>
      <c r="M804" s="1"/>
      <c r="N804" s="1"/>
      <c r="O804" s="1"/>
      <c r="P804" s="1"/>
      <c r="Q804" s="1"/>
      <c r="R804">
        <f>presup!M$368</f>
        <v>0</v>
      </c>
    </row>
    <row r="805" spans="1:18" ht="15.75" customHeight="1" x14ac:dyDescent="0.2">
      <c r="A805" s="1"/>
      <c r="B805" s="1"/>
      <c r="C805" s="1"/>
      <c r="D805" s="1"/>
      <c r="E805" s="1"/>
      <c r="F805" s="1"/>
      <c r="G805" s="1"/>
      <c r="H805" s="1"/>
      <c r="I805" s="1"/>
      <c r="J805" s="1"/>
      <c r="K805" s="1"/>
      <c r="L805" s="1"/>
      <c r="M805" s="1"/>
      <c r="N805" s="1"/>
      <c r="O805" s="1"/>
      <c r="P805" s="1"/>
      <c r="Q805" s="1"/>
      <c r="R805">
        <f>presup!M$368</f>
        <v>0</v>
      </c>
    </row>
    <row r="806" spans="1:18" ht="15.75" customHeight="1" x14ac:dyDescent="0.2">
      <c r="A806" s="1"/>
      <c r="B806" s="1"/>
      <c r="C806" s="1"/>
      <c r="D806" s="1"/>
      <c r="E806" s="1"/>
      <c r="F806" s="1"/>
      <c r="G806" s="1"/>
      <c r="H806" s="1"/>
      <c r="I806" s="1"/>
      <c r="J806" s="1"/>
      <c r="K806" s="1"/>
      <c r="L806" s="1"/>
      <c r="M806" s="1"/>
      <c r="N806" s="1"/>
      <c r="O806" s="1"/>
      <c r="P806" s="1"/>
      <c r="Q806" s="1"/>
      <c r="R806">
        <f>presup!M$368</f>
        <v>0</v>
      </c>
    </row>
    <row r="807" spans="1:18" ht="15.75" customHeight="1" x14ac:dyDescent="0.2">
      <c r="A807" s="1"/>
      <c r="B807" s="1"/>
      <c r="C807" s="1"/>
      <c r="D807" s="1"/>
      <c r="E807" s="1"/>
      <c r="F807" s="1"/>
      <c r="G807" s="1"/>
      <c r="H807" s="1"/>
      <c r="I807" s="1"/>
      <c r="J807" s="1"/>
      <c r="K807" s="1"/>
      <c r="L807" s="1"/>
      <c r="M807" s="1"/>
      <c r="N807" s="1"/>
      <c r="O807" s="1"/>
      <c r="P807" s="1"/>
      <c r="Q807" s="1"/>
      <c r="R807">
        <f>presup!M$368</f>
        <v>0</v>
      </c>
    </row>
    <row r="808" spans="1:18" ht="15.75" customHeight="1" x14ac:dyDescent="0.2">
      <c r="A808" s="1"/>
      <c r="B808" s="1"/>
      <c r="C808" s="1"/>
      <c r="D808" s="1"/>
      <c r="E808" s="1"/>
      <c r="F808" s="1"/>
      <c r="G808" s="1"/>
      <c r="H808" s="1"/>
      <c r="I808" s="1"/>
      <c r="J808" s="1"/>
      <c r="K808" s="1"/>
      <c r="L808" s="1"/>
      <c r="M808" s="1"/>
      <c r="N808" s="1"/>
      <c r="O808" s="1"/>
      <c r="P808" s="1"/>
      <c r="Q808" s="1"/>
      <c r="R808">
        <f>presup!M$368</f>
        <v>0</v>
      </c>
    </row>
    <row r="809" spans="1:18" ht="15.75" customHeight="1" x14ac:dyDescent="0.2">
      <c r="A809" s="1"/>
      <c r="B809" s="1"/>
      <c r="C809" s="1"/>
      <c r="D809" s="1"/>
      <c r="E809" s="1"/>
      <c r="F809" s="1"/>
      <c r="G809" s="1"/>
      <c r="H809" s="1"/>
      <c r="I809" s="1"/>
      <c r="J809" s="1"/>
      <c r="K809" s="1"/>
      <c r="L809" s="1"/>
      <c r="M809" s="1"/>
      <c r="N809" s="1"/>
      <c r="O809" s="1"/>
      <c r="P809" s="1"/>
      <c r="Q809" s="1"/>
      <c r="R809">
        <f>presup!M$368</f>
        <v>0</v>
      </c>
    </row>
    <row r="810" spans="1:18" ht="15.75" customHeight="1" x14ac:dyDescent="0.2">
      <c r="A810" s="1"/>
      <c r="B810" s="1"/>
      <c r="C810" s="1"/>
      <c r="D810" s="1"/>
      <c r="E810" s="1"/>
      <c r="F810" s="1"/>
      <c r="G810" s="1"/>
      <c r="H810" s="1"/>
      <c r="I810" s="1"/>
      <c r="J810" s="1"/>
      <c r="K810" s="1"/>
      <c r="L810" s="1"/>
      <c r="M810" s="1"/>
      <c r="N810" s="1"/>
      <c r="O810" s="1"/>
      <c r="P810" s="1"/>
      <c r="Q810" s="1"/>
      <c r="R810">
        <f>presup!M$368</f>
        <v>0</v>
      </c>
    </row>
    <row r="811" spans="1:18" ht="15.75" customHeight="1" x14ac:dyDescent="0.2">
      <c r="A811" s="1"/>
      <c r="B811" s="1"/>
      <c r="C811" s="1"/>
      <c r="D811" s="1"/>
      <c r="E811" s="1"/>
      <c r="F811" s="1"/>
      <c r="G811" s="1"/>
      <c r="H811" s="1"/>
      <c r="I811" s="1"/>
      <c r="J811" s="1"/>
      <c r="K811" s="1"/>
      <c r="L811" s="1"/>
      <c r="M811" s="1"/>
      <c r="N811" s="1"/>
      <c r="O811" s="1"/>
      <c r="P811" s="1"/>
      <c r="Q811" s="1"/>
      <c r="R811">
        <f>presup!M$368</f>
        <v>0</v>
      </c>
    </row>
    <row r="812" spans="1:18" ht="15.75" customHeight="1" x14ac:dyDescent="0.2">
      <c r="A812" s="1"/>
      <c r="B812" s="1"/>
      <c r="C812" s="1"/>
      <c r="D812" s="1"/>
      <c r="E812" s="1"/>
      <c r="F812" s="1"/>
      <c r="G812" s="1"/>
      <c r="H812" s="1"/>
      <c r="I812" s="1"/>
      <c r="J812" s="1"/>
      <c r="K812" s="1"/>
      <c r="L812" s="1"/>
      <c r="M812" s="1"/>
      <c r="N812" s="1"/>
      <c r="O812" s="1"/>
      <c r="P812" s="1"/>
      <c r="Q812" s="1"/>
      <c r="R812">
        <f>presup!M$368</f>
        <v>0</v>
      </c>
    </row>
    <row r="813" spans="1:18" ht="15.75" customHeight="1" x14ac:dyDescent="0.2">
      <c r="A813" s="1"/>
      <c r="B813" s="1"/>
      <c r="C813" s="1"/>
      <c r="D813" s="1"/>
      <c r="E813" s="1"/>
      <c r="F813" s="1"/>
      <c r="G813" s="1"/>
      <c r="H813" s="1"/>
      <c r="I813" s="1"/>
      <c r="J813" s="1"/>
      <c r="K813" s="1"/>
      <c r="L813" s="1"/>
      <c r="M813" s="1"/>
      <c r="N813" s="1"/>
      <c r="O813" s="1"/>
      <c r="P813" s="1"/>
      <c r="Q813" s="1"/>
      <c r="R813">
        <f>presup!M$368</f>
        <v>0</v>
      </c>
    </row>
    <row r="814" spans="1:18" ht="15.75" customHeight="1" x14ac:dyDescent="0.2">
      <c r="A814" s="1"/>
      <c r="B814" s="1"/>
      <c r="C814" s="1"/>
      <c r="D814" s="1"/>
      <c r="E814" s="1"/>
      <c r="F814" s="1"/>
      <c r="G814" s="1"/>
      <c r="H814" s="1"/>
      <c r="I814" s="1"/>
      <c r="J814" s="1"/>
      <c r="K814" s="1"/>
      <c r="L814" s="1"/>
      <c r="M814" s="1"/>
      <c r="N814" s="1"/>
      <c r="O814" s="1"/>
      <c r="P814" s="1"/>
      <c r="Q814" s="1"/>
      <c r="R814">
        <f>presup!M$368</f>
        <v>0</v>
      </c>
    </row>
    <row r="815" spans="1:18" ht="15.75" customHeight="1" x14ac:dyDescent="0.2">
      <c r="A815" s="1"/>
      <c r="B815" s="1"/>
      <c r="C815" s="1"/>
      <c r="D815" s="1"/>
      <c r="E815" s="1"/>
      <c r="F815" s="1"/>
      <c r="G815" s="1"/>
      <c r="H815" s="1"/>
      <c r="I815" s="1"/>
      <c r="J815" s="1"/>
      <c r="K815" s="1"/>
      <c r="L815" s="1"/>
      <c r="M815" s="1"/>
      <c r="N815" s="1"/>
      <c r="O815" s="1"/>
      <c r="P815" s="1"/>
      <c r="Q815" s="1"/>
      <c r="R815">
        <f>presup!M$368</f>
        <v>0</v>
      </c>
    </row>
    <row r="816" spans="1:18" ht="15.75" customHeight="1" x14ac:dyDescent="0.2">
      <c r="A816" s="1"/>
      <c r="B816" s="1"/>
      <c r="C816" s="1"/>
      <c r="D816" s="1"/>
      <c r="E816" s="1"/>
      <c r="F816" s="1"/>
      <c r="G816" s="1"/>
      <c r="H816" s="1"/>
      <c r="I816" s="1"/>
      <c r="J816" s="1"/>
      <c r="K816" s="1"/>
      <c r="L816" s="1"/>
      <c r="M816" s="1"/>
      <c r="N816" s="1"/>
      <c r="O816" s="1"/>
      <c r="P816" s="1"/>
      <c r="Q816" s="1"/>
      <c r="R816">
        <f>presup!M$368</f>
        <v>0</v>
      </c>
    </row>
    <row r="817" spans="1:18" ht="15.75" customHeight="1" x14ac:dyDescent="0.2">
      <c r="A817" s="1"/>
      <c r="B817" s="1"/>
      <c r="C817" s="1"/>
      <c r="D817" s="1"/>
      <c r="E817" s="1"/>
      <c r="F817" s="1"/>
      <c r="G817" s="1"/>
      <c r="H817" s="1"/>
      <c r="I817" s="1"/>
      <c r="J817" s="1"/>
      <c r="K817" s="1"/>
      <c r="L817" s="1"/>
      <c r="M817" s="1"/>
      <c r="N817" s="1"/>
      <c r="O817" s="1"/>
      <c r="P817" s="1"/>
      <c r="Q817" s="1"/>
      <c r="R817">
        <f>presup!M$368</f>
        <v>0</v>
      </c>
    </row>
    <row r="818" spans="1:18" ht="15.75" customHeight="1" x14ac:dyDescent="0.2">
      <c r="A818" s="1"/>
      <c r="B818" s="1"/>
      <c r="C818" s="1"/>
      <c r="D818" s="1"/>
      <c r="E818" s="1"/>
      <c r="F818" s="1"/>
      <c r="G818" s="1"/>
      <c r="H818" s="1"/>
      <c r="I818" s="1"/>
      <c r="J818" s="1"/>
      <c r="K818" s="1"/>
      <c r="L818" s="1"/>
      <c r="M818" s="1"/>
      <c r="N818" s="1"/>
      <c r="O818" s="1"/>
      <c r="P818" s="1"/>
      <c r="Q818" s="1"/>
      <c r="R818">
        <f>presup!M$368</f>
        <v>0</v>
      </c>
    </row>
    <row r="819" spans="1:18" ht="15.75" customHeight="1" x14ac:dyDescent="0.2">
      <c r="A819" s="1"/>
      <c r="B819" s="1"/>
      <c r="C819" s="1"/>
      <c r="D819" s="1"/>
      <c r="E819" s="1"/>
      <c r="F819" s="1"/>
      <c r="G819" s="1"/>
      <c r="H819" s="1"/>
      <c r="I819" s="1"/>
      <c r="J819" s="1"/>
      <c r="K819" s="1"/>
      <c r="L819" s="1"/>
      <c r="M819" s="1"/>
      <c r="N819" s="1"/>
      <c r="O819" s="1"/>
      <c r="P819" s="1"/>
      <c r="Q819" s="1"/>
      <c r="R819">
        <f>presup!M$368</f>
        <v>0</v>
      </c>
    </row>
    <row r="820" spans="1:18" ht="15.75" customHeight="1" x14ac:dyDescent="0.2">
      <c r="A820" s="1"/>
      <c r="B820" s="1"/>
      <c r="C820" s="1"/>
      <c r="D820" s="1"/>
      <c r="E820" s="1"/>
      <c r="F820" s="1"/>
      <c r="G820" s="1"/>
      <c r="H820" s="1"/>
      <c r="I820" s="1"/>
      <c r="J820" s="1"/>
      <c r="K820" s="1"/>
      <c r="L820" s="1"/>
      <c r="M820" s="1"/>
      <c r="N820" s="1"/>
      <c r="O820" s="1"/>
      <c r="P820" s="1"/>
      <c r="Q820" s="1"/>
      <c r="R820">
        <f>presup!M$368</f>
        <v>0</v>
      </c>
    </row>
    <row r="821" spans="1:18" ht="15.75" customHeight="1" x14ac:dyDescent="0.2">
      <c r="A821" s="1"/>
      <c r="B821" s="1"/>
      <c r="C821" s="1"/>
      <c r="D821" s="1"/>
      <c r="E821" s="1"/>
      <c r="F821" s="1"/>
      <c r="G821" s="1"/>
      <c r="H821" s="1"/>
      <c r="I821" s="1"/>
      <c r="J821" s="1"/>
      <c r="K821" s="1"/>
      <c r="L821" s="1"/>
      <c r="M821" s="1"/>
      <c r="N821" s="1"/>
      <c r="O821" s="1"/>
      <c r="P821" s="1"/>
      <c r="Q821" s="1"/>
      <c r="R821">
        <f>presup!M$368</f>
        <v>0</v>
      </c>
    </row>
    <row r="822" spans="1:18" ht="15.75" customHeight="1" x14ac:dyDescent="0.2">
      <c r="A822" s="1"/>
      <c r="B822" s="1"/>
      <c r="C822" s="1"/>
      <c r="D822" s="1"/>
      <c r="E822" s="1"/>
      <c r="F822" s="1"/>
      <c r="G822" s="1"/>
      <c r="H822" s="1"/>
      <c r="I822" s="1"/>
      <c r="J822" s="1"/>
      <c r="K822" s="1"/>
      <c r="L822" s="1"/>
      <c r="M822" s="1"/>
      <c r="N822" s="1"/>
      <c r="O822" s="1"/>
      <c r="P822" s="1"/>
      <c r="Q822" s="1"/>
      <c r="R822">
        <f>presup!M$368</f>
        <v>0</v>
      </c>
    </row>
    <row r="823" spans="1:18" ht="15.75" customHeight="1" x14ac:dyDescent="0.2">
      <c r="A823" s="1"/>
      <c r="B823" s="1"/>
      <c r="C823" s="1"/>
      <c r="D823" s="1"/>
      <c r="E823" s="1"/>
      <c r="F823" s="1"/>
      <c r="G823" s="1"/>
      <c r="H823" s="1"/>
      <c r="I823" s="1"/>
      <c r="J823" s="1"/>
      <c r="K823" s="1"/>
      <c r="L823" s="1"/>
      <c r="M823" s="1"/>
      <c r="N823" s="1"/>
      <c r="O823" s="1"/>
      <c r="P823" s="1"/>
      <c r="Q823" s="1"/>
      <c r="R823">
        <f>presup!M$368</f>
        <v>0</v>
      </c>
    </row>
    <row r="824" spans="1:18" ht="15.75" customHeight="1" x14ac:dyDescent="0.2">
      <c r="A824" s="1"/>
      <c r="B824" s="1"/>
      <c r="C824" s="1"/>
      <c r="D824" s="1"/>
      <c r="E824" s="1"/>
      <c r="F824" s="1"/>
      <c r="G824" s="1"/>
      <c r="H824" s="1"/>
      <c r="I824" s="1"/>
      <c r="J824" s="1"/>
      <c r="K824" s="1"/>
      <c r="L824" s="1"/>
      <c r="M824" s="1"/>
      <c r="N824" s="1"/>
      <c r="O824" s="1"/>
      <c r="P824" s="1"/>
      <c r="Q824" s="1"/>
      <c r="R824">
        <f>presup!M$368</f>
        <v>0</v>
      </c>
    </row>
    <row r="825" spans="1:18" ht="15.75" customHeight="1" x14ac:dyDescent="0.2">
      <c r="A825" s="1"/>
      <c r="B825" s="1"/>
      <c r="C825" s="1"/>
      <c r="D825" s="1"/>
      <c r="E825" s="1"/>
      <c r="F825" s="1"/>
      <c r="G825" s="1"/>
      <c r="H825" s="1"/>
      <c r="I825" s="1"/>
      <c r="J825" s="1"/>
      <c r="K825" s="1"/>
      <c r="L825" s="1"/>
      <c r="M825" s="1"/>
      <c r="N825" s="1"/>
      <c r="O825" s="1"/>
      <c r="P825" s="1"/>
      <c r="Q825" s="1"/>
      <c r="R825">
        <f>presup!M$368</f>
        <v>0</v>
      </c>
    </row>
    <row r="826" spans="1:18" ht="15.75" customHeight="1" x14ac:dyDescent="0.2">
      <c r="A826" s="1"/>
      <c r="B826" s="1"/>
      <c r="C826" s="1"/>
      <c r="D826" s="1"/>
      <c r="E826" s="1"/>
      <c r="F826" s="1"/>
      <c r="G826" s="1"/>
      <c r="H826" s="1"/>
      <c r="I826" s="1"/>
      <c r="J826" s="1"/>
      <c r="K826" s="1"/>
      <c r="L826" s="1"/>
      <c r="M826" s="1"/>
      <c r="N826" s="1"/>
      <c r="O826" s="1"/>
      <c r="P826" s="1"/>
      <c r="Q826" s="1"/>
      <c r="R826">
        <f>presup!M$368</f>
        <v>0</v>
      </c>
    </row>
    <row r="827" spans="1:18" ht="15.75" customHeight="1" x14ac:dyDescent="0.2">
      <c r="A827" s="1"/>
      <c r="B827" s="1"/>
      <c r="C827" s="1"/>
      <c r="D827" s="1"/>
      <c r="E827" s="1"/>
      <c r="F827" s="1"/>
      <c r="G827" s="1"/>
      <c r="H827" s="1"/>
      <c r="I827" s="1"/>
      <c r="J827" s="1"/>
      <c r="K827" s="1"/>
      <c r="L827" s="1"/>
      <c r="M827" s="1"/>
      <c r="N827" s="1"/>
      <c r="O827" s="1"/>
      <c r="P827" s="1"/>
      <c r="Q827" s="1"/>
      <c r="R827">
        <f>presup!M$368</f>
        <v>0</v>
      </c>
    </row>
    <row r="828" spans="1:18" ht="15.75" customHeight="1" x14ac:dyDescent="0.2">
      <c r="A828" s="1"/>
      <c r="B828" s="1"/>
      <c r="C828" s="1"/>
      <c r="D828" s="1"/>
      <c r="E828" s="1"/>
      <c r="F828" s="1"/>
      <c r="G828" s="1"/>
      <c r="H828" s="1"/>
      <c r="I828" s="1"/>
      <c r="J828" s="1"/>
      <c r="K828" s="1"/>
      <c r="L828" s="1"/>
      <c r="M828" s="1"/>
      <c r="N828" s="1"/>
      <c r="O828" s="1"/>
      <c r="P828" s="1"/>
      <c r="Q828" s="1"/>
      <c r="R828">
        <f>presup!M$368</f>
        <v>0</v>
      </c>
    </row>
    <row r="829" spans="1:18" ht="15.75" customHeight="1" x14ac:dyDescent="0.2">
      <c r="A829" s="1"/>
      <c r="B829" s="1"/>
      <c r="C829" s="1"/>
      <c r="D829" s="1"/>
      <c r="E829" s="1"/>
      <c r="F829" s="1"/>
      <c r="G829" s="1"/>
      <c r="H829" s="1"/>
      <c r="I829" s="1"/>
      <c r="J829" s="1"/>
      <c r="K829" s="1"/>
      <c r="L829" s="1"/>
      <c r="M829" s="1"/>
      <c r="N829" s="1"/>
      <c r="O829" s="1"/>
      <c r="P829" s="1"/>
      <c r="Q829" s="1"/>
      <c r="R829">
        <f>presup!M$368</f>
        <v>0</v>
      </c>
    </row>
    <row r="830" spans="1:18" ht="15.75" customHeight="1" x14ac:dyDescent="0.2">
      <c r="A830" s="1"/>
      <c r="B830" s="1"/>
      <c r="C830" s="1"/>
      <c r="D830" s="1"/>
      <c r="E830" s="1"/>
      <c r="F830" s="1"/>
      <c r="G830" s="1"/>
      <c r="H830" s="1"/>
      <c r="I830" s="1"/>
      <c r="J830" s="1"/>
      <c r="K830" s="1"/>
      <c r="L830" s="1"/>
      <c r="M830" s="1"/>
      <c r="N830" s="1"/>
      <c r="O830" s="1"/>
      <c r="P830" s="1"/>
      <c r="Q830" s="1"/>
      <c r="R830">
        <f>presup!M$368</f>
        <v>0</v>
      </c>
    </row>
    <row r="831" spans="1:18" ht="15.75" customHeight="1" x14ac:dyDescent="0.2">
      <c r="A831" s="1"/>
      <c r="B831" s="1"/>
      <c r="C831" s="1"/>
      <c r="D831" s="1"/>
      <c r="E831" s="1"/>
      <c r="F831" s="1"/>
      <c r="G831" s="1"/>
      <c r="H831" s="1"/>
      <c r="I831" s="1"/>
      <c r="J831" s="1"/>
      <c r="K831" s="1"/>
      <c r="L831" s="1"/>
      <c r="M831" s="1"/>
      <c r="N831" s="1"/>
      <c r="O831" s="1"/>
      <c r="P831" s="1"/>
      <c r="Q831" s="1"/>
      <c r="R831">
        <f>presup!M$368</f>
        <v>0</v>
      </c>
    </row>
    <row r="832" spans="1:18" ht="15.75" customHeight="1" x14ac:dyDescent="0.2">
      <c r="A832" s="1"/>
      <c r="B832" s="1"/>
      <c r="C832" s="1"/>
      <c r="D832" s="1"/>
      <c r="E832" s="1"/>
      <c r="F832" s="1"/>
      <c r="G832" s="1"/>
      <c r="H832" s="1"/>
      <c r="I832" s="1"/>
      <c r="J832" s="1"/>
      <c r="K832" s="1"/>
      <c r="L832" s="1"/>
      <c r="M832" s="1"/>
      <c r="N832" s="1"/>
      <c r="O832" s="1"/>
      <c r="P832" s="1"/>
      <c r="Q832" s="1"/>
      <c r="R832">
        <f>presup!M$368</f>
        <v>0</v>
      </c>
    </row>
    <row r="833" spans="1:18" ht="15.75" customHeight="1" x14ac:dyDescent="0.2">
      <c r="A833" s="1"/>
      <c r="B833" s="1"/>
      <c r="C833" s="1"/>
      <c r="D833" s="1"/>
      <c r="E833" s="1"/>
      <c r="F833" s="1"/>
      <c r="G833" s="1"/>
      <c r="H833" s="1"/>
      <c r="I833" s="1"/>
      <c r="J833" s="1"/>
      <c r="K833" s="1"/>
      <c r="L833" s="1"/>
      <c r="M833" s="1"/>
      <c r="N833" s="1"/>
      <c r="O833" s="1"/>
      <c r="P833" s="1"/>
      <c r="Q833" s="1"/>
      <c r="R833">
        <f>presup!M$368</f>
        <v>0</v>
      </c>
    </row>
    <row r="834" spans="1:18" ht="15.75" customHeight="1" x14ac:dyDescent="0.2">
      <c r="A834" s="1"/>
      <c r="B834" s="1"/>
      <c r="C834" s="1"/>
      <c r="D834" s="1"/>
      <c r="E834" s="1"/>
      <c r="F834" s="1"/>
      <c r="G834" s="1"/>
      <c r="H834" s="1"/>
      <c r="I834" s="1"/>
      <c r="J834" s="1"/>
      <c r="K834" s="1"/>
      <c r="L834" s="1"/>
      <c r="M834" s="1"/>
      <c r="N834" s="1"/>
      <c r="O834" s="1"/>
      <c r="P834" s="1"/>
      <c r="Q834" s="1"/>
      <c r="R834">
        <f>presup!M$368</f>
        <v>0</v>
      </c>
    </row>
    <row r="835" spans="1:18" ht="15.75" customHeight="1" x14ac:dyDescent="0.2">
      <c r="A835" s="1"/>
      <c r="B835" s="1"/>
      <c r="C835" s="1"/>
      <c r="D835" s="1"/>
      <c r="E835" s="1"/>
      <c r="F835" s="1"/>
      <c r="G835" s="1"/>
      <c r="H835" s="1"/>
      <c r="I835" s="1"/>
      <c r="J835" s="1"/>
      <c r="K835" s="1"/>
      <c r="L835" s="1"/>
      <c r="M835" s="1"/>
      <c r="N835" s="1"/>
      <c r="O835" s="1"/>
      <c r="P835" s="1"/>
      <c r="Q835" s="1"/>
      <c r="R835">
        <f>presup!M$368</f>
        <v>0</v>
      </c>
    </row>
    <row r="836" spans="1:18" ht="15.75" customHeight="1" x14ac:dyDescent="0.2">
      <c r="A836" s="1"/>
      <c r="B836" s="1"/>
      <c r="C836" s="1"/>
      <c r="D836" s="1"/>
      <c r="E836" s="1"/>
      <c r="F836" s="1"/>
      <c r="G836" s="1"/>
      <c r="H836" s="1"/>
      <c r="I836" s="1"/>
      <c r="J836" s="1"/>
      <c r="K836" s="1"/>
      <c r="L836" s="1"/>
      <c r="M836" s="1"/>
      <c r="N836" s="1"/>
      <c r="O836" s="1"/>
      <c r="P836" s="1"/>
      <c r="Q836" s="1"/>
      <c r="R836">
        <f>presup!M$368</f>
        <v>0</v>
      </c>
    </row>
    <row r="837" spans="1:18" ht="15.75" customHeight="1" x14ac:dyDescent="0.2">
      <c r="A837" s="1"/>
      <c r="B837" s="1"/>
      <c r="C837" s="1"/>
      <c r="D837" s="1"/>
      <c r="E837" s="1"/>
      <c r="F837" s="1"/>
      <c r="G837" s="1"/>
      <c r="H837" s="1"/>
      <c r="I837" s="1"/>
      <c r="J837" s="1"/>
      <c r="K837" s="1"/>
      <c r="L837" s="1"/>
      <c r="M837" s="1"/>
      <c r="N837" s="1"/>
      <c r="O837" s="1"/>
      <c r="P837" s="1"/>
      <c r="Q837" s="1"/>
      <c r="R837">
        <f>presup!M$368</f>
        <v>0</v>
      </c>
    </row>
    <row r="838" spans="1:18" ht="15.75" customHeight="1" x14ac:dyDescent="0.2">
      <c r="A838" s="1"/>
      <c r="B838" s="1"/>
      <c r="C838" s="1"/>
      <c r="D838" s="1"/>
      <c r="E838" s="1"/>
      <c r="F838" s="1"/>
      <c r="G838" s="1"/>
      <c r="H838" s="1"/>
      <c r="I838" s="1"/>
      <c r="J838" s="1"/>
      <c r="K838" s="1"/>
      <c r="L838" s="1"/>
      <c r="M838" s="1"/>
      <c r="N838" s="1"/>
      <c r="O838" s="1"/>
      <c r="P838" s="1"/>
      <c r="Q838" s="1"/>
      <c r="R838">
        <f>presup!M$368</f>
        <v>0</v>
      </c>
    </row>
    <row r="839" spans="1:18" ht="15.75" customHeight="1" x14ac:dyDescent="0.2">
      <c r="A839" s="1"/>
      <c r="B839" s="1"/>
      <c r="C839" s="1"/>
      <c r="D839" s="1"/>
      <c r="E839" s="1"/>
      <c r="F839" s="1"/>
      <c r="G839" s="1"/>
      <c r="H839" s="1"/>
      <c r="I839" s="1"/>
      <c r="J839" s="1"/>
      <c r="K839" s="1"/>
      <c r="L839" s="1"/>
      <c r="M839" s="1"/>
      <c r="N839" s="1"/>
      <c r="O839" s="1"/>
      <c r="P839" s="1"/>
      <c r="Q839" s="1"/>
      <c r="R839">
        <f>presup!M$368</f>
        <v>0</v>
      </c>
    </row>
    <row r="840" spans="1:18" ht="15.75" customHeight="1" x14ac:dyDescent="0.2">
      <c r="A840" s="1"/>
      <c r="B840" s="1"/>
      <c r="C840" s="1"/>
      <c r="D840" s="1"/>
      <c r="E840" s="1"/>
      <c r="F840" s="1"/>
      <c r="G840" s="1"/>
      <c r="H840" s="1"/>
      <c r="I840" s="1"/>
      <c r="J840" s="1"/>
      <c r="K840" s="1"/>
      <c r="L840" s="1"/>
      <c r="M840" s="1"/>
      <c r="N840" s="1"/>
      <c r="O840" s="1"/>
      <c r="P840" s="1"/>
      <c r="Q840" s="1"/>
      <c r="R840">
        <f>presup!M$368</f>
        <v>0</v>
      </c>
    </row>
    <row r="841" spans="1:18" ht="15.75" customHeight="1" x14ac:dyDescent="0.2">
      <c r="A841" s="1"/>
      <c r="B841" s="1"/>
      <c r="C841" s="1"/>
      <c r="D841" s="1"/>
      <c r="E841" s="1"/>
      <c r="F841" s="1"/>
      <c r="G841" s="1"/>
      <c r="H841" s="1"/>
      <c r="I841" s="1"/>
      <c r="J841" s="1"/>
      <c r="K841" s="1"/>
      <c r="L841" s="1"/>
      <c r="M841" s="1"/>
      <c r="N841" s="1"/>
      <c r="O841" s="1"/>
      <c r="P841" s="1"/>
      <c r="Q841" s="1"/>
      <c r="R841">
        <f>presup!M$368</f>
        <v>0</v>
      </c>
    </row>
    <row r="842" spans="1:18" ht="15.75" customHeight="1" x14ac:dyDescent="0.2">
      <c r="A842" s="1"/>
      <c r="B842" s="1"/>
      <c r="C842" s="1"/>
      <c r="D842" s="1"/>
      <c r="E842" s="1"/>
      <c r="F842" s="1"/>
      <c r="G842" s="1"/>
      <c r="H842" s="1"/>
      <c r="I842" s="1"/>
      <c r="J842" s="1"/>
      <c r="K842" s="1"/>
      <c r="L842" s="1"/>
      <c r="M842" s="1"/>
      <c r="N842" s="1"/>
      <c r="O842" s="1"/>
      <c r="P842" s="1"/>
      <c r="Q842" s="1"/>
      <c r="R842">
        <f>presup!M$368</f>
        <v>0</v>
      </c>
    </row>
    <row r="843" spans="1:18" ht="15.75" customHeight="1" x14ac:dyDescent="0.2">
      <c r="A843" s="1"/>
      <c r="B843" s="1"/>
      <c r="C843" s="1"/>
      <c r="D843" s="1"/>
      <c r="E843" s="1"/>
      <c r="F843" s="1"/>
      <c r="G843" s="1"/>
      <c r="H843" s="1"/>
      <c r="I843" s="1"/>
      <c r="J843" s="1"/>
      <c r="K843" s="1"/>
      <c r="L843" s="1"/>
      <c r="M843" s="1"/>
      <c r="N843" s="1"/>
      <c r="O843" s="1"/>
      <c r="P843" s="1"/>
      <c r="Q843" s="1"/>
      <c r="R843">
        <f>presup!M$368</f>
        <v>0</v>
      </c>
    </row>
    <row r="844" spans="1:18" ht="15.75" customHeight="1" x14ac:dyDescent="0.2">
      <c r="A844" s="1"/>
      <c r="B844" s="1"/>
      <c r="C844" s="1"/>
      <c r="D844" s="1"/>
      <c r="E844" s="1"/>
      <c r="F844" s="1"/>
      <c r="G844" s="1"/>
      <c r="H844" s="1"/>
      <c r="I844" s="1"/>
      <c r="J844" s="1"/>
      <c r="K844" s="1"/>
      <c r="L844" s="1"/>
      <c r="M844" s="1"/>
      <c r="N844" s="1"/>
      <c r="O844" s="1"/>
      <c r="P844" s="1"/>
      <c r="Q844" s="1"/>
      <c r="R844">
        <f>presup!M$368</f>
        <v>0</v>
      </c>
    </row>
    <row r="845" spans="1:18" ht="15.75" customHeight="1" x14ac:dyDescent="0.2">
      <c r="A845" s="1"/>
      <c r="B845" s="1"/>
      <c r="C845" s="1"/>
      <c r="D845" s="1"/>
      <c r="E845" s="1"/>
      <c r="F845" s="1"/>
      <c r="G845" s="1"/>
      <c r="H845" s="1"/>
      <c r="I845" s="1"/>
      <c r="J845" s="1"/>
      <c r="K845" s="1"/>
      <c r="L845" s="1"/>
      <c r="M845" s="1"/>
      <c r="N845" s="1"/>
      <c r="O845" s="1"/>
      <c r="P845" s="1"/>
      <c r="Q845" s="1"/>
      <c r="R845">
        <f>presup!M$368</f>
        <v>0</v>
      </c>
    </row>
    <row r="846" spans="1:18" ht="15.75" customHeight="1" x14ac:dyDescent="0.2">
      <c r="A846" s="1"/>
      <c r="B846" s="1"/>
      <c r="C846" s="1"/>
      <c r="D846" s="1"/>
      <c r="E846" s="1"/>
      <c r="F846" s="1"/>
      <c r="G846" s="1"/>
      <c r="H846" s="1"/>
      <c r="I846" s="1"/>
      <c r="J846" s="1"/>
      <c r="K846" s="1"/>
      <c r="L846" s="1"/>
      <c r="M846" s="1"/>
      <c r="N846" s="1"/>
      <c r="O846" s="1"/>
      <c r="P846" s="1"/>
      <c r="Q846" s="1"/>
      <c r="R846">
        <f>presup!M$368</f>
        <v>0</v>
      </c>
    </row>
    <row r="847" spans="1:18" ht="15.75" customHeight="1" x14ac:dyDescent="0.2">
      <c r="A847" s="1"/>
      <c r="B847" s="1"/>
      <c r="C847" s="1"/>
      <c r="D847" s="1"/>
      <c r="E847" s="1"/>
      <c r="F847" s="1"/>
      <c r="G847" s="1"/>
      <c r="H847" s="1"/>
      <c r="I847" s="1"/>
      <c r="J847" s="1"/>
      <c r="K847" s="1"/>
      <c r="L847" s="1"/>
      <c r="M847" s="1"/>
      <c r="N847" s="1"/>
      <c r="O847" s="1"/>
      <c r="P847" s="1"/>
      <c r="Q847" s="1"/>
      <c r="R847">
        <f>presup!M$368</f>
        <v>0</v>
      </c>
    </row>
    <row r="848" spans="1:18" ht="15.75" customHeight="1" x14ac:dyDescent="0.2">
      <c r="R848">
        <f>presup!M$368</f>
        <v>0</v>
      </c>
    </row>
    <row r="849" spans="18:18" ht="15.75" customHeight="1" x14ac:dyDescent="0.2">
      <c r="R849">
        <f>presup!M$368</f>
        <v>0</v>
      </c>
    </row>
    <row r="850" spans="18:18" ht="15.75" customHeight="1" x14ac:dyDescent="0.2">
      <c r="R850">
        <f>presup!M$368</f>
        <v>0</v>
      </c>
    </row>
    <row r="851" spans="18:18" ht="15.75" customHeight="1" x14ac:dyDescent="0.2">
      <c r="R851">
        <f>presup!M$368</f>
        <v>0</v>
      </c>
    </row>
    <row r="852" spans="18:18" ht="15.75" customHeight="1" x14ac:dyDescent="0.2">
      <c r="R852">
        <f>presup!M$368</f>
        <v>0</v>
      </c>
    </row>
    <row r="853" spans="18:18" ht="15.75" customHeight="1" x14ac:dyDescent="0.2">
      <c r="R853">
        <f>presup!M$368</f>
        <v>0</v>
      </c>
    </row>
    <row r="854" spans="18:18" ht="15.75" customHeight="1" x14ac:dyDescent="0.2">
      <c r="R854">
        <f>presup!M$368</f>
        <v>0</v>
      </c>
    </row>
    <row r="855" spans="18:18" ht="15.75" customHeight="1" x14ac:dyDescent="0.2">
      <c r="R855">
        <f>presup!M$368</f>
        <v>0</v>
      </c>
    </row>
    <row r="856" spans="18:18" ht="15.75" customHeight="1" x14ac:dyDescent="0.2">
      <c r="R856">
        <f>presup!M$368</f>
        <v>0</v>
      </c>
    </row>
    <row r="857" spans="18:18" ht="15.75" customHeight="1" x14ac:dyDescent="0.2">
      <c r="R857">
        <f>presup!M$368</f>
        <v>0</v>
      </c>
    </row>
    <row r="858" spans="18:18" ht="15.75" customHeight="1" x14ac:dyDescent="0.2">
      <c r="R858">
        <f>presup!M$368</f>
        <v>0</v>
      </c>
    </row>
    <row r="859" spans="18:18" ht="15.75" customHeight="1" x14ac:dyDescent="0.2">
      <c r="R859">
        <f>presup!M$368</f>
        <v>0</v>
      </c>
    </row>
    <row r="860" spans="18:18" ht="15.75" customHeight="1" x14ac:dyDescent="0.2">
      <c r="R860">
        <f>presup!M$368</f>
        <v>0</v>
      </c>
    </row>
    <row r="861" spans="18:18" ht="15.75" customHeight="1" x14ac:dyDescent="0.2">
      <c r="R861">
        <f>presup!M$368</f>
        <v>0</v>
      </c>
    </row>
    <row r="862" spans="18:18" ht="15.75" customHeight="1" x14ac:dyDescent="0.2">
      <c r="R862">
        <f>presup!M$368</f>
        <v>0</v>
      </c>
    </row>
    <row r="863" spans="18:18" ht="15.75" customHeight="1" x14ac:dyDescent="0.2">
      <c r="R863">
        <f>presup!M$368</f>
        <v>0</v>
      </c>
    </row>
    <row r="864" spans="18:18" ht="15.75" customHeight="1" x14ac:dyDescent="0.2">
      <c r="R864">
        <f>presup!M$368</f>
        <v>0</v>
      </c>
    </row>
    <row r="865" spans="18:18" ht="15.75" customHeight="1" x14ac:dyDescent="0.2">
      <c r="R865">
        <f>presup!M$368</f>
        <v>0</v>
      </c>
    </row>
    <row r="866" spans="18:18" ht="15.75" customHeight="1" x14ac:dyDescent="0.2">
      <c r="R866">
        <f>presup!M$368</f>
        <v>0</v>
      </c>
    </row>
    <row r="867" spans="18:18" ht="15.75" customHeight="1" x14ac:dyDescent="0.2">
      <c r="R867">
        <f>presup!M$368</f>
        <v>0</v>
      </c>
    </row>
    <row r="868" spans="18:18" ht="15.75" customHeight="1" x14ac:dyDescent="0.2">
      <c r="R868">
        <f>presup!M$368</f>
        <v>0</v>
      </c>
    </row>
    <row r="869" spans="18:18" ht="15.75" customHeight="1" x14ac:dyDescent="0.2">
      <c r="R869">
        <f>presup!M$368</f>
        <v>0</v>
      </c>
    </row>
    <row r="870" spans="18:18" ht="15.75" customHeight="1" x14ac:dyDescent="0.2">
      <c r="R870">
        <f>presup!M$368</f>
        <v>0</v>
      </c>
    </row>
    <row r="871" spans="18:18" ht="15.75" customHeight="1" x14ac:dyDescent="0.2">
      <c r="R871">
        <f>presup!M$368</f>
        <v>0</v>
      </c>
    </row>
    <row r="872" spans="18:18" ht="15.75" customHeight="1" x14ac:dyDescent="0.2">
      <c r="R872">
        <f>presup!M$368</f>
        <v>0</v>
      </c>
    </row>
    <row r="873" spans="18:18" ht="15.75" customHeight="1" x14ac:dyDescent="0.2">
      <c r="R873">
        <f>presup!M$368</f>
        <v>0</v>
      </c>
    </row>
    <row r="874" spans="18:18" ht="15.75" customHeight="1" x14ac:dyDescent="0.2">
      <c r="R874">
        <f>presup!M$368</f>
        <v>0</v>
      </c>
    </row>
    <row r="875" spans="18:18" ht="15.75" customHeight="1" x14ac:dyDescent="0.2">
      <c r="R875">
        <f>presup!M$368</f>
        <v>0</v>
      </c>
    </row>
    <row r="876" spans="18:18" ht="15.75" customHeight="1" x14ac:dyDescent="0.2">
      <c r="R876">
        <f>presup!M$368</f>
        <v>0</v>
      </c>
    </row>
    <row r="877" spans="18:18" ht="15.75" customHeight="1" x14ac:dyDescent="0.2">
      <c r="R877">
        <f>presup!M$368</f>
        <v>0</v>
      </c>
    </row>
    <row r="878" spans="18:18" ht="15.75" customHeight="1" x14ac:dyDescent="0.2">
      <c r="R878">
        <f>presup!M$368</f>
        <v>0</v>
      </c>
    </row>
    <row r="879" spans="18:18" ht="15.75" customHeight="1" x14ac:dyDescent="0.2">
      <c r="R879">
        <f>presup!M$368</f>
        <v>0</v>
      </c>
    </row>
    <row r="880" spans="18:18" ht="15.75" customHeight="1" x14ac:dyDescent="0.2">
      <c r="R880">
        <f>presup!M$368</f>
        <v>0</v>
      </c>
    </row>
    <row r="881" spans="18:18" ht="15.75" customHeight="1" x14ac:dyDescent="0.2">
      <c r="R881">
        <f>presup!M$368</f>
        <v>0</v>
      </c>
    </row>
    <row r="882" spans="18:18" ht="15.75" customHeight="1" x14ac:dyDescent="0.2">
      <c r="R882">
        <f>presup!M$368</f>
        <v>0</v>
      </c>
    </row>
    <row r="883" spans="18:18" ht="15.75" customHeight="1" x14ac:dyDescent="0.2">
      <c r="R883">
        <f>presup!M$368</f>
        <v>0</v>
      </c>
    </row>
    <row r="884" spans="18:18" ht="15.75" customHeight="1" x14ac:dyDescent="0.2">
      <c r="R884">
        <f>presup!M$368</f>
        <v>0</v>
      </c>
    </row>
    <row r="885" spans="18:18" ht="15.75" customHeight="1" x14ac:dyDescent="0.2">
      <c r="R885">
        <f>presup!M$368</f>
        <v>0</v>
      </c>
    </row>
    <row r="886" spans="18:18" ht="15.75" customHeight="1" x14ac:dyDescent="0.2">
      <c r="R886">
        <f>presup!M$368</f>
        <v>0</v>
      </c>
    </row>
    <row r="887" spans="18:18" ht="15.75" customHeight="1" x14ac:dyDescent="0.2">
      <c r="R887">
        <f>presup!M$368</f>
        <v>0</v>
      </c>
    </row>
    <row r="888" spans="18:18" ht="15.75" customHeight="1" x14ac:dyDescent="0.2">
      <c r="R888">
        <f>presup!M$368</f>
        <v>0</v>
      </c>
    </row>
    <row r="889" spans="18:18" ht="15.75" customHeight="1" x14ac:dyDescent="0.2">
      <c r="R889">
        <f>presup!M$368</f>
        <v>0</v>
      </c>
    </row>
    <row r="890" spans="18:18" ht="15.75" customHeight="1" x14ac:dyDescent="0.2">
      <c r="R890">
        <f>presup!M$368</f>
        <v>0</v>
      </c>
    </row>
    <row r="891" spans="18:18" ht="15.75" customHeight="1" x14ac:dyDescent="0.2">
      <c r="R891">
        <f>presup!M$368</f>
        <v>0</v>
      </c>
    </row>
    <row r="892" spans="18:18" ht="15.75" customHeight="1" x14ac:dyDescent="0.2">
      <c r="R892">
        <f>presup!M$368</f>
        <v>0</v>
      </c>
    </row>
    <row r="893" spans="18:18" ht="15.75" customHeight="1" x14ac:dyDescent="0.2">
      <c r="R893">
        <f>presup!M$368</f>
        <v>0</v>
      </c>
    </row>
    <row r="894" spans="18:18" ht="15.75" customHeight="1" x14ac:dyDescent="0.2">
      <c r="R894">
        <f>presup!M$368</f>
        <v>0</v>
      </c>
    </row>
    <row r="895" spans="18:18" ht="15.75" customHeight="1" x14ac:dyDescent="0.2">
      <c r="R895">
        <f>presup!M$368</f>
        <v>0</v>
      </c>
    </row>
    <row r="896" spans="18:18" ht="15.75" customHeight="1" x14ac:dyDescent="0.2">
      <c r="R896">
        <f>presup!M$368</f>
        <v>0</v>
      </c>
    </row>
    <row r="897" spans="18:18" ht="15.75" customHeight="1" x14ac:dyDescent="0.2">
      <c r="R897">
        <f>presup!M$368</f>
        <v>0</v>
      </c>
    </row>
    <row r="898" spans="18:18" ht="15.75" customHeight="1" x14ac:dyDescent="0.2">
      <c r="R898">
        <f>presup!M$368</f>
        <v>0</v>
      </c>
    </row>
    <row r="899" spans="18:18" ht="15.75" customHeight="1" x14ac:dyDescent="0.2">
      <c r="R899">
        <f>presup!M$368</f>
        <v>0</v>
      </c>
    </row>
    <row r="900" spans="18:18" ht="15.75" customHeight="1" x14ac:dyDescent="0.2">
      <c r="R900">
        <f>presup!M$368</f>
        <v>0</v>
      </c>
    </row>
    <row r="901" spans="18:18" ht="15.75" customHeight="1" x14ac:dyDescent="0.2">
      <c r="R901">
        <f>presup!M$368</f>
        <v>0</v>
      </c>
    </row>
    <row r="902" spans="18:18" ht="15.75" customHeight="1" x14ac:dyDescent="0.2">
      <c r="R902">
        <f>presup!M$368</f>
        <v>0</v>
      </c>
    </row>
    <row r="903" spans="18:18" ht="15.75" customHeight="1" x14ac:dyDescent="0.2">
      <c r="R903">
        <f>presup!M$368</f>
        <v>0</v>
      </c>
    </row>
    <row r="904" spans="18:18" ht="15.75" customHeight="1" x14ac:dyDescent="0.2">
      <c r="R904">
        <f>presup!M$368</f>
        <v>0</v>
      </c>
    </row>
    <row r="905" spans="18:18" ht="15.75" customHeight="1" x14ac:dyDescent="0.2">
      <c r="R905">
        <f>presup!M$368</f>
        <v>0</v>
      </c>
    </row>
    <row r="906" spans="18:18" ht="15.75" customHeight="1" x14ac:dyDescent="0.2">
      <c r="R906">
        <f>presup!M$368</f>
        <v>0</v>
      </c>
    </row>
    <row r="907" spans="18:18" ht="15.75" customHeight="1" x14ac:dyDescent="0.2">
      <c r="R907">
        <f>presup!M$368</f>
        <v>0</v>
      </c>
    </row>
    <row r="908" spans="18:18" ht="15.75" customHeight="1" x14ac:dyDescent="0.2">
      <c r="R908">
        <f>presup!M$368</f>
        <v>0</v>
      </c>
    </row>
    <row r="909" spans="18:18" ht="15.75" customHeight="1" x14ac:dyDescent="0.2">
      <c r="R909">
        <f>presup!M$368</f>
        <v>0</v>
      </c>
    </row>
    <row r="910" spans="18:18" ht="15.75" customHeight="1" x14ac:dyDescent="0.2">
      <c r="R910">
        <f>presup!M$368</f>
        <v>0</v>
      </c>
    </row>
    <row r="911" spans="18:18" ht="15.75" customHeight="1" x14ac:dyDescent="0.2">
      <c r="R911">
        <f>presup!M$368</f>
        <v>0</v>
      </c>
    </row>
    <row r="912" spans="18:18" ht="15.75" customHeight="1" x14ac:dyDescent="0.2">
      <c r="R912">
        <f>presup!M$368</f>
        <v>0</v>
      </c>
    </row>
    <row r="913" spans="18:18" ht="15.75" customHeight="1" x14ac:dyDescent="0.2">
      <c r="R913">
        <f>presup!M$368</f>
        <v>0</v>
      </c>
    </row>
    <row r="914" spans="18:18" ht="15.75" customHeight="1" x14ac:dyDescent="0.2">
      <c r="R914">
        <f>presup!M$368</f>
        <v>0</v>
      </c>
    </row>
    <row r="915" spans="18:18" ht="15.75" customHeight="1" x14ac:dyDescent="0.2">
      <c r="R915">
        <f>presup!M$368</f>
        <v>0</v>
      </c>
    </row>
    <row r="916" spans="18:18" ht="15.75" customHeight="1" x14ac:dyDescent="0.2">
      <c r="R916">
        <f>presup!M$368</f>
        <v>0</v>
      </c>
    </row>
    <row r="917" spans="18:18" ht="15.75" customHeight="1" x14ac:dyDescent="0.2">
      <c r="R917">
        <f>presup!M$368</f>
        <v>0</v>
      </c>
    </row>
    <row r="918" spans="18:18" ht="15.75" customHeight="1" x14ac:dyDescent="0.2">
      <c r="R918">
        <f>presup!M$368</f>
        <v>0</v>
      </c>
    </row>
    <row r="919" spans="18:18" ht="15.75" customHeight="1" x14ac:dyDescent="0.2">
      <c r="R919">
        <f>presup!M$368</f>
        <v>0</v>
      </c>
    </row>
    <row r="920" spans="18:18" ht="15.75" customHeight="1" x14ac:dyDescent="0.2">
      <c r="R920">
        <f>presup!M$368</f>
        <v>0</v>
      </c>
    </row>
    <row r="921" spans="18:18" ht="15.75" customHeight="1" x14ac:dyDescent="0.2">
      <c r="R921">
        <f>presup!M$368</f>
        <v>0</v>
      </c>
    </row>
    <row r="922" spans="18:18" ht="15.75" customHeight="1" x14ac:dyDescent="0.2">
      <c r="R922">
        <f>presup!M$368</f>
        <v>0</v>
      </c>
    </row>
    <row r="923" spans="18:18" ht="15.75" customHeight="1" x14ac:dyDescent="0.2">
      <c r="R923">
        <f>presup!M$368</f>
        <v>0</v>
      </c>
    </row>
    <row r="924" spans="18:18" ht="15.75" customHeight="1" x14ac:dyDescent="0.2">
      <c r="R924">
        <f>presup!M$368</f>
        <v>0</v>
      </c>
    </row>
    <row r="925" spans="18:18" ht="15.75" customHeight="1" x14ac:dyDescent="0.2">
      <c r="R925">
        <f>presup!M$368</f>
        <v>0</v>
      </c>
    </row>
    <row r="926" spans="18:18" ht="15.75" customHeight="1" x14ac:dyDescent="0.2">
      <c r="R926">
        <f>presup!M$368</f>
        <v>0</v>
      </c>
    </row>
    <row r="927" spans="18:18" ht="15.75" customHeight="1" x14ac:dyDescent="0.2">
      <c r="R927">
        <f>presup!M$368</f>
        <v>0</v>
      </c>
    </row>
    <row r="928" spans="18:18" ht="15.75" customHeight="1" x14ac:dyDescent="0.2">
      <c r="R928">
        <f>presup!M$368</f>
        <v>0</v>
      </c>
    </row>
    <row r="929" spans="18:18" ht="15.75" customHeight="1" x14ac:dyDescent="0.2">
      <c r="R929">
        <f>presup!M$368</f>
        <v>0</v>
      </c>
    </row>
    <row r="930" spans="18:18" ht="15.75" customHeight="1" x14ac:dyDescent="0.2">
      <c r="R930">
        <f>presup!M$368</f>
        <v>0</v>
      </c>
    </row>
    <row r="931" spans="18:18" ht="15.75" customHeight="1" x14ac:dyDescent="0.2">
      <c r="R931">
        <f>presup!M$368</f>
        <v>0</v>
      </c>
    </row>
    <row r="932" spans="18:18" ht="15.75" customHeight="1" x14ac:dyDescent="0.2">
      <c r="R932">
        <f>presup!M$368</f>
        <v>0</v>
      </c>
    </row>
    <row r="933" spans="18:18" ht="15.75" customHeight="1" x14ac:dyDescent="0.2">
      <c r="R933">
        <f>presup!M$368</f>
        <v>0</v>
      </c>
    </row>
    <row r="934" spans="18:18" ht="15.75" customHeight="1" x14ac:dyDescent="0.2">
      <c r="R934">
        <f>presup!M$368</f>
        <v>0</v>
      </c>
    </row>
    <row r="935" spans="18:18" ht="15.75" customHeight="1" x14ac:dyDescent="0.2">
      <c r="R935">
        <f>presup!M$368</f>
        <v>0</v>
      </c>
    </row>
    <row r="936" spans="18:18" ht="15.75" customHeight="1" x14ac:dyDescent="0.2">
      <c r="R936">
        <f>presup!M$368</f>
        <v>0</v>
      </c>
    </row>
    <row r="937" spans="18:18" ht="15.75" customHeight="1" x14ac:dyDescent="0.2">
      <c r="R937">
        <f>presup!M$368</f>
        <v>0</v>
      </c>
    </row>
    <row r="938" spans="18:18" ht="15.75" customHeight="1" x14ac:dyDescent="0.2">
      <c r="R938">
        <f>presup!M$368</f>
        <v>0</v>
      </c>
    </row>
    <row r="939" spans="18:18" ht="15.75" customHeight="1" x14ac:dyDescent="0.2">
      <c r="R939">
        <f>presup!M$368</f>
        <v>0</v>
      </c>
    </row>
    <row r="940" spans="18:18" ht="15.75" customHeight="1" x14ac:dyDescent="0.2">
      <c r="R940">
        <f>presup!M$368</f>
        <v>0</v>
      </c>
    </row>
    <row r="941" spans="18:18" ht="15.75" customHeight="1" x14ac:dyDescent="0.2">
      <c r="R941">
        <f>presup!M$368</f>
        <v>0</v>
      </c>
    </row>
    <row r="942" spans="18:18" ht="15.75" customHeight="1" x14ac:dyDescent="0.2">
      <c r="R942">
        <f>presup!M$368</f>
        <v>0</v>
      </c>
    </row>
    <row r="943" spans="18:18" ht="15.75" customHeight="1" x14ac:dyDescent="0.2">
      <c r="R943">
        <f>presup!M$368</f>
        <v>0</v>
      </c>
    </row>
    <row r="944" spans="18:18" ht="15.75" customHeight="1" x14ac:dyDescent="0.2">
      <c r="R944">
        <f>presup!M$368</f>
        <v>0</v>
      </c>
    </row>
    <row r="945" spans="18:18" ht="15.75" customHeight="1" x14ac:dyDescent="0.2">
      <c r="R945">
        <f>presup!M$368</f>
        <v>0</v>
      </c>
    </row>
    <row r="946" spans="18:18" ht="15.75" customHeight="1" x14ac:dyDescent="0.2">
      <c r="R946">
        <f>presup!M$368</f>
        <v>0</v>
      </c>
    </row>
    <row r="947" spans="18:18" ht="15.75" customHeight="1" x14ac:dyDescent="0.2">
      <c r="R947">
        <f>presup!M$368</f>
        <v>0</v>
      </c>
    </row>
    <row r="948" spans="18:18" ht="15.75" customHeight="1" x14ac:dyDescent="0.2">
      <c r="R948">
        <f>presup!M$368</f>
        <v>0</v>
      </c>
    </row>
    <row r="949" spans="18:18" ht="15.75" customHeight="1" x14ac:dyDescent="0.2">
      <c r="R949">
        <f>presup!M$368</f>
        <v>0</v>
      </c>
    </row>
    <row r="950" spans="18:18" ht="15.75" customHeight="1" x14ac:dyDescent="0.2">
      <c r="R950">
        <f>presup!M$368</f>
        <v>0</v>
      </c>
    </row>
    <row r="951" spans="18:18" ht="15.75" customHeight="1" x14ac:dyDescent="0.2">
      <c r="R951">
        <f>presup!M$368</f>
        <v>0</v>
      </c>
    </row>
    <row r="952" spans="18:18" ht="15.75" customHeight="1" x14ac:dyDescent="0.2">
      <c r="R952">
        <f>presup!M$368</f>
        <v>0</v>
      </c>
    </row>
    <row r="953" spans="18:18" ht="15.75" customHeight="1" x14ac:dyDescent="0.2">
      <c r="R953">
        <f>presup!M$368</f>
        <v>0</v>
      </c>
    </row>
    <row r="954" spans="18:18" ht="15.75" customHeight="1" x14ac:dyDescent="0.2">
      <c r="R954">
        <f>presup!M$368</f>
        <v>0</v>
      </c>
    </row>
    <row r="955" spans="18:18" ht="15.75" customHeight="1" x14ac:dyDescent="0.2">
      <c r="R955">
        <f>presup!M$368</f>
        <v>0</v>
      </c>
    </row>
    <row r="956" spans="18:18" ht="15.75" customHeight="1" x14ac:dyDescent="0.2">
      <c r="R956">
        <f>presup!M$368</f>
        <v>0</v>
      </c>
    </row>
    <row r="957" spans="18:18" ht="15.75" customHeight="1" x14ac:dyDescent="0.2">
      <c r="R957">
        <f>presup!M$368</f>
        <v>0</v>
      </c>
    </row>
    <row r="958" spans="18:18" ht="15.75" customHeight="1" x14ac:dyDescent="0.2">
      <c r="R958">
        <f>presup!M$368</f>
        <v>0</v>
      </c>
    </row>
    <row r="959" spans="18:18" ht="15.75" customHeight="1" x14ac:dyDescent="0.2">
      <c r="R959">
        <f>presup!M$368</f>
        <v>0</v>
      </c>
    </row>
    <row r="960" spans="18:18" ht="15.75" customHeight="1" x14ac:dyDescent="0.2">
      <c r="R960">
        <f>presup!M$368</f>
        <v>0</v>
      </c>
    </row>
    <row r="961" spans="18:18" ht="15.75" customHeight="1" x14ac:dyDescent="0.2">
      <c r="R961">
        <f>presup!M$368</f>
        <v>0</v>
      </c>
    </row>
    <row r="962" spans="18:18" ht="15.75" customHeight="1" x14ac:dyDescent="0.2">
      <c r="R962">
        <f>presup!M$368</f>
        <v>0</v>
      </c>
    </row>
    <row r="963" spans="18:18" ht="15.75" customHeight="1" x14ac:dyDescent="0.2">
      <c r="R963">
        <f>presup!M$368</f>
        <v>0</v>
      </c>
    </row>
    <row r="964" spans="18:18" ht="15.75" customHeight="1" x14ac:dyDescent="0.2">
      <c r="R964">
        <f>presup!M$368</f>
        <v>0</v>
      </c>
    </row>
    <row r="965" spans="18:18" ht="15.75" customHeight="1" x14ac:dyDescent="0.2">
      <c r="R965">
        <f>presup!M$368</f>
        <v>0</v>
      </c>
    </row>
    <row r="966" spans="18:18" ht="15.75" customHeight="1" x14ac:dyDescent="0.2">
      <c r="R966">
        <f>presup!M$368</f>
        <v>0</v>
      </c>
    </row>
    <row r="967" spans="18:18" ht="15.75" customHeight="1" x14ac:dyDescent="0.2">
      <c r="R967">
        <f>presup!M$368</f>
        <v>0</v>
      </c>
    </row>
    <row r="968" spans="18:18" ht="15.75" customHeight="1" x14ac:dyDescent="0.2">
      <c r="R968">
        <f>presup!M$368</f>
        <v>0</v>
      </c>
    </row>
    <row r="969" spans="18:18" ht="15.75" customHeight="1" x14ac:dyDescent="0.2">
      <c r="R969">
        <f>presup!M$368</f>
        <v>0</v>
      </c>
    </row>
    <row r="970" spans="18:18" ht="15.75" customHeight="1" x14ac:dyDescent="0.2">
      <c r="R970">
        <f>presup!M$368</f>
        <v>0</v>
      </c>
    </row>
    <row r="971" spans="18:18" ht="15.75" customHeight="1" x14ac:dyDescent="0.2">
      <c r="R971">
        <f>presup!M$368</f>
        <v>0</v>
      </c>
    </row>
    <row r="972" spans="18:18" ht="15.75" customHeight="1" x14ac:dyDescent="0.2">
      <c r="R972">
        <f>presup!M$368</f>
        <v>0</v>
      </c>
    </row>
    <row r="973" spans="18:18" ht="15.75" customHeight="1" x14ac:dyDescent="0.2">
      <c r="R973">
        <f>presup!M$368</f>
        <v>0</v>
      </c>
    </row>
    <row r="974" spans="18:18" ht="15.75" customHeight="1" x14ac:dyDescent="0.2">
      <c r="R974">
        <f>presup!M$368</f>
        <v>0</v>
      </c>
    </row>
    <row r="975" spans="18:18" ht="15.75" customHeight="1" x14ac:dyDescent="0.2">
      <c r="R975">
        <f>presup!M$368</f>
        <v>0</v>
      </c>
    </row>
    <row r="976" spans="18:18" ht="15.75" customHeight="1" x14ac:dyDescent="0.2">
      <c r="R976">
        <f>presup!M$368</f>
        <v>0</v>
      </c>
    </row>
    <row r="977" spans="18:18" ht="15.75" customHeight="1" x14ac:dyDescent="0.2">
      <c r="R977">
        <f>presup!M$368</f>
        <v>0</v>
      </c>
    </row>
    <row r="978" spans="18:18" ht="15.75" customHeight="1" x14ac:dyDescent="0.2">
      <c r="R978">
        <f>presup!M$368</f>
        <v>0</v>
      </c>
    </row>
    <row r="979" spans="18:18" ht="15.75" customHeight="1" x14ac:dyDescent="0.2">
      <c r="R979">
        <f>presup!M$368</f>
        <v>0</v>
      </c>
    </row>
    <row r="980" spans="18:18" ht="15.75" customHeight="1" x14ac:dyDescent="0.2">
      <c r="R980">
        <f>presup!M$368</f>
        <v>0</v>
      </c>
    </row>
    <row r="981" spans="18:18" ht="15.75" customHeight="1" x14ac:dyDescent="0.2">
      <c r="R981">
        <f>presup!M$368</f>
        <v>0</v>
      </c>
    </row>
    <row r="982" spans="18:18" ht="15.75" customHeight="1" x14ac:dyDescent="0.2">
      <c r="R982">
        <f>presup!M$368</f>
        <v>0</v>
      </c>
    </row>
    <row r="983" spans="18:18" ht="15.75" customHeight="1" x14ac:dyDescent="0.2">
      <c r="R983">
        <f>presup!M$368</f>
        <v>0</v>
      </c>
    </row>
    <row r="984" spans="18:18" ht="15.75" customHeight="1" x14ac:dyDescent="0.2">
      <c r="R984">
        <f>presup!M$368</f>
        <v>0</v>
      </c>
    </row>
    <row r="985" spans="18:18" ht="15.75" customHeight="1" x14ac:dyDescent="0.2">
      <c r="R985">
        <f>presup!M$368</f>
        <v>0</v>
      </c>
    </row>
    <row r="986" spans="18:18" ht="15.75" customHeight="1" x14ac:dyDescent="0.2">
      <c r="R986">
        <f>presup!M$368</f>
        <v>0</v>
      </c>
    </row>
    <row r="987" spans="18:18" ht="15.75" customHeight="1" x14ac:dyDescent="0.2">
      <c r="R987">
        <f>presup!M$368</f>
        <v>0</v>
      </c>
    </row>
    <row r="988" spans="18:18" ht="15.75" customHeight="1" x14ac:dyDescent="0.2">
      <c r="R988">
        <f>presup!M$368</f>
        <v>0</v>
      </c>
    </row>
    <row r="989" spans="18:18" ht="15.75" customHeight="1" x14ac:dyDescent="0.2">
      <c r="R989">
        <f>presup!M$368</f>
        <v>0</v>
      </c>
    </row>
    <row r="990" spans="18:18" ht="15.75" customHeight="1" x14ac:dyDescent="0.2">
      <c r="R990">
        <f>presup!M$368</f>
        <v>0</v>
      </c>
    </row>
    <row r="991" spans="18:18" ht="15.75" customHeight="1" x14ac:dyDescent="0.2">
      <c r="R991">
        <f>presup!M$368</f>
        <v>0</v>
      </c>
    </row>
    <row r="992" spans="18:18" ht="15.75" customHeight="1" x14ac:dyDescent="0.2">
      <c r="R992">
        <f>presup!M$368</f>
        <v>0</v>
      </c>
    </row>
    <row r="993" spans="18:18" ht="15.75" customHeight="1" x14ac:dyDescent="0.2">
      <c r="R993">
        <f>presup!M$368</f>
        <v>0</v>
      </c>
    </row>
    <row r="994" spans="18:18" ht="15.75" customHeight="1" x14ac:dyDescent="0.2">
      <c r="R994">
        <f>presup!M$368</f>
        <v>0</v>
      </c>
    </row>
    <row r="995" spans="18:18" ht="15.75" customHeight="1" x14ac:dyDescent="0.2">
      <c r="R995">
        <f>presup!M$368</f>
        <v>0</v>
      </c>
    </row>
    <row r="996" spans="18:18" ht="15.75" customHeight="1" x14ac:dyDescent="0.2">
      <c r="R996">
        <f>presup!M$368</f>
        <v>0</v>
      </c>
    </row>
    <row r="997" spans="18:18" ht="15.75" customHeight="1" x14ac:dyDescent="0.2">
      <c r="R997">
        <f>presup!M$368</f>
        <v>0</v>
      </c>
    </row>
    <row r="998" spans="18:18" ht="15.75" customHeight="1" x14ac:dyDescent="0.2">
      <c r="R998">
        <f>presup!M$368</f>
        <v>0</v>
      </c>
    </row>
    <row r="999" spans="18:18" ht="15.75" customHeight="1" x14ac:dyDescent="0.2">
      <c r="R999">
        <f>presup!M$368</f>
        <v>0</v>
      </c>
    </row>
    <row r="1000" spans="18:18" ht="15.75" customHeight="1" x14ac:dyDescent="0.2">
      <c r="R1000">
        <f>presup!M$368</f>
        <v>0</v>
      </c>
    </row>
    <row r="1001" spans="18:18" ht="15" customHeight="1" x14ac:dyDescent="0.2">
      <c r="R1001">
        <f>presup!M$368</f>
        <v>0</v>
      </c>
    </row>
    <row r="1002" spans="18:18" ht="15" customHeight="1" x14ac:dyDescent="0.2">
      <c r="R1002">
        <f>presup!M$368</f>
        <v>0</v>
      </c>
    </row>
    <row r="1003" spans="18:18" ht="15" customHeight="1" x14ac:dyDescent="0.2">
      <c r="R1003">
        <f>presup!M$368</f>
        <v>0</v>
      </c>
    </row>
    <row r="1004" spans="18:18" ht="15" customHeight="1" x14ac:dyDescent="0.2">
      <c r="R1004">
        <f>presup!M$368</f>
        <v>0</v>
      </c>
    </row>
    <row r="1005" spans="18:18" ht="15" customHeight="1" x14ac:dyDescent="0.2">
      <c r="R1005">
        <f>presup!M$368</f>
        <v>0</v>
      </c>
    </row>
    <row r="1006" spans="18:18" ht="15" customHeight="1" x14ac:dyDescent="0.2">
      <c r="R1006">
        <f>presup!M$368</f>
        <v>0</v>
      </c>
    </row>
    <row r="1007" spans="18:18" ht="15" customHeight="1" x14ac:dyDescent="0.2">
      <c r="R1007">
        <f>presup!M$368</f>
        <v>0</v>
      </c>
    </row>
    <row r="1008" spans="18:18" ht="15" customHeight="1" x14ac:dyDescent="0.2">
      <c r="R1008">
        <f>presup!M$368</f>
        <v>0</v>
      </c>
    </row>
    <row r="1009" spans="18:18" ht="15" customHeight="1" x14ac:dyDescent="0.2">
      <c r="R1009">
        <f>presup!M$368</f>
        <v>0</v>
      </c>
    </row>
    <row r="1010" spans="18:18" ht="15" customHeight="1" x14ac:dyDescent="0.2">
      <c r="R1010">
        <f>presup!M$368</f>
        <v>0</v>
      </c>
    </row>
    <row r="1011" spans="18:18" ht="15" customHeight="1" x14ac:dyDescent="0.2">
      <c r="R1011">
        <f>presup!M$368</f>
        <v>0</v>
      </c>
    </row>
    <row r="1012" spans="18:18" ht="15" customHeight="1" x14ac:dyDescent="0.2">
      <c r="R1012">
        <f>presup!M$368</f>
        <v>0</v>
      </c>
    </row>
    <row r="1013" spans="18:18" ht="15" customHeight="1" x14ac:dyDescent="0.2">
      <c r="R1013">
        <f>presup!M$368</f>
        <v>0</v>
      </c>
    </row>
    <row r="1014" spans="18:18" ht="15" customHeight="1" x14ac:dyDescent="0.2">
      <c r="R1014">
        <f>presup!M$368</f>
        <v>0</v>
      </c>
    </row>
    <row r="1015" spans="18:18" ht="15" customHeight="1" x14ac:dyDescent="0.2">
      <c r="R1015">
        <f>presup!M$368</f>
        <v>0</v>
      </c>
    </row>
    <row r="1016" spans="18:18" ht="15" customHeight="1" x14ac:dyDescent="0.2">
      <c r="R1016">
        <f>presup!M$368</f>
        <v>0</v>
      </c>
    </row>
    <row r="1017" spans="18:18" ht="15" customHeight="1" x14ac:dyDescent="0.2">
      <c r="R1017">
        <f>presup!M$368</f>
        <v>0</v>
      </c>
    </row>
    <row r="1018" spans="18:18" ht="15" customHeight="1" x14ac:dyDescent="0.2">
      <c r="R1018">
        <f>presup!M$368</f>
        <v>0</v>
      </c>
    </row>
    <row r="1019" spans="18:18" ht="15" customHeight="1" x14ac:dyDescent="0.2">
      <c r="R1019">
        <f>presup!M$368</f>
        <v>0</v>
      </c>
    </row>
    <row r="1020" spans="18:18" ht="15" customHeight="1" x14ac:dyDescent="0.2">
      <c r="R1020">
        <f>presup!M$368</f>
        <v>0</v>
      </c>
    </row>
    <row r="1021" spans="18:18" ht="15" customHeight="1" x14ac:dyDescent="0.2">
      <c r="R1021">
        <f>presup!M$368</f>
        <v>0</v>
      </c>
    </row>
    <row r="1022" spans="18:18" ht="15" customHeight="1" x14ac:dyDescent="0.2">
      <c r="R1022">
        <f>presup!M$368</f>
        <v>0</v>
      </c>
    </row>
    <row r="1023" spans="18:18" ht="15" customHeight="1" x14ac:dyDescent="0.2">
      <c r="R1023">
        <f>presup!M$368</f>
        <v>0</v>
      </c>
    </row>
    <row r="1024" spans="18:18" ht="15" customHeight="1" x14ac:dyDescent="0.2">
      <c r="R1024">
        <f>presup!M$368</f>
        <v>0</v>
      </c>
    </row>
    <row r="1025" spans="18:18" ht="15" customHeight="1" x14ac:dyDescent="0.2">
      <c r="R1025">
        <f>presup!M$368</f>
        <v>0</v>
      </c>
    </row>
    <row r="1026" spans="18:18" ht="15" customHeight="1" x14ac:dyDescent="0.2">
      <c r="R1026">
        <f>presup!M$368</f>
        <v>0</v>
      </c>
    </row>
    <row r="1027" spans="18:18" ht="15" customHeight="1" x14ac:dyDescent="0.2">
      <c r="R1027">
        <f>presup!M$368</f>
        <v>0</v>
      </c>
    </row>
    <row r="1028" spans="18:18" ht="15" customHeight="1" x14ac:dyDescent="0.2">
      <c r="R1028">
        <f>presup!M$368</f>
        <v>0</v>
      </c>
    </row>
    <row r="1029" spans="18:18" ht="15" customHeight="1" x14ac:dyDescent="0.2">
      <c r="R1029">
        <f>presup!M$368</f>
        <v>0</v>
      </c>
    </row>
    <row r="1030" spans="18:18" ht="15" customHeight="1" x14ac:dyDescent="0.2">
      <c r="R1030">
        <f>presup!M$368</f>
        <v>0</v>
      </c>
    </row>
    <row r="1031" spans="18:18" ht="15" customHeight="1" x14ac:dyDescent="0.2">
      <c r="R1031">
        <f>presup!M$368</f>
        <v>0</v>
      </c>
    </row>
    <row r="1032" spans="18:18" ht="15" customHeight="1" x14ac:dyDescent="0.2">
      <c r="R1032">
        <f>presup!M$368</f>
        <v>0</v>
      </c>
    </row>
    <row r="1033" spans="18:18" ht="15" customHeight="1" x14ac:dyDescent="0.2">
      <c r="R1033">
        <f>presup!M$368</f>
        <v>0</v>
      </c>
    </row>
    <row r="1034" spans="18:18" ht="15" customHeight="1" x14ac:dyDescent="0.2">
      <c r="R1034">
        <f>presup!M$368</f>
        <v>0</v>
      </c>
    </row>
    <row r="1035" spans="18:18" ht="15" customHeight="1" x14ac:dyDescent="0.2">
      <c r="R1035">
        <f>presup!M$368</f>
        <v>0</v>
      </c>
    </row>
    <row r="1036" spans="18:18" ht="15" customHeight="1" x14ac:dyDescent="0.2">
      <c r="R1036">
        <f>presup!M$368</f>
        <v>0</v>
      </c>
    </row>
    <row r="1037" spans="18:18" ht="15" customHeight="1" x14ac:dyDescent="0.2">
      <c r="R1037">
        <f>presup!M$368</f>
        <v>0</v>
      </c>
    </row>
    <row r="1038" spans="18:18" ht="15" customHeight="1" x14ac:dyDescent="0.2">
      <c r="R1038">
        <f>presup!M$368</f>
        <v>0</v>
      </c>
    </row>
    <row r="1039" spans="18:18" ht="15" customHeight="1" x14ac:dyDescent="0.2">
      <c r="R1039">
        <f>presup!M$368</f>
        <v>0</v>
      </c>
    </row>
    <row r="1040" spans="18:18" ht="15" customHeight="1" x14ac:dyDescent="0.2">
      <c r="R1040">
        <f>presup!M$368</f>
        <v>0</v>
      </c>
    </row>
    <row r="1041" spans="18:18" ht="15" customHeight="1" x14ac:dyDescent="0.2">
      <c r="R1041">
        <f>presup!M$368</f>
        <v>0</v>
      </c>
    </row>
    <row r="1042" spans="18:18" ht="15" customHeight="1" x14ac:dyDescent="0.2">
      <c r="R1042">
        <f>presup!M$368</f>
        <v>0</v>
      </c>
    </row>
    <row r="1043" spans="18:18" ht="15" customHeight="1" x14ac:dyDescent="0.2">
      <c r="R1043">
        <f>presup!M$368</f>
        <v>0</v>
      </c>
    </row>
    <row r="1044" spans="18:18" ht="15" customHeight="1" x14ac:dyDescent="0.2">
      <c r="R1044">
        <f>presup!M$368</f>
        <v>0</v>
      </c>
    </row>
    <row r="1045" spans="18:18" ht="15" customHeight="1" x14ac:dyDescent="0.2">
      <c r="R1045">
        <f>presup!M$368</f>
        <v>0</v>
      </c>
    </row>
    <row r="1046" spans="18:18" ht="15" customHeight="1" x14ac:dyDescent="0.2">
      <c r="R1046">
        <f>presup!M$368</f>
        <v>0</v>
      </c>
    </row>
    <row r="1047" spans="18:18" ht="15" customHeight="1" x14ac:dyDescent="0.2">
      <c r="R1047">
        <f>presup!M$368</f>
        <v>0</v>
      </c>
    </row>
    <row r="1048" spans="18:18" ht="15" customHeight="1" x14ac:dyDescent="0.2">
      <c r="R1048">
        <f>presup!M$368</f>
        <v>0</v>
      </c>
    </row>
    <row r="1049" spans="18:18" ht="15" customHeight="1" x14ac:dyDescent="0.2">
      <c r="R1049">
        <f>presup!M$368</f>
        <v>0</v>
      </c>
    </row>
    <row r="1050" spans="18:18" ht="15" customHeight="1" x14ac:dyDescent="0.2">
      <c r="R1050">
        <f>presup!M$368</f>
        <v>0</v>
      </c>
    </row>
    <row r="1051" spans="18:18" ht="15" customHeight="1" x14ac:dyDescent="0.2">
      <c r="R1051">
        <f>presup!M$368</f>
        <v>0</v>
      </c>
    </row>
    <row r="1052" spans="18:18" ht="15" customHeight="1" x14ac:dyDescent="0.2">
      <c r="R1052">
        <f>presup!M$368</f>
        <v>0</v>
      </c>
    </row>
    <row r="1053" spans="18:18" ht="15" customHeight="1" x14ac:dyDescent="0.2">
      <c r="R1053">
        <f>presup!M$368</f>
        <v>0</v>
      </c>
    </row>
    <row r="1054" spans="18:18" ht="15" customHeight="1" x14ac:dyDescent="0.2">
      <c r="R1054">
        <f>presup!M$368</f>
        <v>0</v>
      </c>
    </row>
    <row r="1055" spans="18:18" ht="15" customHeight="1" x14ac:dyDescent="0.2">
      <c r="R1055">
        <f>presup!M$368</f>
        <v>0</v>
      </c>
    </row>
    <row r="1056" spans="18:18" ht="15" customHeight="1" x14ac:dyDescent="0.2">
      <c r="R1056">
        <f>presup!M$368</f>
        <v>0</v>
      </c>
    </row>
    <row r="1057" spans="18:18" ht="15" customHeight="1" x14ac:dyDescent="0.2">
      <c r="R1057">
        <f>presup!M$368</f>
        <v>0</v>
      </c>
    </row>
    <row r="1058" spans="18:18" ht="15" customHeight="1" x14ac:dyDescent="0.2">
      <c r="R1058">
        <f>presup!M$368</f>
        <v>0</v>
      </c>
    </row>
    <row r="1059" spans="18:18" ht="15" customHeight="1" x14ac:dyDescent="0.2">
      <c r="R1059">
        <f>presup!M$368</f>
        <v>0</v>
      </c>
    </row>
    <row r="1060" spans="18:18" ht="15" customHeight="1" x14ac:dyDescent="0.2">
      <c r="R1060">
        <f>presup!M$368</f>
        <v>0</v>
      </c>
    </row>
    <row r="1061" spans="18:18" ht="15" customHeight="1" x14ac:dyDescent="0.2">
      <c r="R1061">
        <f>presup!M$368</f>
        <v>0</v>
      </c>
    </row>
    <row r="1062" spans="18:18" ht="15" customHeight="1" x14ac:dyDescent="0.2">
      <c r="R1062">
        <f>presup!M$368</f>
        <v>0</v>
      </c>
    </row>
    <row r="1063" spans="18:18" ht="15" customHeight="1" x14ac:dyDescent="0.2">
      <c r="R1063">
        <f>presup!M$368</f>
        <v>0</v>
      </c>
    </row>
    <row r="1064" spans="18:18" ht="15" customHeight="1" x14ac:dyDescent="0.2">
      <c r="R1064">
        <f>presup!M$368</f>
        <v>0</v>
      </c>
    </row>
    <row r="1065" spans="18:18" ht="15" customHeight="1" x14ac:dyDescent="0.2">
      <c r="R1065">
        <f>presup!M$368</f>
        <v>0</v>
      </c>
    </row>
    <row r="1066" spans="18:18" ht="15" customHeight="1" x14ac:dyDescent="0.2">
      <c r="R1066">
        <f>presup!M$368</f>
        <v>0</v>
      </c>
    </row>
    <row r="1067" spans="18:18" ht="15" customHeight="1" x14ac:dyDescent="0.2">
      <c r="R1067">
        <f>presup!M$368</f>
        <v>0</v>
      </c>
    </row>
    <row r="1068" spans="18:18" ht="15" customHeight="1" x14ac:dyDescent="0.2">
      <c r="R1068">
        <f>presup!M$368</f>
        <v>0</v>
      </c>
    </row>
    <row r="1069" spans="18:18" ht="15" customHeight="1" x14ac:dyDescent="0.2">
      <c r="R1069">
        <f>presup!M$368</f>
        <v>0</v>
      </c>
    </row>
    <row r="1070" spans="18:18" ht="15" customHeight="1" x14ac:dyDescent="0.2">
      <c r="R1070">
        <f>presup!M$368</f>
        <v>0</v>
      </c>
    </row>
    <row r="1071" spans="18:18" ht="15" customHeight="1" x14ac:dyDescent="0.2">
      <c r="R1071">
        <f>presup!M$368</f>
        <v>0</v>
      </c>
    </row>
    <row r="1072" spans="18:18" ht="15" customHeight="1" x14ac:dyDescent="0.2">
      <c r="R1072">
        <f>presup!M$368</f>
        <v>0</v>
      </c>
    </row>
    <row r="1073" spans="18:18" ht="15" customHeight="1" x14ac:dyDescent="0.2">
      <c r="R1073">
        <f>presup!M$368</f>
        <v>0</v>
      </c>
    </row>
    <row r="1074" spans="18:18" ht="15" customHeight="1" x14ac:dyDescent="0.2">
      <c r="R1074">
        <f>presup!M$368</f>
        <v>0</v>
      </c>
    </row>
    <row r="1075" spans="18:18" ht="15" customHeight="1" x14ac:dyDescent="0.2">
      <c r="R1075">
        <f>presup!M$368</f>
        <v>0</v>
      </c>
    </row>
    <row r="1076" spans="18:18" ht="15" customHeight="1" x14ac:dyDescent="0.2">
      <c r="R1076">
        <f>presup!M$368</f>
        <v>0</v>
      </c>
    </row>
    <row r="1077" spans="18:18" ht="15" customHeight="1" x14ac:dyDescent="0.2">
      <c r="R1077">
        <f>presup!M$368</f>
        <v>0</v>
      </c>
    </row>
    <row r="1078" spans="18:18" ht="15" customHeight="1" x14ac:dyDescent="0.2">
      <c r="R1078">
        <f>presup!M$368</f>
        <v>0</v>
      </c>
    </row>
    <row r="1079" spans="18:18" ht="15" customHeight="1" x14ac:dyDescent="0.2">
      <c r="R1079">
        <f>presup!M$368</f>
        <v>0</v>
      </c>
    </row>
    <row r="1080" spans="18:18" ht="15" customHeight="1" x14ac:dyDescent="0.2">
      <c r="R1080">
        <f>presup!M$368</f>
        <v>0</v>
      </c>
    </row>
    <row r="1081" spans="18:18" ht="15" customHeight="1" x14ac:dyDescent="0.2">
      <c r="R1081">
        <f>presup!M$368</f>
        <v>0</v>
      </c>
    </row>
    <row r="1082" spans="18:18" ht="15" customHeight="1" x14ac:dyDescent="0.2">
      <c r="R1082">
        <f>presup!M$368</f>
        <v>0</v>
      </c>
    </row>
    <row r="1083" spans="18:18" ht="15" customHeight="1" x14ac:dyDescent="0.2">
      <c r="R1083">
        <f>presup!M$368</f>
        <v>0</v>
      </c>
    </row>
    <row r="1084" spans="18:18" ht="15" customHeight="1" x14ac:dyDescent="0.2">
      <c r="R1084">
        <f>presup!M$368</f>
        <v>0</v>
      </c>
    </row>
    <row r="1085" spans="18:18" ht="15" customHeight="1" x14ac:dyDescent="0.2">
      <c r="R1085">
        <f>presup!M$368</f>
        <v>0</v>
      </c>
    </row>
    <row r="1086" spans="18:18" ht="15" customHeight="1" x14ac:dyDescent="0.2">
      <c r="R1086">
        <f>presup!M$368</f>
        <v>0</v>
      </c>
    </row>
    <row r="1087" spans="18:18" ht="15" customHeight="1" x14ac:dyDescent="0.2">
      <c r="R1087">
        <f>presup!M$368</f>
        <v>0</v>
      </c>
    </row>
    <row r="1088" spans="18:18" ht="15" customHeight="1" x14ac:dyDescent="0.2">
      <c r="R1088">
        <f>presup!M$368</f>
        <v>0</v>
      </c>
    </row>
    <row r="1089" spans="18:18" ht="15" customHeight="1" x14ac:dyDescent="0.2">
      <c r="R1089">
        <f>presup!M$368</f>
        <v>0</v>
      </c>
    </row>
    <row r="1090" spans="18:18" ht="15" customHeight="1" x14ac:dyDescent="0.2">
      <c r="R1090">
        <f>presup!M$368</f>
        <v>0</v>
      </c>
    </row>
    <row r="1091" spans="18:18" ht="15" customHeight="1" x14ac:dyDescent="0.2">
      <c r="R1091">
        <f>presup!M$368</f>
        <v>0</v>
      </c>
    </row>
    <row r="1092" spans="18:18" ht="15" customHeight="1" x14ac:dyDescent="0.2">
      <c r="R1092">
        <f>presup!M$368</f>
        <v>0</v>
      </c>
    </row>
    <row r="1093" spans="18:18" ht="15" customHeight="1" x14ac:dyDescent="0.2">
      <c r="R1093">
        <f>presup!M$368</f>
        <v>0</v>
      </c>
    </row>
    <row r="1094" spans="18:18" ht="15" customHeight="1" x14ac:dyDescent="0.2">
      <c r="R1094">
        <f>presup!M$368</f>
        <v>0</v>
      </c>
    </row>
    <row r="1095" spans="18:18" ht="15" customHeight="1" x14ac:dyDescent="0.2">
      <c r="R1095">
        <f>presup!M$368</f>
        <v>0</v>
      </c>
    </row>
    <row r="1096" spans="18:18" ht="15" customHeight="1" x14ac:dyDescent="0.2">
      <c r="R1096">
        <f>presup!M$368</f>
        <v>0</v>
      </c>
    </row>
    <row r="1097" spans="18:18" ht="15" customHeight="1" x14ac:dyDescent="0.2">
      <c r="R1097">
        <f>presup!M$368</f>
        <v>0</v>
      </c>
    </row>
    <row r="1098" spans="18:18" ht="15" customHeight="1" x14ac:dyDescent="0.2">
      <c r="R1098">
        <f>presup!M$368</f>
        <v>0</v>
      </c>
    </row>
    <row r="1099" spans="18:18" ht="15" customHeight="1" x14ac:dyDescent="0.2">
      <c r="R1099">
        <f>presup!M$368</f>
        <v>0</v>
      </c>
    </row>
    <row r="1100" spans="18:18" ht="15" customHeight="1" x14ac:dyDescent="0.2">
      <c r="R1100">
        <f>presup!M$368</f>
        <v>0</v>
      </c>
    </row>
    <row r="1101" spans="18:18" ht="15" customHeight="1" x14ac:dyDescent="0.2">
      <c r="R1101">
        <f>presup!M$368</f>
        <v>0</v>
      </c>
    </row>
    <row r="1102" spans="18:18" ht="15" customHeight="1" x14ac:dyDescent="0.2">
      <c r="R1102">
        <f>presup!M$368</f>
        <v>0</v>
      </c>
    </row>
    <row r="1103" spans="18:18" ht="15" customHeight="1" x14ac:dyDescent="0.2">
      <c r="R1103">
        <f>presup!M$368</f>
        <v>0</v>
      </c>
    </row>
    <row r="1104" spans="18:18" ht="15" customHeight="1" x14ac:dyDescent="0.2">
      <c r="R1104">
        <f>presup!M$368</f>
        <v>0</v>
      </c>
    </row>
    <row r="1105" spans="18:18" ht="15" customHeight="1" x14ac:dyDescent="0.2">
      <c r="R1105">
        <f>presup!M$368</f>
        <v>0</v>
      </c>
    </row>
    <row r="1106" spans="18:18" ht="15" customHeight="1" x14ac:dyDescent="0.2">
      <c r="R1106">
        <f>presup!M$368</f>
        <v>0</v>
      </c>
    </row>
    <row r="1107" spans="18:18" ht="15" customHeight="1" x14ac:dyDescent="0.2">
      <c r="R1107">
        <f>presup!M$368</f>
        <v>0</v>
      </c>
    </row>
    <row r="1108" spans="18:18" ht="15" customHeight="1" x14ac:dyDescent="0.2">
      <c r="R1108">
        <f>presup!M$368</f>
        <v>0</v>
      </c>
    </row>
    <row r="1109" spans="18:18" ht="15" customHeight="1" x14ac:dyDescent="0.2">
      <c r="R1109">
        <f>presup!M$368</f>
        <v>0</v>
      </c>
    </row>
    <row r="1110" spans="18:18" ht="15" customHeight="1" x14ac:dyDescent="0.2">
      <c r="R1110">
        <f>presup!M$368</f>
        <v>0</v>
      </c>
    </row>
    <row r="1111" spans="18:18" ht="15" customHeight="1" x14ac:dyDescent="0.2">
      <c r="R1111">
        <f>presup!M$368</f>
        <v>0</v>
      </c>
    </row>
    <row r="1112" spans="18:18" ht="15" customHeight="1" x14ac:dyDescent="0.2">
      <c r="R1112">
        <f>presup!M$368</f>
        <v>0</v>
      </c>
    </row>
    <row r="1113" spans="18:18" ht="15" customHeight="1" x14ac:dyDescent="0.2">
      <c r="R1113">
        <f>presup!M$368</f>
        <v>0</v>
      </c>
    </row>
    <row r="1114" spans="18:18" ht="15" customHeight="1" x14ac:dyDescent="0.2">
      <c r="R1114">
        <f>presup!M$368</f>
        <v>0</v>
      </c>
    </row>
    <row r="1115" spans="18:18" ht="15" customHeight="1" x14ac:dyDescent="0.2">
      <c r="R1115">
        <f>presup!M$368</f>
        <v>0</v>
      </c>
    </row>
    <row r="1116" spans="18:18" ht="15" customHeight="1" x14ac:dyDescent="0.2">
      <c r="R1116">
        <f>presup!M$368</f>
        <v>0</v>
      </c>
    </row>
    <row r="1117" spans="18:18" ht="15" customHeight="1" x14ac:dyDescent="0.2">
      <c r="R1117">
        <f>presup!M$368</f>
        <v>0</v>
      </c>
    </row>
    <row r="1118" spans="18:18" ht="15" customHeight="1" x14ac:dyDescent="0.2">
      <c r="R1118">
        <f>presup!M$368</f>
        <v>0</v>
      </c>
    </row>
    <row r="1119" spans="18:18" ht="15" customHeight="1" x14ac:dyDescent="0.2">
      <c r="R1119">
        <f>presup!M$368</f>
        <v>0</v>
      </c>
    </row>
    <row r="1120" spans="18:18" ht="15" customHeight="1" x14ac:dyDescent="0.2">
      <c r="R1120">
        <f>presup!M$368</f>
        <v>0</v>
      </c>
    </row>
    <row r="1121" spans="18:18" ht="15" customHeight="1" x14ac:dyDescent="0.2">
      <c r="R1121">
        <f>presup!M$368</f>
        <v>0</v>
      </c>
    </row>
    <row r="1122" spans="18:18" ht="15" customHeight="1" x14ac:dyDescent="0.2">
      <c r="R1122">
        <f>presup!M$368</f>
        <v>0</v>
      </c>
    </row>
    <row r="1123" spans="18:18" ht="15" customHeight="1" x14ac:dyDescent="0.2">
      <c r="R1123">
        <f>presup!M$368</f>
        <v>0</v>
      </c>
    </row>
    <row r="1124" spans="18:18" ht="15" customHeight="1" x14ac:dyDescent="0.2">
      <c r="R1124">
        <f>presup!M$368</f>
        <v>0</v>
      </c>
    </row>
    <row r="1125" spans="18:18" ht="15" customHeight="1" x14ac:dyDescent="0.2">
      <c r="R1125">
        <f>presup!M$368</f>
        <v>0</v>
      </c>
    </row>
    <row r="1126" spans="18:18" ht="15" customHeight="1" x14ac:dyDescent="0.2">
      <c r="R1126">
        <f>presup!M$368</f>
        <v>0</v>
      </c>
    </row>
    <row r="1127" spans="18:18" ht="15" customHeight="1" x14ac:dyDescent="0.2">
      <c r="R1127">
        <f>presup!M$368</f>
        <v>0</v>
      </c>
    </row>
    <row r="1128" spans="18:18" ht="15" customHeight="1" x14ac:dyDescent="0.2">
      <c r="R1128">
        <f>presup!M$368</f>
        <v>0</v>
      </c>
    </row>
    <row r="1129" spans="18:18" ht="15" customHeight="1" x14ac:dyDescent="0.2">
      <c r="R1129">
        <f>presup!M$368</f>
        <v>0</v>
      </c>
    </row>
    <row r="1130" spans="18:18" ht="15" customHeight="1" x14ac:dyDescent="0.2">
      <c r="R1130">
        <f>presup!M$368</f>
        <v>0</v>
      </c>
    </row>
    <row r="1131" spans="18:18" ht="15" customHeight="1" x14ac:dyDescent="0.2">
      <c r="R1131">
        <f>presup!M$368</f>
        <v>0</v>
      </c>
    </row>
    <row r="1132" spans="18:18" ht="15" customHeight="1" x14ac:dyDescent="0.2">
      <c r="R1132">
        <f>presup!M$368</f>
        <v>0</v>
      </c>
    </row>
    <row r="1133" spans="18:18" ht="15" customHeight="1" x14ac:dyDescent="0.2">
      <c r="R1133">
        <f>presup!M$368</f>
        <v>0</v>
      </c>
    </row>
    <row r="1134" spans="18:18" ht="15" customHeight="1" x14ac:dyDescent="0.2">
      <c r="R1134">
        <f>presup!M$368</f>
        <v>0</v>
      </c>
    </row>
    <row r="1135" spans="18:18" ht="15" customHeight="1" x14ac:dyDescent="0.2">
      <c r="R1135">
        <f>presup!M$368</f>
        <v>0</v>
      </c>
    </row>
    <row r="1136" spans="18:18" ht="15" customHeight="1" x14ac:dyDescent="0.2">
      <c r="R1136">
        <f>presup!M$368</f>
        <v>0</v>
      </c>
    </row>
    <row r="1137" spans="18:18" ht="15" customHeight="1" x14ac:dyDescent="0.2">
      <c r="R1137">
        <f>presup!M$368</f>
        <v>0</v>
      </c>
    </row>
    <row r="1138" spans="18:18" ht="15" customHeight="1" x14ac:dyDescent="0.2">
      <c r="R1138">
        <f>presup!M$368</f>
        <v>0</v>
      </c>
    </row>
    <row r="1139" spans="18:18" ht="15" customHeight="1" x14ac:dyDescent="0.2">
      <c r="R1139">
        <f>presup!M$368</f>
        <v>0</v>
      </c>
    </row>
    <row r="1140" spans="18:18" ht="15" customHeight="1" x14ac:dyDescent="0.2">
      <c r="R1140">
        <f>presup!M$368</f>
        <v>0</v>
      </c>
    </row>
    <row r="1141" spans="18:18" ht="15" customHeight="1" x14ac:dyDescent="0.2">
      <c r="R1141">
        <f>presup!M$368</f>
        <v>0</v>
      </c>
    </row>
    <row r="1142" spans="18:18" ht="15" customHeight="1" x14ac:dyDescent="0.2">
      <c r="R1142">
        <f>presup!M$368</f>
        <v>0</v>
      </c>
    </row>
    <row r="1143" spans="18:18" ht="15" customHeight="1" x14ac:dyDescent="0.2">
      <c r="R1143">
        <f>presup!M$368</f>
        <v>0</v>
      </c>
    </row>
    <row r="1144" spans="18:18" ht="15" customHeight="1" x14ac:dyDescent="0.2">
      <c r="R1144">
        <f>presup!M$368</f>
        <v>0</v>
      </c>
    </row>
    <row r="1145" spans="18:18" ht="15" customHeight="1" x14ac:dyDescent="0.2">
      <c r="R1145">
        <f>presup!M$368</f>
        <v>0</v>
      </c>
    </row>
    <row r="1146" spans="18:18" ht="15" customHeight="1" x14ac:dyDescent="0.2">
      <c r="R1146">
        <f>presup!M$368</f>
        <v>0</v>
      </c>
    </row>
    <row r="1147" spans="18:18" ht="15" customHeight="1" x14ac:dyDescent="0.2">
      <c r="R1147">
        <f>presup!M$368</f>
        <v>0</v>
      </c>
    </row>
    <row r="1148" spans="18:18" ht="15" customHeight="1" x14ac:dyDescent="0.2">
      <c r="R1148">
        <f>presup!M$368</f>
        <v>0</v>
      </c>
    </row>
    <row r="1149" spans="18:18" ht="15" customHeight="1" x14ac:dyDescent="0.2">
      <c r="R1149">
        <f>presup!M$368</f>
        <v>0</v>
      </c>
    </row>
    <row r="1150" spans="18:18" ht="15" customHeight="1" x14ac:dyDescent="0.2">
      <c r="R1150">
        <f>presup!M$368</f>
        <v>0</v>
      </c>
    </row>
    <row r="1151" spans="18:18" ht="15" customHeight="1" x14ac:dyDescent="0.2">
      <c r="R1151">
        <f>presup!M$368</f>
        <v>0</v>
      </c>
    </row>
    <row r="1152" spans="18:18" ht="15" customHeight="1" x14ac:dyDescent="0.2">
      <c r="R1152">
        <f>presup!M$368</f>
        <v>0</v>
      </c>
    </row>
    <row r="1153" spans="18:18" ht="15" customHeight="1" x14ac:dyDescent="0.2">
      <c r="R1153">
        <f>presup!M$368</f>
        <v>0</v>
      </c>
    </row>
    <row r="1154" spans="18:18" ht="15" customHeight="1" x14ac:dyDescent="0.2">
      <c r="R1154">
        <f>presup!M$368</f>
        <v>0</v>
      </c>
    </row>
    <row r="1155" spans="18:18" ht="15" customHeight="1" x14ac:dyDescent="0.2">
      <c r="R1155">
        <f>presup!M$368</f>
        <v>0</v>
      </c>
    </row>
    <row r="1156" spans="18:18" ht="15" customHeight="1" x14ac:dyDescent="0.2">
      <c r="R1156">
        <f>presup!M$368</f>
        <v>0</v>
      </c>
    </row>
    <row r="1157" spans="18:18" ht="15" customHeight="1" x14ac:dyDescent="0.2">
      <c r="R1157">
        <f>presup!M$368</f>
        <v>0</v>
      </c>
    </row>
    <row r="1158" spans="18:18" ht="15" customHeight="1" x14ac:dyDescent="0.2">
      <c r="R1158">
        <f>presup!M$368</f>
        <v>0</v>
      </c>
    </row>
    <row r="1159" spans="18:18" ht="15" customHeight="1" x14ac:dyDescent="0.2">
      <c r="R1159">
        <f>presup!M$368</f>
        <v>0</v>
      </c>
    </row>
    <row r="1160" spans="18:18" ht="15" customHeight="1" x14ac:dyDescent="0.2">
      <c r="R1160">
        <f>presup!M$368</f>
        <v>0</v>
      </c>
    </row>
    <row r="1161" spans="18:18" ht="15" customHeight="1" x14ac:dyDescent="0.2">
      <c r="R1161">
        <f>presup!M$368</f>
        <v>0</v>
      </c>
    </row>
    <row r="1162" spans="18:18" ht="15" customHeight="1" x14ac:dyDescent="0.2">
      <c r="R1162">
        <f>presup!M$368</f>
        <v>0</v>
      </c>
    </row>
    <row r="1163" spans="18:18" ht="15" customHeight="1" x14ac:dyDescent="0.2">
      <c r="R1163">
        <f>presup!M$368</f>
        <v>0</v>
      </c>
    </row>
    <row r="1164" spans="18:18" ht="15" customHeight="1" x14ac:dyDescent="0.2">
      <c r="R1164">
        <f>presup!M$368</f>
        <v>0</v>
      </c>
    </row>
    <row r="1165" spans="18:18" ht="15" customHeight="1" x14ac:dyDescent="0.2">
      <c r="R1165">
        <f>presup!M$368</f>
        <v>0</v>
      </c>
    </row>
    <row r="1166" spans="18:18" ht="15" customHeight="1" x14ac:dyDescent="0.2">
      <c r="R1166">
        <f>presup!M$368</f>
        <v>0</v>
      </c>
    </row>
    <row r="1167" spans="18:18" ht="15" customHeight="1" x14ac:dyDescent="0.2">
      <c r="R1167">
        <f>presup!M$368</f>
        <v>0</v>
      </c>
    </row>
    <row r="1168" spans="18:18" ht="15" customHeight="1" x14ac:dyDescent="0.2">
      <c r="R1168">
        <f>presup!M$368</f>
        <v>0</v>
      </c>
    </row>
    <row r="1169" spans="18:18" ht="15" customHeight="1" x14ac:dyDescent="0.2">
      <c r="R1169">
        <f>presup!M$368</f>
        <v>0</v>
      </c>
    </row>
    <row r="1170" spans="18:18" ht="15" customHeight="1" x14ac:dyDescent="0.2">
      <c r="R1170">
        <f>presup!M$368</f>
        <v>0</v>
      </c>
    </row>
    <row r="1171" spans="18:18" ht="15" customHeight="1" x14ac:dyDescent="0.2">
      <c r="R1171">
        <f>presup!M$368</f>
        <v>0</v>
      </c>
    </row>
    <row r="1172" spans="18:18" ht="15" customHeight="1" x14ac:dyDescent="0.2">
      <c r="R1172">
        <f>presup!M$368</f>
        <v>0</v>
      </c>
    </row>
    <row r="1173" spans="18:18" ht="15" customHeight="1" x14ac:dyDescent="0.2">
      <c r="R1173">
        <f>presup!M$368</f>
        <v>0</v>
      </c>
    </row>
    <row r="1174" spans="18:18" ht="15" customHeight="1" x14ac:dyDescent="0.2">
      <c r="R1174">
        <f>presup!M$368</f>
        <v>0</v>
      </c>
    </row>
    <row r="1175" spans="18:18" ht="15" customHeight="1" x14ac:dyDescent="0.2">
      <c r="R1175">
        <f>presup!M$368</f>
        <v>0</v>
      </c>
    </row>
    <row r="1176" spans="18:18" ht="15" customHeight="1" x14ac:dyDescent="0.2">
      <c r="R1176">
        <f>presup!M$368</f>
        <v>0</v>
      </c>
    </row>
    <row r="1177" spans="18:18" ht="15" customHeight="1" x14ac:dyDescent="0.2">
      <c r="R1177">
        <f>presup!M$368</f>
        <v>0</v>
      </c>
    </row>
    <row r="1178" spans="18:18" ht="15" customHeight="1" x14ac:dyDescent="0.2">
      <c r="R1178">
        <f>presup!M$368</f>
        <v>0</v>
      </c>
    </row>
    <row r="1179" spans="18:18" ht="15" customHeight="1" x14ac:dyDescent="0.2">
      <c r="R1179">
        <f>presup!M$368</f>
        <v>0</v>
      </c>
    </row>
    <row r="1180" spans="18:18" ht="15" customHeight="1" x14ac:dyDescent="0.2">
      <c r="R1180">
        <f>presup!M$368</f>
        <v>0</v>
      </c>
    </row>
    <row r="1181" spans="18:18" ht="15" customHeight="1" x14ac:dyDescent="0.2">
      <c r="R1181">
        <f>presup!M$368</f>
        <v>0</v>
      </c>
    </row>
    <row r="1182" spans="18:18" ht="15" customHeight="1" x14ac:dyDescent="0.2">
      <c r="R1182">
        <f>presup!M$368</f>
        <v>0</v>
      </c>
    </row>
    <row r="1183" spans="18:18" ht="15" customHeight="1" x14ac:dyDescent="0.2">
      <c r="R1183">
        <f>presup!M$368</f>
        <v>0</v>
      </c>
    </row>
    <row r="1184" spans="18:18" ht="15" customHeight="1" x14ac:dyDescent="0.2">
      <c r="R1184">
        <f>presup!M$368</f>
        <v>0</v>
      </c>
    </row>
    <row r="1185" spans="18:18" ht="15" customHeight="1" x14ac:dyDescent="0.2">
      <c r="R1185">
        <f>presup!M$368</f>
        <v>0</v>
      </c>
    </row>
    <row r="1186" spans="18:18" ht="15" customHeight="1" x14ac:dyDescent="0.2">
      <c r="R1186">
        <f>presup!M$368</f>
        <v>0</v>
      </c>
    </row>
    <row r="1187" spans="18:18" ht="15" customHeight="1" x14ac:dyDescent="0.2">
      <c r="R1187">
        <f>presup!M$368</f>
        <v>0</v>
      </c>
    </row>
    <row r="1188" spans="18:18" ht="15" customHeight="1" x14ac:dyDescent="0.2">
      <c r="R1188">
        <f>presup!M$368</f>
        <v>0</v>
      </c>
    </row>
    <row r="1189" spans="18:18" ht="15" customHeight="1" x14ac:dyDescent="0.2">
      <c r="R1189">
        <f>presup!M$368</f>
        <v>0</v>
      </c>
    </row>
    <row r="1190" spans="18:18" ht="15" customHeight="1" x14ac:dyDescent="0.2">
      <c r="R1190">
        <f>presup!M$368</f>
        <v>0</v>
      </c>
    </row>
    <row r="1191" spans="18:18" ht="15" customHeight="1" x14ac:dyDescent="0.2">
      <c r="R1191">
        <f>presup!M$368</f>
        <v>0</v>
      </c>
    </row>
    <row r="1192" spans="18:18" ht="15" customHeight="1" x14ac:dyDescent="0.2">
      <c r="R1192">
        <f>presup!M$368</f>
        <v>0</v>
      </c>
    </row>
    <row r="1193" spans="18:18" ht="15" customHeight="1" x14ac:dyDescent="0.2">
      <c r="R1193">
        <f>presup!M$368</f>
        <v>0</v>
      </c>
    </row>
    <row r="1194" spans="18:18" ht="15" customHeight="1" x14ac:dyDescent="0.2">
      <c r="R1194">
        <f>presup!M$368</f>
        <v>0</v>
      </c>
    </row>
    <row r="1195" spans="18:18" ht="15" customHeight="1" x14ac:dyDescent="0.2">
      <c r="R1195">
        <f>presup!M$368</f>
        <v>0</v>
      </c>
    </row>
    <row r="1196" spans="18:18" ht="15" customHeight="1" x14ac:dyDescent="0.2">
      <c r="R1196">
        <f>presup!M$368</f>
        <v>0</v>
      </c>
    </row>
    <row r="1197" spans="18:18" ht="15" customHeight="1" x14ac:dyDescent="0.2">
      <c r="R1197">
        <f>presup!M$368</f>
        <v>0</v>
      </c>
    </row>
    <row r="1198" spans="18:18" ht="15" customHeight="1" x14ac:dyDescent="0.2">
      <c r="R1198">
        <f>presup!M$368</f>
        <v>0</v>
      </c>
    </row>
    <row r="1199" spans="18:18" ht="15" customHeight="1" x14ac:dyDescent="0.2">
      <c r="R1199">
        <f>presup!M$368</f>
        <v>0</v>
      </c>
    </row>
    <row r="1200" spans="18:18" ht="15" customHeight="1" x14ac:dyDescent="0.2">
      <c r="R1200">
        <f>presup!M$368</f>
        <v>0</v>
      </c>
    </row>
    <row r="1201" spans="18:18" ht="15" customHeight="1" x14ac:dyDescent="0.2">
      <c r="R1201">
        <f>presup!M$368</f>
        <v>0</v>
      </c>
    </row>
    <row r="1202" spans="18:18" ht="15" customHeight="1" x14ac:dyDescent="0.2">
      <c r="R1202">
        <f>presup!M$368</f>
        <v>0</v>
      </c>
    </row>
    <row r="1203" spans="18:18" ht="15" customHeight="1" x14ac:dyDescent="0.2">
      <c r="R1203">
        <f>presup!M$368</f>
        <v>0</v>
      </c>
    </row>
    <row r="1204" spans="18:18" ht="15" customHeight="1" x14ac:dyDescent="0.2">
      <c r="R1204">
        <f>presup!M$368</f>
        <v>0</v>
      </c>
    </row>
    <row r="1205" spans="18:18" ht="15" customHeight="1" x14ac:dyDescent="0.2">
      <c r="R1205">
        <f>presup!M$368</f>
        <v>0</v>
      </c>
    </row>
    <row r="1206" spans="18:18" ht="15" customHeight="1" x14ac:dyDescent="0.2">
      <c r="R1206">
        <f>presup!M$368</f>
        <v>0</v>
      </c>
    </row>
    <row r="1207" spans="18:18" ht="15" customHeight="1" x14ac:dyDescent="0.2">
      <c r="R1207">
        <f>presup!M$368</f>
        <v>0</v>
      </c>
    </row>
    <row r="1208" spans="18:18" ht="15" customHeight="1" x14ac:dyDescent="0.2">
      <c r="R1208">
        <f>presup!M$368</f>
        <v>0</v>
      </c>
    </row>
    <row r="1209" spans="18:18" ht="15" customHeight="1" x14ac:dyDescent="0.2">
      <c r="R1209">
        <f>presup!M$368</f>
        <v>0</v>
      </c>
    </row>
    <row r="1210" spans="18:18" ht="15" customHeight="1" x14ac:dyDescent="0.2">
      <c r="R1210">
        <f>presup!M$368</f>
        <v>0</v>
      </c>
    </row>
    <row r="1211" spans="18:18" ht="15" customHeight="1" x14ac:dyDescent="0.2">
      <c r="R1211">
        <f>presup!M$368</f>
        <v>0</v>
      </c>
    </row>
    <row r="1212" spans="18:18" ht="15" customHeight="1" x14ac:dyDescent="0.2">
      <c r="R1212">
        <f>presup!M$368</f>
        <v>0</v>
      </c>
    </row>
    <row r="1213" spans="18:18" ht="15" customHeight="1" x14ac:dyDescent="0.2">
      <c r="R1213">
        <f>presup!M$368</f>
        <v>0</v>
      </c>
    </row>
    <row r="1214" spans="18:18" ht="15" customHeight="1" x14ac:dyDescent="0.2">
      <c r="R1214">
        <f>presup!M$368</f>
        <v>0</v>
      </c>
    </row>
    <row r="1215" spans="18:18" ht="15" customHeight="1" x14ac:dyDescent="0.2">
      <c r="R1215">
        <f>presup!M$368</f>
        <v>0</v>
      </c>
    </row>
    <row r="1216" spans="18:18" ht="15" customHeight="1" x14ac:dyDescent="0.2">
      <c r="R1216">
        <f>presup!M$368</f>
        <v>0</v>
      </c>
    </row>
    <row r="1217" spans="18:18" ht="15" customHeight="1" x14ac:dyDescent="0.2">
      <c r="R1217">
        <f>presup!M$368</f>
        <v>0</v>
      </c>
    </row>
    <row r="1218" spans="18:18" ht="15" customHeight="1" x14ac:dyDescent="0.2">
      <c r="R1218">
        <f>presup!M$368</f>
        <v>0</v>
      </c>
    </row>
    <row r="1219" spans="18:18" ht="15" customHeight="1" x14ac:dyDescent="0.2">
      <c r="R1219">
        <f>presup!M$368</f>
        <v>0</v>
      </c>
    </row>
    <row r="1220" spans="18:18" ht="15" customHeight="1" x14ac:dyDescent="0.2">
      <c r="R1220">
        <f>presup!M$368</f>
        <v>0</v>
      </c>
    </row>
    <row r="1221" spans="18:18" ht="15" customHeight="1" x14ac:dyDescent="0.2">
      <c r="R1221">
        <f>presup!M$368</f>
        <v>0</v>
      </c>
    </row>
    <row r="1222" spans="18:18" ht="15" customHeight="1" x14ac:dyDescent="0.2">
      <c r="R1222">
        <f>presup!M$368</f>
        <v>0</v>
      </c>
    </row>
    <row r="1223" spans="18:18" ht="15" customHeight="1" x14ac:dyDescent="0.2">
      <c r="R1223">
        <f>presup!M$368</f>
        <v>0</v>
      </c>
    </row>
    <row r="1224" spans="18:18" ht="15" customHeight="1" x14ac:dyDescent="0.2">
      <c r="R1224">
        <f>presup!M$368</f>
        <v>0</v>
      </c>
    </row>
    <row r="1225" spans="18:18" ht="15" customHeight="1" x14ac:dyDescent="0.2">
      <c r="R1225">
        <f>presup!M$368</f>
        <v>0</v>
      </c>
    </row>
    <row r="1226" spans="18:18" ht="15" customHeight="1" x14ac:dyDescent="0.2">
      <c r="R1226">
        <f>presup!M$368</f>
        <v>0</v>
      </c>
    </row>
    <row r="1227" spans="18:18" ht="15" customHeight="1" x14ac:dyDescent="0.2">
      <c r="R1227">
        <f>presup!M$368</f>
        <v>0</v>
      </c>
    </row>
    <row r="1228" spans="18:18" ht="15" customHeight="1" x14ac:dyDescent="0.2">
      <c r="R1228">
        <f>presup!M$368</f>
        <v>0</v>
      </c>
    </row>
    <row r="1229" spans="18:18" ht="15" customHeight="1" x14ac:dyDescent="0.2">
      <c r="R1229">
        <f>presup!M$368</f>
        <v>0</v>
      </c>
    </row>
    <row r="1230" spans="18:18" ht="15" customHeight="1" x14ac:dyDescent="0.2">
      <c r="R1230">
        <f>presup!M$368</f>
        <v>0</v>
      </c>
    </row>
    <row r="1231" spans="18:18" ht="15" customHeight="1" x14ac:dyDescent="0.2">
      <c r="R1231">
        <f>presup!M$368</f>
        <v>0</v>
      </c>
    </row>
    <row r="1232" spans="18:18" ht="15" customHeight="1" x14ac:dyDescent="0.2">
      <c r="R1232">
        <f>presup!M$368</f>
        <v>0</v>
      </c>
    </row>
    <row r="1233" spans="18:18" ht="15" customHeight="1" x14ac:dyDescent="0.2">
      <c r="R1233">
        <f>presup!M$368</f>
        <v>0</v>
      </c>
    </row>
    <row r="1234" spans="18:18" ht="15" customHeight="1" x14ac:dyDescent="0.2">
      <c r="R1234">
        <f>presup!M$368</f>
        <v>0</v>
      </c>
    </row>
    <row r="1235" spans="18:18" ht="15" customHeight="1" x14ac:dyDescent="0.2">
      <c r="R1235">
        <f>presup!M$368</f>
        <v>0</v>
      </c>
    </row>
    <row r="1236" spans="18:18" ht="15" customHeight="1" x14ac:dyDescent="0.2">
      <c r="R1236">
        <f>presup!M$368</f>
        <v>0</v>
      </c>
    </row>
    <row r="1237" spans="18:18" ht="15" customHeight="1" x14ac:dyDescent="0.2">
      <c r="R1237">
        <f>presup!M$368</f>
        <v>0</v>
      </c>
    </row>
    <row r="1238" spans="18:18" ht="15" customHeight="1" x14ac:dyDescent="0.2">
      <c r="R1238">
        <f>presup!M$368</f>
        <v>0</v>
      </c>
    </row>
    <row r="1239" spans="18:18" ht="15" customHeight="1" x14ac:dyDescent="0.2">
      <c r="R1239">
        <f>presup!M$368</f>
        <v>0</v>
      </c>
    </row>
    <row r="1240" spans="18:18" ht="15" customHeight="1" x14ac:dyDescent="0.2">
      <c r="R1240">
        <f>presup!M$368</f>
        <v>0</v>
      </c>
    </row>
    <row r="1241" spans="18:18" ht="15" customHeight="1" x14ac:dyDescent="0.2">
      <c r="R1241">
        <f>presup!M$368</f>
        <v>0</v>
      </c>
    </row>
    <row r="1242" spans="18:18" ht="15" customHeight="1" x14ac:dyDescent="0.2">
      <c r="R1242">
        <f>presup!M$368</f>
        <v>0</v>
      </c>
    </row>
    <row r="1243" spans="18:18" ht="15" customHeight="1" x14ac:dyDescent="0.2">
      <c r="R1243">
        <f>presup!M$368</f>
        <v>0</v>
      </c>
    </row>
    <row r="1244" spans="18:18" ht="15" customHeight="1" x14ac:dyDescent="0.2">
      <c r="R1244">
        <f>presup!M$368</f>
        <v>0</v>
      </c>
    </row>
    <row r="1245" spans="18:18" ht="15" customHeight="1" x14ac:dyDescent="0.2">
      <c r="R1245">
        <f>presup!M$368</f>
        <v>0</v>
      </c>
    </row>
    <row r="1246" spans="18:18" ht="15" customHeight="1" x14ac:dyDescent="0.2">
      <c r="R1246">
        <f>presup!M$368</f>
        <v>0</v>
      </c>
    </row>
    <row r="1247" spans="18:18" ht="15" customHeight="1" x14ac:dyDescent="0.2">
      <c r="R1247">
        <f>presup!M$368</f>
        <v>0</v>
      </c>
    </row>
    <row r="1248" spans="18:18" ht="15" customHeight="1" x14ac:dyDescent="0.2">
      <c r="R1248">
        <f>presup!M$368</f>
        <v>0</v>
      </c>
    </row>
    <row r="1249" spans="18:18" ht="15" customHeight="1" x14ac:dyDescent="0.2">
      <c r="R1249">
        <f>presup!M$368</f>
        <v>0</v>
      </c>
    </row>
    <row r="1250" spans="18:18" ht="15" customHeight="1" x14ac:dyDescent="0.2">
      <c r="R1250">
        <f>presup!M$368</f>
        <v>0</v>
      </c>
    </row>
    <row r="1251" spans="18:18" ht="15" customHeight="1" x14ac:dyDescent="0.2">
      <c r="R1251">
        <f>presup!M$368</f>
        <v>0</v>
      </c>
    </row>
    <row r="1252" spans="18:18" ht="15" customHeight="1" x14ac:dyDescent="0.2">
      <c r="R1252">
        <f>presup!M$368</f>
        <v>0</v>
      </c>
    </row>
    <row r="1253" spans="18:18" ht="15" customHeight="1" x14ac:dyDescent="0.2">
      <c r="R1253">
        <f>presup!M$368</f>
        <v>0</v>
      </c>
    </row>
    <row r="1254" spans="18:18" ht="15" customHeight="1" x14ac:dyDescent="0.2">
      <c r="R1254">
        <f>presup!M$368</f>
        <v>0</v>
      </c>
    </row>
    <row r="1255" spans="18:18" ht="15" customHeight="1" x14ac:dyDescent="0.2">
      <c r="R1255">
        <f>presup!M$368</f>
        <v>0</v>
      </c>
    </row>
    <row r="1256" spans="18:18" ht="15" customHeight="1" x14ac:dyDescent="0.2">
      <c r="R1256">
        <f>presup!M$368</f>
        <v>0</v>
      </c>
    </row>
    <row r="1257" spans="18:18" ht="15" customHeight="1" x14ac:dyDescent="0.2">
      <c r="R1257">
        <f>presup!M$368</f>
        <v>0</v>
      </c>
    </row>
    <row r="1258" spans="18:18" ht="15" customHeight="1" x14ac:dyDescent="0.2">
      <c r="R1258">
        <f>presup!M$368</f>
        <v>0</v>
      </c>
    </row>
    <row r="1259" spans="18:18" ht="15" customHeight="1" x14ac:dyDescent="0.2">
      <c r="R1259">
        <f>presup!M$368</f>
        <v>0</v>
      </c>
    </row>
    <row r="1260" spans="18:18" ht="15" customHeight="1" x14ac:dyDescent="0.2">
      <c r="R1260">
        <f>presup!M$368</f>
        <v>0</v>
      </c>
    </row>
    <row r="1261" spans="18:18" ht="15" customHeight="1" x14ac:dyDescent="0.2">
      <c r="R1261">
        <f>presup!M$368</f>
        <v>0</v>
      </c>
    </row>
    <row r="1262" spans="18:18" ht="15" customHeight="1" x14ac:dyDescent="0.2">
      <c r="R1262">
        <f>presup!M$368</f>
        <v>0</v>
      </c>
    </row>
    <row r="1263" spans="18:18" ht="15" customHeight="1" x14ac:dyDescent="0.2">
      <c r="R1263">
        <f>presup!M$368</f>
        <v>0</v>
      </c>
    </row>
    <row r="1264" spans="18:18" ht="15" customHeight="1" x14ac:dyDescent="0.2">
      <c r="R1264">
        <f>presup!M$368</f>
        <v>0</v>
      </c>
    </row>
    <row r="1265" spans="18:18" ht="15" customHeight="1" x14ac:dyDescent="0.2">
      <c r="R1265">
        <f>presup!M$368</f>
        <v>0</v>
      </c>
    </row>
    <row r="1266" spans="18:18" ht="15" customHeight="1" x14ac:dyDescent="0.2">
      <c r="R1266">
        <f>presup!M$368</f>
        <v>0</v>
      </c>
    </row>
    <row r="1267" spans="18:18" ht="15" customHeight="1" x14ac:dyDescent="0.2">
      <c r="R1267">
        <f>presup!M$368</f>
        <v>0</v>
      </c>
    </row>
    <row r="1268" spans="18:18" ht="15" customHeight="1" x14ac:dyDescent="0.2">
      <c r="R1268">
        <f>presup!M$368</f>
        <v>0</v>
      </c>
    </row>
    <row r="1269" spans="18:18" ht="15" customHeight="1" x14ac:dyDescent="0.2">
      <c r="R1269">
        <f>presup!M$368</f>
        <v>0</v>
      </c>
    </row>
    <row r="1270" spans="18:18" ht="15" customHeight="1" x14ac:dyDescent="0.2">
      <c r="R1270">
        <f>presup!M$368</f>
        <v>0</v>
      </c>
    </row>
    <row r="1271" spans="18:18" ht="15" customHeight="1" x14ac:dyDescent="0.2">
      <c r="R1271">
        <f>presup!M$368</f>
        <v>0</v>
      </c>
    </row>
    <row r="1272" spans="18:18" ht="15" customHeight="1" x14ac:dyDescent="0.2">
      <c r="R1272">
        <f>presup!M$368</f>
        <v>0</v>
      </c>
    </row>
    <row r="1273" spans="18:18" ht="15" customHeight="1" x14ac:dyDescent="0.2">
      <c r="R1273">
        <f>presup!M$368</f>
        <v>0</v>
      </c>
    </row>
    <row r="1274" spans="18:18" ht="15" customHeight="1" x14ac:dyDescent="0.2">
      <c r="R1274">
        <f>presup!M$368</f>
        <v>0</v>
      </c>
    </row>
    <row r="1275" spans="18:18" ht="15" customHeight="1" x14ac:dyDescent="0.2">
      <c r="R1275">
        <f>presup!M$368</f>
        <v>0</v>
      </c>
    </row>
    <row r="1276" spans="18:18" ht="15" customHeight="1" x14ac:dyDescent="0.2">
      <c r="R1276">
        <f>presup!M$368</f>
        <v>0</v>
      </c>
    </row>
    <row r="1277" spans="18:18" ht="15" customHeight="1" x14ac:dyDescent="0.2">
      <c r="R1277">
        <f>presup!M$368</f>
        <v>0</v>
      </c>
    </row>
    <row r="1278" spans="18:18" ht="15" customHeight="1" x14ac:dyDescent="0.2">
      <c r="R1278">
        <f>presup!M$368</f>
        <v>0</v>
      </c>
    </row>
    <row r="1279" spans="18:18" ht="15" customHeight="1" x14ac:dyDescent="0.2">
      <c r="R1279">
        <f>presup!M$368</f>
        <v>0</v>
      </c>
    </row>
    <row r="1280" spans="18:18" ht="15" customHeight="1" x14ac:dyDescent="0.2">
      <c r="R1280">
        <f>presup!M$368</f>
        <v>0</v>
      </c>
    </row>
    <row r="1281" spans="18:18" ht="15" customHeight="1" x14ac:dyDescent="0.2">
      <c r="R1281">
        <f>presup!M$368</f>
        <v>0</v>
      </c>
    </row>
    <row r="1282" spans="18:18" ht="15" customHeight="1" x14ac:dyDescent="0.2">
      <c r="R1282">
        <f>presup!M$368</f>
        <v>0</v>
      </c>
    </row>
    <row r="1283" spans="18:18" ht="15" customHeight="1" x14ac:dyDescent="0.2">
      <c r="R1283">
        <f>presup!M$368</f>
        <v>0</v>
      </c>
    </row>
    <row r="1284" spans="18:18" ht="15" customHeight="1" x14ac:dyDescent="0.2">
      <c r="R1284">
        <f>presup!M$368</f>
        <v>0</v>
      </c>
    </row>
    <row r="1285" spans="18:18" ht="15" customHeight="1" x14ac:dyDescent="0.2">
      <c r="R1285">
        <f>presup!M$368</f>
        <v>0</v>
      </c>
    </row>
    <row r="1286" spans="18:18" ht="15" customHeight="1" x14ac:dyDescent="0.2">
      <c r="R1286">
        <f>presup!M$368</f>
        <v>0</v>
      </c>
    </row>
    <row r="1287" spans="18:18" ht="15" customHeight="1" x14ac:dyDescent="0.2">
      <c r="R1287">
        <f>presup!M$368</f>
        <v>0</v>
      </c>
    </row>
    <row r="1288" spans="18:18" ht="15" customHeight="1" x14ac:dyDescent="0.2">
      <c r="R1288">
        <f>presup!M$368</f>
        <v>0</v>
      </c>
    </row>
  </sheetData>
  <mergeCells count="3221">
    <mergeCell ref="C648:H648"/>
    <mergeCell ref="J648:K648"/>
    <mergeCell ref="J132:K132"/>
    <mergeCell ref="L132:M132"/>
    <mergeCell ref="N132:O132"/>
    <mergeCell ref="P132:Q132"/>
    <mergeCell ref="L133:M133"/>
    <mergeCell ref="N133:O133"/>
    <mergeCell ref="P133:Q133"/>
    <mergeCell ref="J133:K133"/>
    <mergeCell ref="J134:K134"/>
    <mergeCell ref="L134:M134"/>
    <mergeCell ref="N134:O134"/>
    <mergeCell ref="P134:Q134"/>
    <mergeCell ref="J135:K135"/>
    <mergeCell ref="L135:M135"/>
    <mergeCell ref="J44:K44"/>
    <mergeCell ref="L44:M44"/>
    <mergeCell ref="N44:O44"/>
    <mergeCell ref="P44:Q44"/>
    <mergeCell ref="L45:M45"/>
    <mergeCell ref="N45:O45"/>
    <mergeCell ref="P45:Q45"/>
    <mergeCell ref="J45:K45"/>
    <mergeCell ref="J46:K46"/>
    <mergeCell ref="L46:M46"/>
    <mergeCell ref="N46:O46"/>
    <mergeCell ref="P46:Q46"/>
    <mergeCell ref="J47:K47"/>
    <mergeCell ref="L47:M47"/>
    <mergeCell ref="J52:K52"/>
    <mergeCell ref="L52:M52"/>
    <mergeCell ref="N52:O52"/>
    <mergeCell ref="P52:Q52"/>
    <mergeCell ref="L53:M53"/>
    <mergeCell ref="N53:O53"/>
    <mergeCell ref="P53:Q53"/>
    <mergeCell ref="N55:O55"/>
    <mergeCell ref="P55:Q55"/>
    <mergeCell ref="J53:K53"/>
    <mergeCell ref="J54:K54"/>
    <mergeCell ref="L54:M54"/>
    <mergeCell ref="N54:O54"/>
    <mergeCell ref="P54:Q54"/>
    <mergeCell ref="J55:K55"/>
    <mergeCell ref="L55:M55"/>
    <mergeCell ref="N59:O59"/>
    <mergeCell ref="P59:Q59"/>
    <mergeCell ref="J140:K140"/>
    <mergeCell ref="L140:M140"/>
    <mergeCell ref="N140:O140"/>
    <mergeCell ref="P140:Q140"/>
    <mergeCell ref="J116:K116"/>
    <mergeCell ref="L116:M116"/>
    <mergeCell ref="N116:O116"/>
    <mergeCell ref="P116:Q116"/>
    <mergeCell ref="L117:M117"/>
    <mergeCell ref="N117:O117"/>
    <mergeCell ref="P117:Q117"/>
    <mergeCell ref="J117:K117"/>
    <mergeCell ref="J118:K118"/>
    <mergeCell ref="L118:M118"/>
    <mergeCell ref="N118:O118"/>
    <mergeCell ref="P118:Q118"/>
    <mergeCell ref="J119:K119"/>
    <mergeCell ref="L119:M119"/>
    <mergeCell ref="P130:Q130"/>
    <mergeCell ref="J131:K131"/>
    <mergeCell ref="L131:M131"/>
    <mergeCell ref="N123:O123"/>
    <mergeCell ref="P123:Q123"/>
    <mergeCell ref="J121:K121"/>
    <mergeCell ref="J122:K122"/>
    <mergeCell ref="L122:M122"/>
    <mergeCell ref="N122:O122"/>
    <mergeCell ref="P122:Q122"/>
    <mergeCell ref="J123:K123"/>
    <mergeCell ref="L123:M123"/>
    <mergeCell ref="J124:K124"/>
    <mergeCell ref="L124:M124"/>
    <mergeCell ref="N124:O124"/>
    <mergeCell ref="P124:Q124"/>
    <mergeCell ref="L125:M125"/>
    <mergeCell ref="N125:O125"/>
    <mergeCell ref="P125:Q125"/>
    <mergeCell ref="J125:K125"/>
    <mergeCell ref="N119:O119"/>
    <mergeCell ref="P119:Q119"/>
    <mergeCell ref="J120:K120"/>
    <mergeCell ref="L120:M120"/>
    <mergeCell ref="N120:O120"/>
    <mergeCell ref="P120:Q120"/>
    <mergeCell ref="P121:Q121"/>
    <mergeCell ref="N138:O138"/>
    <mergeCell ref="P138:Q138"/>
    <mergeCell ref="J139:K139"/>
    <mergeCell ref="L139:M139"/>
    <mergeCell ref="J126:K126"/>
    <mergeCell ref="L126:M126"/>
    <mergeCell ref="N126:O126"/>
    <mergeCell ref="P126:Q126"/>
    <mergeCell ref="J127:K127"/>
    <mergeCell ref="L127:M127"/>
    <mergeCell ref="L129:M129"/>
    <mergeCell ref="N129:O129"/>
    <mergeCell ref="N127:O127"/>
    <mergeCell ref="P127:Q127"/>
    <mergeCell ref="J128:K128"/>
    <mergeCell ref="L128:M128"/>
    <mergeCell ref="N128:O128"/>
    <mergeCell ref="P128:Q128"/>
    <mergeCell ref="P129:Q129"/>
    <mergeCell ref="N131:O131"/>
    <mergeCell ref="P131:Q131"/>
    <mergeCell ref="J129:K129"/>
    <mergeCell ref="J130:K130"/>
    <mergeCell ref="L130:M130"/>
    <mergeCell ref="N130:O130"/>
    <mergeCell ref="J331:K331"/>
    <mergeCell ref="L331:M331"/>
    <mergeCell ref="N331:O331"/>
    <mergeCell ref="P331:Q331"/>
    <mergeCell ref="L332:M332"/>
    <mergeCell ref="N332:O332"/>
    <mergeCell ref="P332:Q332"/>
    <mergeCell ref="J332:K332"/>
    <mergeCell ref="J333:K333"/>
    <mergeCell ref="L333:M333"/>
    <mergeCell ref="N333:O333"/>
    <mergeCell ref="P333:Q333"/>
    <mergeCell ref="J334:K334"/>
    <mergeCell ref="L334:M334"/>
    <mergeCell ref="L357:M357"/>
    <mergeCell ref="N357:O357"/>
    <mergeCell ref="P357:Q357"/>
    <mergeCell ref="N338:O338"/>
    <mergeCell ref="P338:Q338"/>
    <mergeCell ref="J339:K339"/>
    <mergeCell ref="L339:M339"/>
    <mergeCell ref="N339:O339"/>
    <mergeCell ref="P339:Q339"/>
    <mergeCell ref="P340:Q340"/>
    <mergeCell ref="N342:O342"/>
    <mergeCell ref="P342:Q342"/>
    <mergeCell ref="J340:K340"/>
    <mergeCell ref="J341:K341"/>
    <mergeCell ref="L341:M341"/>
    <mergeCell ref="N341:O341"/>
    <mergeCell ref="P341:Q341"/>
    <mergeCell ref="J342:K342"/>
    <mergeCell ref="L358:M358"/>
    <mergeCell ref="N358:O358"/>
    <mergeCell ref="P358:Q358"/>
    <mergeCell ref="J359:K359"/>
    <mergeCell ref="L359:M359"/>
    <mergeCell ref="N359:O359"/>
    <mergeCell ref="P359:Q359"/>
    <mergeCell ref="L360:M360"/>
    <mergeCell ref="N360:O360"/>
    <mergeCell ref="P360:Q360"/>
    <mergeCell ref="N362:O362"/>
    <mergeCell ref="P362:Q362"/>
    <mergeCell ref="J360:K360"/>
    <mergeCell ref="J361:K361"/>
    <mergeCell ref="L361:M361"/>
    <mergeCell ref="N361:O361"/>
    <mergeCell ref="P361:Q361"/>
    <mergeCell ref="J362:K362"/>
    <mergeCell ref="L362:M362"/>
    <mergeCell ref="J358:K358"/>
    <mergeCell ref="J387:K387"/>
    <mergeCell ref="L387:M387"/>
    <mergeCell ref="N387:O387"/>
    <mergeCell ref="P387:Q387"/>
    <mergeCell ref="J363:K363"/>
    <mergeCell ref="L363:M363"/>
    <mergeCell ref="N363:O363"/>
    <mergeCell ref="P363:Q363"/>
    <mergeCell ref="L364:M364"/>
    <mergeCell ref="N364:O364"/>
    <mergeCell ref="P364:Q364"/>
    <mergeCell ref="J364:K364"/>
    <mergeCell ref="J365:K365"/>
    <mergeCell ref="L365:M365"/>
    <mergeCell ref="N365:O365"/>
    <mergeCell ref="P365:Q365"/>
    <mergeCell ref="J366:K366"/>
    <mergeCell ref="L366:M366"/>
    <mergeCell ref="N370:O370"/>
    <mergeCell ref="P370:Q370"/>
    <mergeCell ref="J368:K368"/>
    <mergeCell ref="J369:K369"/>
    <mergeCell ref="L369:M369"/>
    <mergeCell ref="N369:O369"/>
    <mergeCell ref="P369:Q369"/>
    <mergeCell ref="J370:K370"/>
    <mergeCell ref="L370:M370"/>
    <mergeCell ref="J371:K371"/>
    <mergeCell ref="L371:M371"/>
    <mergeCell ref="N371:O371"/>
    <mergeCell ref="P371:Q371"/>
    <mergeCell ref="L372:M372"/>
    <mergeCell ref="N372:O372"/>
    <mergeCell ref="P372:Q372"/>
    <mergeCell ref="J372:K372"/>
    <mergeCell ref="J373:K373"/>
    <mergeCell ref="L373:M373"/>
    <mergeCell ref="N373:O373"/>
    <mergeCell ref="P373:Q373"/>
    <mergeCell ref="J374:K374"/>
    <mergeCell ref="L374:M374"/>
    <mergeCell ref="L376:M376"/>
    <mergeCell ref="N376:O376"/>
    <mergeCell ref="N374:O374"/>
    <mergeCell ref="P374:Q374"/>
    <mergeCell ref="J375:K375"/>
    <mergeCell ref="L375:M375"/>
    <mergeCell ref="N375:O375"/>
    <mergeCell ref="P375:Q375"/>
    <mergeCell ref="P376:Q376"/>
    <mergeCell ref="N378:O378"/>
    <mergeCell ref="P378:Q378"/>
    <mergeCell ref="J376:K376"/>
    <mergeCell ref="J377:K377"/>
    <mergeCell ref="L377:M377"/>
    <mergeCell ref="N377:O377"/>
    <mergeCell ref="P377:Q377"/>
    <mergeCell ref="J378:K378"/>
    <mergeCell ref="L378:M378"/>
    <mergeCell ref="L384:M384"/>
    <mergeCell ref="N384:O384"/>
    <mergeCell ref="N382:O382"/>
    <mergeCell ref="P382:Q382"/>
    <mergeCell ref="J383:K383"/>
    <mergeCell ref="L383:M383"/>
    <mergeCell ref="N383:O383"/>
    <mergeCell ref="P383:Q383"/>
    <mergeCell ref="P384:Q384"/>
    <mergeCell ref="J379:K379"/>
    <mergeCell ref="L379:M379"/>
    <mergeCell ref="N379:O379"/>
    <mergeCell ref="P379:Q379"/>
    <mergeCell ref="L380:M380"/>
    <mergeCell ref="N380:O380"/>
    <mergeCell ref="P380:Q380"/>
    <mergeCell ref="J380:K380"/>
    <mergeCell ref="J381:K381"/>
    <mergeCell ref="L381:M381"/>
    <mergeCell ref="N381:O381"/>
    <mergeCell ref="P381:Q381"/>
    <mergeCell ref="J382:K382"/>
    <mergeCell ref="L382:M382"/>
    <mergeCell ref="N386:O386"/>
    <mergeCell ref="P386:Q386"/>
    <mergeCell ref="J384:K384"/>
    <mergeCell ref="J385:K385"/>
    <mergeCell ref="L385:M385"/>
    <mergeCell ref="N385:O385"/>
    <mergeCell ref="P385:Q385"/>
    <mergeCell ref="J386:K386"/>
    <mergeCell ref="L386:M386"/>
    <mergeCell ref="C349:H349"/>
    <mergeCell ref="C350:H350"/>
    <mergeCell ref="C351:H351"/>
    <mergeCell ref="C352:H352"/>
    <mergeCell ref="C353:H353"/>
    <mergeCell ref="C354:H354"/>
    <mergeCell ref="C355:H355"/>
    <mergeCell ref="C356:H356"/>
    <mergeCell ref="C357:H357"/>
    <mergeCell ref="C358:H358"/>
    <mergeCell ref="C359:H359"/>
    <mergeCell ref="C360:H360"/>
    <mergeCell ref="C361:H361"/>
    <mergeCell ref="C362:H362"/>
    <mergeCell ref="C363:H363"/>
    <mergeCell ref="C364:H364"/>
    <mergeCell ref="C365:H365"/>
    <mergeCell ref="C366:H366"/>
    <mergeCell ref="C367:H367"/>
    <mergeCell ref="C368:H368"/>
    <mergeCell ref="C369:H369"/>
    <mergeCell ref="C370:H370"/>
    <mergeCell ref="C371:H371"/>
    <mergeCell ref="C372:H372"/>
    <mergeCell ref="C373:H373"/>
    <mergeCell ref="C374:H374"/>
    <mergeCell ref="C375:H375"/>
    <mergeCell ref="C376:H376"/>
    <mergeCell ref="C377:H377"/>
    <mergeCell ref="C378:H378"/>
    <mergeCell ref="C379:H379"/>
    <mergeCell ref="C380:H380"/>
    <mergeCell ref="C381:H381"/>
    <mergeCell ref="C382:H382"/>
    <mergeCell ref="C383:H383"/>
    <mergeCell ref="C384:H384"/>
    <mergeCell ref="C385:H385"/>
    <mergeCell ref="C386:H386"/>
    <mergeCell ref="C387:H387"/>
    <mergeCell ref="C388:H388"/>
    <mergeCell ref="C389:H389"/>
    <mergeCell ref="C390:H390"/>
    <mergeCell ref="C391:H391"/>
    <mergeCell ref="C392:H392"/>
    <mergeCell ref="C393:H393"/>
    <mergeCell ref="C394:H394"/>
    <mergeCell ref="C395:H395"/>
    <mergeCell ref="C396:H396"/>
    <mergeCell ref="C397:H397"/>
    <mergeCell ref="C398:H398"/>
    <mergeCell ref="C399:H399"/>
    <mergeCell ref="C400:H400"/>
    <mergeCell ref="C401:H401"/>
    <mergeCell ref="C402:H402"/>
    <mergeCell ref="C403:H403"/>
    <mergeCell ref="C404:H404"/>
    <mergeCell ref="C405:H405"/>
    <mergeCell ref="C406:H406"/>
    <mergeCell ref="C407:H407"/>
    <mergeCell ref="C408:H408"/>
    <mergeCell ref="C409:H409"/>
    <mergeCell ref="C410:H410"/>
    <mergeCell ref="C411:H411"/>
    <mergeCell ref="C412:H412"/>
    <mergeCell ref="C413:H413"/>
    <mergeCell ref="C414:H414"/>
    <mergeCell ref="C415:H415"/>
    <mergeCell ref="C416:H416"/>
    <mergeCell ref="C417:H417"/>
    <mergeCell ref="C418:H418"/>
    <mergeCell ref="C419:H419"/>
    <mergeCell ref="C420:H420"/>
    <mergeCell ref="C421:H421"/>
    <mergeCell ref="C422:H422"/>
    <mergeCell ref="C423:H423"/>
    <mergeCell ref="C424:H424"/>
    <mergeCell ref="C425:H425"/>
    <mergeCell ref="C426:H426"/>
    <mergeCell ref="C427:H427"/>
    <mergeCell ref="C428:H428"/>
    <mergeCell ref="C429:H429"/>
    <mergeCell ref="C430:H430"/>
    <mergeCell ref="C431:H431"/>
    <mergeCell ref="C432:H432"/>
    <mergeCell ref="C433:H433"/>
    <mergeCell ref="C434:H434"/>
    <mergeCell ref="C435:H435"/>
    <mergeCell ref="C436:H436"/>
    <mergeCell ref="C437:H437"/>
    <mergeCell ref="C438:H438"/>
    <mergeCell ref="C439:H439"/>
    <mergeCell ref="C440:H440"/>
    <mergeCell ref="C441:H441"/>
    <mergeCell ref="C442:H442"/>
    <mergeCell ref="C443:H443"/>
    <mergeCell ref="C444:H444"/>
    <mergeCell ref="C445:H445"/>
    <mergeCell ref="C446:H446"/>
    <mergeCell ref="C447:H447"/>
    <mergeCell ref="C448:H448"/>
    <mergeCell ref="C449:H449"/>
    <mergeCell ref="C450:H450"/>
    <mergeCell ref="C451:H451"/>
    <mergeCell ref="C452:H452"/>
    <mergeCell ref="C453:H453"/>
    <mergeCell ref="C454:H454"/>
    <mergeCell ref="C455:H455"/>
    <mergeCell ref="C456:H456"/>
    <mergeCell ref="C457:H457"/>
    <mergeCell ref="C458:H458"/>
    <mergeCell ref="C459:H459"/>
    <mergeCell ref="C460:H460"/>
    <mergeCell ref="C461:H461"/>
    <mergeCell ref="C462:H462"/>
    <mergeCell ref="C463:H463"/>
    <mergeCell ref="C464:H464"/>
    <mergeCell ref="C465:H465"/>
    <mergeCell ref="C466:H466"/>
    <mergeCell ref="C467:H467"/>
    <mergeCell ref="C468:H468"/>
    <mergeCell ref="C469:H469"/>
    <mergeCell ref="C470:H470"/>
    <mergeCell ref="C471:H471"/>
    <mergeCell ref="C472:H472"/>
    <mergeCell ref="C473:H473"/>
    <mergeCell ref="C474:H474"/>
    <mergeCell ref="C475:H475"/>
    <mergeCell ref="C476:H476"/>
    <mergeCell ref="C477:H477"/>
    <mergeCell ref="C478:H478"/>
    <mergeCell ref="C479:H479"/>
    <mergeCell ref="C480:H480"/>
    <mergeCell ref="C481:H481"/>
    <mergeCell ref="C482:H482"/>
    <mergeCell ref="C483:H483"/>
    <mergeCell ref="C484:H484"/>
    <mergeCell ref="C485:H485"/>
    <mergeCell ref="C486:H486"/>
    <mergeCell ref="C487:H487"/>
    <mergeCell ref="C488:H488"/>
    <mergeCell ref="C489:H489"/>
    <mergeCell ref="C490:H490"/>
    <mergeCell ref="C491:H491"/>
    <mergeCell ref="C492:H492"/>
    <mergeCell ref="C493:H493"/>
    <mergeCell ref="C494:H494"/>
    <mergeCell ref="C495:H495"/>
    <mergeCell ref="C496:H496"/>
    <mergeCell ref="C497:H497"/>
    <mergeCell ref="C498:H498"/>
    <mergeCell ref="C499:H499"/>
    <mergeCell ref="C500:H500"/>
    <mergeCell ref="C501:H501"/>
    <mergeCell ref="C502:H502"/>
    <mergeCell ref="C503:H503"/>
    <mergeCell ref="C504:H504"/>
    <mergeCell ref="C505:H505"/>
    <mergeCell ref="C506:H506"/>
    <mergeCell ref="C507:H507"/>
    <mergeCell ref="C537:H537"/>
    <mergeCell ref="C538:H538"/>
    <mergeCell ref="C539:H539"/>
    <mergeCell ref="C540:H540"/>
    <mergeCell ref="C541:H541"/>
    <mergeCell ref="C508:H508"/>
    <mergeCell ref="C509:H509"/>
    <mergeCell ref="C510:H510"/>
    <mergeCell ref="C511:H511"/>
    <mergeCell ref="C512:H512"/>
    <mergeCell ref="C513:H513"/>
    <mergeCell ref="C514:H514"/>
    <mergeCell ref="C515:H515"/>
    <mergeCell ref="C516:H516"/>
    <mergeCell ref="C517:H517"/>
    <mergeCell ref="C518:H518"/>
    <mergeCell ref="C519:H519"/>
    <mergeCell ref="C520:H520"/>
    <mergeCell ref="C521:H521"/>
    <mergeCell ref="C522:H522"/>
    <mergeCell ref="C523:H523"/>
    <mergeCell ref="C524:H524"/>
    <mergeCell ref="C594:H594"/>
    <mergeCell ref="C595:H595"/>
    <mergeCell ref="C596:H596"/>
    <mergeCell ref="C597:H597"/>
    <mergeCell ref="C598:H598"/>
    <mergeCell ref="C599:H599"/>
    <mergeCell ref="C600:H600"/>
    <mergeCell ref="C601:H601"/>
    <mergeCell ref="C602:H602"/>
    <mergeCell ref="C603:H603"/>
    <mergeCell ref="C604:H604"/>
    <mergeCell ref="C605:H605"/>
    <mergeCell ref="C606:H606"/>
    <mergeCell ref="C607:H607"/>
    <mergeCell ref="C545:H545"/>
    <mergeCell ref="C546:H546"/>
    <mergeCell ref="C547:H547"/>
    <mergeCell ref="C548:H548"/>
    <mergeCell ref="C549:H549"/>
    <mergeCell ref="C550:H550"/>
    <mergeCell ref="C551:H551"/>
    <mergeCell ref="C552:H552"/>
    <mergeCell ref="C553:H553"/>
    <mergeCell ref="C554:H554"/>
    <mergeCell ref="C555:H555"/>
    <mergeCell ref="C556:H556"/>
    <mergeCell ref="C557:H557"/>
    <mergeCell ref="C558:H558"/>
    <mergeCell ref="C559:H559"/>
    <mergeCell ref="C583:H583"/>
    <mergeCell ref="C584:H584"/>
    <mergeCell ref="C585:H585"/>
    <mergeCell ref="C608:H608"/>
    <mergeCell ref="C609:H609"/>
    <mergeCell ref="C610:H610"/>
    <mergeCell ref="C611:H611"/>
    <mergeCell ref="C612:H612"/>
    <mergeCell ref="C613:H613"/>
    <mergeCell ref="C614:H614"/>
    <mergeCell ref="C615:H615"/>
    <mergeCell ref="C616:H616"/>
    <mergeCell ref="C617:H617"/>
    <mergeCell ref="C618:H618"/>
    <mergeCell ref="C619:H619"/>
    <mergeCell ref="C620:H620"/>
    <mergeCell ref="C621:H621"/>
    <mergeCell ref="C622:H622"/>
    <mergeCell ref="C623:H623"/>
    <mergeCell ref="C624:H624"/>
    <mergeCell ref="C625:H625"/>
    <mergeCell ref="C626:H626"/>
    <mergeCell ref="C627:H627"/>
    <mergeCell ref="C628:H628"/>
    <mergeCell ref="C629:H629"/>
    <mergeCell ref="C630:H630"/>
    <mergeCell ref="C631:H631"/>
    <mergeCell ref="C632:H632"/>
    <mergeCell ref="C633:H633"/>
    <mergeCell ref="C634:H634"/>
    <mergeCell ref="C635:H635"/>
    <mergeCell ref="C643:H643"/>
    <mergeCell ref="C644:H644"/>
    <mergeCell ref="C645:H645"/>
    <mergeCell ref="C646:H646"/>
    <mergeCell ref="C647:H647"/>
    <mergeCell ref="C636:H636"/>
    <mergeCell ref="C637:H637"/>
    <mergeCell ref="C638:H638"/>
    <mergeCell ref="C639:H639"/>
    <mergeCell ref="C640:H640"/>
    <mergeCell ref="C641:H641"/>
    <mergeCell ref="C642:H642"/>
    <mergeCell ref="C586:H586"/>
    <mergeCell ref="C587:H587"/>
    <mergeCell ref="C588:H588"/>
    <mergeCell ref="C589:H589"/>
    <mergeCell ref="C590:H590"/>
    <mergeCell ref="C591:H591"/>
    <mergeCell ref="C592:H592"/>
    <mergeCell ref="C593:H593"/>
    <mergeCell ref="C560:H560"/>
    <mergeCell ref="C561:H561"/>
    <mergeCell ref="C562:H562"/>
    <mergeCell ref="C563:H563"/>
    <mergeCell ref="C564:H564"/>
    <mergeCell ref="C565:H565"/>
    <mergeCell ref="C566:H566"/>
    <mergeCell ref="C567:H567"/>
    <mergeCell ref="C568:H568"/>
    <mergeCell ref="C569:H569"/>
    <mergeCell ref="C570:H570"/>
    <mergeCell ref="C571:H571"/>
    <mergeCell ref="C572:H572"/>
    <mergeCell ref="C573:H573"/>
    <mergeCell ref="C574:H574"/>
    <mergeCell ref="C575:H575"/>
    <mergeCell ref="C576:H576"/>
    <mergeCell ref="C12:H12"/>
    <mergeCell ref="C13:H13"/>
    <mergeCell ref="C14:H14"/>
    <mergeCell ref="C15:H15"/>
    <mergeCell ref="C16:H16"/>
    <mergeCell ref="C17:H17"/>
    <mergeCell ref="C18:H18"/>
    <mergeCell ref="C19:H19"/>
    <mergeCell ref="C20:H20"/>
    <mergeCell ref="C21:H21"/>
    <mergeCell ref="C22:H22"/>
    <mergeCell ref="C577:H577"/>
    <mergeCell ref="C578:H578"/>
    <mergeCell ref="C579:H579"/>
    <mergeCell ref="C580:H580"/>
    <mergeCell ref="C581:H581"/>
    <mergeCell ref="C582:H582"/>
    <mergeCell ref="C542:H542"/>
    <mergeCell ref="C543:H543"/>
    <mergeCell ref="C544:H544"/>
    <mergeCell ref="C525:H525"/>
    <mergeCell ref="C526:H526"/>
    <mergeCell ref="C527:H527"/>
    <mergeCell ref="C528:H528"/>
    <mergeCell ref="C529:H529"/>
    <mergeCell ref="C530:H530"/>
    <mergeCell ref="C531:H531"/>
    <mergeCell ref="C532:H532"/>
    <mergeCell ref="C533:H533"/>
    <mergeCell ref="C534:H534"/>
    <mergeCell ref="C535:H535"/>
    <mergeCell ref="C536:H536"/>
    <mergeCell ref="C23:H23"/>
    <mergeCell ref="C24:H24"/>
    <mergeCell ref="C25:H25"/>
    <mergeCell ref="C26:H26"/>
    <mergeCell ref="C27:H27"/>
    <mergeCell ref="C28:H28"/>
    <mergeCell ref="C29:H29"/>
    <mergeCell ref="C30:H30"/>
    <mergeCell ref="C31:H31"/>
    <mergeCell ref="C32:H32"/>
    <mergeCell ref="C33:H33"/>
    <mergeCell ref="C34:H34"/>
    <mergeCell ref="C35:H35"/>
    <mergeCell ref="C36:H36"/>
    <mergeCell ref="C37:H37"/>
    <mergeCell ref="C38:H38"/>
    <mergeCell ref="C39:H39"/>
    <mergeCell ref="C40:H40"/>
    <mergeCell ref="C41:H41"/>
    <mergeCell ref="C42:H42"/>
    <mergeCell ref="C43:H43"/>
    <mergeCell ref="C44:H44"/>
    <mergeCell ref="C45:H45"/>
    <mergeCell ref="C46:H46"/>
    <mergeCell ref="C47:H47"/>
    <mergeCell ref="C48:H48"/>
    <mergeCell ref="C49:H49"/>
    <mergeCell ref="C50:H50"/>
    <mergeCell ref="C51:H51"/>
    <mergeCell ref="C52:H52"/>
    <mergeCell ref="C53:H53"/>
    <mergeCell ref="C54:H54"/>
    <mergeCell ref="C55:H55"/>
    <mergeCell ref="C56:H56"/>
    <mergeCell ref="C57:H57"/>
    <mergeCell ref="C58:H58"/>
    <mergeCell ref="C59:H59"/>
    <mergeCell ref="C60:H60"/>
    <mergeCell ref="C61:H61"/>
    <mergeCell ref="C62:H62"/>
    <mergeCell ref="C63:H63"/>
    <mergeCell ref="C64:H64"/>
    <mergeCell ref="C65:H65"/>
    <mergeCell ref="C66:H66"/>
    <mergeCell ref="C67:H67"/>
    <mergeCell ref="C68:H68"/>
    <mergeCell ref="C69:H69"/>
    <mergeCell ref="C70:H70"/>
    <mergeCell ref="C71:H71"/>
    <mergeCell ref="C72:H72"/>
    <mergeCell ref="C73:H73"/>
    <mergeCell ref="C74:H74"/>
    <mergeCell ref="C75:H75"/>
    <mergeCell ref="C76:H76"/>
    <mergeCell ref="C77:H77"/>
    <mergeCell ref="C78:H78"/>
    <mergeCell ref="C79:H79"/>
    <mergeCell ref="C80:H80"/>
    <mergeCell ref="C81:H81"/>
    <mergeCell ref="C82:H82"/>
    <mergeCell ref="C83:H83"/>
    <mergeCell ref="C84:H84"/>
    <mergeCell ref="C85:H85"/>
    <mergeCell ref="C86:H86"/>
    <mergeCell ref="C87:H87"/>
    <mergeCell ref="C88:H88"/>
    <mergeCell ref="C89:H89"/>
    <mergeCell ref="C90:H90"/>
    <mergeCell ref="C91:H91"/>
    <mergeCell ref="C92:H92"/>
    <mergeCell ref="C93:H93"/>
    <mergeCell ref="C94:H94"/>
    <mergeCell ref="C95:H95"/>
    <mergeCell ref="C96:H96"/>
    <mergeCell ref="C97:H97"/>
    <mergeCell ref="C98:H98"/>
    <mergeCell ref="C99:H99"/>
    <mergeCell ref="C100:H100"/>
    <mergeCell ref="C101:H101"/>
    <mergeCell ref="C102:H102"/>
    <mergeCell ref="C103:H103"/>
    <mergeCell ref="C104:H104"/>
    <mergeCell ref="C105:H105"/>
    <mergeCell ref="C106:H106"/>
    <mergeCell ref="C107:H107"/>
    <mergeCell ref="C108:H108"/>
    <mergeCell ref="C109:H109"/>
    <mergeCell ref="C110:H110"/>
    <mergeCell ref="C111:H111"/>
    <mergeCell ref="C112:H112"/>
    <mergeCell ref="C113:H113"/>
    <mergeCell ref="C114:H114"/>
    <mergeCell ref="C115:H115"/>
    <mergeCell ref="C116:H116"/>
    <mergeCell ref="C117:H117"/>
    <mergeCell ref="C118:H118"/>
    <mergeCell ref="C119:H119"/>
    <mergeCell ref="C120:H120"/>
    <mergeCell ref="C121:H121"/>
    <mergeCell ref="C122:H122"/>
    <mergeCell ref="C123:H123"/>
    <mergeCell ref="C124:H124"/>
    <mergeCell ref="C125:H125"/>
    <mergeCell ref="C126:H126"/>
    <mergeCell ref="C127:H127"/>
    <mergeCell ref="C128:H128"/>
    <mergeCell ref="C129:H129"/>
    <mergeCell ref="C130:H130"/>
    <mergeCell ref="C131:H131"/>
    <mergeCell ref="C132:H132"/>
    <mergeCell ref="C133:H133"/>
    <mergeCell ref="C134:H134"/>
    <mergeCell ref="C135:H135"/>
    <mergeCell ref="C136:H136"/>
    <mergeCell ref="C137:H137"/>
    <mergeCell ref="C138:H138"/>
    <mergeCell ref="C139:H139"/>
    <mergeCell ref="C140:H140"/>
    <mergeCell ref="C141:H141"/>
    <mergeCell ref="C142:H142"/>
    <mergeCell ref="C143:H143"/>
    <mergeCell ref="C144:H144"/>
    <mergeCell ref="C145:H145"/>
    <mergeCell ref="C146:H146"/>
    <mergeCell ref="C147:H147"/>
    <mergeCell ref="C148:H148"/>
    <mergeCell ref="C149:H149"/>
    <mergeCell ref="C150:H150"/>
    <mergeCell ref="C151:H151"/>
    <mergeCell ref="C152:H152"/>
    <mergeCell ref="C153:H153"/>
    <mergeCell ref="C154:H154"/>
    <mergeCell ref="C155:H155"/>
    <mergeCell ref="C156:H156"/>
    <mergeCell ref="C157:H157"/>
    <mergeCell ref="C158:H158"/>
    <mergeCell ref="C159:H159"/>
    <mergeCell ref="C160:H160"/>
    <mergeCell ref="C161:H161"/>
    <mergeCell ref="C162:H162"/>
    <mergeCell ref="C163:H163"/>
    <mergeCell ref="C164:H164"/>
    <mergeCell ref="C165:H165"/>
    <mergeCell ref="C166:H166"/>
    <mergeCell ref="C167:H167"/>
    <mergeCell ref="C168:H168"/>
    <mergeCell ref="C169:H169"/>
    <mergeCell ref="C170:H170"/>
    <mergeCell ref="C171:H171"/>
    <mergeCell ref="C172:H172"/>
    <mergeCell ref="C173:H173"/>
    <mergeCell ref="C174:H174"/>
    <mergeCell ref="C175:H175"/>
    <mergeCell ref="C176:H176"/>
    <mergeCell ref="C177:H177"/>
    <mergeCell ref="C178:H178"/>
    <mergeCell ref="C179:H179"/>
    <mergeCell ref="C180:H180"/>
    <mergeCell ref="C181:H181"/>
    <mergeCell ref="C182:H182"/>
    <mergeCell ref="C183:H183"/>
    <mergeCell ref="C184:H184"/>
    <mergeCell ref="C185:H185"/>
    <mergeCell ref="C186:H186"/>
    <mergeCell ref="C187:H187"/>
    <mergeCell ref="C188:H188"/>
    <mergeCell ref="C189:H189"/>
    <mergeCell ref="C190:H190"/>
    <mergeCell ref="C191:H191"/>
    <mergeCell ref="C192:H192"/>
    <mergeCell ref="C193:H193"/>
    <mergeCell ref="C194:H194"/>
    <mergeCell ref="C195:H195"/>
    <mergeCell ref="C196:H196"/>
    <mergeCell ref="C197:H197"/>
    <mergeCell ref="C198:H198"/>
    <mergeCell ref="C199:H199"/>
    <mergeCell ref="C200:H200"/>
    <mergeCell ref="C201:H201"/>
    <mergeCell ref="C202:H202"/>
    <mergeCell ref="C203:H203"/>
    <mergeCell ref="C204:H204"/>
    <mergeCell ref="C205:H205"/>
    <mergeCell ref="C206:H206"/>
    <mergeCell ref="C207:H207"/>
    <mergeCell ref="C208:H208"/>
    <mergeCell ref="C209:H209"/>
    <mergeCell ref="C210:H210"/>
    <mergeCell ref="C211:H211"/>
    <mergeCell ref="C212:H212"/>
    <mergeCell ref="C213:H213"/>
    <mergeCell ref="C214:H214"/>
    <mergeCell ref="C215:H215"/>
    <mergeCell ref="C216:H216"/>
    <mergeCell ref="C217:H217"/>
    <mergeCell ref="C218:H218"/>
    <mergeCell ref="C219:H219"/>
    <mergeCell ref="C220:H220"/>
    <mergeCell ref="C221:H221"/>
    <mergeCell ref="C222:H222"/>
    <mergeCell ref="C223:H223"/>
    <mergeCell ref="C224:H224"/>
    <mergeCell ref="C225:H225"/>
    <mergeCell ref="C226:H226"/>
    <mergeCell ref="C227:H227"/>
    <mergeCell ref="C228:H228"/>
    <mergeCell ref="C229:H229"/>
    <mergeCell ref="C230:H230"/>
    <mergeCell ref="C231:H231"/>
    <mergeCell ref="C232:H232"/>
    <mergeCell ref="C233:H233"/>
    <mergeCell ref="C234:H234"/>
    <mergeCell ref="C235:H235"/>
    <mergeCell ref="C236:H236"/>
    <mergeCell ref="C237:H237"/>
    <mergeCell ref="C238:H238"/>
    <mergeCell ref="C239:H239"/>
    <mergeCell ref="C240:H240"/>
    <mergeCell ref="C241:H241"/>
    <mergeCell ref="C242:H242"/>
    <mergeCell ref="C243:H243"/>
    <mergeCell ref="C244:H244"/>
    <mergeCell ref="C245:H245"/>
    <mergeCell ref="C246:H246"/>
    <mergeCell ref="C247:H247"/>
    <mergeCell ref="C248:H248"/>
    <mergeCell ref="C249:H249"/>
    <mergeCell ref="C250:H250"/>
    <mergeCell ref="C251:H251"/>
    <mergeCell ref="C252:H252"/>
    <mergeCell ref="C253:H253"/>
    <mergeCell ref="C254:H254"/>
    <mergeCell ref="C255:H255"/>
    <mergeCell ref="C256:H256"/>
    <mergeCell ref="C257:H257"/>
    <mergeCell ref="C258:H258"/>
    <mergeCell ref="C259:H259"/>
    <mergeCell ref="C260:H260"/>
    <mergeCell ref="C261:H261"/>
    <mergeCell ref="C262:H262"/>
    <mergeCell ref="C263:H263"/>
    <mergeCell ref="C264:H264"/>
    <mergeCell ref="C265:H265"/>
    <mergeCell ref="C266:H266"/>
    <mergeCell ref="C267:H267"/>
    <mergeCell ref="C268:H268"/>
    <mergeCell ref="C269:H269"/>
    <mergeCell ref="C270:H270"/>
    <mergeCell ref="C271:H271"/>
    <mergeCell ref="C272:H272"/>
    <mergeCell ref="C273:H273"/>
    <mergeCell ref="C274:H274"/>
    <mergeCell ref="C275:H275"/>
    <mergeCell ref="C276:H276"/>
    <mergeCell ref="C277:H277"/>
    <mergeCell ref="C278:H278"/>
    <mergeCell ref="C279:H279"/>
    <mergeCell ref="C280:H280"/>
    <mergeCell ref="C281:H281"/>
    <mergeCell ref="C282:H282"/>
    <mergeCell ref="C283:H283"/>
    <mergeCell ref="C284:H284"/>
    <mergeCell ref="C285:H285"/>
    <mergeCell ref="C286:H286"/>
    <mergeCell ref="C287:H287"/>
    <mergeCell ref="C288:H288"/>
    <mergeCell ref="C289:H289"/>
    <mergeCell ref="C290:H290"/>
    <mergeCell ref="C291:H291"/>
    <mergeCell ref="C292:H292"/>
    <mergeCell ref="C293:H293"/>
    <mergeCell ref="C294:H294"/>
    <mergeCell ref="C295:H295"/>
    <mergeCell ref="C296:H296"/>
    <mergeCell ref="C297:H297"/>
    <mergeCell ref="C298:H298"/>
    <mergeCell ref="C299:H299"/>
    <mergeCell ref="C300:H300"/>
    <mergeCell ref="C301:H301"/>
    <mergeCell ref="C302:H302"/>
    <mergeCell ref="C303:H303"/>
    <mergeCell ref="C304:H304"/>
    <mergeCell ref="C305:H305"/>
    <mergeCell ref="C306:H306"/>
    <mergeCell ref="C307:H307"/>
    <mergeCell ref="C308:H308"/>
    <mergeCell ref="C309:H309"/>
    <mergeCell ref="C310:H310"/>
    <mergeCell ref="C311:H311"/>
    <mergeCell ref="C312:H312"/>
    <mergeCell ref="C313:H313"/>
    <mergeCell ref="C314:H314"/>
    <mergeCell ref="C315:H315"/>
    <mergeCell ref="C316:H316"/>
    <mergeCell ref="C317:H317"/>
    <mergeCell ref="C318:H318"/>
    <mergeCell ref="C319:H319"/>
    <mergeCell ref="C320:H320"/>
    <mergeCell ref="C321:H321"/>
    <mergeCell ref="C322:H322"/>
    <mergeCell ref="C323:H323"/>
    <mergeCell ref="C324:H324"/>
    <mergeCell ref="C325:H325"/>
    <mergeCell ref="C326:H326"/>
    <mergeCell ref="C327:H327"/>
    <mergeCell ref="C328:H328"/>
    <mergeCell ref="C329:H329"/>
    <mergeCell ref="C330:H330"/>
    <mergeCell ref="C331:H331"/>
    <mergeCell ref="C332:H332"/>
    <mergeCell ref="C333:H333"/>
    <mergeCell ref="C334:H334"/>
    <mergeCell ref="C335:H335"/>
    <mergeCell ref="C336:H336"/>
    <mergeCell ref="C337:H337"/>
    <mergeCell ref="C338:H338"/>
    <mergeCell ref="C339:H339"/>
    <mergeCell ref="C340:H340"/>
    <mergeCell ref="C341:H341"/>
    <mergeCell ref="C342:H342"/>
    <mergeCell ref="C343:H343"/>
    <mergeCell ref="C344:H344"/>
    <mergeCell ref="C345:H345"/>
    <mergeCell ref="C346:H346"/>
    <mergeCell ref="C347:H347"/>
    <mergeCell ref="C348:H348"/>
    <mergeCell ref="J33:K33"/>
    <mergeCell ref="L33:M33"/>
    <mergeCell ref="N33:O33"/>
    <mergeCell ref="P33:Q33"/>
    <mergeCell ref="L34:M34"/>
    <mergeCell ref="N34:O34"/>
    <mergeCell ref="P34:Q34"/>
    <mergeCell ref="J34:K34"/>
    <mergeCell ref="J35:K35"/>
    <mergeCell ref="L35:M35"/>
    <mergeCell ref="N35:O35"/>
    <mergeCell ref="P35:Q35"/>
    <mergeCell ref="J36:K36"/>
    <mergeCell ref="L36:M36"/>
    <mergeCell ref="J48:K48"/>
    <mergeCell ref="L48:M48"/>
    <mergeCell ref="N48:O48"/>
    <mergeCell ref="P48:Q48"/>
    <mergeCell ref="L49:M49"/>
    <mergeCell ref="N49:O49"/>
    <mergeCell ref="P49:Q49"/>
    <mergeCell ref="J49:K49"/>
    <mergeCell ref="J50:K50"/>
    <mergeCell ref="L50:M50"/>
    <mergeCell ref="N50:O50"/>
    <mergeCell ref="P50:Q50"/>
    <mergeCell ref="J51:K51"/>
    <mergeCell ref="L51:M51"/>
    <mergeCell ref="L41:M41"/>
    <mergeCell ref="L23:M23"/>
    <mergeCell ref="N23:O23"/>
    <mergeCell ref="P23:Q23"/>
    <mergeCell ref="J24:K24"/>
    <mergeCell ref="L24:M24"/>
    <mergeCell ref="J12:K12"/>
    <mergeCell ref="J13:K13"/>
    <mergeCell ref="L13:M13"/>
    <mergeCell ref="N13:O13"/>
    <mergeCell ref="P13:Q13"/>
    <mergeCell ref="L14:M14"/>
    <mergeCell ref="N14:O14"/>
    <mergeCell ref="P14:Q14"/>
    <mergeCell ref="J14:K14"/>
    <mergeCell ref="J15:K15"/>
    <mergeCell ref="L15:M15"/>
    <mergeCell ref="N15:O15"/>
    <mergeCell ref="P15:Q15"/>
    <mergeCell ref="J16:K16"/>
    <mergeCell ref="L16:M16"/>
    <mergeCell ref="J17:K17"/>
    <mergeCell ref="L17:M17"/>
    <mergeCell ref="N17:O17"/>
    <mergeCell ref="P17:Q17"/>
    <mergeCell ref="L42:M42"/>
    <mergeCell ref="N42:O42"/>
    <mergeCell ref="P42:Q42"/>
    <mergeCell ref="J43:K43"/>
    <mergeCell ref="L43:M43"/>
    <mergeCell ref="L18:M18"/>
    <mergeCell ref="N18:O18"/>
    <mergeCell ref="P18:Q18"/>
    <mergeCell ref="N20:O20"/>
    <mergeCell ref="P20:Q20"/>
    <mergeCell ref="J18:K18"/>
    <mergeCell ref="J19:K19"/>
    <mergeCell ref="L19:M19"/>
    <mergeCell ref="N19:O19"/>
    <mergeCell ref="P19:Q19"/>
    <mergeCell ref="J20:K20"/>
    <mergeCell ref="L20:M20"/>
    <mergeCell ref="N24:O24"/>
    <mergeCell ref="P24:Q24"/>
    <mergeCell ref="J38:K38"/>
    <mergeCell ref="J39:K39"/>
    <mergeCell ref="L39:M39"/>
    <mergeCell ref="N39:O39"/>
    <mergeCell ref="P39:Q39"/>
    <mergeCell ref="N36:O36"/>
    <mergeCell ref="P36:Q36"/>
    <mergeCell ref="J37:K37"/>
    <mergeCell ref="L37:M37"/>
    <mergeCell ref="N37:O37"/>
    <mergeCell ref="P37:Q37"/>
    <mergeCell ref="P38:Q38"/>
    <mergeCell ref="J23:K23"/>
    <mergeCell ref="A1:M3"/>
    <mergeCell ref="N1:O3"/>
    <mergeCell ref="P1:Q1"/>
    <mergeCell ref="P2:Q3"/>
    <mergeCell ref="C5:H5"/>
    <mergeCell ref="L5:M5"/>
    <mergeCell ref="P6:Q6"/>
    <mergeCell ref="L6:M6"/>
    <mergeCell ref="N6:O6"/>
    <mergeCell ref="L7:M7"/>
    <mergeCell ref="N7:O7"/>
    <mergeCell ref="P7:Q7"/>
    <mergeCell ref="N8:O8"/>
    <mergeCell ref="P8:Q8"/>
    <mergeCell ref="L11:M11"/>
    <mergeCell ref="N11:O11"/>
    <mergeCell ref="P11:Q11"/>
    <mergeCell ref="L8:M8"/>
    <mergeCell ref="L9:M9"/>
    <mergeCell ref="N9:O9"/>
    <mergeCell ref="P9:Q9"/>
    <mergeCell ref="L10:M10"/>
    <mergeCell ref="N10:O10"/>
    <mergeCell ref="C6:H6"/>
    <mergeCell ref="C7:H7"/>
    <mergeCell ref="C8:H8"/>
    <mergeCell ref="C9:H9"/>
    <mergeCell ref="C10:H10"/>
    <mergeCell ref="C11:H11"/>
    <mergeCell ref="P10:Q10"/>
    <mergeCell ref="J5:K5"/>
    <mergeCell ref="J6:K6"/>
    <mergeCell ref="J7:K7"/>
    <mergeCell ref="J8:K8"/>
    <mergeCell ref="J9:K9"/>
    <mergeCell ref="J10:K10"/>
    <mergeCell ref="J11:K11"/>
    <mergeCell ref="N16:O16"/>
    <mergeCell ref="P16:Q16"/>
    <mergeCell ref="J21:K21"/>
    <mergeCell ref="L21:M21"/>
    <mergeCell ref="N21:O21"/>
    <mergeCell ref="P21:Q21"/>
    <mergeCell ref="L22:M22"/>
    <mergeCell ref="N22:O22"/>
    <mergeCell ref="P22:Q22"/>
    <mergeCell ref="J22:K22"/>
    <mergeCell ref="N5:O5"/>
    <mergeCell ref="P5:Q5"/>
    <mergeCell ref="L12:M12"/>
    <mergeCell ref="N12:O12"/>
    <mergeCell ref="P12:Q12"/>
    <mergeCell ref="J40:K40"/>
    <mergeCell ref="L40:M40"/>
    <mergeCell ref="N40:O40"/>
    <mergeCell ref="P40:Q40"/>
    <mergeCell ref="P41:Q41"/>
    <mergeCell ref="N43:O43"/>
    <mergeCell ref="P43:Q43"/>
    <mergeCell ref="J41:K41"/>
    <mergeCell ref="J25:K25"/>
    <mergeCell ref="L25:M25"/>
    <mergeCell ref="N25:O25"/>
    <mergeCell ref="P25:Q25"/>
    <mergeCell ref="L26:M26"/>
    <mergeCell ref="N26:O26"/>
    <mergeCell ref="P26:Q26"/>
    <mergeCell ref="J26:K26"/>
    <mergeCell ref="J27:K27"/>
    <mergeCell ref="L27:M27"/>
    <mergeCell ref="N27:O27"/>
    <mergeCell ref="P27:Q27"/>
    <mergeCell ref="J28:K28"/>
    <mergeCell ref="L28:M28"/>
    <mergeCell ref="L30:M30"/>
    <mergeCell ref="N30:O30"/>
    <mergeCell ref="N28:O28"/>
    <mergeCell ref="P28:Q28"/>
    <mergeCell ref="J29:K29"/>
    <mergeCell ref="L29:M29"/>
    <mergeCell ref="N29:O29"/>
    <mergeCell ref="P29:Q29"/>
    <mergeCell ref="P30:Q30"/>
    <mergeCell ref="J42:K42"/>
    <mergeCell ref="P61:Q61"/>
    <mergeCell ref="J61:K61"/>
    <mergeCell ref="J62:K62"/>
    <mergeCell ref="L62:M62"/>
    <mergeCell ref="N62:O62"/>
    <mergeCell ref="P62:Q62"/>
    <mergeCell ref="J63:K63"/>
    <mergeCell ref="L63:M63"/>
    <mergeCell ref="N32:O32"/>
    <mergeCell ref="P32:Q32"/>
    <mergeCell ref="J30:K30"/>
    <mergeCell ref="J31:K31"/>
    <mergeCell ref="L31:M31"/>
    <mergeCell ref="N31:O31"/>
    <mergeCell ref="P31:Q31"/>
    <mergeCell ref="J32:K32"/>
    <mergeCell ref="L32:M32"/>
    <mergeCell ref="J56:K56"/>
    <mergeCell ref="L56:M56"/>
    <mergeCell ref="N56:O56"/>
    <mergeCell ref="P56:Q56"/>
    <mergeCell ref="L57:M57"/>
    <mergeCell ref="N57:O57"/>
    <mergeCell ref="P57:Q57"/>
    <mergeCell ref="J57:K57"/>
    <mergeCell ref="N47:O47"/>
    <mergeCell ref="P47:Q47"/>
    <mergeCell ref="N51:O51"/>
    <mergeCell ref="P51:Q51"/>
    <mergeCell ref="N41:O41"/>
    <mergeCell ref="L38:M38"/>
    <mergeCell ref="N38:O38"/>
    <mergeCell ref="J70:K70"/>
    <mergeCell ref="L70:M70"/>
    <mergeCell ref="N70:O70"/>
    <mergeCell ref="P70:Q70"/>
    <mergeCell ref="J71:K71"/>
    <mergeCell ref="L71:M71"/>
    <mergeCell ref="L73:M73"/>
    <mergeCell ref="N73:O73"/>
    <mergeCell ref="N71:O71"/>
    <mergeCell ref="P71:Q71"/>
    <mergeCell ref="J72:K72"/>
    <mergeCell ref="J58:K58"/>
    <mergeCell ref="L58:M58"/>
    <mergeCell ref="N58:O58"/>
    <mergeCell ref="P58:Q58"/>
    <mergeCell ref="J59:K59"/>
    <mergeCell ref="L59:M59"/>
    <mergeCell ref="L65:M65"/>
    <mergeCell ref="N65:O65"/>
    <mergeCell ref="N63:O63"/>
    <mergeCell ref="P63:Q63"/>
    <mergeCell ref="J64:K64"/>
    <mergeCell ref="L64:M64"/>
    <mergeCell ref="N64:O64"/>
    <mergeCell ref="P64:Q64"/>
    <mergeCell ref="P65:Q65"/>
    <mergeCell ref="J60:K60"/>
    <mergeCell ref="L60:M60"/>
    <mergeCell ref="N60:O60"/>
    <mergeCell ref="P60:Q60"/>
    <mergeCell ref="L61:M61"/>
    <mergeCell ref="N61:O61"/>
    <mergeCell ref="N67:O67"/>
    <mergeCell ref="P67:Q67"/>
    <mergeCell ref="J65:K65"/>
    <mergeCell ref="J66:K66"/>
    <mergeCell ref="L66:M66"/>
    <mergeCell ref="N66:O66"/>
    <mergeCell ref="P66:Q66"/>
    <mergeCell ref="J67:K67"/>
    <mergeCell ref="L67:M67"/>
    <mergeCell ref="J68:K68"/>
    <mergeCell ref="L68:M68"/>
    <mergeCell ref="N68:O68"/>
    <mergeCell ref="P68:Q68"/>
    <mergeCell ref="L69:M69"/>
    <mergeCell ref="N69:O69"/>
    <mergeCell ref="P69:Q69"/>
    <mergeCell ref="J69:K69"/>
    <mergeCell ref="L72:M72"/>
    <mergeCell ref="N72:O72"/>
    <mergeCell ref="P72:Q72"/>
    <mergeCell ref="P73:Q73"/>
    <mergeCell ref="N75:O75"/>
    <mergeCell ref="P75:Q75"/>
    <mergeCell ref="J73:K73"/>
    <mergeCell ref="J74:K74"/>
    <mergeCell ref="L74:M74"/>
    <mergeCell ref="N74:O74"/>
    <mergeCell ref="P74:Q74"/>
    <mergeCell ref="J75:K75"/>
    <mergeCell ref="L75:M75"/>
    <mergeCell ref="L77:M77"/>
    <mergeCell ref="N77:O77"/>
    <mergeCell ref="P77:Q77"/>
    <mergeCell ref="J77:K77"/>
    <mergeCell ref="J76:K76"/>
    <mergeCell ref="L76:M76"/>
    <mergeCell ref="N76:O76"/>
    <mergeCell ref="P76:Q76"/>
    <mergeCell ref="J78:K78"/>
    <mergeCell ref="L78:M78"/>
    <mergeCell ref="N78:O78"/>
    <mergeCell ref="P78:Q78"/>
    <mergeCell ref="J79:K79"/>
    <mergeCell ref="L79:M79"/>
    <mergeCell ref="J84:K84"/>
    <mergeCell ref="L84:M84"/>
    <mergeCell ref="N84:O84"/>
    <mergeCell ref="P84:Q84"/>
    <mergeCell ref="L81:M81"/>
    <mergeCell ref="N81:O81"/>
    <mergeCell ref="N79:O79"/>
    <mergeCell ref="P79:Q79"/>
    <mergeCell ref="J80:K80"/>
    <mergeCell ref="L80:M80"/>
    <mergeCell ref="N80:O80"/>
    <mergeCell ref="P80:Q80"/>
    <mergeCell ref="P81:Q81"/>
    <mergeCell ref="N83:O83"/>
    <mergeCell ref="P83:Q83"/>
    <mergeCell ref="J81:K81"/>
    <mergeCell ref="J82:K82"/>
    <mergeCell ref="L82:M82"/>
    <mergeCell ref="N82:O82"/>
    <mergeCell ref="P82:Q82"/>
    <mergeCell ref="J83:K83"/>
    <mergeCell ref="L83:M83"/>
    <mergeCell ref="L85:M85"/>
    <mergeCell ref="N85:O85"/>
    <mergeCell ref="P85:Q85"/>
    <mergeCell ref="J85:K85"/>
    <mergeCell ref="J86:K86"/>
    <mergeCell ref="L86:M86"/>
    <mergeCell ref="N86:O86"/>
    <mergeCell ref="P86:Q86"/>
    <mergeCell ref="J87:K87"/>
    <mergeCell ref="L87:M87"/>
    <mergeCell ref="L89:M89"/>
    <mergeCell ref="N89:O89"/>
    <mergeCell ref="N87:O87"/>
    <mergeCell ref="P87:Q87"/>
    <mergeCell ref="J88:K88"/>
    <mergeCell ref="L88:M88"/>
    <mergeCell ref="N88:O88"/>
    <mergeCell ref="P88:Q88"/>
    <mergeCell ref="P89:Q89"/>
    <mergeCell ref="N91:O91"/>
    <mergeCell ref="P91:Q91"/>
    <mergeCell ref="J89:K89"/>
    <mergeCell ref="J90:K90"/>
    <mergeCell ref="L90:M90"/>
    <mergeCell ref="N90:O90"/>
    <mergeCell ref="P90:Q90"/>
    <mergeCell ref="J91:K91"/>
    <mergeCell ref="L91:M91"/>
    <mergeCell ref="J92:K92"/>
    <mergeCell ref="L92:M92"/>
    <mergeCell ref="N92:O92"/>
    <mergeCell ref="P92:Q92"/>
    <mergeCell ref="L93:M93"/>
    <mergeCell ref="N93:O93"/>
    <mergeCell ref="P93:Q93"/>
    <mergeCell ref="J93:K93"/>
    <mergeCell ref="J94:K94"/>
    <mergeCell ref="L94:M94"/>
    <mergeCell ref="N94:O94"/>
    <mergeCell ref="P94:Q94"/>
    <mergeCell ref="J95:K95"/>
    <mergeCell ref="L95:M95"/>
    <mergeCell ref="L97:M97"/>
    <mergeCell ref="N97:O97"/>
    <mergeCell ref="N95:O95"/>
    <mergeCell ref="P95:Q95"/>
    <mergeCell ref="J96:K96"/>
    <mergeCell ref="L96:M96"/>
    <mergeCell ref="N96:O96"/>
    <mergeCell ref="P96:Q96"/>
    <mergeCell ref="P97:Q97"/>
    <mergeCell ref="N99:O99"/>
    <mergeCell ref="P99:Q99"/>
    <mergeCell ref="J97:K97"/>
    <mergeCell ref="J98:K98"/>
    <mergeCell ref="L98:M98"/>
    <mergeCell ref="N98:O98"/>
    <mergeCell ref="P98:Q98"/>
    <mergeCell ref="J99:K99"/>
    <mergeCell ref="L99:M99"/>
    <mergeCell ref="J100:K100"/>
    <mergeCell ref="L100:M100"/>
    <mergeCell ref="N100:O100"/>
    <mergeCell ref="P100:Q100"/>
    <mergeCell ref="L101:M101"/>
    <mergeCell ref="N101:O101"/>
    <mergeCell ref="P101:Q101"/>
    <mergeCell ref="J101:K101"/>
    <mergeCell ref="J102:K102"/>
    <mergeCell ref="L102:M102"/>
    <mergeCell ref="N102:O102"/>
    <mergeCell ref="P102:Q102"/>
    <mergeCell ref="J103:K103"/>
    <mergeCell ref="L103:M103"/>
    <mergeCell ref="L105:M105"/>
    <mergeCell ref="N105:O105"/>
    <mergeCell ref="N103:O103"/>
    <mergeCell ref="P103:Q103"/>
    <mergeCell ref="J104:K104"/>
    <mergeCell ref="L104:M104"/>
    <mergeCell ref="N104:O104"/>
    <mergeCell ref="P104:Q104"/>
    <mergeCell ref="P105:Q105"/>
    <mergeCell ref="N107:O107"/>
    <mergeCell ref="P107:Q107"/>
    <mergeCell ref="J105:K105"/>
    <mergeCell ref="J106:K106"/>
    <mergeCell ref="L106:M106"/>
    <mergeCell ref="N106:O106"/>
    <mergeCell ref="P106:Q106"/>
    <mergeCell ref="J107:K107"/>
    <mergeCell ref="L107:M107"/>
    <mergeCell ref="J108:K108"/>
    <mergeCell ref="L108:M108"/>
    <mergeCell ref="N108:O108"/>
    <mergeCell ref="P108:Q108"/>
    <mergeCell ref="L109:M109"/>
    <mergeCell ref="N109:O109"/>
    <mergeCell ref="P109:Q109"/>
    <mergeCell ref="J109:K109"/>
    <mergeCell ref="J110:K110"/>
    <mergeCell ref="L110:M110"/>
    <mergeCell ref="N110:O110"/>
    <mergeCell ref="P110:Q110"/>
    <mergeCell ref="J111:K111"/>
    <mergeCell ref="L111:M111"/>
    <mergeCell ref="L113:M113"/>
    <mergeCell ref="N113:O113"/>
    <mergeCell ref="N111:O111"/>
    <mergeCell ref="P111:Q111"/>
    <mergeCell ref="J112:K112"/>
    <mergeCell ref="L112:M112"/>
    <mergeCell ref="N112:O112"/>
    <mergeCell ref="P112:Q112"/>
    <mergeCell ref="P113:Q113"/>
    <mergeCell ref="N115:O115"/>
    <mergeCell ref="P115:Q115"/>
    <mergeCell ref="J113:K113"/>
    <mergeCell ref="J114:K114"/>
    <mergeCell ref="L114:M114"/>
    <mergeCell ref="N114:O114"/>
    <mergeCell ref="P114:Q114"/>
    <mergeCell ref="J115:K115"/>
    <mergeCell ref="L115:M115"/>
    <mergeCell ref="J392:K392"/>
    <mergeCell ref="L392:M392"/>
    <mergeCell ref="N392:O392"/>
    <mergeCell ref="P392:Q392"/>
    <mergeCell ref="L393:M393"/>
    <mergeCell ref="N393:O393"/>
    <mergeCell ref="P393:Q393"/>
    <mergeCell ref="J393:K393"/>
    <mergeCell ref="J394:K394"/>
    <mergeCell ref="L394:M394"/>
    <mergeCell ref="N394:O394"/>
    <mergeCell ref="P394:Q394"/>
    <mergeCell ref="J395:K395"/>
    <mergeCell ref="L395:M395"/>
    <mergeCell ref="J396:K396"/>
    <mergeCell ref="L396:M396"/>
    <mergeCell ref="N396:O396"/>
    <mergeCell ref="P396:Q396"/>
    <mergeCell ref="L397:M397"/>
    <mergeCell ref="N397:O397"/>
    <mergeCell ref="P397:Q397"/>
    <mergeCell ref="J397:K397"/>
    <mergeCell ref="J398:K398"/>
    <mergeCell ref="L398:M398"/>
    <mergeCell ref="N398:O398"/>
    <mergeCell ref="P398:Q398"/>
    <mergeCell ref="J399:K399"/>
    <mergeCell ref="L399:M399"/>
    <mergeCell ref="L401:M401"/>
    <mergeCell ref="N401:O401"/>
    <mergeCell ref="N399:O399"/>
    <mergeCell ref="P399:Q399"/>
    <mergeCell ref="J400:K400"/>
    <mergeCell ref="L400:M400"/>
    <mergeCell ref="N400:O400"/>
    <mergeCell ref="P400:Q400"/>
    <mergeCell ref="P401:Q401"/>
    <mergeCell ref="N403:O403"/>
    <mergeCell ref="P403:Q403"/>
    <mergeCell ref="J401:K401"/>
    <mergeCell ref="J402:K402"/>
    <mergeCell ref="L402:M402"/>
    <mergeCell ref="N402:O402"/>
    <mergeCell ref="P402:Q402"/>
    <mergeCell ref="J403:K403"/>
    <mergeCell ref="L403:M403"/>
    <mergeCell ref="J404:K404"/>
    <mergeCell ref="L404:M404"/>
    <mergeCell ref="N404:O404"/>
    <mergeCell ref="P404:Q404"/>
    <mergeCell ref="L405:M405"/>
    <mergeCell ref="N405:O405"/>
    <mergeCell ref="P405:Q405"/>
    <mergeCell ref="J405:K405"/>
    <mergeCell ref="J406:K406"/>
    <mergeCell ref="L406:M406"/>
    <mergeCell ref="N406:O406"/>
    <mergeCell ref="P406:Q406"/>
    <mergeCell ref="J407:K407"/>
    <mergeCell ref="L407:M407"/>
    <mergeCell ref="L409:M409"/>
    <mergeCell ref="N409:O409"/>
    <mergeCell ref="N407:O407"/>
    <mergeCell ref="P407:Q407"/>
    <mergeCell ref="J408:K408"/>
    <mergeCell ref="L408:M408"/>
    <mergeCell ref="N408:O408"/>
    <mergeCell ref="P408:Q408"/>
    <mergeCell ref="P409:Q409"/>
    <mergeCell ref="N411:O411"/>
    <mergeCell ref="P411:Q411"/>
    <mergeCell ref="J409:K409"/>
    <mergeCell ref="J410:K410"/>
    <mergeCell ref="L410:M410"/>
    <mergeCell ref="N410:O410"/>
    <mergeCell ref="P410:Q410"/>
    <mergeCell ref="J411:K411"/>
    <mergeCell ref="L411:M411"/>
    <mergeCell ref="J540:K540"/>
    <mergeCell ref="L540:M540"/>
    <mergeCell ref="N540:O540"/>
    <mergeCell ref="P540:Q540"/>
    <mergeCell ref="L541:M541"/>
    <mergeCell ref="N541:O541"/>
    <mergeCell ref="P541:Q541"/>
    <mergeCell ref="J541:K541"/>
    <mergeCell ref="J420:K420"/>
    <mergeCell ref="L420:M420"/>
    <mergeCell ref="N420:O420"/>
    <mergeCell ref="P420:Q420"/>
    <mergeCell ref="L421:M421"/>
    <mergeCell ref="N421:O421"/>
    <mergeCell ref="P421:Q421"/>
    <mergeCell ref="J421:K421"/>
    <mergeCell ref="J422:K422"/>
    <mergeCell ref="L422:M422"/>
    <mergeCell ref="N422:O422"/>
    <mergeCell ref="P422:Q422"/>
    <mergeCell ref="J423:K423"/>
    <mergeCell ref="L423:M423"/>
    <mergeCell ref="L425:M425"/>
    <mergeCell ref="N434:O434"/>
    <mergeCell ref="P434:Q434"/>
    <mergeCell ref="J435:K435"/>
    <mergeCell ref="L435:M435"/>
    <mergeCell ref="N425:O425"/>
    <mergeCell ref="N423:O423"/>
    <mergeCell ref="P423:Q423"/>
    <mergeCell ref="J424:K424"/>
    <mergeCell ref="L424:M424"/>
    <mergeCell ref="J542:K542"/>
    <mergeCell ref="L542:M542"/>
    <mergeCell ref="N542:O542"/>
    <mergeCell ref="P542:Q542"/>
    <mergeCell ref="J543:K543"/>
    <mergeCell ref="L543:M543"/>
    <mergeCell ref="J548:K548"/>
    <mergeCell ref="L548:M548"/>
    <mergeCell ref="N548:O548"/>
    <mergeCell ref="P548:Q548"/>
    <mergeCell ref="L549:M549"/>
    <mergeCell ref="N549:O549"/>
    <mergeCell ref="P549:Q549"/>
    <mergeCell ref="J549:K549"/>
    <mergeCell ref="J550:K550"/>
    <mergeCell ref="L550:M550"/>
    <mergeCell ref="N550:O550"/>
    <mergeCell ref="P550:Q550"/>
    <mergeCell ref="L545:M545"/>
    <mergeCell ref="N545:O545"/>
    <mergeCell ref="N543:O543"/>
    <mergeCell ref="P543:Q543"/>
    <mergeCell ref="J544:K544"/>
    <mergeCell ref="L544:M544"/>
    <mergeCell ref="N544:O544"/>
    <mergeCell ref="P544:Q544"/>
    <mergeCell ref="P545:Q545"/>
    <mergeCell ref="N547:O547"/>
    <mergeCell ref="P547:Q547"/>
    <mergeCell ref="J545:K545"/>
    <mergeCell ref="J546:K546"/>
    <mergeCell ref="L546:M546"/>
    <mergeCell ref="J551:K551"/>
    <mergeCell ref="L551:M551"/>
    <mergeCell ref="L553:M553"/>
    <mergeCell ref="N553:O553"/>
    <mergeCell ref="N551:O551"/>
    <mergeCell ref="P551:Q551"/>
    <mergeCell ref="J552:K552"/>
    <mergeCell ref="L552:M552"/>
    <mergeCell ref="N552:O552"/>
    <mergeCell ref="P552:Q552"/>
    <mergeCell ref="P553:Q553"/>
    <mergeCell ref="N555:O555"/>
    <mergeCell ref="P555:Q555"/>
    <mergeCell ref="J553:K553"/>
    <mergeCell ref="J554:K554"/>
    <mergeCell ref="L554:M554"/>
    <mergeCell ref="N554:O554"/>
    <mergeCell ref="P554:Q554"/>
    <mergeCell ref="J555:K555"/>
    <mergeCell ref="L555:M555"/>
    <mergeCell ref="J556:K556"/>
    <mergeCell ref="L556:M556"/>
    <mergeCell ref="N556:O556"/>
    <mergeCell ref="P556:Q556"/>
    <mergeCell ref="L557:M557"/>
    <mergeCell ref="N557:O557"/>
    <mergeCell ref="P557:Q557"/>
    <mergeCell ref="J557:K557"/>
    <mergeCell ref="J558:K558"/>
    <mergeCell ref="L558:M558"/>
    <mergeCell ref="N558:O558"/>
    <mergeCell ref="P558:Q558"/>
    <mergeCell ref="J559:K559"/>
    <mergeCell ref="L559:M559"/>
    <mergeCell ref="L561:M561"/>
    <mergeCell ref="N561:O561"/>
    <mergeCell ref="N559:O559"/>
    <mergeCell ref="P559:Q559"/>
    <mergeCell ref="J560:K560"/>
    <mergeCell ref="L560:M560"/>
    <mergeCell ref="N560:O560"/>
    <mergeCell ref="P560:Q560"/>
    <mergeCell ref="P561:Q561"/>
    <mergeCell ref="N563:O563"/>
    <mergeCell ref="P563:Q563"/>
    <mergeCell ref="J561:K561"/>
    <mergeCell ref="J562:K562"/>
    <mergeCell ref="L562:M562"/>
    <mergeCell ref="N562:O562"/>
    <mergeCell ref="P562:Q562"/>
    <mergeCell ref="J563:K563"/>
    <mergeCell ref="L563:M563"/>
    <mergeCell ref="J564:K564"/>
    <mergeCell ref="L564:M564"/>
    <mergeCell ref="N564:O564"/>
    <mergeCell ref="P564:Q564"/>
    <mergeCell ref="L565:M565"/>
    <mergeCell ref="N565:O565"/>
    <mergeCell ref="P565:Q565"/>
    <mergeCell ref="J565:K565"/>
    <mergeCell ref="P576:Q576"/>
    <mergeCell ref="P577:Q577"/>
    <mergeCell ref="J566:K566"/>
    <mergeCell ref="L566:M566"/>
    <mergeCell ref="N566:O566"/>
    <mergeCell ref="P566:Q566"/>
    <mergeCell ref="J567:K567"/>
    <mergeCell ref="L567:M567"/>
    <mergeCell ref="L569:M569"/>
    <mergeCell ref="N569:O569"/>
    <mergeCell ref="N567:O567"/>
    <mergeCell ref="P567:Q567"/>
    <mergeCell ref="J568:K568"/>
    <mergeCell ref="L568:M568"/>
    <mergeCell ref="N568:O568"/>
    <mergeCell ref="P568:Q568"/>
    <mergeCell ref="P569:Q569"/>
    <mergeCell ref="N571:O571"/>
    <mergeCell ref="P571:Q571"/>
    <mergeCell ref="J569:K569"/>
    <mergeCell ref="J570:K570"/>
    <mergeCell ref="L570:M570"/>
    <mergeCell ref="N570:O570"/>
    <mergeCell ref="P570:Q570"/>
    <mergeCell ref="J571:K571"/>
    <mergeCell ref="L571:M571"/>
    <mergeCell ref="P580:Q580"/>
    <mergeCell ref="L581:M581"/>
    <mergeCell ref="N581:O581"/>
    <mergeCell ref="P581:Q581"/>
    <mergeCell ref="J581:K581"/>
    <mergeCell ref="J582:K582"/>
    <mergeCell ref="L582:M582"/>
    <mergeCell ref="N582:O582"/>
    <mergeCell ref="P582:Q582"/>
    <mergeCell ref="J583:K583"/>
    <mergeCell ref="L583:M583"/>
    <mergeCell ref="J572:K572"/>
    <mergeCell ref="L572:M572"/>
    <mergeCell ref="N572:O572"/>
    <mergeCell ref="P572:Q572"/>
    <mergeCell ref="L573:M573"/>
    <mergeCell ref="N573:O573"/>
    <mergeCell ref="P573:Q573"/>
    <mergeCell ref="J573:K573"/>
    <mergeCell ref="J574:K574"/>
    <mergeCell ref="L574:M574"/>
    <mergeCell ref="N574:O574"/>
    <mergeCell ref="P574:Q574"/>
    <mergeCell ref="J575:K575"/>
    <mergeCell ref="L575:M575"/>
    <mergeCell ref="L577:M577"/>
    <mergeCell ref="N577:O577"/>
    <mergeCell ref="N575:O575"/>
    <mergeCell ref="P575:Q575"/>
    <mergeCell ref="J576:K576"/>
    <mergeCell ref="L576:M576"/>
    <mergeCell ref="N576:O576"/>
    <mergeCell ref="J590:K590"/>
    <mergeCell ref="L590:M590"/>
    <mergeCell ref="N590:O590"/>
    <mergeCell ref="P590:Q590"/>
    <mergeCell ref="J591:K591"/>
    <mergeCell ref="L591:M591"/>
    <mergeCell ref="L593:M593"/>
    <mergeCell ref="N593:O593"/>
    <mergeCell ref="N591:O591"/>
    <mergeCell ref="P591:Q591"/>
    <mergeCell ref="J592:K592"/>
    <mergeCell ref="N579:O579"/>
    <mergeCell ref="P579:Q579"/>
    <mergeCell ref="J577:K577"/>
    <mergeCell ref="J578:K578"/>
    <mergeCell ref="L578:M578"/>
    <mergeCell ref="N578:O578"/>
    <mergeCell ref="P578:Q578"/>
    <mergeCell ref="J579:K579"/>
    <mergeCell ref="L579:M579"/>
    <mergeCell ref="L585:M585"/>
    <mergeCell ref="N585:O585"/>
    <mergeCell ref="N583:O583"/>
    <mergeCell ref="P583:Q583"/>
    <mergeCell ref="J584:K584"/>
    <mergeCell ref="L584:M584"/>
    <mergeCell ref="N584:O584"/>
    <mergeCell ref="P584:Q584"/>
    <mergeCell ref="P585:Q585"/>
    <mergeCell ref="J580:K580"/>
    <mergeCell ref="L580:M580"/>
    <mergeCell ref="N580:O580"/>
    <mergeCell ref="N587:O587"/>
    <mergeCell ref="P587:Q587"/>
    <mergeCell ref="J585:K585"/>
    <mergeCell ref="J586:K586"/>
    <mergeCell ref="L586:M586"/>
    <mergeCell ref="N586:O586"/>
    <mergeCell ref="P586:Q586"/>
    <mergeCell ref="J587:K587"/>
    <mergeCell ref="L587:M587"/>
    <mergeCell ref="J588:K588"/>
    <mergeCell ref="L588:M588"/>
    <mergeCell ref="N588:O588"/>
    <mergeCell ref="P588:Q588"/>
    <mergeCell ref="L589:M589"/>
    <mergeCell ref="N589:O589"/>
    <mergeCell ref="P589:Q589"/>
    <mergeCell ref="J589:K589"/>
    <mergeCell ref="L592:M592"/>
    <mergeCell ref="N592:O592"/>
    <mergeCell ref="P592:Q592"/>
    <mergeCell ref="P593:Q593"/>
    <mergeCell ref="N595:O595"/>
    <mergeCell ref="P595:Q595"/>
    <mergeCell ref="J593:K593"/>
    <mergeCell ref="J594:K594"/>
    <mergeCell ref="L594:M594"/>
    <mergeCell ref="N594:O594"/>
    <mergeCell ref="P594:Q594"/>
    <mergeCell ref="J595:K595"/>
    <mergeCell ref="L595:M595"/>
    <mergeCell ref="L597:M597"/>
    <mergeCell ref="N597:O597"/>
    <mergeCell ref="P597:Q597"/>
    <mergeCell ref="J597:K597"/>
    <mergeCell ref="J596:K596"/>
    <mergeCell ref="L596:M596"/>
    <mergeCell ref="N596:O596"/>
    <mergeCell ref="P596:Q596"/>
    <mergeCell ref="J598:K598"/>
    <mergeCell ref="L598:M598"/>
    <mergeCell ref="N598:O598"/>
    <mergeCell ref="P598:Q598"/>
    <mergeCell ref="J599:K599"/>
    <mergeCell ref="L599:M599"/>
    <mergeCell ref="J604:K604"/>
    <mergeCell ref="L604:M604"/>
    <mergeCell ref="N604:O604"/>
    <mergeCell ref="P604:Q604"/>
    <mergeCell ref="L601:M601"/>
    <mergeCell ref="N601:O601"/>
    <mergeCell ref="N599:O599"/>
    <mergeCell ref="P599:Q599"/>
    <mergeCell ref="J600:K600"/>
    <mergeCell ref="L600:M600"/>
    <mergeCell ref="N600:O600"/>
    <mergeCell ref="P600:Q600"/>
    <mergeCell ref="P601:Q601"/>
    <mergeCell ref="N603:O603"/>
    <mergeCell ref="P603:Q603"/>
    <mergeCell ref="J601:K601"/>
    <mergeCell ref="J602:K602"/>
    <mergeCell ref="L602:M602"/>
    <mergeCell ref="N602:O602"/>
    <mergeCell ref="P602:Q602"/>
    <mergeCell ref="J603:K603"/>
    <mergeCell ref="L603:M603"/>
    <mergeCell ref="L605:M605"/>
    <mergeCell ref="N605:O605"/>
    <mergeCell ref="P605:Q605"/>
    <mergeCell ref="J605:K605"/>
    <mergeCell ref="J606:K606"/>
    <mergeCell ref="L606:M606"/>
    <mergeCell ref="N606:O606"/>
    <mergeCell ref="P606:Q606"/>
    <mergeCell ref="J607:K607"/>
    <mergeCell ref="L607:M607"/>
    <mergeCell ref="L609:M609"/>
    <mergeCell ref="N609:O609"/>
    <mergeCell ref="N607:O607"/>
    <mergeCell ref="P607:Q607"/>
    <mergeCell ref="J608:K608"/>
    <mergeCell ref="L608:M608"/>
    <mergeCell ref="N608:O608"/>
    <mergeCell ref="P608:Q608"/>
    <mergeCell ref="P609:Q609"/>
    <mergeCell ref="N611:O611"/>
    <mergeCell ref="P611:Q611"/>
    <mergeCell ref="J609:K609"/>
    <mergeCell ref="J610:K610"/>
    <mergeCell ref="L610:M610"/>
    <mergeCell ref="N610:O610"/>
    <mergeCell ref="P610:Q610"/>
    <mergeCell ref="J611:K611"/>
    <mergeCell ref="L611:M611"/>
    <mergeCell ref="J612:K612"/>
    <mergeCell ref="L612:M612"/>
    <mergeCell ref="N612:O612"/>
    <mergeCell ref="P612:Q612"/>
    <mergeCell ref="L613:M613"/>
    <mergeCell ref="N613:O613"/>
    <mergeCell ref="P613:Q613"/>
    <mergeCell ref="J613:K613"/>
    <mergeCell ref="J614:K614"/>
    <mergeCell ref="L614:M614"/>
    <mergeCell ref="N614:O614"/>
    <mergeCell ref="P614:Q614"/>
    <mergeCell ref="J615:K615"/>
    <mergeCell ref="L615:M615"/>
    <mergeCell ref="L617:M617"/>
    <mergeCell ref="N617:O617"/>
    <mergeCell ref="N615:O615"/>
    <mergeCell ref="P615:Q615"/>
    <mergeCell ref="J616:K616"/>
    <mergeCell ref="L616:M616"/>
    <mergeCell ref="N616:O616"/>
    <mergeCell ref="P616:Q616"/>
    <mergeCell ref="P617:Q617"/>
    <mergeCell ref="N619:O619"/>
    <mergeCell ref="P619:Q619"/>
    <mergeCell ref="J617:K617"/>
    <mergeCell ref="J618:K618"/>
    <mergeCell ref="L618:M618"/>
    <mergeCell ref="N618:O618"/>
    <mergeCell ref="P618:Q618"/>
    <mergeCell ref="J619:K619"/>
    <mergeCell ref="L619:M619"/>
    <mergeCell ref="J636:K636"/>
    <mergeCell ref="L636:M636"/>
    <mergeCell ref="N636:O636"/>
    <mergeCell ref="P636:Q636"/>
    <mergeCell ref="L637:M637"/>
    <mergeCell ref="N637:O637"/>
    <mergeCell ref="P637:Q637"/>
    <mergeCell ref="J637:K637"/>
    <mergeCell ref="J638:K638"/>
    <mergeCell ref="L638:M638"/>
    <mergeCell ref="N638:O638"/>
    <mergeCell ref="P638:Q638"/>
    <mergeCell ref="J639:K639"/>
    <mergeCell ref="L639:M639"/>
    <mergeCell ref="N643:O643"/>
    <mergeCell ref="P643:Q643"/>
    <mergeCell ref="J641:K641"/>
    <mergeCell ref="J642:K642"/>
    <mergeCell ref="L642:M642"/>
    <mergeCell ref="N642:O642"/>
    <mergeCell ref="P642:Q642"/>
    <mergeCell ref="J643:K643"/>
    <mergeCell ref="L643:M643"/>
    <mergeCell ref="L641:M641"/>
    <mergeCell ref="N641:O641"/>
    <mergeCell ref="N639:O639"/>
    <mergeCell ref="P639:Q639"/>
    <mergeCell ref="J640:K640"/>
    <mergeCell ref="L640:M640"/>
    <mergeCell ref="N640:O640"/>
    <mergeCell ref="P640:Q640"/>
    <mergeCell ref="P641:Q641"/>
    <mergeCell ref="J644:K644"/>
    <mergeCell ref="L644:M644"/>
    <mergeCell ref="N644:O644"/>
    <mergeCell ref="P644:Q644"/>
    <mergeCell ref="L645:M645"/>
    <mergeCell ref="N645:O645"/>
    <mergeCell ref="P645:Q645"/>
    <mergeCell ref="J645:K645"/>
    <mergeCell ref="J646:K646"/>
    <mergeCell ref="L646:M646"/>
    <mergeCell ref="N646:O646"/>
    <mergeCell ref="P646:Q646"/>
    <mergeCell ref="J647:K647"/>
    <mergeCell ref="L647:M647"/>
    <mergeCell ref="N366:O366"/>
    <mergeCell ref="P366:Q366"/>
    <mergeCell ref="J367:K367"/>
    <mergeCell ref="L367:M367"/>
    <mergeCell ref="N367:O367"/>
    <mergeCell ref="P367:Q367"/>
    <mergeCell ref="P368:Q368"/>
    <mergeCell ref="L389:M389"/>
    <mergeCell ref="N389:O389"/>
    <mergeCell ref="L368:M368"/>
    <mergeCell ref="N368:O368"/>
    <mergeCell ref="J388:K388"/>
    <mergeCell ref="L388:M388"/>
    <mergeCell ref="N388:O388"/>
    <mergeCell ref="P388:Q388"/>
    <mergeCell ref="P389:Q389"/>
    <mergeCell ref="N391:O391"/>
    <mergeCell ref="P391:Q391"/>
    <mergeCell ref="J389:K389"/>
    <mergeCell ref="J390:K390"/>
    <mergeCell ref="L390:M390"/>
    <mergeCell ref="N390:O390"/>
    <mergeCell ref="P390:Q390"/>
    <mergeCell ref="J391:K391"/>
    <mergeCell ref="L391:M391"/>
    <mergeCell ref="N395:O395"/>
    <mergeCell ref="P395:Q395"/>
    <mergeCell ref="N647:O647"/>
    <mergeCell ref="P647:Q647"/>
    <mergeCell ref="J620:K620"/>
    <mergeCell ref="L620:M620"/>
    <mergeCell ref="N620:O620"/>
    <mergeCell ref="P620:Q620"/>
    <mergeCell ref="L621:M621"/>
    <mergeCell ref="N621:O621"/>
    <mergeCell ref="P621:Q621"/>
    <mergeCell ref="J621:K621"/>
    <mergeCell ref="J622:K622"/>
    <mergeCell ref="L622:M622"/>
    <mergeCell ref="N622:O622"/>
    <mergeCell ref="P622:Q622"/>
    <mergeCell ref="J623:K623"/>
    <mergeCell ref="L623:M623"/>
    <mergeCell ref="L625:M625"/>
    <mergeCell ref="N625:O625"/>
    <mergeCell ref="N623:O623"/>
    <mergeCell ref="P623:Q623"/>
    <mergeCell ref="J624:K624"/>
    <mergeCell ref="L624:M624"/>
    <mergeCell ref="N624:O624"/>
    <mergeCell ref="P624:Q624"/>
    <mergeCell ref="P625:Q625"/>
    <mergeCell ref="N627:O627"/>
    <mergeCell ref="P627:Q627"/>
    <mergeCell ref="J625:K625"/>
    <mergeCell ref="J626:K626"/>
    <mergeCell ref="L626:M626"/>
    <mergeCell ref="N626:O626"/>
    <mergeCell ref="P626:Q626"/>
    <mergeCell ref="J627:K627"/>
    <mergeCell ref="L627:M627"/>
    <mergeCell ref="J628:K628"/>
    <mergeCell ref="L628:M628"/>
    <mergeCell ref="N628:O628"/>
    <mergeCell ref="P628:Q628"/>
    <mergeCell ref="L629:M629"/>
    <mergeCell ref="N629:O629"/>
    <mergeCell ref="P629:Q629"/>
    <mergeCell ref="J629:K629"/>
    <mergeCell ref="J630:K630"/>
    <mergeCell ref="L630:M630"/>
    <mergeCell ref="N630:O630"/>
    <mergeCell ref="P630:Q630"/>
    <mergeCell ref="J631:K631"/>
    <mergeCell ref="L631:M631"/>
    <mergeCell ref="L633:M633"/>
    <mergeCell ref="N633:O633"/>
    <mergeCell ref="N631:O631"/>
    <mergeCell ref="P631:Q631"/>
    <mergeCell ref="J632:K632"/>
    <mergeCell ref="L632:M632"/>
    <mergeCell ref="N632:O632"/>
    <mergeCell ref="P632:Q632"/>
    <mergeCell ref="P633:Q633"/>
    <mergeCell ref="N635:O635"/>
    <mergeCell ref="P635:Q635"/>
    <mergeCell ref="J633:K633"/>
    <mergeCell ref="J634:K634"/>
    <mergeCell ref="L634:M634"/>
    <mergeCell ref="N634:O634"/>
    <mergeCell ref="P634:Q634"/>
    <mergeCell ref="J635:K635"/>
    <mergeCell ref="L635:M635"/>
    <mergeCell ref="J412:K412"/>
    <mergeCell ref="L412:M412"/>
    <mergeCell ref="N412:O412"/>
    <mergeCell ref="P412:Q412"/>
    <mergeCell ref="L413:M413"/>
    <mergeCell ref="N413:O413"/>
    <mergeCell ref="P413:Q413"/>
    <mergeCell ref="J413:K413"/>
    <mergeCell ref="J414:K414"/>
    <mergeCell ref="L414:M414"/>
    <mergeCell ref="N414:O414"/>
    <mergeCell ref="P414:Q414"/>
    <mergeCell ref="J415:K415"/>
    <mergeCell ref="L415:M415"/>
    <mergeCell ref="N419:O419"/>
    <mergeCell ref="P419:Q419"/>
    <mergeCell ref="J417:K417"/>
    <mergeCell ref="J418:K418"/>
    <mergeCell ref="L418:M418"/>
    <mergeCell ref="N418:O418"/>
    <mergeCell ref="P418:Q418"/>
    <mergeCell ref="J419:K419"/>
    <mergeCell ref="L419:M419"/>
    <mergeCell ref="L417:M417"/>
    <mergeCell ref="N417:O417"/>
    <mergeCell ref="N415:O415"/>
    <mergeCell ref="P415:Q415"/>
    <mergeCell ref="J416:K416"/>
    <mergeCell ref="L416:M416"/>
    <mergeCell ref="N416:O416"/>
    <mergeCell ref="P416:Q416"/>
    <mergeCell ref="P417:Q417"/>
    <mergeCell ref="N424:O424"/>
    <mergeCell ref="P424:Q424"/>
    <mergeCell ref="P425:Q425"/>
    <mergeCell ref="N427:O427"/>
    <mergeCell ref="P427:Q427"/>
    <mergeCell ref="J425:K425"/>
    <mergeCell ref="J426:K426"/>
    <mergeCell ref="L426:M426"/>
    <mergeCell ref="N426:O426"/>
    <mergeCell ref="P426:Q426"/>
    <mergeCell ref="J427:K427"/>
    <mergeCell ref="L427:M427"/>
    <mergeCell ref="J428:K428"/>
    <mergeCell ref="L428:M428"/>
    <mergeCell ref="N428:O428"/>
    <mergeCell ref="P428:Q428"/>
    <mergeCell ref="L429:M429"/>
    <mergeCell ref="N429:O429"/>
    <mergeCell ref="P429:Q429"/>
    <mergeCell ref="J429:K429"/>
    <mergeCell ref="J430:K430"/>
    <mergeCell ref="L430:M430"/>
    <mergeCell ref="N430:O430"/>
    <mergeCell ref="P430:Q430"/>
    <mergeCell ref="J431:K431"/>
    <mergeCell ref="L431:M431"/>
    <mergeCell ref="J436:K436"/>
    <mergeCell ref="L436:M436"/>
    <mergeCell ref="N436:O436"/>
    <mergeCell ref="P436:Q436"/>
    <mergeCell ref="L433:M433"/>
    <mergeCell ref="N433:O433"/>
    <mergeCell ref="N431:O431"/>
    <mergeCell ref="P431:Q431"/>
    <mergeCell ref="J432:K432"/>
    <mergeCell ref="L432:M432"/>
    <mergeCell ref="N432:O432"/>
    <mergeCell ref="P432:Q432"/>
    <mergeCell ref="P433:Q433"/>
    <mergeCell ref="N435:O435"/>
    <mergeCell ref="P435:Q435"/>
    <mergeCell ref="J433:K433"/>
    <mergeCell ref="J434:K434"/>
    <mergeCell ref="L434:M434"/>
    <mergeCell ref="L437:M437"/>
    <mergeCell ref="N437:O437"/>
    <mergeCell ref="P437:Q437"/>
    <mergeCell ref="J437:K437"/>
    <mergeCell ref="J438:K438"/>
    <mergeCell ref="L438:M438"/>
    <mergeCell ref="N438:O438"/>
    <mergeCell ref="P438:Q438"/>
    <mergeCell ref="J439:K439"/>
    <mergeCell ref="L439:M439"/>
    <mergeCell ref="L441:M441"/>
    <mergeCell ref="N441:O441"/>
    <mergeCell ref="N439:O439"/>
    <mergeCell ref="P439:Q439"/>
    <mergeCell ref="J440:K440"/>
    <mergeCell ref="L440:M440"/>
    <mergeCell ref="N440:O440"/>
    <mergeCell ref="P440:Q440"/>
    <mergeCell ref="P441:Q441"/>
    <mergeCell ref="N443:O443"/>
    <mergeCell ref="P443:Q443"/>
    <mergeCell ref="J441:K441"/>
    <mergeCell ref="J442:K442"/>
    <mergeCell ref="L442:M442"/>
    <mergeCell ref="N442:O442"/>
    <mergeCell ref="P442:Q442"/>
    <mergeCell ref="J443:K443"/>
    <mergeCell ref="L443:M443"/>
    <mergeCell ref="J444:K444"/>
    <mergeCell ref="L444:M444"/>
    <mergeCell ref="N444:O444"/>
    <mergeCell ref="P444:Q444"/>
    <mergeCell ref="L445:M445"/>
    <mergeCell ref="N445:O445"/>
    <mergeCell ref="P445:Q445"/>
    <mergeCell ref="J445:K445"/>
    <mergeCell ref="J446:K446"/>
    <mergeCell ref="L446:M446"/>
    <mergeCell ref="N446:O446"/>
    <mergeCell ref="P446:Q446"/>
    <mergeCell ref="J447:K447"/>
    <mergeCell ref="L447:M447"/>
    <mergeCell ref="L449:M449"/>
    <mergeCell ref="N449:O449"/>
    <mergeCell ref="N447:O447"/>
    <mergeCell ref="P447:Q447"/>
    <mergeCell ref="J448:K448"/>
    <mergeCell ref="L448:M448"/>
    <mergeCell ref="N448:O448"/>
    <mergeCell ref="P448:Q448"/>
    <mergeCell ref="P449:Q449"/>
    <mergeCell ref="N451:O451"/>
    <mergeCell ref="P451:Q451"/>
    <mergeCell ref="J449:K449"/>
    <mergeCell ref="J450:K450"/>
    <mergeCell ref="L450:M450"/>
    <mergeCell ref="N450:O450"/>
    <mergeCell ref="P450:Q450"/>
    <mergeCell ref="J451:K451"/>
    <mergeCell ref="L451:M451"/>
    <mergeCell ref="J452:K452"/>
    <mergeCell ref="L452:M452"/>
    <mergeCell ref="N452:O452"/>
    <mergeCell ref="P452:Q452"/>
    <mergeCell ref="L453:M453"/>
    <mergeCell ref="N453:O453"/>
    <mergeCell ref="P453:Q453"/>
    <mergeCell ref="J453:K453"/>
    <mergeCell ref="J454:K454"/>
    <mergeCell ref="L454:M454"/>
    <mergeCell ref="N454:O454"/>
    <mergeCell ref="P454:Q454"/>
    <mergeCell ref="J455:K455"/>
    <mergeCell ref="L455:M455"/>
    <mergeCell ref="L457:M457"/>
    <mergeCell ref="N457:O457"/>
    <mergeCell ref="N455:O455"/>
    <mergeCell ref="P455:Q455"/>
    <mergeCell ref="J456:K456"/>
    <mergeCell ref="L456:M456"/>
    <mergeCell ref="N456:O456"/>
    <mergeCell ref="P456:Q456"/>
    <mergeCell ref="P457:Q457"/>
    <mergeCell ref="N459:O459"/>
    <mergeCell ref="P459:Q459"/>
    <mergeCell ref="J457:K457"/>
    <mergeCell ref="J458:K458"/>
    <mergeCell ref="L458:M458"/>
    <mergeCell ref="N458:O458"/>
    <mergeCell ref="P458:Q458"/>
    <mergeCell ref="J459:K459"/>
    <mergeCell ref="L459:M459"/>
    <mergeCell ref="J460:K460"/>
    <mergeCell ref="L460:M460"/>
    <mergeCell ref="N460:O460"/>
    <mergeCell ref="P460:Q460"/>
    <mergeCell ref="L461:M461"/>
    <mergeCell ref="N461:O461"/>
    <mergeCell ref="P461:Q461"/>
    <mergeCell ref="J461:K461"/>
    <mergeCell ref="J462:K462"/>
    <mergeCell ref="L462:M462"/>
    <mergeCell ref="N462:O462"/>
    <mergeCell ref="P462:Q462"/>
    <mergeCell ref="J463:K463"/>
    <mergeCell ref="L463:M463"/>
    <mergeCell ref="L465:M465"/>
    <mergeCell ref="N465:O465"/>
    <mergeCell ref="N463:O463"/>
    <mergeCell ref="P463:Q463"/>
    <mergeCell ref="J464:K464"/>
    <mergeCell ref="L464:M464"/>
    <mergeCell ref="N464:O464"/>
    <mergeCell ref="P464:Q464"/>
    <mergeCell ref="P465:Q465"/>
    <mergeCell ref="N467:O467"/>
    <mergeCell ref="P467:Q467"/>
    <mergeCell ref="J465:K465"/>
    <mergeCell ref="J466:K466"/>
    <mergeCell ref="L466:M466"/>
    <mergeCell ref="N466:O466"/>
    <mergeCell ref="P466:Q466"/>
    <mergeCell ref="J467:K467"/>
    <mergeCell ref="L467:M467"/>
    <mergeCell ref="J478:K478"/>
    <mergeCell ref="L478:M478"/>
    <mergeCell ref="N478:O478"/>
    <mergeCell ref="P478:Q478"/>
    <mergeCell ref="J479:K479"/>
    <mergeCell ref="L479:M479"/>
    <mergeCell ref="L481:M481"/>
    <mergeCell ref="N481:O481"/>
    <mergeCell ref="N479:O479"/>
    <mergeCell ref="N471:O471"/>
    <mergeCell ref="P471:Q471"/>
    <mergeCell ref="J472:K472"/>
    <mergeCell ref="L472:M472"/>
    <mergeCell ref="N472:O472"/>
    <mergeCell ref="P472:Q472"/>
    <mergeCell ref="P473:Q473"/>
    <mergeCell ref="J468:K468"/>
    <mergeCell ref="L468:M468"/>
    <mergeCell ref="N468:O468"/>
    <mergeCell ref="P468:Q468"/>
    <mergeCell ref="L469:M469"/>
    <mergeCell ref="N469:O469"/>
    <mergeCell ref="P469:Q469"/>
    <mergeCell ref="J469:K469"/>
    <mergeCell ref="J470:K470"/>
    <mergeCell ref="L470:M470"/>
    <mergeCell ref="N470:O470"/>
    <mergeCell ref="P470:Q470"/>
    <mergeCell ref="J471:K471"/>
    <mergeCell ref="L471:M471"/>
    <mergeCell ref="N475:O475"/>
    <mergeCell ref="P475:Q475"/>
    <mergeCell ref="J473:K473"/>
    <mergeCell ref="J474:K474"/>
    <mergeCell ref="L474:M474"/>
    <mergeCell ref="N474:O474"/>
    <mergeCell ref="P474:Q474"/>
    <mergeCell ref="J475:K475"/>
    <mergeCell ref="L475:M475"/>
    <mergeCell ref="J476:K476"/>
    <mergeCell ref="L476:M476"/>
    <mergeCell ref="N476:O476"/>
    <mergeCell ref="P476:Q476"/>
    <mergeCell ref="L477:M477"/>
    <mergeCell ref="N477:O477"/>
    <mergeCell ref="P477:Q477"/>
    <mergeCell ref="J477:K477"/>
    <mergeCell ref="L473:M473"/>
    <mergeCell ref="N473:O473"/>
    <mergeCell ref="P479:Q479"/>
    <mergeCell ref="J480:K480"/>
    <mergeCell ref="L480:M480"/>
    <mergeCell ref="N480:O480"/>
    <mergeCell ref="P480:Q480"/>
    <mergeCell ref="P481:Q481"/>
    <mergeCell ref="N483:O483"/>
    <mergeCell ref="P483:Q483"/>
    <mergeCell ref="J481:K481"/>
    <mergeCell ref="J482:K482"/>
    <mergeCell ref="L482:M482"/>
    <mergeCell ref="N482:O482"/>
    <mergeCell ref="P482:Q482"/>
    <mergeCell ref="J483:K483"/>
    <mergeCell ref="L483:M483"/>
    <mergeCell ref="L485:M485"/>
    <mergeCell ref="N485:O485"/>
    <mergeCell ref="P485:Q485"/>
    <mergeCell ref="J485:K485"/>
    <mergeCell ref="J484:K484"/>
    <mergeCell ref="L484:M484"/>
    <mergeCell ref="N484:O484"/>
    <mergeCell ref="P484:Q484"/>
    <mergeCell ref="J486:K486"/>
    <mergeCell ref="L486:M486"/>
    <mergeCell ref="N486:O486"/>
    <mergeCell ref="P486:Q486"/>
    <mergeCell ref="J487:K487"/>
    <mergeCell ref="L487:M487"/>
    <mergeCell ref="J492:K492"/>
    <mergeCell ref="L492:M492"/>
    <mergeCell ref="N492:O492"/>
    <mergeCell ref="P492:Q492"/>
    <mergeCell ref="L489:M489"/>
    <mergeCell ref="N489:O489"/>
    <mergeCell ref="N487:O487"/>
    <mergeCell ref="P487:Q487"/>
    <mergeCell ref="J488:K488"/>
    <mergeCell ref="L488:M488"/>
    <mergeCell ref="N488:O488"/>
    <mergeCell ref="P488:Q488"/>
    <mergeCell ref="P489:Q489"/>
    <mergeCell ref="N491:O491"/>
    <mergeCell ref="P491:Q491"/>
    <mergeCell ref="J489:K489"/>
    <mergeCell ref="J490:K490"/>
    <mergeCell ref="L490:M490"/>
    <mergeCell ref="N490:O490"/>
    <mergeCell ref="P490:Q490"/>
    <mergeCell ref="J491:K491"/>
    <mergeCell ref="L491:M491"/>
    <mergeCell ref="L493:M493"/>
    <mergeCell ref="N493:O493"/>
    <mergeCell ref="P493:Q493"/>
    <mergeCell ref="J493:K493"/>
    <mergeCell ref="J494:K494"/>
    <mergeCell ref="L494:M494"/>
    <mergeCell ref="N494:O494"/>
    <mergeCell ref="P494:Q494"/>
    <mergeCell ref="J495:K495"/>
    <mergeCell ref="L495:M495"/>
    <mergeCell ref="L497:M497"/>
    <mergeCell ref="N497:O497"/>
    <mergeCell ref="N495:O495"/>
    <mergeCell ref="P495:Q495"/>
    <mergeCell ref="J496:K496"/>
    <mergeCell ref="L496:M496"/>
    <mergeCell ref="N496:O496"/>
    <mergeCell ref="P496:Q496"/>
    <mergeCell ref="P497:Q497"/>
    <mergeCell ref="N499:O499"/>
    <mergeCell ref="P499:Q499"/>
    <mergeCell ref="J497:K497"/>
    <mergeCell ref="J498:K498"/>
    <mergeCell ref="L498:M498"/>
    <mergeCell ref="N498:O498"/>
    <mergeCell ref="P498:Q498"/>
    <mergeCell ref="J499:K499"/>
    <mergeCell ref="L499:M499"/>
    <mergeCell ref="J500:K500"/>
    <mergeCell ref="L500:M500"/>
    <mergeCell ref="N500:O500"/>
    <mergeCell ref="P500:Q500"/>
    <mergeCell ref="L501:M501"/>
    <mergeCell ref="N501:O501"/>
    <mergeCell ref="P501:Q501"/>
    <mergeCell ref="J501:K501"/>
    <mergeCell ref="J502:K502"/>
    <mergeCell ref="L502:M502"/>
    <mergeCell ref="N502:O502"/>
    <mergeCell ref="P502:Q502"/>
    <mergeCell ref="J503:K503"/>
    <mergeCell ref="L503:M503"/>
    <mergeCell ref="L505:M505"/>
    <mergeCell ref="N505:O505"/>
    <mergeCell ref="N503:O503"/>
    <mergeCell ref="P503:Q503"/>
    <mergeCell ref="J504:K504"/>
    <mergeCell ref="L504:M504"/>
    <mergeCell ref="N504:O504"/>
    <mergeCell ref="P504:Q504"/>
    <mergeCell ref="P505:Q505"/>
    <mergeCell ref="N507:O507"/>
    <mergeCell ref="P507:Q507"/>
    <mergeCell ref="J505:K505"/>
    <mergeCell ref="J506:K506"/>
    <mergeCell ref="L506:M506"/>
    <mergeCell ref="N506:O506"/>
    <mergeCell ref="P506:Q506"/>
    <mergeCell ref="J507:K507"/>
    <mergeCell ref="L507:M507"/>
    <mergeCell ref="J508:K508"/>
    <mergeCell ref="L508:M508"/>
    <mergeCell ref="N508:O508"/>
    <mergeCell ref="P508:Q508"/>
    <mergeCell ref="L509:M509"/>
    <mergeCell ref="N509:O509"/>
    <mergeCell ref="P509:Q509"/>
    <mergeCell ref="J509:K509"/>
    <mergeCell ref="J510:K510"/>
    <mergeCell ref="L510:M510"/>
    <mergeCell ref="N510:O510"/>
    <mergeCell ref="P510:Q510"/>
    <mergeCell ref="J511:K511"/>
    <mergeCell ref="L511:M511"/>
    <mergeCell ref="L513:M513"/>
    <mergeCell ref="N513:O513"/>
    <mergeCell ref="N511:O511"/>
    <mergeCell ref="P511:Q511"/>
    <mergeCell ref="J512:K512"/>
    <mergeCell ref="L512:M512"/>
    <mergeCell ref="N512:O512"/>
    <mergeCell ref="P512:Q512"/>
    <mergeCell ref="P513:Q513"/>
    <mergeCell ref="N515:O515"/>
    <mergeCell ref="P515:Q515"/>
    <mergeCell ref="J513:K513"/>
    <mergeCell ref="J514:K514"/>
    <mergeCell ref="L514:M514"/>
    <mergeCell ref="N514:O514"/>
    <mergeCell ref="P514:Q514"/>
    <mergeCell ref="J515:K515"/>
    <mergeCell ref="L515:M515"/>
    <mergeCell ref="J516:K516"/>
    <mergeCell ref="L516:M516"/>
    <mergeCell ref="N516:O516"/>
    <mergeCell ref="P516:Q516"/>
    <mergeCell ref="L517:M517"/>
    <mergeCell ref="N517:O517"/>
    <mergeCell ref="P517:Q517"/>
    <mergeCell ref="J517:K517"/>
    <mergeCell ref="J518:K518"/>
    <mergeCell ref="L518:M518"/>
    <mergeCell ref="N518:O518"/>
    <mergeCell ref="P518:Q518"/>
    <mergeCell ref="J519:K519"/>
    <mergeCell ref="L519:M519"/>
    <mergeCell ref="L521:M521"/>
    <mergeCell ref="N521:O521"/>
    <mergeCell ref="N519:O519"/>
    <mergeCell ref="P519:Q519"/>
    <mergeCell ref="J520:K520"/>
    <mergeCell ref="L520:M520"/>
    <mergeCell ref="N520:O520"/>
    <mergeCell ref="P520:Q520"/>
    <mergeCell ref="P521:Q521"/>
    <mergeCell ref="N523:O523"/>
    <mergeCell ref="P523:Q523"/>
    <mergeCell ref="J521:K521"/>
    <mergeCell ref="J522:K522"/>
    <mergeCell ref="L522:M522"/>
    <mergeCell ref="N522:O522"/>
    <mergeCell ref="P522:Q522"/>
    <mergeCell ref="J523:K523"/>
    <mergeCell ref="L523:M523"/>
    <mergeCell ref="N527:O527"/>
    <mergeCell ref="P527:Q527"/>
    <mergeCell ref="J528:K528"/>
    <mergeCell ref="L528:M528"/>
    <mergeCell ref="N528:O528"/>
    <mergeCell ref="P528:Q528"/>
    <mergeCell ref="P529:Q529"/>
    <mergeCell ref="J524:K524"/>
    <mergeCell ref="L524:M524"/>
    <mergeCell ref="N524:O524"/>
    <mergeCell ref="P524:Q524"/>
    <mergeCell ref="L525:M525"/>
    <mergeCell ref="N525:O525"/>
    <mergeCell ref="P525:Q525"/>
    <mergeCell ref="J525:K525"/>
    <mergeCell ref="J526:K526"/>
    <mergeCell ref="L526:M526"/>
    <mergeCell ref="N526:O526"/>
    <mergeCell ref="P526:Q526"/>
    <mergeCell ref="J527:K527"/>
    <mergeCell ref="L527:M527"/>
    <mergeCell ref="N531:O531"/>
    <mergeCell ref="P531:Q531"/>
    <mergeCell ref="J529:K529"/>
    <mergeCell ref="J530:K530"/>
    <mergeCell ref="L530:M530"/>
    <mergeCell ref="N530:O530"/>
    <mergeCell ref="P530:Q530"/>
    <mergeCell ref="J531:K531"/>
    <mergeCell ref="L531:M531"/>
    <mergeCell ref="J532:K532"/>
    <mergeCell ref="L532:M532"/>
    <mergeCell ref="N532:O532"/>
    <mergeCell ref="P532:Q532"/>
    <mergeCell ref="L533:M533"/>
    <mergeCell ref="N533:O533"/>
    <mergeCell ref="P533:Q533"/>
    <mergeCell ref="J533:K533"/>
    <mergeCell ref="L529:M529"/>
    <mergeCell ref="N529:O529"/>
    <mergeCell ref="J534:K534"/>
    <mergeCell ref="L534:M534"/>
    <mergeCell ref="N534:O534"/>
    <mergeCell ref="P534:Q534"/>
    <mergeCell ref="J535:K535"/>
    <mergeCell ref="L535:M535"/>
    <mergeCell ref="L537:M537"/>
    <mergeCell ref="N537:O537"/>
    <mergeCell ref="N535:O535"/>
    <mergeCell ref="P535:Q535"/>
    <mergeCell ref="J536:K536"/>
    <mergeCell ref="L536:M536"/>
    <mergeCell ref="N536:O536"/>
    <mergeCell ref="P536:Q536"/>
    <mergeCell ref="P537:Q537"/>
    <mergeCell ref="N539:O539"/>
    <mergeCell ref="P539:Q539"/>
    <mergeCell ref="J537:K537"/>
    <mergeCell ref="J538:K538"/>
    <mergeCell ref="L538:M538"/>
    <mergeCell ref="N538:O538"/>
    <mergeCell ref="P538:Q538"/>
    <mergeCell ref="J539:K539"/>
    <mergeCell ref="L539:M539"/>
    <mergeCell ref="N546:O546"/>
    <mergeCell ref="P546:Q546"/>
    <mergeCell ref="J547:K547"/>
    <mergeCell ref="L547:M547"/>
    <mergeCell ref="J165:K165"/>
    <mergeCell ref="L165:M165"/>
    <mergeCell ref="N165:O165"/>
    <mergeCell ref="P165:Q165"/>
    <mergeCell ref="L166:M166"/>
    <mergeCell ref="N166:O166"/>
    <mergeCell ref="P166:Q166"/>
    <mergeCell ref="J166:K166"/>
    <mergeCell ref="J167:K167"/>
    <mergeCell ref="L167:M167"/>
    <mergeCell ref="N167:O167"/>
    <mergeCell ref="P167:Q167"/>
    <mergeCell ref="J168:K168"/>
    <mergeCell ref="L168:M168"/>
    <mergeCell ref="L170:M170"/>
    <mergeCell ref="N170:O170"/>
    <mergeCell ref="N168:O168"/>
    <mergeCell ref="P168:Q168"/>
    <mergeCell ref="J169:K169"/>
    <mergeCell ref="L169:M169"/>
    <mergeCell ref="N169:O169"/>
    <mergeCell ref="P169:Q169"/>
    <mergeCell ref="P170:Q170"/>
    <mergeCell ref="J196:K196"/>
    <mergeCell ref="L196:M196"/>
    <mergeCell ref="N196:O196"/>
    <mergeCell ref="P196:Q196"/>
    <mergeCell ref="L197:M197"/>
    <mergeCell ref="L142:M142"/>
    <mergeCell ref="N142:O142"/>
    <mergeCell ref="L121:M121"/>
    <mergeCell ref="N121:O121"/>
    <mergeCell ref="J141:K141"/>
    <mergeCell ref="L141:M141"/>
    <mergeCell ref="N141:O141"/>
    <mergeCell ref="P141:Q141"/>
    <mergeCell ref="P142:Q142"/>
    <mergeCell ref="N144:O144"/>
    <mergeCell ref="P144:Q144"/>
    <mergeCell ref="J142:K142"/>
    <mergeCell ref="J143:K143"/>
    <mergeCell ref="L143:M143"/>
    <mergeCell ref="N143:O143"/>
    <mergeCell ref="P143:Q143"/>
    <mergeCell ref="J144:K144"/>
    <mergeCell ref="L144:M144"/>
    <mergeCell ref="L137:M137"/>
    <mergeCell ref="N137:O137"/>
    <mergeCell ref="N135:O135"/>
    <mergeCell ref="P135:Q135"/>
    <mergeCell ref="J136:K136"/>
    <mergeCell ref="L136:M136"/>
    <mergeCell ref="N136:O136"/>
    <mergeCell ref="P136:Q136"/>
    <mergeCell ref="P137:Q137"/>
    <mergeCell ref="N139:O139"/>
    <mergeCell ref="P139:Q139"/>
    <mergeCell ref="J137:K137"/>
    <mergeCell ref="J138:K138"/>
    <mergeCell ref="L138:M138"/>
    <mergeCell ref="N148:O148"/>
    <mergeCell ref="P148:Q148"/>
    <mergeCell ref="J170:K170"/>
    <mergeCell ref="J171:K171"/>
    <mergeCell ref="L171:M171"/>
    <mergeCell ref="N171:O171"/>
    <mergeCell ref="P171:Q171"/>
    <mergeCell ref="J149:K149"/>
    <mergeCell ref="L149:M149"/>
    <mergeCell ref="N149:O149"/>
    <mergeCell ref="P149:Q149"/>
    <mergeCell ref="L150:M150"/>
    <mergeCell ref="N150:O150"/>
    <mergeCell ref="P150:Q150"/>
    <mergeCell ref="J150:K150"/>
    <mergeCell ref="J151:K151"/>
    <mergeCell ref="L151:M151"/>
    <mergeCell ref="N151:O151"/>
    <mergeCell ref="P151:Q151"/>
    <mergeCell ref="J152:K152"/>
    <mergeCell ref="L152:M152"/>
    <mergeCell ref="L154:M154"/>
    <mergeCell ref="N154:O154"/>
    <mergeCell ref="N152:O152"/>
    <mergeCell ref="P152:Q152"/>
    <mergeCell ref="J153:K153"/>
    <mergeCell ref="L153:M153"/>
    <mergeCell ref="N153:O153"/>
    <mergeCell ref="P153:Q153"/>
    <mergeCell ref="P154:Q154"/>
    <mergeCell ref="N156:O156"/>
    <mergeCell ref="P156:Q156"/>
    <mergeCell ref="J154:K154"/>
    <mergeCell ref="J155:K155"/>
    <mergeCell ref="L155:M155"/>
    <mergeCell ref="N155:O155"/>
    <mergeCell ref="P155:Q155"/>
    <mergeCell ref="J156:K156"/>
    <mergeCell ref="L156:M156"/>
    <mergeCell ref="J157:K157"/>
    <mergeCell ref="L157:M157"/>
    <mergeCell ref="N157:O157"/>
    <mergeCell ref="P157:Q157"/>
    <mergeCell ref="L158:M158"/>
    <mergeCell ref="N158:O158"/>
    <mergeCell ref="P158:Q158"/>
    <mergeCell ref="J158:K158"/>
    <mergeCell ref="J159:K159"/>
    <mergeCell ref="L159:M159"/>
    <mergeCell ref="N159:O159"/>
    <mergeCell ref="P159:Q159"/>
    <mergeCell ref="J160:K160"/>
    <mergeCell ref="L160:M160"/>
    <mergeCell ref="L162:M162"/>
    <mergeCell ref="N162:O162"/>
    <mergeCell ref="N160:O160"/>
    <mergeCell ref="P160:Q160"/>
    <mergeCell ref="J161:K161"/>
    <mergeCell ref="L161:M161"/>
    <mergeCell ref="N161:O161"/>
    <mergeCell ref="P161:Q161"/>
    <mergeCell ref="P162:Q162"/>
    <mergeCell ref="N164:O164"/>
    <mergeCell ref="P164:Q164"/>
    <mergeCell ref="J162:K162"/>
    <mergeCell ref="J163:K163"/>
    <mergeCell ref="L163:M163"/>
    <mergeCell ref="N163:O163"/>
    <mergeCell ref="P163:Q163"/>
    <mergeCell ref="J164:K164"/>
    <mergeCell ref="L164:M164"/>
    <mergeCell ref="N197:O197"/>
    <mergeCell ref="P197:Q197"/>
    <mergeCell ref="J197:K197"/>
    <mergeCell ref="J198:K198"/>
    <mergeCell ref="L198:M198"/>
    <mergeCell ref="N198:O198"/>
    <mergeCell ref="P198:Q198"/>
    <mergeCell ref="J199:K199"/>
    <mergeCell ref="L199:M199"/>
    <mergeCell ref="J145:K145"/>
    <mergeCell ref="L145:M145"/>
    <mergeCell ref="N145:O145"/>
    <mergeCell ref="P145:Q145"/>
    <mergeCell ref="L146:M146"/>
    <mergeCell ref="N146:O146"/>
    <mergeCell ref="P146:Q146"/>
    <mergeCell ref="J146:K146"/>
    <mergeCell ref="J147:K147"/>
    <mergeCell ref="L147:M147"/>
    <mergeCell ref="N147:O147"/>
    <mergeCell ref="P147:Q147"/>
    <mergeCell ref="J148:K148"/>
    <mergeCell ref="L148:M148"/>
    <mergeCell ref="J172:K172"/>
    <mergeCell ref="L172:M172"/>
    <mergeCell ref="N172:O172"/>
    <mergeCell ref="P172:Q172"/>
    <mergeCell ref="L173:M173"/>
    <mergeCell ref="N173:O173"/>
    <mergeCell ref="P173:Q173"/>
    <mergeCell ref="N175:O175"/>
    <mergeCell ref="P175:Q175"/>
    <mergeCell ref="J173:K173"/>
    <mergeCell ref="J174:K174"/>
    <mergeCell ref="L174:M174"/>
    <mergeCell ref="N174:O174"/>
    <mergeCell ref="P174:Q174"/>
    <mergeCell ref="J175:K175"/>
    <mergeCell ref="L175:M175"/>
    <mergeCell ref="N179:O179"/>
    <mergeCell ref="P179:Q179"/>
    <mergeCell ref="J201:K201"/>
    <mergeCell ref="J202:K202"/>
    <mergeCell ref="L202:M202"/>
    <mergeCell ref="N202:O202"/>
    <mergeCell ref="P202:Q202"/>
    <mergeCell ref="J180:K180"/>
    <mergeCell ref="L180:M180"/>
    <mergeCell ref="N180:O180"/>
    <mergeCell ref="P180:Q180"/>
    <mergeCell ref="L181:M181"/>
    <mergeCell ref="N181:O181"/>
    <mergeCell ref="P181:Q181"/>
    <mergeCell ref="J181:K181"/>
    <mergeCell ref="J182:K182"/>
    <mergeCell ref="L182:M182"/>
    <mergeCell ref="N182:O182"/>
    <mergeCell ref="P182:Q182"/>
    <mergeCell ref="J183:K183"/>
    <mergeCell ref="L183:M183"/>
    <mergeCell ref="L185:M185"/>
    <mergeCell ref="N185:O185"/>
    <mergeCell ref="N183:O183"/>
    <mergeCell ref="P183:Q183"/>
    <mergeCell ref="J184:K184"/>
    <mergeCell ref="L184:M184"/>
    <mergeCell ref="N184:O184"/>
    <mergeCell ref="P184:Q184"/>
    <mergeCell ref="P185:Q185"/>
    <mergeCell ref="N187:O187"/>
    <mergeCell ref="P187:Q187"/>
    <mergeCell ref="J185:K185"/>
    <mergeCell ref="J186:K186"/>
    <mergeCell ref="L186:M186"/>
    <mergeCell ref="N186:O186"/>
    <mergeCell ref="P186:Q186"/>
    <mergeCell ref="J187:K187"/>
    <mergeCell ref="L187:M187"/>
    <mergeCell ref="J188:K188"/>
    <mergeCell ref="L188:M188"/>
    <mergeCell ref="N188:O188"/>
    <mergeCell ref="P188:Q188"/>
    <mergeCell ref="N194:O194"/>
    <mergeCell ref="P194:Q194"/>
    <mergeCell ref="J195:K195"/>
    <mergeCell ref="L195:M195"/>
    <mergeCell ref="L201:M201"/>
    <mergeCell ref="N201:O201"/>
    <mergeCell ref="N199:O199"/>
    <mergeCell ref="P199:Q199"/>
    <mergeCell ref="J200:K200"/>
    <mergeCell ref="L200:M200"/>
    <mergeCell ref="N200:O200"/>
    <mergeCell ref="P200:Q200"/>
    <mergeCell ref="P201:Q201"/>
    <mergeCell ref="L189:M189"/>
    <mergeCell ref="N189:O189"/>
    <mergeCell ref="P189:Q189"/>
    <mergeCell ref="J189:K189"/>
    <mergeCell ref="J190:K190"/>
    <mergeCell ref="L190:M190"/>
    <mergeCell ref="N190:O190"/>
    <mergeCell ref="P190:Q190"/>
    <mergeCell ref="J191:K191"/>
    <mergeCell ref="L191:M191"/>
    <mergeCell ref="L193:M193"/>
    <mergeCell ref="N193:O193"/>
    <mergeCell ref="N191:O191"/>
    <mergeCell ref="P191:Q191"/>
    <mergeCell ref="J192:K192"/>
    <mergeCell ref="L192:M192"/>
    <mergeCell ref="N192:O192"/>
    <mergeCell ref="P192:Q192"/>
    <mergeCell ref="P193:Q193"/>
    <mergeCell ref="N228:O228"/>
    <mergeCell ref="P228:Q228"/>
    <mergeCell ref="J228:K228"/>
    <mergeCell ref="J229:K229"/>
    <mergeCell ref="L229:M229"/>
    <mergeCell ref="N229:O229"/>
    <mergeCell ref="P229:Q229"/>
    <mergeCell ref="J230:K230"/>
    <mergeCell ref="L230:M230"/>
    <mergeCell ref="J176:K176"/>
    <mergeCell ref="L176:M176"/>
    <mergeCell ref="N176:O176"/>
    <mergeCell ref="P176:Q176"/>
    <mergeCell ref="L177:M177"/>
    <mergeCell ref="N177:O177"/>
    <mergeCell ref="P177:Q177"/>
    <mergeCell ref="J177:K177"/>
    <mergeCell ref="J178:K178"/>
    <mergeCell ref="L178:M178"/>
    <mergeCell ref="N178:O178"/>
    <mergeCell ref="P178:Q178"/>
    <mergeCell ref="J179:K179"/>
    <mergeCell ref="L179:M179"/>
    <mergeCell ref="J203:K203"/>
    <mergeCell ref="L203:M203"/>
    <mergeCell ref="N203:O203"/>
    <mergeCell ref="P203:Q203"/>
    <mergeCell ref="N195:O195"/>
    <mergeCell ref="P195:Q195"/>
    <mergeCell ref="J193:K193"/>
    <mergeCell ref="J194:K194"/>
    <mergeCell ref="L194:M194"/>
    <mergeCell ref="L204:M204"/>
    <mergeCell ref="N204:O204"/>
    <mergeCell ref="P204:Q204"/>
    <mergeCell ref="N206:O206"/>
    <mergeCell ref="P206:Q206"/>
    <mergeCell ref="J204:K204"/>
    <mergeCell ref="J205:K205"/>
    <mergeCell ref="L205:M205"/>
    <mergeCell ref="N205:O205"/>
    <mergeCell ref="P205:Q205"/>
    <mergeCell ref="J206:K206"/>
    <mergeCell ref="L206:M206"/>
    <mergeCell ref="N210:O210"/>
    <mergeCell ref="P210:Q210"/>
    <mergeCell ref="J232:K232"/>
    <mergeCell ref="J233:K233"/>
    <mergeCell ref="L233:M233"/>
    <mergeCell ref="N233:O233"/>
    <mergeCell ref="P233:Q233"/>
    <mergeCell ref="J211:K211"/>
    <mergeCell ref="L211:M211"/>
    <mergeCell ref="N211:O211"/>
    <mergeCell ref="P211:Q211"/>
    <mergeCell ref="L212:M212"/>
    <mergeCell ref="N212:O212"/>
    <mergeCell ref="P212:Q212"/>
    <mergeCell ref="J212:K212"/>
    <mergeCell ref="J213:K213"/>
    <mergeCell ref="L213:M213"/>
    <mergeCell ref="N213:O213"/>
    <mergeCell ref="P213:Q213"/>
    <mergeCell ref="J214:K214"/>
    <mergeCell ref="L214:M214"/>
    <mergeCell ref="L216:M216"/>
    <mergeCell ref="N216:O216"/>
    <mergeCell ref="N214:O214"/>
    <mergeCell ref="P214:Q214"/>
    <mergeCell ref="J215:K215"/>
    <mergeCell ref="L215:M215"/>
    <mergeCell ref="N215:O215"/>
    <mergeCell ref="P215:Q215"/>
    <mergeCell ref="P216:Q216"/>
    <mergeCell ref="N218:O218"/>
    <mergeCell ref="P218:Q218"/>
    <mergeCell ref="J216:K216"/>
    <mergeCell ref="J217:K217"/>
    <mergeCell ref="L217:M217"/>
    <mergeCell ref="N217:O217"/>
    <mergeCell ref="P217:Q217"/>
    <mergeCell ref="J218:K218"/>
    <mergeCell ref="L218:M218"/>
    <mergeCell ref="L231:M231"/>
    <mergeCell ref="N231:O231"/>
    <mergeCell ref="P231:Q231"/>
    <mergeCell ref="P232:Q232"/>
    <mergeCell ref="J219:K219"/>
    <mergeCell ref="L219:M219"/>
    <mergeCell ref="N219:O219"/>
    <mergeCell ref="P219:Q219"/>
    <mergeCell ref="L220:M220"/>
    <mergeCell ref="N220:O220"/>
    <mergeCell ref="P220:Q220"/>
    <mergeCell ref="J220:K220"/>
    <mergeCell ref="J221:K221"/>
    <mergeCell ref="L221:M221"/>
    <mergeCell ref="N221:O221"/>
    <mergeCell ref="P221:Q221"/>
    <mergeCell ref="J222:K222"/>
    <mergeCell ref="L222:M222"/>
    <mergeCell ref="L224:M224"/>
    <mergeCell ref="N224:O224"/>
    <mergeCell ref="N222:O222"/>
    <mergeCell ref="P222:Q222"/>
    <mergeCell ref="J223:K223"/>
    <mergeCell ref="L223:M223"/>
    <mergeCell ref="N223:O223"/>
    <mergeCell ref="P223:Q223"/>
    <mergeCell ref="P224:Q224"/>
    <mergeCell ref="J227:K227"/>
    <mergeCell ref="L227:M227"/>
    <mergeCell ref="N227:O227"/>
    <mergeCell ref="P227:Q227"/>
    <mergeCell ref="L228:M228"/>
    <mergeCell ref="J207:K207"/>
    <mergeCell ref="L207:M207"/>
    <mergeCell ref="N207:O207"/>
    <mergeCell ref="P207:Q207"/>
    <mergeCell ref="L208:M208"/>
    <mergeCell ref="N208:O208"/>
    <mergeCell ref="P208:Q208"/>
    <mergeCell ref="J208:K208"/>
    <mergeCell ref="J209:K209"/>
    <mergeCell ref="L209:M209"/>
    <mergeCell ref="N209:O209"/>
    <mergeCell ref="P209:Q209"/>
    <mergeCell ref="J210:K210"/>
    <mergeCell ref="L210:M210"/>
    <mergeCell ref="J234:K234"/>
    <mergeCell ref="L234:M234"/>
    <mergeCell ref="N234:O234"/>
    <mergeCell ref="P234:Q234"/>
    <mergeCell ref="N226:O226"/>
    <mergeCell ref="P226:Q226"/>
    <mergeCell ref="J224:K224"/>
    <mergeCell ref="J225:K225"/>
    <mergeCell ref="L225:M225"/>
    <mergeCell ref="N225:O225"/>
    <mergeCell ref="P225:Q225"/>
    <mergeCell ref="J226:K226"/>
    <mergeCell ref="L226:M226"/>
    <mergeCell ref="L232:M232"/>
    <mergeCell ref="N232:O232"/>
    <mergeCell ref="N230:O230"/>
    <mergeCell ref="P230:Q230"/>
    <mergeCell ref="J231:K231"/>
    <mergeCell ref="L235:M235"/>
    <mergeCell ref="N235:O235"/>
    <mergeCell ref="P235:Q235"/>
    <mergeCell ref="N237:O237"/>
    <mergeCell ref="P237:Q237"/>
    <mergeCell ref="J235:K235"/>
    <mergeCell ref="J236:K236"/>
    <mergeCell ref="L236:M236"/>
    <mergeCell ref="N236:O236"/>
    <mergeCell ref="P236:Q236"/>
    <mergeCell ref="J237:K237"/>
    <mergeCell ref="L237:M237"/>
    <mergeCell ref="N241:O241"/>
    <mergeCell ref="P241:Q241"/>
    <mergeCell ref="J263:K263"/>
    <mergeCell ref="J264:K264"/>
    <mergeCell ref="L264:M264"/>
    <mergeCell ref="N264:O264"/>
    <mergeCell ref="P264:Q264"/>
    <mergeCell ref="J242:K242"/>
    <mergeCell ref="L242:M242"/>
    <mergeCell ref="N242:O242"/>
    <mergeCell ref="P242:Q242"/>
    <mergeCell ref="L243:M243"/>
    <mergeCell ref="N243:O243"/>
    <mergeCell ref="P243:Q243"/>
    <mergeCell ref="J243:K243"/>
    <mergeCell ref="J244:K244"/>
    <mergeCell ref="L244:M244"/>
    <mergeCell ref="N244:O244"/>
    <mergeCell ref="P244:Q244"/>
    <mergeCell ref="J245:K245"/>
    <mergeCell ref="L245:M245"/>
    <mergeCell ref="L247:M247"/>
    <mergeCell ref="N247:O247"/>
    <mergeCell ref="N245:O245"/>
    <mergeCell ref="P245:Q245"/>
    <mergeCell ref="J246:K246"/>
    <mergeCell ref="L246:M246"/>
    <mergeCell ref="N246:O246"/>
    <mergeCell ref="P246:Q246"/>
    <mergeCell ref="P247:Q247"/>
    <mergeCell ref="N249:O249"/>
    <mergeCell ref="P249:Q249"/>
    <mergeCell ref="J247:K247"/>
    <mergeCell ref="J248:K248"/>
    <mergeCell ref="L248:M248"/>
    <mergeCell ref="N248:O248"/>
    <mergeCell ref="P248:Q248"/>
    <mergeCell ref="J249:K249"/>
    <mergeCell ref="L249:M249"/>
    <mergeCell ref="J250:K250"/>
    <mergeCell ref="L250:M250"/>
    <mergeCell ref="N250:O250"/>
    <mergeCell ref="P250:Q250"/>
    <mergeCell ref="L251:M251"/>
    <mergeCell ref="N251:O251"/>
    <mergeCell ref="P251:Q251"/>
    <mergeCell ref="J251:K251"/>
    <mergeCell ref="J252:K252"/>
    <mergeCell ref="L252:M252"/>
    <mergeCell ref="N252:O252"/>
    <mergeCell ref="P252:Q252"/>
    <mergeCell ref="J253:K253"/>
    <mergeCell ref="L253:M253"/>
    <mergeCell ref="L255:M255"/>
    <mergeCell ref="N255:O255"/>
    <mergeCell ref="N253:O253"/>
    <mergeCell ref="P253:Q253"/>
    <mergeCell ref="J254:K254"/>
    <mergeCell ref="L254:M254"/>
    <mergeCell ref="N254:O254"/>
    <mergeCell ref="P254:Q254"/>
    <mergeCell ref="P255:Q255"/>
    <mergeCell ref="N257:O257"/>
    <mergeCell ref="P257:Q257"/>
    <mergeCell ref="J255:K255"/>
    <mergeCell ref="J256:K256"/>
    <mergeCell ref="L256:M256"/>
    <mergeCell ref="N256:O256"/>
    <mergeCell ref="P256:Q256"/>
    <mergeCell ref="J257:K257"/>
    <mergeCell ref="L257:M257"/>
    <mergeCell ref="L263:M263"/>
    <mergeCell ref="N263:O263"/>
    <mergeCell ref="N261:O261"/>
    <mergeCell ref="P261:Q261"/>
    <mergeCell ref="J262:K262"/>
    <mergeCell ref="L262:M262"/>
    <mergeCell ref="N262:O262"/>
    <mergeCell ref="P262:Q262"/>
    <mergeCell ref="P263:Q263"/>
    <mergeCell ref="J258:K258"/>
    <mergeCell ref="L258:M258"/>
    <mergeCell ref="N258:O258"/>
    <mergeCell ref="P258:Q258"/>
    <mergeCell ref="L259:M259"/>
    <mergeCell ref="N259:O259"/>
    <mergeCell ref="P259:Q259"/>
    <mergeCell ref="J259:K259"/>
    <mergeCell ref="J260:K260"/>
    <mergeCell ref="L260:M260"/>
    <mergeCell ref="N260:O260"/>
    <mergeCell ref="P260:Q260"/>
    <mergeCell ref="J261:K261"/>
    <mergeCell ref="L261:M261"/>
    <mergeCell ref="J289:K289"/>
    <mergeCell ref="L289:M289"/>
    <mergeCell ref="N289:O289"/>
    <mergeCell ref="P289:Q289"/>
    <mergeCell ref="L290:M290"/>
    <mergeCell ref="N290:O290"/>
    <mergeCell ref="P290:Q290"/>
    <mergeCell ref="J290:K290"/>
    <mergeCell ref="J291:K291"/>
    <mergeCell ref="L291:M291"/>
    <mergeCell ref="N291:O291"/>
    <mergeCell ref="P291:Q291"/>
    <mergeCell ref="J292:K292"/>
    <mergeCell ref="L292:M292"/>
    <mergeCell ref="J238:K238"/>
    <mergeCell ref="L238:M238"/>
    <mergeCell ref="N238:O238"/>
    <mergeCell ref="P238:Q238"/>
    <mergeCell ref="L239:M239"/>
    <mergeCell ref="N239:O239"/>
    <mergeCell ref="P239:Q239"/>
    <mergeCell ref="J239:K239"/>
    <mergeCell ref="J240:K240"/>
    <mergeCell ref="L240:M240"/>
    <mergeCell ref="N240:O240"/>
    <mergeCell ref="P240:Q240"/>
    <mergeCell ref="J241:K241"/>
    <mergeCell ref="L241:M241"/>
    <mergeCell ref="J265:K265"/>
    <mergeCell ref="L265:M265"/>
    <mergeCell ref="N265:O265"/>
    <mergeCell ref="P265:Q265"/>
    <mergeCell ref="L266:M266"/>
    <mergeCell ref="N266:O266"/>
    <mergeCell ref="P266:Q266"/>
    <mergeCell ref="N268:O268"/>
    <mergeCell ref="P268:Q268"/>
    <mergeCell ref="J266:K266"/>
    <mergeCell ref="J267:K267"/>
    <mergeCell ref="L267:M267"/>
    <mergeCell ref="N267:O267"/>
    <mergeCell ref="P267:Q267"/>
    <mergeCell ref="J268:K268"/>
    <mergeCell ref="L268:M268"/>
    <mergeCell ref="N272:O272"/>
    <mergeCell ref="P272:Q272"/>
    <mergeCell ref="J294:K294"/>
    <mergeCell ref="J295:K295"/>
    <mergeCell ref="L295:M295"/>
    <mergeCell ref="N295:O295"/>
    <mergeCell ref="P295:Q295"/>
    <mergeCell ref="J273:K273"/>
    <mergeCell ref="L273:M273"/>
    <mergeCell ref="N273:O273"/>
    <mergeCell ref="P273:Q273"/>
    <mergeCell ref="L274:M274"/>
    <mergeCell ref="N274:O274"/>
    <mergeCell ref="P274:Q274"/>
    <mergeCell ref="J274:K274"/>
    <mergeCell ref="J275:K275"/>
    <mergeCell ref="L275:M275"/>
    <mergeCell ref="N275:O275"/>
    <mergeCell ref="P275:Q275"/>
    <mergeCell ref="J276:K276"/>
    <mergeCell ref="L285:M285"/>
    <mergeCell ref="N285:O285"/>
    <mergeCell ref="P285:Q285"/>
    <mergeCell ref="P286:Q286"/>
    <mergeCell ref="L276:M276"/>
    <mergeCell ref="L278:M278"/>
    <mergeCell ref="N278:O278"/>
    <mergeCell ref="N276:O276"/>
    <mergeCell ref="P276:Q276"/>
    <mergeCell ref="J277:K277"/>
    <mergeCell ref="L277:M277"/>
    <mergeCell ref="N277:O277"/>
    <mergeCell ref="P277:Q277"/>
    <mergeCell ref="P278:Q278"/>
    <mergeCell ref="N280:O280"/>
    <mergeCell ref="P280:Q280"/>
    <mergeCell ref="J278:K278"/>
    <mergeCell ref="J279:K279"/>
    <mergeCell ref="L279:M279"/>
    <mergeCell ref="N279:O279"/>
    <mergeCell ref="P279:Q279"/>
    <mergeCell ref="J280:K280"/>
    <mergeCell ref="L280:M280"/>
    <mergeCell ref="N287:O287"/>
    <mergeCell ref="P287:Q287"/>
    <mergeCell ref="J288:K288"/>
    <mergeCell ref="L288:M288"/>
    <mergeCell ref="L294:M294"/>
    <mergeCell ref="N294:O294"/>
    <mergeCell ref="N292:O292"/>
    <mergeCell ref="P292:Q292"/>
    <mergeCell ref="J293:K293"/>
    <mergeCell ref="L293:M293"/>
    <mergeCell ref="N293:O293"/>
    <mergeCell ref="P293:Q293"/>
    <mergeCell ref="P294:Q294"/>
    <mergeCell ref="J281:K281"/>
    <mergeCell ref="L281:M281"/>
    <mergeCell ref="N281:O281"/>
    <mergeCell ref="P281:Q281"/>
    <mergeCell ref="L282:M282"/>
    <mergeCell ref="N282:O282"/>
    <mergeCell ref="P282:Q282"/>
    <mergeCell ref="J282:K282"/>
    <mergeCell ref="J283:K283"/>
    <mergeCell ref="L283:M283"/>
    <mergeCell ref="N283:O283"/>
    <mergeCell ref="P283:Q283"/>
    <mergeCell ref="J284:K284"/>
    <mergeCell ref="L284:M284"/>
    <mergeCell ref="L286:M286"/>
    <mergeCell ref="N286:O286"/>
    <mergeCell ref="N284:O284"/>
    <mergeCell ref="P284:Q284"/>
    <mergeCell ref="J285:K285"/>
    <mergeCell ref="N321:O321"/>
    <mergeCell ref="P321:Q321"/>
    <mergeCell ref="J321:K321"/>
    <mergeCell ref="J322:K322"/>
    <mergeCell ref="L322:M322"/>
    <mergeCell ref="N322:O322"/>
    <mergeCell ref="P322:Q322"/>
    <mergeCell ref="J323:K323"/>
    <mergeCell ref="L323:M323"/>
    <mergeCell ref="J269:K269"/>
    <mergeCell ref="L269:M269"/>
    <mergeCell ref="N269:O269"/>
    <mergeCell ref="P269:Q269"/>
    <mergeCell ref="L270:M270"/>
    <mergeCell ref="N270:O270"/>
    <mergeCell ref="P270:Q270"/>
    <mergeCell ref="J270:K270"/>
    <mergeCell ref="J271:K271"/>
    <mergeCell ref="L271:M271"/>
    <mergeCell ref="N271:O271"/>
    <mergeCell ref="P271:Q271"/>
    <mergeCell ref="J272:K272"/>
    <mergeCell ref="L272:M272"/>
    <mergeCell ref="J296:K296"/>
    <mergeCell ref="L296:M296"/>
    <mergeCell ref="N296:O296"/>
    <mergeCell ref="P296:Q296"/>
    <mergeCell ref="N288:O288"/>
    <mergeCell ref="P288:Q288"/>
    <mergeCell ref="J286:K286"/>
    <mergeCell ref="J287:K287"/>
    <mergeCell ref="L287:M287"/>
    <mergeCell ref="L297:M297"/>
    <mergeCell ref="N297:O297"/>
    <mergeCell ref="P297:Q297"/>
    <mergeCell ref="N299:O299"/>
    <mergeCell ref="P299:Q299"/>
    <mergeCell ref="J297:K297"/>
    <mergeCell ref="J298:K298"/>
    <mergeCell ref="L298:M298"/>
    <mergeCell ref="N298:O298"/>
    <mergeCell ref="P298:Q298"/>
    <mergeCell ref="J299:K299"/>
    <mergeCell ref="L299:M299"/>
    <mergeCell ref="N303:O303"/>
    <mergeCell ref="P303:Q303"/>
    <mergeCell ref="J325:K325"/>
    <mergeCell ref="J326:K326"/>
    <mergeCell ref="L326:M326"/>
    <mergeCell ref="N326:O326"/>
    <mergeCell ref="P326:Q326"/>
    <mergeCell ref="J304:K304"/>
    <mergeCell ref="L304:M304"/>
    <mergeCell ref="N304:O304"/>
    <mergeCell ref="P304:Q304"/>
    <mergeCell ref="L305:M305"/>
    <mergeCell ref="N305:O305"/>
    <mergeCell ref="P305:Q305"/>
    <mergeCell ref="J305:K305"/>
    <mergeCell ref="J306:K306"/>
    <mergeCell ref="L306:M306"/>
    <mergeCell ref="N306:O306"/>
    <mergeCell ref="P306:Q306"/>
    <mergeCell ref="J307:K307"/>
    <mergeCell ref="L307:M307"/>
    <mergeCell ref="L309:M309"/>
    <mergeCell ref="N309:O309"/>
    <mergeCell ref="N307:O307"/>
    <mergeCell ref="P307:Q307"/>
    <mergeCell ref="J308:K308"/>
    <mergeCell ref="L308:M308"/>
    <mergeCell ref="N308:O308"/>
    <mergeCell ref="P308:Q308"/>
    <mergeCell ref="P309:Q309"/>
    <mergeCell ref="N311:O311"/>
    <mergeCell ref="P311:Q311"/>
    <mergeCell ref="J309:K309"/>
    <mergeCell ref="J310:K310"/>
    <mergeCell ref="L310:M310"/>
    <mergeCell ref="N310:O310"/>
    <mergeCell ref="P310:Q310"/>
    <mergeCell ref="J311:K311"/>
    <mergeCell ref="L311:M311"/>
    <mergeCell ref="L324:M324"/>
    <mergeCell ref="N324:O324"/>
    <mergeCell ref="P324:Q324"/>
    <mergeCell ref="P325:Q325"/>
    <mergeCell ref="J312:K312"/>
    <mergeCell ref="L312:M312"/>
    <mergeCell ref="N312:O312"/>
    <mergeCell ref="P312:Q312"/>
    <mergeCell ref="L313:M313"/>
    <mergeCell ref="N313:O313"/>
    <mergeCell ref="P313:Q313"/>
    <mergeCell ref="J313:K313"/>
    <mergeCell ref="J314:K314"/>
    <mergeCell ref="L314:M314"/>
    <mergeCell ref="N314:O314"/>
    <mergeCell ref="P314:Q314"/>
    <mergeCell ref="J315:K315"/>
    <mergeCell ref="L315:M315"/>
    <mergeCell ref="L317:M317"/>
    <mergeCell ref="N317:O317"/>
    <mergeCell ref="N315:O315"/>
    <mergeCell ref="P315:Q315"/>
    <mergeCell ref="J316:K316"/>
    <mergeCell ref="L316:M316"/>
    <mergeCell ref="N316:O316"/>
    <mergeCell ref="P316:Q316"/>
    <mergeCell ref="P317:Q317"/>
    <mergeCell ref="J320:K320"/>
    <mergeCell ref="L320:M320"/>
    <mergeCell ref="N320:O320"/>
    <mergeCell ref="P320:Q320"/>
    <mergeCell ref="L321:M321"/>
    <mergeCell ref="J300:K300"/>
    <mergeCell ref="L300:M300"/>
    <mergeCell ref="N300:O300"/>
    <mergeCell ref="P300:Q300"/>
    <mergeCell ref="L301:M301"/>
    <mergeCell ref="N301:O301"/>
    <mergeCell ref="P301:Q301"/>
    <mergeCell ref="J301:K301"/>
    <mergeCell ref="J302:K302"/>
    <mergeCell ref="L302:M302"/>
    <mergeCell ref="N302:O302"/>
    <mergeCell ref="P302:Q302"/>
    <mergeCell ref="J303:K303"/>
    <mergeCell ref="L303:M303"/>
    <mergeCell ref="J327:K327"/>
    <mergeCell ref="L327:M327"/>
    <mergeCell ref="N327:O327"/>
    <mergeCell ref="P327:Q327"/>
    <mergeCell ref="N319:O319"/>
    <mergeCell ref="P319:Q319"/>
    <mergeCell ref="J317:K317"/>
    <mergeCell ref="J318:K318"/>
    <mergeCell ref="L318:M318"/>
    <mergeCell ref="N318:O318"/>
    <mergeCell ref="P318:Q318"/>
    <mergeCell ref="J319:K319"/>
    <mergeCell ref="L319:M319"/>
    <mergeCell ref="L325:M325"/>
    <mergeCell ref="N325:O325"/>
    <mergeCell ref="N323:O323"/>
    <mergeCell ref="P323:Q323"/>
    <mergeCell ref="J324:K324"/>
    <mergeCell ref="L328:M328"/>
    <mergeCell ref="N328:O328"/>
    <mergeCell ref="P328:Q328"/>
    <mergeCell ref="N330:O330"/>
    <mergeCell ref="P330:Q330"/>
    <mergeCell ref="J328:K328"/>
    <mergeCell ref="J329:K329"/>
    <mergeCell ref="L329:M329"/>
    <mergeCell ref="N329:O329"/>
    <mergeCell ref="P329:Q329"/>
    <mergeCell ref="J330:K330"/>
    <mergeCell ref="L330:M330"/>
    <mergeCell ref="N334:O334"/>
    <mergeCell ref="P334:Q334"/>
    <mergeCell ref="J356:K356"/>
    <mergeCell ref="J357:K357"/>
    <mergeCell ref="J335:K335"/>
    <mergeCell ref="L335:M335"/>
    <mergeCell ref="N335:O335"/>
    <mergeCell ref="P335:Q335"/>
    <mergeCell ref="L336:M336"/>
    <mergeCell ref="N336:O336"/>
    <mergeCell ref="P336:Q336"/>
    <mergeCell ref="J336:K336"/>
    <mergeCell ref="J337:K337"/>
    <mergeCell ref="L337:M337"/>
    <mergeCell ref="N337:O337"/>
    <mergeCell ref="P337:Q337"/>
    <mergeCell ref="J338:K338"/>
    <mergeCell ref="L338:M338"/>
    <mergeCell ref="L340:M340"/>
    <mergeCell ref="N340:O340"/>
    <mergeCell ref="L342:M342"/>
    <mergeCell ref="J343:K343"/>
    <mergeCell ref="L343:M343"/>
    <mergeCell ref="N343:O343"/>
    <mergeCell ref="P343:Q343"/>
    <mergeCell ref="L344:M344"/>
    <mergeCell ref="N344:O344"/>
    <mergeCell ref="P344:Q344"/>
    <mergeCell ref="J344:K344"/>
    <mergeCell ref="J345:K345"/>
    <mergeCell ref="L345:M345"/>
    <mergeCell ref="N345:O345"/>
    <mergeCell ref="P345:Q345"/>
    <mergeCell ref="J346:K346"/>
    <mergeCell ref="L346:M346"/>
    <mergeCell ref="L348:M348"/>
    <mergeCell ref="N348:O348"/>
    <mergeCell ref="N346:O346"/>
    <mergeCell ref="P346:Q346"/>
    <mergeCell ref="J347:K347"/>
    <mergeCell ref="L347:M347"/>
    <mergeCell ref="N347:O347"/>
    <mergeCell ref="P347:Q347"/>
    <mergeCell ref="P348:Q348"/>
    <mergeCell ref="N350:O350"/>
    <mergeCell ref="P350:Q350"/>
    <mergeCell ref="J348:K348"/>
    <mergeCell ref="J349:K349"/>
    <mergeCell ref="L349:M349"/>
    <mergeCell ref="N349:O349"/>
    <mergeCell ref="P349:Q349"/>
    <mergeCell ref="J350:K350"/>
    <mergeCell ref="L350:M350"/>
    <mergeCell ref="L356:M356"/>
    <mergeCell ref="N356:O356"/>
    <mergeCell ref="N354:O354"/>
    <mergeCell ref="P354:Q354"/>
    <mergeCell ref="J355:K355"/>
    <mergeCell ref="L355:M355"/>
    <mergeCell ref="N355:O355"/>
    <mergeCell ref="P355:Q355"/>
    <mergeCell ref="P356:Q356"/>
    <mergeCell ref="J351:K351"/>
    <mergeCell ref="L351:M351"/>
    <mergeCell ref="N351:O351"/>
    <mergeCell ref="P351:Q351"/>
    <mergeCell ref="L352:M352"/>
    <mergeCell ref="N352:O352"/>
    <mergeCell ref="P352:Q352"/>
    <mergeCell ref="J352:K352"/>
    <mergeCell ref="J353:K353"/>
    <mergeCell ref="L353:M353"/>
    <mergeCell ref="N353:O353"/>
    <mergeCell ref="P353:Q353"/>
    <mergeCell ref="J354:K354"/>
    <mergeCell ref="L354:M354"/>
  </mergeCells>
  <printOptions horizontalCentered="1"/>
  <pageMargins left="0.78740157480314965" right="0.78740157480314965" top="0.78740157480314965" bottom="0.78740157480314965" header="0" footer="0"/>
  <pageSetup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D6FBF-5AD5-4B11-9485-7E770C1479D5}">
  <dimension ref="A1:Q6730"/>
  <sheetViews>
    <sheetView view="pageBreakPreview" topLeftCell="B41" zoomScaleNormal="100" zoomScaleSheetLayoutView="100" workbookViewId="0">
      <selection activeCell="M4" sqref="M4"/>
    </sheetView>
  </sheetViews>
  <sheetFormatPr baseColWidth="10" defaultRowHeight="12.75" x14ac:dyDescent="0.2"/>
  <cols>
    <col min="15" max="15" width="16.7109375" bestFit="1" customWidth="1"/>
  </cols>
  <sheetData>
    <row r="1" spans="1:15" x14ac:dyDescent="0.2">
      <c r="A1" s="283" t="str">
        <f>Indice!$A$1</f>
        <v>OPTIMIZACIÓN DE SISTEMA DE ACUEDUCTO DE LA ZONA URBANA DEL MUNICIPIO DE VILLAVIEJA Y LOS CENTROS POBLADOS POTOSÍ, HATO NUEVO, POLONIA Y SAN ALFONSO DEL MUNICIPIO DE VILLAVIEJA, DEPARTAMENTO DEL HUILA</v>
      </c>
      <c r="B1" s="275"/>
      <c r="C1" s="275"/>
      <c r="D1" s="275"/>
      <c r="E1" s="275"/>
      <c r="F1" s="275"/>
      <c r="G1" s="275"/>
      <c r="H1" s="275"/>
      <c r="I1" s="275"/>
      <c r="J1" s="276"/>
      <c r="K1" s="287" t="s">
        <v>74</v>
      </c>
      <c r="L1" s="273"/>
      <c r="M1" s="288">
        <f>O57</f>
        <v>598396164</v>
      </c>
      <c r="N1" s="275"/>
      <c r="O1" s="276"/>
    </row>
    <row r="2" spans="1:15" x14ac:dyDescent="0.2">
      <c r="A2" s="284"/>
      <c r="B2" s="285"/>
      <c r="C2" s="285"/>
      <c r="D2" s="285"/>
      <c r="E2" s="285"/>
      <c r="F2" s="285"/>
      <c r="G2" s="285"/>
      <c r="H2" s="285"/>
      <c r="I2" s="285"/>
      <c r="J2" s="286"/>
      <c r="K2" s="289">
        <f>Indice!$L$1</f>
        <v>46203</v>
      </c>
      <c r="L2" s="276"/>
      <c r="M2" s="284"/>
      <c r="N2" s="285"/>
      <c r="O2" s="286"/>
    </row>
    <row r="3" spans="1:15" x14ac:dyDescent="0.2">
      <c r="A3" s="277"/>
      <c r="B3" s="278"/>
      <c r="C3" s="278"/>
      <c r="D3" s="278"/>
      <c r="E3" s="278"/>
      <c r="F3" s="278"/>
      <c r="G3" s="278"/>
      <c r="H3" s="278"/>
      <c r="I3" s="278"/>
      <c r="J3" s="279"/>
      <c r="K3" s="277"/>
      <c r="L3" s="279"/>
      <c r="M3" s="277"/>
      <c r="N3" s="278"/>
      <c r="O3" s="279"/>
    </row>
    <row r="4" spans="1:15" ht="13.5" x14ac:dyDescent="0.25">
      <c r="A4" s="4"/>
      <c r="B4" s="4"/>
      <c r="C4" s="4"/>
      <c r="D4" s="4"/>
      <c r="E4" s="4"/>
      <c r="F4" s="4"/>
      <c r="G4" s="4"/>
      <c r="H4" s="4"/>
      <c r="I4" s="4"/>
      <c r="J4" s="4"/>
      <c r="K4" s="4"/>
      <c r="L4" s="4"/>
      <c r="M4" s="40"/>
      <c r="N4" s="41"/>
      <c r="O4" s="41"/>
    </row>
    <row r="5" spans="1:15" x14ac:dyDescent="0.2">
      <c r="A5" s="290" t="s">
        <v>446</v>
      </c>
      <c r="B5" s="275"/>
      <c r="C5" s="275"/>
      <c r="D5" s="275"/>
      <c r="E5" s="275"/>
      <c r="F5" s="275"/>
      <c r="G5" s="275"/>
      <c r="H5" s="275"/>
      <c r="I5" s="275"/>
      <c r="J5" s="275"/>
      <c r="K5" s="275"/>
      <c r="L5" s="275"/>
      <c r="M5" s="275"/>
      <c r="N5" s="275"/>
      <c r="O5" s="276"/>
    </row>
    <row r="6" spans="1:15" x14ac:dyDescent="0.2">
      <c r="A6" s="277"/>
      <c r="B6" s="278"/>
      <c r="C6" s="278"/>
      <c r="D6" s="278"/>
      <c r="E6" s="278"/>
      <c r="F6" s="278"/>
      <c r="G6" s="278"/>
      <c r="H6" s="278"/>
      <c r="I6" s="278"/>
      <c r="J6" s="278"/>
      <c r="K6" s="278"/>
      <c r="L6" s="278"/>
      <c r="M6" s="278"/>
      <c r="N6" s="278"/>
      <c r="O6" s="279"/>
    </row>
    <row r="7" spans="1:15" ht="13.5" x14ac:dyDescent="0.25">
      <c r="A7" s="4"/>
      <c r="B7" s="4"/>
      <c r="C7" s="4"/>
      <c r="D7" s="4"/>
      <c r="E7" s="4"/>
      <c r="F7" s="4"/>
      <c r="G7" s="4"/>
      <c r="H7" s="4"/>
      <c r="I7" s="4"/>
      <c r="J7" s="4"/>
      <c r="K7" s="4"/>
      <c r="L7" s="4"/>
      <c r="M7" s="40"/>
      <c r="N7" s="41"/>
      <c r="O7" s="41"/>
    </row>
    <row r="8" spans="1:15" ht="13.5" x14ac:dyDescent="0.25">
      <c r="A8" s="4"/>
      <c r="B8" s="295" t="s">
        <v>447</v>
      </c>
      <c r="C8" s="273"/>
      <c r="D8" s="291">
        <f>presup!M349</f>
        <v>1994653879.8480225</v>
      </c>
      <c r="E8" s="273"/>
      <c r="F8" s="4"/>
      <c r="G8" s="4"/>
      <c r="H8" s="4"/>
      <c r="I8" s="4"/>
      <c r="J8" s="4"/>
      <c r="K8" s="4"/>
      <c r="L8" s="4"/>
      <c r="M8" s="4"/>
      <c r="N8" s="4"/>
      <c r="O8" s="4"/>
    </row>
    <row r="9" spans="1:15" ht="13.5" x14ac:dyDescent="0.25">
      <c r="A9" s="4"/>
      <c r="B9" s="4"/>
      <c r="C9" s="4"/>
      <c r="D9" s="4"/>
      <c r="E9" s="4"/>
      <c r="F9" s="4"/>
      <c r="G9" s="4"/>
      <c r="H9" s="4"/>
      <c r="I9" s="4"/>
      <c r="J9" s="4"/>
      <c r="K9" s="4"/>
      <c r="L9" s="4"/>
      <c r="M9" s="4"/>
      <c r="N9" s="4"/>
      <c r="O9" s="4"/>
    </row>
    <row r="10" spans="1:15" x14ac:dyDescent="0.2">
      <c r="A10" s="42" t="s">
        <v>448</v>
      </c>
      <c r="B10" s="292" t="s">
        <v>449</v>
      </c>
      <c r="C10" s="293"/>
      <c r="D10" s="293"/>
      <c r="E10" s="293"/>
      <c r="F10" s="293"/>
      <c r="G10" s="293"/>
      <c r="H10" s="293"/>
      <c r="I10" s="293"/>
      <c r="J10" s="293"/>
      <c r="K10" s="293"/>
      <c r="L10" s="293"/>
      <c r="M10" s="293"/>
      <c r="N10" s="293"/>
      <c r="O10" s="294"/>
    </row>
    <row r="11" spans="1:15" x14ac:dyDescent="0.2">
      <c r="A11" s="280" t="s">
        <v>450</v>
      </c>
      <c r="B11" s="274" t="s">
        <v>451</v>
      </c>
      <c r="C11" s="275"/>
      <c r="D11" s="275"/>
      <c r="E11" s="275"/>
      <c r="F11" s="276"/>
      <c r="G11" s="280" t="s">
        <v>452</v>
      </c>
      <c r="H11" s="280" t="s">
        <v>453</v>
      </c>
      <c r="I11" s="280" t="s">
        <v>454</v>
      </c>
      <c r="J11" s="274" t="s">
        <v>455</v>
      </c>
      <c r="K11" s="276"/>
      <c r="L11" s="280" t="s">
        <v>456</v>
      </c>
      <c r="M11" s="280" t="s">
        <v>457</v>
      </c>
      <c r="N11" s="274" t="s">
        <v>458</v>
      </c>
      <c r="O11" s="276"/>
    </row>
    <row r="12" spans="1:15" x14ac:dyDescent="0.2">
      <c r="A12" s="281"/>
      <c r="B12" s="277"/>
      <c r="C12" s="278"/>
      <c r="D12" s="278"/>
      <c r="E12" s="278"/>
      <c r="F12" s="279"/>
      <c r="G12" s="281"/>
      <c r="H12" s="281"/>
      <c r="I12" s="281"/>
      <c r="J12" s="277"/>
      <c r="K12" s="279"/>
      <c r="L12" s="281"/>
      <c r="M12" s="281"/>
      <c r="N12" s="277"/>
      <c r="O12" s="279"/>
    </row>
    <row r="13" spans="1:15" ht="13.5" x14ac:dyDescent="0.2">
      <c r="A13" s="43" t="s">
        <v>459</v>
      </c>
      <c r="B13" s="282" t="s">
        <v>460</v>
      </c>
      <c r="C13" s="271"/>
      <c r="D13" s="271"/>
      <c r="E13" s="271"/>
      <c r="F13" s="273"/>
      <c r="G13" s="44"/>
      <c r="H13" s="3">
        <v>1</v>
      </c>
      <c r="I13" s="45">
        <v>0.3</v>
      </c>
      <c r="J13" s="272">
        <v>6500000</v>
      </c>
      <c r="K13" s="273"/>
      <c r="L13" s="3">
        <f>Indice!$M$10</f>
        <v>7</v>
      </c>
      <c r="M13" s="11">
        <f t="shared" ref="M13:M19" si="0">N13/$N$52</f>
        <v>2.7373170126137374E-2</v>
      </c>
      <c r="N13" s="272">
        <f>L13*I13*J13*H13</f>
        <v>13650000</v>
      </c>
      <c r="O13" s="273"/>
    </row>
    <row r="14" spans="1:15" ht="13.5" x14ac:dyDescent="0.2">
      <c r="A14" s="43" t="s">
        <v>461</v>
      </c>
      <c r="B14" s="282" t="s">
        <v>462</v>
      </c>
      <c r="C14" s="271"/>
      <c r="D14" s="271"/>
      <c r="E14" s="271"/>
      <c r="F14" s="273"/>
      <c r="G14" s="44"/>
      <c r="H14" s="3">
        <v>1</v>
      </c>
      <c r="I14" s="45">
        <v>0.2</v>
      </c>
      <c r="J14" s="272">
        <v>5500000</v>
      </c>
      <c r="K14" s="273"/>
      <c r="L14" s="3">
        <f>Indice!$G$10</f>
        <v>6</v>
      </c>
      <c r="M14" s="11">
        <f t="shared" si="0"/>
        <v>1.3235378962088401E-2</v>
      </c>
      <c r="N14" s="272">
        <f t="shared" ref="N14:N19" si="1">L14*I14*J14*H14</f>
        <v>6600000.0000000009</v>
      </c>
      <c r="O14" s="273"/>
    </row>
    <row r="15" spans="1:15" ht="13.5" x14ac:dyDescent="0.2">
      <c r="A15" s="43" t="s">
        <v>463</v>
      </c>
      <c r="B15" s="282" t="s">
        <v>464</v>
      </c>
      <c r="C15" s="271"/>
      <c r="D15" s="271"/>
      <c r="E15" s="271"/>
      <c r="F15" s="273"/>
      <c r="G15" s="44"/>
      <c r="H15" s="3">
        <v>1</v>
      </c>
      <c r="I15" s="45">
        <v>0.2</v>
      </c>
      <c r="J15" s="272">
        <v>5500000</v>
      </c>
      <c r="K15" s="273"/>
      <c r="L15" s="3">
        <f>Indice!$G$10</f>
        <v>6</v>
      </c>
      <c r="M15" s="11">
        <f t="shared" si="0"/>
        <v>1.3235378962088401E-2</v>
      </c>
      <c r="N15" s="272">
        <f t="shared" si="1"/>
        <v>6600000.0000000009</v>
      </c>
      <c r="O15" s="273"/>
    </row>
    <row r="16" spans="1:15" ht="13.5" x14ac:dyDescent="0.2">
      <c r="A16" s="43" t="s">
        <v>465</v>
      </c>
      <c r="B16" s="282" t="s">
        <v>466</v>
      </c>
      <c r="C16" s="271"/>
      <c r="D16" s="271"/>
      <c r="E16" s="271"/>
      <c r="F16" s="273"/>
      <c r="G16" s="44"/>
      <c r="H16" s="3">
        <v>1</v>
      </c>
      <c r="I16" s="45">
        <v>1</v>
      </c>
      <c r="J16" s="272">
        <v>3500000</v>
      </c>
      <c r="K16" s="273"/>
      <c r="L16" s="3">
        <v>7</v>
      </c>
      <c r="M16" s="11">
        <f t="shared" si="0"/>
        <v>4.9131330995631183E-2</v>
      </c>
      <c r="N16" s="272">
        <f t="shared" si="1"/>
        <v>24500000</v>
      </c>
      <c r="O16" s="273"/>
    </row>
    <row r="17" spans="1:15" ht="13.5" x14ac:dyDescent="0.2">
      <c r="A17" s="43" t="s">
        <v>467</v>
      </c>
      <c r="B17" s="282" t="s">
        <v>468</v>
      </c>
      <c r="C17" s="271"/>
      <c r="D17" s="271"/>
      <c r="E17" s="271"/>
      <c r="F17" s="273"/>
      <c r="G17" s="44"/>
      <c r="H17" s="3">
        <v>1</v>
      </c>
      <c r="I17" s="45">
        <v>0.5</v>
      </c>
      <c r="J17" s="272">
        <v>3500000</v>
      </c>
      <c r="K17" s="273"/>
      <c r="L17" s="3">
        <f>Indice!$G$10</f>
        <v>6</v>
      </c>
      <c r="M17" s="11">
        <f t="shared" si="0"/>
        <v>2.1056284712413362E-2</v>
      </c>
      <c r="N17" s="272">
        <f>L17*I17*J17*H17</f>
        <v>10500000</v>
      </c>
      <c r="O17" s="273"/>
    </row>
    <row r="18" spans="1:15" ht="13.5" x14ac:dyDescent="0.2">
      <c r="A18" s="43" t="s">
        <v>469</v>
      </c>
      <c r="B18" s="282" t="s">
        <v>470</v>
      </c>
      <c r="C18" s="271"/>
      <c r="D18" s="271"/>
      <c r="E18" s="271"/>
      <c r="F18" s="273"/>
      <c r="G18" s="44"/>
      <c r="H18" s="3">
        <v>1</v>
      </c>
      <c r="I18" s="45">
        <v>1</v>
      </c>
      <c r="J18" s="272">
        <v>3500000</v>
      </c>
      <c r="K18" s="273"/>
      <c r="L18" s="3">
        <f>Indice!$G$10</f>
        <v>6</v>
      </c>
      <c r="M18" s="11">
        <f t="shared" si="0"/>
        <v>4.2112569424826725E-2</v>
      </c>
      <c r="N18" s="272">
        <f t="shared" si="1"/>
        <v>21000000</v>
      </c>
      <c r="O18" s="273"/>
    </row>
    <row r="19" spans="1:15" ht="13.5" x14ac:dyDescent="0.2">
      <c r="A19" s="43" t="s">
        <v>471</v>
      </c>
      <c r="B19" s="282" t="s">
        <v>472</v>
      </c>
      <c r="C19" s="271"/>
      <c r="D19" s="271"/>
      <c r="E19" s="271"/>
      <c r="F19" s="273"/>
      <c r="G19" s="44"/>
      <c r="H19" s="3">
        <v>1</v>
      </c>
      <c r="I19" s="45">
        <v>0.2</v>
      </c>
      <c r="J19" s="272">
        <v>5500000</v>
      </c>
      <c r="K19" s="273"/>
      <c r="L19" s="3">
        <f>Indice!$G$10</f>
        <v>6</v>
      </c>
      <c r="M19" s="11">
        <f t="shared" si="0"/>
        <v>1.3235378962088401E-2</v>
      </c>
      <c r="N19" s="272">
        <f t="shared" si="1"/>
        <v>6600000.0000000009</v>
      </c>
      <c r="O19" s="273"/>
    </row>
    <row r="20" spans="1:15" ht="13.5" x14ac:dyDescent="0.2">
      <c r="A20" s="32"/>
      <c r="B20" s="32"/>
      <c r="C20" s="32"/>
      <c r="D20" s="32"/>
      <c r="E20" s="32"/>
      <c r="F20" s="32"/>
      <c r="G20" s="32"/>
      <c r="H20" s="270" t="s">
        <v>473</v>
      </c>
      <c r="I20" s="271"/>
      <c r="J20" s="271"/>
      <c r="K20" s="271"/>
      <c r="L20" s="271"/>
      <c r="M20" s="273"/>
      <c r="N20" s="272">
        <f>SUM(N13:N19)</f>
        <v>89450000</v>
      </c>
      <c r="O20" s="273"/>
    </row>
    <row r="21" spans="1:15" ht="13.5" x14ac:dyDescent="0.2">
      <c r="A21" s="32"/>
      <c r="B21" s="32"/>
      <c r="C21" s="32"/>
      <c r="D21" s="32"/>
      <c r="E21" s="32"/>
      <c r="F21" s="32"/>
      <c r="G21" s="32"/>
      <c r="H21" s="270" t="s">
        <v>474</v>
      </c>
      <c r="I21" s="271"/>
      <c r="J21" s="271"/>
      <c r="K21" s="271"/>
      <c r="L21" s="271"/>
      <c r="M21" s="273"/>
      <c r="N21" s="297">
        <f>F.P!I2</f>
        <v>1.88</v>
      </c>
      <c r="O21" s="273"/>
    </row>
    <row r="22" spans="1:15" ht="13.5" x14ac:dyDescent="0.2">
      <c r="A22" s="32"/>
      <c r="B22" s="32"/>
      <c r="C22" s="32"/>
      <c r="D22" s="32"/>
      <c r="E22" s="32"/>
      <c r="F22" s="32"/>
      <c r="G22" s="32"/>
      <c r="H22" s="270" t="s">
        <v>475</v>
      </c>
      <c r="I22" s="271"/>
      <c r="J22" s="271"/>
      <c r="K22" s="271"/>
      <c r="L22" s="271"/>
      <c r="M22" s="273"/>
      <c r="N22" s="272">
        <f>+N20*N21</f>
        <v>168166000</v>
      </c>
      <c r="O22" s="273"/>
    </row>
    <row r="23" spans="1:15" ht="13.5" x14ac:dyDescent="0.2">
      <c r="A23" s="46"/>
      <c r="B23" s="47"/>
      <c r="C23" s="47"/>
      <c r="D23" s="47"/>
      <c r="E23" s="47"/>
      <c r="F23" s="47"/>
      <c r="G23" s="48"/>
      <c r="H23" s="48"/>
      <c r="I23" s="48"/>
      <c r="J23" s="48"/>
      <c r="K23" s="48"/>
      <c r="L23" s="48"/>
      <c r="M23" s="48"/>
      <c r="N23" s="48"/>
      <c r="O23" s="48"/>
    </row>
    <row r="24" spans="1:15" x14ac:dyDescent="0.2">
      <c r="A24" s="49" t="s">
        <v>476</v>
      </c>
      <c r="B24" s="296" t="s">
        <v>477</v>
      </c>
      <c r="C24" s="271"/>
      <c r="D24" s="271"/>
      <c r="E24" s="271"/>
      <c r="F24" s="271"/>
      <c r="G24" s="271"/>
      <c r="H24" s="271"/>
      <c r="I24" s="271"/>
      <c r="J24" s="271"/>
      <c r="K24" s="271"/>
      <c r="L24" s="271"/>
      <c r="M24" s="271"/>
      <c r="N24" s="271"/>
      <c r="O24" s="273"/>
    </row>
    <row r="25" spans="1:15" x14ac:dyDescent="0.2">
      <c r="A25" s="298"/>
      <c r="B25" s="274" t="s">
        <v>76</v>
      </c>
      <c r="C25" s="275"/>
      <c r="D25" s="275"/>
      <c r="E25" s="275"/>
      <c r="F25" s="275"/>
      <c r="G25" s="276"/>
      <c r="H25" s="280" t="s">
        <v>77</v>
      </c>
      <c r="I25" s="280" t="s">
        <v>453</v>
      </c>
      <c r="J25" s="274" t="s">
        <v>455</v>
      </c>
      <c r="K25" s="276"/>
      <c r="L25" s="280" t="s">
        <v>456</v>
      </c>
      <c r="M25" s="280" t="s">
        <v>457</v>
      </c>
      <c r="N25" s="274" t="s">
        <v>458</v>
      </c>
      <c r="O25" s="276"/>
    </row>
    <row r="26" spans="1:15" x14ac:dyDescent="0.2">
      <c r="A26" s="299"/>
      <c r="B26" s="277"/>
      <c r="C26" s="278"/>
      <c r="D26" s="278"/>
      <c r="E26" s="278"/>
      <c r="F26" s="278"/>
      <c r="G26" s="279"/>
      <c r="H26" s="281"/>
      <c r="I26" s="281"/>
      <c r="J26" s="277"/>
      <c r="K26" s="279"/>
      <c r="L26" s="281"/>
      <c r="M26" s="281"/>
      <c r="N26" s="277"/>
      <c r="O26" s="279"/>
    </row>
    <row r="27" spans="1:15" ht="13.5" x14ac:dyDescent="0.2">
      <c r="A27" s="50" t="s">
        <v>480</v>
      </c>
      <c r="B27" s="307" t="s">
        <v>481</v>
      </c>
      <c r="C27" s="271"/>
      <c r="D27" s="271"/>
      <c r="E27" s="271"/>
      <c r="F27" s="271"/>
      <c r="G27" s="273"/>
      <c r="H27" s="51" t="s">
        <v>479</v>
      </c>
      <c r="I27" s="9">
        <v>1</v>
      </c>
      <c r="J27" s="272">
        <v>500000</v>
      </c>
      <c r="K27" s="273"/>
      <c r="L27" s="3">
        <v>7</v>
      </c>
      <c r="M27" s="11">
        <f t="shared" ref="M27:M33" si="2">N27/$N$52</f>
        <v>7.0187615708044541E-3</v>
      </c>
      <c r="N27" s="272">
        <f>J27*I27*L27</f>
        <v>3500000</v>
      </c>
      <c r="O27" s="273"/>
    </row>
    <row r="28" spans="1:15" ht="13.5" x14ac:dyDescent="0.2">
      <c r="A28" s="50" t="s">
        <v>482</v>
      </c>
      <c r="B28" s="307" t="s">
        <v>483</v>
      </c>
      <c r="C28" s="271"/>
      <c r="D28" s="271"/>
      <c r="E28" s="271"/>
      <c r="F28" s="271"/>
      <c r="G28" s="273"/>
      <c r="H28" s="51" t="s">
        <v>479</v>
      </c>
      <c r="I28" s="9">
        <v>1</v>
      </c>
      <c r="J28" s="272">
        <v>662451.71428571432</v>
      </c>
      <c r="K28" s="273"/>
      <c r="L28" s="3">
        <v>7</v>
      </c>
      <c r="M28" s="11">
        <f t="shared" si="2"/>
        <v>9.2991812694842076E-3</v>
      </c>
      <c r="N28" s="272">
        <f>J28*I28*L28</f>
        <v>4637162</v>
      </c>
      <c r="O28" s="273"/>
    </row>
    <row r="29" spans="1:15" ht="13.5" x14ac:dyDescent="0.2">
      <c r="A29" s="50" t="s">
        <v>484</v>
      </c>
      <c r="B29" s="307" t="s">
        <v>485</v>
      </c>
      <c r="C29" s="271"/>
      <c r="D29" s="271"/>
      <c r="E29" s="271"/>
      <c r="F29" s="271"/>
      <c r="G29" s="273"/>
      <c r="H29" s="51" t="s">
        <v>479</v>
      </c>
      <c r="I29" s="9">
        <v>1</v>
      </c>
      <c r="J29" s="272">
        <v>6000000</v>
      </c>
      <c r="K29" s="273"/>
      <c r="L29" s="3">
        <f>Indice!$G$10</f>
        <v>6</v>
      </c>
      <c r="M29" s="11">
        <f t="shared" si="2"/>
        <v>7.219297615684582E-2</v>
      </c>
      <c r="N29" s="272">
        <f>J29*I29*L29</f>
        <v>36000000</v>
      </c>
      <c r="O29" s="273"/>
    </row>
    <row r="30" spans="1:15" ht="13.5" x14ac:dyDescent="0.2">
      <c r="A30" s="50" t="s">
        <v>486</v>
      </c>
      <c r="B30" s="307" t="s">
        <v>487</v>
      </c>
      <c r="C30" s="271"/>
      <c r="D30" s="271"/>
      <c r="E30" s="271"/>
      <c r="F30" s="271"/>
      <c r="G30" s="273"/>
      <c r="H30" s="51" t="s">
        <v>479</v>
      </c>
      <c r="I30" s="9">
        <v>1</v>
      </c>
      <c r="J30" s="272">
        <v>900000</v>
      </c>
      <c r="K30" s="273"/>
      <c r="L30" s="3">
        <f>Indice!$G$10</f>
        <v>6</v>
      </c>
      <c r="M30" s="11">
        <f t="shared" si="2"/>
        <v>1.0828946423526872E-2</v>
      </c>
      <c r="N30" s="272">
        <f>J30*I30*L30</f>
        <v>5400000</v>
      </c>
      <c r="O30" s="273"/>
    </row>
    <row r="31" spans="1:15" ht="13.5" x14ac:dyDescent="0.2">
      <c r="A31" s="50" t="s">
        <v>488</v>
      </c>
      <c r="B31" s="307" t="s">
        <v>489</v>
      </c>
      <c r="C31" s="271"/>
      <c r="D31" s="271"/>
      <c r="E31" s="271"/>
      <c r="F31" s="271"/>
      <c r="G31" s="273"/>
      <c r="H31" s="51" t="s">
        <v>479</v>
      </c>
      <c r="I31" s="9">
        <v>1</v>
      </c>
      <c r="J31" s="272">
        <v>2000000</v>
      </c>
      <c r="K31" s="273"/>
      <c r="L31" s="3">
        <v>1</v>
      </c>
      <c r="M31" s="11">
        <f t="shared" si="2"/>
        <v>4.0107208976025458E-3</v>
      </c>
      <c r="N31" s="272">
        <f>J31*L31*I31</f>
        <v>2000000</v>
      </c>
      <c r="O31" s="273"/>
    </row>
    <row r="32" spans="1:15" ht="13.5" x14ac:dyDescent="0.2">
      <c r="A32" s="50" t="s">
        <v>490</v>
      </c>
      <c r="B32" s="308" t="s">
        <v>3255</v>
      </c>
      <c r="C32" s="271"/>
      <c r="D32" s="271"/>
      <c r="E32" s="271"/>
      <c r="F32" s="271"/>
      <c r="G32" s="273"/>
      <c r="H32" s="51" t="s">
        <v>479</v>
      </c>
      <c r="I32" s="9">
        <v>1</v>
      </c>
      <c r="J32" s="272">
        <v>2000000</v>
      </c>
      <c r="K32" s="273"/>
      <c r="L32" s="3">
        <f>Indice!$G$10</f>
        <v>6</v>
      </c>
      <c r="M32" s="11">
        <f t="shared" si="2"/>
        <v>2.4064325385615273E-2</v>
      </c>
      <c r="N32" s="272">
        <f>J32*L32*I32</f>
        <v>12000000</v>
      </c>
      <c r="O32" s="273"/>
    </row>
    <row r="33" spans="1:15" ht="13.5" x14ac:dyDescent="0.2">
      <c r="A33" s="50" t="s">
        <v>491</v>
      </c>
      <c r="B33" s="307" t="s">
        <v>492</v>
      </c>
      <c r="C33" s="271"/>
      <c r="D33" s="271"/>
      <c r="E33" s="271"/>
      <c r="F33" s="271"/>
      <c r="G33" s="273"/>
      <c r="H33" s="51" t="s">
        <v>479</v>
      </c>
      <c r="I33" s="9">
        <v>1</v>
      </c>
      <c r="J33" s="272">
        <v>2000000</v>
      </c>
      <c r="K33" s="273"/>
      <c r="L33" s="3">
        <f>Indice!$G$10</f>
        <v>6</v>
      </c>
      <c r="M33" s="11">
        <f t="shared" si="2"/>
        <v>2.4064325385615273E-2</v>
      </c>
      <c r="N33" s="272">
        <f>J33*L33*I33</f>
        <v>12000000</v>
      </c>
      <c r="O33" s="273"/>
    </row>
    <row r="34" spans="1:15" ht="13.5" x14ac:dyDescent="0.2">
      <c r="A34" s="32"/>
      <c r="B34" s="32"/>
      <c r="C34" s="32"/>
      <c r="D34" s="32"/>
      <c r="E34" s="32"/>
      <c r="F34" s="52"/>
      <c r="G34" s="32"/>
      <c r="H34" s="270" t="s">
        <v>493</v>
      </c>
      <c r="I34" s="271"/>
      <c r="J34" s="271"/>
      <c r="K34" s="271"/>
      <c r="L34" s="271"/>
      <c r="M34" s="273"/>
      <c r="N34" s="272">
        <f>SUM(N27:N33)</f>
        <v>75537162</v>
      </c>
      <c r="O34" s="273"/>
    </row>
    <row r="35" spans="1:15" ht="13.5" x14ac:dyDescent="0.2">
      <c r="A35" s="46"/>
      <c r="B35" s="47"/>
      <c r="C35" s="47"/>
      <c r="D35" s="47"/>
      <c r="E35" s="47"/>
      <c r="F35" s="47"/>
      <c r="G35" s="48"/>
      <c r="H35" s="48"/>
      <c r="I35" s="48"/>
      <c r="J35" s="48"/>
      <c r="K35" s="48"/>
      <c r="L35" s="48"/>
      <c r="M35" s="48"/>
      <c r="N35" s="48"/>
      <c r="O35" s="48"/>
    </row>
    <row r="36" spans="1:15" x14ac:dyDescent="0.2">
      <c r="A36" s="49" t="s">
        <v>494</v>
      </c>
      <c r="B36" s="296" t="s">
        <v>495</v>
      </c>
      <c r="C36" s="271"/>
      <c r="D36" s="271"/>
      <c r="E36" s="271"/>
      <c r="F36" s="271"/>
      <c r="G36" s="271"/>
      <c r="H36" s="271"/>
      <c r="I36" s="271"/>
      <c r="J36" s="271"/>
      <c r="K36" s="271"/>
      <c r="L36" s="271"/>
      <c r="M36" s="271"/>
      <c r="N36" s="271"/>
      <c r="O36" s="273"/>
    </row>
    <row r="37" spans="1:15" x14ac:dyDescent="0.2">
      <c r="A37" s="298"/>
      <c r="B37" s="274" t="s">
        <v>76</v>
      </c>
      <c r="C37" s="275"/>
      <c r="D37" s="275"/>
      <c r="E37" s="275"/>
      <c r="F37" s="275"/>
      <c r="G37" s="276"/>
      <c r="H37" s="280" t="s">
        <v>77</v>
      </c>
      <c r="I37" s="280" t="s">
        <v>453</v>
      </c>
      <c r="J37" s="274" t="s">
        <v>455</v>
      </c>
      <c r="K37" s="276"/>
      <c r="L37" s="280" t="s">
        <v>456</v>
      </c>
      <c r="M37" s="280" t="s">
        <v>457</v>
      </c>
      <c r="N37" s="274" t="s">
        <v>458</v>
      </c>
      <c r="O37" s="276"/>
    </row>
    <row r="38" spans="1:15" x14ac:dyDescent="0.2">
      <c r="A38" s="299"/>
      <c r="B38" s="277"/>
      <c r="C38" s="278"/>
      <c r="D38" s="278"/>
      <c r="E38" s="278"/>
      <c r="F38" s="278"/>
      <c r="G38" s="279"/>
      <c r="H38" s="281"/>
      <c r="I38" s="281"/>
      <c r="J38" s="277"/>
      <c r="K38" s="279"/>
      <c r="L38" s="281"/>
      <c r="M38" s="281"/>
      <c r="N38" s="277"/>
      <c r="O38" s="279"/>
    </row>
    <row r="39" spans="1:15" ht="13.5" x14ac:dyDescent="0.2">
      <c r="A39" s="50" t="s">
        <v>496</v>
      </c>
      <c r="B39" s="307" t="s">
        <v>497</v>
      </c>
      <c r="C39" s="271"/>
      <c r="D39" s="271"/>
      <c r="E39" s="271"/>
      <c r="F39" s="271"/>
      <c r="G39" s="273"/>
      <c r="H39" s="51" t="s">
        <v>479</v>
      </c>
      <c r="I39" s="9">
        <v>1</v>
      </c>
      <c r="J39" s="272">
        <f>POLIZA!P24</f>
        <v>45521651</v>
      </c>
      <c r="K39" s="273"/>
      <c r="L39" s="3">
        <v>1</v>
      </c>
      <c r="M39" s="11">
        <f>N39/$N$52</f>
        <v>9.1287318479534904E-2</v>
      </c>
      <c r="N39" s="272">
        <f>J39*I39*L39</f>
        <v>45521651</v>
      </c>
      <c r="O39" s="273"/>
    </row>
    <row r="40" spans="1:15" ht="13.5" x14ac:dyDescent="0.2">
      <c r="A40" s="32"/>
      <c r="B40" s="32"/>
      <c r="C40" s="32"/>
      <c r="D40" s="32"/>
      <c r="E40" s="32"/>
      <c r="F40" s="52"/>
      <c r="G40" s="32"/>
      <c r="H40" s="270" t="s">
        <v>493</v>
      </c>
      <c r="I40" s="271"/>
      <c r="J40" s="271"/>
      <c r="K40" s="271"/>
      <c r="L40" s="271"/>
      <c r="M40" s="273"/>
      <c r="N40" s="272">
        <f>SUM(N39)</f>
        <v>45521651</v>
      </c>
      <c r="O40" s="273"/>
    </row>
    <row r="41" spans="1:15" ht="13.5" x14ac:dyDescent="0.2">
      <c r="A41" s="46"/>
      <c r="B41" s="47"/>
      <c r="C41" s="47"/>
      <c r="D41" s="47"/>
      <c r="E41" s="47"/>
      <c r="F41" s="47"/>
      <c r="G41" s="48"/>
      <c r="H41" s="48"/>
      <c r="I41" s="48"/>
      <c r="J41" s="48"/>
      <c r="K41" s="48"/>
      <c r="L41" s="48"/>
      <c r="M41" s="48"/>
      <c r="N41" s="48"/>
      <c r="O41" s="48"/>
    </row>
    <row r="42" spans="1:15" x14ac:dyDescent="0.2">
      <c r="A42" s="49" t="s">
        <v>498</v>
      </c>
      <c r="B42" s="296" t="s">
        <v>499</v>
      </c>
      <c r="C42" s="271"/>
      <c r="D42" s="271"/>
      <c r="E42" s="271"/>
      <c r="F42" s="271"/>
      <c r="G42" s="271"/>
      <c r="H42" s="271"/>
      <c r="I42" s="271"/>
      <c r="J42" s="271"/>
      <c r="K42" s="271"/>
      <c r="L42" s="271"/>
      <c r="M42" s="271"/>
      <c r="N42" s="271"/>
      <c r="O42" s="273"/>
    </row>
    <row r="43" spans="1:15" x14ac:dyDescent="0.2">
      <c r="A43" s="298"/>
      <c r="B43" s="274" t="s">
        <v>76</v>
      </c>
      <c r="C43" s="275"/>
      <c r="D43" s="275"/>
      <c r="E43" s="275"/>
      <c r="F43" s="275"/>
      <c r="G43" s="276"/>
      <c r="H43" s="280" t="s">
        <v>77</v>
      </c>
      <c r="I43" s="280" t="s">
        <v>453</v>
      </c>
      <c r="J43" s="274" t="s">
        <v>3258</v>
      </c>
      <c r="K43" s="276"/>
      <c r="L43" s="280" t="s">
        <v>456</v>
      </c>
      <c r="M43" s="280" t="s">
        <v>457</v>
      </c>
      <c r="N43" s="274" t="s">
        <v>458</v>
      </c>
      <c r="O43" s="276"/>
    </row>
    <row r="44" spans="1:15" x14ac:dyDescent="0.2">
      <c r="A44" s="299"/>
      <c r="B44" s="277"/>
      <c r="C44" s="278"/>
      <c r="D44" s="278"/>
      <c r="E44" s="278"/>
      <c r="F44" s="278"/>
      <c r="G44" s="279"/>
      <c r="H44" s="281"/>
      <c r="I44" s="281"/>
      <c r="J44" s="277"/>
      <c r="K44" s="279"/>
      <c r="L44" s="281"/>
      <c r="M44" s="281"/>
      <c r="N44" s="277"/>
      <c r="O44" s="279"/>
    </row>
    <row r="45" spans="1:15" ht="13.5" x14ac:dyDescent="0.2">
      <c r="A45" s="50" t="s">
        <v>500</v>
      </c>
      <c r="B45" s="307" t="s">
        <v>501</v>
      </c>
      <c r="C45" s="271"/>
      <c r="D45" s="271"/>
      <c r="E45" s="271"/>
      <c r="F45" s="271"/>
      <c r="G45" s="273"/>
      <c r="H45" s="51" t="s">
        <v>502</v>
      </c>
      <c r="I45" s="45">
        <v>1.4999999999999999E-2</v>
      </c>
      <c r="J45" s="272">
        <f>ROUND((I45*$D$8),0)</f>
        <v>29919808</v>
      </c>
      <c r="K45" s="273"/>
      <c r="L45" s="3"/>
      <c r="M45" s="11">
        <f>N45/$N$52</f>
        <v>5.9999999598927913E-2</v>
      </c>
      <c r="N45" s="272">
        <f>J45</f>
        <v>29919808</v>
      </c>
      <c r="O45" s="273"/>
    </row>
    <row r="46" spans="1:15" ht="13.5" x14ac:dyDescent="0.2">
      <c r="A46" s="50" t="s">
        <v>503</v>
      </c>
      <c r="B46" s="308" t="s">
        <v>3256</v>
      </c>
      <c r="C46" s="271"/>
      <c r="D46" s="271"/>
      <c r="E46" s="271"/>
      <c r="F46" s="271"/>
      <c r="G46" s="273"/>
      <c r="H46" s="51" t="s">
        <v>502</v>
      </c>
      <c r="I46" s="45">
        <v>0.02</v>
      </c>
      <c r="J46" s="272">
        <f t="shared" ref="J46:J48" si="3">ROUND((I46*$D$8),0)</f>
        <v>39893078</v>
      </c>
      <c r="K46" s="273"/>
      <c r="L46" s="3"/>
      <c r="M46" s="11">
        <f t="shared" ref="M46:M49" si="4">N46/$N$52</f>
        <v>8.0000000802144186E-2</v>
      </c>
      <c r="N46" s="272">
        <f t="shared" ref="N46:N49" si="5">J46</f>
        <v>39893078</v>
      </c>
      <c r="O46" s="273"/>
    </row>
    <row r="47" spans="1:15" ht="13.5" x14ac:dyDescent="0.2">
      <c r="A47" s="50" t="s">
        <v>504</v>
      </c>
      <c r="B47" s="308" t="s">
        <v>3257</v>
      </c>
      <c r="C47" s="271"/>
      <c r="D47" s="271"/>
      <c r="E47" s="271"/>
      <c r="F47" s="271"/>
      <c r="G47" s="273"/>
      <c r="H47" s="51" t="s">
        <v>502</v>
      </c>
      <c r="I47" s="45">
        <v>5.0000000000000001E-3</v>
      </c>
      <c r="J47" s="272">
        <f t="shared" si="3"/>
        <v>9973269</v>
      </c>
      <c r="K47" s="273"/>
      <c r="L47" s="3"/>
      <c r="M47" s="11">
        <f t="shared" si="4"/>
        <v>1.9999999197855819E-2</v>
      </c>
      <c r="N47" s="272">
        <f t="shared" si="5"/>
        <v>9973269</v>
      </c>
      <c r="O47" s="273"/>
    </row>
    <row r="48" spans="1:15" ht="13.5" x14ac:dyDescent="0.2">
      <c r="A48" s="50" t="s">
        <v>506</v>
      </c>
      <c r="B48" s="307" t="s">
        <v>507</v>
      </c>
      <c r="C48" s="271"/>
      <c r="D48" s="271"/>
      <c r="E48" s="271"/>
      <c r="F48" s="271"/>
      <c r="G48" s="273"/>
      <c r="H48" s="51" t="s">
        <v>502</v>
      </c>
      <c r="I48" s="45">
        <v>1.4999999999999999E-2</v>
      </c>
      <c r="J48" s="272">
        <f t="shared" si="3"/>
        <v>29919808</v>
      </c>
      <c r="K48" s="273"/>
      <c r="L48" s="3"/>
      <c r="M48" s="11">
        <f t="shared" si="4"/>
        <v>5.9999999598927913E-2</v>
      </c>
      <c r="N48" s="272">
        <f t="shared" si="5"/>
        <v>29919808</v>
      </c>
      <c r="O48" s="273"/>
    </row>
    <row r="49" spans="1:17" ht="13.5" x14ac:dyDescent="0.2">
      <c r="A49" s="50" t="s">
        <v>509</v>
      </c>
      <c r="B49" s="307" t="s">
        <v>510</v>
      </c>
      <c r="C49" s="271"/>
      <c r="D49" s="271"/>
      <c r="E49" s="271"/>
      <c r="F49" s="271"/>
      <c r="G49" s="273"/>
      <c r="H49" s="51" t="s">
        <v>502</v>
      </c>
      <c r="I49" s="45">
        <v>0.05</v>
      </c>
      <c r="J49" s="272">
        <f>ROUND((I49*$D$8),0)</f>
        <v>99732694</v>
      </c>
      <c r="K49" s="273"/>
      <c r="L49" s="3"/>
      <c r="M49" s="11">
        <f t="shared" si="4"/>
        <v>0.2</v>
      </c>
      <c r="N49" s="272">
        <f t="shared" si="5"/>
        <v>99732694</v>
      </c>
      <c r="O49" s="273"/>
    </row>
    <row r="50" spans="1:17" ht="13.5" x14ac:dyDescent="0.25">
      <c r="A50" s="32"/>
      <c r="B50" s="32"/>
      <c r="C50" s="4"/>
      <c r="D50" s="4"/>
      <c r="E50" s="4"/>
      <c r="F50" s="4"/>
      <c r="G50" s="32"/>
      <c r="H50" s="270" t="s">
        <v>493</v>
      </c>
      <c r="I50" s="271"/>
      <c r="J50" s="271"/>
      <c r="K50" s="271"/>
      <c r="L50" s="271"/>
      <c r="M50" s="273"/>
      <c r="N50" s="272">
        <f>SUM(N45:N49)</f>
        <v>209438657</v>
      </c>
      <c r="O50" s="273"/>
    </row>
    <row r="51" spans="1:17" ht="14.25" thickBot="1" x14ac:dyDescent="0.25">
      <c r="A51" s="46"/>
      <c r="B51" s="47"/>
      <c r="C51" s="1"/>
      <c r="D51" s="1"/>
      <c r="E51" s="1"/>
      <c r="F51" s="1"/>
      <c r="G51" s="48"/>
      <c r="H51" s="48"/>
      <c r="I51" s="48"/>
      <c r="J51" s="48"/>
      <c r="K51" s="48"/>
      <c r="L51" s="48"/>
      <c r="M51" s="48"/>
      <c r="N51" s="48"/>
      <c r="O51" s="48"/>
    </row>
    <row r="52" spans="1:17" ht="14.25" thickTop="1" x14ac:dyDescent="0.2">
      <c r="A52" s="32"/>
      <c r="B52" s="32"/>
      <c r="C52" s="302" t="s">
        <v>71</v>
      </c>
      <c r="D52" s="302"/>
      <c r="E52" s="302"/>
      <c r="F52" s="302"/>
      <c r="G52" s="32"/>
      <c r="H52" s="270" t="s">
        <v>511</v>
      </c>
      <c r="I52" s="271"/>
      <c r="J52" s="271"/>
      <c r="K52" s="271"/>
      <c r="L52" s="271"/>
      <c r="M52" s="273"/>
      <c r="N52" s="272">
        <f>N22+N34+N40+N50</f>
        <v>498663470</v>
      </c>
      <c r="O52" s="273"/>
    </row>
    <row r="53" spans="1:17" ht="13.5" x14ac:dyDescent="0.25">
      <c r="A53" s="32"/>
      <c r="B53" s="32"/>
      <c r="C53" s="303" t="s">
        <v>72</v>
      </c>
      <c r="D53" s="303"/>
      <c r="E53" s="303"/>
      <c r="F53" s="303"/>
      <c r="G53" s="32"/>
      <c r="H53" s="270" t="s">
        <v>512</v>
      </c>
      <c r="I53" s="271"/>
      <c r="J53" s="271"/>
      <c r="K53" s="271"/>
      <c r="L53" s="271"/>
      <c r="M53" s="273"/>
      <c r="N53" s="297">
        <v>1</v>
      </c>
      <c r="O53" s="304"/>
      <c r="Q53">
        <f>presup!M350</f>
        <v>498663469.96200562</v>
      </c>
    </row>
    <row r="54" spans="1:17" ht="13.5" x14ac:dyDescent="0.25">
      <c r="A54" s="32"/>
      <c r="B54" s="32"/>
      <c r="C54" s="303" t="s">
        <v>73</v>
      </c>
      <c r="D54" s="303"/>
      <c r="E54" s="303"/>
      <c r="F54" s="303"/>
      <c r="G54" s="32"/>
      <c r="H54" s="270" t="s">
        <v>513</v>
      </c>
      <c r="I54" s="271"/>
      <c r="J54" s="271"/>
      <c r="K54" s="271"/>
      <c r="L54" s="300"/>
      <c r="M54" s="301"/>
      <c r="N54" s="305">
        <f>N52*N53</f>
        <v>498663470</v>
      </c>
      <c r="O54" s="306"/>
    </row>
    <row r="55" spans="1:17" ht="13.5" x14ac:dyDescent="0.2">
      <c r="A55" s="32"/>
      <c r="B55" s="32"/>
      <c r="F55" s="1"/>
      <c r="G55" s="32"/>
      <c r="H55" s="32"/>
      <c r="I55" s="32"/>
      <c r="J55" s="32"/>
      <c r="K55" s="32"/>
      <c r="L55" s="270" t="s">
        <v>3259</v>
      </c>
      <c r="M55" s="271"/>
      <c r="N55" s="265"/>
      <c r="O55" s="266">
        <f>presup!M351</f>
        <v>39893078</v>
      </c>
    </row>
    <row r="56" spans="1:17" x14ac:dyDescent="0.2">
      <c r="L56" s="270" t="s">
        <v>3260</v>
      </c>
      <c r="M56" s="271"/>
      <c r="N56" s="204"/>
      <c r="O56" s="267">
        <f>presup!M352</f>
        <v>59839616</v>
      </c>
    </row>
    <row r="57" spans="1:17" x14ac:dyDescent="0.2">
      <c r="C57" s="1"/>
      <c r="D57" s="1"/>
      <c r="E57" s="1"/>
      <c r="F57" s="1"/>
      <c r="G57" s="1"/>
      <c r="L57" s="204"/>
      <c r="M57" s="268"/>
      <c r="N57" s="204"/>
      <c r="O57" s="269">
        <f>N54+O55+O56</f>
        <v>598396164</v>
      </c>
      <c r="Q57">
        <f>presup!M353</f>
        <v>598396163.96200562</v>
      </c>
    </row>
    <row r="58" spans="1:17" ht="13.5" x14ac:dyDescent="0.25">
      <c r="C58" s="1"/>
      <c r="D58" s="18"/>
      <c r="E58" s="18"/>
      <c r="F58" s="18"/>
      <c r="G58" s="1"/>
    </row>
    <row r="59" spans="1:17" x14ac:dyDescent="0.2">
      <c r="C59" s="1"/>
      <c r="G59" s="1"/>
    </row>
    <row r="60" spans="1:17" x14ac:dyDescent="0.2">
      <c r="C60" s="1"/>
      <c r="G60" s="1"/>
    </row>
    <row r="6730" spans="6:6" x14ac:dyDescent="0.2">
      <c r="F6730" s="219"/>
    </row>
  </sheetData>
  <mergeCells count="127">
    <mergeCell ref="H50:M50"/>
    <mergeCell ref="A25:A26"/>
    <mergeCell ref="H25:H26"/>
    <mergeCell ref="I25:I26"/>
    <mergeCell ref="J25:K26"/>
    <mergeCell ref="L25:L26"/>
    <mergeCell ref="M25:M26"/>
    <mergeCell ref="A37:A38"/>
    <mergeCell ref="J48:K48"/>
    <mergeCell ref="B49:G49"/>
    <mergeCell ref="J49:K49"/>
    <mergeCell ref="B45:G45"/>
    <mergeCell ref="J45:K45"/>
    <mergeCell ref="B46:G46"/>
    <mergeCell ref="J46:K46"/>
    <mergeCell ref="J47:K47"/>
    <mergeCell ref="B47:G47"/>
    <mergeCell ref="B48:G48"/>
    <mergeCell ref="B32:G32"/>
    <mergeCell ref="B31:G31"/>
    <mergeCell ref="B29:G29"/>
    <mergeCell ref="B30:G30"/>
    <mergeCell ref="N45:O45"/>
    <mergeCell ref="J31:K31"/>
    <mergeCell ref="J32:K32"/>
    <mergeCell ref="B27:G27"/>
    <mergeCell ref="N27:O27"/>
    <mergeCell ref="N28:O28"/>
    <mergeCell ref="J27:K27"/>
    <mergeCell ref="J28:K28"/>
    <mergeCell ref="J29:K29"/>
    <mergeCell ref="A43:A44"/>
    <mergeCell ref="N43:O44"/>
    <mergeCell ref="N39:O39"/>
    <mergeCell ref="N40:O40"/>
    <mergeCell ref="I43:I44"/>
    <mergeCell ref="J43:K44"/>
    <mergeCell ref="H52:M52"/>
    <mergeCell ref="H53:M53"/>
    <mergeCell ref="H54:M54"/>
    <mergeCell ref="C52:F52"/>
    <mergeCell ref="C53:F53"/>
    <mergeCell ref="C54:F54"/>
    <mergeCell ref="N50:O50"/>
    <mergeCell ref="N52:O52"/>
    <mergeCell ref="N48:O48"/>
    <mergeCell ref="N49:O49"/>
    <mergeCell ref="N46:O46"/>
    <mergeCell ref="J39:K39"/>
    <mergeCell ref="H40:M40"/>
    <mergeCell ref="B42:O42"/>
    <mergeCell ref="N53:O53"/>
    <mergeCell ref="N54:O54"/>
    <mergeCell ref="N47:O47"/>
    <mergeCell ref="B39:G39"/>
    <mergeCell ref="N16:O16"/>
    <mergeCell ref="N17:O17"/>
    <mergeCell ref="B24:O24"/>
    <mergeCell ref="H20:M20"/>
    <mergeCell ref="N20:O20"/>
    <mergeCell ref="H21:M21"/>
    <mergeCell ref="N21:O21"/>
    <mergeCell ref="H22:M22"/>
    <mergeCell ref="N22:O22"/>
    <mergeCell ref="B17:F17"/>
    <mergeCell ref="M37:M38"/>
    <mergeCell ref="N37:O38"/>
    <mergeCell ref="B37:G38"/>
    <mergeCell ref="N34:O34"/>
    <mergeCell ref="N31:O31"/>
    <mergeCell ref="J19:K19"/>
    <mergeCell ref="B18:F18"/>
    <mergeCell ref="B19:F19"/>
    <mergeCell ref="B43:G44"/>
    <mergeCell ref="H43:H44"/>
    <mergeCell ref="L43:L44"/>
    <mergeCell ref="M43:M44"/>
    <mergeCell ref="H37:H38"/>
    <mergeCell ref="I37:I38"/>
    <mergeCell ref="H34:M34"/>
    <mergeCell ref="B36:O36"/>
    <mergeCell ref="J30:K30"/>
    <mergeCell ref="B33:G33"/>
    <mergeCell ref="B25:G26"/>
    <mergeCell ref="J33:K33"/>
    <mergeCell ref="B28:G28"/>
    <mergeCell ref="N29:O29"/>
    <mergeCell ref="N25:O26"/>
    <mergeCell ref="N30:O30"/>
    <mergeCell ref="A1:J3"/>
    <mergeCell ref="K1:L1"/>
    <mergeCell ref="M1:O3"/>
    <mergeCell ref="K2:L3"/>
    <mergeCell ref="A5:O6"/>
    <mergeCell ref="D8:E8"/>
    <mergeCell ref="B10:O10"/>
    <mergeCell ref="B8:C8"/>
    <mergeCell ref="B14:F14"/>
    <mergeCell ref="A11:A12"/>
    <mergeCell ref="L11:L12"/>
    <mergeCell ref="M11:M12"/>
    <mergeCell ref="N11:O12"/>
    <mergeCell ref="N13:O13"/>
    <mergeCell ref="L55:M55"/>
    <mergeCell ref="L56:M56"/>
    <mergeCell ref="N14:O14"/>
    <mergeCell ref="B11:F12"/>
    <mergeCell ref="G11:G12"/>
    <mergeCell ref="H11:H12"/>
    <mergeCell ref="I11:I12"/>
    <mergeCell ref="B13:F13"/>
    <mergeCell ref="J11:K12"/>
    <mergeCell ref="J13:K13"/>
    <mergeCell ref="J14:K14"/>
    <mergeCell ref="J15:K15"/>
    <mergeCell ref="N18:O18"/>
    <mergeCell ref="N19:O19"/>
    <mergeCell ref="J17:K17"/>
    <mergeCell ref="B15:F15"/>
    <mergeCell ref="B16:F16"/>
    <mergeCell ref="J16:K16"/>
    <mergeCell ref="N15:O15"/>
    <mergeCell ref="J18:K18"/>
    <mergeCell ref="N32:O32"/>
    <mergeCell ref="N33:O33"/>
    <mergeCell ref="J37:K38"/>
    <mergeCell ref="L37:L38"/>
  </mergeCells>
  <conditionalFormatting sqref="M27:M33 M39 M13:M19 M45:M49">
    <cfRule type="colorScale" priority="203">
      <colorScale>
        <cfvo type="min"/>
        <cfvo type="percentile" val="50"/>
        <cfvo type="max"/>
        <color rgb="FF63BE7B"/>
        <color rgb="FFFFEB84"/>
        <color rgb="FFF8696B"/>
      </colorScale>
    </cfRule>
  </conditionalFormatting>
  <pageMargins left="0.7" right="0.7" top="0.75" bottom="0.75" header="0.3" footer="0.3"/>
  <pageSetup scale="67"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CE95A-A3A3-4099-89B0-36CDB816276C}">
  <dimension ref="A1:K80"/>
  <sheetViews>
    <sheetView view="pageBreakPreview" topLeftCell="A21" zoomScale="85" zoomScaleNormal="100" zoomScaleSheetLayoutView="85" workbookViewId="0">
      <selection activeCell="L78" sqref="L78"/>
    </sheetView>
  </sheetViews>
  <sheetFormatPr baseColWidth="10" defaultRowHeight="12.75" x14ac:dyDescent="0.2"/>
  <sheetData>
    <row r="1" spans="1:9" x14ac:dyDescent="0.2">
      <c r="A1" s="489" t="str">
        <f>Indice!$A$1</f>
        <v>OPTIMIZACIÓN DE SISTEMA DE ACUEDUCTO DE LA ZONA URBANA DEL MUNICIPIO DE VILLAVIEJA Y LOS CENTROS POBLADOS POTOSÍ, HATO NUEVO, POLONIA Y SAN ALFONSO DEL MUNICIPIO DE VILLAVIEJA, DEPARTAMENTO DEL HUILA</v>
      </c>
      <c r="B1" s="275"/>
      <c r="C1" s="275"/>
      <c r="D1" s="275"/>
      <c r="E1" s="276"/>
      <c r="F1" s="287" t="s">
        <v>74</v>
      </c>
      <c r="G1" s="273"/>
      <c r="H1" s="53" t="s">
        <v>514</v>
      </c>
      <c r="I1" s="53" t="s">
        <v>515</v>
      </c>
    </row>
    <row r="2" spans="1:9" x14ac:dyDescent="0.2">
      <c r="A2" s="284"/>
      <c r="B2" s="285"/>
      <c r="C2" s="285"/>
      <c r="D2" s="285"/>
      <c r="E2" s="286"/>
      <c r="F2" s="289">
        <f>Indice!$L$1</f>
        <v>46203</v>
      </c>
      <c r="G2" s="276"/>
      <c r="H2" s="486">
        <f>I72</f>
        <v>2.2000000000000002</v>
      </c>
      <c r="I2" s="486">
        <f>$H$45</f>
        <v>1.88</v>
      </c>
    </row>
    <row r="3" spans="1:9" x14ac:dyDescent="0.2">
      <c r="A3" s="277"/>
      <c r="B3" s="278"/>
      <c r="C3" s="278"/>
      <c r="D3" s="278"/>
      <c r="E3" s="279"/>
      <c r="F3" s="277"/>
      <c r="G3" s="279"/>
      <c r="H3" s="281"/>
      <c r="I3" s="281"/>
    </row>
    <row r="4" spans="1:9" ht="13.5" x14ac:dyDescent="0.2">
      <c r="A4" s="32"/>
      <c r="B4" s="32"/>
      <c r="C4" s="32"/>
      <c r="D4" s="32"/>
      <c r="E4" s="32"/>
      <c r="F4" s="32"/>
      <c r="G4" s="32"/>
      <c r="H4" s="32"/>
      <c r="I4" s="32"/>
    </row>
    <row r="5" spans="1:9" x14ac:dyDescent="0.2">
      <c r="A5" s="487" t="s">
        <v>516</v>
      </c>
      <c r="B5" s="275"/>
      <c r="C5" s="275"/>
      <c r="D5" s="275"/>
      <c r="E5" s="275"/>
      <c r="F5" s="275"/>
      <c r="G5" s="275"/>
      <c r="H5" s="276"/>
      <c r="I5" s="488"/>
    </row>
    <row r="6" spans="1:9" x14ac:dyDescent="0.2">
      <c r="A6" s="277"/>
      <c r="B6" s="278"/>
      <c r="C6" s="278"/>
      <c r="D6" s="278"/>
      <c r="E6" s="278"/>
      <c r="F6" s="278"/>
      <c r="G6" s="278"/>
      <c r="H6" s="279"/>
      <c r="I6" s="281"/>
    </row>
    <row r="7" spans="1:9" ht="13.5" x14ac:dyDescent="0.25">
      <c r="A7" s="54"/>
      <c r="B7" s="55"/>
      <c r="C7" s="55"/>
      <c r="D7" s="55"/>
      <c r="E7" s="55"/>
      <c r="F7" s="55"/>
      <c r="G7" s="56"/>
      <c r="H7" s="57"/>
      <c r="I7" s="57"/>
    </row>
    <row r="8" spans="1:9" x14ac:dyDescent="0.2">
      <c r="A8" s="312" t="s">
        <v>452</v>
      </c>
      <c r="B8" s="273"/>
      <c r="C8" s="312" t="s">
        <v>517</v>
      </c>
      <c r="D8" s="273"/>
      <c r="E8" s="55"/>
      <c r="F8" s="312" t="s">
        <v>518</v>
      </c>
      <c r="G8" s="273"/>
      <c r="H8" s="312" t="s">
        <v>519</v>
      </c>
      <c r="I8" s="273"/>
    </row>
    <row r="9" spans="1:9" ht="13.5" x14ac:dyDescent="0.25">
      <c r="A9" s="483">
        <v>1750905</v>
      </c>
      <c r="B9" s="273"/>
      <c r="C9" s="484">
        <f>+A9/30</f>
        <v>58363.5</v>
      </c>
      <c r="D9" s="273"/>
      <c r="E9" s="55"/>
      <c r="F9" s="483">
        <v>249095</v>
      </c>
      <c r="G9" s="273"/>
      <c r="H9" s="484">
        <f>+ROUND(F9/30,0)</f>
        <v>8303</v>
      </c>
      <c r="I9" s="273"/>
    </row>
    <row r="10" spans="1:9" ht="13.5" x14ac:dyDescent="0.25">
      <c r="A10" s="57"/>
      <c r="B10" s="55"/>
      <c r="C10" s="55"/>
      <c r="D10" s="55"/>
      <c r="E10" s="55"/>
      <c r="F10" s="55"/>
      <c r="G10" s="56"/>
      <c r="H10" s="57"/>
      <c r="I10" s="57"/>
    </row>
    <row r="11" spans="1:9" x14ac:dyDescent="0.2">
      <c r="A11" s="53" t="s">
        <v>448</v>
      </c>
      <c r="B11" s="477" t="s">
        <v>520</v>
      </c>
      <c r="C11" s="271"/>
      <c r="D11" s="271"/>
      <c r="E11" s="271"/>
      <c r="F11" s="271"/>
      <c r="G11" s="271"/>
      <c r="H11" s="273"/>
      <c r="I11" s="53" t="s">
        <v>24</v>
      </c>
    </row>
    <row r="12" spans="1:9" ht="13.5" x14ac:dyDescent="0.2">
      <c r="A12" s="53" t="s">
        <v>459</v>
      </c>
      <c r="B12" s="480" t="s">
        <v>521</v>
      </c>
      <c r="C12" s="271"/>
      <c r="D12" s="271"/>
      <c r="E12" s="271"/>
      <c r="F12" s="271"/>
      <c r="G12" s="271"/>
      <c r="H12" s="273"/>
      <c r="I12" s="58">
        <v>1</v>
      </c>
    </row>
    <row r="13" spans="1:9" ht="13.5" x14ac:dyDescent="0.25">
      <c r="A13" s="57"/>
      <c r="B13" s="55"/>
      <c r="C13" s="55"/>
      <c r="D13" s="55"/>
      <c r="E13" s="55"/>
      <c r="F13" s="55"/>
      <c r="G13" s="477" t="s">
        <v>444</v>
      </c>
      <c r="H13" s="273"/>
      <c r="I13" s="59">
        <f>SUM(I12)</f>
        <v>1</v>
      </c>
    </row>
    <row r="14" spans="1:9" ht="13.5" x14ac:dyDescent="0.25">
      <c r="A14" s="57"/>
      <c r="B14" s="55"/>
      <c r="C14" s="55"/>
      <c r="D14" s="55"/>
      <c r="E14" s="55"/>
      <c r="F14" s="55"/>
      <c r="G14" s="56"/>
      <c r="H14" s="57"/>
      <c r="I14" s="60"/>
    </row>
    <row r="15" spans="1:9" x14ac:dyDescent="0.2">
      <c r="A15" s="53" t="s">
        <v>476</v>
      </c>
      <c r="B15" s="477" t="s">
        <v>522</v>
      </c>
      <c r="C15" s="271"/>
      <c r="D15" s="271"/>
      <c r="E15" s="271"/>
      <c r="F15" s="271"/>
      <c r="G15" s="271"/>
      <c r="H15" s="273"/>
      <c r="I15" s="53" t="s">
        <v>24</v>
      </c>
    </row>
    <row r="16" spans="1:9" ht="13.5" x14ac:dyDescent="0.2">
      <c r="A16" s="53" t="s">
        <v>478</v>
      </c>
      <c r="B16" s="476" t="s">
        <v>523</v>
      </c>
      <c r="C16" s="271"/>
      <c r="D16" s="271"/>
      <c r="E16" s="271"/>
      <c r="F16" s="271"/>
      <c r="G16" s="271"/>
      <c r="H16" s="273"/>
      <c r="I16" s="11">
        <v>0.1212</v>
      </c>
    </row>
    <row r="17" spans="1:9" ht="13.5" x14ac:dyDescent="0.2">
      <c r="A17" s="53" t="s">
        <v>480</v>
      </c>
      <c r="B17" s="476" t="s">
        <v>524</v>
      </c>
      <c r="C17" s="271"/>
      <c r="D17" s="271"/>
      <c r="E17" s="271"/>
      <c r="F17" s="271"/>
      <c r="G17" s="271"/>
      <c r="H17" s="273"/>
      <c r="I17" s="11">
        <v>8.3299999999999999E-2</v>
      </c>
    </row>
    <row r="18" spans="1:9" ht="13.5" x14ac:dyDescent="0.2">
      <c r="A18" s="53" t="s">
        <v>482</v>
      </c>
      <c r="B18" s="476" t="s">
        <v>525</v>
      </c>
      <c r="C18" s="271"/>
      <c r="D18" s="271"/>
      <c r="E18" s="271"/>
      <c r="F18" s="271"/>
      <c r="G18" s="271"/>
      <c r="H18" s="273"/>
      <c r="I18" s="11">
        <v>8.3299999999999999E-2</v>
      </c>
    </row>
    <row r="19" spans="1:9" ht="13.5" x14ac:dyDescent="0.2">
      <c r="A19" s="53" t="s">
        <v>484</v>
      </c>
      <c r="B19" s="476" t="s">
        <v>526</v>
      </c>
      <c r="C19" s="271"/>
      <c r="D19" s="271"/>
      <c r="E19" s="271"/>
      <c r="F19" s="271"/>
      <c r="G19" s="271"/>
      <c r="H19" s="273"/>
      <c r="I19" s="11">
        <v>0.01</v>
      </c>
    </row>
    <row r="20" spans="1:9" ht="13.5" x14ac:dyDescent="0.2">
      <c r="A20" s="53" t="s">
        <v>486</v>
      </c>
      <c r="B20" s="476" t="s">
        <v>527</v>
      </c>
      <c r="C20" s="271"/>
      <c r="D20" s="271"/>
      <c r="E20" s="271"/>
      <c r="F20" s="271"/>
      <c r="G20" s="271"/>
      <c r="H20" s="273"/>
      <c r="I20" s="61">
        <f>+I17/2</f>
        <v>4.165E-2</v>
      </c>
    </row>
    <row r="21" spans="1:9" ht="13.5" x14ac:dyDescent="0.25">
      <c r="A21" s="57"/>
      <c r="B21" s="55"/>
      <c r="C21" s="55"/>
      <c r="D21" s="55"/>
      <c r="E21" s="55"/>
      <c r="F21" s="55"/>
      <c r="G21" s="477" t="s">
        <v>444</v>
      </c>
      <c r="H21" s="273"/>
      <c r="I21" s="62">
        <f>SUM(I16:I20)</f>
        <v>0.33945000000000003</v>
      </c>
    </row>
    <row r="22" spans="1:9" ht="13.5" x14ac:dyDescent="0.25">
      <c r="A22" s="57"/>
      <c r="B22" s="55"/>
      <c r="C22" s="55"/>
      <c r="D22" s="55"/>
      <c r="E22" s="55"/>
      <c r="F22" s="55"/>
      <c r="G22" s="56"/>
      <c r="H22" s="57"/>
      <c r="I22" s="63"/>
    </row>
    <row r="23" spans="1:9" x14ac:dyDescent="0.2">
      <c r="A23" s="53" t="s">
        <v>494</v>
      </c>
      <c r="B23" s="477" t="s">
        <v>528</v>
      </c>
      <c r="C23" s="271"/>
      <c r="D23" s="271"/>
      <c r="E23" s="271"/>
      <c r="F23" s="271"/>
      <c r="G23" s="271"/>
      <c r="H23" s="273"/>
      <c r="I23" s="62" t="s">
        <v>24</v>
      </c>
    </row>
    <row r="24" spans="1:9" ht="13.5" x14ac:dyDescent="0.2">
      <c r="A24" s="53" t="s">
        <v>496</v>
      </c>
      <c r="B24" s="476" t="s">
        <v>529</v>
      </c>
      <c r="C24" s="271"/>
      <c r="D24" s="271"/>
      <c r="E24" s="271"/>
      <c r="F24" s="271"/>
      <c r="G24" s="271"/>
      <c r="H24" s="273"/>
      <c r="I24" s="11">
        <v>0.12</v>
      </c>
    </row>
    <row r="25" spans="1:9" ht="13.5" x14ac:dyDescent="0.2">
      <c r="A25" s="53" t="s">
        <v>530</v>
      </c>
      <c r="B25" s="476" t="s">
        <v>531</v>
      </c>
      <c r="C25" s="271"/>
      <c r="D25" s="271"/>
      <c r="E25" s="271"/>
      <c r="F25" s="271"/>
      <c r="G25" s="271"/>
      <c r="H25" s="273"/>
      <c r="I25" s="11">
        <v>6.9599999999999995E-2</v>
      </c>
    </row>
    <row r="26" spans="1:9" ht="13.5" x14ac:dyDescent="0.2">
      <c r="A26" s="53" t="s">
        <v>532</v>
      </c>
      <c r="B26" s="476" t="s">
        <v>533</v>
      </c>
      <c r="C26" s="271"/>
      <c r="D26" s="271"/>
      <c r="E26" s="271"/>
      <c r="F26" s="271"/>
      <c r="G26" s="271"/>
      <c r="H26" s="273"/>
      <c r="I26" s="11">
        <v>0.125</v>
      </c>
    </row>
    <row r="27" spans="1:9" ht="13.5" x14ac:dyDescent="0.25">
      <c r="A27" s="57"/>
      <c r="B27" s="55"/>
      <c r="C27" s="55"/>
      <c r="D27" s="55"/>
      <c r="E27" s="55"/>
      <c r="F27" s="55"/>
      <c r="G27" s="477" t="s">
        <v>444</v>
      </c>
      <c r="H27" s="273"/>
      <c r="I27" s="62">
        <f>SUM(I24:I26)</f>
        <v>0.31459999999999999</v>
      </c>
    </row>
    <row r="28" spans="1:9" ht="13.5" x14ac:dyDescent="0.25">
      <c r="A28" s="57"/>
      <c r="B28" s="55"/>
      <c r="C28" s="55"/>
      <c r="D28" s="55"/>
      <c r="E28" s="55"/>
      <c r="F28" s="55"/>
      <c r="G28" s="56"/>
      <c r="H28" s="57"/>
      <c r="I28" s="57"/>
    </row>
    <row r="29" spans="1:9" x14ac:dyDescent="0.2">
      <c r="A29" s="53" t="s">
        <v>498</v>
      </c>
      <c r="B29" s="477" t="s">
        <v>534</v>
      </c>
      <c r="C29" s="271"/>
      <c r="D29" s="271"/>
      <c r="E29" s="271"/>
      <c r="F29" s="271"/>
      <c r="G29" s="271"/>
      <c r="H29" s="273"/>
      <c r="I29" s="53" t="s">
        <v>24</v>
      </c>
    </row>
    <row r="30" spans="1:9" ht="13.5" x14ac:dyDescent="0.2">
      <c r="A30" s="53" t="s">
        <v>500</v>
      </c>
      <c r="B30" s="476" t="s">
        <v>535</v>
      </c>
      <c r="C30" s="271"/>
      <c r="D30" s="271"/>
      <c r="E30" s="271"/>
      <c r="F30" s="271"/>
      <c r="G30" s="271"/>
      <c r="H30" s="273"/>
      <c r="I30" s="11">
        <v>0.04</v>
      </c>
    </row>
    <row r="31" spans="1:9" ht="13.5" x14ac:dyDescent="0.2">
      <c r="A31" s="53" t="s">
        <v>503</v>
      </c>
      <c r="B31" s="476" t="s">
        <v>536</v>
      </c>
      <c r="C31" s="271"/>
      <c r="D31" s="271"/>
      <c r="E31" s="271"/>
      <c r="F31" s="271"/>
      <c r="G31" s="271"/>
      <c r="H31" s="273"/>
      <c r="I31" s="11">
        <v>0.02</v>
      </c>
    </row>
    <row r="32" spans="1:9" ht="13.5" x14ac:dyDescent="0.2">
      <c r="A32" s="53" t="s">
        <v>504</v>
      </c>
      <c r="B32" s="476" t="s">
        <v>537</v>
      </c>
      <c r="C32" s="271"/>
      <c r="D32" s="271"/>
      <c r="E32" s="271"/>
      <c r="F32" s="271"/>
      <c r="G32" s="271"/>
      <c r="H32" s="273"/>
      <c r="I32" s="11">
        <v>1.7500000000000002E-2</v>
      </c>
    </row>
    <row r="33" spans="1:11" ht="13.5" x14ac:dyDescent="0.2">
      <c r="A33" s="53" t="s">
        <v>505</v>
      </c>
      <c r="B33" s="485" t="s">
        <v>538</v>
      </c>
      <c r="C33" s="271"/>
      <c r="D33" s="271"/>
      <c r="E33" s="271"/>
      <c r="F33" s="271"/>
      <c r="G33" s="271"/>
      <c r="H33" s="273"/>
      <c r="I33" s="11">
        <v>0</v>
      </c>
    </row>
    <row r="34" spans="1:11" ht="13.5" x14ac:dyDescent="0.2">
      <c r="A34" s="53" t="s">
        <v>506</v>
      </c>
      <c r="B34" s="485" t="s">
        <v>539</v>
      </c>
      <c r="C34" s="271"/>
      <c r="D34" s="271"/>
      <c r="E34" s="271"/>
      <c r="F34" s="271"/>
      <c r="G34" s="271"/>
      <c r="H34" s="273"/>
      <c r="I34" s="11">
        <v>0</v>
      </c>
    </row>
    <row r="35" spans="1:11" ht="13.5" x14ac:dyDescent="0.2">
      <c r="A35" s="53" t="s">
        <v>508</v>
      </c>
      <c r="B35" s="476" t="s">
        <v>540</v>
      </c>
      <c r="C35" s="271"/>
      <c r="D35" s="271"/>
      <c r="E35" s="271"/>
      <c r="F35" s="271"/>
      <c r="G35" s="271"/>
      <c r="H35" s="273"/>
      <c r="I35" s="11">
        <v>0.03</v>
      </c>
    </row>
    <row r="36" spans="1:11" ht="13.5" x14ac:dyDescent="0.25">
      <c r="A36" s="57"/>
      <c r="B36" s="55"/>
      <c r="C36" s="55"/>
      <c r="D36" s="55"/>
      <c r="E36" s="55"/>
      <c r="F36" s="55"/>
      <c r="G36" s="481" t="s">
        <v>444</v>
      </c>
      <c r="H36" s="482"/>
      <c r="I36" s="64">
        <f>SUM(I30:I35)</f>
        <v>0.1075</v>
      </c>
    </row>
    <row r="37" spans="1:11" ht="13.5" x14ac:dyDescent="0.25">
      <c r="A37" s="57"/>
      <c r="B37" s="55"/>
      <c r="C37" s="55"/>
      <c r="D37" s="55"/>
      <c r="E37" s="55"/>
      <c r="F37" s="55"/>
      <c r="G37" s="56"/>
      <c r="H37" s="57"/>
      <c r="I37" s="57"/>
    </row>
    <row r="38" spans="1:11" x14ac:dyDescent="0.2">
      <c r="A38" s="53" t="s">
        <v>541</v>
      </c>
      <c r="B38" s="477" t="s">
        <v>542</v>
      </c>
      <c r="C38" s="271"/>
      <c r="D38" s="271"/>
      <c r="E38" s="271"/>
      <c r="F38" s="271"/>
      <c r="G38" s="271"/>
      <c r="H38" s="273"/>
      <c r="I38" s="53" t="s">
        <v>24</v>
      </c>
    </row>
    <row r="39" spans="1:11" ht="13.5" x14ac:dyDescent="0.2">
      <c r="A39" s="53" t="s">
        <v>543</v>
      </c>
      <c r="B39" s="476" t="s">
        <v>3170</v>
      </c>
      <c r="C39" s="271"/>
      <c r="D39" s="271"/>
      <c r="E39" s="271"/>
      <c r="F39" s="271"/>
      <c r="G39" s="271"/>
      <c r="H39" s="273"/>
      <c r="I39" s="11">
        <v>0.15</v>
      </c>
    </row>
    <row r="40" spans="1:11" ht="13.5" x14ac:dyDescent="0.2">
      <c r="A40" s="53" t="s">
        <v>544</v>
      </c>
      <c r="B40" s="476" t="s">
        <v>545</v>
      </c>
      <c r="C40" s="271"/>
      <c r="D40" s="271"/>
      <c r="E40" s="271"/>
      <c r="F40" s="271"/>
      <c r="G40" s="271"/>
      <c r="H40" s="273"/>
      <c r="I40" s="11">
        <v>5.0000000000000001E-3</v>
      </c>
    </row>
    <row r="41" spans="1:11" ht="13.5" x14ac:dyDescent="0.2">
      <c r="A41" s="53" t="s">
        <v>3169</v>
      </c>
      <c r="B41" s="476" t="s">
        <v>3171</v>
      </c>
      <c r="C41" s="271"/>
      <c r="D41" s="271"/>
      <c r="E41" s="271"/>
      <c r="F41" s="271"/>
      <c r="G41" s="271"/>
      <c r="H41" s="273"/>
      <c r="I41" s="11">
        <v>0.05</v>
      </c>
    </row>
    <row r="42" spans="1:11" ht="13.5" x14ac:dyDescent="0.25">
      <c r="A42" s="57"/>
      <c r="B42" s="55"/>
      <c r="C42" s="55"/>
      <c r="D42" s="55"/>
      <c r="E42" s="55"/>
      <c r="F42" s="55"/>
      <c r="G42" s="477" t="s">
        <v>444</v>
      </c>
      <c r="H42" s="273"/>
      <c r="I42" s="62">
        <f>SUM(I39:I41)</f>
        <v>0.20500000000000002</v>
      </c>
    </row>
    <row r="43" spans="1:11" ht="13.5" x14ac:dyDescent="0.25">
      <c r="A43" s="57"/>
      <c r="B43" s="55"/>
      <c r="C43" s="55"/>
      <c r="D43" s="55"/>
      <c r="E43" s="55"/>
      <c r="F43" s="55"/>
      <c r="G43" s="56"/>
      <c r="H43" s="57"/>
      <c r="I43" s="57"/>
    </row>
    <row r="44" spans="1:11" ht="13.5" x14ac:dyDescent="0.25">
      <c r="A44" s="57"/>
      <c r="B44" s="55"/>
      <c r="C44" s="55"/>
      <c r="D44" s="55"/>
      <c r="E44" s="55"/>
      <c r="F44" s="477" t="s">
        <v>546</v>
      </c>
      <c r="G44" s="273"/>
      <c r="H44" s="490">
        <f>I13+I21+I27+I36+I42</f>
        <v>1.96655</v>
      </c>
      <c r="I44" s="273"/>
      <c r="K44">
        <v>1.96655</v>
      </c>
    </row>
    <row r="45" spans="1:11" ht="13.5" x14ac:dyDescent="0.25">
      <c r="A45" s="57"/>
      <c r="B45" s="55"/>
      <c r="C45" s="55"/>
      <c r="D45" s="55"/>
      <c r="E45" s="55"/>
      <c r="F45" s="491" t="s">
        <v>3218</v>
      </c>
      <c r="G45" s="492"/>
      <c r="H45" s="490">
        <v>1.88</v>
      </c>
      <c r="I45" s="273"/>
    </row>
    <row r="46" spans="1:11" x14ac:dyDescent="0.2">
      <c r="A46" s="53" t="s">
        <v>547</v>
      </c>
      <c r="B46" s="477" t="s">
        <v>548</v>
      </c>
      <c r="C46" s="271"/>
      <c r="D46" s="271"/>
      <c r="E46" s="271"/>
      <c r="F46" s="271"/>
      <c r="G46" s="271"/>
      <c r="H46" s="273"/>
      <c r="I46" s="53" t="s">
        <v>24</v>
      </c>
    </row>
    <row r="47" spans="1:11" ht="13.5" x14ac:dyDescent="0.2">
      <c r="A47" s="53" t="s">
        <v>549</v>
      </c>
      <c r="B47" s="476" t="str">
        <f>+aiu!B45:G45</f>
        <v>Pro Cultura</v>
      </c>
      <c r="C47" s="271"/>
      <c r="D47" s="271"/>
      <c r="E47" s="271"/>
      <c r="F47" s="271"/>
      <c r="G47" s="271"/>
      <c r="H47" s="273"/>
      <c r="I47" s="11">
        <v>1.4999999999999999E-2</v>
      </c>
    </row>
    <row r="48" spans="1:11" ht="13.5" x14ac:dyDescent="0.2">
      <c r="A48" s="53" t="s">
        <v>550</v>
      </c>
      <c r="B48" s="476" t="str">
        <f>+aiu!B46:G46</f>
        <v>Pro desarrollo</v>
      </c>
      <c r="C48" s="271"/>
      <c r="D48" s="271"/>
      <c r="E48" s="271"/>
      <c r="F48" s="271"/>
      <c r="G48" s="271"/>
      <c r="H48" s="273"/>
      <c r="I48" s="11">
        <v>0.04</v>
      </c>
    </row>
    <row r="49" spans="1:9" ht="13.5" x14ac:dyDescent="0.2">
      <c r="A49" s="53" t="s">
        <v>551</v>
      </c>
      <c r="B49" s="476" t="str">
        <f>+aiu!B47:G47</f>
        <v>Pro Usco</v>
      </c>
      <c r="C49" s="271"/>
      <c r="D49" s="271"/>
      <c r="E49" s="271"/>
      <c r="F49" s="271"/>
      <c r="G49" s="271"/>
      <c r="H49" s="273"/>
      <c r="I49" s="11">
        <v>0.01</v>
      </c>
    </row>
    <row r="50" spans="1:9" ht="13.5" x14ac:dyDescent="0.2">
      <c r="A50" s="53" t="s">
        <v>552</v>
      </c>
      <c r="B50" s="476" t="e">
        <f>+_xlfn.SINGLE(aiu!#REF!)</f>
        <v>#REF!</v>
      </c>
      <c r="C50" s="271"/>
      <c r="D50" s="271"/>
      <c r="E50" s="271"/>
      <c r="F50" s="271"/>
      <c r="G50" s="271"/>
      <c r="H50" s="273"/>
      <c r="I50" s="11">
        <v>0.01</v>
      </c>
    </row>
    <row r="51" spans="1:9" ht="13.5" x14ac:dyDescent="0.2">
      <c r="A51" s="53" t="s">
        <v>553</v>
      </c>
      <c r="B51" s="476" t="str">
        <f>+aiu!B48:G48</f>
        <v>Pro Deporte</v>
      </c>
      <c r="C51" s="271"/>
      <c r="D51" s="271"/>
      <c r="E51" s="271"/>
      <c r="F51" s="271"/>
      <c r="G51" s="271"/>
      <c r="H51" s="273"/>
      <c r="I51" s="11">
        <v>0.01</v>
      </c>
    </row>
    <row r="52" spans="1:9" ht="13.5" x14ac:dyDescent="0.2">
      <c r="A52" s="53" t="s">
        <v>554</v>
      </c>
      <c r="B52" s="476" t="e">
        <f>+_xlfn.SINGLE(aiu!#REF!)</f>
        <v>#REF!</v>
      </c>
      <c r="C52" s="271"/>
      <c r="D52" s="271"/>
      <c r="E52" s="271"/>
      <c r="F52" s="271"/>
      <c r="G52" s="271"/>
      <c r="H52" s="273"/>
      <c r="I52" s="11">
        <v>7.0000000000000001E-3</v>
      </c>
    </row>
    <row r="53" spans="1:9" ht="13.5" x14ac:dyDescent="0.2">
      <c r="A53" s="53" t="s">
        <v>555</v>
      </c>
      <c r="B53" s="476" t="str">
        <f>+aiu!B49:G49</f>
        <v>Contribución Obras Públicas</v>
      </c>
      <c r="C53" s="271"/>
      <c r="D53" s="271"/>
      <c r="E53" s="271"/>
      <c r="F53" s="271"/>
      <c r="G53" s="271"/>
      <c r="H53" s="273"/>
      <c r="I53" s="11">
        <v>0.05</v>
      </c>
    </row>
    <row r="54" spans="1:9" x14ac:dyDescent="0.2">
      <c r="A54" s="55"/>
      <c r="B54" s="55"/>
      <c r="C54" s="55"/>
      <c r="D54" s="55"/>
      <c r="E54" s="55"/>
      <c r="F54" s="55"/>
      <c r="G54" s="477" t="s">
        <v>444</v>
      </c>
      <c r="H54" s="273"/>
      <c r="I54" s="62">
        <f>SUM(I47:I53)</f>
        <v>0.14200000000000002</v>
      </c>
    </row>
    <row r="55" spans="1:9" ht="13.5" x14ac:dyDescent="0.25">
      <c r="A55" s="65" t="s">
        <v>556</v>
      </c>
      <c r="B55" s="55" t="s">
        <v>556</v>
      </c>
      <c r="C55" s="55" t="s">
        <v>556</v>
      </c>
      <c r="D55" s="55" t="s">
        <v>556</v>
      </c>
      <c r="E55" s="55" t="s">
        <v>556</v>
      </c>
      <c r="F55" s="55" t="s">
        <v>556</v>
      </c>
      <c r="G55" s="55"/>
      <c r="H55" s="66" t="s">
        <v>556</v>
      </c>
      <c r="I55" s="67" t="s">
        <v>556</v>
      </c>
    </row>
    <row r="56" spans="1:9" x14ac:dyDescent="0.2">
      <c r="A56" s="53" t="s">
        <v>557</v>
      </c>
      <c r="B56" s="477" t="s">
        <v>438</v>
      </c>
      <c r="C56" s="271"/>
      <c r="D56" s="271"/>
      <c r="E56" s="271"/>
      <c r="F56" s="271"/>
      <c r="G56" s="271"/>
      <c r="H56" s="273"/>
      <c r="I56" s="53" t="s">
        <v>24</v>
      </c>
    </row>
    <row r="57" spans="1:9" ht="13.5" x14ac:dyDescent="0.2">
      <c r="A57" s="53" t="s">
        <v>558</v>
      </c>
      <c r="B57" s="476" t="s">
        <v>559</v>
      </c>
      <c r="C57" s="271"/>
      <c r="D57" s="271"/>
      <c r="E57" s="271"/>
      <c r="F57" s="271"/>
      <c r="G57" s="271"/>
      <c r="H57" s="273"/>
      <c r="I57" s="11">
        <v>0.02</v>
      </c>
    </row>
    <row r="58" spans="1:9" ht="13.5" x14ac:dyDescent="0.2">
      <c r="A58" s="53" t="s">
        <v>560</v>
      </c>
      <c r="B58" s="476" t="s">
        <v>561</v>
      </c>
      <c r="C58" s="271"/>
      <c r="D58" s="271"/>
      <c r="E58" s="271"/>
      <c r="F58" s="271"/>
      <c r="G58" s="271"/>
      <c r="H58" s="273"/>
      <c r="I58" s="11">
        <v>0.01</v>
      </c>
    </row>
    <row r="59" spans="1:9" ht="13.5" x14ac:dyDescent="0.2">
      <c r="A59" s="53" t="s">
        <v>562</v>
      </c>
      <c r="B59" s="476" t="s">
        <v>563</v>
      </c>
      <c r="C59" s="271"/>
      <c r="D59" s="271"/>
      <c r="E59" s="271"/>
      <c r="F59" s="271"/>
      <c r="G59" s="271"/>
      <c r="H59" s="273"/>
      <c r="I59" s="11">
        <v>0.05</v>
      </c>
    </row>
    <row r="60" spans="1:9" ht="13.5" x14ac:dyDescent="0.2">
      <c r="A60" s="53" t="s">
        <v>564</v>
      </c>
      <c r="B60" s="476" t="s">
        <v>565</v>
      </c>
      <c r="C60" s="271"/>
      <c r="D60" s="271"/>
      <c r="E60" s="271"/>
      <c r="F60" s="271"/>
      <c r="G60" s="271"/>
      <c r="H60" s="273"/>
      <c r="I60" s="11">
        <v>0</v>
      </c>
    </row>
    <row r="61" spans="1:9" ht="13.5" x14ac:dyDescent="0.2">
      <c r="A61" s="53" t="s">
        <v>566</v>
      </c>
      <c r="B61" s="476" t="s">
        <v>567</v>
      </c>
      <c r="C61" s="271"/>
      <c r="D61" s="271"/>
      <c r="E61" s="271"/>
      <c r="F61" s="271"/>
      <c r="G61" s="271"/>
      <c r="H61" s="273"/>
      <c r="I61" s="11">
        <v>0.01</v>
      </c>
    </row>
    <row r="62" spans="1:9" ht="13.5" x14ac:dyDescent="0.2">
      <c r="A62" s="53" t="s">
        <v>568</v>
      </c>
      <c r="B62" s="476" t="s">
        <v>569</v>
      </c>
      <c r="C62" s="271"/>
      <c r="D62" s="271"/>
      <c r="E62" s="271"/>
      <c r="F62" s="271"/>
      <c r="G62" s="271"/>
      <c r="H62" s="273"/>
      <c r="I62" s="11">
        <v>0.03</v>
      </c>
    </row>
    <row r="63" spans="1:9" ht="13.5" x14ac:dyDescent="0.25">
      <c r="A63" s="57"/>
      <c r="B63" s="55"/>
      <c r="C63" s="55"/>
      <c r="D63" s="55"/>
      <c r="E63" s="55"/>
      <c r="F63" s="55"/>
      <c r="G63" s="477" t="s">
        <v>444</v>
      </c>
      <c r="H63" s="273"/>
      <c r="I63" s="62">
        <f>SUM(I57:I62)</f>
        <v>0.12</v>
      </c>
    </row>
    <row r="64" spans="1:9" ht="13.5" x14ac:dyDescent="0.25">
      <c r="A64" s="65" t="s">
        <v>556</v>
      </c>
      <c r="B64" s="55" t="s">
        <v>556</v>
      </c>
      <c r="C64" s="55"/>
      <c r="D64" s="55"/>
      <c r="E64" s="55"/>
      <c r="F64" s="55"/>
      <c r="G64" s="55"/>
      <c r="H64" s="66" t="s">
        <v>556</v>
      </c>
      <c r="I64" s="67" t="s">
        <v>556</v>
      </c>
    </row>
    <row r="65" spans="1:11" x14ac:dyDescent="0.2">
      <c r="A65" s="53" t="s">
        <v>570</v>
      </c>
      <c r="B65" s="477" t="s">
        <v>571</v>
      </c>
      <c r="C65" s="271"/>
      <c r="D65" s="271"/>
      <c r="E65" s="271"/>
      <c r="F65" s="271"/>
      <c r="G65" s="271"/>
      <c r="H65" s="273"/>
      <c r="I65" s="53" t="s">
        <v>24</v>
      </c>
    </row>
    <row r="66" spans="1:11" ht="13.5" x14ac:dyDescent="0.2">
      <c r="A66" s="53" t="s">
        <v>572</v>
      </c>
      <c r="B66" s="476" t="s">
        <v>573</v>
      </c>
      <c r="C66" s="271"/>
      <c r="D66" s="271"/>
      <c r="E66" s="271"/>
      <c r="F66" s="271"/>
      <c r="G66" s="271"/>
      <c r="H66" s="273"/>
      <c r="I66" s="11">
        <v>3.3999999999999998E-3</v>
      </c>
    </row>
    <row r="67" spans="1:11" ht="13.5" x14ac:dyDescent="0.2">
      <c r="A67" s="53" t="s">
        <v>574</v>
      </c>
      <c r="B67" s="476" t="s">
        <v>575</v>
      </c>
      <c r="C67" s="271"/>
      <c r="D67" s="271"/>
      <c r="E67" s="271"/>
      <c r="F67" s="271"/>
      <c r="G67" s="271"/>
      <c r="H67" s="273"/>
      <c r="I67" s="11">
        <v>5.9999999999999995E-4</v>
      </c>
    </row>
    <row r="68" spans="1:11" ht="13.5" x14ac:dyDescent="0.2">
      <c r="A68" s="53" t="s">
        <v>576</v>
      </c>
      <c r="B68" s="476" t="s">
        <v>577</v>
      </c>
      <c r="C68" s="271"/>
      <c r="D68" s="271"/>
      <c r="E68" s="271"/>
      <c r="F68" s="271"/>
      <c r="G68" s="271"/>
      <c r="H68" s="273"/>
      <c r="I68" s="11">
        <v>0</v>
      </c>
    </row>
    <row r="69" spans="1:11" x14ac:dyDescent="0.2">
      <c r="A69" s="55" t="s">
        <v>556</v>
      </c>
      <c r="B69" s="55" t="s">
        <v>556</v>
      </c>
      <c r="C69" s="55" t="s">
        <v>556</v>
      </c>
      <c r="D69" s="55" t="s">
        <v>556</v>
      </c>
      <c r="E69" s="55" t="s">
        <v>556</v>
      </c>
      <c r="F69" s="55" t="s">
        <v>556</v>
      </c>
      <c r="G69" s="477" t="s">
        <v>444</v>
      </c>
      <c r="H69" s="273"/>
      <c r="I69" s="62">
        <f>SUM(I66:I68)</f>
        <v>4.0000000000000001E-3</v>
      </c>
    </row>
    <row r="70" spans="1:11" ht="13.5" x14ac:dyDescent="0.25">
      <c r="A70" s="57"/>
      <c r="B70" s="4"/>
      <c r="C70" s="4"/>
      <c r="D70" s="4"/>
      <c r="E70" s="4"/>
      <c r="F70" s="57"/>
      <c r="G70" s="57"/>
      <c r="H70" s="57"/>
      <c r="I70" s="57"/>
    </row>
    <row r="71" spans="1:11" ht="13.5" x14ac:dyDescent="0.25">
      <c r="A71" s="57"/>
      <c r="B71" s="4"/>
      <c r="C71" s="4"/>
      <c r="D71" s="4"/>
      <c r="E71" s="4"/>
      <c r="F71" s="57"/>
      <c r="G71" s="478" t="s">
        <v>514</v>
      </c>
      <c r="H71" s="53" t="s">
        <v>578</v>
      </c>
      <c r="I71" s="68">
        <f>H44+I54+I69+I63</f>
        <v>2.2325500000000003</v>
      </c>
    </row>
    <row r="72" spans="1:11" ht="13.5" x14ac:dyDescent="0.25">
      <c r="A72" s="57"/>
      <c r="B72" s="1"/>
      <c r="C72" s="1"/>
      <c r="D72" s="1"/>
      <c r="E72" s="1"/>
      <c r="F72" s="57"/>
      <c r="G72" s="479"/>
      <c r="H72" s="53" t="s">
        <v>579</v>
      </c>
      <c r="I72" s="62">
        <v>2.2000000000000002</v>
      </c>
      <c r="K72" s="62">
        <v>2.2000000000000002</v>
      </c>
    </row>
    <row r="73" spans="1:11" ht="13.5" x14ac:dyDescent="0.25">
      <c r="A73" s="57"/>
      <c r="B73" s="1"/>
      <c r="C73" s="1"/>
      <c r="D73" s="1"/>
      <c r="E73" s="1"/>
      <c r="F73" s="57"/>
      <c r="G73" s="57"/>
      <c r="H73" s="57"/>
      <c r="I73" s="57"/>
    </row>
    <row r="74" spans="1:11" ht="13.5" x14ac:dyDescent="0.2">
      <c r="A74" s="32"/>
      <c r="B74" s="1"/>
      <c r="C74" s="1"/>
      <c r="D74" s="1"/>
      <c r="E74" s="1"/>
      <c r="F74" s="69"/>
      <c r="G74" s="32"/>
      <c r="H74" s="32"/>
      <c r="I74" s="32"/>
    </row>
    <row r="75" spans="1:11" ht="13.5" thickBot="1" x14ac:dyDescent="0.25">
      <c r="B75" s="1"/>
      <c r="C75" s="1"/>
      <c r="F75" s="1"/>
      <c r="G75" s="1"/>
      <c r="H75" s="1"/>
      <c r="I75" s="1"/>
    </row>
    <row r="76" spans="1:11" ht="14.25" thickTop="1" x14ac:dyDescent="0.2">
      <c r="F76" s="302" t="s">
        <v>71</v>
      </c>
      <c r="G76" s="302"/>
      <c r="H76" s="302"/>
      <c r="I76" s="302"/>
    </row>
    <row r="77" spans="1:11" ht="13.5" x14ac:dyDescent="0.25">
      <c r="F77" s="303" t="s">
        <v>72</v>
      </c>
      <c r="G77" s="303"/>
      <c r="H77" s="303"/>
      <c r="I77" s="303"/>
    </row>
    <row r="78" spans="1:11" ht="13.5" x14ac:dyDescent="0.25">
      <c r="F78" s="303" t="s">
        <v>73</v>
      </c>
      <c r="G78" s="303"/>
      <c r="H78" s="303"/>
      <c r="I78" s="303"/>
    </row>
    <row r="79" spans="1:11" x14ac:dyDescent="0.2">
      <c r="G79" s="1"/>
    </row>
    <row r="80" spans="1:11" x14ac:dyDescent="0.2">
      <c r="G80" s="1"/>
    </row>
  </sheetData>
  <mergeCells count="73">
    <mergeCell ref="B49:H49"/>
    <mergeCell ref="B50:H50"/>
    <mergeCell ref="G42:H42"/>
    <mergeCell ref="F44:G44"/>
    <mergeCell ref="H44:I44"/>
    <mergeCell ref="B46:H46"/>
    <mergeCell ref="B47:H47"/>
    <mergeCell ref="B38:H38"/>
    <mergeCell ref="B39:H39"/>
    <mergeCell ref="B40:H40"/>
    <mergeCell ref="B48:H48"/>
    <mergeCell ref="B41:H41"/>
    <mergeCell ref="H45:I45"/>
    <mergeCell ref="F45:G45"/>
    <mergeCell ref="I2:I3"/>
    <mergeCell ref="A5:H6"/>
    <mergeCell ref="I5:I6"/>
    <mergeCell ref="A8:B8"/>
    <mergeCell ref="C8:D8"/>
    <mergeCell ref="F8:G8"/>
    <mergeCell ref="H8:I8"/>
    <mergeCell ref="A1:E3"/>
    <mergeCell ref="F1:G1"/>
    <mergeCell ref="F2:G3"/>
    <mergeCell ref="H2:H3"/>
    <mergeCell ref="A9:B9"/>
    <mergeCell ref="C9:D9"/>
    <mergeCell ref="H9:I9"/>
    <mergeCell ref="F9:G9"/>
    <mergeCell ref="B61:H61"/>
    <mergeCell ref="B24:H24"/>
    <mergeCell ref="B17:H17"/>
    <mergeCell ref="B18:H18"/>
    <mergeCell ref="B31:H31"/>
    <mergeCell ref="B32:H32"/>
    <mergeCell ref="B33:H33"/>
    <mergeCell ref="B34:H34"/>
    <mergeCell ref="B35:H35"/>
    <mergeCell ref="B25:H25"/>
    <mergeCell ref="B26:H26"/>
    <mergeCell ref="G27:H27"/>
    <mergeCell ref="B65:H65"/>
    <mergeCell ref="B62:H62"/>
    <mergeCell ref="B57:H57"/>
    <mergeCell ref="B58:H58"/>
    <mergeCell ref="B11:H11"/>
    <mergeCell ref="B12:H12"/>
    <mergeCell ref="G13:H13"/>
    <mergeCell ref="B15:H15"/>
    <mergeCell ref="B16:H16"/>
    <mergeCell ref="B19:H19"/>
    <mergeCell ref="B20:H20"/>
    <mergeCell ref="G21:H21"/>
    <mergeCell ref="B23:H23"/>
    <mergeCell ref="B29:H29"/>
    <mergeCell ref="B30:H30"/>
    <mergeCell ref="G36:H36"/>
    <mergeCell ref="B66:H66"/>
    <mergeCell ref="F76:I76"/>
    <mergeCell ref="F77:I77"/>
    <mergeCell ref="F78:I78"/>
    <mergeCell ref="B51:H51"/>
    <mergeCell ref="B52:H52"/>
    <mergeCell ref="B53:H53"/>
    <mergeCell ref="G54:H54"/>
    <mergeCell ref="B56:H56"/>
    <mergeCell ref="G63:H63"/>
    <mergeCell ref="B67:H67"/>
    <mergeCell ref="B68:H68"/>
    <mergeCell ref="G69:H69"/>
    <mergeCell ref="G71:G72"/>
    <mergeCell ref="B59:H59"/>
    <mergeCell ref="B60:H60"/>
  </mergeCells>
  <pageMargins left="0.7" right="0.7" top="0.75" bottom="0.75" header="0.3" footer="0.3"/>
  <pageSetup scale="85"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37054-EB0E-4CA0-9020-36D657D09E36}">
  <dimension ref="A1:Q32"/>
  <sheetViews>
    <sheetView view="pageBreakPreview" zoomScale="60" zoomScaleNormal="100" workbookViewId="0">
      <selection activeCell="T28" sqref="T28"/>
    </sheetView>
  </sheetViews>
  <sheetFormatPr baseColWidth="10" defaultRowHeight="12.75" x14ac:dyDescent="0.2"/>
  <sheetData>
    <row r="1" spans="1:17" x14ac:dyDescent="0.2">
      <c r="A1" s="283" t="str">
        <f>Indice!$A$1</f>
        <v>OPTIMIZACIÓN DE SISTEMA DE ACUEDUCTO DE LA ZONA URBANA DEL MUNICIPIO DE VILLAVIEJA Y LOS CENTROS POBLADOS POTOSÍ, HATO NUEVO, POLONIA Y SAN ALFONSO DEL MUNICIPIO DE VILLAVIEJA, DEPARTAMENTO DEL HUILA</v>
      </c>
      <c r="B1" s="275"/>
      <c r="C1" s="275"/>
      <c r="D1" s="275"/>
      <c r="E1" s="275"/>
      <c r="F1" s="275"/>
      <c r="G1" s="275"/>
      <c r="H1" s="275"/>
      <c r="I1" s="275"/>
      <c r="J1" s="275"/>
      <c r="K1" s="275"/>
      <c r="L1" s="276"/>
      <c r="M1" s="287" t="s">
        <v>74</v>
      </c>
      <c r="N1" s="273"/>
      <c r="O1" s="288">
        <f>P24</f>
        <v>45521651</v>
      </c>
      <c r="P1" s="275"/>
      <c r="Q1" s="276"/>
    </row>
    <row r="2" spans="1:17" x14ac:dyDescent="0.2">
      <c r="A2" s="284"/>
      <c r="B2" s="285"/>
      <c r="C2" s="285"/>
      <c r="D2" s="285"/>
      <c r="E2" s="285"/>
      <c r="F2" s="285"/>
      <c r="G2" s="285"/>
      <c r="H2" s="285"/>
      <c r="I2" s="285"/>
      <c r="J2" s="285"/>
      <c r="K2" s="285"/>
      <c r="L2" s="286"/>
      <c r="M2" s="289">
        <f>Indice!$L$1</f>
        <v>46203</v>
      </c>
      <c r="N2" s="276"/>
      <c r="O2" s="284"/>
      <c r="P2" s="285"/>
      <c r="Q2" s="286"/>
    </row>
    <row r="3" spans="1:17" x14ac:dyDescent="0.2">
      <c r="A3" s="277"/>
      <c r="B3" s="278"/>
      <c r="C3" s="278"/>
      <c r="D3" s="278"/>
      <c r="E3" s="278"/>
      <c r="F3" s="278"/>
      <c r="G3" s="278"/>
      <c r="H3" s="278"/>
      <c r="I3" s="278"/>
      <c r="J3" s="278"/>
      <c r="K3" s="278"/>
      <c r="L3" s="279"/>
      <c r="M3" s="277"/>
      <c r="N3" s="279"/>
      <c r="O3" s="277"/>
      <c r="P3" s="278"/>
      <c r="Q3" s="279"/>
    </row>
    <row r="4" spans="1:17" ht="13.5" x14ac:dyDescent="0.2">
      <c r="A4" s="32"/>
      <c r="B4" s="32"/>
      <c r="C4" s="32"/>
      <c r="D4" s="32"/>
      <c r="E4" s="32"/>
      <c r="F4" s="32"/>
      <c r="G4" s="32"/>
      <c r="H4" s="32"/>
      <c r="I4" s="32"/>
      <c r="J4" s="32"/>
      <c r="K4" s="32"/>
      <c r="L4" s="32"/>
      <c r="M4" s="32"/>
      <c r="N4" s="32"/>
      <c r="O4" s="32"/>
      <c r="P4" s="32"/>
      <c r="Q4" s="32"/>
    </row>
    <row r="5" spans="1:17" x14ac:dyDescent="0.2">
      <c r="A5" s="290" t="s">
        <v>580</v>
      </c>
      <c r="B5" s="275"/>
      <c r="C5" s="275"/>
      <c r="D5" s="275"/>
      <c r="E5" s="275"/>
      <c r="F5" s="275"/>
      <c r="G5" s="275"/>
      <c r="H5" s="275"/>
      <c r="I5" s="275"/>
      <c r="J5" s="275"/>
      <c r="K5" s="275"/>
      <c r="L5" s="275"/>
      <c r="M5" s="275"/>
      <c r="N5" s="275"/>
      <c r="O5" s="275"/>
      <c r="P5" s="275"/>
      <c r="Q5" s="276"/>
    </row>
    <row r="6" spans="1:17" x14ac:dyDescent="0.2">
      <c r="A6" s="277"/>
      <c r="B6" s="278"/>
      <c r="C6" s="278"/>
      <c r="D6" s="278"/>
      <c r="E6" s="278"/>
      <c r="F6" s="278"/>
      <c r="G6" s="278"/>
      <c r="H6" s="278"/>
      <c r="I6" s="278"/>
      <c r="J6" s="278"/>
      <c r="K6" s="278"/>
      <c r="L6" s="278"/>
      <c r="M6" s="278"/>
      <c r="N6" s="278"/>
      <c r="O6" s="278"/>
      <c r="P6" s="278"/>
      <c r="Q6" s="279"/>
    </row>
    <row r="7" spans="1:17" ht="13.5" x14ac:dyDescent="0.25">
      <c r="A7" s="70"/>
      <c r="B7" s="70"/>
      <c r="C7" s="70"/>
      <c r="D7" s="70"/>
      <c r="E7" s="70"/>
      <c r="F7" s="70"/>
      <c r="G7" s="70"/>
      <c r="H7" s="70"/>
      <c r="I7" s="70"/>
      <c r="J7" s="70"/>
      <c r="K7" s="70"/>
      <c r="L7" s="70"/>
      <c r="M7" s="70"/>
      <c r="N7" s="70"/>
      <c r="O7" s="70"/>
      <c r="P7" s="70"/>
      <c r="Q7" s="70"/>
    </row>
    <row r="8" spans="1:17" ht="13.5" x14ac:dyDescent="0.25">
      <c r="A8" s="70"/>
      <c r="B8" s="70"/>
      <c r="C8" s="499" t="s">
        <v>581</v>
      </c>
      <c r="D8" s="273"/>
      <c r="E8" s="500">
        <f>presup!M348</f>
        <v>2593050043.8024292</v>
      </c>
      <c r="F8" s="273"/>
      <c r="G8" s="497" t="s">
        <v>582</v>
      </c>
      <c r="H8" s="311"/>
      <c r="I8" s="498" t="s">
        <v>583</v>
      </c>
      <c r="J8" s="293"/>
      <c r="K8" s="293"/>
      <c r="L8" s="496"/>
      <c r="M8" s="3">
        <f>Indice!$G$10</f>
        <v>6</v>
      </c>
      <c r="N8" s="495" t="s">
        <v>584</v>
      </c>
      <c r="O8" s="293"/>
      <c r="P8" s="496"/>
      <c r="Q8" s="71">
        <f>+M8*30</f>
        <v>180</v>
      </c>
    </row>
    <row r="9" spans="1:17" ht="13.5" x14ac:dyDescent="0.25">
      <c r="A9" s="70"/>
      <c r="B9" s="70"/>
      <c r="C9" s="72"/>
      <c r="D9" s="70"/>
      <c r="E9" s="70"/>
      <c r="F9" s="70"/>
      <c r="G9" s="70"/>
      <c r="H9" s="70"/>
      <c r="I9" s="70"/>
      <c r="J9" s="70"/>
      <c r="K9" s="70"/>
      <c r="L9" s="70"/>
      <c r="M9" s="70"/>
      <c r="N9" s="70"/>
      <c r="O9" s="70"/>
      <c r="P9" s="70"/>
      <c r="Q9" s="70"/>
    </row>
    <row r="10" spans="1:17" x14ac:dyDescent="0.2">
      <c r="A10" s="329" t="s">
        <v>585</v>
      </c>
      <c r="B10" s="276"/>
      <c r="C10" s="283" t="s">
        <v>586</v>
      </c>
      <c r="D10" s="275"/>
      <c r="E10" s="276"/>
      <c r="F10" s="283" t="s">
        <v>587</v>
      </c>
      <c r="G10" s="275"/>
      <c r="H10" s="276"/>
      <c r="I10" s="283" t="s">
        <v>588</v>
      </c>
      <c r="J10" s="275"/>
      <c r="K10" s="276"/>
      <c r="L10" s="283" t="s">
        <v>589</v>
      </c>
      <c r="M10" s="275"/>
      <c r="N10" s="276"/>
      <c r="O10" s="283" t="s">
        <v>590</v>
      </c>
      <c r="P10" s="275"/>
      <c r="Q10" s="276"/>
    </row>
    <row r="11" spans="1:17" x14ac:dyDescent="0.2">
      <c r="A11" s="501"/>
      <c r="B11" s="322"/>
      <c r="C11" s="277"/>
      <c r="D11" s="278"/>
      <c r="E11" s="279"/>
      <c r="F11" s="277"/>
      <c r="G11" s="278"/>
      <c r="H11" s="279"/>
      <c r="I11" s="277"/>
      <c r="J11" s="278"/>
      <c r="K11" s="279"/>
      <c r="L11" s="277"/>
      <c r="M11" s="278"/>
      <c r="N11" s="279"/>
      <c r="O11" s="277"/>
      <c r="P11" s="278"/>
      <c r="Q11" s="279"/>
    </row>
    <row r="12" spans="1:17" ht="13.5" x14ac:dyDescent="0.2">
      <c r="A12" s="502" t="s">
        <v>24</v>
      </c>
      <c r="B12" s="335"/>
      <c r="C12" s="493">
        <v>0.3</v>
      </c>
      <c r="D12" s="271"/>
      <c r="E12" s="273"/>
      <c r="F12" s="493">
        <v>1</v>
      </c>
      <c r="G12" s="271"/>
      <c r="H12" s="273"/>
      <c r="I12" s="493">
        <v>0.2</v>
      </c>
      <c r="J12" s="271"/>
      <c r="K12" s="273"/>
      <c r="L12" s="493">
        <v>0.2</v>
      </c>
      <c r="M12" s="271"/>
      <c r="N12" s="273"/>
      <c r="O12" s="493">
        <v>0.1</v>
      </c>
      <c r="P12" s="271"/>
      <c r="Q12" s="273"/>
    </row>
    <row r="13" spans="1:17" x14ac:dyDescent="0.2">
      <c r="A13" s="329" t="s">
        <v>591</v>
      </c>
      <c r="B13" s="276"/>
      <c r="C13" s="494" t="s">
        <v>592</v>
      </c>
      <c r="D13" s="275"/>
      <c r="E13" s="276"/>
      <c r="F13" s="494" t="s">
        <v>592</v>
      </c>
      <c r="G13" s="275"/>
      <c r="H13" s="276"/>
      <c r="I13" s="494" t="s">
        <v>592</v>
      </c>
      <c r="J13" s="275"/>
      <c r="K13" s="276"/>
      <c r="L13" s="494" t="s">
        <v>593</v>
      </c>
      <c r="M13" s="275"/>
      <c r="N13" s="276"/>
      <c r="O13" s="494" t="s">
        <v>594</v>
      </c>
      <c r="P13" s="275"/>
      <c r="Q13" s="276"/>
    </row>
    <row r="14" spans="1:17" x14ac:dyDescent="0.2">
      <c r="A14" s="501"/>
      <c r="B14" s="322"/>
      <c r="C14" s="277"/>
      <c r="D14" s="278"/>
      <c r="E14" s="279"/>
      <c r="F14" s="277"/>
      <c r="G14" s="278"/>
      <c r="H14" s="279"/>
      <c r="I14" s="277"/>
      <c r="J14" s="278"/>
      <c r="K14" s="279"/>
      <c r="L14" s="277"/>
      <c r="M14" s="278"/>
      <c r="N14" s="279"/>
      <c r="O14" s="277"/>
      <c r="P14" s="278"/>
      <c r="Q14" s="279"/>
    </row>
    <row r="15" spans="1:17" ht="13.5" x14ac:dyDescent="0.2">
      <c r="A15" s="295" t="s">
        <v>595</v>
      </c>
      <c r="B15" s="273"/>
      <c r="C15" s="493">
        <v>5.0000000000000001E-3</v>
      </c>
      <c r="D15" s="271"/>
      <c r="E15" s="273"/>
      <c r="F15" s="493">
        <v>5.0000000000000001E-3</v>
      </c>
      <c r="G15" s="271"/>
      <c r="H15" s="273"/>
      <c r="I15" s="493">
        <v>5.0000000000000001E-3</v>
      </c>
      <c r="J15" s="271"/>
      <c r="K15" s="273"/>
      <c r="L15" s="493">
        <v>5.0000000000000001E-3</v>
      </c>
      <c r="M15" s="271"/>
      <c r="N15" s="273"/>
      <c r="O15" s="493">
        <v>5.0000000000000001E-3</v>
      </c>
      <c r="P15" s="271"/>
      <c r="Q15" s="273"/>
    </row>
    <row r="16" spans="1:17" ht="13.5" x14ac:dyDescent="0.2">
      <c r="A16" s="295" t="s">
        <v>596</v>
      </c>
      <c r="B16" s="273"/>
      <c r="C16" s="438">
        <f>$E$8*C12</f>
        <v>777915013.14072871</v>
      </c>
      <c r="D16" s="271"/>
      <c r="E16" s="273"/>
      <c r="F16" s="438">
        <f>$E$8*F12</f>
        <v>2593050043.8024292</v>
      </c>
      <c r="G16" s="271"/>
      <c r="H16" s="273"/>
      <c r="I16" s="438">
        <f>$E$8*I12</f>
        <v>518610008.76048589</v>
      </c>
      <c r="J16" s="271"/>
      <c r="K16" s="273"/>
      <c r="L16" s="438">
        <f>$E$8*L12</f>
        <v>518610008.76048589</v>
      </c>
      <c r="M16" s="271"/>
      <c r="N16" s="273"/>
      <c r="O16" s="438">
        <f>$E$8*O12</f>
        <v>259305004.38024294</v>
      </c>
      <c r="P16" s="271"/>
      <c r="Q16" s="273"/>
    </row>
    <row r="17" spans="1:17" ht="13.5" x14ac:dyDescent="0.2">
      <c r="A17" s="295" t="s">
        <v>597</v>
      </c>
      <c r="B17" s="273"/>
      <c r="C17" s="417">
        <f>6*30</f>
        <v>180</v>
      </c>
      <c r="D17" s="271"/>
      <c r="E17" s="273"/>
      <c r="F17" s="417">
        <f>6*30</f>
        <v>180</v>
      </c>
      <c r="G17" s="271"/>
      <c r="H17" s="273"/>
      <c r="I17" s="417">
        <f>6*30</f>
        <v>180</v>
      </c>
      <c r="J17" s="271"/>
      <c r="K17" s="273"/>
      <c r="L17" s="417">
        <f>5*12*30</f>
        <v>1800</v>
      </c>
      <c r="M17" s="271"/>
      <c r="N17" s="273"/>
      <c r="O17" s="417">
        <f>3*12*30</f>
        <v>1080</v>
      </c>
      <c r="P17" s="271"/>
      <c r="Q17" s="273"/>
    </row>
    <row r="18" spans="1:17" ht="13.5" x14ac:dyDescent="0.2">
      <c r="A18" s="295" t="s">
        <v>598</v>
      </c>
      <c r="B18" s="273"/>
      <c r="C18" s="417">
        <f>$Q$8+C17</f>
        <v>360</v>
      </c>
      <c r="D18" s="271"/>
      <c r="E18" s="273"/>
      <c r="F18" s="417">
        <f>$Q$8+F17</f>
        <v>360</v>
      </c>
      <c r="G18" s="271"/>
      <c r="H18" s="273"/>
      <c r="I18" s="417">
        <f>$Q$8+I17</f>
        <v>360</v>
      </c>
      <c r="J18" s="271"/>
      <c r="K18" s="273"/>
      <c r="L18" s="417">
        <f>$Q$8+L17</f>
        <v>1980</v>
      </c>
      <c r="M18" s="271"/>
      <c r="N18" s="273"/>
      <c r="O18" s="417">
        <f>$Q$8+O17</f>
        <v>1260</v>
      </c>
      <c r="P18" s="271"/>
      <c r="Q18" s="273"/>
    </row>
    <row r="19" spans="1:17" ht="13.5" x14ac:dyDescent="0.2">
      <c r="A19" s="295" t="s">
        <v>599</v>
      </c>
      <c r="B19" s="273"/>
      <c r="C19" s="438">
        <f>(C16*C15)/360*C18</f>
        <v>3889575.0657036435</v>
      </c>
      <c r="D19" s="271"/>
      <c r="E19" s="273"/>
      <c r="F19" s="438">
        <f>(F16*F15)/360*F18</f>
        <v>12965250.219012147</v>
      </c>
      <c r="G19" s="271"/>
      <c r="H19" s="273"/>
      <c r="I19" s="438">
        <f>(I16*I15)/360*I18</f>
        <v>2593050.0438024295</v>
      </c>
      <c r="J19" s="271"/>
      <c r="K19" s="273"/>
      <c r="L19" s="438">
        <f>(L16*L15)/360*L18</f>
        <v>14261775.240913361</v>
      </c>
      <c r="M19" s="271"/>
      <c r="N19" s="273"/>
      <c r="O19" s="438">
        <f>(O16*O15)/360*O18</f>
        <v>4537837.5766542517</v>
      </c>
      <c r="P19" s="271"/>
      <c r="Q19" s="273"/>
    </row>
    <row r="20" spans="1:17" ht="13.5" x14ac:dyDescent="0.25">
      <c r="A20" s="70"/>
      <c r="B20" s="70"/>
      <c r="C20" s="72"/>
      <c r="D20" s="70"/>
      <c r="E20" s="70"/>
      <c r="F20" s="70"/>
      <c r="G20" s="70"/>
      <c r="H20" s="70"/>
      <c r="I20" s="4"/>
      <c r="J20" s="4"/>
      <c r="K20" s="4"/>
      <c r="L20" s="4"/>
      <c r="M20" s="70"/>
      <c r="N20" s="70"/>
      <c r="O20" s="70"/>
      <c r="P20" s="70"/>
      <c r="Q20" s="70"/>
    </row>
    <row r="21" spans="1:17" ht="13.5" x14ac:dyDescent="0.25">
      <c r="A21" s="70"/>
      <c r="B21" s="70"/>
      <c r="C21" s="72"/>
      <c r="D21" s="70"/>
      <c r="E21" s="70"/>
      <c r="F21" s="70"/>
      <c r="G21" s="70"/>
      <c r="H21" s="70"/>
      <c r="I21" s="4"/>
      <c r="J21" s="4"/>
      <c r="K21" s="4"/>
      <c r="L21" s="4"/>
      <c r="M21" s="70"/>
      <c r="N21" s="347" t="s">
        <v>600</v>
      </c>
      <c r="O21" s="273"/>
      <c r="P21" s="504">
        <f>SUM(C19:Q19)</f>
        <v>38247488.146085829</v>
      </c>
      <c r="Q21" s="273"/>
    </row>
    <row r="22" spans="1:17" ht="13.5" x14ac:dyDescent="0.25">
      <c r="A22" s="70"/>
      <c r="B22" s="70"/>
      <c r="C22" s="72"/>
      <c r="D22" s="70"/>
      <c r="E22" s="70"/>
      <c r="F22" s="70"/>
      <c r="G22" s="70"/>
      <c r="H22" s="70"/>
      <c r="I22" s="4"/>
      <c r="J22" s="4"/>
      <c r="K22" s="4"/>
      <c r="L22" s="4"/>
      <c r="M22" s="70"/>
      <c r="N22" s="347" t="s">
        <v>601</v>
      </c>
      <c r="O22" s="273"/>
      <c r="P22" s="504">
        <v>6000</v>
      </c>
      <c r="Q22" s="273"/>
    </row>
    <row r="23" spans="1:17" ht="13.5" x14ac:dyDescent="0.25">
      <c r="A23" s="70"/>
      <c r="B23" s="70"/>
      <c r="C23" s="72"/>
      <c r="D23" s="70"/>
      <c r="E23" s="70"/>
      <c r="F23" s="70"/>
      <c r="G23" s="70"/>
      <c r="H23" s="70"/>
      <c r="I23" s="4"/>
      <c r="J23" s="4"/>
      <c r="K23" s="4"/>
      <c r="L23" s="4"/>
      <c r="M23" s="70"/>
      <c r="N23" s="73" t="s">
        <v>602</v>
      </c>
      <c r="O23" s="74">
        <v>0.19</v>
      </c>
      <c r="P23" s="504">
        <f>(P21+P22)*O23</f>
        <v>7268162.7477563079</v>
      </c>
      <c r="Q23" s="273"/>
    </row>
    <row r="24" spans="1:17" ht="13.5" x14ac:dyDescent="0.25">
      <c r="A24" s="70"/>
      <c r="B24" s="70"/>
      <c r="C24" s="72"/>
      <c r="D24" s="70"/>
      <c r="E24" s="70"/>
      <c r="F24" s="70"/>
      <c r="G24" s="70"/>
      <c r="H24" s="70"/>
      <c r="I24" s="4"/>
      <c r="J24" s="4"/>
      <c r="K24" s="4"/>
      <c r="L24" s="4"/>
      <c r="M24" s="70"/>
      <c r="N24" s="347" t="s">
        <v>603</v>
      </c>
      <c r="O24" s="273"/>
      <c r="P24" s="504">
        <f>ROUND((P21+P22+P23),0)</f>
        <v>45521651</v>
      </c>
      <c r="Q24" s="273"/>
    </row>
    <row r="25" spans="1:17" x14ac:dyDescent="0.2">
      <c r="M25" s="1"/>
    </row>
    <row r="26" spans="1:17" ht="13.5" x14ac:dyDescent="0.25">
      <c r="M26" s="1"/>
      <c r="O26" s="57"/>
      <c r="P26" s="57"/>
      <c r="Q26" s="57"/>
    </row>
    <row r="27" spans="1:17" ht="13.5" x14ac:dyDescent="0.2">
      <c r="M27" s="1"/>
      <c r="O27" s="32"/>
      <c r="P27" s="32"/>
      <c r="Q27" s="32"/>
    </row>
    <row r="28" spans="1:17" ht="13.5" thickBot="1" x14ac:dyDescent="0.25">
      <c r="M28" s="1"/>
      <c r="O28" s="1"/>
      <c r="P28" s="1"/>
      <c r="Q28" s="1"/>
    </row>
    <row r="29" spans="1:17" ht="14.25" thickTop="1" x14ac:dyDescent="0.2">
      <c r="M29" s="1"/>
      <c r="O29" s="302" t="s">
        <v>71</v>
      </c>
      <c r="P29" s="505"/>
      <c r="Q29" s="505"/>
    </row>
    <row r="30" spans="1:17" ht="13.5" x14ac:dyDescent="0.25">
      <c r="M30" s="1"/>
      <c r="O30" s="503" t="s">
        <v>72</v>
      </c>
      <c r="P30" s="285"/>
      <c r="Q30" s="285"/>
    </row>
    <row r="31" spans="1:17" ht="13.5" x14ac:dyDescent="0.25">
      <c r="M31" s="1"/>
      <c r="O31" s="503" t="s">
        <v>73</v>
      </c>
      <c r="P31" s="285"/>
      <c r="Q31" s="285"/>
    </row>
    <row r="32" spans="1:17" x14ac:dyDescent="0.2">
      <c r="M32" s="1"/>
      <c r="O32" s="1"/>
      <c r="P32" s="1"/>
      <c r="Q32" s="1"/>
    </row>
  </sheetData>
  <mergeCells count="68">
    <mergeCell ref="O30:Q30"/>
    <mergeCell ref="O31:Q31"/>
    <mergeCell ref="N21:O21"/>
    <mergeCell ref="N22:O22"/>
    <mergeCell ref="P22:Q22"/>
    <mergeCell ref="P23:Q23"/>
    <mergeCell ref="N24:O24"/>
    <mergeCell ref="P24:Q24"/>
    <mergeCell ref="O29:Q29"/>
    <mergeCell ref="P21:Q21"/>
    <mergeCell ref="A16:B16"/>
    <mergeCell ref="C16:E16"/>
    <mergeCell ref="F16:H16"/>
    <mergeCell ref="I15:K15"/>
    <mergeCell ref="I16:K16"/>
    <mergeCell ref="A12:B12"/>
    <mergeCell ref="C12:E12"/>
    <mergeCell ref="F12:H12"/>
    <mergeCell ref="I12:K12"/>
    <mergeCell ref="A15:B15"/>
    <mergeCell ref="C15:E15"/>
    <mergeCell ref="F15:H15"/>
    <mergeCell ref="A13:B14"/>
    <mergeCell ref="C13:E14"/>
    <mergeCell ref="F13:H14"/>
    <mergeCell ref="I13:K14"/>
    <mergeCell ref="C10:E11"/>
    <mergeCell ref="F10:H11"/>
    <mergeCell ref="I10:K11"/>
    <mergeCell ref="A1:L3"/>
    <mergeCell ref="M1:N1"/>
    <mergeCell ref="A10:B11"/>
    <mergeCell ref="O1:Q3"/>
    <mergeCell ref="M2:N3"/>
    <mergeCell ref="A5:Q6"/>
    <mergeCell ref="C8:D8"/>
    <mergeCell ref="E8:F8"/>
    <mergeCell ref="L19:N19"/>
    <mergeCell ref="F17:H17"/>
    <mergeCell ref="N8:P8"/>
    <mergeCell ref="G8:H8"/>
    <mergeCell ref="I8:L8"/>
    <mergeCell ref="O19:Q19"/>
    <mergeCell ref="F18:H18"/>
    <mergeCell ref="I18:K18"/>
    <mergeCell ref="I17:K17"/>
    <mergeCell ref="O15:Q15"/>
    <mergeCell ref="L10:N11"/>
    <mergeCell ref="O10:Q11"/>
    <mergeCell ref="L18:N18"/>
    <mergeCell ref="O18:Q18"/>
    <mergeCell ref="L12:N12"/>
    <mergeCell ref="O12:Q12"/>
    <mergeCell ref="C17:E17"/>
    <mergeCell ref="A19:B19"/>
    <mergeCell ref="C19:E19"/>
    <mergeCell ref="F19:H19"/>
    <mergeCell ref="I19:K19"/>
    <mergeCell ref="A17:B17"/>
    <mergeCell ref="A18:B18"/>
    <mergeCell ref="C18:E18"/>
    <mergeCell ref="L15:N15"/>
    <mergeCell ref="L16:N16"/>
    <mergeCell ref="O16:Q16"/>
    <mergeCell ref="O13:Q14"/>
    <mergeCell ref="L17:N17"/>
    <mergeCell ref="O17:Q17"/>
    <mergeCell ref="L13:N14"/>
  </mergeCells>
  <pageMargins left="0.7" right="0.7" top="0.75" bottom="0.75" header="0.3" footer="0.3"/>
  <pageSetup scale="5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796"/>
  <sheetViews>
    <sheetView view="pageBreakPreview" topLeftCell="A82" zoomScaleNormal="100" zoomScaleSheetLayoutView="100" workbookViewId="0">
      <selection activeCell="M92" sqref="M92"/>
    </sheetView>
  </sheetViews>
  <sheetFormatPr baseColWidth="10" defaultColWidth="12.5703125" defaultRowHeight="15" customHeight="1" x14ac:dyDescent="0.2"/>
  <cols>
    <col min="1" max="6" width="10.5703125" customWidth="1"/>
    <col min="7" max="7" width="11.42578125" customWidth="1"/>
    <col min="8" max="12" width="10.5703125" customWidth="1"/>
    <col min="13" max="13" width="16.85546875" customWidth="1"/>
  </cols>
  <sheetData>
    <row r="1" spans="1:16" ht="12.75" customHeight="1" x14ac:dyDescent="0.2">
      <c r="A1" s="283" t="str">
        <f>Indice!$A$1</f>
        <v>OPTIMIZACIÓN DE SISTEMA DE ACUEDUCTO DE LA ZONA URBANA DEL MUNICIPIO DE VILLAVIEJA Y LOS CENTROS POBLADOS POTOSÍ, HATO NUEVO, POLONIA Y SAN ALFONSO DEL MUNICIPIO DE VILLAVIEJA, DEPARTAMENTO DEL HUILA</v>
      </c>
      <c r="B1" s="275"/>
      <c r="C1" s="275"/>
      <c r="D1" s="275"/>
      <c r="E1" s="275"/>
      <c r="F1" s="275"/>
      <c r="G1" s="275"/>
      <c r="H1" s="275"/>
      <c r="I1" s="275"/>
      <c r="J1" s="275"/>
      <c r="K1" s="276"/>
      <c r="L1" s="287" t="s">
        <v>74</v>
      </c>
      <c r="M1" s="273"/>
    </row>
    <row r="2" spans="1:16" ht="12.75" customHeight="1" x14ac:dyDescent="0.2">
      <c r="A2" s="284"/>
      <c r="B2" s="285"/>
      <c r="C2" s="285"/>
      <c r="D2" s="285"/>
      <c r="E2" s="285"/>
      <c r="F2" s="285"/>
      <c r="G2" s="285"/>
      <c r="H2" s="285"/>
      <c r="I2" s="285"/>
      <c r="J2" s="285"/>
      <c r="K2" s="286"/>
      <c r="L2" s="323">
        <f>Indice!$L$1</f>
        <v>46203</v>
      </c>
      <c r="M2" s="276"/>
    </row>
    <row r="3" spans="1:16" ht="12.75" customHeight="1" x14ac:dyDescent="0.2">
      <c r="A3" s="277"/>
      <c r="B3" s="278"/>
      <c r="C3" s="278"/>
      <c r="D3" s="278"/>
      <c r="E3" s="278"/>
      <c r="F3" s="278"/>
      <c r="G3" s="278"/>
      <c r="H3" s="278"/>
      <c r="I3" s="278"/>
      <c r="J3" s="278"/>
      <c r="K3" s="279"/>
      <c r="L3" s="277"/>
      <c r="M3" s="279"/>
    </row>
    <row r="4" spans="1:16" ht="12.75" customHeight="1" x14ac:dyDescent="0.25">
      <c r="A4" s="4"/>
      <c r="B4" s="4"/>
      <c r="C4" s="4"/>
      <c r="D4" s="4"/>
      <c r="E4" s="4"/>
      <c r="F4" s="4"/>
      <c r="G4" s="4"/>
      <c r="H4" s="4"/>
      <c r="I4" s="4"/>
      <c r="J4" s="4"/>
      <c r="K4" s="4"/>
      <c r="L4" s="4"/>
      <c r="M4" s="40"/>
    </row>
    <row r="5" spans="1:16" ht="12.75" customHeight="1" x14ac:dyDescent="0.2">
      <c r="A5" s="290" t="s">
        <v>604</v>
      </c>
      <c r="B5" s="275"/>
      <c r="C5" s="275"/>
      <c r="D5" s="275"/>
      <c r="E5" s="275"/>
      <c r="F5" s="275"/>
      <c r="G5" s="275"/>
      <c r="H5" s="275"/>
      <c r="I5" s="275"/>
      <c r="J5" s="275"/>
      <c r="K5" s="275"/>
      <c r="L5" s="275"/>
      <c r="M5" s="453"/>
    </row>
    <row r="6" spans="1:16" ht="12.75" customHeight="1" x14ac:dyDescent="0.2">
      <c r="A6" s="277"/>
      <c r="B6" s="278"/>
      <c r="C6" s="278"/>
      <c r="D6" s="278"/>
      <c r="E6" s="278"/>
      <c r="F6" s="278"/>
      <c r="G6" s="278"/>
      <c r="H6" s="278"/>
      <c r="I6" s="278"/>
      <c r="J6" s="278"/>
      <c r="K6" s="278"/>
      <c r="L6" s="278"/>
      <c r="M6" s="455"/>
    </row>
    <row r="7" spans="1:16" ht="12.75" customHeight="1" x14ac:dyDescent="0.2">
      <c r="A7" s="238"/>
      <c r="B7" s="239">
        <v>1</v>
      </c>
      <c r="C7" s="239">
        <v>2</v>
      </c>
      <c r="D7" s="239">
        <v>3</v>
      </c>
      <c r="E7" s="239">
        <v>4</v>
      </c>
      <c r="F7" s="239">
        <v>5</v>
      </c>
      <c r="G7" s="239">
        <v>6</v>
      </c>
      <c r="H7" s="239">
        <v>7</v>
      </c>
      <c r="I7" s="239">
        <v>8</v>
      </c>
      <c r="J7" s="239">
        <v>9</v>
      </c>
      <c r="K7" s="239">
        <v>10</v>
      </c>
      <c r="L7" s="239">
        <v>11</v>
      </c>
      <c r="M7" s="239">
        <v>12</v>
      </c>
    </row>
    <row r="8" spans="1:16" ht="12.75" customHeight="1" x14ac:dyDescent="0.2">
      <c r="A8" s="76" t="s">
        <v>605</v>
      </c>
      <c r="B8" s="312" t="s">
        <v>606</v>
      </c>
      <c r="C8" s="271"/>
      <c r="D8" s="271"/>
      <c r="E8" s="271"/>
      <c r="F8" s="271"/>
      <c r="G8" s="273"/>
      <c r="H8" s="76" t="s">
        <v>77</v>
      </c>
      <c r="I8" s="76" t="s">
        <v>607</v>
      </c>
      <c r="J8" s="76" t="s">
        <v>608</v>
      </c>
      <c r="K8" s="76" t="s">
        <v>609</v>
      </c>
      <c r="L8" s="76" t="s">
        <v>610</v>
      </c>
      <c r="M8" s="76" t="s">
        <v>611</v>
      </c>
    </row>
    <row r="9" spans="1:16" ht="21" customHeight="1" x14ac:dyDescent="0.2">
      <c r="A9" s="77" t="s">
        <v>612</v>
      </c>
      <c r="B9" s="506" t="str">
        <f t="shared" ref="B9:B40" si="0">VLOOKUP(A9,AA_APUS,2,FALSE)</f>
        <v>LOCALIZACIÓN Y REPLANTEO DE REDES</v>
      </c>
      <c r="C9" s="507"/>
      <c r="D9" s="507"/>
      <c r="E9" s="507"/>
      <c r="F9" s="507"/>
      <c r="G9" s="508"/>
      <c r="H9" s="30" t="str">
        <f t="shared" ref="H9:H40" si="1">VLOOKUP(A9,AA_APUS,4,FALSE)</f>
        <v>M</v>
      </c>
      <c r="I9" s="78">
        <f t="shared" ref="I9:I40" si="2">VLOOKUP(A9,AA_APUS,8,FALSE)</f>
        <v>2021.5450000000001</v>
      </c>
      <c r="J9" s="78">
        <f t="shared" ref="J9:J40" si="3">VLOOKUP(A9,AA_APUS,10,FALSE)</f>
        <v>475.0759840000008</v>
      </c>
      <c r="K9" s="78">
        <f t="shared" ref="K9:K40" si="4">VLOOKUP(A9,AA_APUS,12,FALSE)</f>
        <v>124.83104920000005</v>
      </c>
      <c r="L9" s="78">
        <f t="shared" ref="L9:L40" si="5">VLOOKUP(A9,AA_APUS,14,FALSE)</f>
        <v>1580.0196799999999</v>
      </c>
      <c r="M9" s="78">
        <f>VLOOKUP(A9,AA_APUS,6,FALSE)</f>
        <v>5461.913227160001</v>
      </c>
    </row>
    <row r="10" spans="1:16" ht="13.5" customHeight="1" x14ac:dyDescent="0.2">
      <c r="A10" s="77" t="s">
        <v>613</v>
      </c>
      <c r="B10" s="506" t="str">
        <f t="shared" si="0"/>
        <v>LOCALIZACIÓN Y REPLANTEO DE ESTRUCTURAS DE ACUEDUCTOS (INCLUYE EQUIPO DE TOPOGRAFÍA)</v>
      </c>
      <c r="C10" s="507"/>
      <c r="D10" s="507"/>
      <c r="E10" s="507"/>
      <c r="F10" s="507"/>
      <c r="G10" s="508"/>
      <c r="H10" s="30" t="str">
        <f t="shared" si="1"/>
        <v>M2</v>
      </c>
      <c r="I10" s="78">
        <f t="shared" si="2"/>
        <v>475.0759840000008</v>
      </c>
      <c r="J10" s="78">
        <f t="shared" si="3"/>
        <v>1972.5450000000001</v>
      </c>
      <c r="K10" s="78">
        <f t="shared" si="4"/>
        <v>122.38104920000006</v>
      </c>
      <c r="L10" s="78">
        <f t="shared" si="5"/>
        <v>1580.0196799999999</v>
      </c>
      <c r="M10" s="232">
        <f t="shared" ref="M10:M40" si="6">VLOOKUP(A10,AA_APUS,6,FALSE)</f>
        <v>5395.0282271600026</v>
      </c>
      <c r="O10">
        <v>4150.0200000000004</v>
      </c>
      <c r="P10">
        <v>5395.03</v>
      </c>
    </row>
    <row r="11" spans="1:16" ht="12.75" customHeight="1" x14ac:dyDescent="0.2">
      <c r="A11" s="77" t="s">
        <v>614</v>
      </c>
      <c r="B11" s="506" t="str">
        <f t="shared" si="0"/>
        <v>EXCAVACIÓN MANUAL EN MATERIAL COMÚN  (INCLUYE MANO DE OBRA, EQUIPOS Y MATERIALES)</v>
      </c>
      <c r="C11" s="507"/>
      <c r="D11" s="507"/>
      <c r="E11" s="507"/>
      <c r="F11" s="507"/>
      <c r="G11" s="508"/>
      <c r="H11" s="30" t="str">
        <f t="shared" si="1"/>
        <v>M3</v>
      </c>
      <c r="I11" s="78">
        <f t="shared" si="2"/>
        <v>1880.9668571428572</v>
      </c>
      <c r="J11" s="78">
        <f t="shared" si="3"/>
        <v>0</v>
      </c>
      <c r="K11" s="78">
        <f t="shared" si="4"/>
        <v>94.04834285714287</v>
      </c>
      <c r="L11" s="78">
        <f t="shared" si="5"/>
        <v>37619.337142857141</v>
      </c>
      <c r="M11" s="232">
        <f>VLOOKUP(A11,AA_APUS,6,FALSE)</f>
        <v>51472.658045714285</v>
      </c>
    </row>
    <row r="12" spans="1:16" ht="12.75" customHeight="1" x14ac:dyDescent="0.2">
      <c r="A12" s="77" t="s">
        <v>615</v>
      </c>
      <c r="B12" s="506" t="str">
        <f t="shared" si="0"/>
        <v>EXCAVACIÓN MANUAL EN CONGLOMERADO</v>
      </c>
      <c r="C12" s="507"/>
      <c r="D12" s="507"/>
      <c r="E12" s="507"/>
      <c r="F12" s="507"/>
      <c r="G12" s="508"/>
      <c r="H12" s="30" t="str">
        <f t="shared" si="1"/>
        <v>M3</v>
      </c>
      <c r="I12" s="78">
        <f t="shared" si="2"/>
        <v>2501.6859199999999</v>
      </c>
      <c r="J12" s="78">
        <f t="shared" si="3"/>
        <v>0</v>
      </c>
      <c r="K12" s="78">
        <f t="shared" si="4"/>
        <v>125.08429599999999</v>
      </c>
      <c r="L12" s="78">
        <f t="shared" si="5"/>
        <v>50033.718399999998</v>
      </c>
      <c r="M12" s="232">
        <f t="shared" si="6"/>
        <v>68458.635200799996</v>
      </c>
    </row>
    <row r="13" spans="1:16" ht="31.5" customHeight="1" x14ac:dyDescent="0.2">
      <c r="A13" s="77" t="s">
        <v>617</v>
      </c>
      <c r="B13" s="506" t="str">
        <f t="shared" si="0"/>
        <v>EXCAVACIÓN A MÁQUINA BAJO AGUA EN MATERIAL COMÚN (INCLUYE BOMBEO, HERRAMIENTA MENOR Y MANO DE OBRA)</v>
      </c>
      <c r="C13" s="507"/>
      <c r="D13" s="507"/>
      <c r="E13" s="507"/>
      <c r="F13" s="507"/>
      <c r="G13" s="508"/>
      <c r="H13" s="30" t="str">
        <f t="shared" si="1"/>
        <v>M3</v>
      </c>
      <c r="I13" s="78">
        <f t="shared" si="2"/>
        <v>23219.69789090909</v>
      </c>
      <c r="J13" s="78">
        <f t="shared" si="3"/>
        <v>0</v>
      </c>
      <c r="K13" s="78">
        <f t="shared" si="4"/>
        <v>1160.9848945454546</v>
      </c>
      <c r="L13" s="78">
        <f t="shared" si="5"/>
        <v>2393.9578181818179</v>
      </c>
      <c r="M13" s="232">
        <f t="shared" si="6"/>
        <v>34807.032784727271</v>
      </c>
    </row>
    <row r="14" spans="1:16" ht="12.75" customHeight="1" x14ac:dyDescent="0.2">
      <c r="A14" s="77" t="s">
        <v>619</v>
      </c>
      <c r="B14" s="506" t="str">
        <f t="shared" si="0"/>
        <v>ENTIBADO EN MADERA TIPO 1; DISCONTINÚO PARA PROFUNDIDADES MAYORES A 2,0 MTS PARA TERRENOS MEDIANAMENTE ESTABLES 5 USOS (INCLUYE MATERIALES, HERRAMIENTAS Y MANO DE OBRA)</v>
      </c>
      <c r="C14" s="507"/>
      <c r="D14" s="507"/>
      <c r="E14" s="507"/>
      <c r="F14" s="507"/>
      <c r="G14" s="508"/>
      <c r="H14" s="30" t="str">
        <f t="shared" si="1"/>
        <v>M2</v>
      </c>
      <c r="I14" s="78">
        <f t="shared" si="2"/>
        <v>1170.3814666666667</v>
      </c>
      <c r="J14" s="78">
        <f t="shared" si="3"/>
        <v>18650</v>
      </c>
      <c r="K14" s="78">
        <f t="shared" si="4"/>
        <v>991.01907333333338</v>
      </c>
      <c r="L14" s="78">
        <f t="shared" si="5"/>
        <v>23407.629333333334</v>
      </c>
      <c r="M14" s="232">
        <f t="shared" si="6"/>
        <v>57484.738835333337</v>
      </c>
    </row>
    <row r="15" spans="1:16" ht="12.75" customHeight="1" x14ac:dyDescent="0.2">
      <c r="A15" s="77" t="s">
        <v>620</v>
      </c>
      <c r="B15" s="506" t="str">
        <f t="shared" si="0"/>
        <v>ENTIBADO EN MADERA TIPO 2; CONTINUO PARA PROFUNDIDADES DE 2,0 A 4,0 MTS PARA TERRENOS INESTABLES 5 USOS (INCLUYE MATERIALES, HERRAMIENTAS Y MANO DE OBRA)</v>
      </c>
      <c r="C15" s="507"/>
      <c r="D15" s="507"/>
      <c r="E15" s="507"/>
      <c r="F15" s="507"/>
      <c r="G15" s="508"/>
      <c r="H15" s="30" t="str">
        <f t="shared" si="1"/>
        <v>M2</v>
      </c>
      <c r="I15" s="78">
        <f t="shared" si="2"/>
        <v>1462.9768333333334</v>
      </c>
      <c r="J15" s="78">
        <f t="shared" si="3"/>
        <v>24133.800000000003</v>
      </c>
      <c r="K15" s="78">
        <f t="shared" si="4"/>
        <v>1279.8388416666669</v>
      </c>
      <c r="L15" s="78">
        <f t="shared" si="5"/>
        <v>29259.536666666667</v>
      </c>
      <c r="M15" s="232">
        <f t="shared" si="6"/>
        <v>72976.998044166685</v>
      </c>
    </row>
    <row r="16" spans="1:16" ht="52.5" customHeight="1" x14ac:dyDescent="0.2">
      <c r="A16" s="77" t="s">
        <v>621</v>
      </c>
      <c r="B16" s="506" t="str">
        <f t="shared" si="0"/>
        <v>RELLENO CON MATERIAL SELECCIONADO DE LA EXCAVACIÓN, COMPACTADO CON EQUIPO MECÁNICO EN CAPAS DE 0,20 m (INCLUYE EQUIPO, HERRAMIENTA MENOR Y MANO DE OBRA)</v>
      </c>
      <c r="C16" s="507"/>
      <c r="D16" s="507"/>
      <c r="E16" s="507"/>
      <c r="F16" s="507"/>
      <c r="G16" s="508"/>
      <c r="H16" s="30" t="str">
        <f t="shared" si="1"/>
        <v>M3</v>
      </c>
      <c r="I16" s="78">
        <f t="shared" si="2"/>
        <v>8031.7621818181815</v>
      </c>
      <c r="J16" s="78">
        <f t="shared" si="3"/>
        <v>0</v>
      </c>
      <c r="K16" s="78">
        <f t="shared" si="4"/>
        <v>401.58810909090909</v>
      </c>
      <c r="L16" s="78">
        <f t="shared" si="5"/>
        <v>11969.789090909091</v>
      </c>
      <c r="M16" s="232">
        <f t="shared" si="6"/>
        <v>26524.081196363637</v>
      </c>
    </row>
    <row r="17" spans="1:14" ht="12.75" customHeight="1" x14ac:dyDescent="0.2">
      <c r="A17" s="77" t="s">
        <v>622</v>
      </c>
      <c r="B17" s="509" t="str">
        <f t="shared" si="0"/>
        <v>CONCRETO PARA SOLADO DE 2000 PSI A TODO COSTO (140 KG/CM2)</v>
      </c>
      <c r="C17" s="271"/>
      <c r="D17" s="271"/>
      <c r="E17" s="271"/>
      <c r="F17" s="271"/>
      <c r="G17" s="273"/>
      <c r="H17" s="30" t="str">
        <f t="shared" si="1"/>
        <v>M3</v>
      </c>
      <c r="I17" s="78">
        <f t="shared" si="2"/>
        <v>32083.749777777775</v>
      </c>
      <c r="J17" s="78">
        <f t="shared" si="3"/>
        <v>309400</v>
      </c>
      <c r="K17" s="78">
        <f t="shared" si="4"/>
        <v>112588.79045684561</v>
      </c>
      <c r="L17" s="78">
        <f t="shared" si="5"/>
        <v>165803.88444444444</v>
      </c>
      <c r="M17" s="232">
        <f t="shared" si="6"/>
        <v>805839.35208278813</v>
      </c>
    </row>
    <row r="18" spans="1:14" ht="12.75" customHeight="1" x14ac:dyDescent="0.2">
      <c r="A18" s="77" t="s">
        <v>623</v>
      </c>
      <c r="B18" s="509" t="str">
        <f t="shared" si="0"/>
        <v>CONCRETO DE 3000 PSI A TODO COSTO (210 KG/CM2)</v>
      </c>
      <c r="C18" s="271"/>
      <c r="D18" s="271"/>
      <c r="E18" s="271"/>
      <c r="F18" s="271"/>
      <c r="G18" s="273"/>
      <c r="H18" s="30" t="str">
        <f t="shared" si="1"/>
        <v>M3</v>
      </c>
      <c r="I18" s="78">
        <f t="shared" si="2"/>
        <v>48031.749777777775</v>
      </c>
      <c r="J18" s="78">
        <f t="shared" si="3"/>
        <v>410065</v>
      </c>
      <c r="K18" s="78">
        <f t="shared" si="4"/>
        <v>118448.69045684562</v>
      </c>
      <c r="L18" s="78">
        <f t="shared" si="5"/>
        <v>165803.88444444444</v>
      </c>
      <c r="M18" s="241">
        <f t="shared" si="6"/>
        <v>965054.12208278815</v>
      </c>
    </row>
    <row r="19" spans="1:14" ht="12.75" customHeight="1" x14ac:dyDescent="0.2">
      <c r="A19" s="77" t="s">
        <v>624</v>
      </c>
      <c r="B19" s="506" t="str">
        <f t="shared" si="0"/>
        <v>CONCRETO DE 4000 PSI A TODO COSTO (280 KG/CM2)</v>
      </c>
      <c r="C19" s="507"/>
      <c r="D19" s="507"/>
      <c r="E19" s="507"/>
      <c r="F19" s="507"/>
      <c r="G19" s="508"/>
      <c r="H19" s="30" t="str">
        <f t="shared" si="1"/>
        <v>M3</v>
      </c>
      <c r="I19" s="78">
        <f t="shared" si="2"/>
        <v>455140</v>
      </c>
      <c r="J19" s="78">
        <f t="shared" si="3"/>
        <v>48031.749777777775</v>
      </c>
      <c r="K19" s="78">
        <f t="shared" si="4"/>
        <v>121186.19045684562</v>
      </c>
      <c r="L19" s="78">
        <f t="shared" si="5"/>
        <v>165803.88444444444</v>
      </c>
      <c r="M19" s="241">
        <f t="shared" si="6"/>
        <v>790161.82467906782</v>
      </c>
      <c r="N19" t="s">
        <v>3222</v>
      </c>
    </row>
    <row r="20" spans="1:14" ht="12.75" customHeight="1" x14ac:dyDescent="0.2">
      <c r="A20" s="77" t="s">
        <v>625</v>
      </c>
      <c r="B20" s="509" t="str">
        <f t="shared" si="0"/>
        <v>SUMINISTRO FIGURADO Y ARMADO DE ACERO DE REFUERZO 60000 PSI (INCLUYE DESPERDICIO DEL 5%)</v>
      </c>
      <c r="C20" s="271"/>
      <c r="D20" s="271"/>
      <c r="E20" s="271"/>
      <c r="F20" s="271"/>
      <c r="G20" s="273"/>
      <c r="H20" s="30" t="str">
        <f t="shared" si="1"/>
        <v>KG</v>
      </c>
      <c r="I20" s="78">
        <f t="shared" si="2"/>
        <v>53.642457777777786</v>
      </c>
      <c r="J20" s="78">
        <f t="shared" si="3"/>
        <v>6549.4058500000001</v>
      </c>
      <c r="K20" s="78">
        <f t="shared" si="4"/>
        <v>330.15241538888893</v>
      </c>
      <c r="L20" s="78">
        <f t="shared" si="5"/>
        <v>1072.8491555555556</v>
      </c>
      <c r="M20" s="232">
        <f t="shared" si="6"/>
        <v>10407.86484233889</v>
      </c>
    </row>
    <row r="21" spans="1:14" ht="12.75" customHeight="1" x14ac:dyDescent="0.2">
      <c r="A21" s="77" t="s">
        <v>626</v>
      </c>
      <c r="B21" s="509" t="str">
        <f t="shared" si="0"/>
        <v>SUMINISTRO Y COLOCACIÓN DE SUB-BASE GRANULAR SEGÚN NORMA INVIAS E - 320 (INCLUYE MATERIALES, EQUIPOS Y HERRAMIENTAS Y MANO DE OBRA)</v>
      </c>
      <c r="C21" s="271"/>
      <c r="D21" s="271"/>
      <c r="E21" s="271"/>
      <c r="F21" s="271"/>
      <c r="G21" s="273"/>
      <c r="H21" s="30" t="str">
        <f t="shared" si="1"/>
        <v>M3</v>
      </c>
      <c r="I21" s="78">
        <f t="shared" si="2"/>
        <v>5953.5937000000004</v>
      </c>
      <c r="J21" s="78">
        <f t="shared" si="3"/>
        <v>108829</v>
      </c>
      <c r="K21" s="78">
        <f t="shared" si="4"/>
        <v>102082.28265295672</v>
      </c>
      <c r="L21" s="78">
        <f t="shared" si="5"/>
        <v>37305.874000000003</v>
      </c>
      <c r="M21" s="232">
        <f t="shared" si="6"/>
        <v>330421.97545884375</v>
      </c>
    </row>
    <row r="22" spans="1:14" ht="12.75" customHeight="1" x14ac:dyDescent="0.2">
      <c r="A22" s="77" t="s">
        <v>627</v>
      </c>
      <c r="B22" s="509" t="str">
        <f t="shared" si="0"/>
        <v>SUMINISTRO Y COLOCACIÓN DE BASE GRANULAR SEGÚN INVIAS 330 (INCLUYE MATERIAL, EQUIPOS, HERRAMIENTAS Y MANO DE OBRA)</v>
      </c>
      <c r="C22" s="271"/>
      <c r="D22" s="271"/>
      <c r="E22" s="271"/>
      <c r="F22" s="271"/>
      <c r="G22" s="273"/>
      <c r="H22" s="30" t="str">
        <f t="shared" si="1"/>
        <v>M3</v>
      </c>
      <c r="I22" s="78">
        <f t="shared" si="2"/>
        <v>5953.5937000000004</v>
      </c>
      <c r="J22" s="78">
        <f t="shared" si="3"/>
        <v>124260</v>
      </c>
      <c r="K22" s="78">
        <f t="shared" si="4"/>
        <v>102082.28265295672</v>
      </c>
      <c r="L22" s="78">
        <f t="shared" si="5"/>
        <v>37305.874000000003</v>
      </c>
      <c r="M22" s="232">
        <f t="shared" si="6"/>
        <v>350482.27545884374</v>
      </c>
    </row>
    <row r="23" spans="1:14" ht="12.75" customHeight="1" x14ac:dyDescent="0.2">
      <c r="A23" s="77" t="s">
        <v>633</v>
      </c>
      <c r="B23" s="515" t="str">
        <f t="shared" si="0"/>
        <v>RELLENO TIPO II: CON RECEBO SELECCIONADO, COMPACTADO EN CAPAS DE 20 CM, PROCTOR MODIFICADO 95%, A TODO FACTOR (INCLUYE RECEBO, EQUIPOS, HERRAMIENTAS, TRANSPORTE Y MANO DE OBRA)</v>
      </c>
      <c r="C23" s="516"/>
      <c r="D23" s="516"/>
      <c r="E23" s="516"/>
      <c r="F23" s="516"/>
      <c r="G23" s="517"/>
      <c r="H23" s="30" t="str">
        <f t="shared" si="1"/>
        <v>M3</v>
      </c>
      <c r="I23" s="78">
        <f t="shared" si="2"/>
        <v>3164.4256</v>
      </c>
      <c r="J23" s="78">
        <f t="shared" si="3"/>
        <v>62416.6875</v>
      </c>
      <c r="K23" s="78">
        <f t="shared" si="4"/>
        <v>101942.82424795673</v>
      </c>
      <c r="L23" s="78">
        <f t="shared" si="5"/>
        <v>8777.8453333333327</v>
      </c>
      <c r="M23" s="232">
        <f t="shared" si="6"/>
        <v>229192.31748567708</v>
      </c>
    </row>
    <row r="24" spans="1:14" ht="12.75" customHeight="1" x14ac:dyDescent="0.2">
      <c r="A24" s="77" t="s">
        <v>634</v>
      </c>
      <c r="B24" s="506" t="str">
        <f t="shared" si="0"/>
        <v>MALLA ELECTROSOLDADA 15X15X4MM (Xx-084) 6X2,35M</v>
      </c>
      <c r="C24" s="507"/>
      <c r="D24" s="507"/>
      <c r="E24" s="507"/>
      <c r="F24" s="507"/>
      <c r="G24" s="508"/>
      <c r="H24" s="30" t="str">
        <f t="shared" si="1"/>
        <v>M2</v>
      </c>
      <c r="I24" s="78">
        <f t="shared" si="2"/>
        <v>35.111443999999999</v>
      </c>
      <c r="J24" s="78">
        <f t="shared" si="3"/>
        <v>8015.0432000000001</v>
      </c>
      <c r="K24" s="78">
        <f t="shared" si="4"/>
        <v>402.50773220000002</v>
      </c>
      <c r="L24" s="78">
        <f t="shared" si="5"/>
        <v>702.22888</v>
      </c>
      <c r="M24" s="232">
        <f t="shared" si="6"/>
        <v>11901.358633060001</v>
      </c>
    </row>
    <row r="25" spans="1:14" ht="12.75" customHeight="1" x14ac:dyDescent="0.2">
      <c r="A25" s="77" t="s">
        <v>635</v>
      </c>
      <c r="B25" s="506" t="str">
        <f t="shared" si="0"/>
        <v>PAÑETE INTERIOR Y EXTERIOR 1:4 IMPERMEABILIZADO (INCLUYE MATERIALES, HERRAMIENTAS Y MANO DE OBRA)</v>
      </c>
      <c r="C25" s="507"/>
      <c r="D25" s="507"/>
      <c r="E25" s="507"/>
      <c r="F25" s="507"/>
      <c r="G25" s="508"/>
      <c r="H25" s="30" t="str">
        <f t="shared" si="1"/>
        <v>M2</v>
      </c>
      <c r="I25" s="78">
        <f t="shared" si="2"/>
        <v>1595.9747272727273</v>
      </c>
      <c r="J25" s="78">
        <f t="shared" si="3"/>
        <v>8550.9719999999998</v>
      </c>
      <c r="K25" s="78">
        <f t="shared" si="4"/>
        <v>84.798736363636365</v>
      </c>
      <c r="L25" s="78">
        <f t="shared" si="5"/>
        <v>31919.494545454545</v>
      </c>
      <c r="M25" s="232">
        <f t="shared" si="6"/>
        <v>54796.612011818179</v>
      </c>
    </row>
    <row r="26" spans="1:14" ht="12.75" customHeight="1" x14ac:dyDescent="0.2">
      <c r="A26" s="77" t="s">
        <v>637</v>
      </c>
      <c r="B26" s="506" t="str">
        <f t="shared" si="0"/>
        <v>CONSTRUCCIÓN DE CAJA ACHIQUE (INCLUYE MATERIALES, HERRAMIENTAS Y MANO DE OBRA)</v>
      </c>
      <c r="C26" s="507"/>
      <c r="D26" s="507"/>
      <c r="E26" s="507"/>
      <c r="F26" s="507"/>
      <c r="G26" s="508"/>
      <c r="H26" s="30" t="str">
        <f t="shared" si="1"/>
        <v>M2</v>
      </c>
      <c r="I26" s="78">
        <f t="shared" si="2"/>
        <v>1404.4577600000002</v>
      </c>
      <c r="J26" s="78">
        <f t="shared" si="3"/>
        <v>291386.34916476678</v>
      </c>
      <c r="K26" s="78">
        <f t="shared" si="4"/>
        <v>4820.2228880000002</v>
      </c>
      <c r="L26" s="78">
        <f t="shared" si="5"/>
        <v>28089.155200000001</v>
      </c>
      <c r="M26" s="232">
        <f t="shared" si="6"/>
        <v>423410.24051659688</v>
      </c>
    </row>
    <row r="27" spans="1:14" ht="12.75" customHeight="1" x14ac:dyDescent="0.2">
      <c r="A27" s="77" t="s">
        <v>638</v>
      </c>
      <c r="B27" s="512" t="str">
        <f t="shared" si="0"/>
        <v>RETIRO DE MATERIAL SOBRANTE HASTA BOTADERO AUTORIZADO, DISTANCIA 5KM (INCLUYE FACTOR DE EXPANSIÓN, CARGUE Y TRANSPORTE DE MATERIAL)</v>
      </c>
      <c r="C27" s="513"/>
      <c r="D27" s="513"/>
      <c r="E27" s="513"/>
      <c r="F27" s="513"/>
      <c r="G27" s="514"/>
      <c r="H27" s="30" t="str">
        <f t="shared" si="1"/>
        <v>M3-KM</v>
      </c>
      <c r="I27" s="78">
        <f t="shared" si="2"/>
        <v>6000</v>
      </c>
      <c r="J27" s="78">
        <f t="shared" si="3"/>
        <v>0</v>
      </c>
      <c r="K27" s="78">
        <f t="shared" si="4"/>
        <v>2377.2367952644231</v>
      </c>
      <c r="L27" s="78">
        <f t="shared" si="5"/>
        <v>0</v>
      </c>
      <c r="M27" s="232">
        <f t="shared" si="6"/>
        <v>10890.40783384375</v>
      </c>
    </row>
    <row r="28" spans="1:14" ht="12.75" customHeight="1" x14ac:dyDescent="0.2">
      <c r="A28" s="77" t="s">
        <v>639</v>
      </c>
      <c r="B28" s="512" t="str">
        <f t="shared" si="0"/>
        <v>DISPOSICIÓN DE MATERIAL PROVENIENTE DE EXCAVACIÓN (INCLUYE TRANSPORTE)</v>
      </c>
      <c r="C28" s="513"/>
      <c r="D28" s="513"/>
      <c r="E28" s="513"/>
      <c r="F28" s="513"/>
      <c r="G28" s="514"/>
      <c r="H28" s="30" t="str">
        <f t="shared" si="1"/>
        <v>M3</v>
      </c>
      <c r="I28" s="78">
        <f t="shared" si="2"/>
        <v>1762.2923000000001</v>
      </c>
      <c r="J28" s="78">
        <f t="shared" si="3"/>
        <v>0</v>
      </c>
      <c r="K28" s="78">
        <f t="shared" si="4"/>
        <v>1503.114615</v>
      </c>
      <c r="L28" s="78">
        <f t="shared" si="5"/>
        <v>1645.846</v>
      </c>
      <c r="M28" s="232">
        <f t="shared" si="6"/>
        <v>6384.6287895000005</v>
      </c>
    </row>
    <row r="29" spans="1:14" ht="12.75" customHeight="1" x14ac:dyDescent="0.2">
      <c r="A29" s="77" t="s">
        <v>640</v>
      </c>
      <c r="B29" s="512" t="str">
        <f t="shared" si="0"/>
        <v>SUMINISTRO E INSTALACIÓN BARANDA METÁLICA EN TUBO DE HIERRO GALVANIZADO DE 1 1/2", PLATINA DE 4 X 3/16" (INCLUYE EQUIPO DE SOLDADURA, MATERIALES, HERRAMIENTAS Y MANO DE OBRA)</v>
      </c>
      <c r="C29" s="513"/>
      <c r="D29" s="513"/>
      <c r="E29" s="513"/>
      <c r="F29" s="513"/>
      <c r="G29" s="514"/>
      <c r="H29" s="30" t="str">
        <f t="shared" si="1"/>
        <v>ML</v>
      </c>
      <c r="I29" s="78">
        <f t="shared" si="2"/>
        <v>19744.094833333336</v>
      </c>
      <c r="J29" s="78">
        <f t="shared" si="3"/>
        <v>116249.9111</v>
      </c>
      <c r="K29" s="78">
        <f t="shared" si="4"/>
        <v>6799.7002966666678</v>
      </c>
      <c r="L29" s="78">
        <f t="shared" si="5"/>
        <v>194881.89666666667</v>
      </c>
      <c r="M29" s="232">
        <f t="shared" si="6"/>
        <v>438978.28376566671</v>
      </c>
    </row>
    <row r="30" spans="1:14" ht="12.75" customHeight="1" x14ac:dyDescent="0.2">
      <c r="A30" s="77" t="s">
        <v>641</v>
      </c>
      <c r="B30" s="506" t="str">
        <f t="shared" si="0"/>
        <v>SUMINISTRO E INSTALACIÓN PUNTO LÍNEA DE VIDA PARA PREVENCIÓN DE ACCIDENTES (INCLUYE HERRAMIENTA MENOR, MATERIALES PARA SU INSTALACIÓN Y MANO DE OBRA)</v>
      </c>
      <c r="C30" s="507"/>
      <c r="D30" s="507"/>
      <c r="E30" s="507"/>
      <c r="F30" s="507"/>
      <c r="G30" s="508"/>
      <c r="H30" s="30" t="str">
        <f t="shared" si="1"/>
        <v>UND</v>
      </c>
      <c r="I30" s="78">
        <f t="shared" si="2"/>
        <v>11937.890960000002</v>
      </c>
      <c r="J30" s="78">
        <f t="shared" si="3"/>
        <v>1109414.0153999999</v>
      </c>
      <c r="K30" s="78">
        <f t="shared" si="4"/>
        <v>56067.595317999992</v>
      </c>
      <c r="L30" s="78">
        <f t="shared" si="5"/>
        <v>238757.81920000003</v>
      </c>
      <c r="M30" s="241">
        <f t="shared" si="6"/>
        <v>1841030.5171414001</v>
      </c>
      <c r="N30" t="s">
        <v>3222</v>
      </c>
    </row>
    <row r="31" spans="1:14" ht="12.75" customHeight="1" x14ac:dyDescent="0.2">
      <c r="A31" s="77" t="s">
        <v>642</v>
      </c>
      <c r="B31" s="506" t="str">
        <f t="shared" si="0"/>
        <v>SUMINISTRO E INSTALACIÓN DE ENCHAPE PARA PISO DE ALTO TRÁFICO (INCLUYE PEGA ENCHAPE, BOQUILLA Y MANO DE OBRA)</v>
      </c>
      <c r="C31" s="507"/>
      <c r="D31" s="507"/>
      <c r="E31" s="507"/>
      <c r="F31" s="507"/>
      <c r="G31" s="508"/>
      <c r="H31" s="30" t="str">
        <f t="shared" si="1"/>
        <v>M2</v>
      </c>
      <c r="I31" s="78">
        <f t="shared" si="2"/>
        <v>1228.9005400000003</v>
      </c>
      <c r="J31" s="78">
        <f t="shared" si="3"/>
        <v>104858.00000000001</v>
      </c>
      <c r="K31" s="78">
        <f t="shared" si="4"/>
        <v>5304.3450270000012</v>
      </c>
      <c r="L31" s="78">
        <f t="shared" si="5"/>
        <v>24578.010800000004</v>
      </c>
      <c r="M31" s="232">
        <f t="shared" si="6"/>
        <v>176760.03327710004</v>
      </c>
    </row>
    <row r="32" spans="1:14" ht="12.75" customHeight="1" x14ac:dyDescent="0.2">
      <c r="A32" s="77" t="s">
        <v>643</v>
      </c>
      <c r="B32" s="506" t="str">
        <f t="shared" si="0"/>
        <v>SUMINISTRO E INSTALACIÓN DE ENCHAPE DE 25 X 40CM PARA PAREDES Y MUROS (INCLUYE PEGA ENCHAPE, BOQUILLA Y MANO DE OBRA)</v>
      </c>
      <c r="C32" s="507"/>
      <c r="D32" s="507"/>
      <c r="E32" s="507"/>
      <c r="F32" s="507"/>
      <c r="G32" s="508"/>
      <c r="H32" s="30" t="str">
        <f t="shared" si="1"/>
        <v>M2</v>
      </c>
      <c r="I32" s="78">
        <f t="shared" si="2"/>
        <v>1032.6895294117646</v>
      </c>
      <c r="J32" s="78">
        <f t="shared" si="3"/>
        <v>51235</v>
      </c>
      <c r="K32" s="78">
        <f t="shared" si="4"/>
        <v>2613.3844764705882</v>
      </c>
      <c r="L32" s="78">
        <f t="shared" si="5"/>
        <v>20653.790588235293</v>
      </c>
      <c r="M32" s="232">
        <f t="shared" si="6"/>
        <v>98195.323972352955</v>
      </c>
    </row>
    <row r="33" spans="1:14" ht="12.75" customHeight="1" x14ac:dyDescent="0.2">
      <c r="A33" s="77" t="s">
        <v>644</v>
      </c>
      <c r="B33" s="506" t="str">
        <f t="shared" si="0"/>
        <v>SUMINISTRO Y APLICACIÓN DE PINTURA TIPO 1 PARA MUROS INTERIORES Y EXTERIORES (INCLUYE MATERIALES Y MANO DE OBRA)</v>
      </c>
      <c r="C33" s="507"/>
      <c r="D33" s="507"/>
      <c r="E33" s="507"/>
      <c r="F33" s="507"/>
      <c r="G33" s="508"/>
      <c r="H33" s="30" t="str">
        <f t="shared" si="1"/>
        <v>M2</v>
      </c>
      <c r="I33" s="78">
        <f t="shared" si="2"/>
        <v>526.67165999999997</v>
      </c>
      <c r="J33" s="78">
        <f t="shared" si="3"/>
        <v>5663.0000000000009</v>
      </c>
      <c r="K33" s="78">
        <f t="shared" si="4"/>
        <v>309.48358300000001</v>
      </c>
      <c r="L33" s="78">
        <f t="shared" si="5"/>
        <v>10533.433199999999</v>
      </c>
      <c r="M33" s="232">
        <f t="shared" si="6"/>
        <v>22142.3649759</v>
      </c>
    </row>
    <row r="34" spans="1:14" ht="12.75" customHeight="1" x14ac:dyDescent="0.2">
      <c r="A34" s="77" t="s">
        <v>645</v>
      </c>
      <c r="B34" s="506" t="str">
        <f t="shared" si="0"/>
        <v>SUMINISTRO Y APLICACIÓN DE PINTURA ANTICORROSIVA PARA PUERTAS Y VENTANAS (INCLUYE MATERIALES Y MANO DE OBRA)</v>
      </c>
      <c r="C34" s="507"/>
      <c r="D34" s="507"/>
      <c r="E34" s="507"/>
      <c r="F34" s="507"/>
      <c r="G34" s="508"/>
      <c r="H34" s="30" t="str">
        <f t="shared" si="1"/>
        <v>M2</v>
      </c>
      <c r="I34" s="78">
        <f t="shared" si="2"/>
        <v>1097.2326250000001</v>
      </c>
      <c r="J34" s="78">
        <f t="shared" si="3"/>
        <v>4614</v>
      </c>
      <c r="K34" s="78">
        <f t="shared" si="4"/>
        <v>285.56163125</v>
      </c>
      <c r="L34" s="78">
        <f t="shared" si="5"/>
        <v>21944.6525</v>
      </c>
      <c r="M34" s="232">
        <f t="shared" si="6"/>
        <v>36323.880783125001</v>
      </c>
    </row>
    <row r="35" spans="1:14" ht="12.75" customHeight="1" x14ac:dyDescent="0.2">
      <c r="A35" s="77" t="s">
        <v>646</v>
      </c>
      <c r="B35" s="506" t="str">
        <f t="shared" si="0"/>
        <v>SUMINISTRO E INSTALACIÓN DE SEÑALIZACIÓN DE SEGURIDAD FOTOLUMINESCENTE (INCLUYE SEÑALIZACIÓN PARA PREVENCIÓN DE ACCIDENTES Y MANO DE OBRA)</v>
      </c>
      <c r="C35" s="507"/>
      <c r="D35" s="507"/>
      <c r="E35" s="507"/>
      <c r="F35" s="507"/>
      <c r="G35" s="508"/>
      <c r="H35" s="30" t="str">
        <f t="shared" si="1"/>
        <v>UND</v>
      </c>
      <c r="I35" s="78">
        <f t="shared" si="2"/>
        <v>2468.7690000000002</v>
      </c>
      <c r="J35" s="78">
        <f t="shared" si="3"/>
        <v>185200</v>
      </c>
      <c r="K35" s="78">
        <f t="shared" si="4"/>
        <v>9383.4384499999996</v>
      </c>
      <c r="L35" s="78">
        <f t="shared" si="5"/>
        <v>49375.38</v>
      </c>
      <c r="M35" s="241">
        <f t="shared" si="6"/>
        <v>320355.86368499999</v>
      </c>
      <c r="N35" t="s">
        <v>3222</v>
      </c>
    </row>
    <row r="36" spans="1:14" ht="40.5" customHeight="1" x14ac:dyDescent="0.2">
      <c r="A36" s="77" t="s">
        <v>647</v>
      </c>
      <c r="B36" s="506" t="str">
        <f t="shared" si="0"/>
        <v>SUMINISTRO Y APLICACIÓN DE PINTURA EPÓXICA PARA RECUBRIMIENTO DE TUBERÍAS Y ESCALERAS TIPO GATO (INCLUYE MATERIALES Y MANO DE OBRA)</v>
      </c>
      <c r="C36" s="507"/>
      <c r="D36" s="507"/>
      <c r="E36" s="507"/>
      <c r="F36" s="507"/>
      <c r="G36" s="508"/>
      <c r="H36" s="30" t="str">
        <f t="shared" si="1"/>
        <v>M2</v>
      </c>
      <c r="I36" s="78">
        <f t="shared" si="2"/>
        <v>877.78610000000015</v>
      </c>
      <c r="J36" s="78">
        <f t="shared" si="3"/>
        <v>12274.699999999999</v>
      </c>
      <c r="K36" s="78">
        <f t="shared" si="4"/>
        <v>657.62430500000005</v>
      </c>
      <c r="L36" s="78">
        <f t="shared" si="5"/>
        <v>17555.722000000002</v>
      </c>
      <c r="M36" s="232">
        <f t="shared" si="6"/>
        <v>40775.582126500005</v>
      </c>
    </row>
    <row r="37" spans="1:14" ht="12.75" customHeight="1" x14ac:dyDescent="0.2">
      <c r="A37" s="77" t="s">
        <v>648</v>
      </c>
      <c r="B37" s="506" t="str">
        <f t="shared" si="0"/>
        <v>SUMINISTRO DE BOMBA 2 HP - SUMERGIBLE DE LIMPIEZA (INCLUYE MANGUERA DE DESCARGA, KIT DE ACOPLE Y MANO DE OBRA)</v>
      </c>
      <c r="C37" s="507"/>
      <c r="D37" s="507"/>
      <c r="E37" s="507"/>
      <c r="F37" s="507"/>
      <c r="G37" s="508"/>
      <c r="H37" s="30" t="str">
        <f t="shared" si="1"/>
        <v>UND</v>
      </c>
      <c r="I37" s="78">
        <f t="shared" si="2"/>
        <v>0</v>
      </c>
      <c r="J37" s="78">
        <f t="shared" si="3"/>
        <v>2981240</v>
      </c>
      <c r="K37" s="78">
        <f t="shared" si="4"/>
        <v>149062</v>
      </c>
      <c r="L37" s="78">
        <f t="shared" si="5"/>
        <v>0</v>
      </c>
      <c r="M37" s="232">
        <f t="shared" si="6"/>
        <v>4069392.6</v>
      </c>
    </row>
    <row r="38" spans="1:14" ht="12.75" customHeight="1" x14ac:dyDescent="0.2">
      <c r="A38" s="77" t="s">
        <v>651</v>
      </c>
      <c r="B38" s="506" t="str">
        <f t="shared" si="0"/>
        <v>SUMINISTRO DE BOMBA 20 HP - CENTRIFUGA</v>
      </c>
      <c r="C38" s="507"/>
      <c r="D38" s="507"/>
      <c r="E38" s="507"/>
      <c r="F38" s="507"/>
      <c r="G38" s="508"/>
      <c r="H38" s="30" t="str">
        <f t="shared" si="1"/>
        <v>UND</v>
      </c>
      <c r="I38" s="78">
        <f t="shared" si="2"/>
        <v>0</v>
      </c>
      <c r="J38" s="78">
        <f t="shared" si="3"/>
        <v>10722000</v>
      </c>
      <c r="K38" s="78">
        <f t="shared" si="4"/>
        <v>214440</v>
      </c>
      <c r="L38" s="78">
        <f t="shared" si="5"/>
        <v>0</v>
      </c>
      <c r="M38" s="232">
        <f t="shared" si="6"/>
        <v>14217372</v>
      </c>
    </row>
    <row r="39" spans="1:14" ht="12.75" customHeight="1" x14ac:dyDescent="0.2">
      <c r="A39" s="77" t="s">
        <v>653</v>
      </c>
      <c r="B39" s="509" t="str">
        <f t="shared" si="0"/>
        <v>SUMINISTRO DE PLUMA GRÚA HIDRÁULICA  CON BRAZO EXTENDIBLE DE 4 POSICIONES, CAPACIDAD DE CARGA DE 2000 KG, 4 PATAS PLEGABLES CON RUEDAS Y PASADORES DE SEGURIDAD Y PLUMA COMPLETAMENTE AJUSTABLES</v>
      </c>
      <c r="C39" s="271"/>
      <c r="D39" s="271"/>
      <c r="E39" s="271"/>
      <c r="F39" s="271"/>
      <c r="G39" s="273"/>
      <c r="H39" s="30" t="str">
        <f t="shared" si="1"/>
        <v>UND</v>
      </c>
      <c r="I39" s="78">
        <f t="shared" si="2"/>
        <v>0</v>
      </c>
      <c r="J39" s="78">
        <f t="shared" si="3"/>
        <v>2473900</v>
      </c>
      <c r="K39" s="78">
        <f t="shared" si="4"/>
        <v>123695</v>
      </c>
      <c r="L39" s="78">
        <f t="shared" si="5"/>
        <v>0</v>
      </c>
      <c r="M39" s="232">
        <f t="shared" si="6"/>
        <v>3376873.5</v>
      </c>
    </row>
    <row r="40" spans="1:14" ht="54" customHeight="1" x14ac:dyDescent="0.2">
      <c r="A40" s="77" t="s">
        <v>654</v>
      </c>
      <c r="B40" s="509" t="str">
        <f t="shared" si="0"/>
        <v>SUMINISTRO E INSTALACIÓN PASOS PARA ESCALERA DE GATO EN VARILLA PRD-60 DE 3/4" ANTIDESLIZANTE CON ANCLAJE DENTADO, REFUERZO, Y TRANCA PIE. L=0,30 M AN= 0,30 (INCLUYE MATERIALES, EQUIPOS Y  MANO DE OBRA)</v>
      </c>
      <c r="C40" s="271"/>
      <c r="D40" s="271"/>
      <c r="E40" s="271"/>
      <c r="F40" s="271"/>
      <c r="G40" s="273"/>
      <c r="H40" s="30" t="str">
        <f t="shared" si="1"/>
        <v>UND</v>
      </c>
      <c r="I40" s="78">
        <f t="shared" si="2"/>
        <v>3318.7861000000003</v>
      </c>
      <c r="J40" s="78">
        <f t="shared" si="3"/>
        <v>78000</v>
      </c>
      <c r="K40" s="78">
        <f t="shared" si="4"/>
        <v>4065.9393049999999</v>
      </c>
      <c r="L40" s="78">
        <f t="shared" si="5"/>
        <v>17555.722000000002</v>
      </c>
      <c r="M40" s="232">
        <f t="shared" si="6"/>
        <v>133822.58162650003</v>
      </c>
    </row>
    <row r="41" spans="1:14" ht="12.75" customHeight="1" x14ac:dyDescent="0.2">
      <c r="A41" s="77" t="s">
        <v>665</v>
      </c>
      <c r="B41" s="509" t="str">
        <f t="shared" ref="B41:B72" si="7">VLOOKUP(A41,AA_APUS,2,FALSE)</f>
        <v>SUMINISTRO E INSTALACIÓN DE TEE Ø4" EN HIERRO DUCTIL (INCLUYE MATERIALES, HERRAMIENTAS Y MANO DE OBRA)</v>
      </c>
      <c r="C41" s="271"/>
      <c r="D41" s="271"/>
      <c r="E41" s="271"/>
      <c r="F41" s="271"/>
      <c r="G41" s="273"/>
      <c r="H41" s="30" t="str">
        <f t="shared" ref="H41:H72" si="8">VLOOKUP(A41,AA_APUS,4,FALSE)</f>
        <v>UND</v>
      </c>
      <c r="I41" s="78">
        <f t="shared" ref="I41:I72" si="9">VLOOKUP(A41,AA_APUS,8,FALSE)</f>
        <v>544.22738200000003</v>
      </c>
      <c r="J41" s="78">
        <f t="shared" ref="J41:J72" si="10">VLOOKUP(A41,AA_APUS,10,FALSE)</f>
        <v>460000</v>
      </c>
      <c r="K41" s="78">
        <f t="shared" ref="K41:K72" si="11">VLOOKUP(A41,AA_APUS,12,FALSE)</f>
        <v>23027.211369100001</v>
      </c>
      <c r="L41" s="78">
        <f t="shared" ref="L41:L72" si="12">VLOOKUP(A41,AA_APUS,14,FALSE)</f>
        <v>10884.547640000001</v>
      </c>
      <c r="M41" s="241">
        <f t="shared" ref="M41:M72" si="13">VLOOKUP(A41,AA_APUS,6,FALSE)</f>
        <v>642792.78230843006</v>
      </c>
      <c r="N41" t="s">
        <v>3241</v>
      </c>
    </row>
    <row r="42" spans="1:14" ht="25.5" customHeight="1" x14ac:dyDescent="0.2">
      <c r="A42" s="77" t="s">
        <v>667</v>
      </c>
      <c r="B42" s="509" t="str">
        <f t="shared" si="7"/>
        <v>SUMINISTRO E INSTALACIÓN DE VÁLVULA COMPUERTA CON VOLANTE Ø4 EN HIERRO DUCTIL (INCLUYE MATERIALES, HERRAMIENTAS Y MANO DE OBRA)</v>
      </c>
      <c r="C42" s="271"/>
      <c r="D42" s="271"/>
      <c r="E42" s="271"/>
      <c r="F42" s="271"/>
      <c r="G42" s="273"/>
      <c r="H42" s="30" t="str">
        <f t="shared" si="8"/>
        <v>UND</v>
      </c>
      <c r="I42" s="78">
        <f t="shared" si="9"/>
        <v>5851.9073333333336</v>
      </c>
      <c r="J42" s="78">
        <f t="shared" si="10"/>
        <v>1158000</v>
      </c>
      <c r="K42" s="78">
        <f t="shared" si="11"/>
        <v>58192.595366666668</v>
      </c>
      <c r="L42" s="78">
        <f t="shared" si="12"/>
        <v>117038.14666666667</v>
      </c>
      <c r="M42" s="241">
        <f t="shared" si="13"/>
        <v>1740807.4441766667</v>
      </c>
    </row>
    <row r="43" spans="1:14" ht="42.75" customHeight="1" x14ac:dyDescent="0.2">
      <c r="A43" s="77" t="s">
        <v>673</v>
      </c>
      <c r="B43" s="509" t="str">
        <f t="shared" si="7"/>
        <v>SUMINISTRO E INSTALACIÓN DE TAPA DE ACCESO EN LAMINA DE ALFAJOR CAL 14 (INCLUYE MARCO, MANIJA DE AGARRE, SOPORTES Y SOLDADURA)</v>
      </c>
      <c r="C43" s="271"/>
      <c r="D43" s="271"/>
      <c r="E43" s="271"/>
      <c r="F43" s="271"/>
      <c r="G43" s="273"/>
      <c r="H43" s="30" t="str">
        <f t="shared" si="8"/>
        <v>UND</v>
      </c>
      <c r="I43" s="78">
        <f t="shared" si="9"/>
        <v>72486.157250000004</v>
      </c>
      <c r="J43" s="78">
        <f t="shared" si="10"/>
        <v>232960.0784</v>
      </c>
      <c r="K43" s="78">
        <f t="shared" si="11"/>
        <v>0</v>
      </c>
      <c r="L43" s="78">
        <f t="shared" si="12"/>
        <v>109723.14499999999</v>
      </c>
      <c r="M43" s="78">
        <f t="shared" si="13"/>
        <v>539720.19484499993</v>
      </c>
    </row>
    <row r="44" spans="1:14" ht="12.75" customHeight="1" x14ac:dyDescent="0.2">
      <c r="A44" s="77" t="s">
        <v>674</v>
      </c>
      <c r="B44" s="509" t="str">
        <f t="shared" si="7"/>
        <v>SUMINISTRO E INSTALACIÓN DE REGLETA LIMNIMÉTRICA DE AFORO Y MEDICIÓN DE CAUDAL CALIBRADA (INCLUYE MATERIALES Y MANO DE OBRA)</v>
      </c>
      <c r="C44" s="271"/>
      <c r="D44" s="271"/>
      <c r="E44" s="271"/>
      <c r="F44" s="271"/>
      <c r="G44" s="273"/>
      <c r="H44" s="30" t="str">
        <f t="shared" si="8"/>
        <v>UND</v>
      </c>
      <c r="I44" s="78">
        <f t="shared" si="9"/>
        <v>585.19073333333336</v>
      </c>
      <c r="J44" s="78">
        <f t="shared" si="10"/>
        <v>254314.82298074407</v>
      </c>
      <c r="K44" s="78">
        <f t="shared" si="11"/>
        <v>10509.859536666667</v>
      </c>
      <c r="L44" s="78">
        <f t="shared" si="12"/>
        <v>11703.814666666667</v>
      </c>
      <c r="M44" s="78">
        <f t="shared" si="13"/>
        <v>360247.794292634</v>
      </c>
    </row>
    <row r="45" spans="1:14" ht="12.75" customHeight="1" x14ac:dyDescent="0.2">
      <c r="A45" s="77" t="s">
        <v>676</v>
      </c>
      <c r="B45" s="511" t="str">
        <f t="shared" si="7"/>
        <v>SUMINISTRO E INSTALACIÓN DE NIPLE PASAMURO DE Ø4" EN HIERRO DUCTIL (INCLUYE MATERIALES, HERRAMIENTAS Y MANO DE OBRA)</v>
      </c>
      <c r="C45" s="271"/>
      <c r="D45" s="271"/>
      <c r="E45" s="271"/>
      <c r="F45" s="271"/>
      <c r="G45" s="273"/>
      <c r="H45" s="30" t="str">
        <f t="shared" si="8"/>
        <v>UND</v>
      </c>
      <c r="I45" s="78">
        <f t="shared" si="9"/>
        <v>4388.9305000000004</v>
      </c>
      <c r="J45" s="78">
        <f t="shared" si="10"/>
        <v>306103</v>
      </c>
      <c r="K45" s="78">
        <f t="shared" si="11"/>
        <v>15524.596525000001</v>
      </c>
      <c r="L45" s="78">
        <f t="shared" si="12"/>
        <v>87778.61</v>
      </c>
      <c r="M45" s="78">
        <f t="shared" si="13"/>
        <v>413795.137025</v>
      </c>
    </row>
    <row r="46" spans="1:14" ht="12.75" customHeight="1" x14ac:dyDescent="0.2">
      <c r="A46" s="77" t="s">
        <v>677</v>
      </c>
      <c r="B46" s="511" t="str">
        <f t="shared" si="7"/>
        <v>SUMINISTRO E INSTALACIÓN DE NIPLE PASAMURO DE Ø6" EN HIERRO DUCTIL (INCLUYE MATERIALES, HERRAMIENTAS Y MANO DE OBRA)</v>
      </c>
      <c r="C46" s="271"/>
      <c r="D46" s="271"/>
      <c r="E46" s="271"/>
      <c r="F46" s="271"/>
      <c r="G46" s="273"/>
      <c r="H46" s="30" t="str">
        <f t="shared" si="8"/>
        <v>UND</v>
      </c>
      <c r="I46" s="78">
        <f t="shared" si="9"/>
        <v>4388.9305000000004</v>
      </c>
      <c r="J46" s="78">
        <f t="shared" si="10"/>
        <v>588564</v>
      </c>
      <c r="K46" s="78">
        <f t="shared" si="11"/>
        <v>29647.646525000004</v>
      </c>
      <c r="L46" s="78">
        <f t="shared" si="12"/>
        <v>87778.61</v>
      </c>
      <c r="M46" s="78">
        <f t="shared" si="13"/>
        <v>710379.18702499999</v>
      </c>
    </row>
    <row r="47" spans="1:14" ht="12.75" customHeight="1" x14ac:dyDescent="0.2">
      <c r="A47" s="77" t="s">
        <v>681</v>
      </c>
      <c r="B47" s="509" t="str">
        <f t="shared" si="7"/>
        <v>RELLENO CON ARENA PARA BASE DE TUBERÍA (INCLUYE MATERIALES, TRANSPORTE Y MANO DE OBRA)</v>
      </c>
      <c r="C47" s="271"/>
      <c r="D47" s="271"/>
      <c r="E47" s="271"/>
      <c r="F47" s="271"/>
      <c r="G47" s="273"/>
      <c r="H47" s="30" t="str">
        <f t="shared" si="8"/>
        <v>M3</v>
      </c>
      <c r="I47" s="78">
        <f t="shared" si="9"/>
        <v>1170.3814666666667</v>
      </c>
      <c r="J47" s="78">
        <f t="shared" si="10"/>
        <v>83000</v>
      </c>
      <c r="K47" s="78">
        <f t="shared" si="11"/>
        <v>101843.12204129006</v>
      </c>
      <c r="L47" s="78">
        <f t="shared" si="12"/>
        <v>23407.629333333334</v>
      </c>
      <c r="M47" s="232">
        <f t="shared" si="13"/>
        <v>272247.47269367712</v>
      </c>
    </row>
    <row r="48" spans="1:14" ht="25.5" customHeight="1" x14ac:dyDescent="0.2">
      <c r="A48" s="77" t="s">
        <v>695</v>
      </c>
      <c r="B48" s="509" t="str">
        <f t="shared" si="7"/>
        <v>SUMINISTRO E INSTALACIÓN DE VÁLVULA COMPUERTA CON VOLANTE Ø3" EN HIERRO DUCTIL (INCLUYE MATERIALES, HERRAMIENTAS Y MANO DE OBRA)</v>
      </c>
      <c r="C48" s="271"/>
      <c r="D48" s="271"/>
      <c r="E48" s="271"/>
      <c r="F48" s="271"/>
      <c r="G48" s="273"/>
      <c r="H48" s="30" t="str">
        <f t="shared" si="8"/>
        <v>UND</v>
      </c>
      <c r="I48" s="78">
        <f t="shared" si="9"/>
        <v>5851.9073333333336</v>
      </c>
      <c r="J48" s="78">
        <f t="shared" si="10"/>
        <v>886000</v>
      </c>
      <c r="K48" s="78">
        <f t="shared" si="11"/>
        <v>44592.595366666668</v>
      </c>
      <c r="L48" s="78">
        <f t="shared" si="12"/>
        <v>117038.14666666667</v>
      </c>
      <c r="M48" s="78">
        <f t="shared" si="13"/>
        <v>1053482.6493666666</v>
      </c>
    </row>
    <row r="49" spans="1:13" ht="12.75" customHeight="1" x14ac:dyDescent="0.2">
      <c r="A49" s="77" t="s">
        <v>704</v>
      </c>
      <c r="B49" s="509" t="str">
        <f t="shared" si="7"/>
        <v>SUMINISTRO E INSTALACIÓN DE UNIÓN DE DESMONTAJE Ø3" EN HIERRO DUCTIL (INCLUYE MATERIALES, HERRAMIENTAS Y MANO DE OBRA)</v>
      </c>
      <c r="C49" s="271"/>
      <c r="D49" s="271"/>
      <c r="E49" s="271"/>
      <c r="F49" s="271"/>
      <c r="G49" s="273"/>
      <c r="H49" s="30" t="str">
        <f t="shared" si="8"/>
        <v>UND</v>
      </c>
      <c r="I49" s="78">
        <f t="shared" si="9"/>
        <v>4937.5380000000005</v>
      </c>
      <c r="J49" s="78">
        <f t="shared" si="10"/>
        <v>504000</v>
      </c>
      <c r="K49" s="78">
        <f t="shared" si="11"/>
        <v>25446.876899999999</v>
      </c>
      <c r="L49" s="78">
        <f t="shared" si="12"/>
        <v>98750.76</v>
      </c>
      <c r="M49" s="78">
        <f t="shared" si="13"/>
        <v>633135.17489999998</v>
      </c>
    </row>
    <row r="50" spans="1:13" ht="12.75" customHeight="1" x14ac:dyDescent="0.2">
      <c r="A50" s="77" t="s">
        <v>723</v>
      </c>
      <c r="B50" s="510" t="str">
        <f t="shared" si="7"/>
        <v>EXCAVACIÓN MECÁNICA CON PROFUNDIDAD DE H= 0.0 A 6.0 MTS EN MATERIAL COMÚN SECO A TODO COSTO (INCLUYE MANO DE OBRA)</v>
      </c>
      <c r="C50" s="373"/>
      <c r="D50" s="373"/>
      <c r="E50" s="373"/>
      <c r="F50" s="373"/>
      <c r="G50" s="361"/>
      <c r="H50" s="236" t="str">
        <f t="shared" si="8"/>
        <v>M3</v>
      </c>
      <c r="I50" s="232">
        <f t="shared" si="9"/>
        <v>14520</v>
      </c>
      <c r="J50" s="232">
        <f t="shared" si="10"/>
        <v>0</v>
      </c>
      <c r="K50" s="232">
        <f t="shared" si="11"/>
        <v>726</v>
      </c>
      <c r="L50" s="232">
        <f t="shared" si="12"/>
        <v>0</v>
      </c>
      <c r="M50" s="232">
        <f t="shared" si="13"/>
        <v>19819.8</v>
      </c>
    </row>
    <row r="51" spans="1:13" ht="12.75" customHeight="1" x14ac:dyDescent="0.2">
      <c r="A51" s="77" t="s">
        <v>724</v>
      </c>
      <c r="B51" s="506" t="str">
        <f t="shared" si="7"/>
        <v>FORMALETA METÁLICA PARA ESTRUCTURA HIDRÁULICA</v>
      </c>
      <c r="C51" s="507"/>
      <c r="D51" s="507"/>
      <c r="E51" s="507"/>
      <c r="F51" s="507"/>
      <c r="G51" s="508"/>
      <c r="H51" s="30" t="str">
        <f t="shared" si="8"/>
        <v>M2</v>
      </c>
      <c r="I51" s="78">
        <f t="shared" si="9"/>
        <v>47115.785799999998</v>
      </c>
      <c r="J51" s="78">
        <f t="shared" si="10"/>
        <v>1645.846</v>
      </c>
      <c r="K51" s="78">
        <f t="shared" si="11"/>
        <v>2438.0815900000002</v>
      </c>
      <c r="L51" s="78">
        <f t="shared" si="12"/>
        <v>32916.92</v>
      </c>
      <c r="M51" s="241">
        <f t="shared" si="13"/>
        <v>84116.633390000003</v>
      </c>
    </row>
    <row r="52" spans="1:13" ht="12.75" customHeight="1" x14ac:dyDescent="0.2">
      <c r="A52" s="77" t="s">
        <v>726</v>
      </c>
      <c r="B52" s="509" t="str">
        <f t="shared" si="7"/>
        <v>DEMOLICIÓN DE ESTRUCTURAS EN CONCRETO REFORZADO (INCLUYE EQUIPOS, HERRAMIENTAS Y MANO DE OBRA)</v>
      </c>
      <c r="C52" s="271"/>
      <c r="D52" s="271"/>
      <c r="E52" s="271"/>
      <c r="F52" s="271"/>
      <c r="G52" s="273"/>
      <c r="H52" s="30" t="str">
        <f t="shared" si="8"/>
        <v>M3</v>
      </c>
      <c r="I52" s="78">
        <f t="shared" si="9"/>
        <v>105129.969</v>
      </c>
      <c r="J52" s="78">
        <f t="shared" si="10"/>
        <v>0</v>
      </c>
      <c r="K52" s="78">
        <f t="shared" si="11"/>
        <v>5256.49845</v>
      </c>
      <c r="L52" s="78">
        <f t="shared" si="12"/>
        <v>49375.38</v>
      </c>
      <c r="M52" s="232">
        <f t="shared" si="13"/>
        <v>207690.40168500002</v>
      </c>
    </row>
    <row r="53" spans="1:13" ht="12.75" customHeight="1" x14ac:dyDescent="0.2">
      <c r="A53" s="77" t="s">
        <v>727</v>
      </c>
      <c r="B53" s="509" t="str">
        <f t="shared" si="7"/>
        <v>SUMINISTRO E INSTALACION DE TEE PVC  Ø3" (INCLUYE MATERIALES, HERRAMIENTAS Y MANO DE OBRA)</v>
      </c>
      <c r="C53" s="271"/>
      <c r="D53" s="271"/>
      <c r="E53" s="271"/>
      <c r="F53" s="271"/>
      <c r="G53" s="273"/>
      <c r="H53" s="30" t="str">
        <f t="shared" si="8"/>
        <v>UND</v>
      </c>
      <c r="I53" s="78">
        <f t="shared" si="9"/>
        <v>1350.4401538461541</v>
      </c>
      <c r="J53" s="78">
        <f t="shared" si="10"/>
        <v>66215.83</v>
      </c>
      <c r="K53" s="78">
        <f t="shared" si="11"/>
        <v>3378.3135076923081</v>
      </c>
      <c r="L53" s="78">
        <f t="shared" si="12"/>
        <v>27008.803076923079</v>
      </c>
      <c r="M53" s="232">
        <f t="shared" si="13"/>
        <v>127339.40276000001</v>
      </c>
    </row>
    <row r="54" spans="1:13" ht="12.75" customHeight="1" x14ac:dyDescent="0.2">
      <c r="A54" s="77" t="s">
        <v>728</v>
      </c>
      <c r="B54" s="509" t="str">
        <f t="shared" si="7"/>
        <v>SUMINISTRO E INSTALACIÓN DE CODO 90° Ø4" EN HIERRO DUCTIL (INCLUYE MATERIALES, HERRAMIENTAS Y MANO DE OBRA)</v>
      </c>
      <c r="C54" s="271"/>
      <c r="D54" s="271"/>
      <c r="E54" s="271"/>
      <c r="F54" s="271"/>
      <c r="G54" s="273"/>
      <c r="H54" s="30" t="str">
        <f t="shared" si="8"/>
        <v>UND</v>
      </c>
      <c r="I54" s="78">
        <f t="shared" si="9"/>
        <v>987.50760000000014</v>
      </c>
      <c r="J54" s="78">
        <f t="shared" si="10"/>
        <v>420126.75</v>
      </c>
      <c r="K54" s="78">
        <f t="shared" si="11"/>
        <v>21055.712880000003</v>
      </c>
      <c r="L54" s="78">
        <f t="shared" si="12"/>
        <v>19750.152000000002</v>
      </c>
      <c r="M54" s="232">
        <f t="shared" si="13"/>
        <v>600496.15922400006</v>
      </c>
    </row>
    <row r="55" spans="1:13" ht="12.75" customHeight="1" x14ac:dyDescent="0.2">
      <c r="A55" s="77" t="s">
        <v>729</v>
      </c>
      <c r="B55" s="509" t="str">
        <f t="shared" si="7"/>
        <v>SUMINISTRO E INSTALACIÓN CODO 90° PVC 4" (INCLUYE MATERIALES, HERRAMIENTAS Y MANO DE OBRA)</v>
      </c>
      <c r="C55" s="271"/>
      <c r="D55" s="271"/>
      <c r="E55" s="271"/>
      <c r="F55" s="271"/>
      <c r="G55" s="273"/>
      <c r="H55" s="30" t="str">
        <f t="shared" si="8"/>
        <v>UND</v>
      </c>
      <c r="I55" s="78">
        <f t="shared" si="9"/>
        <v>1316.6791499999999</v>
      </c>
      <c r="J55" s="78">
        <f t="shared" si="10"/>
        <v>127860.95</v>
      </c>
      <c r="K55" s="78">
        <f t="shared" si="11"/>
        <v>6458.8814574999997</v>
      </c>
      <c r="L55" s="78">
        <f t="shared" si="12"/>
        <v>26333.582999999999</v>
      </c>
      <c r="M55" s="232">
        <f t="shared" si="13"/>
        <v>210561.12168974997</v>
      </c>
    </row>
    <row r="56" spans="1:13" ht="12.75" customHeight="1" x14ac:dyDescent="0.2">
      <c r="A56" s="77" t="s">
        <v>730</v>
      </c>
      <c r="B56" s="509" t="str">
        <f t="shared" si="7"/>
        <v>SUMINISTRO E INSTALACIÓN DE TEE PVC  Ø4" (INCLUYE MATERIALES, HERRAMIENTAS Y MANO DE OBRA)</v>
      </c>
      <c r="C56" s="271"/>
      <c r="D56" s="271"/>
      <c r="E56" s="271"/>
      <c r="F56" s="271"/>
      <c r="G56" s="273"/>
      <c r="H56" s="30" t="str">
        <f t="shared" si="8"/>
        <v>UND</v>
      </c>
      <c r="I56" s="78">
        <f t="shared" si="9"/>
        <v>1350.4401538461541</v>
      </c>
      <c r="J56" s="78">
        <f t="shared" si="10"/>
        <v>197180.41</v>
      </c>
      <c r="K56" s="78">
        <f t="shared" si="11"/>
        <v>9926.5425076923093</v>
      </c>
      <c r="L56" s="78">
        <f t="shared" si="12"/>
        <v>27008.803076923079</v>
      </c>
      <c r="M56" s="232">
        <f t="shared" si="13"/>
        <v>306106.05446000001</v>
      </c>
    </row>
    <row r="57" spans="1:13" ht="12.75" customHeight="1" x14ac:dyDescent="0.2">
      <c r="A57" s="77" t="s">
        <v>734</v>
      </c>
      <c r="B57" s="509" t="str">
        <f t="shared" si="7"/>
        <v>SUMINISTRO E INSTALACIÓN DE CODO 90° Ø6" EN HIERRO DUCTIL (INCLUYE MATERIALES, HERRAMIENTAS Y MANO DE OBRA)</v>
      </c>
      <c r="C57" s="271"/>
      <c r="D57" s="271"/>
      <c r="E57" s="271"/>
      <c r="F57" s="271"/>
      <c r="G57" s="273"/>
      <c r="H57" s="30" t="str">
        <f t="shared" si="8"/>
        <v>UND</v>
      </c>
      <c r="I57" s="78">
        <f t="shared" si="9"/>
        <v>10533.433199999999</v>
      </c>
      <c r="J57" s="78">
        <f t="shared" si="10"/>
        <v>691000</v>
      </c>
      <c r="K57" s="78">
        <f t="shared" si="11"/>
        <v>35076.67166</v>
      </c>
      <c r="L57" s="78">
        <f t="shared" si="12"/>
        <v>210668.66399999999</v>
      </c>
      <c r="M57" s="78">
        <f t="shared" si="13"/>
        <v>947278.76885999995</v>
      </c>
    </row>
    <row r="58" spans="1:13" ht="12.75" customHeight="1" x14ac:dyDescent="0.2">
      <c r="A58" s="77" t="s">
        <v>743</v>
      </c>
      <c r="B58" s="509" t="str">
        <f t="shared" si="7"/>
        <v>MURO EN TOLETE COMÚN 0,12M (INCLUYE PAÑETE, MATERIALES, HERRAMIENTA MENOR Y MANO DE OBRA)</v>
      </c>
      <c r="C58" s="271"/>
      <c r="D58" s="271"/>
      <c r="E58" s="271"/>
      <c r="F58" s="271"/>
      <c r="G58" s="273"/>
      <c r="H58" s="30" t="str">
        <f t="shared" si="8"/>
        <v>M2</v>
      </c>
      <c r="I58" s="78">
        <f t="shared" si="9"/>
        <v>1755.5722000000003</v>
      </c>
      <c r="J58" s="78">
        <f t="shared" si="10"/>
        <v>64239.240993581348</v>
      </c>
      <c r="K58" s="78">
        <f t="shared" si="11"/>
        <v>3299.7406596790674</v>
      </c>
      <c r="L58" s="78">
        <f t="shared" si="12"/>
        <v>35111.444000000003</v>
      </c>
      <c r="M58" s="78">
        <f t="shared" si="13"/>
        <v>135727.79720923855</v>
      </c>
    </row>
    <row r="59" spans="1:13" ht="12.75" customHeight="1" x14ac:dyDescent="0.2">
      <c r="A59" s="77" t="s">
        <v>748</v>
      </c>
      <c r="B59" s="509" t="str">
        <f t="shared" si="7"/>
        <v>SUMINISTRO DE DOSIFICADOR DE HIDRÓXIDO DE CLORO</v>
      </c>
      <c r="C59" s="271"/>
      <c r="D59" s="271"/>
      <c r="E59" s="271"/>
      <c r="F59" s="271"/>
      <c r="G59" s="273"/>
      <c r="H59" s="30" t="str">
        <f t="shared" si="8"/>
        <v>UND</v>
      </c>
      <c r="I59" s="78">
        <f t="shared" si="9"/>
        <v>2535300</v>
      </c>
      <c r="J59" s="78">
        <f t="shared" si="10"/>
        <v>0</v>
      </c>
      <c r="K59" s="78">
        <f t="shared" si="11"/>
        <v>126765</v>
      </c>
      <c r="L59" s="78">
        <f t="shared" si="12"/>
        <v>0</v>
      </c>
      <c r="M59" s="78">
        <f t="shared" si="13"/>
        <v>3460684.5</v>
      </c>
    </row>
    <row r="60" spans="1:13" ht="12.75" customHeight="1" x14ac:dyDescent="0.2">
      <c r="A60" s="77" t="s">
        <v>751</v>
      </c>
      <c r="B60" s="509" t="str">
        <f t="shared" si="7"/>
        <v>SUMINISTRO E INSTALACIÓN DE CILINDRO DE ALMACENAMIENTO DE CLORO 150 LB</v>
      </c>
      <c r="C60" s="271"/>
      <c r="D60" s="271"/>
      <c r="E60" s="271"/>
      <c r="F60" s="271"/>
      <c r="G60" s="273"/>
      <c r="H60" s="30" t="str">
        <f t="shared" si="8"/>
        <v>UND</v>
      </c>
      <c r="I60" s="78">
        <f t="shared" si="9"/>
        <v>13004.238518518519</v>
      </c>
      <c r="J60" s="78">
        <f t="shared" si="10"/>
        <v>6000000</v>
      </c>
      <c r="K60" s="78">
        <f t="shared" si="11"/>
        <v>300000</v>
      </c>
      <c r="L60" s="78">
        <f t="shared" si="12"/>
        <v>260084.77037037036</v>
      </c>
      <c r="M60" s="78">
        <f t="shared" si="13"/>
        <v>8545015.7115555555</v>
      </c>
    </row>
    <row r="61" spans="1:13" ht="12.75" customHeight="1" x14ac:dyDescent="0.2">
      <c r="A61" s="77" t="s">
        <v>755</v>
      </c>
      <c r="B61" s="509" t="str">
        <f t="shared" si="7"/>
        <v>SUMINISTRO DE ESTRUCTURA DE CANALETA PRFV</v>
      </c>
      <c r="C61" s="271"/>
      <c r="D61" s="271"/>
      <c r="E61" s="271"/>
      <c r="F61" s="271"/>
      <c r="G61" s="273"/>
      <c r="H61" s="30" t="str">
        <f t="shared" si="8"/>
        <v>ML</v>
      </c>
      <c r="I61" s="78">
        <f t="shared" si="9"/>
        <v>299017.61</v>
      </c>
      <c r="J61" s="78">
        <f t="shared" si="10"/>
        <v>8777.8610000000008</v>
      </c>
      <c r="K61" s="78">
        <f t="shared" si="11"/>
        <v>15389.77355</v>
      </c>
      <c r="L61" s="78">
        <f t="shared" si="12"/>
        <v>175557.22</v>
      </c>
      <c r="M61" s="232">
        <f t="shared" si="13"/>
        <v>648365.20391499996</v>
      </c>
    </row>
    <row r="62" spans="1:13" ht="12.75" customHeight="1" x14ac:dyDescent="0.2">
      <c r="A62" s="77" t="s">
        <v>768</v>
      </c>
      <c r="B62" s="510" t="str">
        <f t="shared" si="7"/>
        <v>CONCRETO PARA TAPA DE 4000 PSI IMPERMEABILIZADO A TODO COSTO (280 KG/CM2)</v>
      </c>
      <c r="C62" s="373"/>
      <c r="D62" s="373"/>
      <c r="E62" s="373"/>
      <c r="F62" s="373"/>
      <c r="G62" s="361"/>
      <c r="H62" s="30" t="str">
        <f t="shared" si="8"/>
        <v>M3</v>
      </c>
      <c r="I62" s="232">
        <f t="shared" si="9"/>
        <v>48670.608500000002</v>
      </c>
      <c r="J62" s="232">
        <f t="shared" si="10"/>
        <v>1005059.3286</v>
      </c>
      <c r="K62" s="232">
        <f t="shared" si="11"/>
        <v>148914.09982295672</v>
      </c>
      <c r="L62" s="232">
        <f t="shared" si="12"/>
        <v>186529.37</v>
      </c>
      <c r="M62" s="232">
        <f t="shared" si="13"/>
        <v>1389173.4069229569</v>
      </c>
    </row>
    <row r="63" spans="1:13" ht="12.75" customHeight="1" x14ac:dyDescent="0.2">
      <c r="A63" s="77" t="s">
        <v>769</v>
      </c>
      <c r="B63" s="510" t="str">
        <f t="shared" si="7"/>
        <v>CONCRETO PARA MUROS DE 4000 PSI IMPERMEABILIZADO A TODO COSTO (280 KG/CM2)</v>
      </c>
      <c r="C63" s="373"/>
      <c r="D63" s="373"/>
      <c r="E63" s="373"/>
      <c r="F63" s="373"/>
      <c r="G63" s="361"/>
      <c r="H63" s="30" t="str">
        <f t="shared" si="8"/>
        <v>M3</v>
      </c>
      <c r="I63" s="232">
        <f t="shared" si="9"/>
        <v>54035.718500000003</v>
      </c>
      <c r="J63" s="232">
        <f t="shared" si="10"/>
        <v>1502959.3286000001</v>
      </c>
      <c r="K63" s="232">
        <f t="shared" si="11"/>
        <v>174077.35532295675</v>
      </c>
      <c r="L63" s="232">
        <f t="shared" si="12"/>
        <v>186529.37</v>
      </c>
      <c r="M63" s="232">
        <f t="shared" si="13"/>
        <v>1917601.7724229568</v>
      </c>
    </row>
    <row r="64" spans="1:13" ht="12.75" customHeight="1" x14ac:dyDescent="0.2">
      <c r="A64" s="77" t="s">
        <v>770</v>
      </c>
      <c r="B64" s="510" t="str">
        <f t="shared" si="7"/>
        <v>CONCRETO PARA PISO DE 4000 PSI IMPERMEABILIZADO A TODO COSTO (280 KG/CM2)</v>
      </c>
      <c r="C64" s="373"/>
      <c r="D64" s="373"/>
      <c r="E64" s="373"/>
      <c r="F64" s="373"/>
      <c r="G64" s="361"/>
      <c r="H64" s="30" t="str">
        <f t="shared" si="8"/>
        <v>M3</v>
      </c>
      <c r="I64" s="232">
        <f t="shared" si="9"/>
        <v>48031.749777777775</v>
      </c>
      <c r="J64" s="232">
        <f t="shared" si="10"/>
        <v>507159.32860000001</v>
      </c>
      <c r="K64" s="232">
        <f t="shared" si="11"/>
        <v>123787.15688684562</v>
      </c>
      <c r="L64" s="232">
        <f t="shared" si="12"/>
        <v>165803.88444444444</v>
      </c>
      <c r="M64" s="232">
        <f t="shared" si="13"/>
        <v>844782.11970906786</v>
      </c>
    </row>
    <row r="65" spans="1:13" ht="12.75" customHeight="1" x14ac:dyDescent="0.2">
      <c r="A65" s="77" t="s">
        <v>771</v>
      </c>
      <c r="B65" s="510" t="str">
        <f t="shared" si="7"/>
        <v>ENTIBADO METÁLICO TIPO 3; SISTEMA DE GUÍAS CORREDERA COMPUESTA DE 4 PANELES 3,5X2,4 M PARA ALTURA ENTIBADA DE 4,8 M, PARA PROFUNDIDADES MAYORES A 4,0M (INCLUYE CODALES PARA ASEGURACIÓN DE LOS PANELES MATERIALES, HERRAMIENTAS Y MANO DE OBRA)</v>
      </c>
      <c r="C65" s="373"/>
      <c r="D65" s="373"/>
      <c r="E65" s="373"/>
      <c r="F65" s="373"/>
      <c r="G65" s="361"/>
      <c r="H65" s="30" t="str">
        <f t="shared" si="8"/>
        <v>M2</v>
      </c>
      <c r="I65" s="78">
        <f t="shared" si="9"/>
        <v>282552.53216666664</v>
      </c>
      <c r="J65" s="78">
        <f t="shared" si="10"/>
        <v>0</v>
      </c>
      <c r="K65" s="78">
        <f t="shared" si="11"/>
        <v>14127.626608333332</v>
      </c>
      <c r="L65" s="78">
        <f t="shared" si="12"/>
        <v>40231.843333333331</v>
      </c>
      <c r="M65" s="232">
        <f t="shared" si="13"/>
        <v>437985.6027408333</v>
      </c>
    </row>
    <row r="66" spans="1:13" ht="12.75" customHeight="1" x14ac:dyDescent="0.2">
      <c r="A66" s="77" t="s">
        <v>774</v>
      </c>
      <c r="B66" s="509" t="str">
        <f t="shared" si="7"/>
        <v>SUMINISTRO E INSTALACIÓN DE TUBERIA DE VENTILACIÓN Ø2" (INCLUYE MATERIALES, HERRAMIENTAS Y MANO DE OBRA)</v>
      </c>
      <c r="C66" s="271"/>
      <c r="D66" s="271"/>
      <c r="E66" s="271"/>
      <c r="F66" s="271"/>
      <c r="G66" s="273"/>
      <c r="H66" s="30" t="str">
        <f t="shared" si="8"/>
        <v>UND</v>
      </c>
      <c r="I66" s="78">
        <f t="shared" si="9"/>
        <v>329.16920000000005</v>
      </c>
      <c r="J66" s="78">
        <f t="shared" si="10"/>
        <v>503035.9</v>
      </c>
      <c r="K66" s="78">
        <f t="shared" si="11"/>
        <v>25168.253460000004</v>
      </c>
      <c r="L66" s="78">
        <f t="shared" si="12"/>
        <v>6583.384</v>
      </c>
      <c r="M66" s="78">
        <f t="shared" si="13"/>
        <v>695651.71865800011</v>
      </c>
    </row>
    <row r="67" spans="1:13" ht="12.75" customHeight="1" x14ac:dyDescent="0.2">
      <c r="A67" s="77" t="s">
        <v>775</v>
      </c>
      <c r="B67" s="509" t="str">
        <f t="shared" si="7"/>
        <v>CONCRETO PARA SOLADO DE 2000 PSI PARA ANDÉN PERIMETRAL A TODO COSTO (140 KG/CM2)</v>
      </c>
      <c r="C67" s="271"/>
      <c r="D67" s="271"/>
      <c r="E67" s="271"/>
      <c r="F67" s="271"/>
      <c r="G67" s="273"/>
      <c r="H67" s="30" t="str">
        <f t="shared" si="8"/>
        <v>M3</v>
      </c>
      <c r="I67" s="78">
        <f t="shared" si="9"/>
        <v>32083.643082279999</v>
      </c>
      <c r="J67" s="78">
        <f t="shared" si="10"/>
        <v>309400</v>
      </c>
      <c r="K67" s="78">
        <f t="shared" si="11"/>
        <v>112588.78512207072</v>
      </c>
      <c r="L67" s="78">
        <f t="shared" si="12"/>
        <v>165802.2264056</v>
      </c>
      <c r="M67" s="78">
        <f t="shared" si="13"/>
        <v>805837.05099293601</v>
      </c>
    </row>
    <row r="68" spans="1:13" ht="12.75" customHeight="1" x14ac:dyDescent="0.2">
      <c r="A68" s="77" t="s">
        <v>779</v>
      </c>
      <c r="B68" s="509" t="str">
        <f t="shared" si="7"/>
        <v>KIT DE INSTALACIÓN DE BOMBA 20 HP - CENTRIFUGA</v>
      </c>
      <c r="C68" s="271"/>
      <c r="D68" s="271"/>
      <c r="E68" s="271"/>
      <c r="F68" s="271"/>
      <c r="G68" s="273"/>
      <c r="H68" s="30" t="str">
        <f t="shared" si="8"/>
        <v>UND</v>
      </c>
      <c r="I68" s="78">
        <f t="shared" si="9"/>
        <v>8777.8610000000008</v>
      </c>
      <c r="J68" s="78">
        <f t="shared" si="10"/>
        <v>2366848</v>
      </c>
      <c r="K68" s="78">
        <f t="shared" si="11"/>
        <v>118781.29305000001</v>
      </c>
      <c r="L68" s="78">
        <f t="shared" si="12"/>
        <v>175557.22</v>
      </c>
      <c r="M68" s="232">
        <f t="shared" si="13"/>
        <v>3470953.6862650006</v>
      </c>
    </row>
    <row r="69" spans="1:13" ht="12.75" customHeight="1" x14ac:dyDescent="0.2">
      <c r="A69" s="77" t="s">
        <v>782</v>
      </c>
      <c r="B69" s="510" t="str">
        <f t="shared" si="7"/>
        <v>EXTENDIDO MANUAL DE TIERRAS CON MATERIAL DE LA PROPIA EXCAVACÍON (INCLUYE HERRAMIENTA MENOR Y MANO DE OBRA)</v>
      </c>
      <c r="C69" s="373"/>
      <c r="D69" s="373"/>
      <c r="E69" s="373"/>
      <c r="F69" s="373"/>
      <c r="G69" s="361"/>
      <c r="H69" s="30" t="str">
        <f t="shared" si="8"/>
        <v>M3</v>
      </c>
      <c r="I69" s="78">
        <f t="shared" si="9"/>
        <v>987.50759999999991</v>
      </c>
      <c r="J69" s="78">
        <f t="shared" si="10"/>
        <v>0</v>
      </c>
      <c r="K69" s="78">
        <f t="shared" si="11"/>
        <v>49.37538</v>
      </c>
      <c r="L69" s="78">
        <f t="shared" si="12"/>
        <v>19750.151999999998</v>
      </c>
      <c r="M69" s="232">
        <f t="shared" si="13"/>
        <v>27023.145473999997</v>
      </c>
    </row>
    <row r="70" spans="1:13" ht="12.75" customHeight="1" x14ac:dyDescent="0.2">
      <c r="A70" s="77" t="s">
        <v>783</v>
      </c>
      <c r="B70" s="509" t="str">
        <f t="shared" si="7"/>
        <v>CONCRETO DE 3000 PSI A TODO COSTO (210 KG/CM2) PARA ENCOFRADO DE TUBERÍA DE PASOS FLUVIALES</v>
      </c>
      <c r="C70" s="271"/>
      <c r="D70" s="271"/>
      <c r="E70" s="271"/>
      <c r="F70" s="271"/>
      <c r="G70" s="273"/>
      <c r="H70" s="30" t="str">
        <f t="shared" si="8"/>
        <v>M3</v>
      </c>
      <c r="I70" s="78">
        <f t="shared" si="9"/>
        <v>48031.749777777775</v>
      </c>
      <c r="J70" s="78">
        <f t="shared" si="10"/>
        <v>410065</v>
      </c>
      <c r="K70" s="78">
        <f t="shared" si="11"/>
        <v>118448.69045684562</v>
      </c>
      <c r="L70" s="78">
        <f t="shared" si="12"/>
        <v>165803.88444444444</v>
      </c>
      <c r="M70" s="78">
        <f t="shared" si="13"/>
        <v>965054.12208278815</v>
      </c>
    </row>
    <row r="71" spans="1:13" ht="40.5" customHeight="1" x14ac:dyDescent="0.2">
      <c r="A71" s="77" t="s">
        <v>784</v>
      </c>
      <c r="B71" s="509" t="str">
        <f t="shared" si="7"/>
        <v>SUMINISTRO E INSTALACIÓN DE VÁLVULA VENTOSA TRIPLE ACCIÓN DE Ø3" (INCLUYE CAJA EN CONCRETO REFORZADO, TUBERÍA DE LAVADO, VÁLVULAS, NIPLES, TAPAS, PELDAÑOS, ACCESORIOS EN HIERRO DÚCTIL)</v>
      </c>
      <c r="C71" s="271"/>
      <c r="D71" s="271"/>
      <c r="E71" s="271"/>
      <c r="F71" s="271"/>
      <c r="G71" s="273"/>
      <c r="H71" s="30" t="str">
        <f t="shared" si="8"/>
        <v>UND</v>
      </c>
      <c r="I71" s="78">
        <f t="shared" si="9"/>
        <v>0</v>
      </c>
      <c r="J71" s="78">
        <f t="shared" si="10"/>
        <v>10468898.653219508</v>
      </c>
      <c r="K71" s="78">
        <f t="shared" si="11"/>
        <v>0</v>
      </c>
      <c r="L71" s="78">
        <f t="shared" si="12"/>
        <v>0</v>
      </c>
      <c r="M71" s="232">
        <f t="shared" si="13"/>
        <v>13609568.249185361</v>
      </c>
    </row>
    <row r="72" spans="1:13" ht="12.75" customHeight="1" x14ac:dyDescent="0.2">
      <c r="A72" s="77" t="s">
        <v>787</v>
      </c>
      <c r="B72" s="506" t="str">
        <f t="shared" si="7"/>
        <v>SUMINISTRO E INSTALACIÓN DE NIPLE PASAMURO EBxEB DE Ø3" L=0,87 M EN HIERRO DUCTIL</v>
      </c>
      <c r="C72" s="507"/>
      <c r="D72" s="507"/>
      <c r="E72" s="507"/>
      <c r="F72" s="507"/>
      <c r="G72" s="508"/>
      <c r="H72" s="30" t="str">
        <f t="shared" si="8"/>
        <v>UND</v>
      </c>
      <c r="I72" s="78">
        <f t="shared" si="9"/>
        <v>340631.1</v>
      </c>
      <c r="J72" s="78">
        <f t="shared" si="10"/>
        <v>4388.9305000000004</v>
      </c>
      <c r="K72" s="78">
        <f t="shared" si="11"/>
        <v>17251.001525</v>
      </c>
      <c r="L72" s="78">
        <f t="shared" si="12"/>
        <v>87778.61</v>
      </c>
      <c r="M72" s="78">
        <f t="shared" si="13"/>
        <v>450049.64202499995</v>
      </c>
    </row>
    <row r="73" spans="1:13" ht="12.75" customHeight="1" x14ac:dyDescent="0.2">
      <c r="A73" s="77" t="s">
        <v>788</v>
      </c>
      <c r="B73" s="506" t="str">
        <f t="shared" ref="B73:B104" si="14">VLOOKUP(A73,AA_APUS,2,FALSE)</f>
        <v>SUMINISTRO E INSTALACIÓN DE NIPLE EBxEB Ø4" L=0,15 M EN HIERRO DUCTIL</v>
      </c>
      <c r="C73" s="507"/>
      <c r="D73" s="507"/>
      <c r="E73" s="507"/>
      <c r="F73" s="507"/>
      <c r="G73" s="508"/>
      <c r="H73" s="30" t="str">
        <f t="shared" ref="H73:H104" si="15">VLOOKUP(A73,AA_APUS,4,FALSE)</f>
        <v>UND</v>
      </c>
      <c r="I73" s="78">
        <f t="shared" ref="I73:I104" si="16">VLOOKUP(A73,AA_APUS,8,FALSE)</f>
        <v>139154.69999999998</v>
      </c>
      <c r="J73" s="78">
        <f t="shared" ref="J73:J104" si="17">VLOOKUP(A73,AA_APUS,10,FALSE)</f>
        <v>4388.9305000000004</v>
      </c>
      <c r="K73" s="78">
        <f t="shared" ref="K73:K104" si="18">VLOOKUP(A73,AA_APUS,12,FALSE)</f>
        <v>7177.181525</v>
      </c>
      <c r="L73" s="78">
        <f t="shared" ref="L73:L104" si="19">VLOOKUP(A73,AA_APUS,14,FALSE)</f>
        <v>87778.61</v>
      </c>
      <c r="M73" s="78">
        <f t="shared" ref="M73:M104" si="20">VLOOKUP(A73,AA_APUS,6,FALSE)</f>
        <v>238499.42202499998</v>
      </c>
    </row>
    <row r="74" spans="1:13" ht="12.75" customHeight="1" x14ac:dyDescent="0.2">
      <c r="A74" s="77" t="s">
        <v>789</v>
      </c>
      <c r="B74" s="506" t="str">
        <f t="shared" si="14"/>
        <v>SUMINISTRO E INSTALACIÓN DE NIPLE PASAMURO EBxEB DE Ø3" L=0,73 M EN HIERRO DUCTIL</v>
      </c>
      <c r="C74" s="507"/>
      <c r="D74" s="507"/>
      <c r="E74" s="507"/>
      <c r="F74" s="507"/>
      <c r="G74" s="508"/>
      <c r="H74" s="30" t="str">
        <f t="shared" si="15"/>
        <v>UND</v>
      </c>
      <c r="I74" s="78">
        <f t="shared" si="16"/>
        <v>285816.89999999997</v>
      </c>
      <c r="J74" s="78">
        <f t="shared" si="17"/>
        <v>4388.9305000000004</v>
      </c>
      <c r="K74" s="78">
        <f t="shared" si="18"/>
        <v>14510.291524999999</v>
      </c>
      <c r="L74" s="78">
        <f t="shared" si="19"/>
        <v>87778.61</v>
      </c>
      <c r="M74" s="78">
        <f t="shared" si="20"/>
        <v>392494.73202499998</v>
      </c>
    </row>
    <row r="75" spans="1:13" ht="12.75" customHeight="1" x14ac:dyDescent="0.2">
      <c r="A75" s="77" t="s">
        <v>791</v>
      </c>
      <c r="B75" s="506" t="str">
        <f t="shared" si="14"/>
        <v>FORMALETA EN MADERA PARA ESTUCTURA HIDRÁULICA (INCLUYE MATERIALES, HERRAMIENTAS Y MANO DE OBRA)</v>
      </c>
      <c r="C75" s="507"/>
      <c r="D75" s="507"/>
      <c r="E75" s="507"/>
      <c r="F75" s="507"/>
      <c r="G75" s="508"/>
      <c r="H75" s="30" t="str">
        <f t="shared" si="15"/>
        <v>M2</v>
      </c>
      <c r="I75" s="78">
        <f t="shared" si="16"/>
        <v>8750</v>
      </c>
      <c r="J75" s="78">
        <f t="shared" si="17"/>
        <v>263.33582999999999</v>
      </c>
      <c r="K75" s="78">
        <f t="shared" si="18"/>
        <v>450.66679149999999</v>
      </c>
      <c r="L75" s="78">
        <f t="shared" si="19"/>
        <v>5266.7165999999997</v>
      </c>
      <c r="M75" s="78">
        <f t="shared" si="20"/>
        <v>14730.7192215</v>
      </c>
    </row>
    <row r="76" spans="1:13" ht="57.75" customHeight="1" x14ac:dyDescent="0.2">
      <c r="A76" s="77" t="s">
        <v>792</v>
      </c>
      <c r="B76" s="509" t="str">
        <f t="shared" si="14"/>
        <v>SUMINISTRO E INSTALACIÓN DE PURGA DE Ø4" (INCLUYE CAJA EN CONCRETO REFORZADO, CABEZAL DE DESCARGA, TUBERÍA DE LAVADO, VÁLVULAS, NIPLES, TAPAS, PELDAÑOS, ACCESORIOS EN HIERRO DÚCTIL)</v>
      </c>
      <c r="C76" s="271"/>
      <c r="D76" s="271"/>
      <c r="E76" s="271"/>
      <c r="F76" s="271"/>
      <c r="G76" s="273"/>
      <c r="H76" s="30" t="str">
        <f t="shared" si="15"/>
        <v>UND</v>
      </c>
      <c r="I76" s="78">
        <f t="shared" si="16"/>
        <v>0</v>
      </c>
      <c r="J76" s="78">
        <f t="shared" si="17"/>
        <v>11793988.459985781</v>
      </c>
      <c r="K76" s="78">
        <f t="shared" si="18"/>
        <v>0</v>
      </c>
      <c r="L76" s="78">
        <f t="shared" si="19"/>
        <v>0</v>
      </c>
      <c r="M76" s="232">
        <f t="shared" si="20"/>
        <v>15332184.997981517</v>
      </c>
    </row>
    <row r="77" spans="1:13" ht="12.75" customHeight="1" x14ac:dyDescent="0.2">
      <c r="A77" s="77" t="s">
        <v>799</v>
      </c>
      <c r="B77" s="510" t="str">
        <f t="shared" si="14"/>
        <v>EXCAVACIÓN MECÁNICA EN CONGLOMERADO</v>
      </c>
      <c r="C77" s="373"/>
      <c r="D77" s="373"/>
      <c r="E77" s="373"/>
      <c r="F77" s="373"/>
      <c r="G77" s="361"/>
      <c r="H77" s="30" t="str">
        <f t="shared" si="15"/>
        <v>M3</v>
      </c>
      <c r="I77" s="78">
        <f t="shared" si="16"/>
        <v>0</v>
      </c>
      <c r="J77" s="78">
        <f t="shared" si="17"/>
        <v>14520</v>
      </c>
      <c r="K77" s="78">
        <f t="shared" si="18"/>
        <v>726</v>
      </c>
      <c r="L77" s="78">
        <f t="shared" si="19"/>
        <v>0</v>
      </c>
      <c r="M77" s="232">
        <f t="shared" si="20"/>
        <v>19819.8</v>
      </c>
    </row>
    <row r="78" spans="1:13" ht="12.75" customHeight="1" x14ac:dyDescent="0.2">
      <c r="A78" s="77" t="s">
        <v>806</v>
      </c>
      <c r="B78" s="509" t="str">
        <f t="shared" si="14"/>
        <v>SUMINISTRO E INSTALACIÓN CODO 22,5° Ø3" EN HIERRO DUCTIL CON UNIÓN MECÁNICA (INCLUYE MATERIALES, HERRAMIENTAS Y MANO DE OBRA)</v>
      </c>
      <c r="C78" s="271"/>
      <c r="D78" s="271"/>
      <c r="E78" s="271"/>
      <c r="F78" s="271"/>
      <c r="G78" s="273"/>
      <c r="H78" s="30" t="str">
        <f t="shared" si="15"/>
        <v>UND</v>
      </c>
      <c r="I78" s="78">
        <f t="shared" si="16"/>
        <v>877.78610000000015</v>
      </c>
      <c r="J78" s="78">
        <f t="shared" si="17"/>
        <v>180000</v>
      </c>
      <c r="K78" s="78">
        <f t="shared" si="18"/>
        <v>9043.8893050000006</v>
      </c>
      <c r="L78" s="78">
        <f t="shared" si="19"/>
        <v>17555.722000000002</v>
      </c>
      <c r="M78" s="232">
        <f t="shared" si="20"/>
        <v>269720.61662649998</v>
      </c>
    </row>
    <row r="79" spans="1:13" ht="12.75" customHeight="1" x14ac:dyDescent="0.2">
      <c r="A79" s="77" t="s">
        <v>812</v>
      </c>
      <c r="B79" s="509" t="str">
        <f t="shared" si="14"/>
        <v>SUMINISTRO E INSTALACIÓN CODO 90° Ø3" EN HIERRO DUCTIL CON UNIÓN MECÁNICA (INCLUYE MATERIALES, HERRAMIENTAS Y MANO DE OBRA)</v>
      </c>
      <c r="C79" s="271"/>
      <c r="D79" s="271"/>
      <c r="E79" s="271"/>
      <c r="F79" s="271"/>
      <c r="G79" s="273"/>
      <c r="H79" s="30" t="str">
        <f t="shared" si="15"/>
        <v>UND</v>
      </c>
      <c r="I79" s="78">
        <f t="shared" si="16"/>
        <v>877.78610000000015</v>
      </c>
      <c r="J79" s="78">
        <f t="shared" si="17"/>
        <v>204000</v>
      </c>
      <c r="K79" s="78">
        <f t="shared" si="18"/>
        <v>10243.889305000001</v>
      </c>
      <c r="L79" s="78">
        <f t="shared" si="19"/>
        <v>17555.722000000002</v>
      </c>
      <c r="M79" s="232">
        <f t="shared" si="20"/>
        <v>302480.61662649998</v>
      </c>
    </row>
    <row r="80" spans="1:13" ht="12.75" customHeight="1" x14ac:dyDescent="0.2">
      <c r="A80" s="77" t="s">
        <v>815</v>
      </c>
      <c r="B80" s="509" t="str">
        <f t="shared" si="14"/>
        <v>SUMINISTRO E INSTALACIÓN TEE Ø3" EN HIERRO DUCTIL CON UNIÓN MECÁNICA (INCLUYE MATERIALES, HERRAMIENTAS Y MANO DE OBRA)</v>
      </c>
      <c r="C80" s="271"/>
      <c r="D80" s="271"/>
      <c r="E80" s="271"/>
      <c r="F80" s="271"/>
      <c r="G80" s="273"/>
      <c r="H80" s="30" t="str">
        <f t="shared" si="15"/>
        <v>UND</v>
      </c>
      <c r="I80" s="78">
        <f t="shared" si="16"/>
        <v>877.78610000000015</v>
      </c>
      <c r="J80" s="78">
        <f t="shared" si="17"/>
        <v>277000</v>
      </c>
      <c r="K80" s="78">
        <f t="shared" si="18"/>
        <v>13893.889305000001</v>
      </c>
      <c r="L80" s="78">
        <f t="shared" si="19"/>
        <v>17555.722000000002</v>
      </c>
      <c r="M80" s="232">
        <f t="shared" si="20"/>
        <v>402125.61662650009</v>
      </c>
    </row>
    <row r="81" spans="1:13" ht="12.75" customHeight="1" x14ac:dyDescent="0.2">
      <c r="A81" s="77" t="s">
        <v>818</v>
      </c>
      <c r="B81" s="509" t="str">
        <f t="shared" si="14"/>
        <v>VÁLVULA DE CORTE TIPO CHOROTE DE Ø3" (INCLUYE LLAVE PARA VÁLVULA, TAPA DE SEGURIDAD, TUBERÁ SANITARIA, VÁLVULA DE COMPUERTA, MATERIALES, HERRAMIENTAS Y MANO DE OBRA)</v>
      </c>
      <c r="C81" s="271"/>
      <c r="D81" s="271"/>
      <c r="E81" s="271"/>
      <c r="F81" s="271"/>
      <c r="G81" s="273"/>
      <c r="H81" s="30" t="str">
        <f t="shared" si="15"/>
        <v>UND</v>
      </c>
      <c r="I81" s="78">
        <f t="shared" si="16"/>
        <v>1314808.8321320775</v>
      </c>
      <c r="J81" s="78">
        <f t="shared" si="17"/>
        <v>31919.494545454545</v>
      </c>
      <c r="K81" s="78">
        <f t="shared" si="18"/>
        <v>63062.533727272734</v>
      </c>
      <c r="L81" s="78">
        <f t="shared" si="19"/>
        <v>638389.89090909087</v>
      </c>
      <c r="M81" s="232">
        <f t="shared" si="20"/>
        <v>2662634.9767080643</v>
      </c>
    </row>
    <row r="82" spans="1:13" ht="12.75" customHeight="1" x14ac:dyDescent="0.2">
      <c r="A82" s="77" t="s">
        <v>822</v>
      </c>
      <c r="B82" s="509" t="str">
        <f t="shared" si="14"/>
        <v>ESTACIÓN DE MACROMEDICIÓN DE Ø3" (INCLUYE CAJA DE CONCRETO CON TAPA Y ESCALERA DE GATO, VÁLVULAS, CODOS, TEES, UNIONES, FILTRO EN YEE, NIPLES, PASAMUROS, MACROMEDIDOR, MATERIALES, HERRAMIENTAS, TRANSPORTE Y MANO DE OBRA)</v>
      </c>
      <c r="C82" s="271"/>
      <c r="D82" s="271"/>
      <c r="E82" s="271"/>
      <c r="F82" s="271"/>
      <c r="G82" s="273"/>
      <c r="H82" s="30" t="str">
        <f t="shared" si="15"/>
        <v>UND</v>
      </c>
      <c r="I82" s="78">
        <f t="shared" si="16"/>
        <v>27979.405500000001</v>
      </c>
      <c r="J82" s="78">
        <f t="shared" si="17"/>
        <v>13628469.426506</v>
      </c>
      <c r="K82" s="78">
        <f t="shared" si="18"/>
        <v>202600</v>
      </c>
      <c r="L82" s="78">
        <f t="shared" si="19"/>
        <v>559588.11</v>
      </c>
      <c r="M82" s="232">
        <f t="shared" si="20"/>
        <v>18744228.0246078</v>
      </c>
    </row>
    <row r="83" spans="1:13" ht="33.75" customHeight="1" x14ac:dyDescent="0.2">
      <c r="A83" s="77" t="s">
        <v>825</v>
      </c>
      <c r="B83" s="510" t="str">
        <f t="shared" si="14"/>
        <v>SUMINISTRO E INSTALACIÓN DE TUBERÍA PVC Ø4" RDE 21 (INCLUYE PEGANTE, LIMPIADOR, HERRAMIENTA MENOR Y MANO DE OBRA)</v>
      </c>
      <c r="C83" s="373"/>
      <c r="D83" s="373"/>
      <c r="E83" s="373"/>
      <c r="F83" s="373"/>
      <c r="G83" s="361"/>
      <c r="H83" s="236" t="str">
        <f t="shared" si="15"/>
        <v>ML</v>
      </c>
      <c r="I83" s="232">
        <f t="shared" si="16"/>
        <v>438.89305000000007</v>
      </c>
      <c r="J83" s="232">
        <f t="shared" si="17"/>
        <v>89836</v>
      </c>
      <c r="K83" s="232">
        <f t="shared" si="18"/>
        <v>4513.7446525000005</v>
      </c>
      <c r="L83" s="232">
        <f t="shared" si="19"/>
        <v>8777.8610000000008</v>
      </c>
      <c r="M83" s="232">
        <f>VLOOKUP(A83,AA_APUS,6,FALSE)</f>
        <v>134636.44831325</v>
      </c>
    </row>
    <row r="84" spans="1:13" ht="12.75" customHeight="1" x14ac:dyDescent="0.2">
      <c r="A84" s="77" t="s">
        <v>827</v>
      </c>
      <c r="B84" s="509" t="str">
        <f t="shared" si="14"/>
        <v>SUMINISTRO E INSTALACIÓN DE TUBERÍA PVC Ø3" RDE 21 (INCLUYE PEGANTE, LIMPIADOR, HERRAMIENTA MENOR Y MANO DE OBRA)</v>
      </c>
      <c r="C84" s="271"/>
      <c r="D84" s="271"/>
      <c r="E84" s="271"/>
      <c r="F84" s="271"/>
      <c r="G84" s="273"/>
      <c r="H84" s="30" t="str">
        <f t="shared" si="15"/>
        <v>ML</v>
      </c>
      <c r="I84" s="78">
        <f t="shared" si="16"/>
        <v>438.89305000000007</v>
      </c>
      <c r="J84" s="78">
        <f t="shared" si="17"/>
        <v>52694.25</v>
      </c>
      <c r="K84" s="78">
        <f t="shared" si="18"/>
        <v>2656.6571524999999</v>
      </c>
      <c r="L84" s="78">
        <f t="shared" si="19"/>
        <v>8777.8610000000008</v>
      </c>
      <c r="M84" s="232">
        <f t="shared" si="20"/>
        <v>83937.959563250013</v>
      </c>
    </row>
    <row r="85" spans="1:13" ht="12.75" customHeight="1" x14ac:dyDescent="0.2">
      <c r="A85" s="77" t="s">
        <v>831</v>
      </c>
      <c r="B85" s="509" t="str">
        <f t="shared" si="14"/>
        <v>LECHO FILTRANTE CON ARENA (INCLUYE MATERIALES, TRANSPORTE Y MANO DE OBRA)</v>
      </c>
      <c r="C85" s="271"/>
      <c r="D85" s="271"/>
      <c r="E85" s="271"/>
      <c r="F85" s="271"/>
      <c r="G85" s="273"/>
      <c r="H85" s="30" t="str">
        <f t="shared" si="15"/>
        <v>M3</v>
      </c>
      <c r="I85" s="78">
        <f t="shared" si="16"/>
        <v>1170.3814666666667</v>
      </c>
      <c r="J85" s="78">
        <f t="shared" si="17"/>
        <v>64260</v>
      </c>
      <c r="K85" s="78">
        <f t="shared" si="18"/>
        <v>101843.12204129006</v>
      </c>
      <c r="L85" s="78">
        <f t="shared" si="19"/>
        <v>23407.629333333334</v>
      </c>
      <c r="M85" s="232">
        <f t="shared" si="20"/>
        <v>247885.47269367709</v>
      </c>
    </row>
    <row r="86" spans="1:13" ht="12.75" customHeight="1" x14ac:dyDescent="0.2">
      <c r="A86" s="77" t="s">
        <v>833</v>
      </c>
      <c r="B86" s="509" t="str">
        <f t="shared" si="14"/>
        <v>SUMINISTRO E INSTALACIÓN DE MANGUERA PEAD DE Ø1/2" PARA ACOMETIDA RDE 9 (INCLUYE MANGUERA PEAD, HERRAMIENTA MENOR Y MANO DE OBRA)</v>
      </c>
      <c r="C86" s="271"/>
      <c r="D86" s="271"/>
      <c r="E86" s="271"/>
      <c r="F86" s="271"/>
      <c r="G86" s="273"/>
      <c r="H86" s="30" t="str">
        <f t="shared" si="15"/>
        <v>ML</v>
      </c>
      <c r="I86" s="78">
        <f t="shared" si="16"/>
        <v>195.06357777777779</v>
      </c>
      <c r="J86" s="78">
        <f t="shared" si="17"/>
        <v>3943.33</v>
      </c>
      <c r="K86" s="78">
        <f t="shared" si="18"/>
        <v>206.91967888888891</v>
      </c>
      <c r="L86" s="78">
        <f t="shared" si="19"/>
        <v>3901.2715555555556</v>
      </c>
      <c r="M86" s="232">
        <f t="shared" si="20"/>
        <v>10720.560255888888</v>
      </c>
    </row>
    <row r="87" spans="1:13" ht="12.75" customHeight="1" x14ac:dyDescent="0.2">
      <c r="A87" s="77" t="s">
        <v>834</v>
      </c>
      <c r="B87" s="510" t="str">
        <f t="shared" si="14"/>
        <v>MICROMEDIDOR DE Ø1/2" (INCLUYE CAJA, TEE, CODO, ADAPTADORES, VÁLVULAS, MEDIDOR, COLLAR DE DERIVACIÓN, TAPÓN, RACOR, MATERIALES, HERRAMIENTA MENOR Y MANO DE OBRA)</v>
      </c>
      <c r="C87" s="373"/>
      <c r="D87" s="373"/>
      <c r="E87" s="373"/>
      <c r="F87" s="373"/>
      <c r="G87" s="361"/>
      <c r="H87" s="30" t="str">
        <f t="shared" si="15"/>
        <v>UND</v>
      </c>
      <c r="I87" s="78">
        <f t="shared" si="16"/>
        <v>11703.814666666667</v>
      </c>
      <c r="J87" s="78">
        <f t="shared" si="17"/>
        <v>294430.88</v>
      </c>
      <c r="K87" s="78">
        <f t="shared" si="18"/>
        <v>15306.734733333335</v>
      </c>
      <c r="L87" s="78">
        <f t="shared" si="19"/>
        <v>234076.29333333333</v>
      </c>
      <c r="M87" s="232">
        <f t="shared" si="20"/>
        <v>661066.09005266661</v>
      </c>
    </row>
    <row r="88" spans="1:13" ht="12.75" customHeight="1" x14ac:dyDescent="0.2">
      <c r="A88" s="77" t="s">
        <v>835</v>
      </c>
      <c r="B88" s="510" t="str">
        <f t="shared" si="14"/>
        <v>REPOSICIÓN DE CAPA DE RODADURA DE PAVIMENTO FLEXIBLE EN ASFALTO MDC-19, CON ESPESOR DE 7CM (INCLUYE APISONADOR TIPO BENITIN, MATERIALES, HERRAMIENTA MENOR Y MANO DE OBRA)</v>
      </c>
      <c r="C88" s="373"/>
      <c r="D88" s="373"/>
      <c r="E88" s="373"/>
      <c r="F88" s="373"/>
      <c r="G88" s="361"/>
      <c r="H88" s="30" t="str">
        <f t="shared" si="15"/>
        <v>M2</v>
      </c>
      <c r="I88" s="78">
        <f t="shared" si="16"/>
        <v>8618.6880304456772</v>
      </c>
      <c r="J88" s="78">
        <f t="shared" si="17"/>
        <v>63427</v>
      </c>
      <c r="K88" s="78">
        <f t="shared" si="18"/>
        <v>20984.204995113629</v>
      </c>
      <c r="L88" s="78">
        <f t="shared" si="19"/>
        <v>29844.699199999999</v>
      </c>
      <c r="M88" s="232">
        <f t="shared" si="20"/>
        <v>159736.9698932271</v>
      </c>
    </row>
    <row r="89" spans="1:13" ht="12.75" customHeight="1" x14ac:dyDescent="0.2">
      <c r="A89" s="77" t="s">
        <v>836</v>
      </c>
      <c r="B89" s="509" t="str">
        <f t="shared" si="14"/>
        <v>LECHO FILTRANTE CON GRAVA (INCLUYE MATERIALES, TRANSPORTE Y MANO DE OBRA)</v>
      </c>
      <c r="C89" s="271"/>
      <c r="D89" s="271"/>
      <c r="E89" s="271"/>
      <c r="F89" s="271"/>
      <c r="G89" s="273"/>
      <c r="H89" s="30" t="str">
        <f t="shared" si="15"/>
        <v>M3</v>
      </c>
      <c r="I89" s="78">
        <f t="shared" si="16"/>
        <v>1755.5722000000003</v>
      </c>
      <c r="J89" s="78">
        <f t="shared" si="17"/>
        <v>107133.47500000001</v>
      </c>
      <c r="K89" s="78">
        <f t="shared" si="18"/>
        <v>101872.38157795672</v>
      </c>
      <c r="L89" s="78">
        <f t="shared" si="19"/>
        <v>35111.444000000003</v>
      </c>
      <c r="M89" s="232">
        <f t="shared" si="20"/>
        <v>319634.73461134371</v>
      </c>
    </row>
    <row r="90" spans="1:13" ht="12.75" customHeight="1" x14ac:dyDescent="0.2">
      <c r="A90" s="77" t="s">
        <v>840</v>
      </c>
      <c r="B90" s="509" t="str">
        <f t="shared" si="14"/>
        <v>CORREA METÁLICA DE PERFIL EN C GRADO 50, CON DIMENSIONES DE 150x50x2MM PARA CUBIERTAS (INCLUYE PINTURA, TORNILLOS, SOLDADURA, EQUIPOS, HERRAMIENTAS Y MANO DE OBRA)</v>
      </c>
      <c r="C90" s="271"/>
      <c r="D90" s="271"/>
      <c r="E90" s="271"/>
      <c r="F90" s="271"/>
      <c r="G90" s="273"/>
      <c r="H90" s="30" t="str">
        <f t="shared" si="15"/>
        <v>ML</v>
      </c>
      <c r="I90" s="78">
        <f t="shared" si="16"/>
        <v>5636.770564352415</v>
      </c>
      <c r="J90" s="78">
        <f t="shared" si="17"/>
        <v>55911</v>
      </c>
      <c r="K90" s="78">
        <f t="shared" si="18"/>
        <v>3077.3885282176211</v>
      </c>
      <c r="L90" s="78">
        <f t="shared" si="19"/>
        <v>29402.077953714979</v>
      </c>
      <c r="M90" s="78">
        <f t="shared" si="20"/>
        <v>122235.40816017051</v>
      </c>
    </row>
    <row r="91" spans="1:13" ht="12.75" customHeight="1" x14ac:dyDescent="0.2">
      <c r="A91" s="77" t="s">
        <v>841</v>
      </c>
      <c r="B91" s="509" t="str">
        <f t="shared" si="14"/>
        <v>SUMINISTRO E INSTALACIÓN DE TEJA TERMOACÚSTICA E=2MM PARA CUBIERTAS (INCLUYE TORNILLOS, TUBO CUADRADO, TEJA, HERRAMIENTA MENOR Y MANO DE OBRA)</v>
      </c>
      <c r="C91" s="271"/>
      <c r="D91" s="271"/>
      <c r="E91" s="271"/>
      <c r="F91" s="271"/>
      <c r="G91" s="273"/>
      <c r="H91" s="30" t="str">
        <f t="shared" si="15"/>
        <v>M2</v>
      </c>
      <c r="I91" s="78">
        <f t="shared" si="16"/>
        <v>2495.3616405667412</v>
      </c>
      <c r="J91" s="78">
        <f t="shared" si="17"/>
        <v>82314.669999999984</v>
      </c>
      <c r="K91" s="78">
        <f t="shared" si="18"/>
        <v>4240.5015820283361</v>
      </c>
      <c r="L91" s="78">
        <f t="shared" si="19"/>
        <v>47129.455033557046</v>
      </c>
      <c r="M91" s="232">
        <f t="shared" si="20"/>
        <v>177033.98473299775</v>
      </c>
    </row>
    <row r="92" spans="1:13" ht="12.75" customHeight="1" x14ac:dyDescent="0.2">
      <c r="A92" s="77" t="s">
        <v>843</v>
      </c>
      <c r="B92" s="509" t="str">
        <f t="shared" si="14"/>
        <v>CAJA DE INSPECCIÓN DE 1,10 x 1,10 M (INCLUYE TAPA EN CONCRETO, MATERIALES, HERRAMIENTA MENOR Y MANO DE OBRA)</v>
      </c>
      <c r="C92" s="271"/>
      <c r="D92" s="271"/>
      <c r="E92" s="271"/>
      <c r="F92" s="271"/>
      <c r="G92" s="273"/>
      <c r="H92" s="30" t="str">
        <f t="shared" si="15"/>
        <v>UND</v>
      </c>
      <c r="I92" s="78">
        <f t="shared" si="16"/>
        <v>12069.553</v>
      </c>
      <c r="J92" s="78">
        <f t="shared" si="17"/>
        <v>1581912.969879898</v>
      </c>
      <c r="K92" s="78">
        <f t="shared" si="18"/>
        <v>716.61490000000003</v>
      </c>
      <c r="L92" s="78">
        <f t="shared" si="19"/>
        <v>241391.06</v>
      </c>
      <c r="M92" s="232">
        <f t="shared" si="20"/>
        <v>1836090.1977798981</v>
      </c>
    </row>
    <row r="93" spans="1:13" ht="12.75" customHeight="1" x14ac:dyDescent="0.2">
      <c r="A93" s="77" t="s">
        <v>850</v>
      </c>
      <c r="B93" s="509" t="str">
        <f t="shared" si="14"/>
        <v>ADECUACIÓN DE PTAP COMPACTA TIPO MODUPACK PARA CAUDAL DE 6-10 LPS (INCLUYE LIMPIEZA, GRATEO Y PINTURA GENERAL, RECONSTRUCCIÓN DE F. FONDOS, CAMBIO Y ADAPTACIÓN DE MOD. SED. Y L. FILTRANTES, ELABORACIÓN DE MANUAL DE OPERACIÓN Y PUESTA EN MARCHA)</v>
      </c>
      <c r="C93" s="271"/>
      <c r="D93" s="271"/>
      <c r="E93" s="271"/>
      <c r="F93" s="271"/>
      <c r="G93" s="273"/>
      <c r="H93" s="30" t="str">
        <f t="shared" si="15"/>
        <v>UND</v>
      </c>
      <c r="I93" s="78">
        <f t="shared" si="16"/>
        <v>0</v>
      </c>
      <c r="J93" s="78">
        <f t="shared" si="17"/>
        <v>94011600</v>
      </c>
      <c r="K93" s="78">
        <f t="shared" si="18"/>
        <v>4700580</v>
      </c>
      <c r="L93" s="78">
        <f t="shared" si="19"/>
        <v>0</v>
      </c>
      <c r="M93" s="232">
        <f t="shared" si="20"/>
        <v>128325834</v>
      </c>
    </row>
    <row r="94" spans="1:13" ht="12.75" customHeight="1" x14ac:dyDescent="0.2">
      <c r="A94" s="77" t="s">
        <v>851</v>
      </c>
      <c r="B94" s="509" t="str">
        <f t="shared" si="14"/>
        <v>SUMINISTRO DE KIT DE LABORATORIO PARA ANALISIS DE AGUA</v>
      </c>
      <c r="C94" s="271"/>
      <c r="D94" s="271"/>
      <c r="E94" s="271"/>
      <c r="F94" s="271"/>
      <c r="G94" s="273"/>
      <c r="H94" s="30" t="str">
        <f t="shared" si="15"/>
        <v>UND</v>
      </c>
      <c r="I94" s="78">
        <f t="shared" si="16"/>
        <v>0</v>
      </c>
      <c r="J94" s="78">
        <f t="shared" si="17"/>
        <v>12539006</v>
      </c>
      <c r="K94" s="78">
        <f t="shared" si="18"/>
        <v>250780.12</v>
      </c>
      <c r="L94" s="78">
        <f t="shared" si="19"/>
        <v>0</v>
      </c>
      <c r="M94" s="232">
        <f t="shared" si="20"/>
        <v>16626721.956</v>
      </c>
    </row>
    <row r="95" spans="1:13" ht="12.75" customHeight="1" x14ac:dyDescent="0.2">
      <c r="A95" s="77" t="s">
        <v>852</v>
      </c>
      <c r="B95" s="509" t="str">
        <f t="shared" si="14"/>
        <v>SUMINISTRO DE BOMBA DE 3 HP - CENTRIFUGA</v>
      </c>
      <c r="C95" s="271"/>
      <c r="D95" s="271"/>
      <c r="E95" s="271"/>
      <c r="F95" s="271"/>
      <c r="G95" s="273"/>
      <c r="H95" s="30" t="str">
        <f t="shared" si="15"/>
        <v>UND</v>
      </c>
      <c r="I95" s="78">
        <f t="shared" si="16"/>
        <v>0</v>
      </c>
      <c r="J95" s="78">
        <f t="shared" si="17"/>
        <v>2395000</v>
      </c>
      <c r="K95" s="78">
        <f t="shared" si="18"/>
        <v>119750</v>
      </c>
      <c r="L95" s="78">
        <f t="shared" si="19"/>
        <v>0</v>
      </c>
      <c r="M95" s="78">
        <f t="shared" si="20"/>
        <v>3269175</v>
      </c>
    </row>
    <row r="96" spans="1:13" ht="12.75" customHeight="1" x14ac:dyDescent="0.2">
      <c r="A96" s="77" t="s">
        <v>855</v>
      </c>
      <c r="B96" s="509" t="str">
        <f t="shared" si="14"/>
        <v>KIT DE TUBERÍA DE RECOLECCIÓN DE AGUA FILTRADA PARA LECHOS DE SECADO TIPO 1 DE Ø4" (INCLUYE NIPLE, PASAMURO, CODO, TEE, TUBERÍA PERFORADA Y NO PERFORADA, MATERIALES, HERRAMIENTAS Y MANO DE OBRA)</v>
      </c>
      <c r="C96" s="271"/>
      <c r="D96" s="271"/>
      <c r="E96" s="271"/>
      <c r="F96" s="271"/>
      <c r="G96" s="273"/>
      <c r="H96" s="30" t="str">
        <f t="shared" si="15"/>
        <v>UND</v>
      </c>
      <c r="I96" s="78">
        <f t="shared" si="16"/>
        <v>1755.5722000000003</v>
      </c>
      <c r="J96" s="78">
        <f t="shared" si="17"/>
        <v>423466.08333333331</v>
      </c>
      <c r="K96" s="78">
        <f t="shared" si="18"/>
        <v>21261.08277666667</v>
      </c>
      <c r="L96" s="78">
        <f t="shared" si="19"/>
        <v>35111.444000000003</v>
      </c>
      <c r="M96" s="78">
        <f t="shared" si="20"/>
        <v>626072.43700300006</v>
      </c>
    </row>
    <row r="97" spans="1:13" ht="12.75" customHeight="1" x14ac:dyDescent="0.2">
      <c r="A97" s="77" t="s">
        <v>857</v>
      </c>
      <c r="B97" s="509" t="str">
        <f t="shared" si="14"/>
        <v>ESTRUCTURA DE COLUMNA METÁLICA EN ACERO (INCLUYE, PERFIL EN C, SOLDADURA, PITURA, PERNOS DE ANCLAJE, PLACA DE ANCLAJE, MATERIALES, EQUIPO, HERRAMIENTA MENOR Y MANO DE OBRA)</v>
      </c>
      <c r="C97" s="271"/>
      <c r="D97" s="271"/>
      <c r="E97" s="271"/>
      <c r="F97" s="271"/>
      <c r="G97" s="273"/>
      <c r="H97" s="30" t="str">
        <f t="shared" si="15"/>
        <v>ML</v>
      </c>
      <c r="I97" s="78">
        <f t="shared" si="16"/>
        <v>34730.46875</v>
      </c>
      <c r="J97" s="78">
        <f t="shared" si="17"/>
        <v>894017.63850066671</v>
      </c>
      <c r="K97" s="78">
        <f t="shared" si="18"/>
        <v>46437.40536253334</v>
      </c>
      <c r="L97" s="78">
        <f t="shared" si="19"/>
        <v>194609.375</v>
      </c>
      <c r="M97" s="78">
        <f t="shared" si="20"/>
        <v>1520733.3538971602</v>
      </c>
    </row>
    <row r="98" spans="1:13" ht="12.75" customHeight="1" x14ac:dyDescent="0.2">
      <c r="A98" s="77" t="s">
        <v>860</v>
      </c>
      <c r="B98" s="509" t="str">
        <f t="shared" si="14"/>
        <v>SUMINISTRO E INSTALACIÓN DE CODO x 90° PVC Ø3"</v>
      </c>
      <c r="C98" s="271"/>
      <c r="D98" s="271"/>
      <c r="E98" s="271"/>
      <c r="F98" s="271"/>
      <c r="G98" s="273"/>
      <c r="H98" s="30" t="str">
        <f t="shared" si="15"/>
        <v>UND</v>
      </c>
      <c r="I98" s="78">
        <f t="shared" si="16"/>
        <v>87.778610000000015</v>
      </c>
      <c r="J98" s="78">
        <f t="shared" si="17"/>
        <v>12605</v>
      </c>
      <c r="K98" s="78">
        <f t="shared" si="18"/>
        <v>634.63893050000001</v>
      </c>
      <c r="L98" s="78">
        <f t="shared" si="19"/>
        <v>1755.5722000000001</v>
      </c>
      <c r="M98" s="78">
        <f t="shared" si="20"/>
        <v>19607.886662649998</v>
      </c>
    </row>
    <row r="99" spans="1:13" ht="12.75" customHeight="1" x14ac:dyDescent="0.2">
      <c r="A99" s="77" t="s">
        <v>862</v>
      </c>
      <c r="B99" s="509" t="str">
        <f t="shared" si="14"/>
        <v>SUMINISTRO E INSTALACIÓN DE TEE PVC Ø3"</v>
      </c>
      <c r="C99" s="271"/>
      <c r="D99" s="271"/>
      <c r="E99" s="271"/>
      <c r="F99" s="271"/>
      <c r="G99" s="273"/>
      <c r="H99" s="30" t="str">
        <f t="shared" si="15"/>
        <v>UND</v>
      </c>
      <c r="I99" s="78">
        <f t="shared" si="16"/>
        <v>87.778610000000015</v>
      </c>
      <c r="J99" s="78">
        <f t="shared" si="17"/>
        <v>15305</v>
      </c>
      <c r="K99" s="78">
        <f t="shared" si="18"/>
        <v>769.63893050000001</v>
      </c>
      <c r="L99" s="78">
        <f t="shared" si="19"/>
        <v>1755.5722000000001</v>
      </c>
      <c r="M99" s="78">
        <f t="shared" si="20"/>
        <v>23293.386662649998</v>
      </c>
    </row>
    <row r="100" spans="1:13" ht="12.75" customHeight="1" x14ac:dyDescent="0.2">
      <c r="A100" s="77" t="s">
        <v>870</v>
      </c>
      <c r="B100" s="509" t="str">
        <f t="shared" si="14"/>
        <v xml:space="preserve">SALIDA PARA INTERRUPTOR SENCILLO </v>
      </c>
      <c r="C100" s="271"/>
      <c r="D100" s="271"/>
      <c r="E100" s="271"/>
      <c r="F100" s="271"/>
      <c r="G100" s="273"/>
      <c r="H100" s="30" t="str">
        <f t="shared" si="15"/>
        <v>UND</v>
      </c>
      <c r="I100" s="78">
        <f t="shared" si="16"/>
        <v>98833.65333333335</v>
      </c>
      <c r="J100" s="78">
        <f t="shared" si="17"/>
        <v>2491</v>
      </c>
      <c r="K100" s="78">
        <f t="shared" si="18"/>
        <v>19946.232666666667</v>
      </c>
      <c r="L100" s="78">
        <f t="shared" si="19"/>
        <v>49820</v>
      </c>
      <c r="M100" s="78">
        <f t="shared" si="20"/>
        <v>222418.15179999999</v>
      </c>
    </row>
    <row r="101" spans="1:13" ht="12.75" customHeight="1" x14ac:dyDescent="0.2">
      <c r="A101" s="77" t="s">
        <v>871</v>
      </c>
      <c r="B101" s="509" t="str">
        <f t="shared" si="14"/>
        <v>ACTUALIZACIÓN DE PLANOS SEGÚN OBRA EJECUTADA</v>
      </c>
      <c r="C101" s="271"/>
      <c r="D101" s="271"/>
      <c r="E101" s="271"/>
      <c r="F101" s="271"/>
      <c r="G101" s="273"/>
      <c r="H101" s="30" t="str">
        <f t="shared" si="15"/>
        <v>UND</v>
      </c>
      <c r="I101" s="78">
        <f t="shared" si="16"/>
        <v>500000</v>
      </c>
      <c r="J101" s="78">
        <f t="shared" si="17"/>
        <v>0</v>
      </c>
      <c r="K101" s="78">
        <f t="shared" si="18"/>
        <v>0</v>
      </c>
      <c r="L101" s="78">
        <f t="shared" si="19"/>
        <v>0</v>
      </c>
      <c r="M101" s="78">
        <f t="shared" si="20"/>
        <v>650000</v>
      </c>
    </row>
    <row r="102" spans="1:13" ht="12.75" customHeight="1" x14ac:dyDescent="0.2">
      <c r="A102" s="77" t="s">
        <v>874</v>
      </c>
      <c r="B102" s="509" t="str">
        <f t="shared" si="14"/>
        <v>CERTIFICACIÓN RETIE</v>
      </c>
      <c r="C102" s="271"/>
      <c r="D102" s="271"/>
      <c r="E102" s="271"/>
      <c r="F102" s="271"/>
      <c r="G102" s="273"/>
      <c r="H102" s="30" t="str">
        <f t="shared" si="15"/>
        <v>UND</v>
      </c>
      <c r="I102" s="78">
        <f t="shared" si="16"/>
        <v>4500000</v>
      </c>
      <c r="J102" s="78">
        <f t="shared" si="17"/>
        <v>0</v>
      </c>
      <c r="K102" s="78">
        <f t="shared" si="18"/>
        <v>0</v>
      </c>
      <c r="L102" s="78">
        <f t="shared" si="19"/>
        <v>0</v>
      </c>
      <c r="M102" s="78">
        <f t="shared" si="20"/>
        <v>5850000</v>
      </c>
    </row>
    <row r="103" spans="1:13" ht="12.75" customHeight="1" x14ac:dyDescent="0.2">
      <c r="A103" s="77" t="s">
        <v>875</v>
      </c>
      <c r="B103" s="509" t="str">
        <f t="shared" si="14"/>
        <v>SALIDA PARA MOTOR TRIFÁSICO EN CABLE 3x8F + 1x10T THHN/THWN, EN TUBERÍA EMT 1" - 4M Y CORAZA LIQUID THIGHT 1" - 2M (INCLUYE CAJA DE PASO 10x10CM, FIJACIONES HERRAJES, MARCACIÓN, BORNAS Y DEMÁS ACCESORIOS)</v>
      </c>
      <c r="C103" s="271"/>
      <c r="D103" s="271"/>
      <c r="E103" s="271"/>
      <c r="F103" s="271"/>
      <c r="G103" s="273"/>
      <c r="H103" s="30" t="str">
        <f t="shared" si="15"/>
        <v>UND</v>
      </c>
      <c r="I103" s="78">
        <f t="shared" si="16"/>
        <v>385111.81333333335</v>
      </c>
      <c r="J103" s="78">
        <f t="shared" si="17"/>
        <v>6227.5</v>
      </c>
      <c r="K103" s="78">
        <f t="shared" si="18"/>
        <v>56766.965666666671</v>
      </c>
      <c r="L103" s="78">
        <f t="shared" si="19"/>
        <v>124550</v>
      </c>
      <c r="M103" s="78">
        <f t="shared" si="20"/>
        <v>744453.1627000001</v>
      </c>
    </row>
    <row r="104" spans="1:13" ht="12.75" customHeight="1" x14ac:dyDescent="0.2">
      <c r="A104" s="77" t="s">
        <v>876</v>
      </c>
      <c r="B104" s="509" t="str">
        <f t="shared" si="14"/>
        <v>SALIDA PARA TOMACORRIENTE LEVITON CON POLO A TIERRA EMPOTRADO EN PARED</v>
      </c>
      <c r="C104" s="271"/>
      <c r="D104" s="271"/>
      <c r="E104" s="271"/>
      <c r="F104" s="271"/>
      <c r="G104" s="273"/>
      <c r="H104" s="30" t="str">
        <f t="shared" si="15"/>
        <v>UND</v>
      </c>
      <c r="I104" s="78">
        <f t="shared" si="16"/>
        <v>105249.38666666666</v>
      </c>
      <c r="J104" s="78">
        <f t="shared" si="17"/>
        <v>2491</v>
      </c>
      <c r="K104" s="78">
        <f t="shared" si="18"/>
        <v>20267.019333333334</v>
      </c>
      <c r="L104" s="78">
        <f t="shared" si="19"/>
        <v>49820</v>
      </c>
      <c r="M104" s="78">
        <f t="shared" si="20"/>
        <v>231175.62779999999</v>
      </c>
    </row>
    <row r="105" spans="1:13" ht="12.75" customHeight="1" x14ac:dyDescent="0.2">
      <c r="A105" s="77" t="s">
        <v>877</v>
      </c>
      <c r="B105" s="509" t="str">
        <f t="shared" ref="B105:B124" si="21">VLOOKUP(A105,AA_APUS,2,FALSE)</f>
        <v>SOLDADURA EXOTÉRMICA</v>
      </c>
      <c r="C105" s="271"/>
      <c r="D105" s="271"/>
      <c r="E105" s="271"/>
      <c r="F105" s="271"/>
      <c r="G105" s="273"/>
      <c r="H105" s="30" t="str">
        <f t="shared" ref="H105:H124" si="22">VLOOKUP(A105,AA_APUS,4,FALSE)</f>
        <v>UND</v>
      </c>
      <c r="I105" s="78">
        <f t="shared" ref="I105:I124" si="23">VLOOKUP(A105,AA_APUS,8,FALSE)</f>
        <v>30302.719999999998</v>
      </c>
      <c r="J105" s="78">
        <f t="shared" ref="J105:J124" si="24">VLOOKUP(A105,AA_APUS,10,FALSE)</f>
        <v>3736.5</v>
      </c>
      <c r="K105" s="78">
        <f t="shared" ref="K105:K124" si="25">VLOOKUP(A105,AA_APUS,12,FALSE)</f>
        <v>9141.9609999999993</v>
      </c>
      <c r="L105" s="78">
        <f t="shared" ref="L105:L124" si="26">VLOOKUP(A105,AA_APUS,14,FALSE)</f>
        <v>74730</v>
      </c>
      <c r="M105" s="78">
        <f t="shared" ref="M105:M124" si="27">VLOOKUP(A105,AA_APUS,6,FALSE)</f>
        <v>153284.53529999999</v>
      </c>
    </row>
    <row r="106" spans="1:13" ht="12.75" customHeight="1" x14ac:dyDescent="0.2">
      <c r="A106" s="77" t="s">
        <v>878</v>
      </c>
      <c r="B106" s="509" t="str">
        <f t="shared" si="21"/>
        <v>SUMINISTRO E INSTALACIÓN CABLE CU DESNUDO No. 2/0 AWG 80CM DE PROFUNDIDAD</v>
      </c>
      <c r="C106" s="271"/>
      <c r="D106" s="271"/>
      <c r="E106" s="271"/>
      <c r="F106" s="271"/>
      <c r="G106" s="273"/>
      <c r="H106" s="30" t="str">
        <f t="shared" si="22"/>
        <v>M</v>
      </c>
      <c r="I106" s="78">
        <f t="shared" si="23"/>
        <v>70861.715294117646</v>
      </c>
      <c r="J106" s="78">
        <f t="shared" si="24"/>
        <v>1245.5</v>
      </c>
      <c r="K106" s="78">
        <f t="shared" si="25"/>
        <v>14880</v>
      </c>
      <c r="L106" s="78">
        <f t="shared" si="26"/>
        <v>24910</v>
      </c>
      <c r="M106" s="78">
        <f t="shared" si="27"/>
        <v>145466.37988235295</v>
      </c>
    </row>
    <row r="107" spans="1:13" ht="12.75" customHeight="1" x14ac:dyDescent="0.2">
      <c r="A107" s="77" t="s">
        <v>880</v>
      </c>
      <c r="B107" s="509" t="str">
        <f t="shared" si="21"/>
        <v>SUMINISTRO E INSTALACIÓN DE LUMINARIA LED HERMÉTICA SYLVANIA 50W (INCLUYE EL SUMINISTRO DE ACCESORIOS DE FIJACIÓN Y MONTAJE)</v>
      </c>
      <c r="C107" s="271"/>
      <c r="D107" s="271"/>
      <c r="E107" s="271"/>
      <c r="F107" s="271"/>
      <c r="G107" s="273"/>
      <c r="H107" s="30" t="str">
        <f t="shared" si="22"/>
        <v>UND</v>
      </c>
      <c r="I107" s="78">
        <f t="shared" si="23"/>
        <v>149165.51999999999</v>
      </c>
      <c r="J107" s="78">
        <f t="shared" si="24"/>
        <v>2491</v>
      </c>
      <c r="K107" s="78">
        <f t="shared" si="25"/>
        <v>15022.826000000001</v>
      </c>
      <c r="L107" s="78">
        <f t="shared" si="26"/>
        <v>49820</v>
      </c>
      <c r="M107" s="78">
        <f t="shared" si="27"/>
        <v>281449.14980000001</v>
      </c>
    </row>
    <row r="108" spans="1:13" ht="12.75" customHeight="1" x14ac:dyDescent="0.2">
      <c r="A108" s="77" t="s">
        <v>884</v>
      </c>
      <c r="B108" s="509" t="str">
        <f t="shared" si="21"/>
        <v>SUMINISTRO E INSTALACIÓN CAJA DE INSPECCION PREFABRICADA 30X30CM</v>
      </c>
      <c r="C108" s="271"/>
      <c r="D108" s="271"/>
      <c r="E108" s="271"/>
      <c r="F108" s="271"/>
      <c r="G108" s="273"/>
      <c r="H108" s="30" t="str">
        <f t="shared" si="22"/>
        <v>UND</v>
      </c>
      <c r="I108" s="78">
        <f t="shared" si="23"/>
        <v>121019</v>
      </c>
      <c r="J108" s="78">
        <f t="shared" si="24"/>
        <v>3736.5</v>
      </c>
      <c r="K108" s="78">
        <f t="shared" si="25"/>
        <v>43437.775000000001</v>
      </c>
      <c r="L108" s="78">
        <f t="shared" si="26"/>
        <v>74730</v>
      </c>
      <c r="M108" s="78">
        <f t="shared" si="27"/>
        <v>315800.25750000001</v>
      </c>
    </row>
    <row r="109" spans="1:13" ht="12.75" customHeight="1" x14ac:dyDescent="0.2">
      <c r="A109" s="77" t="s">
        <v>892</v>
      </c>
      <c r="B109" s="509" t="str">
        <f t="shared" si="21"/>
        <v>VARILLA CU 5/8"X8' Y TRATAMIENTO DEL TERRENO</v>
      </c>
      <c r="C109" s="271"/>
      <c r="D109" s="271"/>
      <c r="E109" s="271"/>
      <c r="F109" s="271"/>
      <c r="G109" s="273"/>
      <c r="H109" s="30" t="str">
        <f t="shared" si="22"/>
        <v>UND</v>
      </c>
      <c r="I109" s="78">
        <f t="shared" si="23"/>
        <v>509292.72</v>
      </c>
      <c r="J109" s="78">
        <f t="shared" si="24"/>
        <v>12455</v>
      </c>
      <c r="K109" s="78">
        <f t="shared" si="25"/>
        <v>63287.385999999999</v>
      </c>
      <c r="L109" s="78">
        <f t="shared" si="26"/>
        <v>249100</v>
      </c>
      <c r="M109" s="78">
        <f t="shared" si="27"/>
        <v>1084375.6377999999</v>
      </c>
    </row>
    <row r="110" spans="1:13" ht="12.75" customHeight="1" x14ac:dyDescent="0.2">
      <c r="A110" s="77" t="s">
        <v>893</v>
      </c>
      <c r="B110" s="509" t="str">
        <f t="shared" si="21"/>
        <v>CABLEADO DE CONEXIÓN DE LA PUESTA A TIERRA CU 6 AWG EN TUBERÍA PVC 1"</v>
      </c>
      <c r="C110" s="271"/>
      <c r="D110" s="271"/>
      <c r="E110" s="271"/>
      <c r="F110" s="271"/>
      <c r="G110" s="273"/>
      <c r="H110" s="30" t="str">
        <f t="shared" si="22"/>
        <v>UND</v>
      </c>
      <c r="I110" s="78">
        <f t="shared" si="23"/>
        <v>25219.699999999997</v>
      </c>
      <c r="J110" s="78">
        <f t="shared" si="24"/>
        <v>1245.5</v>
      </c>
      <c r="K110" s="78">
        <f t="shared" si="25"/>
        <v>8763.26</v>
      </c>
      <c r="L110" s="78">
        <f t="shared" si="26"/>
        <v>24910</v>
      </c>
      <c r="M110" s="78">
        <f t="shared" si="27"/>
        <v>78179.998000000007</v>
      </c>
    </row>
    <row r="111" spans="1:13" ht="12.75" customHeight="1" x14ac:dyDescent="0.2">
      <c r="A111" s="77" t="s">
        <v>894</v>
      </c>
      <c r="B111" s="509" t="str">
        <f t="shared" si="21"/>
        <v>SALIDA PARA MOTOR TRIFÁSICO EN CABLE 3X2F + 1X8T THHN/THWN, EN TUBERÍA EMT 2" -  4M Y CORAZA LIQUID THIGHT 2" - 2 M, INCLUYE CAJA DE PASO 10X10CM, FIJACIONES, HERRAJES, MARCACION, BORNAS Y DEMÁS ACCESORIOS</v>
      </c>
      <c r="C111" s="271"/>
      <c r="D111" s="271"/>
      <c r="E111" s="271"/>
      <c r="F111" s="271"/>
      <c r="G111" s="273"/>
      <c r="H111" s="30" t="str">
        <f t="shared" si="22"/>
        <v>UND</v>
      </c>
      <c r="I111" s="78">
        <f t="shared" si="23"/>
        <v>1182727</v>
      </c>
      <c r="J111" s="78">
        <f t="shared" si="24"/>
        <v>6227.5</v>
      </c>
      <c r="K111" s="78">
        <f t="shared" si="25"/>
        <v>96647.725000000006</v>
      </c>
      <c r="L111" s="78">
        <f t="shared" si="26"/>
        <v>124550</v>
      </c>
      <c r="M111" s="78">
        <f t="shared" si="27"/>
        <v>1833197.8925000001</v>
      </c>
    </row>
    <row r="112" spans="1:13" ht="12.75" customHeight="1" x14ac:dyDescent="0.2">
      <c r="A112" s="77" t="s">
        <v>895</v>
      </c>
      <c r="B112" s="509" t="str">
        <f t="shared" si="21"/>
        <v>TABLERO DE CONTROL DE MOTORES CON ARRANCADOR SUAVE SIEMENS 3RW4047-1BB14 - 1 UN, PLC LOGO! 8 SIEMENS CON MÓDULO DE EXPANSIÓN, RELÉS DE INTERPOSICIÓN, PULSADORES, LUCES DE INDICACIÓN, GABINETE RESGUARDO DE EQUIPOS</v>
      </c>
      <c r="C112" s="271"/>
      <c r="D112" s="271"/>
      <c r="E112" s="271"/>
      <c r="F112" s="271"/>
      <c r="G112" s="273"/>
      <c r="H112" s="30" t="str">
        <f t="shared" si="22"/>
        <v>UND</v>
      </c>
      <c r="I112" s="78">
        <f t="shared" si="23"/>
        <v>18358369</v>
      </c>
      <c r="J112" s="78">
        <f t="shared" si="24"/>
        <v>18682.5</v>
      </c>
      <c r="K112" s="78">
        <f t="shared" si="25"/>
        <v>441941.03</v>
      </c>
      <c r="L112" s="78">
        <f t="shared" si="26"/>
        <v>373650</v>
      </c>
      <c r="M112" s="78">
        <f t="shared" si="27"/>
        <v>24950435.289000001</v>
      </c>
    </row>
    <row r="113" spans="1:13" ht="12.75" customHeight="1" x14ac:dyDescent="0.2">
      <c r="A113" s="77" t="s">
        <v>896</v>
      </c>
      <c r="B113" s="509" t="str">
        <f t="shared" si="21"/>
        <v>TABLERO DE CONTROL DE MOTORES CON ARRANCADOR SUAVE SIEMENS 3RW4028-1BB14 PARA MOTOR 7HP 220V - 1 UN, PLC LOGO! 8 SIEMENS CON MÓDULO DE EXPANSIÓN, RELÉS DE INTERPOSICIÓN, PULSADORES, LUCES DE INDICACIÓN, GABINETE RESGUARDO DE EQUIPOS 900X700X300</v>
      </c>
      <c r="C113" s="271"/>
      <c r="D113" s="271"/>
      <c r="E113" s="271"/>
      <c r="F113" s="271"/>
      <c r="G113" s="273"/>
      <c r="H113" s="30" t="str">
        <f t="shared" si="22"/>
        <v>UND</v>
      </c>
      <c r="I113" s="78">
        <f t="shared" si="23"/>
        <v>10311682</v>
      </c>
      <c r="J113" s="78">
        <f t="shared" si="24"/>
        <v>18682.5</v>
      </c>
      <c r="K113" s="78">
        <f t="shared" si="25"/>
        <v>384310.935</v>
      </c>
      <c r="L113" s="78">
        <f t="shared" si="26"/>
        <v>373650</v>
      </c>
      <c r="M113" s="78">
        <f t="shared" si="27"/>
        <v>14414823.0655</v>
      </c>
    </row>
    <row r="114" spans="1:13" ht="12.75" customHeight="1" x14ac:dyDescent="0.2">
      <c r="A114" s="77" t="s">
        <v>897</v>
      </c>
      <c r="B114" s="509" t="str">
        <f t="shared" si="21"/>
        <v>TD: SUMINISTRO E INSTALACIÓN DE TABLERO TRIFÁSICO FABRICACIÓN ESPECIAL CON TOTALIZADOR 3X100A - 10KA, BARRAJE PRINCIPAL TRIFÁSICO, GUARDAMOTOR 56-80A - 1 UN, BREAKER TIPO RIEL 1X20A - 6 UN, INCLUYE ENCERRAMIENTO METÁLICO, PUERTA Y FRENTE MUERTO</v>
      </c>
      <c r="C114" s="271"/>
      <c r="D114" s="271"/>
      <c r="E114" s="271"/>
      <c r="F114" s="271"/>
      <c r="G114" s="273"/>
      <c r="H114" s="30" t="str">
        <f t="shared" si="22"/>
        <v>UND</v>
      </c>
      <c r="I114" s="78">
        <f t="shared" si="23"/>
        <v>2417861</v>
      </c>
      <c r="J114" s="78">
        <f t="shared" si="24"/>
        <v>18682.5</v>
      </c>
      <c r="K114" s="78">
        <f t="shared" si="25"/>
        <v>196227.17499999999</v>
      </c>
      <c r="L114" s="78">
        <f t="shared" si="26"/>
        <v>373650</v>
      </c>
      <c r="M114" s="78">
        <f t="shared" si="27"/>
        <v>3908346.8774999999</v>
      </c>
    </row>
    <row r="115" spans="1:13" ht="12.75" customHeight="1" x14ac:dyDescent="0.2">
      <c r="A115" s="77" t="s">
        <v>899</v>
      </c>
      <c r="B115" s="509" t="str">
        <f t="shared" si="21"/>
        <v>SUMINISTRO E INSTALACIÓN DE POSTE DE CONCRETO PRETENSADO 510KGF, INCLUYE BRAZO PARA LUMINARIA 140MM, HICADA Y PLOMADA</v>
      </c>
      <c r="C115" s="271"/>
      <c r="D115" s="271"/>
      <c r="E115" s="271"/>
      <c r="F115" s="271"/>
      <c r="G115" s="273"/>
      <c r="H115" s="30" t="str">
        <f t="shared" si="22"/>
        <v>UND</v>
      </c>
      <c r="I115" s="78">
        <f t="shared" si="23"/>
        <v>1483707</v>
      </c>
      <c r="J115" s="78">
        <f t="shared" si="24"/>
        <v>12455</v>
      </c>
      <c r="K115" s="78">
        <f t="shared" si="25"/>
        <v>298008.09999999998</v>
      </c>
      <c r="L115" s="78">
        <f t="shared" si="26"/>
        <v>249100</v>
      </c>
      <c r="M115" s="78">
        <f t="shared" si="27"/>
        <v>2656251.1300000004</v>
      </c>
    </row>
    <row r="116" spans="1:13" ht="12.75" customHeight="1" x14ac:dyDescent="0.2">
      <c r="A116" s="77" t="s">
        <v>900</v>
      </c>
      <c r="B116" s="509" t="str">
        <f t="shared" si="21"/>
        <v>SUMINISTRO E INSTALACIÓN DE REFLECTOR LED AUTÓNOMO CON PANEL SOLAR Y BATERÍA LED SOLAR INTEGRADA S40 6K SILVANYA, 50000 HORAS</v>
      </c>
      <c r="C116" s="271"/>
      <c r="D116" s="271"/>
      <c r="E116" s="271"/>
      <c r="F116" s="271"/>
      <c r="G116" s="273"/>
      <c r="H116" s="30" t="str">
        <f t="shared" si="22"/>
        <v>UND</v>
      </c>
      <c r="I116" s="78">
        <f t="shared" si="23"/>
        <v>1309000</v>
      </c>
      <c r="J116" s="78">
        <f t="shared" si="24"/>
        <v>6227.5</v>
      </c>
      <c r="K116" s="78">
        <f t="shared" si="25"/>
        <v>84361.375</v>
      </c>
      <c r="L116" s="78">
        <f t="shared" si="26"/>
        <v>124550</v>
      </c>
      <c r="M116" s="78">
        <f t="shared" si="27"/>
        <v>1981380.5375000001</v>
      </c>
    </row>
    <row r="117" spans="1:13" ht="12.75" customHeight="1" x14ac:dyDescent="0.2">
      <c r="A117" s="77" t="s">
        <v>901</v>
      </c>
      <c r="B117" s="509" t="str">
        <f t="shared" si="21"/>
        <v>SALIDA PARA MOTOR MONOFÁSICO EN CABLE 2X10F + 1X10T THHN/THWN, EN TUBERÍA EMT 3/4" - 4M Y CORAZA LIQUID THIGHT 3/4" - 2 M, INCLUYE CAJA DE PASO 10X10CM, FIJACIONES, HERRAJES, MARCACION, BORNAS Y DEMÁS ACCESORIOS</v>
      </c>
      <c r="C117" s="271"/>
      <c r="D117" s="271"/>
      <c r="E117" s="271"/>
      <c r="F117" s="271"/>
      <c r="G117" s="273"/>
      <c r="H117" s="30" t="str">
        <f t="shared" si="22"/>
        <v>UND</v>
      </c>
      <c r="I117" s="78">
        <f t="shared" si="23"/>
        <v>245262</v>
      </c>
      <c r="J117" s="78">
        <f t="shared" si="24"/>
        <v>6227.5</v>
      </c>
      <c r="K117" s="78">
        <f t="shared" si="25"/>
        <v>49774.474999999999</v>
      </c>
      <c r="L117" s="78">
        <f t="shared" si="26"/>
        <v>124550</v>
      </c>
      <c r="M117" s="78">
        <f t="shared" si="27"/>
        <v>553558.16749999998</v>
      </c>
    </row>
    <row r="118" spans="1:13" ht="12.75" customHeight="1" x14ac:dyDescent="0.2">
      <c r="A118" s="77" t="s">
        <v>903</v>
      </c>
      <c r="B118" s="509" t="str">
        <f t="shared" si="21"/>
        <v>SUMINISTRO E INSTALACIÓN DE TABLERO BIFÁSICO TIPO LUMINEX 12 CIRCUITOS DE INCRUSTAR O SOBREPONER, CON ESPACIO PARA TOTALIZADOR, INCLUYE BREAKER TIPO ENCHUFABLE 1X20A - 6 UN, BREAKER TIPO ENCHUFABLE 2X30A - 1 UN</v>
      </c>
      <c r="C118" s="271"/>
      <c r="D118" s="271"/>
      <c r="E118" s="271"/>
      <c r="F118" s="271"/>
      <c r="G118" s="273"/>
      <c r="H118" s="30" t="str">
        <f t="shared" si="22"/>
        <v>UND</v>
      </c>
      <c r="I118" s="78">
        <f t="shared" si="23"/>
        <v>558873</v>
      </c>
      <c r="J118" s="78">
        <f t="shared" si="24"/>
        <v>12455</v>
      </c>
      <c r="K118" s="78">
        <f t="shared" si="25"/>
        <v>65766.399999999994</v>
      </c>
      <c r="L118" s="78">
        <f t="shared" si="26"/>
        <v>249100</v>
      </c>
      <c r="M118" s="78">
        <f t="shared" si="27"/>
        <v>1152052.72</v>
      </c>
    </row>
    <row r="119" spans="1:13" ht="12.75" customHeight="1" x14ac:dyDescent="0.2">
      <c r="A119" s="77" t="s">
        <v>904</v>
      </c>
      <c r="B119" s="509" t="str">
        <f t="shared" si="21"/>
        <v>TD: SUMINISTRO E INSTALACIÓN DE TABLERO TRIFÁSICO FABRICACIÓN ESPECIAL CON TOTALIZADOR 3X80A - 10KA, BARRAJE PRINCIPAL, BREAKER 3X75A, RIEL 2X20A (INCLUYE ENCERRAMIENTO METÁLICO, PUERTA Y FRENTE MUERTO)</v>
      </c>
      <c r="C119" s="271"/>
      <c r="D119" s="271"/>
      <c r="E119" s="271"/>
      <c r="F119" s="271"/>
      <c r="G119" s="273"/>
      <c r="H119" s="30" t="str">
        <f t="shared" si="22"/>
        <v>UND</v>
      </c>
      <c r="I119" s="78">
        <f t="shared" si="23"/>
        <v>2078206</v>
      </c>
      <c r="J119" s="78">
        <f t="shared" si="24"/>
        <v>18682.5</v>
      </c>
      <c r="K119" s="78">
        <f t="shared" si="25"/>
        <v>179244.42499999999</v>
      </c>
      <c r="L119" s="78">
        <f t="shared" si="26"/>
        <v>373650</v>
      </c>
      <c r="M119" s="78">
        <f t="shared" si="27"/>
        <v>3444717.8024999998</v>
      </c>
    </row>
    <row r="120" spans="1:13" ht="12.75" customHeight="1" x14ac:dyDescent="0.2">
      <c r="A120" s="77" t="s">
        <v>905</v>
      </c>
      <c r="B120" s="509" t="str">
        <f t="shared" si="21"/>
        <v xml:space="preserve">SUMINISTRO E INSTALACIÓN DE CABLEADO DE ACOMETIDA AÉREA TIPO TRÉBOL 3X8 + 10 AWG CU CENTELSA 75° 600V, INCLUYE TEMPLES, ACCESORIOS DEL TRANSFORMADOR AL CONTADOR, CON CAPACETE ROSCADO 2" PARA RECEPCIÓN DE ACOMETIDA Y BORNAS </v>
      </c>
      <c r="C120" s="271"/>
      <c r="D120" s="271"/>
      <c r="E120" s="271"/>
      <c r="F120" s="271"/>
      <c r="G120" s="273"/>
      <c r="H120" s="30" t="str">
        <f t="shared" si="22"/>
        <v>M</v>
      </c>
      <c r="I120" s="78">
        <f t="shared" si="23"/>
        <v>48837.56</v>
      </c>
      <c r="J120" s="78">
        <f t="shared" si="24"/>
        <v>871.85</v>
      </c>
      <c r="K120" s="78">
        <f t="shared" si="25"/>
        <v>13645.470499999999</v>
      </c>
      <c r="L120" s="78">
        <f t="shared" si="26"/>
        <v>17437</v>
      </c>
      <c r="M120" s="78">
        <f t="shared" si="27"/>
        <v>105029.44465</v>
      </c>
    </row>
    <row r="121" spans="1:13" ht="12.75" customHeight="1" x14ac:dyDescent="0.2">
      <c r="A121" s="77" t="s">
        <v>906</v>
      </c>
      <c r="B121" s="509" t="str">
        <f t="shared" si="21"/>
        <v>TD: SUMINISTRO E INSTALACIÓN DE TABLERO TRIFÁSICO FABRICACIÓN ESPECIAL CON TOTALIZADOR 3X40A - 10KA, BARRAJE PRINCIPAL TRIFÁSICO, BREAKER INDUSTRIAL 3X25A - 1 UN, BREAKER TIPO RIEL 1X20A - 6 UN, INCLUYE ENCERRAMIENTO METÁLICO, PUERTA Y FRENTE MUERTO</v>
      </c>
      <c r="C121" s="271"/>
      <c r="D121" s="271"/>
      <c r="E121" s="271"/>
      <c r="F121" s="271"/>
      <c r="G121" s="273"/>
      <c r="H121" s="30" t="str">
        <f t="shared" si="22"/>
        <v>UND</v>
      </c>
      <c r="I121" s="78">
        <f t="shared" si="23"/>
        <v>3213523</v>
      </c>
      <c r="J121" s="78">
        <f t="shared" si="24"/>
        <v>18682.5</v>
      </c>
      <c r="K121" s="78">
        <f t="shared" si="25"/>
        <v>74400</v>
      </c>
      <c r="L121" s="78">
        <f t="shared" si="26"/>
        <v>373650</v>
      </c>
      <c r="M121" s="78">
        <f t="shared" si="27"/>
        <v>4784332.1500000004</v>
      </c>
    </row>
    <row r="122" spans="1:13" ht="12.75" customHeight="1" x14ac:dyDescent="0.2">
      <c r="A122" s="77" t="s">
        <v>909</v>
      </c>
      <c r="B122" s="509" t="str">
        <f t="shared" si="21"/>
        <v>ESTRUCTURA DE VIGA METÁLICA EN ACERO (INCLUYE, PERFIL EN C, SOLDADURA, PITURA, PERNOS DE ANCLAJE, PLACA DE ANCLAJE, MATERIALES, EQUIPO, HERRAMIENTA MENOR Y MANO DE OBRA)</v>
      </c>
      <c r="C122" s="271"/>
      <c r="D122" s="271"/>
      <c r="E122" s="271"/>
      <c r="F122" s="271"/>
      <c r="G122" s="273"/>
      <c r="H122" s="30" t="str">
        <f t="shared" si="22"/>
        <v>ML</v>
      </c>
      <c r="I122" s="78">
        <f t="shared" si="23"/>
        <v>34730.46875</v>
      </c>
      <c r="J122" s="78">
        <f t="shared" si="24"/>
        <v>894017.63850066671</v>
      </c>
      <c r="K122" s="78">
        <f t="shared" si="25"/>
        <v>46437.40536253334</v>
      </c>
      <c r="L122" s="78">
        <f t="shared" si="26"/>
        <v>194609.375</v>
      </c>
      <c r="M122" s="78">
        <f t="shared" si="27"/>
        <v>1520733.3538971602</v>
      </c>
    </row>
    <row r="123" spans="1:13" ht="12.75" customHeight="1" x14ac:dyDescent="0.2">
      <c r="A123" s="77" t="s">
        <v>913</v>
      </c>
      <c r="B123" s="509" t="str">
        <f t="shared" si="21"/>
        <v>SUMINISTRO E INSTALACIÓN DE VÁLVULA FLOTADOR DE Ø4" EN HIERRO DUCTIL (INCLUYE VÁLVULA, HERRAMIENTA MENOR, Y MANO DE OBRA)</v>
      </c>
      <c r="C123" s="271"/>
      <c r="D123" s="271"/>
      <c r="E123" s="271"/>
      <c r="F123" s="271"/>
      <c r="G123" s="273"/>
      <c r="H123" s="30" t="str">
        <f t="shared" si="22"/>
        <v>UND</v>
      </c>
      <c r="I123" s="78">
        <f t="shared" si="23"/>
        <v>1097.2326250000001</v>
      </c>
      <c r="J123" s="78">
        <f t="shared" si="24"/>
        <v>3965080</v>
      </c>
      <c r="K123" s="78">
        <f t="shared" si="25"/>
        <v>198308.86163125001</v>
      </c>
      <c r="L123" s="78">
        <f t="shared" si="26"/>
        <v>21944.6525</v>
      </c>
      <c r="M123" s="78">
        <f t="shared" si="27"/>
        <v>5442359.9707831256</v>
      </c>
    </row>
    <row r="124" spans="1:13" ht="27" customHeight="1" x14ac:dyDescent="0.2">
      <c r="A124" s="77" t="s">
        <v>914</v>
      </c>
      <c r="B124" s="509" t="str">
        <f t="shared" si="21"/>
        <v>CORTE DE PAVIMENTO FLEXIBLE (INCLUYE MATERIALES, EQUIPOS, HERRAMIENTAS Y MANO DE OBRA)</v>
      </c>
      <c r="C124" s="271"/>
      <c r="D124" s="271"/>
      <c r="E124" s="271"/>
      <c r="F124" s="271"/>
      <c r="G124" s="273"/>
      <c r="H124" s="30" t="str">
        <f t="shared" si="22"/>
        <v>ML</v>
      </c>
      <c r="I124" s="78">
        <f t="shared" si="23"/>
        <v>7327.461893881391</v>
      </c>
      <c r="J124" s="78">
        <f t="shared" si="24"/>
        <v>100</v>
      </c>
      <c r="K124" s="78">
        <f t="shared" si="25"/>
        <v>371.37309469406955</v>
      </c>
      <c r="L124" s="78">
        <f t="shared" si="26"/>
        <v>2549.2378776278274</v>
      </c>
      <c r="M124" s="78">
        <f t="shared" si="27"/>
        <v>13452.494726064277</v>
      </c>
    </row>
    <row r="125" spans="1:13" ht="15.75" customHeight="1" x14ac:dyDescent="0.2"/>
    <row r="126" spans="1:13" ht="15.75" customHeight="1" x14ac:dyDescent="0.2"/>
    <row r="127" spans="1:13" ht="15.75" customHeight="1" x14ac:dyDescent="0.2"/>
    <row r="128" spans="1:13"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sheetData>
  <autoFilter ref="A8:M123" xr:uid="{00000000-0009-0000-0000-000006000000}"/>
  <mergeCells count="121">
    <mergeCell ref="A1:K3"/>
    <mergeCell ref="B20:G20"/>
    <mergeCell ref="B21:G21"/>
    <mergeCell ref="B12:G12"/>
    <mergeCell ref="B13:G13"/>
    <mergeCell ref="L1:M1"/>
    <mergeCell ref="L2:M3"/>
    <mergeCell ref="A5:M6"/>
    <mergeCell ref="B8:G8"/>
    <mergeCell ref="B9:G9"/>
    <mergeCell ref="B10:G10"/>
    <mergeCell ref="B11:G11"/>
    <mergeCell ref="B22:G22"/>
    <mergeCell ref="B23:G23"/>
    <mergeCell ref="B24:G24"/>
    <mergeCell ref="B14:G14"/>
    <mergeCell ref="B15:G15"/>
    <mergeCell ref="B16:G16"/>
    <mergeCell ref="B17:G17"/>
    <mergeCell ref="B18:G18"/>
    <mergeCell ref="B19:G19"/>
    <mergeCell ref="B40:G40"/>
    <mergeCell ref="B34:G34"/>
    <mergeCell ref="B35:G35"/>
    <mergeCell ref="B36:G36"/>
    <mergeCell ref="B37:G37"/>
    <mergeCell ref="B38:G38"/>
    <mergeCell ref="B39:G39"/>
    <mergeCell ref="B26:G26"/>
    <mergeCell ref="B27:G27"/>
    <mergeCell ref="B28:G28"/>
    <mergeCell ref="B29:G29"/>
    <mergeCell ref="B30:G30"/>
    <mergeCell ref="B31:G31"/>
    <mergeCell ref="B32:G32"/>
    <mergeCell ref="B50:G50"/>
    <mergeCell ref="B49:G49"/>
    <mergeCell ref="B48:G48"/>
    <mergeCell ref="B47:G47"/>
    <mergeCell ref="B43:G43"/>
    <mergeCell ref="B44:G44"/>
    <mergeCell ref="B45:G45"/>
    <mergeCell ref="B46:G46"/>
    <mergeCell ref="B41:G41"/>
    <mergeCell ref="B42:G42"/>
    <mergeCell ref="B61:G61"/>
    <mergeCell ref="B59:G59"/>
    <mergeCell ref="B60:G60"/>
    <mergeCell ref="B58:G58"/>
    <mergeCell ref="B52:G52"/>
    <mergeCell ref="B53:G53"/>
    <mergeCell ref="B54:G54"/>
    <mergeCell ref="B55:G55"/>
    <mergeCell ref="B56:G56"/>
    <mergeCell ref="B57:G57"/>
    <mergeCell ref="B69:G69"/>
    <mergeCell ref="B70:G70"/>
    <mergeCell ref="B71:G71"/>
    <mergeCell ref="B65:G65"/>
    <mergeCell ref="B66:G66"/>
    <mergeCell ref="B67:G67"/>
    <mergeCell ref="B68:G68"/>
    <mergeCell ref="B62:G62"/>
    <mergeCell ref="B63:G63"/>
    <mergeCell ref="B64:G64"/>
    <mergeCell ref="B81:G81"/>
    <mergeCell ref="B82:G82"/>
    <mergeCell ref="B79:G79"/>
    <mergeCell ref="B80:G80"/>
    <mergeCell ref="B77:G77"/>
    <mergeCell ref="B78:G78"/>
    <mergeCell ref="B74:G74"/>
    <mergeCell ref="B75:G75"/>
    <mergeCell ref="B76:G76"/>
    <mergeCell ref="B93:G93"/>
    <mergeCell ref="B94:G94"/>
    <mergeCell ref="B87:G87"/>
    <mergeCell ref="B88:G88"/>
    <mergeCell ref="B89:G89"/>
    <mergeCell ref="B90:G90"/>
    <mergeCell ref="B91:G91"/>
    <mergeCell ref="B83:G83"/>
    <mergeCell ref="B84:G84"/>
    <mergeCell ref="B85:G85"/>
    <mergeCell ref="B86:G86"/>
    <mergeCell ref="B123:G123"/>
    <mergeCell ref="B124:G124"/>
    <mergeCell ref="B117:G117"/>
    <mergeCell ref="B118:G118"/>
    <mergeCell ref="B119:G119"/>
    <mergeCell ref="B120:G120"/>
    <mergeCell ref="B121:G121"/>
    <mergeCell ref="B95:G95"/>
    <mergeCell ref="B96:G96"/>
    <mergeCell ref="B97:G97"/>
    <mergeCell ref="B98:G98"/>
    <mergeCell ref="B99:G99"/>
    <mergeCell ref="B25:G25"/>
    <mergeCell ref="B33:G33"/>
    <mergeCell ref="B73:G73"/>
    <mergeCell ref="B72:G72"/>
    <mergeCell ref="B122:G122"/>
    <mergeCell ref="B51:G51"/>
    <mergeCell ref="B111:G111"/>
    <mergeCell ref="B112:G112"/>
    <mergeCell ref="B113:G113"/>
    <mergeCell ref="B114:G114"/>
    <mergeCell ref="B115:G115"/>
    <mergeCell ref="B116:G116"/>
    <mergeCell ref="B109:G109"/>
    <mergeCell ref="B110:G110"/>
    <mergeCell ref="B108:G108"/>
    <mergeCell ref="B100:G100"/>
    <mergeCell ref="B101:G101"/>
    <mergeCell ref="B102:G102"/>
    <mergeCell ref="B103:G103"/>
    <mergeCell ref="B104:G104"/>
    <mergeCell ref="B105:G105"/>
    <mergeCell ref="B106:G106"/>
    <mergeCell ref="B107:G107"/>
    <mergeCell ref="B92:G92"/>
  </mergeCells>
  <printOptions horizontalCentered="1"/>
  <pageMargins left="0.78740157480314965" right="0.78740157480314965" top="0.78740157480314965" bottom="0.78740157480314965" header="0" footer="0"/>
  <pageSetup scale="73" orientation="landscape" r:id="rId1"/>
  <rowBreaks count="1" manualBreakCount="1">
    <brk id="42" max="1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000"/>
  <sheetViews>
    <sheetView view="pageBreakPreview" topLeftCell="A8" zoomScale="85" zoomScaleNormal="100" zoomScaleSheetLayoutView="85" workbookViewId="0">
      <selection activeCell="H28" sqref="H28:I28"/>
    </sheetView>
  </sheetViews>
  <sheetFormatPr baseColWidth="10" defaultColWidth="12.5703125" defaultRowHeight="15" customHeight="1" x14ac:dyDescent="0.2"/>
  <cols>
    <col min="1" max="4" width="10.5703125" customWidth="1"/>
    <col min="5" max="5" width="16.42578125" customWidth="1"/>
    <col min="6" max="7" width="10.5703125" customWidth="1"/>
    <col min="8" max="8" width="13.7109375" customWidth="1"/>
    <col min="9" max="15" width="10.5703125" customWidth="1"/>
  </cols>
  <sheetData>
    <row r="1" spans="1:15" ht="12.75" customHeight="1" x14ac:dyDescent="0.2">
      <c r="A1" s="283" t="str">
        <f>Indice!$A$1</f>
        <v>OPTIMIZACIÓN DE SISTEMA DE ACUEDUCTO DE LA ZONA URBANA DEL MUNICIPIO DE VILLAVIEJA Y LOS CENTROS POBLADOS POTOSÍ, HATO NUEVO, POLONIA Y SAN ALFONSO DEL MUNICIPIO DE VILLAVIEJA, DEPARTAMENTO DEL HUILA</v>
      </c>
      <c r="B1" s="275"/>
      <c r="C1" s="275"/>
      <c r="D1" s="275"/>
      <c r="E1" s="275"/>
      <c r="F1" s="275"/>
      <c r="G1" s="275"/>
      <c r="H1" s="275"/>
      <c r="I1" s="275"/>
      <c r="J1" s="275"/>
      <c r="K1" s="275"/>
      <c r="L1" s="275"/>
      <c r="M1" s="276"/>
      <c r="N1" s="287" t="s">
        <v>74</v>
      </c>
      <c r="O1" s="273"/>
    </row>
    <row r="2" spans="1:15" ht="12.75" customHeight="1" x14ac:dyDescent="0.2">
      <c r="A2" s="284"/>
      <c r="B2" s="285"/>
      <c r="C2" s="285"/>
      <c r="D2" s="285"/>
      <c r="E2" s="285"/>
      <c r="F2" s="285"/>
      <c r="G2" s="285"/>
      <c r="H2" s="285"/>
      <c r="I2" s="285"/>
      <c r="J2" s="285"/>
      <c r="K2" s="285"/>
      <c r="L2" s="285"/>
      <c r="M2" s="286"/>
      <c r="N2" s="381">
        <f>Indice!$L$1</f>
        <v>46203</v>
      </c>
      <c r="O2" s="276"/>
    </row>
    <row r="3" spans="1:15" ht="12.75" customHeight="1" x14ac:dyDescent="0.2">
      <c r="A3" s="277"/>
      <c r="B3" s="278"/>
      <c r="C3" s="278"/>
      <c r="D3" s="278"/>
      <c r="E3" s="278"/>
      <c r="F3" s="278"/>
      <c r="G3" s="278"/>
      <c r="H3" s="278"/>
      <c r="I3" s="278"/>
      <c r="J3" s="278"/>
      <c r="K3" s="278"/>
      <c r="L3" s="278"/>
      <c r="M3" s="279"/>
      <c r="N3" s="277"/>
      <c r="O3" s="279"/>
    </row>
    <row r="4" spans="1:15" ht="12.75" customHeight="1" x14ac:dyDescent="0.2">
      <c r="A4" s="32"/>
      <c r="B4" s="32"/>
      <c r="C4" s="32"/>
      <c r="D4" s="32"/>
      <c r="E4" s="32"/>
      <c r="F4" s="32"/>
      <c r="G4" s="32"/>
      <c r="H4" s="32"/>
      <c r="I4" s="32"/>
      <c r="J4" s="32"/>
      <c r="K4" s="32"/>
      <c r="L4" s="32"/>
      <c r="M4" s="32"/>
      <c r="N4" s="32"/>
      <c r="O4" s="32"/>
    </row>
    <row r="5" spans="1:15" ht="12.75" customHeight="1" x14ac:dyDescent="0.2">
      <c r="A5" s="520" t="s">
        <v>1740</v>
      </c>
      <c r="B5" s="300"/>
      <c r="C5" s="300"/>
      <c r="D5" s="300"/>
      <c r="E5" s="300"/>
      <c r="F5" s="300"/>
      <c r="G5" s="300"/>
      <c r="H5" s="300"/>
      <c r="I5" s="300"/>
      <c r="J5" s="300"/>
      <c r="K5" s="300"/>
      <c r="L5" s="300"/>
      <c r="M5" s="300"/>
      <c r="N5" s="300"/>
      <c r="O5" s="335"/>
    </row>
    <row r="6" spans="1:15" ht="12.75" customHeight="1" x14ac:dyDescent="0.25">
      <c r="A6" s="4"/>
      <c r="B6" s="4"/>
      <c r="C6" s="4"/>
      <c r="D6" s="4"/>
      <c r="E6" s="4"/>
      <c r="F6" s="4"/>
      <c r="G6" s="4"/>
      <c r="H6" s="4"/>
      <c r="I6" s="4"/>
      <c r="J6" s="4"/>
      <c r="K6" s="4"/>
      <c r="L6" s="4"/>
      <c r="M6" s="4"/>
    </row>
    <row r="7" spans="1:15" ht="12.75" customHeight="1" x14ac:dyDescent="0.25">
      <c r="A7" s="4"/>
      <c r="B7" s="32"/>
      <c r="C7" s="229" t="s">
        <v>3219</v>
      </c>
      <c r="D7" s="32"/>
      <c r="E7" s="230">
        <v>1750905</v>
      </c>
      <c r="F7" s="32"/>
      <c r="G7" t="s">
        <v>3220</v>
      </c>
      <c r="H7" s="220">
        <v>249095</v>
      </c>
      <c r="I7" s="4"/>
      <c r="J7" s="32"/>
      <c r="K7" s="4"/>
      <c r="L7" s="4"/>
    </row>
    <row r="8" spans="1:15" ht="12.75" customHeight="1" x14ac:dyDescent="0.25">
      <c r="A8" s="4"/>
      <c r="B8" s="16" t="s">
        <v>1741</v>
      </c>
      <c r="C8" s="287" t="s">
        <v>76</v>
      </c>
      <c r="D8" s="271"/>
      <c r="E8" s="273"/>
      <c r="F8" s="16" t="s">
        <v>1742</v>
      </c>
      <c r="G8" s="295" t="s">
        <v>1743</v>
      </c>
      <c r="H8" s="273"/>
      <c r="I8" s="4"/>
      <c r="J8" s="4"/>
      <c r="K8" s="4"/>
      <c r="L8" s="4"/>
    </row>
    <row r="9" spans="1:15" ht="12.75" customHeight="1" x14ac:dyDescent="0.25">
      <c r="A9" s="4"/>
      <c r="B9" s="20" t="s">
        <v>1744</v>
      </c>
      <c r="C9" s="309" t="s">
        <v>1745</v>
      </c>
      <c r="D9" s="271"/>
      <c r="E9" s="273"/>
      <c r="F9" s="231">
        <v>4</v>
      </c>
      <c r="G9" s="518">
        <f t="shared" ref="G9:G20" si="0">ROUND(F9*$M$14,0)</f>
        <v>233454</v>
      </c>
      <c r="H9" s="273"/>
      <c r="I9" s="4"/>
      <c r="K9" s="4"/>
      <c r="L9" s="4"/>
    </row>
    <row r="10" spans="1:15" ht="12.75" customHeight="1" x14ac:dyDescent="0.25">
      <c r="A10" s="4"/>
      <c r="B10" s="20" t="s">
        <v>1746</v>
      </c>
      <c r="C10" s="309" t="s">
        <v>1747</v>
      </c>
      <c r="D10" s="271"/>
      <c r="E10" s="273"/>
      <c r="F10" s="231">
        <v>1.2</v>
      </c>
      <c r="G10" s="518">
        <f t="shared" si="0"/>
        <v>70036</v>
      </c>
      <c r="H10" s="273"/>
      <c r="I10" s="4"/>
      <c r="K10" s="4"/>
      <c r="L10" s="4"/>
    </row>
    <row r="11" spans="1:15" ht="12.75" customHeight="1" x14ac:dyDescent="0.25">
      <c r="A11" s="4"/>
      <c r="B11" s="20" t="s">
        <v>1748</v>
      </c>
      <c r="C11" s="309" t="s">
        <v>1749</v>
      </c>
      <c r="D11" s="271"/>
      <c r="E11" s="273"/>
      <c r="F11" s="231">
        <v>1</v>
      </c>
      <c r="G11" s="518">
        <f t="shared" si="0"/>
        <v>58364</v>
      </c>
      <c r="H11" s="273"/>
      <c r="I11" s="4"/>
      <c r="J11" s="495" t="s">
        <v>1750</v>
      </c>
      <c r="K11" s="293"/>
      <c r="L11" s="496"/>
      <c r="M11" s="493">
        <f>F.P!I2</f>
        <v>1.88</v>
      </c>
      <c r="N11" s="273"/>
    </row>
    <row r="12" spans="1:15" ht="12.75" customHeight="1" x14ac:dyDescent="0.25">
      <c r="A12" s="4"/>
      <c r="B12" s="20" t="s">
        <v>1751</v>
      </c>
      <c r="C12" s="309" t="s">
        <v>1752</v>
      </c>
      <c r="D12" s="271"/>
      <c r="E12" s="273"/>
      <c r="F12" s="231">
        <v>1.2</v>
      </c>
      <c r="G12" s="518">
        <f t="shared" si="0"/>
        <v>70036</v>
      </c>
      <c r="H12" s="273"/>
    </row>
    <row r="13" spans="1:15" ht="12.75" customHeight="1" x14ac:dyDescent="0.25">
      <c r="A13" s="4"/>
      <c r="B13" s="20" t="s">
        <v>1753</v>
      </c>
      <c r="C13" s="309" t="s">
        <v>1754</v>
      </c>
      <c r="D13" s="271"/>
      <c r="E13" s="273"/>
      <c r="F13" s="231">
        <v>2</v>
      </c>
      <c r="G13" s="518">
        <f t="shared" si="0"/>
        <v>116727</v>
      </c>
      <c r="H13" s="273"/>
      <c r="I13" s="4"/>
      <c r="J13" s="4"/>
      <c r="K13" s="4"/>
      <c r="L13" s="4"/>
    </row>
    <row r="14" spans="1:15" ht="12.75" customHeight="1" x14ac:dyDescent="0.25">
      <c r="A14" s="4"/>
      <c r="B14" s="20" t="s">
        <v>1755</v>
      </c>
      <c r="C14" s="309" t="s">
        <v>1756</v>
      </c>
      <c r="D14" s="271"/>
      <c r="E14" s="273"/>
      <c r="F14" s="231">
        <v>1.2</v>
      </c>
      <c r="G14" s="518">
        <f t="shared" si="0"/>
        <v>70036</v>
      </c>
      <c r="H14" s="273"/>
      <c r="I14" s="4"/>
      <c r="J14" s="495" t="s">
        <v>1757</v>
      </c>
      <c r="K14" s="293"/>
      <c r="L14" s="496"/>
      <c r="M14" s="519">
        <f>F.P!$C$9</f>
        <v>58363.5</v>
      </c>
      <c r="N14" s="273"/>
    </row>
    <row r="15" spans="1:15" ht="12.75" customHeight="1" x14ac:dyDescent="0.25">
      <c r="A15" s="4"/>
      <c r="B15" s="20" t="s">
        <v>1758</v>
      </c>
      <c r="C15" s="309" t="s">
        <v>1759</v>
      </c>
      <c r="D15" s="271"/>
      <c r="E15" s="273"/>
      <c r="F15" s="231">
        <v>2</v>
      </c>
      <c r="G15" s="518">
        <f t="shared" si="0"/>
        <v>116727</v>
      </c>
      <c r="H15" s="273"/>
      <c r="I15" s="4"/>
      <c r="J15" s="4"/>
      <c r="K15" s="4"/>
      <c r="L15" s="4"/>
    </row>
    <row r="16" spans="1:15" ht="12.75" customHeight="1" x14ac:dyDescent="0.25">
      <c r="A16" s="4"/>
      <c r="B16" s="20" t="s">
        <v>1760</v>
      </c>
      <c r="C16" s="309" t="s">
        <v>1761</v>
      </c>
      <c r="D16" s="271"/>
      <c r="E16" s="273"/>
      <c r="F16" s="231">
        <v>1.2</v>
      </c>
      <c r="G16" s="518">
        <f t="shared" si="0"/>
        <v>70036</v>
      </c>
      <c r="H16" s="273"/>
      <c r="I16" s="4"/>
      <c r="J16" s="4"/>
      <c r="K16" s="4"/>
      <c r="L16" s="4"/>
    </row>
    <row r="17" spans="1:15" ht="12.75" customHeight="1" x14ac:dyDescent="0.25">
      <c r="A17" s="4"/>
      <c r="B17" s="20" t="s">
        <v>1762</v>
      </c>
      <c r="C17" s="309" t="s">
        <v>1763</v>
      </c>
      <c r="D17" s="271"/>
      <c r="E17" s="273"/>
      <c r="F17" s="231">
        <v>2</v>
      </c>
      <c r="G17" s="518">
        <f t="shared" si="0"/>
        <v>116727</v>
      </c>
      <c r="H17" s="273"/>
      <c r="I17" s="4"/>
      <c r="J17" s="4"/>
      <c r="K17" s="4"/>
      <c r="L17" s="4"/>
    </row>
    <row r="18" spans="1:15" ht="12.75" customHeight="1" x14ac:dyDescent="0.25">
      <c r="A18" s="4"/>
      <c r="B18" s="20" t="s">
        <v>1764</v>
      </c>
      <c r="C18" s="309" t="s">
        <v>1765</v>
      </c>
      <c r="D18" s="271"/>
      <c r="E18" s="273"/>
      <c r="F18" s="231">
        <v>1.2</v>
      </c>
      <c r="G18" s="518">
        <f t="shared" si="0"/>
        <v>70036</v>
      </c>
      <c r="H18" s="273"/>
      <c r="I18" s="4"/>
      <c r="J18" s="4"/>
      <c r="K18" s="4"/>
      <c r="L18" s="4"/>
    </row>
    <row r="19" spans="1:15" ht="12.75" customHeight="1" x14ac:dyDescent="0.25">
      <c r="A19" s="4"/>
      <c r="B19" s="20" t="s">
        <v>1766</v>
      </c>
      <c r="C19" s="309" t="s">
        <v>1767</v>
      </c>
      <c r="D19" s="271"/>
      <c r="E19" s="273"/>
      <c r="F19" s="231">
        <v>2</v>
      </c>
      <c r="G19" s="518">
        <f t="shared" si="0"/>
        <v>116727</v>
      </c>
      <c r="H19" s="273"/>
      <c r="I19" s="4"/>
      <c r="J19" s="4"/>
      <c r="K19" s="4"/>
      <c r="L19" s="4"/>
    </row>
    <row r="20" spans="1:15" ht="12.75" customHeight="1" x14ac:dyDescent="0.25">
      <c r="A20" s="4"/>
      <c r="B20" s="20" t="s">
        <v>1768</v>
      </c>
      <c r="C20" s="309" t="s">
        <v>1769</v>
      </c>
      <c r="D20" s="271"/>
      <c r="E20" s="273"/>
      <c r="F20" s="231">
        <v>2.8</v>
      </c>
      <c r="G20" s="518">
        <f t="shared" si="0"/>
        <v>163418</v>
      </c>
      <c r="H20" s="273"/>
      <c r="I20" s="4"/>
      <c r="J20" s="4"/>
      <c r="K20" s="4"/>
      <c r="L20" s="4"/>
    </row>
    <row r="21" spans="1:15" ht="12.75" customHeight="1" x14ac:dyDescent="0.2">
      <c r="A21" s="100">
        <v>1</v>
      </c>
      <c r="B21" s="100">
        <v>2</v>
      </c>
      <c r="C21" s="100">
        <v>3</v>
      </c>
      <c r="D21" s="100">
        <v>4</v>
      </c>
      <c r="E21" s="100">
        <v>5</v>
      </c>
      <c r="F21" s="100">
        <v>6</v>
      </c>
      <c r="G21" s="100">
        <v>7</v>
      </c>
      <c r="H21" s="100">
        <v>8</v>
      </c>
      <c r="I21" s="100">
        <v>9</v>
      </c>
      <c r="J21" s="100">
        <v>10</v>
      </c>
      <c r="K21" s="100">
        <v>11</v>
      </c>
      <c r="L21" s="100">
        <v>12</v>
      </c>
      <c r="M21" s="100">
        <v>13</v>
      </c>
      <c r="N21" s="100">
        <v>14</v>
      </c>
      <c r="O21" s="100">
        <v>15</v>
      </c>
    </row>
    <row r="22" spans="1:15" ht="12.75" customHeight="1" x14ac:dyDescent="0.2">
      <c r="A22" s="295" t="s">
        <v>1770</v>
      </c>
      <c r="B22" s="271"/>
      <c r="C22" s="271"/>
      <c r="D22" s="273"/>
      <c r="E22" s="295" t="s">
        <v>1771</v>
      </c>
      <c r="F22" s="273"/>
      <c r="G22" s="295" t="s">
        <v>1772</v>
      </c>
      <c r="H22" s="271"/>
      <c r="I22" s="273"/>
      <c r="J22" s="295" t="s">
        <v>1773</v>
      </c>
      <c r="K22" s="271"/>
      <c r="L22" s="273"/>
      <c r="M22" s="295" t="s">
        <v>1774</v>
      </c>
      <c r="N22" s="271"/>
      <c r="O22" s="273"/>
    </row>
    <row r="23" spans="1:15" ht="12.75" customHeight="1" x14ac:dyDescent="0.25">
      <c r="A23" s="309" t="s">
        <v>933</v>
      </c>
      <c r="B23" s="271"/>
      <c r="C23" s="273"/>
      <c r="D23" s="101" t="s">
        <v>1419</v>
      </c>
      <c r="E23" s="438">
        <f>(G23*H23)+(J23*K23)+(M23*N23)</f>
        <v>420218</v>
      </c>
      <c r="F23" s="273"/>
      <c r="G23" s="20">
        <v>1</v>
      </c>
      <c r="H23" s="518">
        <f>G9</f>
        <v>233454</v>
      </c>
      <c r="I23" s="273"/>
      <c r="J23" s="20">
        <v>1</v>
      </c>
      <c r="K23" s="518">
        <f>G10</f>
        <v>70036</v>
      </c>
      <c r="L23" s="273"/>
      <c r="M23" s="20">
        <v>2</v>
      </c>
      <c r="N23" s="518">
        <f>G11</f>
        <v>58364</v>
      </c>
      <c r="O23" s="273"/>
    </row>
    <row r="24" spans="1:15" ht="12.75" customHeight="1" x14ac:dyDescent="0.25">
      <c r="A24" s="309" t="s">
        <v>936</v>
      </c>
      <c r="B24" s="271"/>
      <c r="C24" s="273"/>
      <c r="D24" s="101" t="s">
        <v>1419</v>
      </c>
      <c r="E24" s="438">
        <f t="shared" ref="E24:E56" si="1">(G24*H24)+(J24*K24)+(M24*N24)</f>
        <v>70036</v>
      </c>
      <c r="F24" s="273"/>
      <c r="G24" s="20"/>
      <c r="H24" s="518"/>
      <c r="I24" s="273"/>
      <c r="J24" s="20"/>
      <c r="K24" s="518"/>
      <c r="L24" s="273"/>
      <c r="M24" s="20">
        <v>1</v>
      </c>
      <c r="N24" s="518">
        <f t="shared" ref="N24:N26" si="2">$G$12</f>
        <v>70036</v>
      </c>
      <c r="O24" s="273"/>
    </row>
    <row r="25" spans="1:15" ht="12.75" customHeight="1" x14ac:dyDescent="0.25">
      <c r="A25" s="309" t="s">
        <v>979</v>
      </c>
      <c r="B25" s="271"/>
      <c r="C25" s="273"/>
      <c r="D25" s="101" t="s">
        <v>1419</v>
      </c>
      <c r="E25" s="438">
        <f t="shared" si="1"/>
        <v>140072</v>
      </c>
      <c r="F25" s="273"/>
      <c r="G25" s="20"/>
      <c r="H25" s="518"/>
      <c r="I25" s="273"/>
      <c r="J25" s="20"/>
      <c r="K25" s="518"/>
      <c r="L25" s="273"/>
      <c r="M25" s="20">
        <v>2</v>
      </c>
      <c r="N25" s="518">
        <f t="shared" si="2"/>
        <v>70036</v>
      </c>
      <c r="O25" s="273"/>
    </row>
    <row r="26" spans="1:15" ht="12.75" customHeight="1" x14ac:dyDescent="0.25">
      <c r="A26" s="309" t="s">
        <v>1112</v>
      </c>
      <c r="B26" s="271"/>
      <c r="C26" s="273"/>
      <c r="D26" s="101" t="s">
        <v>1419</v>
      </c>
      <c r="E26" s="438">
        <f t="shared" si="1"/>
        <v>210108</v>
      </c>
      <c r="F26" s="273"/>
      <c r="G26" s="20"/>
      <c r="H26" s="518"/>
      <c r="I26" s="273"/>
      <c r="J26" s="20"/>
      <c r="K26" s="518"/>
      <c r="L26" s="273"/>
      <c r="M26" s="20">
        <v>3</v>
      </c>
      <c r="N26" s="518">
        <f t="shared" si="2"/>
        <v>70036</v>
      </c>
      <c r="O26" s="273"/>
    </row>
    <row r="27" spans="1:15" ht="12.75" customHeight="1" x14ac:dyDescent="0.25">
      <c r="A27" s="309" t="s">
        <v>1775</v>
      </c>
      <c r="B27" s="271"/>
      <c r="C27" s="273"/>
      <c r="D27" s="101" t="s">
        <v>1419</v>
      </c>
      <c r="E27" s="438">
        <f t="shared" si="1"/>
        <v>70036</v>
      </c>
      <c r="F27" s="273"/>
      <c r="G27" s="20"/>
      <c r="H27" s="518"/>
      <c r="I27" s="273"/>
      <c r="J27" s="20"/>
      <c r="K27" s="518"/>
      <c r="L27" s="273"/>
      <c r="M27" s="20">
        <v>1</v>
      </c>
      <c r="N27" s="518">
        <f>$G$14</f>
        <v>70036</v>
      </c>
      <c r="O27" s="273"/>
    </row>
    <row r="28" spans="1:15" ht="12.75" customHeight="1" x14ac:dyDescent="0.25">
      <c r="A28" s="309" t="s">
        <v>951</v>
      </c>
      <c r="B28" s="271"/>
      <c r="C28" s="273"/>
      <c r="D28" s="101" t="s">
        <v>1419</v>
      </c>
      <c r="E28" s="438">
        <f t="shared" si="1"/>
        <v>186763</v>
      </c>
      <c r="F28" s="273"/>
      <c r="G28" s="20">
        <v>1</v>
      </c>
      <c r="H28" s="518"/>
      <c r="I28" s="273"/>
      <c r="J28" s="20">
        <v>1</v>
      </c>
      <c r="K28" s="518">
        <f t="shared" ref="K28:K39" si="3">$G$13</f>
        <v>116727</v>
      </c>
      <c r="L28" s="273"/>
      <c r="M28" s="20">
        <v>1</v>
      </c>
      <c r="N28" s="518">
        <f t="shared" ref="N28:N39" si="4">$G$12</f>
        <v>70036</v>
      </c>
      <c r="O28" s="273"/>
    </row>
    <row r="29" spans="1:15" ht="12.75" customHeight="1" x14ac:dyDescent="0.25">
      <c r="A29" s="309" t="s">
        <v>973</v>
      </c>
      <c r="B29" s="271"/>
      <c r="C29" s="273"/>
      <c r="D29" s="101" t="s">
        <v>1419</v>
      </c>
      <c r="E29" s="438">
        <f t="shared" si="1"/>
        <v>256799</v>
      </c>
      <c r="F29" s="273"/>
      <c r="G29" s="20">
        <v>1</v>
      </c>
      <c r="H29" s="518"/>
      <c r="I29" s="273"/>
      <c r="J29" s="20">
        <v>1</v>
      </c>
      <c r="K29" s="518">
        <f t="shared" si="3"/>
        <v>116727</v>
      </c>
      <c r="L29" s="273"/>
      <c r="M29" s="20">
        <v>2</v>
      </c>
      <c r="N29" s="518">
        <f t="shared" si="4"/>
        <v>70036</v>
      </c>
      <c r="O29" s="273"/>
    </row>
    <row r="30" spans="1:15" ht="12.75" customHeight="1" x14ac:dyDescent="0.25">
      <c r="A30" s="309" t="s">
        <v>1177</v>
      </c>
      <c r="B30" s="271"/>
      <c r="C30" s="273"/>
      <c r="D30" s="101" t="s">
        <v>1419</v>
      </c>
      <c r="E30" s="438">
        <f t="shared" si="1"/>
        <v>326835</v>
      </c>
      <c r="F30" s="273"/>
      <c r="G30" s="20">
        <v>1</v>
      </c>
      <c r="H30" s="518"/>
      <c r="I30" s="273"/>
      <c r="J30" s="20">
        <v>1</v>
      </c>
      <c r="K30" s="518">
        <f t="shared" si="3"/>
        <v>116727</v>
      </c>
      <c r="L30" s="273"/>
      <c r="M30" s="20">
        <v>3</v>
      </c>
      <c r="N30" s="518">
        <f t="shared" si="4"/>
        <v>70036</v>
      </c>
      <c r="O30" s="273"/>
    </row>
    <row r="31" spans="1:15" ht="12.75" customHeight="1" x14ac:dyDescent="0.25">
      <c r="A31" s="309" t="s">
        <v>962</v>
      </c>
      <c r="B31" s="271"/>
      <c r="C31" s="273"/>
      <c r="D31" s="101" t="s">
        <v>1419</v>
      </c>
      <c r="E31" s="438">
        <f t="shared" si="1"/>
        <v>396871</v>
      </c>
      <c r="F31" s="273"/>
      <c r="G31" s="20">
        <v>1</v>
      </c>
      <c r="H31" s="518"/>
      <c r="I31" s="273"/>
      <c r="J31" s="20">
        <v>1</v>
      </c>
      <c r="K31" s="518">
        <f t="shared" si="3"/>
        <v>116727</v>
      </c>
      <c r="L31" s="273"/>
      <c r="M31" s="20">
        <v>4</v>
      </c>
      <c r="N31" s="518">
        <f t="shared" si="4"/>
        <v>70036</v>
      </c>
      <c r="O31" s="273"/>
    </row>
    <row r="32" spans="1:15" ht="12.75" customHeight="1" x14ac:dyDescent="0.25">
      <c r="A32" s="309" t="s">
        <v>1093</v>
      </c>
      <c r="B32" s="271"/>
      <c r="C32" s="273"/>
      <c r="D32" s="101" t="s">
        <v>1419</v>
      </c>
      <c r="E32" s="438">
        <f t="shared" si="1"/>
        <v>466907</v>
      </c>
      <c r="F32" s="273"/>
      <c r="G32" s="20">
        <v>1</v>
      </c>
      <c r="H32" s="518"/>
      <c r="I32" s="273"/>
      <c r="J32" s="20">
        <v>1</v>
      </c>
      <c r="K32" s="518">
        <f t="shared" si="3"/>
        <v>116727</v>
      </c>
      <c r="L32" s="273"/>
      <c r="M32" s="20">
        <v>5</v>
      </c>
      <c r="N32" s="518">
        <f t="shared" si="4"/>
        <v>70036</v>
      </c>
      <c r="O32" s="273"/>
    </row>
    <row r="33" spans="1:15" ht="12.75" customHeight="1" x14ac:dyDescent="0.25">
      <c r="A33" s="309" t="s">
        <v>1776</v>
      </c>
      <c r="B33" s="271"/>
      <c r="C33" s="273"/>
      <c r="D33" s="101" t="s">
        <v>1419</v>
      </c>
      <c r="E33" s="438">
        <f t="shared" si="1"/>
        <v>536943</v>
      </c>
      <c r="F33" s="273"/>
      <c r="G33" s="20">
        <v>1</v>
      </c>
      <c r="H33" s="518"/>
      <c r="I33" s="273"/>
      <c r="J33" s="20">
        <v>1</v>
      </c>
      <c r="K33" s="518">
        <f t="shared" si="3"/>
        <v>116727</v>
      </c>
      <c r="L33" s="273"/>
      <c r="M33" s="20">
        <v>6</v>
      </c>
      <c r="N33" s="518">
        <f t="shared" si="4"/>
        <v>70036</v>
      </c>
      <c r="O33" s="273"/>
    </row>
    <row r="34" spans="1:15" ht="12.75" customHeight="1" x14ac:dyDescent="0.25">
      <c r="A34" s="309" t="s">
        <v>1777</v>
      </c>
      <c r="B34" s="271"/>
      <c r="C34" s="273"/>
      <c r="D34" s="101" t="s">
        <v>1419</v>
      </c>
      <c r="E34" s="438">
        <f t="shared" si="1"/>
        <v>350181</v>
      </c>
      <c r="F34" s="273"/>
      <c r="G34" s="20">
        <v>1</v>
      </c>
      <c r="H34" s="518">
        <f t="shared" ref="H34:H39" si="5">$G$20</f>
        <v>163418</v>
      </c>
      <c r="I34" s="273"/>
      <c r="J34" s="20">
        <v>1</v>
      </c>
      <c r="K34" s="518">
        <f t="shared" si="3"/>
        <v>116727</v>
      </c>
      <c r="L34" s="273"/>
      <c r="M34" s="20">
        <v>1</v>
      </c>
      <c r="N34" s="518">
        <f t="shared" si="4"/>
        <v>70036</v>
      </c>
      <c r="O34" s="273"/>
    </row>
    <row r="35" spans="1:15" ht="12.75" customHeight="1" x14ac:dyDescent="0.25">
      <c r="A35" s="309" t="s">
        <v>1778</v>
      </c>
      <c r="B35" s="271"/>
      <c r="C35" s="273"/>
      <c r="D35" s="101" t="s">
        <v>1419</v>
      </c>
      <c r="E35" s="438">
        <f t="shared" si="1"/>
        <v>420217</v>
      </c>
      <c r="F35" s="273"/>
      <c r="G35" s="20">
        <v>1</v>
      </c>
      <c r="H35" s="518">
        <f t="shared" si="5"/>
        <v>163418</v>
      </c>
      <c r="I35" s="273"/>
      <c r="J35" s="20">
        <v>1</v>
      </c>
      <c r="K35" s="518">
        <f t="shared" si="3"/>
        <v>116727</v>
      </c>
      <c r="L35" s="273"/>
      <c r="M35" s="20">
        <v>2</v>
      </c>
      <c r="N35" s="518">
        <f t="shared" si="4"/>
        <v>70036</v>
      </c>
      <c r="O35" s="273"/>
    </row>
    <row r="36" spans="1:15" ht="12.75" customHeight="1" x14ac:dyDescent="0.25">
      <c r="A36" s="309" t="s">
        <v>1779</v>
      </c>
      <c r="B36" s="271"/>
      <c r="C36" s="273"/>
      <c r="D36" s="101" t="s">
        <v>1419</v>
      </c>
      <c r="E36" s="438">
        <f t="shared" si="1"/>
        <v>490253</v>
      </c>
      <c r="F36" s="273"/>
      <c r="G36" s="20">
        <v>1</v>
      </c>
      <c r="H36" s="518">
        <f t="shared" si="5"/>
        <v>163418</v>
      </c>
      <c r="I36" s="273"/>
      <c r="J36" s="20">
        <v>1</v>
      </c>
      <c r="K36" s="518">
        <f t="shared" si="3"/>
        <v>116727</v>
      </c>
      <c r="L36" s="273"/>
      <c r="M36" s="20">
        <v>3</v>
      </c>
      <c r="N36" s="518">
        <f t="shared" si="4"/>
        <v>70036</v>
      </c>
      <c r="O36" s="273"/>
    </row>
    <row r="37" spans="1:15" ht="12.75" customHeight="1" x14ac:dyDescent="0.25">
      <c r="A37" s="309" t="s">
        <v>1780</v>
      </c>
      <c r="B37" s="271"/>
      <c r="C37" s="273"/>
      <c r="D37" s="101" t="s">
        <v>1419</v>
      </c>
      <c r="E37" s="438">
        <f t="shared" si="1"/>
        <v>560289</v>
      </c>
      <c r="F37" s="273"/>
      <c r="G37" s="20">
        <v>1</v>
      </c>
      <c r="H37" s="518">
        <f t="shared" si="5"/>
        <v>163418</v>
      </c>
      <c r="I37" s="273"/>
      <c r="J37" s="20">
        <v>1</v>
      </c>
      <c r="K37" s="518">
        <f t="shared" si="3"/>
        <v>116727</v>
      </c>
      <c r="L37" s="273"/>
      <c r="M37" s="20">
        <v>4</v>
      </c>
      <c r="N37" s="518">
        <f t="shared" si="4"/>
        <v>70036</v>
      </c>
      <c r="O37" s="273"/>
    </row>
    <row r="38" spans="1:15" ht="12.75" customHeight="1" x14ac:dyDescent="0.25">
      <c r="A38" s="309" t="s">
        <v>1781</v>
      </c>
      <c r="B38" s="271"/>
      <c r="C38" s="273"/>
      <c r="D38" s="101" t="s">
        <v>1419</v>
      </c>
      <c r="E38" s="438">
        <f t="shared" si="1"/>
        <v>630325</v>
      </c>
      <c r="F38" s="273"/>
      <c r="G38" s="20">
        <v>1</v>
      </c>
      <c r="H38" s="518">
        <f t="shared" si="5"/>
        <v>163418</v>
      </c>
      <c r="I38" s="273"/>
      <c r="J38" s="20">
        <v>1</v>
      </c>
      <c r="K38" s="518">
        <f t="shared" si="3"/>
        <v>116727</v>
      </c>
      <c r="L38" s="273"/>
      <c r="M38" s="20">
        <v>5</v>
      </c>
      <c r="N38" s="518">
        <f t="shared" si="4"/>
        <v>70036</v>
      </c>
      <c r="O38" s="273"/>
    </row>
    <row r="39" spans="1:15" ht="12.75" customHeight="1" x14ac:dyDescent="0.25">
      <c r="A39" s="309" t="s">
        <v>1782</v>
      </c>
      <c r="B39" s="271"/>
      <c r="C39" s="273"/>
      <c r="D39" s="101" t="s">
        <v>1419</v>
      </c>
      <c r="E39" s="438">
        <f t="shared" si="1"/>
        <v>700361</v>
      </c>
      <c r="F39" s="273"/>
      <c r="G39" s="20">
        <v>1</v>
      </c>
      <c r="H39" s="518">
        <f t="shared" si="5"/>
        <v>163418</v>
      </c>
      <c r="I39" s="273"/>
      <c r="J39" s="20">
        <v>1</v>
      </c>
      <c r="K39" s="518">
        <f t="shared" si="3"/>
        <v>116727</v>
      </c>
      <c r="L39" s="273"/>
      <c r="M39" s="20">
        <v>6</v>
      </c>
      <c r="N39" s="518">
        <f t="shared" si="4"/>
        <v>70036</v>
      </c>
      <c r="O39" s="273"/>
    </row>
    <row r="40" spans="1:15" ht="12.75" customHeight="1" x14ac:dyDescent="0.25">
      <c r="A40" s="309" t="s">
        <v>986</v>
      </c>
      <c r="B40" s="271"/>
      <c r="C40" s="273"/>
      <c r="D40" s="101" t="s">
        <v>1419</v>
      </c>
      <c r="E40" s="438">
        <f t="shared" si="1"/>
        <v>186763</v>
      </c>
      <c r="F40" s="273"/>
      <c r="G40" s="20"/>
      <c r="H40" s="518"/>
      <c r="I40" s="273"/>
      <c r="J40" s="20">
        <v>1</v>
      </c>
      <c r="K40" s="518">
        <f t="shared" ref="K40:K44" si="6">$G$15</f>
        <v>116727</v>
      </c>
      <c r="L40" s="273"/>
      <c r="M40" s="20">
        <v>1</v>
      </c>
      <c r="N40" s="518">
        <f t="shared" ref="N40:N44" si="7">$G$14</f>
        <v>70036</v>
      </c>
      <c r="O40" s="273"/>
    </row>
    <row r="41" spans="1:15" ht="12.75" customHeight="1" x14ac:dyDescent="0.25">
      <c r="A41" s="309" t="s">
        <v>1106</v>
      </c>
      <c r="B41" s="271"/>
      <c r="C41" s="273"/>
      <c r="D41" s="101" t="s">
        <v>1419</v>
      </c>
      <c r="E41" s="438">
        <f t="shared" si="1"/>
        <v>256799</v>
      </c>
      <c r="F41" s="273"/>
      <c r="G41" s="20"/>
      <c r="H41" s="518"/>
      <c r="I41" s="273"/>
      <c r="J41" s="20">
        <v>1</v>
      </c>
      <c r="K41" s="518">
        <f t="shared" si="6"/>
        <v>116727</v>
      </c>
      <c r="L41" s="273"/>
      <c r="M41" s="20">
        <v>2</v>
      </c>
      <c r="N41" s="518">
        <f t="shared" si="7"/>
        <v>70036</v>
      </c>
      <c r="O41" s="273"/>
    </row>
    <row r="42" spans="1:15" ht="12.75" customHeight="1" x14ac:dyDescent="0.25">
      <c r="A42" s="309" t="s">
        <v>1102</v>
      </c>
      <c r="B42" s="271"/>
      <c r="C42" s="273"/>
      <c r="D42" s="101" t="s">
        <v>1419</v>
      </c>
      <c r="E42" s="438">
        <f t="shared" si="1"/>
        <v>326835</v>
      </c>
      <c r="F42" s="273"/>
      <c r="G42" s="20"/>
      <c r="H42" s="518"/>
      <c r="I42" s="273"/>
      <c r="J42" s="20">
        <v>1</v>
      </c>
      <c r="K42" s="518">
        <f t="shared" si="6"/>
        <v>116727</v>
      </c>
      <c r="L42" s="273"/>
      <c r="M42" s="20">
        <v>3</v>
      </c>
      <c r="N42" s="518">
        <f t="shared" si="7"/>
        <v>70036</v>
      </c>
      <c r="O42" s="273"/>
    </row>
    <row r="43" spans="1:15" ht="12.75" customHeight="1" x14ac:dyDescent="0.25">
      <c r="A43" s="309" t="s">
        <v>1783</v>
      </c>
      <c r="B43" s="271"/>
      <c r="C43" s="273"/>
      <c r="D43" s="101" t="s">
        <v>1419</v>
      </c>
      <c r="E43" s="438">
        <f t="shared" si="1"/>
        <v>396871</v>
      </c>
      <c r="F43" s="273"/>
      <c r="G43" s="20"/>
      <c r="H43" s="518"/>
      <c r="I43" s="273"/>
      <c r="J43" s="20">
        <v>1</v>
      </c>
      <c r="K43" s="518">
        <f t="shared" si="6"/>
        <v>116727</v>
      </c>
      <c r="L43" s="273"/>
      <c r="M43" s="20">
        <v>4</v>
      </c>
      <c r="N43" s="518">
        <f t="shared" si="7"/>
        <v>70036</v>
      </c>
      <c r="O43" s="273"/>
    </row>
    <row r="44" spans="1:15" ht="12.75" customHeight="1" x14ac:dyDescent="0.25">
      <c r="A44" s="309" t="s">
        <v>1784</v>
      </c>
      <c r="B44" s="271"/>
      <c r="C44" s="273"/>
      <c r="D44" s="101" t="s">
        <v>1419</v>
      </c>
      <c r="E44" s="438">
        <f t="shared" si="1"/>
        <v>466907</v>
      </c>
      <c r="F44" s="273"/>
      <c r="G44" s="20"/>
      <c r="H44" s="518"/>
      <c r="I44" s="273"/>
      <c r="J44" s="20">
        <v>1</v>
      </c>
      <c r="K44" s="518">
        <f t="shared" si="6"/>
        <v>116727</v>
      </c>
      <c r="L44" s="273"/>
      <c r="M44" s="20">
        <v>5</v>
      </c>
      <c r="N44" s="518">
        <f t="shared" si="7"/>
        <v>70036</v>
      </c>
      <c r="O44" s="273"/>
    </row>
    <row r="45" spans="1:15" ht="12.75" customHeight="1" x14ac:dyDescent="0.25">
      <c r="A45" s="309" t="s">
        <v>1785</v>
      </c>
      <c r="B45" s="271"/>
      <c r="C45" s="273"/>
      <c r="D45" s="101" t="s">
        <v>1419</v>
      </c>
      <c r="E45" s="438">
        <f t="shared" si="1"/>
        <v>186763</v>
      </c>
      <c r="F45" s="273"/>
      <c r="G45" s="20"/>
      <c r="H45" s="518"/>
      <c r="I45" s="273"/>
      <c r="J45" s="20">
        <v>1</v>
      </c>
      <c r="K45" s="518">
        <f t="shared" ref="K45:K48" si="8">$G$17</f>
        <v>116727</v>
      </c>
      <c r="L45" s="273"/>
      <c r="M45" s="20">
        <v>1</v>
      </c>
      <c r="N45" s="518">
        <f t="shared" ref="N45:N47" si="9">$G$16</f>
        <v>70036</v>
      </c>
      <c r="O45" s="273"/>
    </row>
    <row r="46" spans="1:15" ht="12.75" customHeight="1" x14ac:dyDescent="0.25">
      <c r="A46" s="309" t="s">
        <v>1786</v>
      </c>
      <c r="B46" s="271"/>
      <c r="C46" s="273"/>
      <c r="D46" s="101" t="s">
        <v>1419</v>
      </c>
      <c r="E46" s="438">
        <f t="shared" si="1"/>
        <v>256799</v>
      </c>
      <c r="F46" s="273"/>
      <c r="G46" s="20"/>
      <c r="H46" s="518"/>
      <c r="I46" s="273"/>
      <c r="J46" s="20">
        <v>1</v>
      </c>
      <c r="K46" s="518">
        <f t="shared" si="8"/>
        <v>116727</v>
      </c>
      <c r="L46" s="273"/>
      <c r="M46" s="20">
        <v>2</v>
      </c>
      <c r="N46" s="518">
        <f t="shared" si="9"/>
        <v>70036</v>
      </c>
      <c r="O46" s="273"/>
    </row>
    <row r="47" spans="1:15" ht="12.75" customHeight="1" x14ac:dyDescent="0.25">
      <c r="A47" s="309" t="s">
        <v>1787</v>
      </c>
      <c r="B47" s="271"/>
      <c r="C47" s="273"/>
      <c r="D47" s="101" t="s">
        <v>1419</v>
      </c>
      <c r="E47" s="438">
        <f t="shared" si="1"/>
        <v>326835</v>
      </c>
      <c r="F47" s="273"/>
      <c r="G47" s="20"/>
      <c r="H47" s="518"/>
      <c r="I47" s="273"/>
      <c r="J47" s="20">
        <v>1</v>
      </c>
      <c r="K47" s="518">
        <f t="shared" si="8"/>
        <v>116727</v>
      </c>
      <c r="L47" s="273"/>
      <c r="M47" s="20">
        <v>3</v>
      </c>
      <c r="N47" s="518">
        <f t="shared" si="9"/>
        <v>70036</v>
      </c>
      <c r="O47" s="273"/>
    </row>
    <row r="48" spans="1:15" ht="12.75" customHeight="1" x14ac:dyDescent="0.25">
      <c r="A48" s="309" t="s">
        <v>1286</v>
      </c>
      <c r="B48" s="271"/>
      <c r="C48" s="273"/>
      <c r="D48" s="101" t="s">
        <v>1419</v>
      </c>
      <c r="E48" s="438">
        <f t="shared" si="1"/>
        <v>396871</v>
      </c>
      <c r="F48" s="273"/>
      <c r="G48" s="20"/>
      <c r="H48" s="518"/>
      <c r="I48" s="273"/>
      <c r="J48" s="20">
        <v>1</v>
      </c>
      <c r="K48" s="518">
        <f t="shared" si="8"/>
        <v>116727</v>
      </c>
      <c r="L48" s="273"/>
      <c r="M48" s="20">
        <v>4</v>
      </c>
      <c r="N48" s="518">
        <f t="shared" ref="N48:N52" si="10">$G$18</f>
        <v>70036</v>
      </c>
      <c r="O48" s="273"/>
    </row>
    <row r="49" spans="1:15" ht="12.75" customHeight="1" x14ac:dyDescent="0.25">
      <c r="A49" s="309" t="s">
        <v>1041</v>
      </c>
      <c r="B49" s="271"/>
      <c r="C49" s="273"/>
      <c r="D49" s="101" t="s">
        <v>1419</v>
      </c>
      <c r="E49" s="438">
        <f t="shared" si="1"/>
        <v>186763</v>
      </c>
      <c r="F49" s="273"/>
      <c r="G49" s="20"/>
      <c r="H49" s="518"/>
      <c r="I49" s="273"/>
      <c r="J49" s="20">
        <v>1</v>
      </c>
      <c r="K49" s="518">
        <f t="shared" ref="K49:K52" si="11">$G$19</f>
        <v>116727</v>
      </c>
      <c r="L49" s="273"/>
      <c r="M49" s="20">
        <v>1</v>
      </c>
      <c r="N49" s="518">
        <f t="shared" si="10"/>
        <v>70036</v>
      </c>
      <c r="O49" s="273"/>
    </row>
    <row r="50" spans="1:15" ht="12.75" customHeight="1" x14ac:dyDescent="0.25">
      <c r="A50" s="309" t="s">
        <v>1788</v>
      </c>
      <c r="B50" s="271"/>
      <c r="C50" s="273"/>
      <c r="D50" s="101" t="s">
        <v>1419</v>
      </c>
      <c r="E50" s="438">
        <f t="shared" si="1"/>
        <v>256799</v>
      </c>
      <c r="F50" s="273"/>
      <c r="G50" s="20"/>
      <c r="H50" s="518"/>
      <c r="I50" s="273"/>
      <c r="J50" s="20">
        <v>1</v>
      </c>
      <c r="K50" s="518">
        <f t="shared" si="11"/>
        <v>116727</v>
      </c>
      <c r="L50" s="273"/>
      <c r="M50" s="20">
        <v>2</v>
      </c>
      <c r="N50" s="518">
        <f t="shared" si="10"/>
        <v>70036</v>
      </c>
      <c r="O50" s="273"/>
    </row>
    <row r="51" spans="1:15" ht="12.75" customHeight="1" x14ac:dyDescent="0.25">
      <c r="A51" s="309" t="s">
        <v>1789</v>
      </c>
      <c r="B51" s="271"/>
      <c r="C51" s="273"/>
      <c r="D51" s="101" t="s">
        <v>1419</v>
      </c>
      <c r="E51" s="438">
        <f t="shared" si="1"/>
        <v>326835</v>
      </c>
      <c r="F51" s="273"/>
      <c r="G51" s="20"/>
      <c r="H51" s="518"/>
      <c r="I51" s="273"/>
      <c r="J51" s="20">
        <v>1</v>
      </c>
      <c r="K51" s="518">
        <f t="shared" si="11"/>
        <v>116727</v>
      </c>
      <c r="L51" s="273"/>
      <c r="M51" s="20">
        <v>3</v>
      </c>
      <c r="N51" s="518">
        <f t="shared" si="10"/>
        <v>70036</v>
      </c>
      <c r="O51" s="273"/>
    </row>
    <row r="52" spans="1:15" ht="12.75" customHeight="1" x14ac:dyDescent="0.25">
      <c r="A52" s="309" t="s">
        <v>1287</v>
      </c>
      <c r="B52" s="271"/>
      <c r="C52" s="273"/>
      <c r="D52" s="101" t="s">
        <v>1419</v>
      </c>
      <c r="E52" s="438">
        <f t="shared" si="1"/>
        <v>396871</v>
      </c>
      <c r="F52" s="273"/>
      <c r="G52" s="20"/>
      <c r="H52" s="518"/>
      <c r="I52" s="273"/>
      <c r="J52" s="20">
        <v>1</v>
      </c>
      <c r="K52" s="518">
        <f t="shared" si="11"/>
        <v>116727</v>
      </c>
      <c r="L52" s="273"/>
      <c r="M52" s="20">
        <v>4</v>
      </c>
      <c r="N52" s="518">
        <f t="shared" si="10"/>
        <v>70036</v>
      </c>
      <c r="O52" s="273"/>
    </row>
    <row r="53" spans="1:15" ht="12.75" customHeight="1" x14ac:dyDescent="0.25">
      <c r="A53" s="309" t="s">
        <v>1790</v>
      </c>
      <c r="B53" s="271"/>
      <c r="C53" s="273"/>
      <c r="D53" s="101" t="s">
        <v>1419</v>
      </c>
      <c r="E53" s="438">
        <f t="shared" si="1"/>
        <v>116727</v>
      </c>
      <c r="F53" s="273"/>
      <c r="G53" s="20"/>
      <c r="H53" s="518"/>
      <c r="I53" s="273"/>
      <c r="J53" s="20">
        <v>1</v>
      </c>
      <c r="K53" s="518">
        <f>$G$13</f>
        <v>116727</v>
      </c>
      <c r="L53" s="273"/>
      <c r="M53" s="20"/>
      <c r="N53" s="518"/>
      <c r="O53" s="273"/>
    </row>
    <row r="54" spans="1:15" ht="12.75" customHeight="1" x14ac:dyDescent="0.25">
      <c r="A54" s="309" t="s">
        <v>1791</v>
      </c>
      <c r="B54" s="271"/>
      <c r="C54" s="273"/>
      <c r="D54" s="101" t="s">
        <v>1419</v>
      </c>
      <c r="E54" s="438">
        <f t="shared" si="1"/>
        <v>116727</v>
      </c>
      <c r="F54" s="273"/>
      <c r="G54" s="20"/>
      <c r="H54" s="518"/>
      <c r="I54" s="273"/>
      <c r="J54" s="20">
        <v>1</v>
      </c>
      <c r="K54" s="518">
        <f>$G$15</f>
        <v>116727</v>
      </c>
      <c r="L54" s="273"/>
      <c r="M54" s="20"/>
      <c r="N54" s="518"/>
      <c r="O54" s="273"/>
    </row>
    <row r="55" spans="1:15" ht="12.75" customHeight="1" x14ac:dyDescent="0.25">
      <c r="A55" s="309" t="s">
        <v>1792</v>
      </c>
      <c r="B55" s="271"/>
      <c r="C55" s="273"/>
      <c r="D55" s="101" t="s">
        <v>1419</v>
      </c>
      <c r="E55" s="438">
        <f t="shared" si="1"/>
        <v>116727</v>
      </c>
      <c r="F55" s="273"/>
      <c r="G55" s="20"/>
      <c r="H55" s="518"/>
      <c r="I55" s="273"/>
      <c r="J55" s="20">
        <v>1</v>
      </c>
      <c r="K55" s="518">
        <f>$G$17</f>
        <v>116727</v>
      </c>
      <c r="L55" s="273"/>
      <c r="M55" s="20"/>
      <c r="N55" s="518"/>
      <c r="O55" s="273"/>
    </row>
    <row r="56" spans="1:15" ht="12.75" customHeight="1" x14ac:dyDescent="0.25">
      <c r="A56" s="309" t="s">
        <v>1793</v>
      </c>
      <c r="B56" s="271"/>
      <c r="C56" s="273"/>
      <c r="D56" s="101" t="s">
        <v>1419</v>
      </c>
      <c r="E56" s="438">
        <f t="shared" si="1"/>
        <v>116727</v>
      </c>
      <c r="F56" s="273"/>
      <c r="G56" s="20"/>
      <c r="H56" s="518"/>
      <c r="I56" s="273"/>
      <c r="J56" s="20">
        <v>1</v>
      </c>
      <c r="K56" s="518">
        <f>$G$19</f>
        <v>116727</v>
      </c>
      <c r="L56" s="273"/>
      <c r="M56" s="20"/>
      <c r="N56" s="518"/>
      <c r="O56" s="273"/>
    </row>
    <row r="57" spans="1:15" ht="12.75" customHeight="1" x14ac:dyDescent="0.25">
      <c r="A57" s="309" t="s">
        <v>1794</v>
      </c>
      <c r="B57" s="271"/>
      <c r="C57" s="273"/>
      <c r="D57" s="101" t="s">
        <v>1419</v>
      </c>
      <c r="E57" s="438">
        <f>G15</f>
        <v>116727</v>
      </c>
      <c r="F57" s="273"/>
      <c r="G57" s="20"/>
      <c r="H57" s="518"/>
      <c r="I57" s="273"/>
      <c r="J57" s="20"/>
      <c r="K57" s="518"/>
      <c r="L57" s="273"/>
      <c r="M57" s="20"/>
      <c r="N57" s="518"/>
      <c r="O57" s="273"/>
    </row>
    <row r="58" spans="1:15" ht="12.75" customHeight="1" x14ac:dyDescent="0.25">
      <c r="A58" s="309" t="s">
        <v>1795</v>
      </c>
      <c r="B58" s="271"/>
      <c r="C58" s="273"/>
      <c r="D58" s="101" t="s">
        <v>1419</v>
      </c>
      <c r="E58" s="438">
        <f t="shared" ref="E58:E59" si="12">G12</f>
        <v>70036</v>
      </c>
      <c r="F58" s="273"/>
      <c r="G58" s="20"/>
      <c r="H58" s="518"/>
      <c r="I58" s="273"/>
      <c r="J58" s="20"/>
      <c r="K58" s="518"/>
      <c r="L58" s="273"/>
      <c r="M58" s="20"/>
      <c r="N58" s="518"/>
      <c r="O58" s="273"/>
    </row>
    <row r="59" spans="1:15" ht="12.75" customHeight="1" x14ac:dyDescent="0.25">
      <c r="A59" s="309" t="s">
        <v>1796</v>
      </c>
      <c r="B59" s="271"/>
      <c r="C59" s="273"/>
      <c r="D59" s="101" t="s">
        <v>1419</v>
      </c>
      <c r="E59" s="438">
        <f t="shared" si="12"/>
        <v>116727</v>
      </c>
      <c r="F59" s="273"/>
      <c r="G59" s="20"/>
      <c r="H59" s="518"/>
      <c r="I59" s="273"/>
      <c r="J59" s="20"/>
      <c r="K59" s="518"/>
      <c r="L59" s="273"/>
      <c r="M59" s="20"/>
      <c r="N59" s="518"/>
      <c r="O59" s="273"/>
    </row>
    <row r="60" spans="1:15" ht="12.75" customHeight="1" x14ac:dyDescent="0.25">
      <c r="A60" s="309" t="s">
        <v>1797</v>
      </c>
      <c r="B60" s="271"/>
      <c r="C60" s="273"/>
      <c r="D60" s="101" t="s">
        <v>1419</v>
      </c>
      <c r="E60" s="438">
        <v>145750</v>
      </c>
      <c r="F60" s="273"/>
      <c r="G60" s="20"/>
      <c r="H60" s="518"/>
      <c r="I60" s="273"/>
      <c r="J60" s="20"/>
      <c r="K60" s="518"/>
      <c r="L60" s="273"/>
      <c r="M60" s="20"/>
      <c r="N60" s="518"/>
      <c r="O60" s="273"/>
    </row>
    <row r="61" spans="1:15" ht="12.75" customHeight="1" x14ac:dyDescent="0.25">
      <c r="A61" s="309" t="s">
        <v>1798</v>
      </c>
      <c r="B61" s="271"/>
      <c r="C61" s="273"/>
      <c r="D61" s="101" t="s">
        <v>1419</v>
      </c>
      <c r="E61" s="438">
        <v>178875</v>
      </c>
      <c r="F61" s="273"/>
      <c r="G61" s="20"/>
      <c r="H61" s="518"/>
      <c r="I61" s="273"/>
      <c r="J61" s="20"/>
      <c r="K61" s="518"/>
      <c r="L61" s="273"/>
      <c r="M61" s="20"/>
      <c r="N61" s="518"/>
      <c r="O61" s="273"/>
    </row>
    <row r="62" spans="1:15" ht="12.75" customHeight="1" x14ac:dyDescent="0.25">
      <c r="A62" s="309" t="s">
        <v>1799</v>
      </c>
      <c r="B62" s="271"/>
      <c r="C62" s="273"/>
      <c r="D62" s="101" t="s">
        <v>1419</v>
      </c>
      <c r="E62" s="438">
        <v>245125</v>
      </c>
      <c r="F62" s="273"/>
      <c r="G62" s="20"/>
      <c r="H62" s="518"/>
      <c r="I62" s="273"/>
      <c r="J62" s="20"/>
      <c r="K62" s="518"/>
      <c r="L62" s="273"/>
      <c r="M62" s="20"/>
      <c r="N62" s="518"/>
      <c r="O62" s="273"/>
    </row>
    <row r="63" spans="1:15" ht="12.75" customHeight="1" x14ac:dyDescent="0.25">
      <c r="A63" s="309" t="s">
        <v>1800</v>
      </c>
      <c r="B63" s="271"/>
      <c r="C63" s="273"/>
      <c r="D63" s="101" t="s">
        <v>1419</v>
      </c>
      <c r="E63" s="438">
        <v>165625</v>
      </c>
      <c r="F63" s="273"/>
      <c r="G63" s="20"/>
      <c r="H63" s="518"/>
      <c r="I63" s="273"/>
      <c r="J63" s="20"/>
      <c r="K63" s="518"/>
      <c r="L63" s="273"/>
      <c r="M63" s="20"/>
      <c r="N63" s="518"/>
      <c r="O63" s="273"/>
    </row>
    <row r="64" spans="1:15" ht="12.75" customHeight="1" x14ac:dyDescent="0.25">
      <c r="A64" s="309" t="s">
        <v>1418</v>
      </c>
      <c r="B64" s="271"/>
      <c r="C64" s="273"/>
      <c r="D64" s="101" t="s">
        <v>1419</v>
      </c>
      <c r="E64" s="438">
        <f>2*M14</f>
        <v>116727</v>
      </c>
      <c r="F64" s="273"/>
      <c r="G64" s="20"/>
      <c r="H64" s="518"/>
      <c r="I64" s="273"/>
      <c r="J64" s="20"/>
      <c r="K64" s="518"/>
      <c r="L64" s="273"/>
      <c r="M64" s="20"/>
      <c r="N64" s="518"/>
      <c r="O64" s="273"/>
    </row>
    <row r="65" spans="1:15" ht="12.75" customHeight="1" x14ac:dyDescent="0.25">
      <c r="A65" s="309" t="s">
        <v>1034</v>
      </c>
      <c r="B65" s="271"/>
      <c r="C65" s="273"/>
      <c r="D65" s="101" t="s">
        <v>1419</v>
      </c>
      <c r="E65" s="438">
        <v>207031.25</v>
      </c>
      <c r="F65" s="273"/>
      <c r="G65" s="20"/>
      <c r="H65" s="518"/>
      <c r="I65" s="273"/>
      <c r="J65" s="20"/>
      <c r="K65" s="518"/>
      <c r="L65" s="273"/>
      <c r="M65" s="20"/>
      <c r="N65" s="518"/>
      <c r="O65" s="273"/>
    </row>
    <row r="66" spans="1:15" ht="12.75" customHeight="1" x14ac:dyDescent="0.25">
      <c r="A66" s="522" t="s">
        <v>1301</v>
      </c>
      <c r="B66" s="271"/>
      <c r="C66" s="273"/>
      <c r="D66" s="102" t="s">
        <v>1419</v>
      </c>
      <c r="E66" s="523">
        <v>132500</v>
      </c>
      <c r="F66" s="273"/>
      <c r="G66" s="103"/>
      <c r="H66" s="521"/>
      <c r="I66" s="273"/>
      <c r="J66" s="103"/>
      <c r="K66" s="521"/>
      <c r="L66" s="273"/>
      <c r="M66" s="103"/>
      <c r="N66" s="521"/>
      <c r="O66" s="273"/>
    </row>
    <row r="67" spans="1:15" ht="12.75" customHeight="1" x14ac:dyDescent="0.25">
      <c r="A67" s="309" t="s">
        <v>1801</v>
      </c>
      <c r="B67" s="271"/>
      <c r="C67" s="273"/>
      <c r="D67" s="101" t="s">
        <v>1419</v>
      </c>
      <c r="E67" s="438">
        <f>+E58+E59</f>
        <v>186763</v>
      </c>
      <c r="F67" s="273"/>
      <c r="G67" s="20"/>
      <c r="H67" s="518"/>
      <c r="I67" s="273"/>
      <c r="J67" s="20"/>
      <c r="K67" s="518"/>
      <c r="L67" s="273"/>
      <c r="M67" s="20"/>
      <c r="N67" s="518"/>
      <c r="O67" s="273"/>
    </row>
    <row r="68" spans="1:15" ht="12.75" customHeight="1" x14ac:dyDescent="0.2"/>
    <row r="69" spans="1:15" ht="12.75" customHeight="1" x14ac:dyDescent="0.2"/>
    <row r="70" spans="1:15" ht="12.75" customHeight="1" x14ac:dyDescent="0.2"/>
    <row r="71" spans="1:15" ht="12.75" customHeight="1" x14ac:dyDescent="0.2"/>
    <row r="72" spans="1:15" ht="12.75" customHeight="1" x14ac:dyDescent="0.2"/>
    <row r="73" spans="1:15" ht="12.75" customHeight="1" x14ac:dyDescent="0.2"/>
    <row r="74" spans="1:15" ht="12.75" customHeight="1" x14ac:dyDescent="0.2"/>
    <row r="75" spans="1:15" ht="12.75" customHeight="1" x14ac:dyDescent="0.2"/>
    <row r="76" spans="1:15" ht="12.75" customHeight="1" x14ac:dyDescent="0.2"/>
    <row r="77" spans="1:15" ht="12.75" customHeight="1" x14ac:dyDescent="0.2"/>
    <row r="78" spans="1:15" ht="12.75" customHeight="1" x14ac:dyDescent="0.2"/>
    <row r="79" spans="1:15" ht="12.75" customHeight="1" x14ac:dyDescent="0.2"/>
    <row r="80" spans="1:15"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64">
    <mergeCell ref="A23:C23"/>
    <mergeCell ref="N23:O23"/>
    <mergeCell ref="E22:F22"/>
    <mergeCell ref="E23:F23"/>
    <mergeCell ref="H23:I23"/>
    <mergeCell ref="K23:L23"/>
    <mergeCell ref="E24:F24"/>
    <mergeCell ref="E25:F25"/>
    <mergeCell ref="N24:O24"/>
    <mergeCell ref="N25:O25"/>
    <mergeCell ref="A26:C26"/>
    <mergeCell ref="H26:I26"/>
    <mergeCell ref="N26:O26"/>
    <mergeCell ref="A27:C27"/>
    <mergeCell ref="H27:I27"/>
    <mergeCell ref="N27:O27"/>
    <mergeCell ref="K28:L28"/>
    <mergeCell ref="K29:L29"/>
    <mergeCell ref="C20:E20"/>
    <mergeCell ref="G20:H20"/>
    <mergeCell ref="A22:D22"/>
    <mergeCell ref="G22:I22"/>
    <mergeCell ref="J22:L22"/>
    <mergeCell ref="K24:L24"/>
    <mergeCell ref="K25:L25"/>
    <mergeCell ref="E26:F26"/>
    <mergeCell ref="E27:F27"/>
    <mergeCell ref="A24:C24"/>
    <mergeCell ref="H24:I24"/>
    <mergeCell ref="A25:C25"/>
    <mergeCell ref="H25:I25"/>
    <mergeCell ref="K26:L26"/>
    <mergeCell ref="K27:L27"/>
    <mergeCell ref="M22:O22"/>
    <mergeCell ref="E30:F30"/>
    <mergeCell ref="E31:F31"/>
    <mergeCell ref="A32:C32"/>
    <mergeCell ref="H32:I32"/>
    <mergeCell ref="N32:O32"/>
    <mergeCell ref="A33:C33"/>
    <mergeCell ref="H33:I33"/>
    <mergeCell ref="N33:O33"/>
    <mergeCell ref="A28:C28"/>
    <mergeCell ref="H28:I28"/>
    <mergeCell ref="N28:O28"/>
    <mergeCell ref="A29:C29"/>
    <mergeCell ref="H29:I29"/>
    <mergeCell ref="N29:O29"/>
    <mergeCell ref="K30:L30"/>
    <mergeCell ref="K31:L31"/>
    <mergeCell ref="E28:F28"/>
    <mergeCell ref="E29:F29"/>
    <mergeCell ref="A30:C30"/>
    <mergeCell ref="H30:I30"/>
    <mergeCell ref="N30:O30"/>
    <mergeCell ref="A31:C31"/>
    <mergeCell ref="H31:I31"/>
    <mergeCell ref="N31:O31"/>
    <mergeCell ref="E32:F32"/>
    <mergeCell ref="E33:F33"/>
    <mergeCell ref="A34:C34"/>
    <mergeCell ref="H34:I34"/>
    <mergeCell ref="N34:O34"/>
    <mergeCell ref="A35:C35"/>
    <mergeCell ref="H35:I35"/>
    <mergeCell ref="N35:O35"/>
    <mergeCell ref="K32:L32"/>
    <mergeCell ref="K33:L33"/>
    <mergeCell ref="E34:F34"/>
    <mergeCell ref="E35:F35"/>
    <mergeCell ref="A36:C36"/>
    <mergeCell ref="H36:I36"/>
    <mergeCell ref="N36:O36"/>
    <mergeCell ref="A37:C37"/>
    <mergeCell ref="H37:I37"/>
    <mergeCell ref="N37:O37"/>
    <mergeCell ref="K38:L38"/>
    <mergeCell ref="K39:L39"/>
    <mergeCell ref="K34:L34"/>
    <mergeCell ref="K35:L35"/>
    <mergeCell ref="E36:F36"/>
    <mergeCell ref="E37:F37"/>
    <mergeCell ref="K36:L36"/>
    <mergeCell ref="K37:L37"/>
    <mergeCell ref="A38:C38"/>
    <mergeCell ref="H38:I38"/>
    <mergeCell ref="N38:O38"/>
    <mergeCell ref="A39:C39"/>
    <mergeCell ref="H39:I39"/>
    <mergeCell ref="N39:O39"/>
    <mergeCell ref="E38:F38"/>
    <mergeCell ref="E39:F39"/>
    <mergeCell ref="E40:F40"/>
    <mergeCell ref="E41:F41"/>
    <mergeCell ref="K40:L40"/>
    <mergeCell ref="K41:L41"/>
    <mergeCell ref="A40:C40"/>
    <mergeCell ref="H40:I40"/>
    <mergeCell ref="N40:O40"/>
    <mergeCell ref="A41:C41"/>
    <mergeCell ref="H41:I41"/>
    <mergeCell ref="N41:O41"/>
    <mergeCell ref="E44:F44"/>
    <mergeCell ref="E45:F45"/>
    <mergeCell ref="A42:C42"/>
    <mergeCell ref="H42:I42"/>
    <mergeCell ref="N42:O42"/>
    <mergeCell ref="A43:C43"/>
    <mergeCell ref="H43:I43"/>
    <mergeCell ref="N43:O43"/>
    <mergeCell ref="K44:L44"/>
    <mergeCell ref="K45:L45"/>
    <mergeCell ref="E42:F42"/>
    <mergeCell ref="E43:F43"/>
    <mergeCell ref="K42:L42"/>
    <mergeCell ref="K43:L43"/>
    <mergeCell ref="K48:L48"/>
    <mergeCell ref="A44:C44"/>
    <mergeCell ref="H44:I44"/>
    <mergeCell ref="N44:O44"/>
    <mergeCell ref="A45:C45"/>
    <mergeCell ref="H45:I45"/>
    <mergeCell ref="N45:O45"/>
    <mergeCell ref="K49:L49"/>
    <mergeCell ref="E46:F46"/>
    <mergeCell ref="E47:F47"/>
    <mergeCell ref="A48:C48"/>
    <mergeCell ref="H48:I48"/>
    <mergeCell ref="N48:O48"/>
    <mergeCell ref="A49:C49"/>
    <mergeCell ref="H49:I49"/>
    <mergeCell ref="N49:O49"/>
    <mergeCell ref="K46:L46"/>
    <mergeCell ref="K47:L47"/>
    <mergeCell ref="E48:F48"/>
    <mergeCell ref="E49:F49"/>
    <mergeCell ref="A46:C46"/>
    <mergeCell ref="H46:I46"/>
    <mergeCell ref="N46:O46"/>
    <mergeCell ref="A47:C47"/>
    <mergeCell ref="H47:I47"/>
    <mergeCell ref="N47:O47"/>
    <mergeCell ref="E62:F62"/>
    <mergeCell ref="E63:F63"/>
    <mergeCell ref="A64:C64"/>
    <mergeCell ref="H64:I64"/>
    <mergeCell ref="N64:O64"/>
    <mergeCell ref="A65:C65"/>
    <mergeCell ref="H65:I65"/>
    <mergeCell ref="N65:O65"/>
    <mergeCell ref="K62:L62"/>
    <mergeCell ref="K63:L63"/>
    <mergeCell ref="A62:C62"/>
    <mergeCell ref="H62:I62"/>
    <mergeCell ref="N62:O62"/>
    <mergeCell ref="A63:C63"/>
    <mergeCell ref="H63:I63"/>
    <mergeCell ref="N63:O63"/>
    <mergeCell ref="K50:L50"/>
    <mergeCell ref="K51:L51"/>
    <mergeCell ref="E52:F52"/>
    <mergeCell ref="E53:F53"/>
    <mergeCell ref="A50:C50"/>
    <mergeCell ref="H50:I50"/>
    <mergeCell ref="K66:L66"/>
    <mergeCell ref="K67:L67"/>
    <mergeCell ref="E64:F64"/>
    <mergeCell ref="E65:F65"/>
    <mergeCell ref="A66:C66"/>
    <mergeCell ref="H66:I66"/>
    <mergeCell ref="N66:O66"/>
    <mergeCell ref="A67:C67"/>
    <mergeCell ref="H67:I67"/>
    <mergeCell ref="N67:O67"/>
    <mergeCell ref="E66:F66"/>
    <mergeCell ref="E67:F67"/>
    <mergeCell ref="K64:L64"/>
    <mergeCell ref="K65:L65"/>
    <mergeCell ref="A1:M3"/>
    <mergeCell ref="N1:O1"/>
    <mergeCell ref="N2:O3"/>
    <mergeCell ref="A5:O5"/>
    <mergeCell ref="C8:E8"/>
    <mergeCell ref="G8:H8"/>
    <mergeCell ref="G9:H9"/>
    <mergeCell ref="G11:H11"/>
    <mergeCell ref="G12:H12"/>
    <mergeCell ref="C9:E9"/>
    <mergeCell ref="C10:E10"/>
    <mergeCell ref="G10:H10"/>
    <mergeCell ref="C11:E11"/>
    <mergeCell ref="J11:L11"/>
    <mergeCell ref="M11:N11"/>
    <mergeCell ref="C12:E12"/>
    <mergeCell ref="C13:E13"/>
    <mergeCell ref="G13:H13"/>
    <mergeCell ref="C14:E14"/>
    <mergeCell ref="G14:H14"/>
    <mergeCell ref="J14:L14"/>
    <mergeCell ref="M14:N14"/>
    <mergeCell ref="G15:H15"/>
    <mergeCell ref="G18:H18"/>
    <mergeCell ref="G19:H19"/>
    <mergeCell ref="C15:E15"/>
    <mergeCell ref="C16:E16"/>
    <mergeCell ref="G16:H16"/>
    <mergeCell ref="C17:E17"/>
    <mergeCell ref="G17:H17"/>
    <mergeCell ref="C18:E18"/>
    <mergeCell ref="C19:E19"/>
    <mergeCell ref="A52:C52"/>
    <mergeCell ref="H52:I52"/>
    <mergeCell ref="N52:O52"/>
    <mergeCell ref="A53:C53"/>
    <mergeCell ref="H53:I53"/>
    <mergeCell ref="N53:O53"/>
    <mergeCell ref="K54:L54"/>
    <mergeCell ref="K55:L55"/>
    <mergeCell ref="N50:O50"/>
    <mergeCell ref="A51:C51"/>
    <mergeCell ref="H51:I51"/>
    <mergeCell ref="N51:O51"/>
    <mergeCell ref="E50:F50"/>
    <mergeCell ref="E51:F51"/>
    <mergeCell ref="K52:L52"/>
    <mergeCell ref="K53:L53"/>
    <mergeCell ref="E54:F54"/>
    <mergeCell ref="A54:C54"/>
    <mergeCell ref="H54:I54"/>
    <mergeCell ref="N54:O54"/>
    <mergeCell ref="A55:C55"/>
    <mergeCell ref="H55:I55"/>
    <mergeCell ref="N55:O55"/>
    <mergeCell ref="E55:F55"/>
    <mergeCell ref="K61:L61"/>
    <mergeCell ref="E58:F58"/>
    <mergeCell ref="E59:F59"/>
    <mergeCell ref="A60:C60"/>
    <mergeCell ref="H60:I60"/>
    <mergeCell ref="N60:O60"/>
    <mergeCell ref="A61:C61"/>
    <mergeCell ref="H61:I61"/>
    <mergeCell ref="N61:O61"/>
    <mergeCell ref="E60:F60"/>
    <mergeCell ref="E61:F61"/>
    <mergeCell ref="K58:L58"/>
    <mergeCell ref="K59:L59"/>
    <mergeCell ref="A58:C58"/>
    <mergeCell ref="H58:I58"/>
    <mergeCell ref="N58:O58"/>
    <mergeCell ref="A59:C59"/>
    <mergeCell ref="H59:I59"/>
    <mergeCell ref="N59:O59"/>
    <mergeCell ref="K60:L60"/>
    <mergeCell ref="A56:C56"/>
    <mergeCell ref="H56:I56"/>
    <mergeCell ref="N56:O56"/>
    <mergeCell ref="A57:C57"/>
    <mergeCell ref="H57:I57"/>
    <mergeCell ref="N57:O57"/>
    <mergeCell ref="E56:F56"/>
    <mergeCell ref="E57:F57"/>
    <mergeCell ref="K56:L56"/>
    <mergeCell ref="K57:L57"/>
  </mergeCells>
  <pageMargins left="0.78740157480314965" right="0.78740157480314965" top="0.78740157480314965" bottom="0.78740157480314965" header="0" footer="0"/>
  <pageSetup scale="5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1000"/>
  <sheetViews>
    <sheetView view="pageBreakPreview" topLeftCell="A10" zoomScale="60" zoomScaleNormal="100" workbookViewId="0">
      <selection activeCell="T39" sqref="T39"/>
    </sheetView>
  </sheetViews>
  <sheetFormatPr baseColWidth="10" defaultColWidth="12.5703125" defaultRowHeight="15" customHeight="1" x14ac:dyDescent="0.2"/>
  <cols>
    <col min="1" max="9" width="11.42578125" customWidth="1"/>
    <col min="10" max="10" width="12" customWidth="1"/>
    <col min="11" max="15" width="11.42578125" customWidth="1"/>
  </cols>
  <sheetData>
    <row r="1" spans="1:19" ht="12.75" customHeight="1" x14ac:dyDescent="0.2">
      <c r="A1" s="283" t="s">
        <v>0</v>
      </c>
      <c r="B1" s="275"/>
      <c r="C1" s="275"/>
      <c r="D1" s="275"/>
      <c r="E1" s="275"/>
      <c r="F1" s="275"/>
      <c r="G1" s="275"/>
      <c r="H1" s="275"/>
      <c r="I1" s="275"/>
      <c r="J1" s="275"/>
      <c r="K1" s="276"/>
      <c r="L1" s="283" t="s">
        <v>2530</v>
      </c>
      <c r="M1" s="276"/>
      <c r="N1" s="287" t="s">
        <v>74</v>
      </c>
      <c r="O1" s="273"/>
      <c r="P1" s="1"/>
      <c r="Q1" s="1"/>
      <c r="R1" s="1"/>
      <c r="S1" s="1"/>
    </row>
    <row r="2" spans="1:19" ht="12.75" customHeight="1" x14ac:dyDescent="0.2">
      <c r="A2" s="284"/>
      <c r="B2" s="285"/>
      <c r="C2" s="285"/>
      <c r="D2" s="285"/>
      <c r="E2" s="285"/>
      <c r="F2" s="285"/>
      <c r="G2" s="285"/>
      <c r="H2" s="285"/>
      <c r="I2" s="285"/>
      <c r="J2" s="285"/>
      <c r="K2" s="286"/>
      <c r="L2" s="284"/>
      <c r="M2" s="286"/>
      <c r="N2" s="381">
        <f>Indice!$L$1</f>
        <v>46203</v>
      </c>
      <c r="O2" s="276"/>
      <c r="P2" s="1"/>
      <c r="Q2" s="1"/>
      <c r="R2" s="1"/>
      <c r="S2" s="1"/>
    </row>
    <row r="3" spans="1:19" ht="12.75" customHeight="1" x14ac:dyDescent="0.2">
      <c r="A3" s="277"/>
      <c r="B3" s="278"/>
      <c r="C3" s="278"/>
      <c r="D3" s="278"/>
      <c r="E3" s="278"/>
      <c r="F3" s="278"/>
      <c r="G3" s="278"/>
      <c r="H3" s="278"/>
      <c r="I3" s="278"/>
      <c r="J3" s="278"/>
      <c r="K3" s="279"/>
      <c r="L3" s="277"/>
      <c r="M3" s="279"/>
      <c r="N3" s="277"/>
      <c r="O3" s="279"/>
      <c r="P3" s="1"/>
      <c r="Q3" s="1"/>
      <c r="R3" s="1"/>
      <c r="S3" s="1"/>
    </row>
    <row r="4" spans="1:19" ht="12.75" customHeight="1" x14ac:dyDescent="0.2">
      <c r="C4" s="104">
        <v>1</v>
      </c>
      <c r="D4" s="104">
        <v>2</v>
      </c>
      <c r="E4" s="104">
        <v>3</v>
      </c>
      <c r="F4" s="104">
        <v>4</v>
      </c>
      <c r="G4" s="104">
        <v>5</v>
      </c>
      <c r="H4" s="104">
        <v>6</v>
      </c>
      <c r="I4" s="104">
        <v>7</v>
      </c>
      <c r="J4" s="104">
        <v>8</v>
      </c>
      <c r="K4" s="104">
        <v>9</v>
      </c>
      <c r="L4" s="104">
        <v>10</v>
      </c>
      <c r="M4" s="104">
        <v>11</v>
      </c>
      <c r="N4" s="104">
        <v>12</v>
      </c>
      <c r="O4" s="104">
        <v>13</v>
      </c>
      <c r="P4" s="1"/>
      <c r="Q4" s="1"/>
      <c r="R4" s="1"/>
      <c r="S4" s="1"/>
    </row>
    <row r="5" spans="1:19" ht="12.75" customHeight="1" x14ac:dyDescent="0.2">
      <c r="A5" s="76" t="s">
        <v>1741</v>
      </c>
      <c r="B5" s="76" t="s">
        <v>74</v>
      </c>
      <c r="C5" s="456" t="s">
        <v>918</v>
      </c>
      <c r="D5" s="300"/>
      <c r="E5" s="300"/>
      <c r="F5" s="300"/>
      <c r="G5" s="300"/>
      <c r="H5" s="335"/>
      <c r="I5" s="76" t="s">
        <v>77</v>
      </c>
      <c r="J5" s="452" t="s">
        <v>1803</v>
      </c>
      <c r="K5" s="294"/>
      <c r="L5" s="452" t="s">
        <v>602</v>
      </c>
      <c r="M5" s="294"/>
      <c r="N5" s="452" t="s">
        <v>1804</v>
      </c>
      <c r="O5" s="294"/>
      <c r="P5" s="1"/>
      <c r="Q5" s="1"/>
      <c r="R5" s="1"/>
      <c r="S5" s="1"/>
    </row>
    <row r="6" spans="1:19" ht="12.75" customHeight="1" x14ac:dyDescent="0.25">
      <c r="A6" s="118" t="s">
        <v>2531</v>
      </c>
      <c r="B6" s="106"/>
      <c r="C6" s="464" t="s">
        <v>927</v>
      </c>
      <c r="D6" s="463"/>
      <c r="E6" s="463"/>
      <c r="F6" s="463"/>
      <c r="G6" s="463"/>
      <c r="H6" s="446"/>
      <c r="I6" s="107" t="s">
        <v>1807</v>
      </c>
      <c r="J6" s="439"/>
      <c r="K6" s="273"/>
      <c r="L6" s="439">
        <f t="shared" ref="L6:L42" si="0">N6*0.19</f>
        <v>0</v>
      </c>
      <c r="M6" s="273"/>
      <c r="N6" s="439">
        <f t="shared" ref="N6:N42" si="1">J6/1.19</f>
        <v>0</v>
      </c>
      <c r="O6" s="273"/>
      <c r="P6" s="1"/>
      <c r="Q6" s="1"/>
      <c r="R6" s="1"/>
      <c r="S6" s="1"/>
    </row>
    <row r="7" spans="1:19" ht="27" customHeight="1" x14ac:dyDescent="0.25">
      <c r="A7" s="119" t="s">
        <v>2532</v>
      </c>
      <c r="B7" s="106"/>
      <c r="C7" s="467" t="s">
        <v>928</v>
      </c>
      <c r="D7" s="463"/>
      <c r="E7" s="463"/>
      <c r="F7" s="463"/>
      <c r="G7" s="463"/>
      <c r="H7" s="446"/>
      <c r="I7" s="20" t="s">
        <v>2533</v>
      </c>
      <c r="J7" s="439">
        <v>237645</v>
      </c>
      <c r="K7" s="273"/>
      <c r="L7" s="439">
        <f t="shared" si="0"/>
        <v>37943.319327731093</v>
      </c>
      <c r="M7" s="273"/>
      <c r="N7" s="439">
        <f t="shared" si="1"/>
        <v>199701.68067226891</v>
      </c>
      <c r="O7" s="273"/>
      <c r="P7" s="1"/>
      <c r="Q7" s="1"/>
      <c r="R7" s="1"/>
      <c r="S7" s="1"/>
    </row>
    <row r="8" spans="1:19" ht="12.75" customHeight="1" x14ac:dyDescent="0.25">
      <c r="A8" s="118" t="s">
        <v>2534</v>
      </c>
      <c r="B8" s="106"/>
      <c r="C8" s="464" t="s">
        <v>957</v>
      </c>
      <c r="D8" s="463"/>
      <c r="E8" s="463"/>
      <c r="F8" s="463"/>
      <c r="G8" s="463"/>
      <c r="H8" s="446"/>
      <c r="I8" s="20" t="s">
        <v>2533</v>
      </c>
      <c r="J8" s="439">
        <f>79000+(3*J28)</f>
        <v>107071</v>
      </c>
      <c r="K8" s="273"/>
      <c r="L8" s="439">
        <f t="shared" si="0"/>
        <v>17095.36974789916</v>
      </c>
      <c r="M8" s="273"/>
      <c r="N8" s="439">
        <f t="shared" si="1"/>
        <v>89975.630252100847</v>
      </c>
      <c r="O8" s="273"/>
      <c r="P8" s="1"/>
      <c r="Q8" s="1"/>
      <c r="R8" s="1"/>
      <c r="S8" s="1"/>
    </row>
    <row r="9" spans="1:19" ht="12.75" customHeight="1" x14ac:dyDescent="0.25">
      <c r="A9" s="118" t="s">
        <v>2535</v>
      </c>
      <c r="B9" s="106"/>
      <c r="C9" s="464" t="s">
        <v>964</v>
      </c>
      <c r="D9" s="463"/>
      <c r="E9" s="463"/>
      <c r="F9" s="463"/>
      <c r="G9" s="463"/>
      <c r="H9" s="446"/>
      <c r="I9" s="20" t="s">
        <v>2533</v>
      </c>
      <c r="J9" s="439">
        <f>60000+J27</f>
        <v>71766</v>
      </c>
      <c r="K9" s="273"/>
      <c r="L9" s="439">
        <f t="shared" si="0"/>
        <v>11458.436974789916</v>
      </c>
      <c r="M9" s="273"/>
      <c r="N9" s="439">
        <f t="shared" si="1"/>
        <v>60307.563025210089</v>
      </c>
      <c r="O9" s="273"/>
      <c r="P9" s="1"/>
      <c r="Q9" s="1"/>
      <c r="R9" s="1"/>
      <c r="S9" s="1"/>
    </row>
    <row r="10" spans="1:19" ht="12.75" customHeight="1" x14ac:dyDescent="0.25">
      <c r="A10" s="118" t="s">
        <v>2536</v>
      </c>
      <c r="B10" s="106"/>
      <c r="C10" s="464" t="s">
        <v>952</v>
      </c>
      <c r="D10" s="463"/>
      <c r="E10" s="463"/>
      <c r="F10" s="463"/>
      <c r="G10" s="463"/>
      <c r="H10" s="446"/>
      <c r="I10" s="20" t="s">
        <v>2533</v>
      </c>
      <c r="J10" s="439">
        <f>70000+J27</f>
        <v>81766</v>
      </c>
      <c r="K10" s="273"/>
      <c r="L10" s="439">
        <f t="shared" si="0"/>
        <v>13055.0756302521</v>
      </c>
      <c r="M10" s="273"/>
      <c r="N10" s="439">
        <f t="shared" si="1"/>
        <v>68710.924369747896</v>
      </c>
      <c r="O10" s="273"/>
      <c r="P10" s="1"/>
      <c r="Q10" s="1"/>
      <c r="R10" s="1"/>
      <c r="S10" s="1"/>
    </row>
    <row r="11" spans="1:19" ht="12.75" customHeight="1" x14ac:dyDescent="0.25">
      <c r="A11" s="118" t="s">
        <v>2537</v>
      </c>
      <c r="B11" s="106"/>
      <c r="C11" s="464" t="s">
        <v>938</v>
      </c>
      <c r="D11" s="463"/>
      <c r="E11" s="463"/>
      <c r="F11" s="463"/>
      <c r="G11" s="463"/>
      <c r="H11" s="446"/>
      <c r="I11" s="20" t="s">
        <v>2538</v>
      </c>
      <c r="J11" s="439">
        <v>120000</v>
      </c>
      <c r="K11" s="273"/>
      <c r="L11" s="439">
        <f t="shared" si="0"/>
        <v>19159.663865546219</v>
      </c>
      <c r="M11" s="273"/>
      <c r="N11" s="439">
        <f t="shared" si="1"/>
        <v>100840.33613445378</v>
      </c>
      <c r="O11" s="273"/>
      <c r="P11" s="1"/>
      <c r="Q11" s="1"/>
      <c r="R11" s="1"/>
      <c r="S11" s="1"/>
    </row>
    <row r="12" spans="1:19" ht="12.75" customHeight="1" x14ac:dyDescent="0.25">
      <c r="A12" s="118" t="s">
        <v>2539</v>
      </c>
      <c r="B12" s="106"/>
      <c r="C12" s="464" t="s">
        <v>941</v>
      </c>
      <c r="D12" s="463"/>
      <c r="E12" s="463"/>
      <c r="F12" s="463"/>
      <c r="G12" s="463"/>
      <c r="H12" s="446"/>
      <c r="I12" s="20" t="s">
        <v>2538</v>
      </c>
      <c r="J12" s="439">
        <v>145200</v>
      </c>
      <c r="K12" s="273"/>
      <c r="L12" s="439">
        <f t="shared" si="0"/>
        <v>23183.193277310926</v>
      </c>
      <c r="M12" s="273"/>
      <c r="N12" s="439">
        <f t="shared" si="1"/>
        <v>122016.80672268909</v>
      </c>
      <c r="O12" s="273"/>
      <c r="P12" s="1"/>
      <c r="Q12" s="1"/>
      <c r="R12" s="1"/>
      <c r="S12" s="1"/>
    </row>
    <row r="13" spans="1:19" ht="12.75" customHeight="1" x14ac:dyDescent="0.25">
      <c r="A13" s="118" t="s">
        <v>2540</v>
      </c>
      <c r="B13" s="106"/>
      <c r="C13" s="464" t="s">
        <v>942</v>
      </c>
      <c r="D13" s="463"/>
      <c r="E13" s="463"/>
      <c r="F13" s="463"/>
      <c r="G13" s="463"/>
      <c r="H13" s="446"/>
      <c r="I13" s="20" t="s">
        <v>2533</v>
      </c>
      <c r="J13" s="439">
        <v>85800</v>
      </c>
      <c r="K13" s="273"/>
      <c r="L13" s="439">
        <f t="shared" si="0"/>
        <v>13699.159663865546</v>
      </c>
      <c r="M13" s="273"/>
      <c r="N13" s="439">
        <f t="shared" si="1"/>
        <v>72100.840336134454</v>
      </c>
      <c r="O13" s="273"/>
      <c r="P13" s="1"/>
      <c r="Q13" s="1"/>
      <c r="R13" s="1"/>
      <c r="S13" s="1"/>
    </row>
    <row r="14" spans="1:19" ht="12.75" customHeight="1" x14ac:dyDescent="0.25">
      <c r="A14" s="92" t="s">
        <v>2541</v>
      </c>
      <c r="B14" s="106"/>
      <c r="C14" s="309" t="s">
        <v>1008</v>
      </c>
      <c r="D14" s="271"/>
      <c r="E14" s="271"/>
      <c r="F14" s="271"/>
      <c r="G14" s="271"/>
      <c r="H14" s="273"/>
      <c r="I14" s="20" t="s">
        <v>2533</v>
      </c>
      <c r="J14" s="439">
        <v>240000</v>
      </c>
      <c r="K14" s="273"/>
      <c r="L14" s="439">
        <f t="shared" si="0"/>
        <v>38319.327731092439</v>
      </c>
      <c r="M14" s="273"/>
      <c r="N14" s="439">
        <f t="shared" si="1"/>
        <v>201680.67226890757</v>
      </c>
      <c r="O14" s="273"/>
      <c r="P14" s="1"/>
      <c r="Q14" s="1"/>
      <c r="R14" s="1"/>
      <c r="S14" s="1"/>
    </row>
    <row r="15" spans="1:19" ht="12.75" customHeight="1" x14ac:dyDescent="0.25">
      <c r="A15" s="92" t="s">
        <v>2542</v>
      </c>
      <c r="B15" s="106"/>
      <c r="C15" s="309" t="s">
        <v>1009</v>
      </c>
      <c r="D15" s="271"/>
      <c r="E15" s="271"/>
      <c r="F15" s="271"/>
      <c r="G15" s="271"/>
      <c r="H15" s="273"/>
      <c r="I15" s="20" t="s">
        <v>2538</v>
      </c>
      <c r="J15" s="439">
        <v>7386.61</v>
      </c>
      <c r="K15" s="273"/>
      <c r="L15" s="439">
        <f t="shared" si="0"/>
        <v>1179.3747058823528</v>
      </c>
      <c r="M15" s="273"/>
      <c r="N15" s="439">
        <f t="shared" si="1"/>
        <v>6207.2352941176468</v>
      </c>
      <c r="O15" s="273"/>
      <c r="P15" s="1"/>
      <c r="Q15" s="1"/>
      <c r="R15" s="1"/>
      <c r="S15" s="1"/>
    </row>
    <row r="16" spans="1:19" ht="12.75" customHeight="1" x14ac:dyDescent="0.25">
      <c r="A16" s="118" t="s">
        <v>2543</v>
      </c>
      <c r="B16" s="106"/>
      <c r="C16" s="309" t="s">
        <v>1022</v>
      </c>
      <c r="D16" s="271"/>
      <c r="E16" s="271"/>
      <c r="F16" s="271"/>
      <c r="G16" s="271"/>
      <c r="H16" s="273"/>
      <c r="I16" s="20" t="s">
        <v>2538</v>
      </c>
      <c r="J16" s="439">
        <v>86865.9</v>
      </c>
      <c r="K16" s="273"/>
      <c r="L16" s="439">
        <f t="shared" si="0"/>
        <v>13869.345378151262</v>
      </c>
      <c r="M16" s="273"/>
      <c r="N16" s="439">
        <f t="shared" si="1"/>
        <v>72996.554621848743</v>
      </c>
      <c r="O16" s="273"/>
      <c r="P16" s="1"/>
      <c r="Q16" s="1"/>
      <c r="R16" s="1"/>
      <c r="S16" s="1"/>
    </row>
    <row r="17" spans="1:19" ht="12.75" customHeight="1" x14ac:dyDescent="0.25">
      <c r="A17" s="118" t="s">
        <v>2544</v>
      </c>
      <c r="B17" s="106"/>
      <c r="C17" s="464" t="s">
        <v>1032</v>
      </c>
      <c r="D17" s="463"/>
      <c r="E17" s="463"/>
      <c r="F17" s="463"/>
      <c r="G17" s="463"/>
      <c r="H17" s="446"/>
      <c r="I17" s="20" t="s">
        <v>2533</v>
      </c>
      <c r="J17" s="439">
        <v>50000</v>
      </c>
      <c r="K17" s="273"/>
      <c r="L17" s="439">
        <f t="shared" si="0"/>
        <v>7983.1932773109247</v>
      </c>
      <c r="M17" s="273"/>
      <c r="N17" s="439">
        <f t="shared" si="1"/>
        <v>42016.806722689078</v>
      </c>
      <c r="O17" s="273"/>
      <c r="P17" s="1"/>
      <c r="Q17" s="1"/>
      <c r="R17" s="1"/>
      <c r="S17" s="1"/>
    </row>
    <row r="18" spans="1:19" ht="12.75" customHeight="1" x14ac:dyDescent="0.25">
      <c r="A18" s="118" t="s">
        <v>2545</v>
      </c>
      <c r="B18" s="106"/>
      <c r="C18" s="464" t="s">
        <v>1092</v>
      </c>
      <c r="D18" s="463"/>
      <c r="E18" s="463"/>
      <c r="F18" s="463"/>
      <c r="G18" s="463"/>
      <c r="H18" s="446"/>
      <c r="I18" s="20" t="s">
        <v>2533</v>
      </c>
      <c r="J18" s="439">
        <v>84000</v>
      </c>
      <c r="K18" s="273"/>
      <c r="L18" s="439">
        <f t="shared" si="0"/>
        <v>13411.764705882353</v>
      </c>
      <c r="M18" s="273"/>
      <c r="N18" s="439">
        <f t="shared" si="1"/>
        <v>70588.23529411765</v>
      </c>
      <c r="O18" s="273"/>
      <c r="P18" s="1"/>
      <c r="Q18" s="1"/>
      <c r="R18" s="1"/>
      <c r="S18" s="1"/>
    </row>
    <row r="19" spans="1:19" ht="12.75" customHeight="1" x14ac:dyDescent="0.25">
      <c r="A19" s="118" t="s">
        <v>2546</v>
      </c>
      <c r="B19" s="106"/>
      <c r="C19" s="464" t="s">
        <v>1101</v>
      </c>
      <c r="D19" s="463"/>
      <c r="E19" s="463"/>
      <c r="F19" s="463"/>
      <c r="G19" s="463"/>
      <c r="H19" s="446"/>
      <c r="I19" s="20" t="s">
        <v>2533</v>
      </c>
      <c r="J19" s="439">
        <v>2500</v>
      </c>
      <c r="K19" s="273"/>
      <c r="L19" s="439">
        <f t="shared" si="0"/>
        <v>399.15966386554624</v>
      </c>
      <c r="M19" s="273"/>
      <c r="N19" s="439">
        <f t="shared" si="1"/>
        <v>2100.840336134454</v>
      </c>
      <c r="O19" s="273"/>
      <c r="P19" s="1"/>
      <c r="Q19" s="1"/>
      <c r="R19" s="1"/>
      <c r="S19" s="1"/>
    </row>
    <row r="20" spans="1:19" ht="12.75" customHeight="1" x14ac:dyDescent="0.25">
      <c r="A20" s="118" t="s">
        <v>2547</v>
      </c>
      <c r="B20" s="106"/>
      <c r="C20" s="464" t="s">
        <v>1169</v>
      </c>
      <c r="D20" s="463"/>
      <c r="E20" s="463"/>
      <c r="F20" s="463"/>
      <c r="G20" s="463"/>
      <c r="H20" s="446"/>
      <c r="I20" s="20" t="s">
        <v>2533</v>
      </c>
      <c r="J20" s="439">
        <v>99306</v>
      </c>
      <c r="K20" s="273"/>
      <c r="L20" s="439">
        <f t="shared" si="0"/>
        <v>15855.579831932773</v>
      </c>
      <c r="M20" s="273"/>
      <c r="N20" s="439">
        <f t="shared" si="1"/>
        <v>83450.420168067227</v>
      </c>
      <c r="O20" s="273"/>
      <c r="P20" s="1"/>
      <c r="Q20" s="1"/>
      <c r="R20" s="1"/>
      <c r="S20" s="1"/>
    </row>
    <row r="21" spans="1:19" ht="12.75" customHeight="1" x14ac:dyDescent="0.25">
      <c r="A21" s="118" t="s">
        <v>2548</v>
      </c>
      <c r="B21" s="106"/>
      <c r="C21" s="464" t="s">
        <v>1170</v>
      </c>
      <c r="D21" s="463"/>
      <c r="E21" s="463"/>
      <c r="F21" s="463"/>
      <c r="G21" s="463"/>
      <c r="H21" s="446"/>
      <c r="I21" s="20" t="s">
        <v>2533</v>
      </c>
      <c r="J21" s="439">
        <v>414000</v>
      </c>
      <c r="K21" s="273"/>
      <c r="L21" s="439">
        <f t="shared" si="0"/>
        <v>66100.840336134454</v>
      </c>
      <c r="M21" s="273"/>
      <c r="N21" s="439">
        <f t="shared" si="1"/>
        <v>347899.15966386558</v>
      </c>
      <c r="O21" s="273"/>
      <c r="P21" s="1"/>
      <c r="Q21" s="1"/>
      <c r="R21" s="1"/>
      <c r="S21" s="1"/>
    </row>
    <row r="22" spans="1:19" ht="12.75" customHeight="1" x14ac:dyDescent="0.25">
      <c r="A22" s="118" t="s">
        <v>2549</v>
      </c>
      <c r="B22" s="106"/>
      <c r="C22" s="464" t="s">
        <v>1171</v>
      </c>
      <c r="D22" s="463"/>
      <c r="E22" s="463"/>
      <c r="F22" s="463"/>
      <c r="G22" s="463"/>
      <c r="H22" s="446"/>
      <c r="I22" s="20" t="s">
        <v>2533</v>
      </c>
      <c r="J22" s="439">
        <v>180000</v>
      </c>
      <c r="K22" s="273"/>
      <c r="L22" s="439">
        <f t="shared" si="0"/>
        <v>28739.495798319331</v>
      </c>
      <c r="M22" s="273"/>
      <c r="N22" s="439">
        <f t="shared" si="1"/>
        <v>151260.50420168068</v>
      </c>
      <c r="O22" s="273"/>
      <c r="P22" s="1"/>
      <c r="Q22" s="1"/>
      <c r="R22" s="1"/>
      <c r="S22" s="1"/>
    </row>
    <row r="23" spans="1:19" ht="12.75" customHeight="1" x14ac:dyDescent="0.25">
      <c r="A23" s="118" t="s">
        <v>2550</v>
      </c>
      <c r="B23" s="106"/>
      <c r="C23" s="309" t="s">
        <v>1176</v>
      </c>
      <c r="D23" s="271"/>
      <c r="E23" s="271"/>
      <c r="F23" s="271"/>
      <c r="G23" s="271"/>
      <c r="H23" s="273"/>
      <c r="I23" s="20" t="s">
        <v>1815</v>
      </c>
      <c r="J23" s="439">
        <v>1725.8</v>
      </c>
      <c r="K23" s="273"/>
      <c r="L23" s="439">
        <f t="shared" si="0"/>
        <v>275.54789915966387</v>
      </c>
      <c r="M23" s="273"/>
      <c r="N23" s="439">
        <f t="shared" si="1"/>
        <v>1450.2521008403362</v>
      </c>
      <c r="O23" s="273"/>
      <c r="P23" s="1"/>
      <c r="Q23" s="1"/>
      <c r="R23" s="1"/>
      <c r="S23" s="1"/>
    </row>
    <row r="24" spans="1:19" ht="12.75" customHeight="1" x14ac:dyDescent="0.25">
      <c r="A24" s="92" t="s">
        <v>2551</v>
      </c>
      <c r="B24" s="106"/>
      <c r="C24" s="309" t="s">
        <v>1230</v>
      </c>
      <c r="D24" s="271"/>
      <c r="E24" s="271"/>
      <c r="F24" s="271"/>
      <c r="G24" s="271"/>
      <c r="H24" s="273"/>
      <c r="I24" s="20" t="s">
        <v>1827</v>
      </c>
      <c r="J24" s="439">
        <v>12700</v>
      </c>
      <c r="K24" s="273"/>
      <c r="L24" s="439">
        <f t="shared" si="0"/>
        <v>2027.7310924369749</v>
      </c>
      <c r="M24" s="273"/>
      <c r="N24" s="439">
        <f t="shared" si="1"/>
        <v>10672.268907563026</v>
      </c>
      <c r="O24" s="273"/>
      <c r="P24" s="1"/>
      <c r="Q24" s="1"/>
      <c r="R24" s="1"/>
      <c r="S24" s="1"/>
    </row>
    <row r="25" spans="1:19" ht="12.75" customHeight="1" x14ac:dyDescent="0.25">
      <c r="A25" s="118" t="s">
        <v>2552</v>
      </c>
      <c r="B25" s="106"/>
      <c r="C25" s="464" t="s">
        <v>1285</v>
      </c>
      <c r="D25" s="463"/>
      <c r="E25" s="463"/>
      <c r="F25" s="463"/>
      <c r="G25" s="463"/>
      <c r="H25" s="446"/>
      <c r="I25" s="20" t="s">
        <v>2533</v>
      </c>
      <c r="J25" s="439">
        <v>15100</v>
      </c>
      <c r="K25" s="273"/>
      <c r="L25" s="439">
        <f t="shared" si="0"/>
        <v>2410.9243697478996</v>
      </c>
      <c r="M25" s="273"/>
      <c r="N25" s="439">
        <f t="shared" si="1"/>
        <v>12689.075630252102</v>
      </c>
      <c r="O25" s="273"/>
      <c r="P25" s="1"/>
      <c r="Q25" s="1"/>
      <c r="R25" s="1"/>
      <c r="S25" s="1"/>
    </row>
    <row r="26" spans="1:19" ht="25.5" customHeight="1" x14ac:dyDescent="0.2">
      <c r="A26" s="108" t="s">
        <v>2553</v>
      </c>
      <c r="B26" s="112"/>
      <c r="C26" s="462" t="s">
        <v>1288</v>
      </c>
      <c r="D26" s="463"/>
      <c r="E26" s="463"/>
      <c r="F26" s="463"/>
      <c r="G26" s="463"/>
      <c r="H26" s="446"/>
      <c r="I26" s="26" t="s">
        <v>1827</v>
      </c>
      <c r="J26" s="440">
        <v>8270.4699999999993</v>
      </c>
      <c r="K26" s="273"/>
      <c r="L26" s="440">
        <f t="shared" si="0"/>
        <v>1320.4952100840337</v>
      </c>
      <c r="M26" s="273"/>
      <c r="N26" s="440">
        <f t="shared" si="1"/>
        <v>6949.9747899159665</v>
      </c>
      <c r="O26" s="273"/>
      <c r="P26" s="1"/>
      <c r="Q26" s="1"/>
      <c r="R26" s="1"/>
      <c r="S26" s="1"/>
    </row>
    <row r="27" spans="1:19" ht="13.5" customHeight="1" x14ac:dyDescent="0.25">
      <c r="A27" s="120" t="s">
        <v>2554</v>
      </c>
      <c r="B27" s="106"/>
      <c r="C27" s="426" t="s">
        <v>2555</v>
      </c>
      <c r="D27" s="271"/>
      <c r="E27" s="271"/>
      <c r="F27" s="271"/>
      <c r="G27" s="271"/>
      <c r="H27" s="273"/>
      <c r="I27" s="20" t="s">
        <v>1410</v>
      </c>
      <c r="J27" s="439">
        <v>11766</v>
      </c>
      <c r="K27" s="273"/>
      <c r="L27" s="439">
        <f t="shared" si="0"/>
        <v>1878.6050420168067</v>
      </c>
      <c r="M27" s="273"/>
      <c r="N27" s="439">
        <f t="shared" si="1"/>
        <v>9887.3949579831933</v>
      </c>
      <c r="O27" s="273"/>
      <c r="P27" s="1"/>
      <c r="Q27" s="1"/>
      <c r="R27" s="1"/>
      <c r="S27" s="1"/>
    </row>
    <row r="28" spans="1:19" ht="13.5" customHeight="1" x14ac:dyDescent="0.25">
      <c r="A28" s="120" t="s">
        <v>2556</v>
      </c>
      <c r="B28" s="106"/>
      <c r="C28" s="426" t="s">
        <v>2557</v>
      </c>
      <c r="D28" s="271"/>
      <c r="E28" s="271"/>
      <c r="F28" s="271"/>
      <c r="G28" s="271"/>
      <c r="H28" s="273"/>
      <c r="I28" s="20" t="s">
        <v>1410</v>
      </c>
      <c r="J28" s="439">
        <v>9357</v>
      </c>
      <c r="K28" s="273"/>
      <c r="L28" s="439">
        <f t="shared" si="0"/>
        <v>1493.9747899159665</v>
      </c>
      <c r="M28" s="273"/>
      <c r="N28" s="439">
        <f t="shared" si="1"/>
        <v>7863.0252100840344</v>
      </c>
      <c r="O28" s="273"/>
      <c r="P28" s="1"/>
      <c r="Q28" s="1"/>
      <c r="R28" s="1"/>
      <c r="S28" s="1"/>
    </row>
    <row r="29" spans="1:19" ht="13.5" customHeight="1" x14ac:dyDescent="0.25">
      <c r="A29" s="120" t="s">
        <v>2558</v>
      </c>
      <c r="B29" s="106"/>
      <c r="C29" s="467" t="s">
        <v>2559</v>
      </c>
      <c r="D29" s="463"/>
      <c r="E29" s="463"/>
      <c r="F29" s="463"/>
      <c r="G29" s="463"/>
      <c r="H29" s="446"/>
      <c r="I29" s="20" t="s">
        <v>2538</v>
      </c>
      <c r="J29" s="439">
        <v>120000</v>
      </c>
      <c r="K29" s="273"/>
      <c r="L29" s="439">
        <f t="shared" si="0"/>
        <v>19159.663865546219</v>
      </c>
      <c r="M29" s="273"/>
      <c r="N29" s="439">
        <f t="shared" si="1"/>
        <v>100840.33613445378</v>
      </c>
      <c r="O29" s="273"/>
      <c r="P29" s="1"/>
      <c r="Q29" s="1"/>
      <c r="R29" s="1"/>
      <c r="S29" s="1"/>
    </row>
    <row r="30" spans="1:19" ht="13.5" customHeight="1" x14ac:dyDescent="0.25">
      <c r="A30" s="119" t="s">
        <v>2560</v>
      </c>
      <c r="B30" s="106"/>
      <c r="C30" s="467" t="s">
        <v>1058</v>
      </c>
      <c r="D30" s="463"/>
      <c r="E30" s="463"/>
      <c r="F30" s="463"/>
      <c r="G30" s="463"/>
      <c r="H30" s="446"/>
      <c r="I30" s="20" t="s">
        <v>2538</v>
      </c>
      <c r="J30" s="439">
        <v>40000</v>
      </c>
      <c r="K30" s="273"/>
      <c r="L30" s="439">
        <f t="shared" si="0"/>
        <v>6386.5546218487398</v>
      </c>
      <c r="M30" s="273"/>
      <c r="N30" s="439">
        <f t="shared" si="1"/>
        <v>33613.445378151264</v>
      </c>
      <c r="O30" s="273"/>
      <c r="P30" s="1"/>
      <c r="Q30" s="1"/>
      <c r="R30" s="1"/>
      <c r="S30" s="1"/>
    </row>
    <row r="31" spans="1:19" ht="13.5" customHeight="1" x14ac:dyDescent="0.25">
      <c r="A31" s="119" t="s">
        <v>2561</v>
      </c>
      <c r="B31" s="106"/>
      <c r="C31" s="467" t="s">
        <v>1057</v>
      </c>
      <c r="D31" s="463"/>
      <c r="E31" s="463"/>
      <c r="F31" s="463"/>
      <c r="G31" s="463"/>
      <c r="H31" s="446"/>
      <c r="I31" s="20" t="s">
        <v>1809</v>
      </c>
      <c r="J31" s="439">
        <v>49230</v>
      </c>
      <c r="K31" s="273"/>
      <c r="L31" s="439">
        <f t="shared" si="0"/>
        <v>7860.2521008403364</v>
      </c>
      <c r="M31" s="273"/>
      <c r="N31" s="439">
        <f t="shared" si="1"/>
        <v>41369.747899159665</v>
      </c>
      <c r="O31" s="273"/>
      <c r="P31" s="1"/>
      <c r="Q31" s="1"/>
      <c r="R31" s="1"/>
      <c r="S31" s="1"/>
    </row>
    <row r="32" spans="1:19" ht="13.5" customHeight="1" x14ac:dyDescent="0.25">
      <c r="A32" s="120" t="s">
        <v>2562</v>
      </c>
      <c r="B32" s="106"/>
      <c r="C32" s="467" t="s">
        <v>1360</v>
      </c>
      <c r="D32" s="463"/>
      <c r="E32" s="463"/>
      <c r="F32" s="463"/>
      <c r="G32" s="463"/>
      <c r="H32" s="446"/>
      <c r="I32" s="20" t="s">
        <v>1809</v>
      </c>
      <c r="J32" s="439">
        <v>174571</v>
      </c>
      <c r="K32" s="273"/>
      <c r="L32" s="439">
        <f t="shared" si="0"/>
        <v>27872.680672268907</v>
      </c>
      <c r="M32" s="273"/>
      <c r="N32" s="439">
        <f t="shared" si="1"/>
        <v>146698.31932773109</v>
      </c>
      <c r="O32" s="273"/>
      <c r="P32" s="1"/>
      <c r="Q32" s="1"/>
      <c r="R32" s="1"/>
      <c r="S32" s="1"/>
    </row>
    <row r="33" spans="1:19" ht="13.5" customHeight="1" x14ac:dyDescent="0.25">
      <c r="A33" s="120" t="s">
        <v>2563</v>
      </c>
      <c r="B33" s="106"/>
      <c r="C33" s="467" t="s">
        <v>1361</v>
      </c>
      <c r="D33" s="463"/>
      <c r="E33" s="463"/>
      <c r="F33" s="463"/>
      <c r="G33" s="463"/>
      <c r="H33" s="446"/>
      <c r="I33" s="20" t="s">
        <v>1809</v>
      </c>
      <c r="J33" s="439">
        <v>87495</v>
      </c>
      <c r="K33" s="273"/>
      <c r="L33" s="439">
        <f t="shared" si="0"/>
        <v>13969.789915966388</v>
      </c>
      <c r="M33" s="273"/>
      <c r="N33" s="439">
        <f t="shared" si="1"/>
        <v>73525.210084033621</v>
      </c>
      <c r="O33" s="273"/>
      <c r="P33" s="1"/>
      <c r="Q33" s="1"/>
      <c r="R33" s="1"/>
      <c r="S33" s="1"/>
    </row>
    <row r="34" spans="1:19" ht="13.5" customHeight="1" x14ac:dyDescent="0.25">
      <c r="A34" s="120" t="s">
        <v>2564</v>
      </c>
      <c r="B34" s="106"/>
      <c r="C34" s="426" t="s">
        <v>1422</v>
      </c>
      <c r="D34" s="271"/>
      <c r="E34" s="271"/>
      <c r="F34" s="271"/>
      <c r="G34" s="271"/>
      <c r="H34" s="273"/>
      <c r="I34" s="20" t="s">
        <v>1809</v>
      </c>
      <c r="J34" s="439">
        <v>407000</v>
      </c>
      <c r="K34" s="273"/>
      <c r="L34" s="439">
        <f t="shared" si="0"/>
        <v>64983.193277310922</v>
      </c>
      <c r="M34" s="273"/>
      <c r="N34" s="439">
        <f t="shared" si="1"/>
        <v>342016.80672268907</v>
      </c>
      <c r="O34" s="273"/>
      <c r="P34" s="1"/>
      <c r="Q34" s="1"/>
      <c r="R34" s="1"/>
      <c r="S34" s="1"/>
    </row>
    <row r="35" spans="1:19" ht="13.5" customHeight="1" x14ac:dyDescent="0.25">
      <c r="A35" s="120" t="s">
        <v>2565</v>
      </c>
      <c r="B35" s="106"/>
      <c r="C35" s="426" t="s">
        <v>1423</v>
      </c>
      <c r="D35" s="271"/>
      <c r="E35" s="271"/>
      <c r="F35" s="271"/>
      <c r="G35" s="271"/>
      <c r="H35" s="273"/>
      <c r="I35" s="20" t="s">
        <v>1809</v>
      </c>
      <c r="J35" s="439">
        <v>350000</v>
      </c>
      <c r="K35" s="273"/>
      <c r="L35" s="439">
        <f t="shared" si="0"/>
        <v>55882.352941176476</v>
      </c>
      <c r="M35" s="273"/>
      <c r="N35" s="439">
        <f t="shared" si="1"/>
        <v>294117.64705882355</v>
      </c>
      <c r="O35" s="273"/>
      <c r="P35" s="1"/>
      <c r="Q35" s="1"/>
      <c r="R35" s="1"/>
      <c r="S35" s="1"/>
    </row>
    <row r="36" spans="1:19" ht="13.5" customHeight="1" x14ac:dyDescent="0.25">
      <c r="A36" s="120" t="s">
        <v>2566</v>
      </c>
      <c r="B36" s="106"/>
      <c r="C36" s="426" t="s">
        <v>1424</v>
      </c>
      <c r="D36" s="271"/>
      <c r="E36" s="271"/>
      <c r="F36" s="271"/>
      <c r="G36" s="271"/>
      <c r="H36" s="273"/>
      <c r="I36" s="20" t="s">
        <v>1809</v>
      </c>
      <c r="J36" s="439">
        <v>190000</v>
      </c>
      <c r="K36" s="273"/>
      <c r="L36" s="439">
        <f t="shared" si="0"/>
        <v>30336.134453781517</v>
      </c>
      <c r="M36" s="273"/>
      <c r="N36" s="439">
        <f t="shared" si="1"/>
        <v>159663.8655462185</v>
      </c>
      <c r="O36" s="273"/>
      <c r="P36" s="1"/>
      <c r="Q36" s="1"/>
      <c r="R36" s="1"/>
      <c r="S36" s="1"/>
    </row>
    <row r="37" spans="1:19" ht="27" customHeight="1" x14ac:dyDescent="0.25">
      <c r="A37" s="108" t="s">
        <v>2567</v>
      </c>
      <c r="B37" s="106"/>
      <c r="C37" s="462" t="s">
        <v>1501</v>
      </c>
      <c r="D37" s="463"/>
      <c r="E37" s="463"/>
      <c r="F37" s="463"/>
      <c r="G37" s="463"/>
      <c r="H37" s="446"/>
      <c r="I37" s="20" t="s">
        <v>1809</v>
      </c>
      <c r="J37" s="439">
        <v>346987</v>
      </c>
      <c r="K37" s="273"/>
      <c r="L37" s="439">
        <f t="shared" si="0"/>
        <v>55401.285714285725</v>
      </c>
      <c r="M37" s="273"/>
      <c r="N37" s="439">
        <f t="shared" si="1"/>
        <v>291585.71428571432</v>
      </c>
      <c r="O37" s="273"/>
      <c r="P37" s="1"/>
      <c r="Q37" s="1"/>
      <c r="R37" s="1"/>
      <c r="S37" s="1"/>
    </row>
    <row r="38" spans="1:19" ht="13.5" customHeight="1" x14ac:dyDescent="0.25">
      <c r="A38" s="116" t="s">
        <v>2568</v>
      </c>
      <c r="B38" s="106"/>
      <c r="C38" s="365" t="s">
        <v>2569</v>
      </c>
      <c r="D38" s="271"/>
      <c r="E38" s="271"/>
      <c r="F38" s="271"/>
      <c r="G38" s="271"/>
      <c r="H38" s="273"/>
      <c r="I38" s="20" t="s">
        <v>1809</v>
      </c>
      <c r="J38" s="439">
        <v>62000</v>
      </c>
      <c r="K38" s="273"/>
      <c r="L38" s="439">
        <f t="shared" si="0"/>
        <v>9899.1596638655465</v>
      </c>
      <c r="M38" s="273"/>
      <c r="N38" s="439">
        <f t="shared" si="1"/>
        <v>52100.840336134454</v>
      </c>
      <c r="O38" s="273"/>
      <c r="P38" s="1"/>
      <c r="Q38" s="1"/>
      <c r="R38" s="1"/>
      <c r="S38" s="1"/>
    </row>
    <row r="39" spans="1:19" ht="13.5" customHeight="1" x14ac:dyDescent="0.25">
      <c r="A39" s="116" t="s">
        <v>2570</v>
      </c>
      <c r="B39" s="106"/>
      <c r="C39" s="365" t="s">
        <v>2571</v>
      </c>
      <c r="D39" s="271"/>
      <c r="E39" s="271"/>
      <c r="F39" s="271"/>
      <c r="G39" s="271"/>
      <c r="H39" s="273"/>
      <c r="I39" s="20" t="s">
        <v>1809</v>
      </c>
      <c r="J39" s="439">
        <v>200000</v>
      </c>
      <c r="K39" s="273"/>
      <c r="L39" s="439">
        <f t="shared" si="0"/>
        <v>31932.773109243699</v>
      </c>
      <c r="M39" s="273"/>
      <c r="N39" s="439">
        <f t="shared" si="1"/>
        <v>168067.22689075631</v>
      </c>
      <c r="O39" s="273"/>
      <c r="P39" s="1"/>
      <c r="Q39" s="1"/>
      <c r="R39" s="1"/>
      <c r="S39" s="1"/>
    </row>
    <row r="40" spans="1:19" ht="13.5" customHeight="1" x14ac:dyDescent="0.25">
      <c r="A40" s="116" t="s">
        <v>2572</v>
      </c>
      <c r="B40" s="106"/>
      <c r="C40" s="365" t="s">
        <v>1559</v>
      </c>
      <c r="D40" s="271"/>
      <c r="E40" s="271"/>
      <c r="F40" s="271"/>
      <c r="G40" s="271"/>
      <c r="H40" s="273"/>
      <c r="I40" s="20" t="s">
        <v>1809</v>
      </c>
      <c r="J40" s="439">
        <v>74400</v>
      </c>
      <c r="K40" s="273"/>
      <c r="L40" s="439">
        <f t="shared" si="0"/>
        <v>11878.991596638656</v>
      </c>
      <c r="M40" s="273"/>
      <c r="N40" s="439">
        <f t="shared" si="1"/>
        <v>62521.008403361346</v>
      </c>
      <c r="O40" s="273"/>
      <c r="P40" s="1"/>
      <c r="Q40" s="1"/>
      <c r="R40" s="1"/>
      <c r="S40" s="1"/>
    </row>
    <row r="41" spans="1:19" ht="18" customHeight="1" x14ac:dyDescent="0.25">
      <c r="A41" s="120" t="s">
        <v>2573</v>
      </c>
      <c r="B41" s="106"/>
      <c r="C41" s="426" t="s">
        <v>1636</v>
      </c>
      <c r="D41" s="271"/>
      <c r="E41" s="271"/>
      <c r="F41" s="271"/>
      <c r="G41" s="271"/>
      <c r="H41" s="273"/>
      <c r="I41" s="20" t="s">
        <v>1809</v>
      </c>
      <c r="J41" s="439">
        <v>141935</v>
      </c>
      <c r="K41" s="273"/>
      <c r="L41" s="439">
        <f t="shared" si="0"/>
        <v>22661.890756302524</v>
      </c>
      <c r="M41" s="273"/>
      <c r="N41" s="439">
        <f t="shared" si="1"/>
        <v>119273.10924369749</v>
      </c>
      <c r="O41" s="273"/>
      <c r="P41" s="1"/>
      <c r="Q41" s="1"/>
      <c r="R41" s="1"/>
      <c r="S41" s="1"/>
    </row>
    <row r="42" spans="1:19" ht="13.5" customHeight="1" x14ac:dyDescent="0.25">
      <c r="A42" s="119" t="s">
        <v>2574</v>
      </c>
      <c r="B42" s="106"/>
      <c r="C42" s="467" t="s">
        <v>1245</v>
      </c>
      <c r="D42" s="463"/>
      <c r="E42" s="463"/>
      <c r="F42" s="463"/>
      <c r="G42" s="463"/>
      <c r="H42" s="446"/>
      <c r="I42" s="20" t="s">
        <v>1809</v>
      </c>
      <c r="J42" s="439">
        <v>2535300</v>
      </c>
      <c r="K42" s="273"/>
      <c r="L42" s="439">
        <f t="shared" si="0"/>
        <v>404795.79831932776</v>
      </c>
      <c r="M42" s="273"/>
      <c r="N42" s="439">
        <f t="shared" si="1"/>
        <v>2130504.2016806724</v>
      </c>
      <c r="O42" s="273"/>
      <c r="P42" s="1"/>
      <c r="Q42" s="1"/>
      <c r="R42" s="1"/>
      <c r="S42" s="1"/>
    </row>
    <row r="43" spans="1:19" ht="15.75" customHeight="1" x14ac:dyDescent="0.2">
      <c r="P43" s="1"/>
      <c r="Q43" s="1"/>
      <c r="R43" s="1"/>
      <c r="S43" s="1"/>
    </row>
    <row r="44" spans="1:19" ht="15.75" customHeight="1" x14ac:dyDescent="0.2">
      <c r="P44" s="1"/>
      <c r="Q44" s="1"/>
      <c r="R44" s="1"/>
      <c r="S44" s="1"/>
    </row>
    <row r="45" spans="1:19" ht="15.75" customHeight="1" x14ac:dyDescent="0.2">
      <c r="P45" s="1"/>
      <c r="Q45" s="1"/>
      <c r="R45" s="1"/>
      <c r="S45" s="1"/>
    </row>
    <row r="46" spans="1:19" ht="15.75" customHeight="1" x14ac:dyDescent="0.2">
      <c r="P46" s="1"/>
      <c r="Q46" s="1"/>
      <c r="R46" s="1"/>
      <c r="S46" s="1"/>
    </row>
    <row r="47" spans="1:19" ht="15.75" customHeight="1" x14ac:dyDescent="0.2">
      <c r="P47" s="1"/>
      <c r="Q47" s="1"/>
      <c r="R47" s="1"/>
      <c r="S47" s="1"/>
    </row>
    <row r="48" spans="1:19" ht="15.75" customHeight="1" x14ac:dyDescent="0.2">
      <c r="P48" s="1"/>
      <c r="Q48" s="1"/>
      <c r="R48" s="1"/>
      <c r="S48" s="1"/>
    </row>
    <row r="49" spans="16:19" ht="15.75" customHeight="1" x14ac:dyDescent="0.2">
      <c r="P49" s="1"/>
      <c r="Q49" s="1"/>
      <c r="R49" s="1"/>
      <c r="S49" s="1"/>
    </row>
    <row r="50" spans="16:19" ht="15.75" customHeight="1" x14ac:dyDescent="0.2">
      <c r="P50" s="1"/>
      <c r="Q50" s="1"/>
      <c r="R50" s="1"/>
      <c r="S50" s="1"/>
    </row>
    <row r="51" spans="16:19" ht="15.75" customHeight="1" x14ac:dyDescent="0.2">
      <c r="P51" s="1"/>
      <c r="Q51" s="1"/>
      <c r="R51" s="1"/>
      <c r="S51" s="1"/>
    </row>
    <row r="52" spans="16:19" ht="15.75" customHeight="1" x14ac:dyDescent="0.2">
      <c r="P52" s="1"/>
      <c r="Q52" s="1"/>
      <c r="R52" s="1"/>
      <c r="S52" s="1"/>
    </row>
    <row r="53" spans="16:19" ht="15.75" customHeight="1" x14ac:dyDescent="0.2">
      <c r="P53" s="1"/>
      <c r="Q53" s="1"/>
      <c r="R53" s="1"/>
      <c r="S53" s="1"/>
    </row>
    <row r="54" spans="16:19" ht="15.75" customHeight="1" x14ac:dyDescent="0.2">
      <c r="P54" s="1"/>
      <c r="Q54" s="1"/>
      <c r="R54" s="1"/>
      <c r="S54" s="1"/>
    </row>
    <row r="55" spans="16:19" ht="15.75" customHeight="1" x14ac:dyDescent="0.2">
      <c r="P55" s="1"/>
      <c r="Q55" s="1"/>
      <c r="R55" s="1"/>
      <c r="S55" s="1"/>
    </row>
    <row r="56" spans="16:19" ht="15.75" customHeight="1" x14ac:dyDescent="0.2">
      <c r="P56" s="1"/>
      <c r="Q56" s="1"/>
      <c r="R56" s="1"/>
      <c r="S56" s="1"/>
    </row>
    <row r="57" spans="16:19" ht="15.75" customHeight="1" x14ac:dyDescent="0.2">
      <c r="P57" s="1"/>
      <c r="Q57" s="1"/>
      <c r="R57" s="1"/>
      <c r="S57" s="1"/>
    </row>
    <row r="58" spans="16:19" ht="15.75" customHeight="1" x14ac:dyDescent="0.2">
      <c r="P58" s="1"/>
      <c r="Q58" s="1"/>
      <c r="R58" s="1"/>
      <c r="S58" s="1"/>
    </row>
    <row r="59" spans="16:19" ht="15.75" customHeight="1" x14ac:dyDescent="0.2">
      <c r="P59" s="1"/>
      <c r="Q59" s="1"/>
      <c r="R59" s="1"/>
      <c r="S59" s="1"/>
    </row>
    <row r="60" spans="16:19" ht="15.75" customHeight="1" x14ac:dyDescent="0.2">
      <c r="P60" s="1"/>
      <c r="Q60" s="1"/>
      <c r="R60" s="1"/>
      <c r="S60" s="1"/>
    </row>
    <row r="61" spans="16:19" ht="15.75" customHeight="1" x14ac:dyDescent="0.2">
      <c r="P61" s="1"/>
      <c r="Q61" s="1"/>
      <c r="R61" s="1"/>
      <c r="S61" s="1"/>
    </row>
    <row r="62" spans="16:19" ht="15.75" customHeight="1" x14ac:dyDescent="0.2">
      <c r="P62" s="1"/>
      <c r="Q62" s="1"/>
      <c r="R62" s="1"/>
      <c r="S62" s="1"/>
    </row>
    <row r="63" spans="16:19" ht="15.75" customHeight="1" x14ac:dyDescent="0.2">
      <c r="P63" s="1"/>
      <c r="Q63" s="1"/>
      <c r="R63" s="1"/>
      <c r="S63" s="1"/>
    </row>
    <row r="64" spans="16:19" ht="15.75" customHeight="1" x14ac:dyDescent="0.2">
      <c r="P64" s="1"/>
      <c r="Q64" s="1"/>
      <c r="R64" s="1"/>
      <c r="S64" s="1"/>
    </row>
    <row r="65" spans="16:19" ht="15.75" customHeight="1" x14ac:dyDescent="0.2">
      <c r="P65" s="1"/>
      <c r="Q65" s="1"/>
      <c r="R65" s="1"/>
      <c r="S65" s="1"/>
    </row>
    <row r="66" spans="16:19" ht="15.75" customHeight="1" x14ac:dyDescent="0.2">
      <c r="P66" s="1"/>
      <c r="Q66" s="1"/>
      <c r="R66" s="1"/>
      <c r="S66" s="1"/>
    </row>
    <row r="67" spans="16:19" ht="15.75" customHeight="1" x14ac:dyDescent="0.2">
      <c r="P67" s="1"/>
      <c r="Q67" s="1"/>
      <c r="R67" s="1"/>
      <c r="S67" s="1"/>
    </row>
    <row r="68" spans="16:19" ht="15.75" customHeight="1" x14ac:dyDescent="0.2">
      <c r="P68" s="1"/>
      <c r="Q68" s="1"/>
      <c r="R68" s="1"/>
      <c r="S68" s="1"/>
    </row>
    <row r="69" spans="16:19" ht="15.75" customHeight="1" x14ac:dyDescent="0.2">
      <c r="P69" s="1"/>
      <c r="Q69" s="1"/>
      <c r="R69" s="1"/>
      <c r="S69" s="1"/>
    </row>
    <row r="70" spans="16:19" ht="15.75" customHeight="1" x14ac:dyDescent="0.2">
      <c r="P70" s="1"/>
      <c r="Q70" s="1"/>
      <c r="R70" s="1"/>
      <c r="S70" s="1"/>
    </row>
    <row r="71" spans="16:19" ht="15.75" customHeight="1" x14ac:dyDescent="0.2">
      <c r="P71" s="1"/>
      <c r="Q71" s="1"/>
      <c r="R71" s="1"/>
      <c r="S71" s="1"/>
    </row>
    <row r="72" spans="16:19" ht="15.75" customHeight="1" x14ac:dyDescent="0.2">
      <c r="P72" s="1"/>
      <c r="Q72" s="1"/>
      <c r="R72" s="1"/>
      <c r="S72" s="1"/>
    </row>
    <row r="73" spans="16:19" ht="15.75" customHeight="1" x14ac:dyDescent="0.2">
      <c r="P73" s="1"/>
      <c r="Q73" s="1"/>
      <c r="R73" s="1"/>
      <c r="S73" s="1"/>
    </row>
    <row r="74" spans="16:19" ht="15.75" customHeight="1" x14ac:dyDescent="0.2">
      <c r="P74" s="1"/>
      <c r="Q74" s="1"/>
      <c r="R74" s="1"/>
      <c r="S74" s="1"/>
    </row>
    <row r="75" spans="16:19" ht="15.75" customHeight="1" x14ac:dyDescent="0.2">
      <c r="P75" s="1"/>
      <c r="Q75" s="1"/>
      <c r="R75" s="1"/>
      <c r="S75" s="1"/>
    </row>
    <row r="76" spans="16:19" ht="15.75" customHeight="1" x14ac:dyDescent="0.2">
      <c r="P76" s="1"/>
      <c r="Q76" s="1"/>
      <c r="R76" s="1"/>
      <c r="S76" s="1"/>
    </row>
    <row r="77" spans="16:19" ht="15.75" customHeight="1" x14ac:dyDescent="0.2">
      <c r="P77" s="1"/>
      <c r="Q77" s="1"/>
      <c r="R77" s="1"/>
      <c r="S77" s="1"/>
    </row>
    <row r="78" spans="16:19" ht="15.75" customHeight="1" x14ac:dyDescent="0.2">
      <c r="P78" s="1"/>
      <c r="Q78" s="1"/>
      <c r="R78" s="1"/>
      <c r="S78" s="1"/>
    </row>
    <row r="79" spans="16:19" ht="15.75" customHeight="1" x14ac:dyDescent="0.2">
      <c r="P79" s="1"/>
      <c r="Q79" s="1"/>
      <c r="R79" s="1"/>
      <c r="S79" s="1"/>
    </row>
    <row r="80" spans="16:19" ht="15.75" customHeight="1" x14ac:dyDescent="0.2">
      <c r="P80" s="1"/>
      <c r="Q80" s="1"/>
      <c r="R80" s="1"/>
      <c r="S80" s="1"/>
    </row>
    <row r="81" spans="16:19" ht="15.75" customHeight="1" x14ac:dyDescent="0.2">
      <c r="P81" s="1"/>
      <c r="Q81" s="1"/>
      <c r="R81" s="1"/>
      <c r="S81" s="1"/>
    </row>
    <row r="82" spans="16:19" ht="15.75" customHeight="1" x14ac:dyDescent="0.2">
      <c r="P82" s="1"/>
      <c r="Q82" s="1"/>
      <c r="R82" s="1"/>
      <c r="S82" s="1"/>
    </row>
    <row r="83" spans="16:19" ht="15.75" customHeight="1" x14ac:dyDescent="0.2">
      <c r="P83" s="1"/>
      <c r="Q83" s="1"/>
      <c r="R83" s="1"/>
      <c r="S83" s="1"/>
    </row>
    <row r="84" spans="16:19" ht="15.75" customHeight="1" x14ac:dyDescent="0.2">
      <c r="P84" s="1"/>
      <c r="Q84" s="1"/>
      <c r="R84" s="1"/>
      <c r="S84" s="1"/>
    </row>
    <row r="85" spans="16:19" ht="15.75" customHeight="1" x14ac:dyDescent="0.2">
      <c r="P85" s="1"/>
      <c r="Q85" s="1"/>
      <c r="R85" s="1"/>
      <c r="S85" s="1"/>
    </row>
    <row r="86" spans="16:19" ht="15.75" customHeight="1" x14ac:dyDescent="0.2">
      <c r="P86" s="1"/>
      <c r="Q86" s="1"/>
      <c r="R86" s="1"/>
      <c r="S86" s="1"/>
    </row>
    <row r="87" spans="16:19" ht="15.75" customHeight="1" x14ac:dyDescent="0.2">
      <c r="P87" s="1"/>
      <c r="Q87" s="1"/>
      <c r="R87" s="1"/>
      <c r="S87" s="1"/>
    </row>
    <row r="88" spans="16:19" ht="15.75" customHeight="1" x14ac:dyDescent="0.2">
      <c r="P88" s="1"/>
      <c r="Q88" s="1"/>
      <c r="R88" s="1"/>
      <c r="S88" s="1"/>
    </row>
    <row r="89" spans="16:19" ht="15.75" customHeight="1" x14ac:dyDescent="0.2">
      <c r="P89" s="1"/>
      <c r="Q89" s="1"/>
      <c r="R89" s="1"/>
      <c r="S89" s="1"/>
    </row>
    <row r="90" spans="16:19" ht="15.75" customHeight="1" x14ac:dyDescent="0.2">
      <c r="P90" s="1"/>
      <c r="Q90" s="1"/>
      <c r="R90" s="1"/>
      <c r="S90" s="1"/>
    </row>
    <row r="91" spans="16:19" ht="15.75" customHeight="1" x14ac:dyDescent="0.2">
      <c r="P91" s="1"/>
      <c r="Q91" s="1"/>
      <c r="R91" s="1"/>
      <c r="S91" s="1"/>
    </row>
    <row r="92" spans="16:19" ht="15.75" customHeight="1" x14ac:dyDescent="0.2">
      <c r="P92" s="1"/>
      <c r="Q92" s="1"/>
      <c r="R92" s="1"/>
      <c r="S92" s="1"/>
    </row>
    <row r="93" spans="16:19" ht="15.75" customHeight="1" x14ac:dyDescent="0.2">
      <c r="P93" s="1"/>
      <c r="Q93" s="1"/>
      <c r="R93" s="1"/>
      <c r="S93" s="1"/>
    </row>
    <row r="94" spans="16:19" ht="15.75" customHeight="1" x14ac:dyDescent="0.2">
      <c r="P94" s="1"/>
      <c r="Q94" s="1"/>
      <c r="R94" s="1"/>
      <c r="S94" s="1"/>
    </row>
    <row r="95" spans="16:19" ht="15.75" customHeight="1" x14ac:dyDescent="0.2">
      <c r="P95" s="1"/>
      <c r="Q95" s="1"/>
      <c r="R95" s="1"/>
      <c r="S95" s="1"/>
    </row>
    <row r="96" spans="16:19" ht="15.75" customHeight="1" x14ac:dyDescent="0.2">
      <c r="P96" s="1"/>
      <c r="Q96" s="1"/>
      <c r="R96" s="1"/>
      <c r="S96" s="1"/>
    </row>
    <row r="97" spans="16:19" ht="15.75" customHeight="1" x14ac:dyDescent="0.2">
      <c r="P97" s="1"/>
      <c r="Q97" s="1"/>
      <c r="R97" s="1"/>
      <c r="S97" s="1"/>
    </row>
    <row r="98" spans="16:19" ht="15.75" customHeight="1" x14ac:dyDescent="0.2">
      <c r="P98" s="1"/>
      <c r="Q98" s="1"/>
      <c r="R98" s="1"/>
      <c r="S98" s="1"/>
    </row>
    <row r="99" spans="16:19" ht="15.75" customHeight="1" x14ac:dyDescent="0.2">
      <c r="P99" s="1"/>
      <c r="Q99" s="1"/>
      <c r="R99" s="1"/>
      <c r="S99" s="1"/>
    </row>
    <row r="100" spans="16:19" ht="15.75" customHeight="1" x14ac:dyDescent="0.2">
      <c r="P100" s="1"/>
      <c r="Q100" s="1"/>
      <c r="R100" s="1"/>
      <c r="S100" s="1"/>
    </row>
    <row r="101" spans="16:19" ht="15.75" customHeight="1" x14ac:dyDescent="0.2">
      <c r="P101" s="1"/>
      <c r="Q101" s="1"/>
      <c r="R101" s="1"/>
      <c r="S101" s="1"/>
    </row>
    <row r="102" spans="16:19" ht="15.75" customHeight="1" x14ac:dyDescent="0.2">
      <c r="P102" s="1"/>
      <c r="Q102" s="1"/>
      <c r="R102" s="1"/>
      <c r="S102" s="1"/>
    </row>
    <row r="103" spans="16:19" ht="15.75" customHeight="1" x14ac:dyDescent="0.2">
      <c r="P103" s="1"/>
      <c r="Q103" s="1"/>
      <c r="R103" s="1"/>
      <c r="S103" s="1"/>
    </row>
    <row r="104" spans="16:19" ht="15.75" customHeight="1" x14ac:dyDescent="0.2">
      <c r="P104" s="1"/>
      <c r="Q104" s="1"/>
      <c r="R104" s="1"/>
      <c r="S104" s="1"/>
    </row>
    <row r="105" spans="16:19" ht="15.75" customHeight="1" x14ac:dyDescent="0.2">
      <c r="P105" s="1"/>
      <c r="Q105" s="1"/>
      <c r="R105" s="1"/>
      <c r="S105" s="1"/>
    </row>
    <row r="106" spans="16:19" ht="15.75" customHeight="1" x14ac:dyDescent="0.2">
      <c r="P106" s="1"/>
      <c r="Q106" s="1"/>
      <c r="R106" s="1"/>
      <c r="S106" s="1"/>
    </row>
    <row r="107" spans="16:19" ht="15.75" customHeight="1" x14ac:dyDescent="0.2">
      <c r="P107" s="1"/>
      <c r="Q107" s="1"/>
      <c r="R107" s="1"/>
      <c r="S107" s="1"/>
    </row>
    <row r="108" spans="16:19" ht="15.75" customHeight="1" x14ac:dyDescent="0.2">
      <c r="P108" s="1"/>
      <c r="Q108" s="1"/>
      <c r="R108" s="1"/>
      <c r="S108" s="1"/>
    </row>
    <row r="109" spans="16:19" ht="15.75" customHeight="1" x14ac:dyDescent="0.2">
      <c r="P109" s="1"/>
      <c r="Q109" s="1"/>
      <c r="R109" s="1"/>
      <c r="S109" s="1"/>
    </row>
    <row r="110" spans="16:19" ht="15.75" customHeight="1" x14ac:dyDescent="0.2">
      <c r="P110" s="1"/>
      <c r="Q110" s="1"/>
      <c r="R110" s="1"/>
      <c r="S110" s="1"/>
    </row>
    <row r="111" spans="16:19" ht="15.75" customHeight="1" x14ac:dyDescent="0.2">
      <c r="P111" s="1"/>
      <c r="Q111" s="1"/>
      <c r="R111" s="1"/>
      <c r="S111" s="1"/>
    </row>
    <row r="112" spans="16:19" ht="15.75" customHeight="1" x14ac:dyDescent="0.2">
      <c r="P112" s="1"/>
      <c r="Q112" s="1"/>
      <c r="R112" s="1"/>
      <c r="S112" s="1"/>
    </row>
    <row r="113" spans="16:19" ht="15.75" customHeight="1" x14ac:dyDescent="0.2">
      <c r="P113" s="1"/>
      <c r="Q113" s="1"/>
      <c r="R113" s="1"/>
      <c r="S113" s="1"/>
    </row>
    <row r="114" spans="16:19" ht="15.75" customHeight="1" x14ac:dyDescent="0.2">
      <c r="P114" s="1"/>
      <c r="Q114" s="1"/>
      <c r="R114" s="1"/>
      <c r="S114" s="1"/>
    </row>
    <row r="115" spans="16:19" ht="15.75" customHeight="1" x14ac:dyDescent="0.2">
      <c r="P115" s="1"/>
      <c r="Q115" s="1"/>
      <c r="R115" s="1"/>
      <c r="S115" s="1"/>
    </row>
    <row r="116" spans="16:19" ht="15.75" customHeight="1" x14ac:dyDescent="0.2">
      <c r="P116" s="1"/>
      <c r="Q116" s="1"/>
      <c r="R116" s="1"/>
      <c r="S116" s="1"/>
    </row>
    <row r="117" spans="16:19" ht="15.75" customHeight="1" x14ac:dyDescent="0.2">
      <c r="P117" s="1"/>
      <c r="Q117" s="1"/>
      <c r="R117" s="1"/>
      <c r="S117" s="1"/>
    </row>
    <row r="118" spans="16:19" ht="15.75" customHeight="1" x14ac:dyDescent="0.2">
      <c r="P118" s="1"/>
      <c r="Q118" s="1"/>
      <c r="R118" s="1"/>
      <c r="S118" s="1"/>
    </row>
    <row r="119" spans="16:19" ht="15.75" customHeight="1" x14ac:dyDescent="0.2">
      <c r="P119" s="1"/>
      <c r="Q119" s="1"/>
      <c r="R119" s="1"/>
      <c r="S119" s="1"/>
    </row>
    <row r="120" spans="16:19" ht="15.75" customHeight="1" x14ac:dyDescent="0.2">
      <c r="P120" s="1"/>
      <c r="Q120" s="1"/>
      <c r="R120" s="1"/>
      <c r="S120" s="1"/>
    </row>
    <row r="121" spans="16:19" ht="15.75" customHeight="1" x14ac:dyDescent="0.2">
      <c r="P121" s="1"/>
      <c r="Q121" s="1"/>
      <c r="R121" s="1"/>
      <c r="S121" s="1"/>
    </row>
    <row r="122" spans="16:19" ht="15.75" customHeight="1" x14ac:dyDescent="0.2">
      <c r="P122" s="1"/>
      <c r="Q122" s="1"/>
      <c r="R122" s="1"/>
      <c r="S122" s="1"/>
    </row>
    <row r="123" spans="16:19" ht="15.75" customHeight="1" x14ac:dyDescent="0.2">
      <c r="P123" s="1"/>
      <c r="Q123" s="1"/>
      <c r="R123" s="1"/>
      <c r="S123" s="1"/>
    </row>
    <row r="124" spans="16:19" ht="15.75" customHeight="1" x14ac:dyDescent="0.2">
      <c r="P124" s="1"/>
      <c r="Q124" s="1"/>
      <c r="R124" s="1"/>
      <c r="S124" s="1"/>
    </row>
    <row r="125" spans="16:19" ht="15.75" customHeight="1" x14ac:dyDescent="0.2">
      <c r="P125" s="1"/>
      <c r="Q125" s="1"/>
      <c r="R125" s="1"/>
      <c r="S125" s="1"/>
    </row>
    <row r="126" spans="16:19" ht="15.75" customHeight="1" x14ac:dyDescent="0.2">
      <c r="P126" s="1"/>
      <c r="Q126" s="1"/>
      <c r="R126" s="1"/>
      <c r="S126" s="1"/>
    </row>
    <row r="127" spans="16:19" ht="15.75" customHeight="1" x14ac:dyDescent="0.2">
      <c r="P127" s="1"/>
      <c r="Q127" s="1"/>
      <c r="R127" s="1"/>
      <c r="S127" s="1"/>
    </row>
    <row r="128" spans="16:19" ht="15.75" customHeight="1" x14ac:dyDescent="0.2">
      <c r="P128" s="1"/>
      <c r="Q128" s="1"/>
      <c r="R128" s="1"/>
      <c r="S128" s="1"/>
    </row>
    <row r="129" spans="16:19" ht="15.75" customHeight="1" x14ac:dyDescent="0.2">
      <c r="P129" s="1"/>
      <c r="Q129" s="1"/>
      <c r="R129" s="1"/>
      <c r="S129" s="1"/>
    </row>
    <row r="130" spans="16:19" ht="15.75" customHeight="1" x14ac:dyDescent="0.2">
      <c r="P130" s="1"/>
      <c r="Q130" s="1"/>
      <c r="R130" s="1"/>
      <c r="S130" s="1"/>
    </row>
    <row r="131" spans="16:19" ht="15.75" customHeight="1" x14ac:dyDescent="0.2">
      <c r="P131" s="1"/>
      <c r="Q131" s="1"/>
      <c r="R131" s="1"/>
      <c r="S131" s="1"/>
    </row>
    <row r="132" spans="16:19" ht="15.75" customHeight="1" x14ac:dyDescent="0.2">
      <c r="P132" s="1"/>
      <c r="Q132" s="1"/>
      <c r="R132" s="1"/>
      <c r="S132" s="1"/>
    </row>
    <row r="133" spans="16:19" ht="15.75" customHeight="1" x14ac:dyDescent="0.2">
      <c r="P133" s="1"/>
      <c r="Q133" s="1"/>
      <c r="R133" s="1"/>
      <c r="S133" s="1"/>
    </row>
    <row r="134" spans="16:19" ht="15.75" customHeight="1" x14ac:dyDescent="0.2">
      <c r="P134" s="1"/>
      <c r="Q134" s="1"/>
      <c r="R134" s="1"/>
      <c r="S134" s="1"/>
    </row>
    <row r="135" spans="16:19" ht="15.75" customHeight="1" x14ac:dyDescent="0.2">
      <c r="P135" s="1"/>
      <c r="Q135" s="1"/>
      <c r="R135" s="1"/>
      <c r="S135" s="1"/>
    </row>
    <row r="136" spans="16:19" ht="15.75" customHeight="1" x14ac:dyDescent="0.2">
      <c r="P136" s="1"/>
      <c r="Q136" s="1"/>
      <c r="R136" s="1"/>
      <c r="S136" s="1"/>
    </row>
    <row r="137" spans="16:19" ht="15.75" customHeight="1" x14ac:dyDescent="0.2">
      <c r="P137" s="1"/>
      <c r="Q137" s="1"/>
      <c r="R137" s="1"/>
      <c r="S137" s="1"/>
    </row>
    <row r="138" spans="16:19" ht="15.75" customHeight="1" x14ac:dyDescent="0.2">
      <c r="P138" s="1"/>
      <c r="Q138" s="1"/>
      <c r="R138" s="1"/>
      <c r="S138" s="1"/>
    </row>
    <row r="139" spans="16:19" ht="15.75" customHeight="1" x14ac:dyDescent="0.2">
      <c r="P139" s="1"/>
      <c r="Q139" s="1"/>
      <c r="R139" s="1"/>
      <c r="S139" s="1"/>
    </row>
    <row r="140" spans="16:19" ht="15.75" customHeight="1" x14ac:dyDescent="0.2">
      <c r="P140" s="1"/>
      <c r="Q140" s="1"/>
      <c r="R140" s="1"/>
      <c r="S140" s="1"/>
    </row>
    <row r="141" spans="16:19" ht="15.75" customHeight="1" x14ac:dyDescent="0.2">
      <c r="P141" s="1"/>
      <c r="Q141" s="1"/>
      <c r="R141" s="1"/>
      <c r="S141" s="1"/>
    </row>
    <row r="142" spans="16:19" ht="15.75" customHeight="1" x14ac:dyDescent="0.2">
      <c r="P142" s="1"/>
      <c r="Q142" s="1"/>
      <c r="R142" s="1"/>
      <c r="S142" s="1"/>
    </row>
    <row r="143" spans="16:19" ht="15.75" customHeight="1" x14ac:dyDescent="0.2">
      <c r="P143" s="1"/>
      <c r="Q143" s="1"/>
      <c r="R143" s="1"/>
      <c r="S143" s="1"/>
    </row>
    <row r="144" spans="16:19" ht="15.75" customHeight="1" x14ac:dyDescent="0.2">
      <c r="P144" s="1"/>
      <c r="Q144" s="1"/>
      <c r="R144" s="1"/>
      <c r="S144" s="1"/>
    </row>
    <row r="145" spans="16:19" ht="15.75" customHeight="1" x14ac:dyDescent="0.2">
      <c r="P145" s="1"/>
      <c r="Q145" s="1"/>
      <c r="R145" s="1"/>
      <c r="S145" s="1"/>
    </row>
    <row r="146" spans="16:19" ht="15.75" customHeight="1" x14ac:dyDescent="0.2">
      <c r="P146" s="1"/>
      <c r="Q146" s="1"/>
      <c r="R146" s="1"/>
      <c r="S146" s="1"/>
    </row>
    <row r="147" spans="16:19" ht="15.75" customHeight="1" x14ac:dyDescent="0.2">
      <c r="P147" s="1"/>
      <c r="Q147" s="1"/>
      <c r="R147" s="1"/>
      <c r="S147" s="1"/>
    </row>
    <row r="148" spans="16:19" ht="15.75" customHeight="1" x14ac:dyDescent="0.2">
      <c r="P148" s="1"/>
      <c r="Q148" s="1"/>
      <c r="R148" s="1"/>
      <c r="S148" s="1"/>
    </row>
    <row r="149" spans="16:19" ht="15.75" customHeight="1" x14ac:dyDescent="0.2">
      <c r="P149" s="1"/>
      <c r="Q149" s="1"/>
      <c r="R149" s="1"/>
      <c r="S149" s="1"/>
    </row>
    <row r="150" spans="16:19" ht="15.75" customHeight="1" x14ac:dyDescent="0.2">
      <c r="P150" s="1"/>
      <c r="Q150" s="1"/>
      <c r="R150" s="1"/>
      <c r="S150" s="1"/>
    </row>
    <row r="151" spans="16:19" ht="15.75" customHeight="1" x14ac:dyDescent="0.2">
      <c r="P151" s="1"/>
      <c r="Q151" s="1"/>
      <c r="R151" s="1"/>
      <c r="S151" s="1"/>
    </row>
    <row r="152" spans="16:19" ht="15.75" customHeight="1" x14ac:dyDescent="0.2">
      <c r="P152" s="1"/>
      <c r="Q152" s="1"/>
      <c r="R152" s="1"/>
      <c r="S152" s="1"/>
    </row>
    <row r="153" spans="16:19" ht="15.75" customHeight="1" x14ac:dyDescent="0.2">
      <c r="P153" s="1"/>
      <c r="Q153" s="1"/>
      <c r="R153" s="1"/>
      <c r="S153" s="1"/>
    </row>
    <row r="154" spans="16:19" ht="15.75" customHeight="1" x14ac:dyDescent="0.2">
      <c r="P154" s="1"/>
      <c r="Q154" s="1"/>
      <c r="R154" s="1"/>
      <c r="S154" s="1"/>
    </row>
    <row r="155" spans="16:19" ht="15.75" customHeight="1" x14ac:dyDescent="0.2">
      <c r="P155" s="1"/>
      <c r="Q155" s="1"/>
      <c r="R155" s="1"/>
      <c r="S155" s="1"/>
    </row>
    <row r="156" spans="16:19" ht="15.75" customHeight="1" x14ac:dyDescent="0.2">
      <c r="P156" s="1"/>
      <c r="Q156" s="1"/>
      <c r="R156" s="1"/>
      <c r="S156" s="1"/>
    </row>
    <row r="157" spans="16:19" ht="15.75" customHeight="1" x14ac:dyDescent="0.2">
      <c r="P157" s="1"/>
      <c r="Q157" s="1"/>
      <c r="R157" s="1"/>
      <c r="S157" s="1"/>
    </row>
    <row r="158" spans="16:19" ht="15.75" customHeight="1" x14ac:dyDescent="0.2">
      <c r="P158" s="1"/>
      <c r="Q158" s="1"/>
      <c r="R158" s="1"/>
      <c r="S158" s="1"/>
    </row>
    <row r="159" spans="16:19" ht="15.75" customHeight="1" x14ac:dyDescent="0.2">
      <c r="P159" s="1"/>
      <c r="Q159" s="1"/>
      <c r="R159" s="1"/>
      <c r="S159" s="1"/>
    </row>
    <row r="160" spans="16:19" ht="15.75" customHeight="1" x14ac:dyDescent="0.2">
      <c r="P160" s="1"/>
      <c r="Q160" s="1"/>
      <c r="R160" s="1"/>
      <c r="S160" s="1"/>
    </row>
    <row r="161" spans="16:19" ht="15.75" customHeight="1" x14ac:dyDescent="0.2">
      <c r="P161" s="1"/>
      <c r="Q161" s="1"/>
      <c r="R161" s="1"/>
      <c r="S161" s="1"/>
    </row>
    <row r="162" spans="16:19" ht="15.75" customHeight="1" x14ac:dyDescent="0.2">
      <c r="P162" s="1"/>
      <c r="Q162" s="1"/>
      <c r="R162" s="1"/>
      <c r="S162" s="1"/>
    </row>
    <row r="163" spans="16:19" ht="15.75" customHeight="1" x14ac:dyDescent="0.2">
      <c r="P163" s="1"/>
      <c r="Q163" s="1"/>
      <c r="R163" s="1"/>
      <c r="S163" s="1"/>
    </row>
    <row r="164" spans="16:19" ht="15.75" customHeight="1" x14ac:dyDescent="0.2">
      <c r="P164" s="1"/>
      <c r="Q164" s="1"/>
      <c r="R164" s="1"/>
      <c r="S164" s="1"/>
    </row>
    <row r="165" spans="16:19" ht="15.75" customHeight="1" x14ac:dyDescent="0.2">
      <c r="P165" s="1"/>
      <c r="Q165" s="1"/>
      <c r="R165" s="1"/>
      <c r="S165" s="1"/>
    </row>
    <row r="166" spans="16:19" ht="15.75" customHeight="1" x14ac:dyDescent="0.2">
      <c r="P166" s="1"/>
      <c r="Q166" s="1"/>
      <c r="R166" s="1"/>
      <c r="S166" s="1"/>
    </row>
    <row r="167" spans="16:19" ht="15.75" customHeight="1" x14ac:dyDescent="0.2">
      <c r="P167" s="1"/>
      <c r="Q167" s="1"/>
      <c r="R167" s="1"/>
      <c r="S167" s="1"/>
    </row>
    <row r="168" spans="16:19" ht="15.75" customHeight="1" x14ac:dyDescent="0.2">
      <c r="P168" s="1"/>
      <c r="Q168" s="1"/>
      <c r="R168" s="1"/>
      <c r="S168" s="1"/>
    </row>
    <row r="169" spans="16:19" ht="15.75" customHeight="1" x14ac:dyDescent="0.2">
      <c r="P169" s="1"/>
      <c r="Q169" s="1"/>
      <c r="R169" s="1"/>
      <c r="S169" s="1"/>
    </row>
    <row r="170" spans="16:19" ht="15.75" customHeight="1" x14ac:dyDescent="0.2">
      <c r="P170" s="1"/>
      <c r="Q170" s="1"/>
      <c r="R170" s="1"/>
      <c r="S170" s="1"/>
    </row>
    <row r="171" spans="16:19" ht="15.75" customHeight="1" x14ac:dyDescent="0.2">
      <c r="P171" s="1"/>
      <c r="Q171" s="1"/>
      <c r="R171" s="1"/>
      <c r="S171" s="1"/>
    </row>
    <row r="172" spans="16:19" ht="15.75" customHeight="1" x14ac:dyDescent="0.2">
      <c r="P172" s="1"/>
      <c r="Q172" s="1"/>
      <c r="R172" s="1"/>
      <c r="S172" s="1"/>
    </row>
    <row r="173" spans="16:19" ht="15.75" customHeight="1" x14ac:dyDescent="0.2">
      <c r="P173" s="1"/>
      <c r="Q173" s="1"/>
      <c r="R173" s="1"/>
      <c r="S173" s="1"/>
    </row>
    <row r="174" spans="16:19" ht="15.75" customHeight="1" x14ac:dyDescent="0.2">
      <c r="P174" s="1"/>
      <c r="Q174" s="1"/>
      <c r="R174" s="1"/>
      <c r="S174" s="1"/>
    </row>
    <row r="175" spans="16:19" ht="15.75" customHeight="1" x14ac:dyDescent="0.2">
      <c r="P175" s="1"/>
      <c r="Q175" s="1"/>
      <c r="R175" s="1"/>
      <c r="S175" s="1"/>
    </row>
    <row r="176" spans="16:19" ht="15.75" customHeight="1" x14ac:dyDescent="0.2">
      <c r="P176" s="1"/>
      <c r="Q176" s="1"/>
      <c r="R176" s="1"/>
      <c r="S176" s="1"/>
    </row>
    <row r="177" spans="16:19" ht="15.75" customHeight="1" x14ac:dyDescent="0.2">
      <c r="P177" s="1"/>
      <c r="Q177" s="1"/>
      <c r="R177" s="1"/>
      <c r="S177" s="1"/>
    </row>
    <row r="178" spans="16:19" ht="15.75" customHeight="1" x14ac:dyDescent="0.2">
      <c r="P178" s="1"/>
      <c r="Q178" s="1"/>
      <c r="R178" s="1"/>
      <c r="S178" s="1"/>
    </row>
    <row r="179" spans="16:19" ht="15.75" customHeight="1" x14ac:dyDescent="0.2">
      <c r="P179" s="1"/>
      <c r="Q179" s="1"/>
      <c r="R179" s="1"/>
      <c r="S179" s="1"/>
    </row>
    <row r="180" spans="16:19" ht="15.75" customHeight="1" x14ac:dyDescent="0.2">
      <c r="P180" s="1"/>
      <c r="Q180" s="1"/>
      <c r="R180" s="1"/>
      <c r="S180" s="1"/>
    </row>
    <row r="181" spans="16:19" ht="15.75" customHeight="1" x14ac:dyDescent="0.2">
      <c r="P181" s="1"/>
      <c r="Q181" s="1"/>
      <c r="R181" s="1"/>
      <c r="S181" s="1"/>
    </row>
    <row r="182" spans="16:19" ht="15.75" customHeight="1" x14ac:dyDescent="0.2">
      <c r="P182" s="1"/>
      <c r="Q182" s="1"/>
      <c r="R182" s="1"/>
      <c r="S182" s="1"/>
    </row>
    <row r="183" spans="16:19" ht="15.75" customHeight="1" x14ac:dyDescent="0.2">
      <c r="P183" s="1"/>
      <c r="Q183" s="1"/>
      <c r="R183" s="1"/>
      <c r="S183" s="1"/>
    </row>
    <row r="184" spans="16:19" ht="15.75" customHeight="1" x14ac:dyDescent="0.2">
      <c r="P184" s="1"/>
      <c r="Q184" s="1"/>
      <c r="R184" s="1"/>
      <c r="S184" s="1"/>
    </row>
    <row r="185" spans="16:19" ht="15.75" customHeight="1" x14ac:dyDescent="0.2">
      <c r="P185" s="1"/>
      <c r="Q185" s="1"/>
      <c r="R185" s="1"/>
      <c r="S185" s="1"/>
    </row>
    <row r="186" spans="16:19" ht="15.75" customHeight="1" x14ac:dyDescent="0.2">
      <c r="P186" s="1"/>
      <c r="Q186" s="1"/>
      <c r="R186" s="1"/>
      <c r="S186" s="1"/>
    </row>
    <row r="187" spans="16:19" ht="15.75" customHeight="1" x14ac:dyDescent="0.2">
      <c r="P187" s="1"/>
      <c r="Q187" s="1"/>
      <c r="R187" s="1"/>
      <c r="S187" s="1"/>
    </row>
    <row r="188" spans="16:19" ht="15.75" customHeight="1" x14ac:dyDescent="0.2">
      <c r="P188" s="1"/>
      <c r="Q188" s="1"/>
      <c r="R188" s="1"/>
      <c r="S188" s="1"/>
    </row>
    <row r="189" spans="16:19" ht="15.75" customHeight="1" x14ac:dyDescent="0.2">
      <c r="P189" s="1"/>
      <c r="Q189" s="1"/>
      <c r="R189" s="1"/>
      <c r="S189" s="1"/>
    </row>
    <row r="190" spans="16:19" ht="15.75" customHeight="1" x14ac:dyDescent="0.2">
      <c r="P190" s="1"/>
      <c r="Q190" s="1"/>
      <c r="R190" s="1"/>
      <c r="S190" s="1"/>
    </row>
    <row r="191" spans="16:19" ht="15.75" customHeight="1" x14ac:dyDescent="0.2">
      <c r="P191" s="1"/>
      <c r="Q191" s="1"/>
      <c r="R191" s="1"/>
      <c r="S191" s="1"/>
    </row>
    <row r="192" spans="16:19" ht="15.75" customHeight="1" x14ac:dyDescent="0.2">
      <c r="P192" s="1"/>
      <c r="Q192" s="1"/>
      <c r="R192" s="1"/>
      <c r="S192" s="1"/>
    </row>
    <row r="193" spans="16:19" ht="15.75" customHeight="1" x14ac:dyDescent="0.2">
      <c r="P193" s="1"/>
      <c r="Q193" s="1"/>
      <c r="R193" s="1"/>
      <c r="S193" s="1"/>
    </row>
    <row r="194" spans="16:19" ht="15.75" customHeight="1" x14ac:dyDescent="0.2">
      <c r="P194" s="1"/>
      <c r="Q194" s="1"/>
      <c r="R194" s="1"/>
      <c r="S194" s="1"/>
    </row>
    <row r="195" spans="16:19" ht="15.75" customHeight="1" x14ac:dyDescent="0.2">
      <c r="P195" s="1"/>
      <c r="Q195" s="1"/>
      <c r="R195" s="1"/>
      <c r="S195" s="1"/>
    </row>
    <row r="196" spans="16:19" ht="15.75" customHeight="1" x14ac:dyDescent="0.2">
      <c r="P196" s="1"/>
      <c r="Q196" s="1"/>
      <c r="R196" s="1"/>
      <c r="S196" s="1"/>
    </row>
    <row r="197" spans="16:19" ht="15.75" customHeight="1" x14ac:dyDescent="0.2">
      <c r="P197" s="1"/>
      <c r="Q197" s="1"/>
      <c r="R197" s="1"/>
      <c r="S197" s="1"/>
    </row>
    <row r="198" spans="16:19" ht="15.75" customHeight="1" x14ac:dyDescent="0.2">
      <c r="P198" s="1"/>
      <c r="Q198" s="1"/>
      <c r="R198" s="1"/>
      <c r="S198" s="1"/>
    </row>
    <row r="199" spans="16:19" ht="15.75" customHeight="1" x14ac:dyDescent="0.2">
      <c r="P199" s="1"/>
      <c r="Q199" s="1"/>
      <c r="R199" s="1"/>
      <c r="S199" s="1"/>
    </row>
    <row r="200" spans="16:19" ht="15.75" customHeight="1" x14ac:dyDescent="0.2">
      <c r="P200" s="1"/>
      <c r="Q200" s="1"/>
      <c r="R200" s="1"/>
      <c r="S200" s="1"/>
    </row>
    <row r="201" spans="16:19" ht="15.75" customHeight="1" x14ac:dyDescent="0.2">
      <c r="P201" s="1"/>
      <c r="Q201" s="1"/>
      <c r="R201" s="1"/>
      <c r="S201" s="1"/>
    </row>
    <row r="202" spans="16:19" ht="15.75" customHeight="1" x14ac:dyDescent="0.2">
      <c r="P202" s="1"/>
      <c r="Q202" s="1"/>
      <c r="R202" s="1"/>
      <c r="S202" s="1"/>
    </row>
    <row r="203" spans="16:19" ht="15.75" customHeight="1" x14ac:dyDescent="0.2">
      <c r="P203" s="1"/>
      <c r="Q203" s="1"/>
      <c r="R203" s="1"/>
      <c r="S203" s="1"/>
    </row>
    <row r="204" spans="16:19" ht="15.75" customHeight="1" x14ac:dyDescent="0.2">
      <c r="P204" s="1"/>
      <c r="Q204" s="1"/>
      <c r="R204" s="1"/>
      <c r="S204" s="1"/>
    </row>
    <row r="205" spans="16:19" ht="15.75" customHeight="1" x14ac:dyDescent="0.2">
      <c r="P205" s="1"/>
      <c r="Q205" s="1"/>
      <c r="R205" s="1"/>
      <c r="S205" s="1"/>
    </row>
    <row r="206" spans="16:19" ht="15.75" customHeight="1" x14ac:dyDescent="0.2">
      <c r="P206" s="1"/>
      <c r="Q206" s="1"/>
      <c r="R206" s="1"/>
      <c r="S206" s="1"/>
    </row>
    <row r="207" spans="16:19" ht="15.75" customHeight="1" x14ac:dyDescent="0.2">
      <c r="P207" s="1"/>
      <c r="Q207" s="1"/>
      <c r="R207" s="1"/>
      <c r="S207" s="1"/>
    </row>
    <row r="208" spans="16:19" ht="15.75" customHeight="1" x14ac:dyDescent="0.2">
      <c r="P208" s="1"/>
      <c r="Q208" s="1"/>
      <c r="R208" s="1"/>
      <c r="S208" s="1"/>
    </row>
    <row r="209" spans="16:19" ht="15.75" customHeight="1" x14ac:dyDescent="0.2">
      <c r="P209" s="1"/>
      <c r="Q209" s="1"/>
      <c r="R209" s="1"/>
      <c r="S209" s="1"/>
    </row>
    <row r="210" spans="16:19" ht="15.75" customHeight="1" x14ac:dyDescent="0.2">
      <c r="P210" s="1"/>
      <c r="Q210" s="1"/>
      <c r="R210" s="1"/>
      <c r="S210" s="1"/>
    </row>
    <row r="211" spans="16:19" ht="15.75" customHeight="1" x14ac:dyDescent="0.2">
      <c r="P211" s="1"/>
      <c r="Q211" s="1"/>
      <c r="R211" s="1"/>
      <c r="S211" s="1"/>
    </row>
    <row r="212" spans="16:19" ht="15.75" customHeight="1" x14ac:dyDescent="0.2">
      <c r="P212" s="1"/>
      <c r="Q212" s="1"/>
      <c r="R212" s="1"/>
      <c r="S212" s="1"/>
    </row>
    <row r="213" spans="16:19" ht="15.75" customHeight="1" x14ac:dyDescent="0.2">
      <c r="P213" s="1"/>
      <c r="Q213" s="1"/>
      <c r="R213" s="1"/>
      <c r="S213" s="1"/>
    </row>
    <row r="214" spans="16:19" ht="15.75" customHeight="1" x14ac:dyDescent="0.2">
      <c r="P214" s="1"/>
      <c r="Q214" s="1"/>
      <c r="R214" s="1"/>
      <c r="S214" s="1"/>
    </row>
    <row r="215" spans="16:19" ht="15.75" customHeight="1" x14ac:dyDescent="0.2">
      <c r="P215" s="1"/>
      <c r="Q215" s="1"/>
      <c r="R215" s="1"/>
      <c r="S215" s="1"/>
    </row>
    <row r="216" spans="16:19" ht="15.75" customHeight="1" x14ac:dyDescent="0.2">
      <c r="P216" s="1"/>
      <c r="Q216" s="1"/>
      <c r="R216" s="1"/>
      <c r="S216" s="1"/>
    </row>
    <row r="217" spans="16:19" ht="15.75" customHeight="1" x14ac:dyDescent="0.2">
      <c r="P217" s="1"/>
      <c r="Q217" s="1"/>
      <c r="R217" s="1"/>
      <c r="S217" s="1"/>
    </row>
    <row r="218" spans="16:19" ht="15.75" customHeight="1" x14ac:dyDescent="0.2">
      <c r="P218" s="1"/>
      <c r="Q218" s="1"/>
      <c r="R218" s="1"/>
      <c r="S218" s="1"/>
    </row>
    <row r="219" spans="16:19" ht="15.75" customHeight="1" x14ac:dyDescent="0.2">
      <c r="P219" s="1"/>
      <c r="Q219" s="1"/>
      <c r="R219" s="1"/>
      <c r="S219" s="1"/>
    </row>
    <row r="220" spans="16:19" ht="15.75" customHeight="1" x14ac:dyDescent="0.2">
      <c r="P220" s="1"/>
      <c r="Q220" s="1"/>
      <c r="R220" s="1"/>
      <c r="S220" s="1"/>
    </row>
    <row r="221" spans="16:19" ht="15.75" customHeight="1" x14ac:dyDescent="0.2">
      <c r="P221" s="1"/>
      <c r="Q221" s="1"/>
      <c r="R221" s="1"/>
      <c r="S221" s="1"/>
    </row>
    <row r="222" spans="16:19" ht="15.75" customHeight="1" x14ac:dyDescent="0.2">
      <c r="P222" s="1"/>
      <c r="Q222" s="1"/>
      <c r="R222" s="1"/>
      <c r="S222" s="1"/>
    </row>
    <row r="223" spans="16:19" ht="15.75" customHeight="1" x14ac:dyDescent="0.2">
      <c r="P223" s="1"/>
      <c r="Q223" s="1"/>
      <c r="R223" s="1"/>
      <c r="S223" s="1"/>
    </row>
    <row r="224" spans="16:19" ht="15.75" customHeight="1" x14ac:dyDescent="0.2">
      <c r="P224" s="1"/>
      <c r="Q224" s="1"/>
      <c r="R224" s="1"/>
      <c r="S224" s="1"/>
    </row>
    <row r="225" spans="16:19" ht="15.75" customHeight="1" x14ac:dyDescent="0.2">
      <c r="P225" s="1"/>
      <c r="Q225" s="1"/>
      <c r="R225" s="1"/>
      <c r="S225" s="1"/>
    </row>
    <row r="226" spans="16:19" ht="15.75" customHeight="1" x14ac:dyDescent="0.2">
      <c r="P226" s="1"/>
      <c r="Q226" s="1"/>
      <c r="R226" s="1"/>
      <c r="S226" s="1"/>
    </row>
    <row r="227" spans="16:19" ht="15.75" customHeight="1" x14ac:dyDescent="0.2">
      <c r="P227" s="1"/>
      <c r="Q227" s="1"/>
      <c r="R227" s="1"/>
      <c r="S227" s="1"/>
    </row>
    <row r="228" spans="16:19" ht="15.75" customHeight="1" x14ac:dyDescent="0.2">
      <c r="P228" s="1"/>
      <c r="Q228" s="1"/>
      <c r="R228" s="1"/>
      <c r="S228" s="1"/>
    </row>
    <row r="229" spans="16:19" ht="15.75" customHeight="1" x14ac:dyDescent="0.2">
      <c r="P229" s="1"/>
      <c r="Q229" s="1"/>
      <c r="R229" s="1"/>
      <c r="S229" s="1"/>
    </row>
    <row r="230" spans="16:19" ht="15.75" customHeight="1" x14ac:dyDescent="0.2">
      <c r="P230" s="1"/>
      <c r="Q230" s="1"/>
      <c r="R230" s="1"/>
      <c r="S230" s="1"/>
    </row>
    <row r="231" spans="16:19" ht="15.75" customHeight="1" x14ac:dyDescent="0.2">
      <c r="P231" s="1"/>
      <c r="Q231" s="1"/>
      <c r="R231" s="1"/>
      <c r="S231" s="1"/>
    </row>
    <row r="232" spans="16:19" ht="15.75" customHeight="1" x14ac:dyDescent="0.2">
      <c r="P232" s="1"/>
      <c r="Q232" s="1"/>
      <c r="R232" s="1"/>
      <c r="S232" s="1"/>
    </row>
    <row r="233" spans="16:19" ht="15.75" customHeight="1" x14ac:dyDescent="0.2">
      <c r="P233" s="1"/>
      <c r="Q233" s="1"/>
      <c r="R233" s="1"/>
      <c r="S233" s="1"/>
    </row>
    <row r="234" spans="16:19" ht="15.75" customHeight="1" x14ac:dyDescent="0.2">
      <c r="P234" s="1"/>
      <c r="Q234" s="1"/>
      <c r="R234" s="1"/>
      <c r="S234" s="1"/>
    </row>
    <row r="235" spans="16:19" ht="15.75" customHeight="1" x14ac:dyDescent="0.2">
      <c r="P235" s="1"/>
      <c r="Q235" s="1"/>
      <c r="R235" s="1"/>
      <c r="S235" s="1"/>
    </row>
    <row r="236" spans="16:19" ht="15.75" customHeight="1" x14ac:dyDescent="0.2">
      <c r="P236" s="1"/>
      <c r="Q236" s="1"/>
      <c r="R236" s="1"/>
      <c r="S236" s="1"/>
    </row>
    <row r="237" spans="16:19" ht="15.75" customHeight="1" x14ac:dyDescent="0.2">
      <c r="P237" s="1"/>
      <c r="Q237" s="1"/>
      <c r="R237" s="1"/>
      <c r="S237" s="1"/>
    </row>
    <row r="238" spans="16:19" ht="15.75" customHeight="1" x14ac:dyDescent="0.2">
      <c r="P238" s="1"/>
      <c r="Q238" s="1"/>
      <c r="R238" s="1"/>
      <c r="S238" s="1"/>
    </row>
    <row r="239" spans="16:19" ht="15.75" customHeight="1" x14ac:dyDescent="0.2">
      <c r="P239" s="1"/>
      <c r="Q239" s="1"/>
      <c r="R239" s="1"/>
      <c r="S239" s="1"/>
    </row>
    <row r="240" spans="16:19" ht="15.75" customHeight="1" x14ac:dyDescent="0.2">
      <c r="P240" s="1"/>
      <c r="Q240" s="1"/>
      <c r="R240" s="1"/>
      <c r="S240" s="1"/>
    </row>
    <row r="241" spans="16:19" ht="15.75" customHeight="1" x14ac:dyDescent="0.2">
      <c r="P241" s="1"/>
      <c r="Q241" s="1"/>
      <c r="R241" s="1"/>
      <c r="S241" s="1"/>
    </row>
    <row r="242" spans="16:19" ht="15.75" customHeight="1" x14ac:dyDescent="0.2">
      <c r="P242" s="1"/>
      <c r="Q242" s="1"/>
      <c r="R242" s="1"/>
      <c r="S242" s="1"/>
    </row>
    <row r="243" spans="16:19" ht="15.75" customHeight="1" x14ac:dyDescent="0.2"/>
    <row r="244" spans="16:19" ht="15.75" customHeight="1" x14ac:dyDescent="0.2"/>
    <row r="245" spans="16:19" ht="15.75" customHeight="1" x14ac:dyDescent="0.2"/>
    <row r="246" spans="16:19" ht="15.75" customHeight="1" x14ac:dyDescent="0.2"/>
    <row r="247" spans="16:19" ht="15.75" customHeight="1" x14ac:dyDescent="0.2"/>
    <row r="248" spans="16:19" ht="15.75" customHeight="1" x14ac:dyDescent="0.2"/>
    <row r="249" spans="16:19" ht="15.75" customHeight="1" x14ac:dyDescent="0.2"/>
    <row r="250" spans="16:19" ht="15.75" customHeight="1" x14ac:dyDescent="0.2"/>
    <row r="251" spans="16:19" ht="15.75" customHeight="1" x14ac:dyDescent="0.2"/>
    <row r="252" spans="16:19" ht="15.75" customHeight="1" x14ac:dyDescent="0.2"/>
    <row r="253" spans="16:19" ht="15.75" customHeight="1" x14ac:dyDescent="0.2"/>
    <row r="254" spans="16:19" ht="15.75" customHeight="1" x14ac:dyDescent="0.2"/>
    <row r="255" spans="16:19" ht="15.75" customHeight="1" x14ac:dyDescent="0.2"/>
    <row r="256" spans="16:19"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56">
    <mergeCell ref="C28:H28"/>
    <mergeCell ref="J28:K28"/>
    <mergeCell ref="L28:M28"/>
    <mergeCell ref="N28:O28"/>
    <mergeCell ref="J29:K29"/>
    <mergeCell ref="L29:M29"/>
    <mergeCell ref="N29:O29"/>
    <mergeCell ref="C29:H29"/>
    <mergeCell ref="C30:H30"/>
    <mergeCell ref="J30:K30"/>
    <mergeCell ref="L30:M30"/>
    <mergeCell ref="N30:O30"/>
    <mergeCell ref="C31:H31"/>
    <mergeCell ref="C32:H32"/>
    <mergeCell ref="J40:K40"/>
    <mergeCell ref="J41:K41"/>
    <mergeCell ref="L41:M41"/>
    <mergeCell ref="N41:O41"/>
    <mergeCell ref="C42:H42"/>
    <mergeCell ref="J42:K42"/>
    <mergeCell ref="L42:M42"/>
    <mergeCell ref="N42:O42"/>
    <mergeCell ref="C38:H38"/>
    <mergeCell ref="C39:H39"/>
    <mergeCell ref="J39:K39"/>
    <mergeCell ref="L39:M39"/>
    <mergeCell ref="N39:O39"/>
    <mergeCell ref="C40:H40"/>
    <mergeCell ref="C41:H41"/>
    <mergeCell ref="L31:M31"/>
    <mergeCell ref="N31:O31"/>
    <mergeCell ref="J31:K31"/>
    <mergeCell ref="J32:K32"/>
    <mergeCell ref="L32:M32"/>
    <mergeCell ref="N32:O32"/>
    <mergeCell ref="L40:M40"/>
    <mergeCell ref="J26:K26"/>
    <mergeCell ref="J27:K27"/>
    <mergeCell ref="L27:M27"/>
    <mergeCell ref="N27:O27"/>
    <mergeCell ref="C24:H24"/>
    <mergeCell ref="C25:H25"/>
    <mergeCell ref="J25:K25"/>
    <mergeCell ref="L25:M25"/>
    <mergeCell ref="N25:O25"/>
    <mergeCell ref="C26:H26"/>
    <mergeCell ref="C27:H27"/>
    <mergeCell ref="J24:K24"/>
    <mergeCell ref="L24:M24"/>
    <mergeCell ref="L26:M26"/>
    <mergeCell ref="N26:O26"/>
    <mergeCell ref="N40:O40"/>
    <mergeCell ref="A1:K3"/>
    <mergeCell ref="L1:M3"/>
    <mergeCell ref="N1:O1"/>
    <mergeCell ref="N2:O3"/>
    <mergeCell ref="J5:K5"/>
    <mergeCell ref="L5:M5"/>
    <mergeCell ref="N5:O5"/>
    <mergeCell ref="L7:M7"/>
    <mergeCell ref="N7:O7"/>
    <mergeCell ref="J7:K7"/>
    <mergeCell ref="J8:K8"/>
    <mergeCell ref="L8:M8"/>
    <mergeCell ref="N8:O8"/>
    <mergeCell ref="C5:H5"/>
    <mergeCell ref="C6:H6"/>
    <mergeCell ref="J6:K6"/>
    <mergeCell ref="L6:M6"/>
    <mergeCell ref="N6:O6"/>
    <mergeCell ref="C7:H7"/>
    <mergeCell ref="C8:H8"/>
    <mergeCell ref="L12:M12"/>
    <mergeCell ref="N12:O12"/>
    <mergeCell ref="J12:K12"/>
    <mergeCell ref="J13:K13"/>
    <mergeCell ref="C14:H14"/>
    <mergeCell ref="J14:K14"/>
    <mergeCell ref="L14:M14"/>
    <mergeCell ref="N14:O14"/>
    <mergeCell ref="J15:K15"/>
    <mergeCell ref="L15:M15"/>
    <mergeCell ref="N15:O15"/>
    <mergeCell ref="C15:H15"/>
    <mergeCell ref="C16:H16"/>
    <mergeCell ref="J16:K16"/>
    <mergeCell ref="L16:M16"/>
    <mergeCell ref="N16:O16"/>
    <mergeCell ref="C17:H17"/>
    <mergeCell ref="C18:H18"/>
    <mergeCell ref="C19:H19"/>
    <mergeCell ref="J19:K19"/>
    <mergeCell ref="L19:M19"/>
    <mergeCell ref="N19:O19"/>
    <mergeCell ref="J18:K18"/>
    <mergeCell ref="L18:M18"/>
    <mergeCell ref="N18:O18"/>
    <mergeCell ref="J20:K20"/>
    <mergeCell ref="L20:M20"/>
    <mergeCell ref="N20:O20"/>
    <mergeCell ref="C20:H20"/>
    <mergeCell ref="C21:H21"/>
    <mergeCell ref="J21:K21"/>
    <mergeCell ref="L21:M21"/>
    <mergeCell ref="N21:O21"/>
    <mergeCell ref="C22:H22"/>
    <mergeCell ref="J22:K22"/>
    <mergeCell ref="L22:M22"/>
    <mergeCell ref="N22:O22"/>
    <mergeCell ref="C23:H23"/>
    <mergeCell ref="J23:K23"/>
    <mergeCell ref="L23:M23"/>
    <mergeCell ref="N23:O23"/>
    <mergeCell ref="N24:O24"/>
    <mergeCell ref="C9:H9"/>
    <mergeCell ref="J9:K9"/>
    <mergeCell ref="L9:M9"/>
    <mergeCell ref="N9:O9"/>
    <mergeCell ref="J10:K10"/>
    <mergeCell ref="L10:M10"/>
    <mergeCell ref="N10:O10"/>
    <mergeCell ref="L13:M13"/>
    <mergeCell ref="N13:O13"/>
    <mergeCell ref="C10:H10"/>
    <mergeCell ref="C11:H11"/>
    <mergeCell ref="J11:K11"/>
    <mergeCell ref="L11:M11"/>
    <mergeCell ref="N11:O11"/>
    <mergeCell ref="C12:H12"/>
    <mergeCell ref="C13:H13"/>
    <mergeCell ref="L17:M17"/>
    <mergeCell ref="N17:O17"/>
    <mergeCell ref="J17:K17"/>
    <mergeCell ref="C33:H33"/>
    <mergeCell ref="J33:K33"/>
    <mergeCell ref="L33:M33"/>
    <mergeCell ref="N33:O33"/>
    <mergeCell ref="J34:K34"/>
    <mergeCell ref="L34:M34"/>
    <mergeCell ref="N34:O34"/>
    <mergeCell ref="C34:H34"/>
    <mergeCell ref="C35:H35"/>
    <mergeCell ref="J35:K35"/>
    <mergeCell ref="L35:M35"/>
    <mergeCell ref="N35:O35"/>
    <mergeCell ref="C36:H36"/>
    <mergeCell ref="J36:K36"/>
    <mergeCell ref="J38:K38"/>
    <mergeCell ref="L38:M38"/>
    <mergeCell ref="L36:M36"/>
    <mergeCell ref="N36:O36"/>
    <mergeCell ref="C37:H37"/>
    <mergeCell ref="J37:K37"/>
    <mergeCell ref="L37:M37"/>
    <mergeCell ref="N37:O37"/>
    <mergeCell ref="N38:O38"/>
  </mergeCells>
  <pageMargins left="0.7" right="0.7" top="0.75" bottom="0.75" header="0" footer="0"/>
  <pageSetup scale="5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AA636-1F46-4BBC-A5BE-13781ED68082}">
  <dimension ref="A1:L235"/>
  <sheetViews>
    <sheetView view="pageBreakPreview" topLeftCell="A73" zoomScale="130" zoomScaleNormal="100" zoomScaleSheetLayoutView="130" workbookViewId="0">
      <selection activeCell="A5" sqref="A5:L6"/>
    </sheetView>
  </sheetViews>
  <sheetFormatPr baseColWidth="10" defaultRowHeight="12.75" x14ac:dyDescent="0.2"/>
  <sheetData>
    <row r="1" spans="1:12" x14ac:dyDescent="0.2">
      <c r="A1" s="538" t="str">
        <f>Indice!$A$1</f>
        <v>OPTIMIZACIÓN DE SISTEMA DE ACUEDUCTO DE LA ZONA URBANA DEL MUNICIPIO DE VILLAVIEJA Y LOS CENTROS POBLADOS POTOSÍ, HATO NUEVO, POLONIA Y SAN ALFONSO DEL MUNICIPIO DE VILLAVIEJA, DEPARTAMENTO DEL HUILA</v>
      </c>
      <c r="B1" s="539"/>
      <c r="C1" s="539"/>
      <c r="D1" s="539"/>
      <c r="E1" s="539"/>
      <c r="F1" s="539"/>
      <c r="G1" s="539"/>
      <c r="H1" s="539"/>
      <c r="I1" s="539"/>
      <c r="J1" s="540"/>
      <c r="K1" s="287" t="s">
        <v>74</v>
      </c>
      <c r="L1" s="273"/>
    </row>
    <row r="2" spans="1:12" x14ac:dyDescent="0.2">
      <c r="A2" s="538"/>
      <c r="B2" s="539"/>
      <c r="C2" s="539"/>
      <c r="D2" s="539"/>
      <c r="E2" s="539"/>
      <c r="F2" s="539"/>
      <c r="G2" s="539"/>
      <c r="H2" s="539"/>
      <c r="I2" s="539"/>
      <c r="J2" s="540"/>
      <c r="K2" s="381">
        <f>Indice!$L$1</f>
        <v>46203</v>
      </c>
      <c r="L2" s="276"/>
    </row>
    <row r="3" spans="1:12" x14ac:dyDescent="0.2">
      <c r="A3" s="538"/>
      <c r="B3" s="539"/>
      <c r="C3" s="539"/>
      <c r="D3" s="539"/>
      <c r="E3" s="539"/>
      <c r="F3" s="539"/>
      <c r="G3" s="539"/>
      <c r="H3" s="539"/>
      <c r="I3" s="539"/>
      <c r="J3" s="540"/>
      <c r="K3" s="277"/>
      <c r="L3" s="279"/>
    </row>
    <row r="4" spans="1:12" ht="13.5" x14ac:dyDescent="0.2">
      <c r="A4" s="32"/>
      <c r="B4" s="32"/>
      <c r="C4" s="32"/>
      <c r="D4" s="32"/>
      <c r="E4" s="32"/>
      <c r="F4" s="32"/>
      <c r="G4" s="32"/>
    </row>
    <row r="5" spans="1:12" x14ac:dyDescent="0.2">
      <c r="A5" s="531" t="s">
        <v>2575</v>
      </c>
      <c r="B5" s="315"/>
      <c r="C5" s="315"/>
      <c r="D5" s="315"/>
      <c r="E5" s="315"/>
      <c r="F5" s="315"/>
      <c r="G5" s="315"/>
      <c r="H5" s="315"/>
      <c r="I5" s="315"/>
      <c r="J5" s="315"/>
      <c r="K5" s="315"/>
      <c r="L5" s="315"/>
    </row>
    <row r="6" spans="1:12" x14ac:dyDescent="0.2">
      <c r="A6" s="501"/>
      <c r="B6" s="318"/>
      <c r="C6" s="318"/>
      <c r="D6" s="318"/>
      <c r="E6" s="318"/>
      <c r="F6" s="318"/>
      <c r="G6" s="318"/>
      <c r="H6" s="318"/>
      <c r="I6" s="318"/>
      <c r="J6" s="318"/>
      <c r="K6" s="318"/>
      <c r="L6" s="318"/>
    </row>
    <row r="8" spans="1:12" x14ac:dyDescent="0.2">
      <c r="A8" s="287" t="s">
        <v>76</v>
      </c>
      <c r="B8" s="271"/>
      <c r="C8" s="271"/>
      <c r="D8" s="311"/>
      <c r="E8" s="16" t="s">
        <v>77</v>
      </c>
      <c r="F8" s="16" t="s">
        <v>78</v>
      </c>
      <c r="G8" s="532" t="s">
        <v>2576</v>
      </c>
      <c r="H8" s="482"/>
      <c r="I8" s="287" t="s">
        <v>2579</v>
      </c>
      <c r="J8" s="271"/>
      <c r="K8" s="271"/>
      <c r="L8" s="273"/>
    </row>
    <row r="9" spans="1:12" ht="13.5" x14ac:dyDescent="0.2">
      <c r="A9" s="542" t="s">
        <v>83</v>
      </c>
      <c r="B9" s="535" t="s">
        <v>84</v>
      </c>
      <c r="C9" s="275"/>
      <c r="D9" s="276"/>
      <c r="E9" s="542" t="s">
        <v>934</v>
      </c>
      <c r="F9" s="536">
        <f>+I9</f>
        <v>20.368799999999997</v>
      </c>
      <c r="G9" s="295" t="s">
        <v>444</v>
      </c>
      <c r="H9" s="273"/>
      <c r="I9" s="28">
        <f>I10*I11*I12</f>
        <v>20.368799999999997</v>
      </c>
      <c r="J9" s="537"/>
      <c r="K9" s="275"/>
      <c r="L9" s="276"/>
    </row>
    <row r="10" spans="1:12" ht="13.5" x14ac:dyDescent="0.2">
      <c r="A10" s="534"/>
      <c r="B10" s="284"/>
      <c r="C10" s="285"/>
      <c r="D10" s="286"/>
      <c r="E10" s="534"/>
      <c r="F10" s="534"/>
      <c r="G10" s="295" t="s">
        <v>453</v>
      </c>
      <c r="H10" s="273"/>
      <c r="I10" s="28">
        <v>1</v>
      </c>
      <c r="J10" s="284"/>
      <c r="K10" s="285"/>
      <c r="L10" s="286"/>
    </row>
    <row r="11" spans="1:12" ht="13.5" x14ac:dyDescent="0.2">
      <c r="A11" s="534"/>
      <c r="B11" s="284"/>
      <c r="C11" s="285"/>
      <c r="D11" s="286"/>
      <c r="E11" s="534"/>
      <c r="F11" s="534"/>
      <c r="G11" s="295" t="s">
        <v>2583</v>
      </c>
      <c r="H11" s="273"/>
      <c r="I11" s="28">
        <v>4.92</v>
      </c>
      <c r="J11" s="284"/>
      <c r="K11" s="285"/>
      <c r="L11" s="286"/>
    </row>
    <row r="12" spans="1:12" ht="13.5" x14ac:dyDescent="0.2">
      <c r="A12" s="534"/>
      <c r="B12" s="284"/>
      <c r="C12" s="285"/>
      <c r="D12" s="286"/>
      <c r="E12" s="534"/>
      <c r="F12" s="534"/>
      <c r="G12" s="295" t="s">
        <v>2584</v>
      </c>
      <c r="H12" s="273"/>
      <c r="I12" s="28">
        <v>4.1399999999999997</v>
      </c>
      <c r="J12" s="284"/>
      <c r="K12" s="285"/>
      <c r="L12" s="286"/>
    </row>
    <row r="13" spans="1:12" ht="13.5" x14ac:dyDescent="0.2">
      <c r="A13" s="534"/>
      <c r="B13" s="284"/>
      <c r="C13" s="285"/>
      <c r="D13" s="286"/>
      <c r="E13" s="534"/>
      <c r="F13" s="534"/>
      <c r="G13" s="295" t="s">
        <v>2585</v>
      </c>
      <c r="H13" s="273"/>
      <c r="I13" s="28"/>
      <c r="J13" s="284"/>
      <c r="K13" s="285"/>
      <c r="L13" s="286"/>
    </row>
    <row r="14" spans="1:12" ht="13.5" x14ac:dyDescent="0.2">
      <c r="A14" s="534"/>
      <c r="B14" s="284"/>
      <c r="C14" s="285"/>
      <c r="D14" s="286"/>
      <c r="E14" s="534"/>
      <c r="F14" s="534"/>
      <c r="G14" s="295" t="s">
        <v>2586</v>
      </c>
      <c r="H14" s="273"/>
      <c r="I14" s="28"/>
      <c r="J14" s="284"/>
      <c r="K14" s="285"/>
      <c r="L14" s="286"/>
    </row>
    <row r="15" spans="1:12" ht="13.5" x14ac:dyDescent="0.2">
      <c r="A15" s="534"/>
      <c r="B15" s="284"/>
      <c r="C15" s="285"/>
      <c r="D15" s="286"/>
      <c r="E15" s="534"/>
      <c r="F15" s="534"/>
      <c r="G15" s="295" t="s">
        <v>2587</v>
      </c>
      <c r="H15" s="273"/>
      <c r="I15" s="28"/>
      <c r="J15" s="284"/>
      <c r="K15" s="285"/>
      <c r="L15" s="286"/>
    </row>
    <row r="16" spans="1:12" ht="13.5" x14ac:dyDescent="0.2">
      <c r="A16" s="534"/>
      <c r="B16" s="284"/>
      <c r="C16" s="285"/>
      <c r="D16" s="286"/>
      <c r="E16" s="534"/>
      <c r="F16" s="534"/>
      <c r="G16" s="295" t="s">
        <v>2588</v>
      </c>
      <c r="H16" s="273"/>
      <c r="I16" s="28"/>
      <c r="J16" s="284"/>
      <c r="K16" s="285"/>
      <c r="L16" s="286"/>
    </row>
    <row r="17" spans="1:12" ht="13.5" x14ac:dyDescent="0.2">
      <c r="A17" s="281"/>
      <c r="B17" s="277"/>
      <c r="C17" s="278"/>
      <c r="D17" s="279"/>
      <c r="E17" s="281"/>
      <c r="F17" s="281"/>
      <c r="G17" s="295" t="s">
        <v>2589</v>
      </c>
      <c r="H17" s="273"/>
      <c r="I17" s="28"/>
      <c r="J17" s="277"/>
      <c r="K17" s="278"/>
      <c r="L17" s="279"/>
    </row>
    <row r="19" spans="1:12" x14ac:dyDescent="0.2">
      <c r="A19" s="287" t="s">
        <v>76</v>
      </c>
      <c r="B19" s="271"/>
      <c r="C19" s="271"/>
      <c r="D19" s="311"/>
      <c r="E19" s="16" t="s">
        <v>77</v>
      </c>
      <c r="F19" s="16" t="s">
        <v>78</v>
      </c>
      <c r="G19" s="532" t="s">
        <v>2576</v>
      </c>
      <c r="H19" s="482"/>
      <c r="I19" s="287" t="s">
        <v>2579</v>
      </c>
      <c r="J19" s="271"/>
      <c r="K19" s="271"/>
      <c r="L19" s="273"/>
    </row>
    <row r="20" spans="1:12" ht="13.5" x14ac:dyDescent="0.2">
      <c r="A20" s="542" t="s">
        <v>87</v>
      </c>
      <c r="B20" s="535" t="s">
        <v>88</v>
      </c>
      <c r="C20" s="275"/>
      <c r="D20" s="276"/>
      <c r="E20" s="542" t="s">
        <v>258</v>
      </c>
      <c r="F20" s="536">
        <f>+I20</f>
        <v>5.4359999999999991</v>
      </c>
      <c r="G20" s="295" t="s">
        <v>444</v>
      </c>
      <c r="H20" s="273"/>
      <c r="I20" s="28">
        <f>((I22*2)+(I23*2))*1*I24</f>
        <v>5.4359999999999991</v>
      </c>
      <c r="J20" s="537"/>
      <c r="K20" s="275"/>
      <c r="L20" s="276"/>
    </row>
    <row r="21" spans="1:12" ht="13.5" x14ac:dyDescent="0.2">
      <c r="A21" s="534"/>
      <c r="B21" s="284"/>
      <c r="C21" s="285"/>
      <c r="D21" s="286"/>
      <c r="E21" s="534"/>
      <c r="F21" s="534"/>
      <c r="G21" s="295" t="s">
        <v>453</v>
      </c>
      <c r="H21" s="273"/>
      <c r="I21" s="28">
        <v>1</v>
      </c>
      <c r="J21" s="284"/>
      <c r="K21" s="285"/>
      <c r="L21" s="286"/>
    </row>
    <row r="22" spans="1:12" ht="13.5" x14ac:dyDescent="0.2">
      <c r="A22" s="534"/>
      <c r="B22" s="284"/>
      <c r="C22" s="285"/>
      <c r="D22" s="286"/>
      <c r="E22" s="534"/>
      <c r="F22" s="534"/>
      <c r="G22" s="295" t="s">
        <v>2583</v>
      </c>
      <c r="H22" s="273"/>
      <c r="I22" s="28">
        <v>4.92</v>
      </c>
      <c r="J22" s="284"/>
      <c r="K22" s="285"/>
      <c r="L22" s="286"/>
    </row>
    <row r="23" spans="1:12" ht="13.5" x14ac:dyDescent="0.2">
      <c r="A23" s="534"/>
      <c r="B23" s="284"/>
      <c r="C23" s="285"/>
      <c r="D23" s="286"/>
      <c r="E23" s="534"/>
      <c r="F23" s="534"/>
      <c r="G23" s="295" t="s">
        <v>2584</v>
      </c>
      <c r="H23" s="273"/>
      <c r="I23" s="28">
        <v>4.1399999999999997</v>
      </c>
      <c r="J23" s="284"/>
      <c r="K23" s="285"/>
      <c r="L23" s="286"/>
    </row>
    <row r="24" spans="1:12" ht="13.5" x14ac:dyDescent="0.2">
      <c r="A24" s="534"/>
      <c r="B24" s="284"/>
      <c r="C24" s="285"/>
      <c r="D24" s="286"/>
      <c r="E24" s="534"/>
      <c r="F24" s="534"/>
      <c r="G24" s="295" t="s">
        <v>2585</v>
      </c>
      <c r="H24" s="273"/>
      <c r="I24" s="28">
        <v>0.3</v>
      </c>
      <c r="J24" s="284"/>
      <c r="K24" s="285"/>
      <c r="L24" s="286"/>
    </row>
    <row r="25" spans="1:12" ht="13.5" x14ac:dyDescent="0.2">
      <c r="A25" s="534"/>
      <c r="B25" s="284"/>
      <c r="C25" s="285"/>
      <c r="D25" s="286"/>
      <c r="E25" s="534"/>
      <c r="F25" s="534"/>
      <c r="G25" s="295" t="s">
        <v>2586</v>
      </c>
      <c r="H25" s="273"/>
      <c r="I25" s="28"/>
      <c r="J25" s="284"/>
      <c r="K25" s="285"/>
      <c r="L25" s="286"/>
    </row>
    <row r="26" spans="1:12" ht="13.5" x14ac:dyDescent="0.2">
      <c r="A26" s="534"/>
      <c r="B26" s="284"/>
      <c r="C26" s="285"/>
      <c r="D26" s="286"/>
      <c r="E26" s="534"/>
      <c r="F26" s="534"/>
      <c r="G26" s="295" t="s">
        <v>2587</v>
      </c>
      <c r="H26" s="273"/>
      <c r="I26" s="28"/>
      <c r="J26" s="284"/>
      <c r="K26" s="285"/>
      <c r="L26" s="286"/>
    </row>
    <row r="27" spans="1:12" ht="13.5" x14ac:dyDescent="0.2">
      <c r="A27" s="534"/>
      <c r="B27" s="284"/>
      <c r="C27" s="285"/>
      <c r="D27" s="286"/>
      <c r="E27" s="534"/>
      <c r="F27" s="534"/>
      <c r="G27" s="295" t="s">
        <v>2590</v>
      </c>
      <c r="H27" s="273"/>
      <c r="I27" s="28"/>
      <c r="J27" s="284"/>
      <c r="K27" s="285"/>
      <c r="L27" s="286"/>
    </row>
    <row r="28" spans="1:12" ht="13.5" x14ac:dyDescent="0.2">
      <c r="A28" s="281"/>
      <c r="B28" s="277"/>
      <c r="C28" s="278"/>
      <c r="D28" s="279"/>
      <c r="E28" s="281"/>
      <c r="F28" s="281"/>
      <c r="G28" s="295" t="s">
        <v>2591</v>
      </c>
      <c r="H28" s="273"/>
      <c r="I28" s="28"/>
      <c r="J28" s="277"/>
      <c r="K28" s="278"/>
      <c r="L28" s="279"/>
    </row>
    <row r="30" spans="1:12" x14ac:dyDescent="0.2">
      <c r="A30" s="287" t="s">
        <v>76</v>
      </c>
      <c r="B30" s="271"/>
      <c r="C30" s="271"/>
      <c r="D30" s="311"/>
      <c r="E30" s="16" t="s">
        <v>77</v>
      </c>
      <c r="F30" s="16" t="s">
        <v>78</v>
      </c>
      <c r="G30" s="532" t="s">
        <v>2576</v>
      </c>
      <c r="H30" s="482"/>
      <c r="I30" s="287" t="s">
        <v>2579</v>
      </c>
      <c r="J30" s="271"/>
      <c r="K30" s="271"/>
      <c r="L30" s="273"/>
    </row>
    <row r="31" spans="1:12" ht="13.5" x14ac:dyDescent="0.2">
      <c r="A31" s="533" t="s">
        <v>91</v>
      </c>
      <c r="B31" s="535" t="s">
        <v>92</v>
      </c>
      <c r="C31" s="275"/>
      <c r="D31" s="276"/>
      <c r="E31" s="533" t="s">
        <v>258</v>
      </c>
      <c r="F31" s="536">
        <f>+I31</f>
        <v>3.6239999999999997</v>
      </c>
      <c r="G31" s="295" t="s">
        <v>444</v>
      </c>
      <c r="H31" s="273"/>
      <c r="I31" s="28">
        <f>((I33*2)+(I34*2))*1*I35</f>
        <v>3.6239999999999997</v>
      </c>
      <c r="J31" s="537"/>
      <c r="K31" s="275"/>
      <c r="L31" s="276"/>
    </row>
    <row r="32" spans="1:12" ht="13.5" x14ac:dyDescent="0.2">
      <c r="A32" s="534"/>
      <c r="B32" s="284"/>
      <c r="C32" s="285"/>
      <c r="D32" s="286"/>
      <c r="E32" s="534"/>
      <c r="F32" s="534"/>
      <c r="G32" s="295" t="s">
        <v>453</v>
      </c>
      <c r="H32" s="273"/>
      <c r="I32" s="28">
        <v>1</v>
      </c>
      <c r="J32" s="284"/>
      <c r="K32" s="285"/>
      <c r="L32" s="286"/>
    </row>
    <row r="33" spans="1:12" ht="13.5" x14ac:dyDescent="0.2">
      <c r="A33" s="534"/>
      <c r="B33" s="284"/>
      <c r="C33" s="285"/>
      <c r="D33" s="286"/>
      <c r="E33" s="534"/>
      <c r="F33" s="534"/>
      <c r="G33" s="295" t="s">
        <v>2583</v>
      </c>
      <c r="H33" s="273"/>
      <c r="I33" s="28">
        <v>4.92</v>
      </c>
      <c r="J33" s="284"/>
      <c r="K33" s="285"/>
      <c r="L33" s="286"/>
    </row>
    <row r="34" spans="1:12" ht="13.5" x14ac:dyDescent="0.2">
      <c r="A34" s="534"/>
      <c r="B34" s="284"/>
      <c r="C34" s="285"/>
      <c r="D34" s="286"/>
      <c r="E34" s="534"/>
      <c r="F34" s="534"/>
      <c r="G34" s="295" t="s">
        <v>2584</v>
      </c>
      <c r="H34" s="273"/>
      <c r="I34" s="28">
        <v>4.1399999999999997</v>
      </c>
      <c r="J34" s="284"/>
      <c r="K34" s="285"/>
      <c r="L34" s="286"/>
    </row>
    <row r="35" spans="1:12" ht="13.5" x14ac:dyDescent="0.2">
      <c r="A35" s="534"/>
      <c r="B35" s="284"/>
      <c r="C35" s="285"/>
      <c r="D35" s="286"/>
      <c r="E35" s="534"/>
      <c r="F35" s="534"/>
      <c r="G35" s="295" t="s">
        <v>2585</v>
      </c>
      <c r="H35" s="273"/>
      <c r="I35" s="28">
        <v>0.2</v>
      </c>
      <c r="J35" s="284"/>
      <c r="K35" s="285"/>
      <c r="L35" s="286"/>
    </row>
    <row r="36" spans="1:12" ht="13.5" x14ac:dyDescent="0.2">
      <c r="A36" s="534"/>
      <c r="B36" s="284"/>
      <c r="C36" s="285"/>
      <c r="D36" s="286"/>
      <c r="E36" s="534"/>
      <c r="F36" s="534"/>
      <c r="G36" s="295" t="s">
        <v>2586</v>
      </c>
      <c r="H36" s="273"/>
      <c r="I36" s="28"/>
      <c r="J36" s="284"/>
      <c r="K36" s="285"/>
      <c r="L36" s="286"/>
    </row>
    <row r="37" spans="1:12" ht="13.5" x14ac:dyDescent="0.2">
      <c r="A37" s="534"/>
      <c r="B37" s="284"/>
      <c r="C37" s="285"/>
      <c r="D37" s="286"/>
      <c r="E37" s="534"/>
      <c r="F37" s="534"/>
      <c r="G37" s="295" t="s">
        <v>2587</v>
      </c>
      <c r="H37" s="273"/>
      <c r="I37" s="28"/>
      <c r="J37" s="284"/>
      <c r="K37" s="285"/>
      <c r="L37" s="286"/>
    </row>
    <row r="38" spans="1:12" ht="13.5" x14ac:dyDescent="0.2">
      <c r="A38" s="534"/>
      <c r="B38" s="284"/>
      <c r="C38" s="285"/>
      <c r="D38" s="286"/>
      <c r="E38" s="534"/>
      <c r="F38" s="534"/>
      <c r="G38" s="295" t="s">
        <v>2592</v>
      </c>
      <c r="H38" s="273"/>
      <c r="I38" s="28"/>
      <c r="J38" s="284"/>
      <c r="K38" s="285"/>
      <c r="L38" s="286"/>
    </row>
    <row r="39" spans="1:12" ht="13.5" x14ac:dyDescent="0.2">
      <c r="A39" s="281"/>
      <c r="B39" s="277"/>
      <c r="C39" s="278"/>
      <c r="D39" s="279"/>
      <c r="E39" s="281"/>
      <c r="F39" s="281"/>
      <c r="G39" s="295" t="s">
        <v>2593</v>
      </c>
      <c r="H39" s="273"/>
      <c r="I39" s="28"/>
      <c r="J39" s="277"/>
      <c r="K39" s="278"/>
      <c r="L39" s="279"/>
    </row>
    <row r="41" spans="1:12" x14ac:dyDescent="0.2">
      <c r="A41" s="287" t="s">
        <v>76</v>
      </c>
      <c r="B41" s="271"/>
      <c r="C41" s="271"/>
      <c r="D41" s="311"/>
      <c r="E41" s="16" t="s">
        <v>77</v>
      </c>
      <c r="F41" s="16" t="s">
        <v>78</v>
      </c>
      <c r="G41" s="532" t="s">
        <v>2576</v>
      </c>
      <c r="H41" s="482"/>
      <c r="I41" s="287" t="s">
        <v>2579</v>
      </c>
      <c r="J41" s="271"/>
      <c r="K41" s="271"/>
      <c r="L41" s="273"/>
    </row>
    <row r="42" spans="1:12" ht="13.5" x14ac:dyDescent="0.2">
      <c r="A42" s="533" t="s">
        <v>95</v>
      </c>
      <c r="B42" s="535" t="s">
        <v>96</v>
      </c>
      <c r="C42" s="275"/>
      <c r="D42" s="276"/>
      <c r="E42" s="533" t="s">
        <v>258</v>
      </c>
      <c r="F42" s="536">
        <f>+I42</f>
        <v>0.5</v>
      </c>
      <c r="G42" s="295" t="s">
        <v>444</v>
      </c>
      <c r="H42" s="273"/>
      <c r="I42" s="28">
        <f>I43*I44*I45</f>
        <v>0.5</v>
      </c>
      <c r="J42" s="537"/>
      <c r="K42" s="275"/>
      <c r="L42" s="276"/>
    </row>
    <row r="43" spans="1:12" ht="13.5" x14ac:dyDescent="0.2">
      <c r="A43" s="534"/>
      <c r="B43" s="284"/>
      <c r="C43" s="285"/>
      <c r="D43" s="286"/>
      <c r="E43" s="534"/>
      <c r="F43" s="534"/>
      <c r="G43" s="295" t="s">
        <v>453</v>
      </c>
      <c r="H43" s="273"/>
      <c r="I43" s="28">
        <v>1</v>
      </c>
      <c r="J43" s="284"/>
      <c r="K43" s="285"/>
      <c r="L43" s="286"/>
    </row>
    <row r="44" spans="1:12" ht="13.5" x14ac:dyDescent="0.2">
      <c r="A44" s="534"/>
      <c r="B44" s="284"/>
      <c r="C44" s="285"/>
      <c r="D44" s="286"/>
      <c r="E44" s="534"/>
      <c r="F44" s="534"/>
      <c r="G44" s="295" t="s">
        <v>2583</v>
      </c>
      <c r="H44" s="273"/>
      <c r="I44" s="28">
        <v>1</v>
      </c>
      <c r="J44" s="284"/>
      <c r="K44" s="285"/>
      <c r="L44" s="286"/>
    </row>
    <row r="45" spans="1:12" ht="13.5" x14ac:dyDescent="0.2">
      <c r="A45" s="534"/>
      <c r="B45" s="284"/>
      <c r="C45" s="285"/>
      <c r="D45" s="286"/>
      <c r="E45" s="534"/>
      <c r="F45" s="534"/>
      <c r="G45" s="295" t="s">
        <v>2584</v>
      </c>
      <c r="H45" s="273"/>
      <c r="I45" s="28">
        <v>0.5</v>
      </c>
      <c r="J45" s="284"/>
      <c r="K45" s="285"/>
      <c r="L45" s="286"/>
    </row>
    <row r="46" spans="1:12" ht="13.5" x14ac:dyDescent="0.2">
      <c r="A46" s="534"/>
      <c r="B46" s="284"/>
      <c r="C46" s="285"/>
      <c r="D46" s="286"/>
      <c r="E46" s="534"/>
      <c r="F46" s="534"/>
      <c r="G46" s="295" t="s">
        <v>2585</v>
      </c>
      <c r="H46" s="273"/>
      <c r="I46" s="28">
        <v>0.05</v>
      </c>
      <c r="J46" s="284"/>
      <c r="K46" s="285"/>
      <c r="L46" s="286"/>
    </row>
    <row r="47" spans="1:12" ht="13.5" x14ac:dyDescent="0.2">
      <c r="A47" s="534"/>
      <c r="B47" s="284"/>
      <c r="C47" s="285"/>
      <c r="D47" s="286"/>
      <c r="E47" s="534"/>
      <c r="F47" s="534"/>
      <c r="G47" s="295" t="s">
        <v>2586</v>
      </c>
      <c r="H47" s="273"/>
      <c r="I47" s="28"/>
      <c r="J47" s="284"/>
      <c r="K47" s="285"/>
      <c r="L47" s="286"/>
    </row>
    <row r="48" spans="1:12" ht="13.5" x14ac:dyDescent="0.2">
      <c r="A48" s="534"/>
      <c r="B48" s="284"/>
      <c r="C48" s="285"/>
      <c r="D48" s="286"/>
      <c r="E48" s="534"/>
      <c r="F48" s="534"/>
      <c r="G48" s="295" t="s">
        <v>2587</v>
      </c>
      <c r="H48" s="273"/>
      <c r="I48" s="28"/>
      <c r="J48" s="284"/>
      <c r="K48" s="285"/>
      <c r="L48" s="286"/>
    </row>
    <row r="49" spans="1:12" ht="13.5" x14ac:dyDescent="0.2">
      <c r="A49" s="534"/>
      <c r="B49" s="284"/>
      <c r="C49" s="285"/>
      <c r="D49" s="286"/>
      <c r="E49" s="534"/>
      <c r="F49" s="534"/>
      <c r="G49" s="295" t="s">
        <v>2594</v>
      </c>
      <c r="H49" s="273"/>
      <c r="I49" s="28"/>
      <c r="J49" s="284"/>
      <c r="K49" s="285"/>
      <c r="L49" s="286"/>
    </row>
    <row r="50" spans="1:12" ht="13.5" x14ac:dyDescent="0.2">
      <c r="A50" s="281"/>
      <c r="B50" s="277"/>
      <c r="C50" s="278"/>
      <c r="D50" s="279"/>
      <c r="E50" s="281"/>
      <c r="F50" s="281"/>
      <c r="G50" s="295" t="s">
        <v>2595</v>
      </c>
      <c r="H50" s="273"/>
      <c r="I50" s="28"/>
      <c r="J50" s="277"/>
      <c r="K50" s="278"/>
      <c r="L50" s="279"/>
    </row>
    <row r="52" spans="1:12" x14ac:dyDescent="0.2">
      <c r="A52" s="287" t="s">
        <v>76</v>
      </c>
      <c r="B52" s="271"/>
      <c r="C52" s="271"/>
      <c r="D52" s="311"/>
      <c r="E52" s="16" t="s">
        <v>77</v>
      </c>
      <c r="F52" s="16" t="s">
        <v>78</v>
      </c>
      <c r="G52" s="532" t="s">
        <v>2576</v>
      </c>
      <c r="H52" s="482"/>
      <c r="I52" s="287" t="s">
        <v>2579</v>
      </c>
      <c r="J52" s="271"/>
      <c r="K52" s="271"/>
      <c r="L52" s="273"/>
    </row>
    <row r="53" spans="1:12" ht="13.5" x14ac:dyDescent="0.2">
      <c r="A53" s="533" t="s">
        <v>97</v>
      </c>
      <c r="B53" s="535" t="s">
        <v>98</v>
      </c>
      <c r="C53" s="275"/>
      <c r="D53" s="276"/>
      <c r="E53" s="533" t="s">
        <v>258</v>
      </c>
      <c r="F53" s="536">
        <f>+I53</f>
        <v>1.8119999999999998</v>
      </c>
      <c r="G53" s="295" t="s">
        <v>444</v>
      </c>
      <c r="H53" s="273"/>
      <c r="I53" s="28">
        <f>((I55*2)+(I56*2))*1*I57</f>
        <v>1.8119999999999998</v>
      </c>
      <c r="J53" s="537"/>
      <c r="K53" s="275"/>
      <c r="L53" s="276"/>
    </row>
    <row r="54" spans="1:12" ht="13.5" x14ac:dyDescent="0.2">
      <c r="A54" s="534"/>
      <c r="B54" s="284"/>
      <c r="C54" s="285"/>
      <c r="D54" s="286"/>
      <c r="E54" s="534"/>
      <c r="F54" s="534"/>
      <c r="G54" s="295" t="s">
        <v>453</v>
      </c>
      <c r="H54" s="273"/>
      <c r="I54" s="28">
        <v>1</v>
      </c>
      <c r="J54" s="284"/>
      <c r="K54" s="285"/>
      <c r="L54" s="286"/>
    </row>
    <row r="55" spans="1:12" ht="13.5" x14ac:dyDescent="0.2">
      <c r="A55" s="534"/>
      <c r="B55" s="284"/>
      <c r="C55" s="285"/>
      <c r="D55" s="286"/>
      <c r="E55" s="534"/>
      <c r="F55" s="534"/>
      <c r="G55" s="295" t="s">
        <v>2583</v>
      </c>
      <c r="H55" s="273"/>
      <c r="I55" s="28">
        <v>4.92</v>
      </c>
      <c r="J55" s="284"/>
      <c r="K55" s="285"/>
      <c r="L55" s="286"/>
    </row>
    <row r="56" spans="1:12" ht="13.5" x14ac:dyDescent="0.2">
      <c r="A56" s="534"/>
      <c r="B56" s="284"/>
      <c r="C56" s="285"/>
      <c r="D56" s="286"/>
      <c r="E56" s="534"/>
      <c r="F56" s="534"/>
      <c r="G56" s="295" t="s">
        <v>2584</v>
      </c>
      <c r="H56" s="273"/>
      <c r="I56" s="28">
        <v>4.1399999999999997</v>
      </c>
      <c r="J56" s="284"/>
      <c r="K56" s="285"/>
      <c r="L56" s="286"/>
    </row>
    <row r="57" spans="1:12" ht="13.5" x14ac:dyDescent="0.2">
      <c r="A57" s="534"/>
      <c r="B57" s="284"/>
      <c r="C57" s="285"/>
      <c r="D57" s="286"/>
      <c r="E57" s="534"/>
      <c r="F57" s="534"/>
      <c r="G57" s="295" t="s">
        <v>2585</v>
      </c>
      <c r="H57" s="273"/>
      <c r="I57" s="28">
        <v>0.1</v>
      </c>
      <c r="J57" s="284"/>
      <c r="K57" s="285"/>
      <c r="L57" s="286"/>
    </row>
    <row r="58" spans="1:12" ht="13.5" x14ac:dyDescent="0.2">
      <c r="A58" s="534"/>
      <c r="B58" s="284"/>
      <c r="C58" s="285"/>
      <c r="D58" s="286"/>
      <c r="E58" s="534"/>
      <c r="F58" s="534"/>
      <c r="G58" s="295" t="s">
        <v>2586</v>
      </c>
      <c r="H58" s="273"/>
      <c r="I58" s="28"/>
      <c r="J58" s="284"/>
      <c r="K58" s="285"/>
      <c r="L58" s="286"/>
    </row>
    <row r="59" spans="1:12" ht="13.5" x14ac:dyDescent="0.2">
      <c r="A59" s="534"/>
      <c r="B59" s="284"/>
      <c r="C59" s="285"/>
      <c r="D59" s="286"/>
      <c r="E59" s="534"/>
      <c r="F59" s="534"/>
      <c r="G59" s="295" t="s">
        <v>2587</v>
      </c>
      <c r="H59" s="273"/>
      <c r="I59" s="28"/>
      <c r="J59" s="284"/>
      <c r="K59" s="285"/>
      <c r="L59" s="286"/>
    </row>
    <row r="60" spans="1:12" ht="13.5" x14ac:dyDescent="0.2">
      <c r="A60" s="534"/>
      <c r="B60" s="284"/>
      <c r="C60" s="285"/>
      <c r="D60" s="286"/>
      <c r="E60" s="534"/>
      <c r="F60" s="534"/>
      <c r="G60" s="295" t="s">
        <v>2596</v>
      </c>
      <c r="H60" s="273"/>
      <c r="I60" s="28"/>
      <c r="J60" s="284"/>
      <c r="K60" s="285"/>
      <c r="L60" s="286"/>
    </row>
    <row r="61" spans="1:12" ht="13.5" x14ac:dyDescent="0.2">
      <c r="A61" s="281"/>
      <c r="B61" s="277"/>
      <c r="C61" s="278"/>
      <c r="D61" s="279"/>
      <c r="E61" s="281"/>
      <c r="F61" s="281"/>
      <c r="G61" s="295" t="s">
        <v>2597</v>
      </c>
      <c r="H61" s="273"/>
      <c r="I61" s="28"/>
      <c r="J61" s="277"/>
      <c r="K61" s="278"/>
      <c r="L61" s="279"/>
    </row>
    <row r="63" spans="1:12" x14ac:dyDescent="0.2">
      <c r="A63" s="287" t="s">
        <v>76</v>
      </c>
      <c r="B63" s="271"/>
      <c r="C63" s="271"/>
      <c r="D63" s="311"/>
      <c r="E63" s="16" t="s">
        <v>77</v>
      </c>
      <c r="F63" s="16" t="s">
        <v>78</v>
      </c>
      <c r="G63" s="532" t="s">
        <v>2576</v>
      </c>
      <c r="H63" s="482"/>
      <c r="I63" s="287" t="s">
        <v>2579</v>
      </c>
      <c r="J63" s="271"/>
      <c r="K63" s="271"/>
      <c r="L63" s="273"/>
    </row>
    <row r="64" spans="1:12" ht="13.5" x14ac:dyDescent="0.2">
      <c r="A64" s="533" t="s">
        <v>99</v>
      </c>
      <c r="B64" s="535" t="s">
        <v>100</v>
      </c>
      <c r="C64" s="275"/>
      <c r="D64" s="276"/>
      <c r="E64" s="533" t="s">
        <v>934</v>
      </c>
      <c r="F64" s="536">
        <f>+I64</f>
        <v>18.119999999999997</v>
      </c>
      <c r="G64" s="295" t="s">
        <v>444</v>
      </c>
      <c r="H64" s="273"/>
      <c r="I64" s="28">
        <f>((I66*2)+(I67*2))*1</f>
        <v>18.119999999999997</v>
      </c>
      <c r="J64" s="537"/>
      <c r="K64" s="275"/>
      <c r="L64" s="276"/>
    </row>
    <row r="65" spans="1:12" ht="13.5" x14ac:dyDescent="0.2">
      <c r="A65" s="534"/>
      <c r="B65" s="284"/>
      <c r="C65" s="285"/>
      <c r="D65" s="286"/>
      <c r="E65" s="534"/>
      <c r="F65" s="534"/>
      <c r="G65" s="295" t="s">
        <v>453</v>
      </c>
      <c r="H65" s="273"/>
      <c r="I65" s="28">
        <v>1</v>
      </c>
      <c r="J65" s="284"/>
      <c r="K65" s="285"/>
      <c r="L65" s="286"/>
    </row>
    <row r="66" spans="1:12" ht="13.5" x14ac:dyDescent="0.2">
      <c r="A66" s="534"/>
      <c r="B66" s="284"/>
      <c r="C66" s="285"/>
      <c r="D66" s="286"/>
      <c r="E66" s="534"/>
      <c r="F66" s="534"/>
      <c r="G66" s="295" t="s">
        <v>2583</v>
      </c>
      <c r="H66" s="273"/>
      <c r="I66" s="28">
        <v>4.92</v>
      </c>
      <c r="J66" s="284"/>
      <c r="K66" s="285"/>
      <c r="L66" s="286"/>
    </row>
    <row r="67" spans="1:12" ht="13.5" x14ac:dyDescent="0.2">
      <c r="A67" s="534"/>
      <c r="B67" s="284"/>
      <c r="C67" s="285"/>
      <c r="D67" s="286"/>
      <c r="E67" s="534"/>
      <c r="F67" s="534"/>
      <c r="G67" s="295" t="s">
        <v>2584</v>
      </c>
      <c r="H67" s="273"/>
      <c r="I67" s="28">
        <v>4.1399999999999997</v>
      </c>
      <c r="J67" s="284"/>
      <c r="K67" s="285"/>
      <c r="L67" s="286"/>
    </row>
    <row r="68" spans="1:12" ht="13.5" x14ac:dyDescent="0.2">
      <c r="A68" s="534"/>
      <c r="B68" s="284"/>
      <c r="C68" s="285"/>
      <c r="D68" s="286"/>
      <c r="E68" s="534"/>
      <c r="F68" s="534"/>
      <c r="G68" s="295" t="s">
        <v>2585</v>
      </c>
      <c r="H68" s="273"/>
      <c r="I68" s="28"/>
      <c r="J68" s="284"/>
      <c r="K68" s="285"/>
      <c r="L68" s="286"/>
    </row>
    <row r="69" spans="1:12" ht="13.5" x14ac:dyDescent="0.2">
      <c r="A69" s="534"/>
      <c r="B69" s="284"/>
      <c r="C69" s="285"/>
      <c r="D69" s="286"/>
      <c r="E69" s="534"/>
      <c r="F69" s="534"/>
      <c r="G69" s="295" t="s">
        <v>2586</v>
      </c>
      <c r="H69" s="273"/>
      <c r="I69" s="28"/>
      <c r="J69" s="284"/>
      <c r="K69" s="285"/>
      <c r="L69" s="286"/>
    </row>
    <row r="70" spans="1:12" ht="13.5" x14ac:dyDescent="0.2">
      <c r="A70" s="534"/>
      <c r="B70" s="284"/>
      <c r="C70" s="285"/>
      <c r="D70" s="286"/>
      <c r="E70" s="534"/>
      <c r="F70" s="534"/>
      <c r="G70" s="295" t="s">
        <v>2587</v>
      </c>
      <c r="H70" s="273"/>
      <c r="I70" s="28"/>
      <c r="J70" s="284"/>
      <c r="K70" s="285"/>
      <c r="L70" s="286"/>
    </row>
    <row r="71" spans="1:12" ht="13.5" x14ac:dyDescent="0.2">
      <c r="A71" s="534"/>
      <c r="B71" s="284"/>
      <c r="C71" s="285"/>
      <c r="D71" s="286"/>
      <c r="E71" s="534"/>
      <c r="F71" s="534"/>
      <c r="G71" s="295" t="s">
        <v>2598</v>
      </c>
      <c r="H71" s="273"/>
      <c r="I71" s="28"/>
      <c r="J71" s="284"/>
      <c r="K71" s="285"/>
      <c r="L71" s="286"/>
    </row>
    <row r="72" spans="1:12" ht="13.5" x14ac:dyDescent="0.2">
      <c r="A72" s="281"/>
      <c r="B72" s="277"/>
      <c r="C72" s="278"/>
      <c r="D72" s="279"/>
      <c r="E72" s="281"/>
      <c r="F72" s="281"/>
      <c r="G72" s="295" t="s">
        <v>2599</v>
      </c>
      <c r="H72" s="273"/>
      <c r="I72" s="28"/>
      <c r="J72" s="277"/>
      <c r="K72" s="278"/>
      <c r="L72" s="279"/>
    </row>
    <row r="74" spans="1:12" x14ac:dyDescent="0.2">
      <c r="A74" s="287" t="s">
        <v>76</v>
      </c>
      <c r="B74" s="271"/>
      <c r="C74" s="271"/>
      <c r="D74" s="311"/>
      <c r="E74" s="16" t="s">
        <v>77</v>
      </c>
      <c r="F74" s="16" t="s">
        <v>78</v>
      </c>
      <c r="G74" s="532" t="s">
        <v>2576</v>
      </c>
      <c r="H74" s="482"/>
      <c r="I74" s="287" t="s">
        <v>2579</v>
      </c>
      <c r="J74" s="271"/>
      <c r="K74" s="271"/>
      <c r="L74" s="273"/>
    </row>
    <row r="75" spans="1:12" ht="13.5" x14ac:dyDescent="0.2">
      <c r="A75" s="533" t="s">
        <v>101</v>
      </c>
      <c r="B75" s="535" t="s">
        <v>102</v>
      </c>
      <c r="C75" s="275"/>
      <c r="D75" s="276"/>
      <c r="E75" s="533" t="s">
        <v>934</v>
      </c>
      <c r="F75" s="536">
        <f>+I75</f>
        <v>28.336000000000002</v>
      </c>
      <c r="G75" s="295" t="s">
        <v>444</v>
      </c>
      <c r="H75" s="273"/>
      <c r="I75" s="28">
        <f>I76*I77*I78</f>
        <v>28.336000000000002</v>
      </c>
      <c r="J75" s="537"/>
      <c r="K75" s="275"/>
      <c r="L75" s="276"/>
    </row>
    <row r="76" spans="1:12" ht="13.5" x14ac:dyDescent="0.2">
      <c r="A76" s="534"/>
      <c r="B76" s="284"/>
      <c r="C76" s="285"/>
      <c r="D76" s="286"/>
      <c r="E76" s="534"/>
      <c r="F76" s="534"/>
      <c r="G76" s="295" t="s">
        <v>453</v>
      </c>
      <c r="H76" s="273"/>
      <c r="I76" s="28">
        <v>1</v>
      </c>
      <c r="J76" s="284"/>
      <c r="K76" s="285"/>
      <c r="L76" s="286"/>
    </row>
    <row r="77" spans="1:12" ht="13.5" x14ac:dyDescent="0.2">
      <c r="A77" s="534"/>
      <c r="B77" s="284"/>
      <c r="C77" s="285"/>
      <c r="D77" s="286"/>
      <c r="E77" s="534"/>
      <c r="F77" s="534"/>
      <c r="G77" s="295" t="s">
        <v>2583</v>
      </c>
      <c r="H77" s="273"/>
      <c r="I77" s="28">
        <f>(2.92*2)+(2.14*2)</f>
        <v>10.120000000000001</v>
      </c>
      <c r="J77" s="284"/>
      <c r="K77" s="285"/>
      <c r="L77" s="286"/>
    </row>
    <row r="78" spans="1:12" ht="13.5" x14ac:dyDescent="0.2">
      <c r="A78" s="534"/>
      <c r="B78" s="284"/>
      <c r="C78" s="285"/>
      <c r="D78" s="286"/>
      <c r="E78" s="534"/>
      <c r="F78" s="534"/>
      <c r="G78" s="295" t="s">
        <v>2584</v>
      </c>
      <c r="H78" s="273"/>
      <c r="I78" s="28">
        <v>2.8</v>
      </c>
      <c r="J78" s="284"/>
      <c r="K78" s="285"/>
      <c r="L78" s="286"/>
    </row>
    <row r="79" spans="1:12" ht="13.5" x14ac:dyDescent="0.2">
      <c r="A79" s="534"/>
      <c r="B79" s="284"/>
      <c r="C79" s="285"/>
      <c r="D79" s="286"/>
      <c r="E79" s="534"/>
      <c r="F79" s="534"/>
      <c r="G79" s="295" t="s">
        <v>2585</v>
      </c>
      <c r="H79" s="273"/>
      <c r="I79" s="28"/>
      <c r="J79" s="284"/>
      <c r="K79" s="285"/>
      <c r="L79" s="286"/>
    </row>
    <row r="80" spans="1:12" ht="13.5" x14ac:dyDescent="0.2">
      <c r="A80" s="534"/>
      <c r="B80" s="284"/>
      <c r="C80" s="285"/>
      <c r="D80" s="286"/>
      <c r="E80" s="534"/>
      <c r="F80" s="534"/>
      <c r="G80" s="295" t="s">
        <v>2586</v>
      </c>
      <c r="H80" s="273"/>
      <c r="I80" s="28"/>
      <c r="J80" s="284"/>
      <c r="K80" s="285"/>
      <c r="L80" s="286"/>
    </row>
    <row r="81" spans="1:12" ht="13.5" x14ac:dyDescent="0.2">
      <c r="A81" s="534"/>
      <c r="B81" s="284"/>
      <c r="C81" s="285"/>
      <c r="D81" s="286"/>
      <c r="E81" s="534"/>
      <c r="F81" s="534"/>
      <c r="G81" s="295" t="s">
        <v>2587</v>
      </c>
      <c r="H81" s="273"/>
      <c r="I81" s="28"/>
      <c r="J81" s="284"/>
      <c r="K81" s="285"/>
      <c r="L81" s="286"/>
    </row>
    <row r="82" spans="1:12" ht="13.5" x14ac:dyDescent="0.2">
      <c r="A82" s="534"/>
      <c r="B82" s="284"/>
      <c r="C82" s="285"/>
      <c r="D82" s="286"/>
      <c r="E82" s="534"/>
      <c r="F82" s="534"/>
      <c r="G82" s="295" t="s">
        <v>2600</v>
      </c>
      <c r="H82" s="273"/>
      <c r="I82" s="28"/>
      <c r="J82" s="284"/>
      <c r="K82" s="285"/>
      <c r="L82" s="286"/>
    </row>
    <row r="83" spans="1:12" ht="13.5" x14ac:dyDescent="0.2">
      <c r="A83" s="281"/>
      <c r="B83" s="277"/>
      <c r="C83" s="278"/>
      <c r="D83" s="279"/>
      <c r="E83" s="281"/>
      <c r="F83" s="281"/>
      <c r="G83" s="295" t="s">
        <v>2601</v>
      </c>
      <c r="H83" s="273"/>
      <c r="I83" s="28"/>
      <c r="J83" s="277"/>
      <c r="K83" s="278"/>
      <c r="L83" s="279"/>
    </row>
    <row r="85" spans="1:12" x14ac:dyDescent="0.2">
      <c r="A85" s="287" t="s">
        <v>76</v>
      </c>
      <c r="B85" s="271"/>
      <c r="C85" s="271"/>
      <c r="D85" s="311"/>
      <c r="E85" s="16" t="s">
        <v>77</v>
      </c>
      <c r="F85" s="16" t="s">
        <v>78</v>
      </c>
      <c r="G85" s="532" t="s">
        <v>2576</v>
      </c>
      <c r="H85" s="482"/>
      <c r="I85" s="287" t="s">
        <v>2579</v>
      </c>
      <c r="J85" s="271"/>
      <c r="K85" s="271"/>
      <c r="L85" s="273"/>
    </row>
    <row r="86" spans="1:12" ht="13.5" x14ac:dyDescent="0.2">
      <c r="A86" s="533" t="s">
        <v>103</v>
      </c>
      <c r="B86" s="535" t="s">
        <v>105</v>
      </c>
      <c r="C86" s="275"/>
      <c r="D86" s="276"/>
      <c r="E86" s="533" t="s">
        <v>934</v>
      </c>
      <c r="F86" s="536">
        <f>+I86</f>
        <v>1.4625000000000001</v>
      </c>
      <c r="G86" s="295" t="s">
        <v>444</v>
      </c>
      <c r="H86" s="273"/>
      <c r="I86" s="28">
        <f>(I87*I88*I89)+(((I88*2)+(I89*2))*I90)</f>
        <v>1.4625000000000001</v>
      </c>
      <c r="J86" s="537"/>
      <c r="K86" s="275"/>
      <c r="L86" s="276"/>
    </row>
    <row r="87" spans="1:12" ht="13.5" x14ac:dyDescent="0.2">
      <c r="A87" s="534"/>
      <c r="B87" s="284"/>
      <c r="C87" s="285"/>
      <c r="D87" s="286"/>
      <c r="E87" s="534"/>
      <c r="F87" s="534"/>
      <c r="G87" s="295" t="s">
        <v>453</v>
      </c>
      <c r="H87" s="273"/>
      <c r="I87" s="28">
        <v>1</v>
      </c>
      <c r="J87" s="284"/>
      <c r="K87" s="285"/>
      <c r="L87" s="286"/>
    </row>
    <row r="88" spans="1:12" ht="13.5" x14ac:dyDescent="0.2">
      <c r="A88" s="534"/>
      <c r="B88" s="284"/>
      <c r="C88" s="285"/>
      <c r="D88" s="286"/>
      <c r="E88" s="534"/>
      <c r="F88" s="534"/>
      <c r="G88" s="295" t="s">
        <v>2583</v>
      </c>
      <c r="H88" s="273"/>
      <c r="I88" s="28">
        <v>0.65</v>
      </c>
      <c r="J88" s="284"/>
      <c r="K88" s="285"/>
      <c r="L88" s="286"/>
    </row>
    <row r="89" spans="1:12" ht="13.5" x14ac:dyDescent="0.2">
      <c r="A89" s="534"/>
      <c r="B89" s="284"/>
      <c r="C89" s="285"/>
      <c r="D89" s="286"/>
      <c r="E89" s="534"/>
      <c r="F89" s="534"/>
      <c r="G89" s="295" t="s">
        <v>2584</v>
      </c>
      <c r="H89" s="273"/>
      <c r="I89" s="28">
        <v>0.65</v>
      </c>
      <c r="J89" s="284"/>
      <c r="K89" s="285"/>
      <c r="L89" s="286"/>
    </row>
    <row r="90" spans="1:12" ht="13.5" x14ac:dyDescent="0.2">
      <c r="A90" s="534"/>
      <c r="B90" s="284"/>
      <c r="C90" s="285"/>
      <c r="D90" s="286"/>
      <c r="E90" s="534"/>
      <c r="F90" s="534"/>
      <c r="G90" s="295" t="s">
        <v>2585</v>
      </c>
      <c r="H90" s="273"/>
      <c r="I90" s="28">
        <v>0.4</v>
      </c>
      <c r="J90" s="284"/>
      <c r="K90" s="285"/>
      <c r="L90" s="286"/>
    </row>
    <row r="91" spans="1:12" ht="13.5" x14ac:dyDescent="0.2">
      <c r="A91" s="534"/>
      <c r="B91" s="284"/>
      <c r="C91" s="285"/>
      <c r="D91" s="286"/>
      <c r="E91" s="534"/>
      <c r="F91" s="534"/>
      <c r="G91" s="295" t="s">
        <v>2586</v>
      </c>
      <c r="H91" s="273"/>
      <c r="I91" s="28"/>
      <c r="J91" s="284"/>
      <c r="K91" s="285"/>
      <c r="L91" s="286"/>
    </row>
    <row r="92" spans="1:12" ht="13.5" x14ac:dyDescent="0.2">
      <c r="A92" s="534"/>
      <c r="B92" s="284"/>
      <c r="C92" s="285"/>
      <c r="D92" s="286"/>
      <c r="E92" s="534"/>
      <c r="F92" s="534"/>
      <c r="G92" s="295" t="s">
        <v>2587</v>
      </c>
      <c r="H92" s="273"/>
      <c r="I92" s="28"/>
      <c r="J92" s="284"/>
      <c r="K92" s="285"/>
      <c r="L92" s="286"/>
    </row>
    <row r="93" spans="1:12" ht="13.5" x14ac:dyDescent="0.2">
      <c r="A93" s="534"/>
      <c r="B93" s="284"/>
      <c r="C93" s="285"/>
      <c r="D93" s="286"/>
      <c r="E93" s="534"/>
      <c r="F93" s="534"/>
      <c r="G93" s="295" t="s">
        <v>2602</v>
      </c>
      <c r="H93" s="273"/>
      <c r="I93" s="28"/>
      <c r="J93" s="284"/>
      <c r="K93" s="285"/>
      <c r="L93" s="286"/>
    </row>
    <row r="94" spans="1:12" ht="13.5" x14ac:dyDescent="0.2">
      <c r="A94" s="281"/>
      <c r="B94" s="277"/>
      <c r="C94" s="278"/>
      <c r="D94" s="279"/>
      <c r="E94" s="281"/>
      <c r="F94" s="281"/>
      <c r="G94" s="295" t="s">
        <v>2603</v>
      </c>
      <c r="H94" s="273"/>
      <c r="I94" s="28"/>
      <c r="J94" s="277"/>
      <c r="K94" s="278"/>
      <c r="L94" s="279"/>
    </row>
    <row r="96" spans="1:12" x14ac:dyDescent="0.2">
      <c r="A96" s="287" t="s">
        <v>76</v>
      </c>
      <c r="B96" s="271"/>
      <c r="C96" s="271"/>
      <c r="D96" s="311"/>
      <c r="E96" s="16" t="s">
        <v>77</v>
      </c>
      <c r="F96" s="16" t="s">
        <v>78</v>
      </c>
      <c r="G96" s="532" t="s">
        <v>2576</v>
      </c>
      <c r="H96" s="482"/>
      <c r="I96" s="287" t="s">
        <v>2579</v>
      </c>
      <c r="J96" s="271"/>
      <c r="K96" s="271"/>
      <c r="L96" s="273"/>
    </row>
    <row r="97" spans="1:12" ht="13.5" x14ac:dyDescent="0.2">
      <c r="A97" s="533" t="s">
        <v>114</v>
      </c>
      <c r="B97" s="535" t="s">
        <v>115</v>
      </c>
      <c r="C97" s="275"/>
      <c r="D97" s="276"/>
      <c r="E97" s="533" t="s">
        <v>981</v>
      </c>
      <c r="F97" s="536">
        <f>+I97</f>
        <v>6.14</v>
      </c>
      <c r="G97" s="295" t="s">
        <v>444</v>
      </c>
      <c r="H97" s="273"/>
      <c r="I97" s="28">
        <f>I98*I99+2</f>
        <v>6.14</v>
      </c>
      <c r="J97" s="537"/>
      <c r="K97" s="275"/>
      <c r="L97" s="276"/>
    </row>
    <row r="98" spans="1:12" ht="13.5" x14ac:dyDescent="0.2">
      <c r="A98" s="534"/>
      <c r="B98" s="284"/>
      <c r="C98" s="285"/>
      <c r="D98" s="286"/>
      <c r="E98" s="534"/>
      <c r="F98" s="534"/>
      <c r="G98" s="295" t="s">
        <v>453</v>
      </c>
      <c r="H98" s="273"/>
      <c r="I98" s="28">
        <v>1</v>
      </c>
      <c r="J98" s="284"/>
      <c r="K98" s="285"/>
      <c r="L98" s="286"/>
    </row>
    <row r="99" spans="1:12" ht="13.5" x14ac:dyDescent="0.2">
      <c r="A99" s="534"/>
      <c r="B99" s="284"/>
      <c r="C99" s="285"/>
      <c r="D99" s="286"/>
      <c r="E99" s="534"/>
      <c r="F99" s="534"/>
      <c r="G99" s="295" t="s">
        <v>2583</v>
      </c>
      <c r="H99" s="273"/>
      <c r="I99" s="28">
        <v>4.1399999999999997</v>
      </c>
      <c r="J99" s="284"/>
      <c r="K99" s="285"/>
      <c r="L99" s="286"/>
    </row>
    <row r="100" spans="1:12" ht="13.5" x14ac:dyDescent="0.2">
      <c r="A100" s="534"/>
      <c r="B100" s="284"/>
      <c r="C100" s="285"/>
      <c r="D100" s="286"/>
      <c r="E100" s="534"/>
      <c r="F100" s="534"/>
      <c r="G100" s="295" t="s">
        <v>2584</v>
      </c>
      <c r="H100" s="273"/>
      <c r="I100" s="28"/>
      <c r="J100" s="284"/>
      <c r="K100" s="285"/>
      <c r="L100" s="286"/>
    </row>
    <row r="101" spans="1:12" ht="13.5" x14ac:dyDescent="0.2">
      <c r="A101" s="534"/>
      <c r="B101" s="284"/>
      <c r="C101" s="285"/>
      <c r="D101" s="286"/>
      <c r="E101" s="534"/>
      <c r="F101" s="534"/>
      <c r="G101" s="295" t="s">
        <v>2585</v>
      </c>
      <c r="H101" s="273"/>
      <c r="I101" s="28"/>
      <c r="J101" s="284"/>
      <c r="K101" s="285"/>
      <c r="L101" s="286"/>
    </row>
    <row r="102" spans="1:12" ht="13.5" x14ac:dyDescent="0.2">
      <c r="A102" s="534"/>
      <c r="B102" s="284"/>
      <c r="C102" s="285"/>
      <c r="D102" s="286"/>
      <c r="E102" s="534"/>
      <c r="F102" s="534"/>
      <c r="G102" s="295" t="s">
        <v>2586</v>
      </c>
      <c r="H102" s="273"/>
      <c r="I102" s="28"/>
      <c r="J102" s="284"/>
      <c r="K102" s="285"/>
      <c r="L102" s="286"/>
    </row>
    <row r="103" spans="1:12" ht="13.5" x14ac:dyDescent="0.2">
      <c r="A103" s="534"/>
      <c r="B103" s="284"/>
      <c r="C103" s="285"/>
      <c r="D103" s="286"/>
      <c r="E103" s="534"/>
      <c r="F103" s="534"/>
      <c r="G103" s="295" t="s">
        <v>2587</v>
      </c>
      <c r="H103" s="273"/>
      <c r="I103" s="28"/>
      <c r="J103" s="284"/>
      <c r="K103" s="285"/>
      <c r="L103" s="286"/>
    </row>
    <row r="104" spans="1:12" ht="13.5" x14ac:dyDescent="0.2">
      <c r="A104" s="534"/>
      <c r="B104" s="284"/>
      <c r="C104" s="285"/>
      <c r="D104" s="286"/>
      <c r="E104" s="534"/>
      <c r="F104" s="534"/>
      <c r="G104" s="295" t="s">
        <v>2604</v>
      </c>
      <c r="H104" s="273"/>
      <c r="I104" s="28"/>
      <c r="J104" s="284"/>
      <c r="K104" s="285"/>
      <c r="L104" s="286"/>
    </row>
    <row r="105" spans="1:12" ht="13.5" x14ac:dyDescent="0.2">
      <c r="A105" s="281"/>
      <c r="B105" s="277"/>
      <c r="C105" s="278"/>
      <c r="D105" s="279"/>
      <c r="E105" s="281"/>
      <c r="F105" s="281"/>
      <c r="G105" s="295" t="s">
        <v>2605</v>
      </c>
      <c r="H105" s="273"/>
      <c r="I105" s="28"/>
      <c r="J105" s="277"/>
      <c r="K105" s="278"/>
      <c r="L105" s="279"/>
    </row>
    <row r="107" spans="1:12" x14ac:dyDescent="0.2">
      <c r="A107" s="287" t="s">
        <v>76</v>
      </c>
      <c r="B107" s="271"/>
      <c r="C107" s="271"/>
      <c r="D107" s="311"/>
      <c r="E107" s="16" t="s">
        <v>77</v>
      </c>
      <c r="F107" s="16" t="s">
        <v>78</v>
      </c>
      <c r="G107" s="532" t="s">
        <v>2576</v>
      </c>
      <c r="H107" s="482"/>
      <c r="I107" s="287" t="s">
        <v>2579</v>
      </c>
      <c r="J107" s="271"/>
      <c r="K107" s="271"/>
      <c r="L107" s="273"/>
    </row>
    <row r="108" spans="1:12" ht="13.5" x14ac:dyDescent="0.2">
      <c r="A108" s="533" t="s">
        <v>116</v>
      </c>
      <c r="B108" s="535" t="s">
        <v>117</v>
      </c>
      <c r="C108" s="275"/>
      <c r="D108" s="276"/>
      <c r="E108" s="533" t="s">
        <v>999</v>
      </c>
      <c r="F108" s="536">
        <f>+I108</f>
        <v>1</v>
      </c>
      <c r="G108" s="295" t="s">
        <v>444</v>
      </c>
      <c r="H108" s="273"/>
      <c r="I108" s="28">
        <v>1</v>
      </c>
      <c r="J108" s="537"/>
      <c r="K108" s="275"/>
      <c r="L108" s="276"/>
    </row>
    <row r="109" spans="1:12" ht="13.5" x14ac:dyDescent="0.2">
      <c r="A109" s="534"/>
      <c r="B109" s="284"/>
      <c r="C109" s="285"/>
      <c r="D109" s="286"/>
      <c r="E109" s="534"/>
      <c r="F109" s="534"/>
      <c r="G109" s="295" t="s">
        <v>453</v>
      </c>
      <c r="H109" s="273"/>
      <c r="I109" s="28">
        <v>1</v>
      </c>
      <c r="J109" s="284"/>
      <c r="K109" s="285"/>
      <c r="L109" s="286"/>
    </row>
    <row r="110" spans="1:12" ht="13.5" x14ac:dyDescent="0.2">
      <c r="A110" s="534"/>
      <c r="B110" s="284"/>
      <c r="C110" s="285"/>
      <c r="D110" s="286"/>
      <c r="E110" s="534"/>
      <c r="F110" s="534"/>
      <c r="G110" s="295" t="s">
        <v>2583</v>
      </c>
      <c r="H110" s="273"/>
      <c r="I110" s="28"/>
      <c r="J110" s="284"/>
      <c r="K110" s="285"/>
      <c r="L110" s="286"/>
    </row>
    <row r="111" spans="1:12" ht="13.5" x14ac:dyDescent="0.2">
      <c r="A111" s="534"/>
      <c r="B111" s="284"/>
      <c r="C111" s="285"/>
      <c r="D111" s="286"/>
      <c r="E111" s="534"/>
      <c r="F111" s="534"/>
      <c r="G111" s="295" t="s">
        <v>2584</v>
      </c>
      <c r="H111" s="273"/>
      <c r="I111" s="28"/>
      <c r="J111" s="284"/>
      <c r="K111" s="285"/>
      <c r="L111" s="286"/>
    </row>
    <row r="112" spans="1:12" ht="13.5" x14ac:dyDescent="0.2">
      <c r="A112" s="534"/>
      <c r="B112" s="284"/>
      <c r="C112" s="285"/>
      <c r="D112" s="286"/>
      <c r="E112" s="534"/>
      <c r="F112" s="534"/>
      <c r="G112" s="295" t="s">
        <v>2585</v>
      </c>
      <c r="H112" s="273"/>
      <c r="I112" s="28"/>
      <c r="J112" s="284"/>
      <c r="K112" s="285"/>
      <c r="L112" s="286"/>
    </row>
    <row r="113" spans="1:12" ht="13.5" x14ac:dyDescent="0.2">
      <c r="A113" s="534"/>
      <c r="B113" s="284"/>
      <c r="C113" s="285"/>
      <c r="D113" s="286"/>
      <c r="E113" s="534"/>
      <c r="F113" s="534"/>
      <c r="G113" s="295" t="s">
        <v>2586</v>
      </c>
      <c r="H113" s="273"/>
      <c r="I113" s="28"/>
      <c r="J113" s="284"/>
      <c r="K113" s="285"/>
      <c r="L113" s="286"/>
    </row>
    <row r="114" spans="1:12" ht="13.5" x14ac:dyDescent="0.2">
      <c r="A114" s="534"/>
      <c r="B114" s="284"/>
      <c r="C114" s="285"/>
      <c r="D114" s="286"/>
      <c r="E114" s="534"/>
      <c r="F114" s="534"/>
      <c r="G114" s="295" t="s">
        <v>2587</v>
      </c>
      <c r="H114" s="273"/>
      <c r="I114" s="28"/>
      <c r="J114" s="284"/>
      <c r="K114" s="285"/>
      <c r="L114" s="286"/>
    </row>
    <row r="115" spans="1:12" ht="13.5" x14ac:dyDescent="0.2">
      <c r="A115" s="534"/>
      <c r="B115" s="284"/>
      <c r="C115" s="285"/>
      <c r="D115" s="286"/>
      <c r="E115" s="534"/>
      <c r="F115" s="534"/>
      <c r="G115" s="295" t="s">
        <v>2606</v>
      </c>
      <c r="H115" s="273"/>
      <c r="I115" s="28"/>
      <c r="J115" s="284"/>
      <c r="K115" s="285"/>
      <c r="L115" s="286"/>
    </row>
    <row r="116" spans="1:12" ht="13.5" x14ac:dyDescent="0.2">
      <c r="A116" s="281"/>
      <c r="B116" s="277"/>
      <c r="C116" s="278"/>
      <c r="D116" s="279"/>
      <c r="E116" s="281"/>
      <c r="F116" s="281"/>
      <c r="G116" s="295" t="s">
        <v>2607</v>
      </c>
      <c r="H116" s="273"/>
      <c r="I116" s="28"/>
      <c r="J116" s="277"/>
      <c r="K116" s="278"/>
      <c r="L116" s="279"/>
    </row>
    <row r="118" spans="1:12" x14ac:dyDescent="0.2">
      <c r="A118" s="287" t="s">
        <v>76</v>
      </c>
      <c r="B118" s="271"/>
      <c r="C118" s="271"/>
      <c r="D118" s="311"/>
      <c r="E118" s="16" t="s">
        <v>77</v>
      </c>
      <c r="F118" s="16" t="s">
        <v>78</v>
      </c>
      <c r="G118" s="532" t="s">
        <v>2576</v>
      </c>
      <c r="H118" s="482"/>
      <c r="I118" s="287" t="s">
        <v>2579</v>
      </c>
      <c r="J118" s="271"/>
      <c r="K118" s="271"/>
      <c r="L118" s="273"/>
    </row>
    <row r="119" spans="1:12" ht="13.5" x14ac:dyDescent="0.2">
      <c r="A119" s="533" t="s">
        <v>118</v>
      </c>
      <c r="B119" s="535" t="s">
        <v>119</v>
      </c>
      <c r="C119" s="275"/>
      <c r="D119" s="276"/>
      <c r="E119" s="533" t="s">
        <v>934</v>
      </c>
      <c r="F119" s="536">
        <f>+I119</f>
        <v>4.8208000000000002</v>
      </c>
      <c r="G119" s="295" t="s">
        <v>444</v>
      </c>
      <c r="H119" s="273"/>
      <c r="I119" s="28">
        <f>I121*I122</f>
        <v>4.8208000000000002</v>
      </c>
      <c r="J119" s="537"/>
      <c r="K119" s="275"/>
      <c r="L119" s="276"/>
    </row>
    <row r="120" spans="1:12" ht="13.5" x14ac:dyDescent="0.2">
      <c r="A120" s="534"/>
      <c r="B120" s="284"/>
      <c r="C120" s="285"/>
      <c r="D120" s="286"/>
      <c r="E120" s="534"/>
      <c r="F120" s="534"/>
      <c r="G120" s="295" t="s">
        <v>453</v>
      </c>
      <c r="H120" s="273"/>
      <c r="I120" s="28">
        <v>1</v>
      </c>
      <c r="J120" s="284"/>
      <c r="K120" s="285"/>
      <c r="L120" s="286"/>
    </row>
    <row r="121" spans="1:12" ht="13.5" x14ac:dyDescent="0.2">
      <c r="A121" s="534"/>
      <c r="B121" s="284"/>
      <c r="C121" s="285"/>
      <c r="D121" s="286"/>
      <c r="E121" s="534"/>
      <c r="F121" s="534"/>
      <c r="G121" s="295" t="s">
        <v>2583</v>
      </c>
      <c r="H121" s="273"/>
      <c r="I121" s="28">
        <v>2.62</v>
      </c>
      <c r="J121" s="284"/>
      <c r="K121" s="285"/>
      <c r="L121" s="286"/>
    </row>
    <row r="122" spans="1:12" ht="13.5" x14ac:dyDescent="0.2">
      <c r="A122" s="534"/>
      <c r="B122" s="284"/>
      <c r="C122" s="285"/>
      <c r="D122" s="286"/>
      <c r="E122" s="534"/>
      <c r="F122" s="534"/>
      <c r="G122" s="295" t="s">
        <v>2584</v>
      </c>
      <c r="H122" s="273"/>
      <c r="I122" s="28">
        <v>1.84</v>
      </c>
      <c r="J122" s="284"/>
      <c r="K122" s="285"/>
      <c r="L122" s="286"/>
    </row>
    <row r="123" spans="1:12" ht="13.5" x14ac:dyDescent="0.2">
      <c r="A123" s="534"/>
      <c r="B123" s="284"/>
      <c r="C123" s="285"/>
      <c r="D123" s="286"/>
      <c r="E123" s="534"/>
      <c r="F123" s="534"/>
      <c r="G123" s="295" t="s">
        <v>2585</v>
      </c>
      <c r="H123" s="273"/>
      <c r="I123" s="28"/>
      <c r="J123" s="284"/>
      <c r="K123" s="285"/>
      <c r="L123" s="286"/>
    </row>
    <row r="124" spans="1:12" ht="13.5" x14ac:dyDescent="0.2">
      <c r="A124" s="534"/>
      <c r="B124" s="284"/>
      <c r="C124" s="285"/>
      <c r="D124" s="286"/>
      <c r="E124" s="534"/>
      <c r="F124" s="534"/>
      <c r="G124" s="295" t="s">
        <v>2586</v>
      </c>
      <c r="H124" s="273"/>
      <c r="I124" s="28"/>
      <c r="J124" s="284"/>
      <c r="K124" s="285"/>
      <c r="L124" s="286"/>
    </row>
    <row r="125" spans="1:12" ht="13.5" x14ac:dyDescent="0.2">
      <c r="A125" s="534"/>
      <c r="B125" s="284"/>
      <c r="C125" s="285"/>
      <c r="D125" s="286"/>
      <c r="E125" s="534"/>
      <c r="F125" s="534"/>
      <c r="G125" s="295" t="s">
        <v>2587</v>
      </c>
      <c r="H125" s="273"/>
      <c r="I125" s="28"/>
      <c r="J125" s="284"/>
      <c r="K125" s="285"/>
      <c r="L125" s="286"/>
    </row>
    <row r="126" spans="1:12" ht="13.5" x14ac:dyDescent="0.2">
      <c r="A126" s="534"/>
      <c r="B126" s="284"/>
      <c r="C126" s="285"/>
      <c r="D126" s="286"/>
      <c r="E126" s="534"/>
      <c r="F126" s="534"/>
      <c r="G126" s="295" t="s">
        <v>2608</v>
      </c>
      <c r="H126" s="273"/>
      <c r="I126" s="28"/>
      <c r="J126" s="284"/>
      <c r="K126" s="285"/>
      <c r="L126" s="286"/>
    </row>
    <row r="127" spans="1:12" ht="13.5" x14ac:dyDescent="0.2">
      <c r="A127" s="281"/>
      <c r="B127" s="277"/>
      <c r="C127" s="278"/>
      <c r="D127" s="279"/>
      <c r="E127" s="281"/>
      <c r="F127" s="281"/>
      <c r="G127" s="295" t="s">
        <v>2609</v>
      </c>
      <c r="H127" s="273"/>
      <c r="I127" s="28"/>
      <c r="J127" s="277"/>
      <c r="K127" s="278"/>
      <c r="L127" s="279"/>
    </row>
    <row r="129" spans="1:12" x14ac:dyDescent="0.2">
      <c r="A129" s="287" t="s">
        <v>76</v>
      </c>
      <c r="B129" s="271"/>
      <c r="C129" s="271"/>
      <c r="D129" s="311"/>
      <c r="E129" s="16" t="s">
        <v>77</v>
      </c>
      <c r="F129" s="16" t="s">
        <v>78</v>
      </c>
      <c r="G129" s="532" t="s">
        <v>2576</v>
      </c>
      <c r="H129" s="482"/>
      <c r="I129" s="287" t="s">
        <v>2579</v>
      </c>
      <c r="J129" s="271"/>
      <c r="K129" s="271"/>
      <c r="L129" s="273"/>
    </row>
    <row r="130" spans="1:12" ht="13.5" x14ac:dyDescent="0.2">
      <c r="A130" s="533" t="s">
        <v>120</v>
      </c>
      <c r="B130" s="535" t="s">
        <v>121</v>
      </c>
      <c r="C130" s="275"/>
      <c r="D130" s="276"/>
      <c r="E130" s="533" t="s">
        <v>934</v>
      </c>
      <c r="F130" s="536">
        <f>+I130</f>
        <v>13.379999999999999</v>
      </c>
      <c r="G130" s="295" t="s">
        <v>444</v>
      </c>
      <c r="H130" s="273"/>
      <c r="I130" s="28">
        <f>I132*I133</f>
        <v>13.379999999999999</v>
      </c>
      <c r="J130" s="537"/>
      <c r="K130" s="275"/>
      <c r="L130" s="276"/>
    </row>
    <row r="131" spans="1:12" ht="13.5" x14ac:dyDescent="0.2">
      <c r="A131" s="534"/>
      <c r="B131" s="284"/>
      <c r="C131" s="285"/>
      <c r="D131" s="286"/>
      <c r="E131" s="534"/>
      <c r="F131" s="534"/>
      <c r="G131" s="295" t="s">
        <v>453</v>
      </c>
      <c r="H131" s="273"/>
      <c r="I131" s="28">
        <v>0</v>
      </c>
      <c r="J131" s="284"/>
      <c r="K131" s="285"/>
      <c r="L131" s="286"/>
    </row>
    <row r="132" spans="1:12" ht="13.5" x14ac:dyDescent="0.2">
      <c r="A132" s="534"/>
      <c r="B132" s="284"/>
      <c r="C132" s="285"/>
      <c r="D132" s="286"/>
      <c r="E132" s="534"/>
      <c r="F132" s="534"/>
      <c r="G132" s="295" t="s">
        <v>2583</v>
      </c>
      <c r="H132" s="273"/>
      <c r="I132" s="28">
        <f>(2.62*2)+(1.84*2)</f>
        <v>8.92</v>
      </c>
      <c r="J132" s="284"/>
      <c r="K132" s="285"/>
      <c r="L132" s="286"/>
    </row>
    <row r="133" spans="1:12" ht="13.5" x14ac:dyDescent="0.2">
      <c r="A133" s="534"/>
      <c r="B133" s="284"/>
      <c r="C133" s="285"/>
      <c r="D133" s="286"/>
      <c r="E133" s="534"/>
      <c r="F133" s="534"/>
      <c r="G133" s="295" t="s">
        <v>2584</v>
      </c>
      <c r="H133" s="273"/>
      <c r="I133" s="28">
        <v>1.5</v>
      </c>
      <c r="J133" s="284"/>
      <c r="K133" s="285"/>
      <c r="L133" s="286"/>
    </row>
    <row r="134" spans="1:12" ht="13.5" x14ac:dyDescent="0.2">
      <c r="A134" s="534"/>
      <c r="B134" s="284"/>
      <c r="C134" s="285"/>
      <c r="D134" s="286"/>
      <c r="E134" s="534"/>
      <c r="F134" s="534"/>
      <c r="G134" s="295" t="s">
        <v>2585</v>
      </c>
      <c r="H134" s="273"/>
      <c r="I134" s="28"/>
      <c r="J134" s="284"/>
      <c r="K134" s="285"/>
      <c r="L134" s="286"/>
    </row>
    <row r="135" spans="1:12" ht="13.5" x14ac:dyDescent="0.2">
      <c r="A135" s="534"/>
      <c r="B135" s="284"/>
      <c r="C135" s="285"/>
      <c r="D135" s="286"/>
      <c r="E135" s="534"/>
      <c r="F135" s="534"/>
      <c r="G135" s="295" t="s">
        <v>2586</v>
      </c>
      <c r="H135" s="273"/>
      <c r="I135" s="28"/>
      <c r="J135" s="284"/>
      <c r="K135" s="285"/>
      <c r="L135" s="286"/>
    </row>
    <row r="136" spans="1:12" ht="13.5" x14ac:dyDescent="0.2">
      <c r="A136" s="534"/>
      <c r="B136" s="284"/>
      <c r="C136" s="285"/>
      <c r="D136" s="286"/>
      <c r="E136" s="534"/>
      <c r="F136" s="534"/>
      <c r="G136" s="295" t="s">
        <v>2587</v>
      </c>
      <c r="H136" s="273"/>
      <c r="I136" s="28"/>
      <c r="J136" s="284"/>
      <c r="K136" s="285"/>
      <c r="L136" s="286"/>
    </row>
    <row r="137" spans="1:12" ht="13.5" x14ac:dyDescent="0.2">
      <c r="A137" s="534"/>
      <c r="B137" s="284"/>
      <c r="C137" s="285"/>
      <c r="D137" s="286"/>
      <c r="E137" s="534"/>
      <c r="F137" s="534"/>
      <c r="G137" s="295" t="s">
        <v>2610</v>
      </c>
      <c r="H137" s="273"/>
      <c r="I137" s="28"/>
      <c r="J137" s="284"/>
      <c r="K137" s="285"/>
      <c r="L137" s="286"/>
    </row>
    <row r="138" spans="1:12" ht="13.5" x14ac:dyDescent="0.2">
      <c r="A138" s="281"/>
      <c r="B138" s="277"/>
      <c r="C138" s="278"/>
      <c r="D138" s="279"/>
      <c r="E138" s="281"/>
      <c r="F138" s="281"/>
      <c r="G138" s="295" t="s">
        <v>2611</v>
      </c>
      <c r="H138" s="273"/>
      <c r="I138" s="28"/>
      <c r="J138" s="277"/>
      <c r="K138" s="278"/>
      <c r="L138" s="279"/>
    </row>
    <row r="140" spans="1:12" x14ac:dyDescent="0.2">
      <c r="A140" s="287" t="s">
        <v>76</v>
      </c>
      <c r="B140" s="271"/>
      <c r="C140" s="271"/>
      <c r="D140" s="311"/>
      <c r="E140" s="16" t="s">
        <v>77</v>
      </c>
      <c r="F140" s="16" t="s">
        <v>78</v>
      </c>
      <c r="G140" s="532" t="s">
        <v>2576</v>
      </c>
      <c r="H140" s="482"/>
      <c r="I140" s="287" t="s">
        <v>2579</v>
      </c>
      <c r="J140" s="271"/>
      <c r="K140" s="271"/>
      <c r="L140" s="273"/>
    </row>
    <row r="141" spans="1:12" ht="13.5" x14ac:dyDescent="0.2">
      <c r="A141" s="533" t="s">
        <v>122</v>
      </c>
      <c r="B141" s="535" t="s">
        <v>123</v>
      </c>
      <c r="C141" s="275"/>
      <c r="D141" s="276"/>
      <c r="E141" s="533" t="s">
        <v>934</v>
      </c>
      <c r="F141" s="536">
        <f>+I141</f>
        <v>28.336000000000002</v>
      </c>
      <c r="G141" s="295" t="s">
        <v>444</v>
      </c>
      <c r="H141" s="273"/>
      <c r="I141" s="28">
        <f>I142*I143*I144</f>
        <v>28.336000000000002</v>
      </c>
      <c r="J141" s="537"/>
      <c r="K141" s="275"/>
      <c r="L141" s="276"/>
    </row>
    <row r="142" spans="1:12" ht="13.5" x14ac:dyDescent="0.2">
      <c r="A142" s="534"/>
      <c r="B142" s="284"/>
      <c r="C142" s="285"/>
      <c r="D142" s="286"/>
      <c r="E142" s="534"/>
      <c r="F142" s="534"/>
      <c r="G142" s="295" t="s">
        <v>453</v>
      </c>
      <c r="H142" s="273"/>
      <c r="I142" s="28">
        <v>1</v>
      </c>
      <c r="J142" s="284"/>
      <c r="K142" s="285"/>
      <c r="L142" s="286"/>
    </row>
    <row r="143" spans="1:12" ht="13.5" x14ac:dyDescent="0.2">
      <c r="A143" s="534"/>
      <c r="B143" s="284"/>
      <c r="C143" s="285"/>
      <c r="D143" s="286"/>
      <c r="E143" s="534"/>
      <c r="F143" s="534"/>
      <c r="G143" s="295" t="s">
        <v>2583</v>
      </c>
      <c r="H143" s="273"/>
      <c r="I143" s="28">
        <f>(2.92*2)+(2.14*2)</f>
        <v>10.120000000000001</v>
      </c>
      <c r="J143" s="284"/>
      <c r="K143" s="285"/>
      <c r="L143" s="286"/>
    </row>
    <row r="144" spans="1:12" ht="13.5" x14ac:dyDescent="0.2">
      <c r="A144" s="534"/>
      <c r="B144" s="284"/>
      <c r="C144" s="285"/>
      <c r="D144" s="286"/>
      <c r="E144" s="534"/>
      <c r="F144" s="534"/>
      <c r="G144" s="295" t="s">
        <v>2584</v>
      </c>
      <c r="H144" s="273"/>
      <c r="I144" s="28">
        <v>2.8</v>
      </c>
      <c r="J144" s="284"/>
      <c r="K144" s="285"/>
      <c r="L144" s="286"/>
    </row>
    <row r="145" spans="1:12" ht="13.5" x14ac:dyDescent="0.2">
      <c r="A145" s="534"/>
      <c r="B145" s="284"/>
      <c r="C145" s="285"/>
      <c r="D145" s="286"/>
      <c r="E145" s="534"/>
      <c r="F145" s="534"/>
      <c r="G145" s="295" t="s">
        <v>2585</v>
      </c>
      <c r="H145" s="273"/>
      <c r="I145" s="28"/>
      <c r="J145" s="284"/>
      <c r="K145" s="285"/>
      <c r="L145" s="286"/>
    </row>
    <row r="146" spans="1:12" ht="13.5" x14ac:dyDescent="0.2">
      <c r="A146" s="534"/>
      <c r="B146" s="284"/>
      <c r="C146" s="285"/>
      <c r="D146" s="286"/>
      <c r="E146" s="534"/>
      <c r="F146" s="534"/>
      <c r="G146" s="295" t="s">
        <v>2586</v>
      </c>
      <c r="H146" s="273"/>
      <c r="I146" s="28"/>
      <c r="J146" s="284"/>
      <c r="K146" s="285"/>
      <c r="L146" s="286"/>
    </row>
    <row r="147" spans="1:12" ht="13.5" x14ac:dyDescent="0.2">
      <c r="A147" s="534"/>
      <c r="B147" s="284"/>
      <c r="C147" s="285"/>
      <c r="D147" s="286"/>
      <c r="E147" s="534"/>
      <c r="F147" s="534"/>
      <c r="G147" s="295" t="s">
        <v>2587</v>
      </c>
      <c r="H147" s="273"/>
      <c r="I147" s="28"/>
      <c r="J147" s="284"/>
      <c r="K147" s="285"/>
      <c r="L147" s="286"/>
    </row>
    <row r="148" spans="1:12" ht="13.5" x14ac:dyDescent="0.2">
      <c r="A148" s="534"/>
      <c r="B148" s="284"/>
      <c r="C148" s="285"/>
      <c r="D148" s="286"/>
      <c r="E148" s="534"/>
      <c r="F148" s="534"/>
      <c r="G148" s="295" t="s">
        <v>2612</v>
      </c>
      <c r="H148" s="273"/>
      <c r="I148" s="28"/>
      <c r="J148" s="284"/>
      <c r="K148" s="285"/>
      <c r="L148" s="286"/>
    </row>
    <row r="149" spans="1:12" ht="13.5" x14ac:dyDescent="0.2">
      <c r="A149" s="281"/>
      <c r="B149" s="277"/>
      <c r="C149" s="278"/>
      <c r="D149" s="279"/>
      <c r="E149" s="281"/>
      <c r="F149" s="281"/>
      <c r="G149" s="295" t="s">
        <v>2613</v>
      </c>
      <c r="H149" s="273"/>
      <c r="I149" s="28"/>
      <c r="J149" s="277"/>
      <c r="K149" s="278"/>
      <c r="L149" s="279"/>
    </row>
    <row r="151" spans="1:12" x14ac:dyDescent="0.2">
      <c r="A151" s="287" t="s">
        <v>76</v>
      </c>
      <c r="B151" s="271"/>
      <c r="C151" s="271"/>
      <c r="D151" s="311"/>
      <c r="E151" s="16" t="s">
        <v>77</v>
      </c>
      <c r="F151" s="16" t="s">
        <v>78</v>
      </c>
      <c r="G151" s="532" t="s">
        <v>2576</v>
      </c>
      <c r="H151" s="482"/>
      <c r="I151" s="287" t="s">
        <v>2579</v>
      </c>
      <c r="J151" s="271"/>
      <c r="K151" s="271"/>
      <c r="L151" s="273"/>
    </row>
    <row r="152" spans="1:12" ht="13.5" x14ac:dyDescent="0.2">
      <c r="A152" s="533" t="s">
        <v>124</v>
      </c>
      <c r="B152" s="535" t="s">
        <v>125</v>
      </c>
      <c r="C152" s="275"/>
      <c r="D152" s="276"/>
      <c r="E152" s="533" t="s">
        <v>934</v>
      </c>
      <c r="F152" s="536">
        <f>+I152</f>
        <v>3</v>
      </c>
      <c r="G152" s="295" t="s">
        <v>444</v>
      </c>
      <c r="H152" s="273"/>
      <c r="I152" s="28">
        <f>I154*I155</f>
        <v>3</v>
      </c>
      <c r="J152" s="537"/>
      <c r="K152" s="275"/>
      <c r="L152" s="276"/>
    </row>
    <row r="153" spans="1:12" ht="13.5" x14ac:dyDescent="0.2">
      <c r="A153" s="534"/>
      <c r="B153" s="284"/>
      <c r="C153" s="285"/>
      <c r="D153" s="286"/>
      <c r="E153" s="534"/>
      <c r="F153" s="534"/>
      <c r="G153" s="295" t="s">
        <v>453</v>
      </c>
      <c r="H153" s="273"/>
      <c r="I153" s="28">
        <v>0</v>
      </c>
      <c r="J153" s="284"/>
      <c r="K153" s="285"/>
      <c r="L153" s="286"/>
    </row>
    <row r="154" spans="1:12" ht="13.5" x14ac:dyDescent="0.2">
      <c r="A154" s="534"/>
      <c r="B154" s="284"/>
      <c r="C154" s="285"/>
      <c r="D154" s="286"/>
      <c r="E154" s="534"/>
      <c r="F154" s="534"/>
      <c r="G154" s="295" t="s">
        <v>2583</v>
      </c>
      <c r="H154" s="273"/>
      <c r="I154" s="28">
        <v>3</v>
      </c>
      <c r="J154" s="284"/>
      <c r="K154" s="285"/>
      <c r="L154" s="286"/>
    </row>
    <row r="155" spans="1:12" ht="13.5" x14ac:dyDescent="0.2">
      <c r="A155" s="534"/>
      <c r="B155" s="284"/>
      <c r="C155" s="285"/>
      <c r="D155" s="286"/>
      <c r="E155" s="534"/>
      <c r="F155" s="534"/>
      <c r="G155" s="295" t="s">
        <v>2584</v>
      </c>
      <c r="H155" s="273"/>
      <c r="I155" s="28">
        <v>1</v>
      </c>
      <c r="J155" s="284"/>
      <c r="K155" s="285"/>
      <c r="L155" s="286"/>
    </row>
    <row r="156" spans="1:12" ht="13.5" x14ac:dyDescent="0.2">
      <c r="A156" s="534"/>
      <c r="B156" s="284"/>
      <c r="C156" s="285"/>
      <c r="D156" s="286"/>
      <c r="E156" s="534"/>
      <c r="F156" s="534"/>
      <c r="G156" s="295" t="s">
        <v>2585</v>
      </c>
      <c r="H156" s="273"/>
      <c r="I156" s="28"/>
      <c r="J156" s="284"/>
      <c r="K156" s="285"/>
      <c r="L156" s="286"/>
    </row>
    <row r="157" spans="1:12" ht="13.5" x14ac:dyDescent="0.2">
      <c r="A157" s="534"/>
      <c r="B157" s="284"/>
      <c r="C157" s="285"/>
      <c r="D157" s="286"/>
      <c r="E157" s="534"/>
      <c r="F157" s="534"/>
      <c r="G157" s="295" t="s">
        <v>2586</v>
      </c>
      <c r="H157" s="273"/>
      <c r="I157" s="28"/>
      <c r="J157" s="284"/>
      <c r="K157" s="285"/>
      <c r="L157" s="286"/>
    </row>
    <row r="158" spans="1:12" ht="13.5" x14ac:dyDescent="0.2">
      <c r="A158" s="534"/>
      <c r="B158" s="284"/>
      <c r="C158" s="285"/>
      <c r="D158" s="286"/>
      <c r="E158" s="534"/>
      <c r="F158" s="534"/>
      <c r="G158" s="295" t="s">
        <v>2587</v>
      </c>
      <c r="H158" s="273"/>
      <c r="I158" s="28"/>
      <c r="J158" s="284"/>
      <c r="K158" s="285"/>
      <c r="L158" s="286"/>
    </row>
    <row r="159" spans="1:12" ht="13.5" x14ac:dyDescent="0.2">
      <c r="A159" s="534"/>
      <c r="B159" s="284"/>
      <c r="C159" s="285"/>
      <c r="D159" s="286"/>
      <c r="E159" s="534"/>
      <c r="F159" s="534"/>
      <c r="G159" s="295" t="s">
        <v>2614</v>
      </c>
      <c r="H159" s="273"/>
      <c r="I159" s="28"/>
      <c r="J159" s="284"/>
      <c r="K159" s="285"/>
      <c r="L159" s="286"/>
    </row>
    <row r="160" spans="1:12" ht="13.5" x14ac:dyDescent="0.2">
      <c r="A160" s="281"/>
      <c r="B160" s="277"/>
      <c r="C160" s="278"/>
      <c r="D160" s="279"/>
      <c r="E160" s="281"/>
      <c r="F160" s="281"/>
      <c r="G160" s="295" t="s">
        <v>2615</v>
      </c>
      <c r="H160" s="273"/>
      <c r="I160" s="28"/>
      <c r="J160" s="277"/>
      <c r="K160" s="278"/>
      <c r="L160" s="279"/>
    </row>
    <row r="162" spans="1:12" x14ac:dyDescent="0.2">
      <c r="A162" s="287" t="s">
        <v>76</v>
      </c>
      <c r="B162" s="271"/>
      <c r="C162" s="271"/>
      <c r="D162" s="311"/>
      <c r="E162" s="16" t="s">
        <v>77</v>
      </c>
      <c r="F162" s="16" t="s">
        <v>78</v>
      </c>
      <c r="G162" s="532" t="s">
        <v>2576</v>
      </c>
      <c r="H162" s="482"/>
      <c r="I162" s="287" t="s">
        <v>2579</v>
      </c>
      <c r="J162" s="271"/>
      <c r="K162" s="271"/>
      <c r="L162" s="273"/>
    </row>
    <row r="163" spans="1:12" ht="13.5" x14ac:dyDescent="0.2">
      <c r="A163" s="533" t="s">
        <v>126</v>
      </c>
      <c r="B163" s="535" t="s">
        <v>127</v>
      </c>
      <c r="C163" s="275"/>
      <c r="D163" s="276"/>
      <c r="E163" s="533" t="s">
        <v>999</v>
      </c>
      <c r="F163" s="536">
        <f>+I163</f>
        <v>1</v>
      </c>
      <c r="G163" s="295" t="s">
        <v>444</v>
      </c>
      <c r="H163" s="273"/>
      <c r="I163" s="28">
        <f>I164</f>
        <v>1</v>
      </c>
      <c r="J163" s="537"/>
      <c r="K163" s="275"/>
      <c r="L163" s="276"/>
    </row>
    <row r="164" spans="1:12" ht="13.5" x14ac:dyDescent="0.2">
      <c r="A164" s="534"/>
      <c r="B164" s="284"/>
      <c r="C164" s="285"/>
      <c r="D164" s="286"/>
      <c r="E164" s="534"/>
      <c r="F164" s="534"/>
      <c r="G164" s="295" t="s">
        <v>453</v>
      </c>
      <c r="H164" s="273"/>
      <c r="I164" s="28">
        <v>1</v>
      </c>
      <c r="J164" s="284"/>
      <c r="K164" s="285"/>
      <c r="L164" s="286"/>
    </row>
    <row r="165" spans="1:12" ht="13.5" x14ac:dyDescent="0.2">
      <c r="A165" s="534"/>
      <c r="B165" s="284"/>
      <c r="C165" s="285"/>
      <c r="D165" s="286"/>
      <c r="E165" s="534"/>
      <c r="F165" s="534"/>
      <c r="G165" s="295" t="s">
        <v>2583</v>
      </c>
      <c r="H165" s="273"/>
      <c r="I165" s="28"/>
      <c r="J165" s="284"/>
      <c r="K165" s="285"/>
      <c r="L165" s="286"/>
    </row>
    <row r="166" spans="1:12" ht="13.5" x14ac:dyDescent="0.2">
      <c r="A166" s="534"/>
      <c r="B166" s="284"/>
      <c r="C166" s="285"/>
      <c r="D166" s="286"/>
      <c r="E166" s="534"/>
      <c r="F166" s="534"/>
      <c r="G166" s="295" t="s">
        <v>2584</v>
      </c>
      <c r="H166" s="273"/>
      <c r="I166" s="28"/>
      <c r="J166" s="284"/>
      <c r="K166" s="285"/>
      <c r="L166" s="286"/>
    </row>
    <row r="167" spans="1:12" ht="13.5" x14ac:dyDescent="0.2">
      <c r="A167" s="534"/>
      <c r="B167" s="284"/>
      <c r="C167" s="285"/>
      <c r="D167" s="286"/>
      <c r="E167" s="534"/>
      <c r="F167" s="534"/>
      <c r="G167" s="295" t="s">
        <v>2585</v>
      </c>
      <c r="H167" s="273"/>
      <c r="I167" s="28"/>
      <c r="J167" s="284"/>
      <c r="K167" s="285"/>
      <c r="L167" s="286"/>
    </row>
    <row r="168" spans="1:12" ht="13.5" x14ac:dyDescent="0.2">
      <c r="A168" s="534"/>
      <c r="B168" s="284"/>
      <c r="C168" s="285"/>
      <c r="D168" s="286"/>
      <c r="E168" s="534"/>
      <c r="F168" s="534"/>
      <c r="G168" s="295" t="s">
        <v>2586</v>
      </c>
      <c r="H168" s="273"/>
      <c r="I168" s="28"/>
      <c r="J168" s="284"/>
      <c r="K168" s="285"/>
      <c r="L168" s="286"/>
    </row>
    <row r="169" spans="1:12" ht="13.5" x14ac:dyDescent="0.2">
      <c r="A169" s="534"/>
      <c r="B169" s="284"/>
      <c r="C169" s="285"/>
      <c r="D169" s="286"/>
      <c r="E169" s="534"/>
      <c r="F169" s="534"/>
      <c r="G169" s="295" t="s">
        <v>2587</v>
      </c>
      <c r="H169" s="273"/>
      <c r="I169" s="28"/>
      <c r="J169" s="284"/>
      <c r="K169" s="285"/>
      <c r="L169" s="286"/>
    </row>
    <row r="170" spans="1:12" ht="13.5" x14ac:dyDescent="0.2">
      <c r="A170" s="534"/>
      <c r="B170" s="284"/>
      <c r="C170" s="285"/>
      <c r="D170" s="286"/>
      <c r="E170" s="534"/>
      <c r="F170" s="534"/>
      <c r="G170" s="295" t="s">
        <v>2616</v>
      </c>
      <c r="H170" s="273"/>
      <c r="I170" s="28"/>
      <c r="J170" s="284"/>
      <c r="K170" s="285"/>
      <c r="L170" s="286"/>
    </row>
    <row r="171" spans="1:12" ht="13.5" x14ac:dyDescent="0.2">
      <c r="A171" s="281"/>
      <c r="B171" s="277"/>
      <c r="C171" s="278"/>
      <c r="D171" s="279"/>
      <c r="E171" s="281"/>
      <c r="F171" s="281"/>
      <c r="G171" s="295" t="s">
        <v>2617</v>
      </c>
      <c r="H171" s="273"/>
      <c r="I171" s="28"/>
      <c r="J171" s="277"/>
      <c r="K171" s="278"/>
      <c r="L171" s="279"/>
    </row>
    <row r="173" spans="1:12" x14ac:dyDescent="0.2">
      <c r="A173" s="287" t="s">
        <v>76</v>
      </c>
      <c r="B173" s="271"/>
      <c r="C173" s="271"/>
      <c r="D173" s="311"/>
      <c r="E173" s="16" t="s">
        <v>77</v>
      </c>
      <c r="F173" s="16" t="s">
        <v>78</v>
      </c>
      <c r="G173" s="532" t="s">
        <v>2576</v>
      </c>
      <c r="H173" s="482"/>
      <c r="I173" s="287" t="s">
        <v>2579</v>
      </c>
      <c r="J173" s="271"/>
      <c r="K173" s="271"/>
      <c r="L173" s="273"/>
    </row>
    <row r="174" spans="1:12" ht="13.5" x14ac:dyDescent="0.2">
      <c r="A174" s="533" t="s">
        <v>128</v>
      </c>
      <c r="B174" s="535" t="s">
        <v>129</v>
      </c>
      <c r="C174" s="275"/>
      <c r="D174" s="276"/>
      <c r="E174" s="533" t="s">
        <v>934</v>
      </c>
      <c r="F174" s="536">
        <f>+I174</f>
        <v>2.5499999999999998</v>
      </c>
      <c r="G174" s="295" t="s">
        <v>444</v>
      </c>
      <c r="H174" s="273"/>
      <c r="I174" s="28">
        <v>2.5499999999999998</v>
      </c>
      <c r="J174" s="537"/>
      <c r="K174" s="275"/>
      <c r="L174" s="276"/>
    </row>
    <row r="175" spans="1:12" ht="13.5" x14ac:dyDescent="0.2">
      <c r="A175" s="534"/>
      <c r="B175" s="284"/>
      <c r="C175" s="285"/>
      <c r="D175" s="286"/>
      <c r="E175" s="534"/>
      <c r="F175" s="534"/>
      <c r="G175" s="295" t="s">
        <v>453</v>
      </c>
      <c r="H175" s="273"/>
      <c r="I175" s="28"/>
      <c r="J175" s="284"/>
      <c r="K175" s="285"/>
      <c r="L175" s="286"/>
    </row>
    <row r="176" spans="1:12" ht="13.5" x14ac:dyDescent="0.2">
      <c r="A176" s="534"/>
      <c r="B176" s="284"/>
      <c r="C176" s="285"/>
      <c r="D176" s="286"/>
      <c r="E176" s="534"/>
      <c r="F176" s="534"/>
      <c r="G176" s="295" t="s">
        <v>2583</v>
      </c>
      <c r="H176" s="273"/>
      <c r="I176" s="28"/>
      <c r="J176" s="284"/>
      <c r="K176" s="285"/>
      <c r="L176" s="286"/>
    </row>
    <row r="177" spans="1:12" ht="13.5" x14ac:dyDescent="0.2">
      <c r="A177" s="534"/>
      <c r="B177" s="284"/>
      <c r="C177" s="285"/>
      <c r="D177" s="286"/>
      <c r="E177" s="534"/>
      <c r="F177" s="534"/>
      <c r="G177" s="295" t="s">
        <v>2584</v>
      </c>
      <c r="H177" s="273"/>
      <c r="I177" s="28"/>
      <c r="J177" s="284"/>
      <c r="K177" s="285"/>
      <c r="L177" s="286"/>
    </row>
    <row r="178" spans="1:12" ht="13.5" x14ac:dyDescent="0.2">
      <c r="A178" s="534"/>
      <c r="B178" s="284"/>
      <c r="C178" s="285"/>
      <c r="D178" s="286"/>
      <c r="E178" s="534"/>
      <c r="F178" s="534"/>
      <c r="G178" s="295" t="s">
        <v>2585</v>
      </c>
      <c r="H178" s="273"/>
      <c r="I178" s="28"/>
      <c r="J178" s="284"/>
      <c r="K178" s="285"/>
      <c r="L178" s="286"/>
    </row>
    <row r="179" spans="1:12" ht="13.5" x14ac:dyDescent="0.2">
      <c r="A179" s="534"/>
      <c r="B179" s="284"/>
      <c r="C179" s="285"/>
      <c r="D179" s="286"/>
      <c r="E179" s="534"/>
      <c r="F179" s="534"/>
      <c r="G179" s="295" t="s">
        <v>2586</v>
      </c>
      <c r="H179" s="273"/>
      <c r="I179" s="28"/>
      <c r="J179" s="284"/>
      <c r="K179" s="285"/>
      <c r="L179" s="286"/>
    </row>
    <row r="180" spans="1:12" ht="13.5" x14ac:dyDescent="0.2">
      <c r="A180" s="534"/>
      <c r="B180" s="284"/>
      <c r="C180" s="285"/>
      <c r="D180" s="286"/>
      <c r="E180" s="534"/>
      <c r="F180" s="534"/>
      <c r="G180" s="295" t="s">
        <v>2587</v>
      </c>
      <c r="H180" s="273"/>
      <c r="I180" s="28"/>
      <c r="J180" s="284"/>
      <c r="K180" s="285"/>
      <c r="L180" s="286"/>
    </row>
    <row r="181" spans="1:12" ht="13.5" x14ac:dyDescent="0.2">
      <c r="A181" s="534"/>
      <c r="B181" s="284"/>
      <c r="C181" s="285"/>
      <c r="D181" s="286"/>
      <c r="E181" s="534"/>
      <c r="F181" s="534"/>
      <c r="G181" s="295" t="s">
        <v>2618</v>
      </c>
      <c r="H181" s="273"/>
      <c r="I181" s="28"/>
      <c r="J181" s="284"/>
      <c r="K181" s="285"/>
      <c r="L181" s="286"/>
    </row>
    <row r="182" spans="1:12" ht="13.5" x14ac:dyDescent="0.2">
      <c r="A182" s="281"/>
      <c r="B182" s="277"/>
      <c r="C182" s="278"/>
      <c r="D182" s="279"/>
      <c r="E182" s="281"/>
      <c r="F182" s="281"/>
      <c r="G182" s="295" t="s">
        <v>2619</v>
      </c>
      <c r="H182" s="273"/>
      <c r="I182" s="28"/>
      <c r="J182" s="277"/>
      <c r="K182" s="278"/>
      <c r="L182" s="279"/>
    </row>
    <row r="184" spans="1:12" x14ac:dyDescent="0.2">
      <c r="A184" s="287" t="s">
        <v>76</v>
      </c>
      <c r="B184" s="271"/>
      <c r="C184" s="271"/>
      <c r="D184" s="311"/>
      <c r="E184" s="16" t="s">
        <v>77</v>
      </c>
      <c r="F184" s="16" t="s">
        <v>78</v>
      </c>
      <c r="G184" s="532" t="s">
        <v>2576</v>
      </c>
      <c r="H184" s="482"/>
      <c r="I184" s="287" t="s">
        <v>2579</v>
      </c>
      <c r="J184" s="271"/>
      <c r="K184" s="271"/>
      <c r="L184" s="273"/>
    </row>
    <row r="185" spans="1:12" ht="13.5" x14ac:dyDescent="0.2">
      <c r="A185" s="533" t="s">
        <v>130</v>
      </c>
      <c r="B185" s="535" t="s">
        <v>131</v>
      </c>
      <c r="C185" s="275"/>
      <c r="D185" s="276"/>
      <c r="E185" s="533" t="s">
        <v>999</v>
      </c>
      <c r="F185" s="536">
        <f>+I185</f>
        <v>1</v>
      </c>
      <c r="G185" s="295" t="s">
        <v>444</v>
      </c>
      <c r="H185" s="273"/>
      <c r="I185" s="28">
        <f>I186*1</f>
        <v>1</v>
      </c>
      <c r="J185" s="537"/>
      <c r="K185" s="275"/>
      <c r="L185" s="276"/>
    </row>
    <row r="186" spans="1:12" ht="13.5" x14ac:dyDescent="0.2">
      <c r="A186" s="534"/>
      <c r="B186" s="284"/>
      <c r="C186" s="285"/>
      <c r="D186" s="286"/>
      <c r="E186" s="534"/>
      <c r="F186" s="534"/>
      <c r="G186" s="295" t="s">
        <v>453</v>
      </c>
      <c r="H186" s="273"/>
      <c r="I186" s="28">
        <v>1</v>
      </c>
      <c r="J186" s="284"/>
      <c r="K186" s="285"/>
      <c r="L186" s="286"/>
    </row>
    <row r="187" spans="1:12" ht="13.5" x14ac:dyDescent="0.2">
      <c r="A187" s="534"/>
      <c r="B187" s="284"/>
      <c r="C187" s="285"/>
      <c r="D187" s="286"/>
      <c r="E187" s="534"/>
      <c r="F187" s="534"/>
      <c r="G187" s="295" t="s">
        <v>2583</v>
      </c>
      <c r="H187" s="273"/>
      <c r="I187" s="28"/>
      <c r="J187" s="284"/>
      <c r="K187" s="285"/>
      <c r="L187" s="286"/>
    </row>
    <row r="188" spans="1:12" ht="13.5" x14ac:dyDescent="0.2">
      <c r="A188" s="534"/>
      <c r="B188" s="284"/>
      <c r="C188" s="285"/>
      <c r="D188" s="286"/>
      <c r="E188" s="534"/>
      <c r="F188" s="534"/>
      <c r="G188" s="295" t="s">
        <v>2584</v>
      </c>
      <c r="H188" s="273"/>
      <c r="I188" s="28"/>
      <c r="J188" s="284"/>
      <c r="K188" s="285"/>
      <c r="L188" s="286"/>
    </row>
    <row r="189" spans="1:12" ht="13.5" x14ac:dyDescent="0.2">
      <c r="A189" s="534"/>
      <c r="B189" s="284"/>
      <c r="C189" s="285"/>
      <c r="D189" s="286"/>
      <c r="E189" s="534"/>
      <c r="F189" s="534"/>
      <c r="G189" s="295" t="s">
        <v>2585</v>
      </c>
      <c r="H189" s="273"/>
      <c r="I189" s="28"/>
      <c r="J189" s="284"/>
      <c r="K189" s="285"/>
      <c r="L189" s="286"/>
    </row>
    <row r="190" spans="1:12" ht="13.5" x14ac:dyDescent="0.2">
      <c r="A190" s="534"/>
      <c r="B190" s="284"/>
      <c r="C190" s="285"/>
      <c r="D190" s="286"/>
      <c r="E190" s="534"/>
      <c r="F190" s="534"/>
      <c r="G190" s="295" t="s">
        <v>2586</v>
      </c>
      <c r="H190" s="273"/>
      <c r="I190" s="28"/>
      <c r="J190" s="284"/>
      <c r="K190" s="285"/>
      <c r="L190" s="286"/>
    </row>
    <row r="191" spans="1:12" ht="13.5" x14ac:dyDescent="0.2">
      <c r="A191" s="534"/>
      <c r="B191" s="284"/>
      <c r="C191" s="285"/>
      <c r="D191" s="286"/>
      <c r="E191" s="534"/>
      <c r="F191" s="534"/>
      <c r="G191" s="295" t="s">
        <v>2587</v>
      </c>
      <c r="H191" s="273"/>
      <c r="I191" s="28"/>
      <c r="J191" s="284"/>
      <c r="K191" s="285"/>
      <c r="L191" s="286"/>
    </row>
    <row r="192" spans="1:12" ht="13.5" x14ac:dyDescent="0.2">
      <c r="A192" s="534"/>
      <c r="B192" s="284"/>
      <c r="C192" s="285"/>
      <c r="D192" s="286"/>
      <c r="E192" s="534"/>
      <c r="F192" s="534"/>
      <c r="G192" s="295" t="s">
        <v>2620</v>
      </c>
      <c r="H192" s="273"/>
      <c r="I192" s="28"/>
      <c r="J192" s="284"/>
      <c r="K192" s="285"/>
      <c r="L192" s="286"/>
    </row>
    <row r="193" spans="1:12" ht="13.5" x14ac:dyDescent="0.2">
      <c r="A193" s="281"/>
      <c r="B193" s="277"/>
      <c r="C193" s="278"/>
      <c r="D193" s="279"/>
      <c r="E193" s="281"/>
      <c r="F193" s="281"/>
      <c r="G193" s="295" t="s">
        <v>2621</v>
      </c>
      <c r="H193" s="273"/>
      <c r="I193" s="28"/>
      <c r="J193" s="277"/>
      <c r="K193" s="278"/>
      <c r="L193" s="279"/>
    </row>
    <row r="195" spans="1:12" x14ac:dyDescent="0.2">
      <c r="A195" s="287" t="s">
        <v>76</v>
      </c>
      <c r="B195" s="271"/>
      <c r="C195" s="271"/>
      <c r="D195" s="311"/>
      <c r="E195" s="16" t="s">
        <v>77</v>
      </c>
      <c r="F195" s="16" t="s">
        <v>78</v>
      </c>
      <c r="G195" s="532" t="s">
        <v>2576</v>
      </c>
      <c r="H195" s="482"/>
      <c r="I195" s="287" t="s">
        <v>2579</v>
      </c>
      <c r="J195" s="271"/>
      <c r="K195" s="271"/>
      <c r="L195" s="273"/>
    </row>
    <row r="196" spans="1:12" ht="13.5" x14ac:dyDescent="0.2">
      <c r="A196" s="533" t="s">
        <v>132</v>
      </c>
      <c r="B196" s="535" t="s">
        <v>135</v>
      </c>
      <c r="C196" s="275"/>
      <c r="D196" s="276"/>
      <c r="E196" s="533" t="s">
        <v>999</v>
      </c>
      <c r="F196" s="536">
        <f>+I196</f>
        <v>1</v>
      </c>
      <c r="G196" s="295" t="s">
        <v>444</v>
      </c>
      <c r="H196" s="273"/>
      <c r="I196" s="28">
        <v>1</v>
      </c>
      <c r="J196" s="541" t="s">
        <v>2582</v>
      </c>
      <c r="K196" s="275"/>
      <c r="L196" s="276"/>
    </row>
    <row r="197" spans="1:12" ht="13.5" x14ac:dyDescent="0.2">
      <c r="A197" s="534"/>
      <c r="B197" s="284"/>
      <c r="C197" s="285"/>
      <c r="D197" s="286"/>
      <c r="E197" s="534"/>
      <c r="F197" s="534"/>
      <c r="G197" s="295" t="s">
        <v>453</v>
      </c>
      <c r="H197" s="273"/>
      <c r="I197" s="28"/>
      <c r="J197" s="284"/>
      <c r="K197" s="285"/>
      <c r="L197" s="286"/>
    </row>
    <row r="198" spans="1:12" ht="13.5" x14ac:dyDescent="0.2">
      <c r="A198" s="534"/>
      <c r="B198" s="284"/>
      <c r="C198" s="285"/>
      <c r="D198" s="286"/>
      <c r="E198" s="534"/>
      <c r="F198" s="534"/>
      <c r="G198" s="295" t="s">
        <v>2583</v>
      </c>
      <c r="H198" s="273"/>
      <c r="I198" s="28"/>
      <c r="J198" s="284"/>
      <c r="K198" s="285"/>
      <c r="L198" s="286"/>
    </row>
    <row r="199" spans="1:12" ht="13.5" x14ac:dyDescent="0.2">
      <c r="A199" s="534"/>
      <c r="B199" s="284"/>
      <c r="C199" s="285"/>
      <c r="D199" s="286"/>
      <c r="E199" s="534"/>
      <c r="F199" s="534"/>
      <c r="G199" s="295" t="s">
        <v>2584</v>
      </c>
      <c r="H199" s="273"/>
      <c r="I199" s="28"/>
      <c r="J199" s="284"/>
      <c r="K199" s="285"/>
      <c r="L199" s="286"/>
    </row>
    <row r="200" spans="1:12" ht="13.5" x14ac:dyDescent="0.2">
      <c r="A200" s="534"/>
      <c r="B200" s="284"/>
      <c r="C200" s="285"/>
      <c r="D200" s="286"/>
      <c r="E200" s="534"/>
      <c r="F200" s="534"/>
      <c r="G200" s="295" t="s">
        <v>2585</v>
      </c>
      <c r="H200" s="273"/>
      <c r="I200" s="28"/>
      <c r="J200" s="284"/>
      <c r="K200" s="285"/>
      <c r="L200" s="286"/>
    </row>
    <row r="201" spans="1:12" ht="13.5" x14ac:dyDescent="0.2">
      <c r="A201" s="534"/>
      <c r="B201" s="284"/>
      <c r="C201" s="285"/>
      <c r="D201" s="286"/>
      <c r="E201" s="534"/>
      <c r="F201" s="534"/>
      <c r="G201" s="295" t="s">
        <v>2586</v>
      </c>
      <c r="H201" s="273"/>
      <c r="I201" s="28"/>
      <c r="J201" s="284"/>
      <c r="K201" s="285"/>
      <c r="L201" s="286"/>
    </row>
    <row r="202" spans="1:12" ht="13.5" x14ac:dyDescent="0.2">
      <c r="A202" s="534"/>
      <c r="B202" s="284"/>
      <c r="C202" s="285"/>
      <c r="D202" s="286"/>
      <c r="E202" s="534"/>
      <c r="F202" s="534"/>
      <c r="G202" s="295" t="s">
        <v>2587</v>
      </c>
      <c r="H202" s="273"/>
      <c r="I202" s="28"/>
      <c r="J202" s="284"/>
      <c r="K202" s="285"/>
      <c r="L202" s="286"/>
    </row>
    <row r="203" spans="1:12" ht="13.5" x14ac:dyDescent="0.2">
      <c r="A203" s="534"/>
      <c r="B203" s="284"/>
      <c r="C203" s="285"/>
      <c r="D203" s="286"/>
      <c r="E203" s="534"/>
      <c r="F203" s="534"/>
      <c r="G203" s="295" t="s">
        <v>2622</v>
      </c>
      <c r="H203" s="273"/>
      <c r="I203" s="28"/>
      <c r="J203" s="284"/>
      <c r="K203" s="285"/>
      <c r="L203" s="286"/>
    </row>
    <row r="204" spans="1:12" ht="13.5" x14ac:dyDescent="0.2">
      <c r="A204" s="281"/>
      <c r="B204" s="277"/>
      <c r="C204" s="278"/>
      <c r="D204" s="279"/>
      <c r="E204" s="281"/>
      <c r="F204" s="281"/>
      <c r="G204" s="295" t="s">
        <v>2623</v>
      </c>
      <c r="H204" s="273"/>
      <c r="I204" s="28"/>
      <c r="J204" s="277"/>
      <c r="K204" s="278"/>
      <c r="L204" s="279"/>
    </row>
    <row r="206" spans="1:12" x14ac:dyDescent="0.2">
      <c r="A206" s="287" t="s">
        <v>76</v>
      </c>
      <c r="B206" s="271"/>
      <c r="C206" s="271"/>
      <c r="D206" s="311"/>
      <c r="E206" s="16" t="s">
        <v>77</v>
      </c>
      <c r="F206" s="16" t="s">
        <v>78</v>
      </c>
      <c r="G206" s="532" t="s">
        <v>2576</v>
      </c>
      <c r="H206" s="482"/>
      <c r="I206" s="287" t="s">
        <v>2579</v>
      </c>
      <c r="J206" s="271"/>
      <c r="K206" s="271"/>
      <c r="L206" s="273"/>
    </row>
    <row r="207" spans="1:12" ht="13.5" x14ac:dyDescent="0.2">
      <c r="A207" s="533" t="s">
        <v>134</v>
      </c>
      <c r="B207" s="535" t="s">
        <v>138</v>
      </c>
      <c r="C207" s="275"/>
      <c r="D207" s="276"/>
      <c r="E207" s="533" t="s">
        <v>999</v>
      </c>
      <c r="F207" s="536">
        <f>+I207</f>
        <v>1</v>
      </c>
      <c r="G207" s="295" t="s">
        <v>444</v>
      </c>
      <c r="H207" s="273"/>
      <c r="I207" s="28">
        <f>I208</f>
        <v>1</v>
      </c>
      <c r="J207" s="537"/>
      <c r="K207" s="275"/>
      <c r="L207" s="276"/>
    </row>
    <row r="208" spans="1:12" ht="13.5" x14ac:dyDescent="0.2">
      <c r="A208" s="534"/>
      <c r="B208" s="284"/>
      <c r="C208" s="285"/>
      <c r="D208" s="286"/>
      <c r="E208" s="534"/>
      <c r="F208" s="534"/>
      <c r="G208" s="295" t="s">
        <v>453</v>
      </c>
      <c r="H208" s="273"/>
      <c r="I208" s="28">
        <v>1</v>
      </c>
      <c r="J208" s="284"/>
      <c r="K208" s="285"/>
      <c r="L208" s="286"/>
    </row>
    <row r="209" spans="1:12" ht="13.5" x14ac:dyDescent="0.2">
      <c r="A209" s="534"/>
      <c r="B209" s="284"/>
      <c r="C209" s="285"/>
      <c r="D209" s="286"/>
      <c r="E209" s="534"/>
      <c r="F209" s="534"/>
      <c r="G209" s="295" t="s">
        <v>2583</v>
      </c>
      <c r="H209" s="273"/>
      <c r="I209" s="28"/>
      <c r="J209" s="284"/>
      <c r="K209" s="285"/>
      <c r="L209" s="286"/>
    </row>
    <row r="210" spans="1:12" ht="13.5" x14ac:dyDescent="0.2">
      <c r="A210" s="534"/>
      <c r="B210" s="284"/>
      <c r="C210" s="285"/>
      <c r="D210" s="286"/>
      <c r="E210" s="534"/>
      <c r="F210" s="534"/>
      <c r="G210" s="295" t="s">
        <v>2584</v>
      </c>
      <c r="H210" s="273"/>
      <c r="I210" s="28"/>
      <c r="J210" s="284"/>
      <c r="K210" s="285"/>
      <c r="L210" s="286"/>
    </row>
    <row r="211" spans="1:12" ht="13.5" x14ac:dyDescent="0.2">
      <c r="A211" s="534"/>
      <c r="B211" s="284"/>
      <c r="C211" s="285"/>
      <c r="D211" s="286"/>
      <c r="E211" s="534"/>
      <c r="F211" s="534"/>
      <c r="G211" s="295" t="s">
        <v>2585</v>
      </c>
      <c r="H211" s="273"/>
      <c r="I211" s="28"/>
      <c r="J211" s="284"/>
      <c r="K211" s="285"/>
      <c r="L211" s="286"/>
    </row>
    <row r="212" spans="1:12" ht="13.5" x14ac:dyDescent="0.2">
      <c r="A212" s="534"/>
      <c r="B212" s="284"/>
      <c r="C212" s="285"/>
      <c r="D212" s="286"/>
      <c r="E212" s="534"/>
      <c r="F212" s="534"/>
      <c r="G212" s="295" t="s">
        <v>2586</v>
      </c>
      <c r="H212" s="273"/>
      <c r="I212" s="28"/>
      <c r="J212" s="284"/>
      <c r="K212" s="285"/>
      <c r="L212" s="286"/>
    </row>
    <row r="213" spans="1:12" ht="13.5" x14ac:dyDescent="0.2">
      <c r="A213" s="534"/>
      <c r="B213" s="284"/>
      <c r="C213" s="285"/>
      <c r="D213" s="286"/>
      <c r="E213" s="534"/>
      <c r="F213" s="534"/>
      <c r="G213" s="295" t="s">
        <v>2587</v>
      </c>
      <c r="H213" s="273"/>
      <c r="I213" s="28"/>
      <c r="J213" s="284"/>
      <c r="K213" s="285"/>
      <c r="L213" s="286"/>
    </row>
    <row r="214" spans="1:12" ht="13.5" x14ac:dyDescent="0.2">
      <c r="A214" s="534"/>
      <c r="B214" s="284"/>
      <c r="C214" s="285"/>
      <c r="D214" s="286"/>
      <c r="E214" s="534"/>
      <c r="F214" s="534"/>
      <c r="G214" s="295" t="s">
        <v>2624</v>
      </c>
      <c r="H214" s="273"/>
      <c r="I214" s="28"/>
      <c r="J214" s="284"/>
      <c r="K214" s="285"/>
      <c r="L214" s="286"/>
    </row>
    <row r="215" spans="1:12" ht="13.5" x14ac:dyDescent="0.2">
      <c r="A215" s="281"/>
      <c r="B215" s="277"/>
      <c r="C215" s="278"/>
      <c r="D215" s="279"/>
      <c r="E215" s="281"/>
      <c r="F215" s="281"/>
      <c r="G215" s="295" t="s">
        <v>2625</v>
      </c>
      <c r="H215" s="273"/>
      <c r="I215" s="28"/>
      <c r="J215" s="277"/>
      <c r="K215" s="278"/>
      <c r="L215" s="279"/>
    </row>
    <row r="217" spans="1:12" x14ac:dyDescent="0.2">
      <c r="A217" s="287" t="s">
        <v>76</v>
      </c>
      <c r="B217" s="271"/>
      <c r="C217" s="271"/>
      <c r="D217" s="311"/>
      <c r="E217" s="16" t="s">
        <v>77</v>
      </c>
      <c r="F217" s="16" t="s">
        <v>78</v>
      </c>
      <c r="G217" s="532" t="s">
        <v>2576</v>
      </c>
      <c r="H217" s="482"/>
      <c r="I217" s="287" t="s">
        <v>2579</v>
      </c>
      <c r="J217" s="271"/>
      <c r="K217" s="271"/>
      <c r="L217" s="273"/>
    </row>
    <row r="218" spans="1:12" ht="13.5" x14ac:dyDescent="0.2">
      <c r="A218" s="533" t="s">
        <v>136</v>
      </c>
      <c r="B218" s="535" t="s">
        <v>141</v>
      </c>
      <c r="C218" s="275"/>
      <c r="D218" s="276"/>
      <c r="E218" s="533" t="s">
        <v>999</v>
      </c>
      <c r="F218" s="536">
        <f>+I218</f>
        <v>1</v>
      </c>
      <c r="G218" s="295" t="s">
        <v>444</v>
      </c>
      <c r="H218" s="273"/>
      <c r="I218" s="28">
        <v>1</v>
      </c>
      <c r="J218" s="537"/>
      <c r="K218" s="275"/>
      <c r="L218" s="276"/>
    </row>
    <row r="219" spans="1:12" ht="13.5" x14ac:dyDescent="0.2">
      <c r="A219" s="534"/>
      <c r="B219" s="284"/>
      <c r="C219" s="285"/>
      <c r="D219" s="286"/>
      <c r="E219" s="534"/>
      <c r="F219" s="534"/>
      <c r="G219" s="295" t="s">
        <v>453</v>
      </c>
      <c r="H219" s="273"/>
      <c r="I219" s="28"/>
      <c r="J219" s="284"/>
      <c r="K219" s="285"/>
      <c r="L219" s="286"/>
    </row>
    <row r="220" spans="1:12" ht="13.5" x14ac:dyDescent="0.2">
      <c r="A220" s="534"/>
      <c r="B220" s="284"/>
      <c r="C220" s="285"/>
      <c r="D220" s="286"/>
      <c r="E220" s="534"/>
      <c r="F220" s="534"/>
      <c r="G220" s="295" t="s">
        <v>2583</v>
      </c>
      <c r="H220" s="273"/>
      <c r="I220" s="28"/>
      <c r="J220" s="284"/>
      <c r="K220" s="285"/>
      <c r="L220" s="286"/>
    </row>
    <row r="221" spans="1:12" ht="13.5" x14ac:dyDescent="0.2">
      <c r="A221" s="534"/>
      <c r="B221" s="284"/>
      <c r="C221" s="285"/>
      <c r="D221" s="286"/>
      <c r="E221" s="534"/>
      <c r="F221" s="534"/>
      <c r="G221" s="295" t="s">
        <v>2584</v>
      </c>
      <c r="H221" s="273"/>
      <c r="I221" s="28"/>
      <c r="J221" s="284"/>
      <c r="K221" s="285"/>
      <c r="L221" s="286"/>
    </row>
    <row r="222" spans="1:12" ht="13.5" x14ac:dyDescent="0.2">
      <c r="A222" s="534"/>
      <c r="B222" s="284"/>
      <c r="C222" s="285"/>
      <c r="D222" s="286"/>
      <c r="E222" s="534"/>
      <c r="F222" s="534"/>
      <c r="G222" s="295" t="s">
        <v>2585</v>
      </c>
      <c r="H222" s="273"/>
      <c r="I222" s="28"/>
      <c r="J222" s="284"/>
      <c r="K222" s="285"/>
      <c r="L222" s="286"/>
    </row>
    <row r="223" spans="1:12" ht="13.5" x14ac:dyDescent="0.2">
      <c r="A223" s="534"/>
      <c r="B223" s="284"/>
      <c r="C223" s="285"/>
      <c r="D223" s="286"/>
      <c r="E223" s="534"/>
      <c r="F223" s="534"/>
      <c r="G223" s="295" t="s">
        <v>2586</v>
      </c>
      <c r="H223" s="273"/>
      <c r="I223" s="28"/>
      <c r="J223" s="284"/>
      <c r="K223" s="285"/>
      <c r="L223" s="286"/>
    </row>
    <row r="224" spans="1:12" ht="13.5" x14ac:dyDescent="0.2">
      <c r="A224" s="534"/>
      <c r="B224" s="284"/>
      <c r="C224" s="285"/>
      <c r="D224" s="286"/>
      <c r="E224" s="534"/>
      <c r="F224" s="534"/>
      <c r="G224" s="295" t="s">
        <v>2587</v>
      </c>
      <c r="H224" s="273"/>
      <c r="I224" s="28"/>
      <c r="J224" s="284"/>
      <c r="K224" s="285"/>
      <c r="L224" s="286"/>
    </row>
    <row r="225" spans="1:12" ht="13.5" x14ac:dyDescent="0.2">
      <c r="A225" s="534"/>
      <c r="B225" s="284"/>
      <c r="C225" s="285"/>
      <c r="D225" s="286"/>
      <c r="E225" s="534"/>
      <c r="F225" s="534"/>
      <c r="G225" s="295" t="s">
        <v>2626</v>
      </c>
      <c r="H225" s="273"/>
      <c r="I225" s="28"/>
      <c r="J225" s="284"/>
      <c r="K225" s="285"/>
      <c r="L225" s="286"/>
    </row>
    <row r="226" spans="1:12" ht="13.5" x14ac:dyDescent="0.2">
      <c r="A226" s="281"/>
      <c r="B226" s="277"/>
      <c r="C226" s="278"/>
      <c r="D226" s="279"/>
      <c r="E226" s="281"/>
      <c r="F226" s="281"/>
      <c r="G226" s="295" t="s">
        <v>2627</v>
      </c>
      <c r="H226" s="273"/>
      <c r="I226" s="28"/>
      <c r="J226" s="277"/>
      <c r="K226" s="278"/>
      <c r="L226" s="279"/>
    </row>
    <row r="230" spans="1:12" ht="13.5" x14ac:dyDescent="0.25">
      <c r="A230" s="18"/>
      <c r="B230" s="18"/>
      <c r="C230" s="1"/>
      <c r="D230" s="1"/>
      <c r="E230" s="1"/>
      <c r="F230" s="1"/>
      <c r="G230" s="18"/>
      <c r="H230" s="18"/>
      <c r="I230" s="18"/>
      <c r="J230" s="18"/>
      <c r="K230" s="1"/>
      <c r="L230" s="1"/>
    </row>
    <row r="231" spans="1:12" x14ac:dyDescent="0.2">
      <c r="I231" s="1"/>
      <c r="J231" s="1"/>
    </row>
    <row r="232" spans="1:12" ht="14.25" thickBot="1" x14ac:dyDescent="0.3">
      <c r="F232" s="18"/>
      <c r="G232" s="18"/>
      <c r="H232" s="18"/>
      <c r="I232" s="1"/>
      <c r="J232" s="1"/>
    </row>
    <row r="233" spans="1:12" ht="14.25" thickTop="1" x14ac:dyDescent="0.2">
      <c r="F233" s="302" t="s">
        <v>71</v>
      </c>
      <c r="G233" s="505"/>
      <c r="H233" s="505"/>
      <c r="I233" s="1"/>
      <c r="J233" s="1"/>
    </row>
    <row r="234" spans="1:12" ht="13.5" x14ac:dyDescent="0.25">
      <c r="F234" s="503" t="s">
        <v>72</v>
      </c>
      <c r="G234" s="285"/>
      <c r="H234" s="285"/>
      <c r="I234" s="1"/>
      <c r="J234" s="1"/>
    </row>
    <row r="235" spans="1:12" ht="13.5" x14ac:dyDescent="0.25">
      <c r="F235" s="503" t="s">
        <v>73</v>
      </c>
      <c r="G235" s="285"/>
      <c r="H235" s="285"/>
      <c r="I235" s="1"/>
      <c r="J235" s="1"/>
    </row>
  </sheetData>
  <mergeCells count="347">
    <mergeCell ref="F235:H235"/>
    <mergeCell ref="I217:L217"/>
    <mergeCell ref="J218:L226"/>
    <mergeCell ref="G219:H219"/>
    <mergeCell ref="G220:H220"/>
    <mergeCell ref="G221:H221"/>
    <mergeCell ref="G222:H222"/>
    <mergeCell ref="G223:H223"/>
    <mergeCell ref="I206:L206"/>
    <mergeCell ref="J207:L215"/>
    <mergeCell ref="G208:H208"/>
    <mergeCell ref="G209:H209"/>
    <mergeCell ref="G210:H210"/>
    <mergeCell ref="G211:H211"/>
    <mergeCell ref="G212:H212"/>
    <mergeCell ref="F233:H233"/>
    <mergeCell ref="F234:H234"/>
    <mergeCell ref="A218:A226"/>
    <mergeCell ref="B218:D226"/>
    <mergeCell ref="E218:E226"/>
    <mergeCell ref="F218:F226"/>
    <mergeCell ref="G218:H218"/>
    <mergeCell ref="A217:D217"/>
    <mergeCell ref="G217:H217"/>
    <mergeCell ref="G215:H215"/>
    <mergeCell ref="G224:H224"/>
    <mergeCell ref="G225:H225"/>
    <mergeCell ref="G226:H226"/>
    <mergeCell ref="A207:A215"/>
    <mergeCell ref="B207:D215"/>
    <mergeCell ref="E207:E215"/>
    <mergeCell ref="F207:F215"/>
    <mergeCell ref="G207:H207"/>
    <mergeCell ref="G213:H213"/>
    <mergeCell ref="G214:H214"/>
    <mergeCell ref="G201:H201"/>
    <mergeCell ref="G202:H202"/>
    <mergeCell ref="A196:A204"/>
    <mergeCell ref="B196:D204"/>
    <mergeCell ref="E196:E204"/>
    <mergeCell ref="F196:F204"/>
    <mergeCell ref="G196:H196"/>
    <mergeCell ref="A206:D206"/>
    <mergeCell ref="G206:H206"/>
    <mergeCell ref="G54:H54"/>
    <mergeCell ref="G55:H55"/>
    <mergeCell ref="G56:H56"/>
    <mergeCell ref="G57:H57"/>
    <mergeCell ref="G58:H58"/>
    <mergeCell ref="G59:H59"/>
    <mergeCell ref="G60:H60"/>
    <mergeCell ref="I63:L63"/>
    <mergeCell ref="A53:A61"/>
    <mergeCell ref="B53:D61"/>
    <mergeCell ref="E53:E61"/>
    <mergeCell ref="F53:F61"/>
    <mergeCell ref="G53:H53"/>
    <mergeCell ref="J53:L61"/>
    <mergeCell ref="G61:H61"/>
    <mergeCell ref="A63:D63"/>
    <mergeCell ref="G63:H63"/>
    <mergeCell ref="A41:D41"/>
    <mergeCell ref="A52:D52"/>
    <mergeCell ref="G52:H52"/>
    <mergeCell ref="I52:L52"/>
    <mergeCell ref="A42:A50"/>
    <mergeCell ref="B42:D50"/>
    <mergeCell ref="E42:E50"/>
    <mergeCell ref="F42:F50"/>
    <mergeCell ref="G42:H42"/>
    <mergeCell ref="J42:L50"/>
    <mergeCell ref="G43:H43"/>
    <mergeCell ref="G45:H45"/>
    <mergeCell ref="G46:H46"/>
    <mergeCell ref="G47:H47"/>
    <mergeCell ref="G48:H48"/>
    <mergeCell ref="G49:H49"/>
    <mergeCell ref="G50:H50"/>
    <mergeCell ref="A19:D19"/>
    <mergeCell ref="G19:H19"/>
    <mergeCell ref="I19:L19"/>
    <mergeCell ref="J20:L28"/>
    <mergeCell ref="G21:H21"/>
    <mergeCell ref="G22:H22"/>
    <mergeCell ref="G23:H23"/>
    <mergeCell ref="G44:H44"/>
    <mergeCell ref="G32:H32"/>
    <mergeCell ref="G33:H33"/>
    <mergeCell ref="G34:H34"/>
    <mergeCell ref="G35:H35"/>
    <mergeCell ref="G36:H36"/>
    <mergeCell ref="G37:H37"/>
    <mergeCell ref="G38:H38"/>
    <mergeCell ref="G39:H39"/>
    <mergeCell ref="G41:H41"/>
    <mergeCell ref="I41:L41"/>
    <mergeCell ref="A31:A39"/>
    <mergeCell ref="B31:D39"/>
    <mergeCell ref="E31:E39"/>
    <mergeCell ref="F31:F39"/>
    <mergeCell ref="G31:H31"/>
    <mergeCell ref="J31:L39"/>
    <mergeCell ref="G27:H27"/>
    <mergeCell ref="G28:H28"/>
    <mergeCell ref="A30:D30"/>
    <mergeCell ref="G30:H30"/>
    <mergeCell ref="I30:L30"/>
    <mergeCell ref="A20:A28"/>
    <mergeCell ref="B20:D28"/>
    <mergeCell ref="E20:E28"/>
    <mergeCell ref="F20:F28"/>
    <mergeCell ref="G20:H20"/>
    <mergeCell ref="G24:H24"/>
    <mergeCell ref="G25:H25"/>
    <mergeCell ref="G26:H26"/>
    <mergeCell ref="A9:A17"/>
    <mergeCell ref="B9:D17"/>
    <mergeCell ref="E9:E17"/>
    <mergeCell ref="F9:F17"/>
    <mergeCell ref="G9:H9"/>
    <mergeCell ref="J9:L17"/>
    <mergeCell ref="G10:H10"/>
    <mergeCell ref="G11:H11"/>
    <mergeCell ref="G12:H12"/>
    <mergeCell ref="J185:L193"/>
    <mergeCell ref="A195:D195"/>
    <mergeCell ref="G195:H195"/>
    <mergeCell ref="I195:L195"/>
    <mergeCell ref="J196:L204"/>
    <mergeCell ref="G197:H197"/>
    <mergeCell ref="G203:H203"/>
    <mergeCell ref="G204:H204"/>
    <mergeCell ref="G186:H186"/>
    <mergeCell ref="G192:H192"/>
    <mergeCell ref="G187:H187"/>
    <mergeCell ref="G188:H188"/>
    <mergeCell ref="G189:H189"/>
    <mergeCell ref="G190:H190"/>
    <mergeCell ref="G191:H191"/>
    <mergeCell ref="G198:H198"/>
    <mergeCell ref="G199:H199"/>
    <mergeCell ref="G200:H200"/>
    <mergeCell ref="A185:A193"/>
    <mergeCell ref="B185:D193"/>
    <mergeCell ref="E185:E193"/>
    <mergeCell ref="F185:F193"/>
    <mergeCell ref="G185:H185"/>
    <mergeCell ref="G193:H193"/>
    <mergeCell ref="J174:L182"/>
    <mergeCell ref="G175:H175"/>
    <mergeCell ref="G176:H176"/>
    <mergeCell ref="G177:H177"/>
    <mergeCell ref="G178:H178"/>
    <mergeCell ref="G179:H179"/>
    <mergeCell ref="G181:H181"/>
    <mergeCell ref="G182:H182"/>
    <mergeCell ref="A184:D184"/>
    <mergeCell ref="G184:H184"/>
    <mergeCell ref="I184:L184"/>
    <mergeCell ref="A174:A182"/>
    <mergeCell ref="B174:D182"/>
    <mergeCell ref="E174:E182"/>
    <mergeCell ref="F174:F182"/>
    <mergeCell ref="G174:H174"/>
    <mergeCell ref="G180:H180"/>
    <mergeCell ref="G167:H167"/>
    <mergeCell ref="G168:H168"/>
    <mergeCell ref="G159:H159"/>
    <mergeCell ref="G160:H160"/>
    <mergeCell ref="A162:D162"/>
    <mergeCell ref="G162:H162"/>
    <mergeCell ref="I173:L173"/>
    <mergeCell ref="A163:A171"/>
    <mergeCell ref="B163:D171"/>
    <mergeCell ref="E163:E171"/>
    <mergeCell ref="F163:F171"/>
    <mergeCell ref="G163:H163"/>
    <mergeCell ref="J163:L171"/>
    <mergeCell ref="G164:H164"/>
    <mergeCell ref="G165:H165"/>
    <mergeCell ref="G166:H166"/>
    <mergeCell ref="G170:H170"/>
    <mergeCell ref="G171:H171"/>
    <mergeCell ref="A173:D173"/>
    <mergeCell ref="G173:H173"/>
    <mergeCell ref="G169:H169"/>
    <mergeCell ref="G156:H156"/>
    <mergeCell ref="G157:H157"/>
    <mergeCell ref="G148:H148"/>
    <mergeCell ref="G149:H149"/>
    <mergeCell ref="A151:D151"/>
    <mergeCell ref="G151:H151"/>
    <mergeCell ref="I162:L162"/>
    <mergeCell ref="A152:A160"/>
    <mergeCell ref="B152:D160"/>
    <mergeCell ref="E152:E160"/>
    <mergeCell ref="F152:F160"/>
    <mergeCell ref="G152:H152"/>
    <mergeCell ref="J152:L160"/>
    <mergeCell ref="G153:H153"/>
    <mergeCell ref="G154:H154"/>
    <mergeCell ref="G155:H155"/>
    <mergeCell ref="G158:H158"/>
    <mergeCell ref="G145:H145"/>
    <mergeCell ref="G146:H146"/>
    <mergeCell ref="G147:H147"/>
    <mergeCell ref="G137:H137"/>
    <mergeCell ref="G138:H138"/>
    <mergeCell ref="A140:D140"/>
    <mergeCell ref="G140:H140"/>
    <mergeCell ref="I151:L151"/>
    <mergeCell ref="A141:A149"/>
    <mergeCell ref="B141:D149"/>
    <mergeCell ref="E141:E149"/>
    <mergeCell ref="F141:F149"/>
    <mergeCell ref="G141:H141"/>
    <mergeCell ref="J141:L149"/>
    <mergeCell ref="G142:H142"/>
    <mergeCell ref="G143:H143"/>
    <mergeCell ref="G144:H144"/>
    <mergeCell ref="G134:H134"/>
    <mergeCell ref="G135:H135"/>
    <mergeCell ref="G136:H136"/>
    <mergeCell ref="G126:H126"/>
    <mergeCell ref="G127:H127"/>
    <mergeCell ref="A129:D129"/>
    <mergeCell ref="G129:H129"/>
    <mergeCell ref="I140:L140"/>
    <mergeCell ref="A130:A138"/>
    <mergeCell ref="B130:D138"/>
    <mergeCell ref="E130:E138"/>
    <mergeCell ref="F130:F138"/>
    <mergeCell ref="G130:H130"/>
    <mergeCell ref="J130:L138"/>
    <mergeCell ref="G131:H131"/>
    <mergeCell ref="G132:H132"/>
    <mergeCell ref="G133:H133"/>
    <mergeCell ref="G123:H123"/>
    <mergeCell ref="G124:H124"/>
    <mergeCell ref="G125:H125"/>
    <mergeCell ref="G115:H115"/>
    <mergeCell ref="G116:H116"/>
    <mergeCell ref="A118:D118"/>
    <mergeCell ref="G118:H118"/>
    <mergeCell ref="I129:L129"/>
    <mergeCell ref="A119:A127"/>
    <mergeCell ref="B119:D127"/>
    <mergeCell ref="E119:E127"/>
    <mergeCell ref="F119:F127"/>
    <mergeCell ref="G119:H119"/>
    <mergeCell ref="J119:L127"/>
    <mergeCell ref="G120:H120"/>
    <mergeCell ref="G121:H121"/>
    <mergeCell ref="G122:H122"/>
    <mergeCell ref="I118:L118"/>
    <mergeCell ref="A108:A116"/>
    <mergeCell ref="B108:D116"/>
    <mergeCell ref="E108:E116"/>
    <mergeCell ref="F108:F116"/>
    <mergeCell ref="G108:H108"/>
    <mergeCell ref="J108:L116"/>
    <mergeCell ref="G105:H105"/>
    <mergeCell ref="A107:D107"/>
    <mergeCell ref="G107:H107"/>
    <mergeCell ref="G109:H109"/>
    <mergeCell ref="G110:H110"/>
    <mergeCell ref="G113:H113"/>
    <mergeCell ref="J97:L105"/>
    <mergeCell ref="G98:H98"/>
    <mergeCell ref="G99:H99"/>
    <mergeCell ref="G100:H100"/>
    <mergeCell ref="G101:H101"/>
    <mergeCell ref="G102:H102"/>
    <mergeCell ref="G103:H103"/>
    <mergeCell ref="I107:L107"/>
    <mergeCell ref="G76:H76"/>
    <mergeCell ref="G77:H77"/>
    <mergeCell ref="G78:H78"/>
    <mergeCell ref="G79:H79"/>
    <mergeCell ref="G80:H80"/>
    <mergeCell ref="G114:H114"/>
    <mergeCell ref="A97:A105"/>
    <mergeCell ref="B97:D105"/>
    <mergeCell ref="E97:E105"/>
    <mergeCell ref="F97:F105"/>
    <mergeCell ref="G97:H97"/>
    <mergeCell ref="G87:H87"/>
    <mergeCell ref="G88:H88"/>
    <mergeCell ref="G89:H89"/>
    <mergeCell ref="G93:H93"/>
    <mergeCell ref="G94:H94"/>
    <mergeCell ref="G111:H111"/>
    <mergeCell ref="G112:H112"/>
    <mergeCell ref="A96:D96"/>
    <mergeCell ref="G96:H96"/>
    <mergeCell ref="G90:H90"/>
    <mergeCell ref="G91:H91"/>
    <mergeCell ref="G92:H92"/>
    <mergeCell ref="G104:H104"/>
    <mergeCell ref="I96:L96"/>
    <mergeCell ref="A86:A94"/>
    <mergeCell ref="B86:D94"/>
    <mergeCell ref="E86:E94"/>
    <mergeCell ref="F86:F94"/>
    <mergeCell ref="G86:H86"/>
    <mergeCell ref="J86:L94"/>
    <mergeCell ref="G83:H83"/>
    <mergeCell ref="G71:H71"/>
    <mergeCell ref="G72:H72"/>
    <mergeCell ref="A74:D74"/>
    <mergeCell ref="G74:H74"/>
    <mergeCell ref="I74:L74"/>
    <mergeCell ref="G81:H81"/>
    <mergeCell ref="G82:H82"/>
    <mergeCell ref="A75:A83"/>
    <mergeCell ref="B75:D83"/>
    <mergeCell ref="E75:E83"/>
    <mergeCell ref="F75:F83"/>
    <mergeCell ref="G75:H75"/>
    <mergeCell ref="A85:D85"/>
    <mergeCell ref="G85:H85"/>
    <mergeCell ref="I85:L85"/>
    <mergeCell ref="J75:L83"/>
    <mergeCell ref="K1:L1"/>
    <mergeCell ref="K2:L3"/>
    <mergeCell ref="A5:L6"/>
    <mergeCell ref="A8:D8"/>
    <mergeCell ref="G8:H8"/>
    <mergeCell ref="A64:A72"/>
    <mergeCell ref="B64:D72"/>
    <mergeCell ref="E64:E72"/>
    <mergeCell ref="F64:F72"/>
    <mergeCell ref="G64:H64"/>
    <mergeCell ref="J64:L72"/>
    <mergeCell ref="G65:H65"/>
    <mergeCell ref="G66:H66"/>
    <mergeCell ref="G67:H67"/>
    <mergeCell ref="G68:H68"/>
    <mergeCell ref="G69:H69"/>
    <mergeCell ref="A1:J3"/>
    <mergeCell ref="G70:H70"/>
    <mergeCell ref="G13:H13"/>
    <mergeCell ref="G14:H14"/>
    <mergeCell ref="G15:H15"/>
    <mergeCell ref="G16:H16"/>
    <mergeCell ref="G17:H17"/>
    <mergeCell ref="I8:L8"/>
  </mergeCells>
  <conditionalFormatting sqref="H13:H17 I143:I149">
    <cfRule type="cellIs" dxfId="492" priority="1" operator="lessThan">
      <formula>0.1</formula>
    </cfRule>
  </conditionalFormatting>
  <conditionalFormatting sqref="I9:I12">
    <cfRule type="cellIs" dxfId="491" priority="2" operator="lessThan">
      <formula>0.1</formula>
    </cfRule>
  </conditionalFormatting>
  <conditionalFormatting sqref="H24:H28">
    <cfRule type="cellIs" dxfId="490" priority="3" operator="lessThan">
      <formula>0.1</formula>
    </cfRule>
  </conditionalFormatting>
  <conditionalFormatting sqref="I20:I28">
    <cfRule type="cellIs" dxfId="489" priority="4" operator="lessThan">
      <formula>0.1</formula>
    </cfRule>
  </conditionalFormatting>
  <conditionalFormatting sqref="H35:H39">
    <cfRule type="cellIs" dxfId="488" priority="5" operator="lessThan">
      <formula>0.1</formula>
    </cfRule>
  </conditionalFormatting>
  <conditionalFormatting sqref="I36:I39">
    <cfRule type="cellIs" dxfId="487" priority="6" operator="lessThan">
      <formula>0.1</formula>
    </cfRule>
  </conditionalFormatting>
  <conditionalFormatting sqref="H46:H50">
    <cfRule type="cellIs" dxfId="486" priority="7" operator="lessThan">
      <formula>0.1</formula>
    </cfRule>
  </conditionalFormatting>
  <conditionalFormatting sqref="I42:I50">
    <cfRule type="cellIs" dxfId="485" priority="8" operator="lessThan">
      <formula>0.1</formula>
    </cfRule>
  </conditionalFormatting>
  <conditionalFormatting sqref="H57:H61">
    <cfRule type="cellIs" dxfId="484" priority="9" operator="lessThan">
      <formula>0.1</formula>
    </cfRule>
  </conditionalFormatting>
  <conditionalFormatting sqref="I53:I61">
    <cfRule type="cellIs" dxfId="483" priority="10" operator="lessThan">
      <formula>0.1</formula>
    </cfRule>
  </conditionalFormatting>
  <conditionalFormatting sqref="H68:H72">
    <cfRule type="cellIs" dxfId="482" priority="11" operator="lessThan">
      <formula>0.1</formula>
    </cfRule>
  </conditionalFormatting>
  <conditionalFormatting sqref="I64:I72">
    <cfRule type="cellIs" dxfId="481" priority="12" operator="lessThan">
      <formula>0.1</formula>
    </cfRule>
  </conditionalFormatting>
  <conditionalFormatting sqref="H79:H83">
    <cfRule type="cellIs" dxfId="480" priority="13" operator="lessThan">
      <formula>0.1</formula>
    </cfRule>
  </conditionalFormatting>
  <conditionalFormatting sqref="I76:I83">
    <cfRule type="cellIs" dxfId="479" priority="14" operator="lessThan">
      <formula>0.1</formula>
    </cfRule>
  </conditionalFormatting>
  <conditionalFormatting sqref="H90:H94">
    <cfRule type="cellIs" dxfId="478" priority="15" operator="lessThan">
      <formula>0.1</formula>
    </cfRule>
  </conditionalFormatting>
  <conditionalFormatting sqref="I91:I94">
    <cfRule type="cellIs" dxfId="477" priority="16" operator="lessThan">
      <formula>0.1</formula>
    </cfRule>
  </conditionalFormatting>
  <conditionalFormatting sqref="H101:H105">
    <cfRule type="cellIs" dxfId="476" priority="17" operator="lessThan">
      <formula>0.1</formula>
    </cfRule>
  </conditionalFormatting>
  <conditionalFormatting sqref="I97:I105">
    <cfRule type="cellIs" dxfId="475" priority="18" operator="lessThan">
      <formula>0.1</formula>
    </cfRule>
  </conditionalFormatting>
  <conditionalFormatting sqref="H112:H116">
    <cfRule type="cellIs" dxfId="474" priority="19" operator="lessThan">
      <formula>0.1</formula>
    </cfRule>
  </conditionalFormatting>
  <conditionalFormatting sqref="I108:I116">
    <cfRule type="cellIs" dxfId="473" priority="20" operator="lessThan">
      <formula>0.1</formula>
    </cfRule>
  </conditionalFormatting>
  <conditionalFormatting sqref="H123:H127">
    <cfRule type="cellIs" dxfId="472" priority="21" operator="lessThan">
      <formula>0.1</formula>
    </cfRule>
  </conditionalFormatting>
  <conditionalFormatting sqref="I120:I127">
    <cfRule type="cellIs" dxfId="471" priority="22" operator="lessThan">
      <formula>0.1</formula>
    </cfRule>
  </conditionalFormatting>
  <conditionalFormatting sqref="H134:H138">
    <cfRule type="cellIs" dxfId="470" priority="23" operator="lessThan">
      <formula>0.1</formula>
    </cfRule>
  </conditionalFormatting>
  <conditionalFormatting sqref="I131:I138">
    <cfRule type="cellIs" dxfId="469" priority="24" operator="lessThan">
      <formula>0.1</formula>
    </cfRule>
  </conditionalFormatting>
  <conditionalFormatting sqref="H145:H149">
    <cfRule type="cellIs" dxfId="468" priority="25" operator="lessThan">
      <formula>0.1</formula>
    </cfRule>
  </conditionalFormatting>
  <conditionalFormatting sqref="H156:H160">
    <cfRule type="cellIs" dxfId="467" priority="26" operator="lessThan">
      <formula>0.1</formula>
    </cfRule>
  </conditionalFormatting>
  <conditionalFormatting sqref="I152:I160">
    <cfRule type="cellIs" dxfId="466" priority="27" operator="lessThan">
      <formula>0.1</formula>
    </cfRule>
  </conditionalFormatting>
  <conditionalFormatting sqref="H167:H171">
    <cfRule type="cellIs" dxfId="465" priority="28" operator="lessThan">
      <formula>0.1</formula>
    </cfRule>
  </conditionalFormatting>
  <conditionalFormatting sqref="I163:I171">
    <cfRule type="cellIs" dxfId="464" priority="29" operator="lessThan">
      <formula>0.1</formula>
    </cfRule>
  </conditionalFormatting>
  <conditionalFormatting sqref="H178:H182">
    <cfRule type="cellIs" dxfId="463" priority="30" operator="lessThan">
      <formula>0.1</formula>
    </cfRule>
  </conditionalFormatting>
  <conditionalFormatting sqref="I174:I182">
    <cfRule type="cellIs" dxfId="462" priority="31" operator="lessThan">
      <formula>0.1</formula>
    </cfRule>
  </conditionalFormatting>
  <conditionalFormatting sqref="H211:H215">
    <cfRule type="cellIs" dxfId="461" priority="32" operator="lessThan">
      <formula>0.1</formula>
    </cfRule>
  </conditionalFormatting>
  <conditionalFormatting sqref="I207:I215">
    <cfRule type="cellIs" dxfId="460" priority="33" operator="lessThan">
      <formula>0.1</formula>
    </cfRule>
  </conditionalFormatting>
  <conditionalFormatting sqref="H222:H226">
    <cfRule type="cellIs" dxfId="459" priority="34" operator="lessThan">
      <formula>0.1</formula>
    </cfRule>
  </conditionalFormatting>
  <conditionalFormatting sqref="I218:I226">
    <cfRule type="cellIs" dxfId="458" priority="35" operator="lessThan">
      <formula>0.1</formula>
    </cfRule>
  </conditionalFormatting>
  <conditionalFormatting sqref="I31:I35">
    <cfRule type="cellIs" dxfId="457" priority="36" operator="lessThan">
      <formula>0.1</formula>
    </cfRule>
  </conditionalFormatting>
  <conditionalFormatting sqref="I75">
    <cfRule type="cellIs" dxfId="456" priority="37" operator="lessThan">
      <formula>0.1</formula>
    </cfRule>
  </conditionalFormatting>
  <conditionalFormatting sqref="I119">
    <cfRule type="cellIs" dxfId="455" priority="38" operator="lessThan">
      <formula>0.1</formula>
    </cfRule>
  </conditionalFormatting>
  <conditionalFormatting sqref="I130">
    <cfRule type="cellIs" dxfId="454" priority="39" operator="lessThan">
      <formula>0.1</formula>
    </cfRule>
  </conditionalFormatting>
  <conditionalFormatting sqref="I142">
    <cfRule type="cellIs" dxfId="453" priority="40" operator="lessThan">
      <formula>0.1</formula>
    </cfRule>
  </conditionalFormatting>
  <conditionalFormatting sqref="I141">
    <cfRule type="cellIs" dxfId="452" priority="41" operator="lessThan">
      <formula>0.1</formula>
    </cfRule>
  </conditionalFormatting>
  <conditionalFormatting sqref="H200:H204">
    <cfRule type="cellIs" dxfId="451" priority="42" operator="lessThan">
      <formula>0.1</formula>
    </cfRule>
  </conditionalFormatting>
  <conditionalFormatting sqref="I196:I204">
    <cfRule type="cellIs" dxfId="450" priority="43" operator="lessThan">
      <formula>0.1</formula>
    </cfRule>
  </conditionalFormatting>
  <conditionalFormatting sqref="I90">
    <cfRule type="cellIs" dxfId="449" priority="44" operator="lessThan">
      <formula>0.1</formula>
    </cfRule>
  </conditionalFormatting>
  <conditionalFormatting sqref="I86:I89">
    <cfRule type="cellIs" dxfId="448" priority="45" operator="lessThan">
      <formula>0.1</formula>
    </cfRule>
  </conditionalFormatting>
  <conditionalFormatting sqref="H189:H193">
    <cfRule type="cellIs" dxfId="447" priority="46" operator="lessThan">
      <formula>0.1</formula>
    </cfRule>
  </conditionalFormatting>
  <conditionalFormatting sqref="I187:I193">
    <cfRule type="cellIs" dxfId="446" priority="47" operator="lessThan">
      <formula>0.1</formula>
    </cfRule>
  </conditionalFormatting>
  <conditionalFormatting sqref="I185:I186">
    <cfRule type="cellIs" dxfId="445" priority="48" operator="lessThan">
      <formula>0.1</formula>
    </cfRule>
  </conditionalFormatting>
  <conditionalFormatting sqref="I13:I17">
    <cfRule type="cellIs" dxfId="444" priority="49" operator="lessThan">
      <formula>0.1</formula>
    </cfRule>
  </conditionalFormatting>
  <pageMargins left="0.7" right="0.7" top="0.75" bottom="0.75" header="0.3" footer="0.3"/>
  <pageSetup scale="6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6846C-CEDC-46E2-AD32-1B541E249805}">
  <dimension ref="A1:L341"/>
  <sheetViews>
    <sheetView view="pageBreakPreview" topLeftCell="A140" zoomScale="85" zoomScaleNormal="100" zoomScaleSheetLayoutView="85" workbookViewId="0">
      <selection activeCell="Q24" sqref="Q24"/>
    </sheetView>
  </sheetViews>
  <sheetFormatPr baseColWidth="10" defaultRowHeight="12.75" x14ac:dyDescent="0.2"/>
  <sheetData>
    <row r="1" spans="1:12" x14ac:dyDescent="0.2">
      <c r="A1" s="495" t="str">
        <f>Indice!$A$1</f>
        <v>OPTIMIZACIÓN DE SISTEMA DE ACUEDUCTO DE LA ZONA URBANA DEL MUNICIPIO DE VILLAVIEJA Y LOS CENTROS POBLADOS POTOSÍ, HATO NUEVO, POLONIA Y SAN ALFONSO DEL MUNICIPIO DE VILLAVIEJA, DEPARTAMENTO DEL HUILA</v>
      </c>
      <c r="B1" s="543"/>
      <c r="C1" s="543"/>
      <c r="D1" s="543"/>
      <c r="E1" s="543"/>
      <c r="F1" s="543"/>
      <c r="G1" s="543"/>
      <c r="H1" s="543"/>
      <c r="I1" s="543"/>
      <c r="J1" s="544"/>
      <c r="K1" s="287" t="s">
        <v>74</v>
      </c>
      <c r="L1" s="273"/>
    </row>
    <row r="2" spans="1:12" x14ac:dyDescent="0.2">
      <c r="A2" s="495"/>
      <c r="B2" s="543"/>
      <c r="C2" s="543"/>
      <c r="D2" s="543"/>
      <c r="E2" s="543"/>
      <c r="F2" s="543"/>
      <c r="G2" s="543"/>
      <c r="H2" s="543"/>
      <c r="I2" s="543"/>
      <c r="J2" s="544"/>
      <c r="K2" s="381">
        <f>Indice!$L$1</f>
        <v>46203</v>
      </c>
      <c r="L2" s="276"/>
    </row>
    <row r="3" spans="1:12" x14ac:dyDescent="0.2">
      <c r="A3" s="495"/>
      <c r="B3" s="543"/>
      <c r="C3" s="543"/>
      <c r="D3" s="543"/>
      <c r="E3" s="543"/>
      <c r="F3" s="543"/>
      <c r="G3" s="543"/>
      <c r="H3" s="543"/>
      <c r="I3" s="543"/>
      <c r="J3" s="544"/>
      <c r="K3" s="277"/>
      <c r="L3" s="279"/>
    </row>
    <row r="4" spans="1:12" ht="13.5" x14ac:dyDescent="0.25">
      <c r="A4" s="18"/>
      <c r="B4" s="18"/>
      <c r="C4" s="18"/>
      <c r="D4" s="18"/>
      <c r="E4" s="18"/>
      <c r="F4" s="18"/>
      <c r="G4" s="18"/>
      <c r="H4" s="18"/>
      <c r="I4" s="18"/>
      <c r="J4" s="18"/>
      <c r="K4" s="18"/>
      <c r="L4" s="18"/>
    </row>
    <row r="5" spans="1:12" x14ac:dyDescent="0.2">
      <c r="A5" s="545" t="s">
        <v>2629</v>
      </c>
      <c r="B5" s="315"/>
      <c r="C5" s="315"/>
      <c r="D5" s="315"/>
      <c r="E5" s="315"/>
      <c r="F5" s="315"/>
      <c r="G5" s="315"/>
      <c r="H5" s="315"/>
      <c r="I5" s="315"/>
      <c r="J5" s="315"/>
      <c r="K5" s="315"/>
      <c r="L5" s="315"/>
    </row>
    <row r="6" spans="1:12" x14ac:dyDescent="0.2">
      <c r="A6" s="501"/>
      <c r="B6" s="318"/>
      <c r="C6" s="318"/>
      <c r="D6" s="318"/>
      <c r="E6" s="318"/>
      <c r="F6" s="318"/>
      <c r="G6" s="318"/>
      <c r="H6" s="318"/>
      <c r="I6" s="318"/>
      <c r="J6" s="318"/>
      <c r="K6" s="318"/>
      <c r="L6" s="318"/>
    </row>
    <row r="7" spans="1:12" ht="13.5" x14ac:dyDescent="0.25">
      <c r="A7" s="18"/>
      <c r="B7" s="18"/>
      <c r="C7" s="18"/>
      <c r="D7" s="18"/>
      <c r="E7" s="18"/>
      <c r="F7" s="18"/>
      <c r="G7" s="18"/>
      <c r="H7" s="18"/>
      <c r="I7" s="18"/>
      <c r="J7" s="18"/>
      <c r="K7" s="18"/>
      <c r="L7" s="18"/>
    </row>
    <row r="8" spans="1:12" x14ac:dyDescent="0.2">
      <c r="A8" s="287" t="s">
        <v>76</v>
      </c>
      <c r="B8" s="271"/>
      <c r="C8" s="271"/>
      <c r="D8" s="311"/>
      <c r="E8" s="16" t="s">
        <v>77</v>
      </c>
      <c r="F8" s="16" t="s">
        <v>78</v>
      </c>
      <c r="G8" s="532" t="s">
        <v>2576</v>
      </c>
      <c r="H8" s="482"/>
      <c r="I8" s="287" t="s">
        <v>2579</v>
      </c>
      <c r="J8" s="271"/>
      <c r="K8" s="271"/>
      <c r="L8" s="273"/>
    </row>
    <row r="9" spans="1:12" ht="13.5" x14ac:dyDescent="0.2">
      <c r="A9" s="542" t="s">
        <v>187</v>
      </c>
      <c r="B9" s="535" t="s">
        <v>84</v>
      </c>
      <c r="C9" s="275"/>
      <c r="D9" s="276"/>
      <c r="E9" s="542" t="s">
        <v>934</v>
      </c>
      <c r="F9" s="536">
        <f>+I9</f>
        <v>629</v>
      </c>
      <c r="G9" s="295" t="s">
        <v>444</v>
      </c>
      <c r="H9" s="273"/>
      <c r="I9" s="28">
        <f>I11*I12</f>
        <v>629</v>
      </c>
      <c r="J9" s="546"/>
      <c r="K9" s="275"/>
      <c r="L9" s="276"/>
    </row>
    <row r="10" spans="1:12" ht="13.5" x14ac:dyDescent="0.2">
      <c r="A10" s="534"/>
      <c r="B10" s="284"/>
      <c r="C10" s="285"/>
      <c r="D10" s="286"/>
      <c r="E10" s="534"/>
      <c r="F10" s="534"/>
      <c r="G10" s="295" t="s">
        <v>453</v>
      </c>
      <c r="H10" s="273"/>
      <c r="I10" s="28">
        <v>1</v>
      </c>
      <c r="J10" s="284"/>
      <c r="K10" s="285"/>
      <c r="L10" s="286"/>
    </row>
    <row r="11" spans="1:12" ht="13.5" x14ac:dyDescent="0.2">
      <c r="A11" s="534"/>
      <c r="B11" s="284"/>
      <c r="C11" s="285"/>
      <c r="D11" s="286"/>
      <c r="E11" s="534"/>
      <c r="F11" s="534"/>
      <c r="G11" s="295" t="s">
        <v>2583</v>
      </c>
      <c r="H11" s="273"/>
      <c r="I11" s="28">
        <v>37</v>
      </c>
      <c r="J11" s="284"/>
      <c r="K11" s="285"/>
      <c r="L11" s="286"/>
    </row>
    <row r="12" spans="1:12" ht="13.5" x14ac:dyDescent="0.2">
      <c r="A12" s="534"/>
      <c r="B12" s="284"/>
      <c r="C12" s="285"/>
      <c r="D12" s="286"/>
      <c r="E12" s="534"/>
      <c r="F12" s="534"/>
      <c r="G12" s="295" t="s">
        <v>2584</v>
      </c>
      <c r="H12" s="273"/>
      <c r="I12" s="28">
        <v>17</v>
      </c>
      <c r="J12" s="284"/>
      <c r="K12" s="285"/>
      <c r="L12" s="286"/>
    </row>
    <row r="13" spans="1:12" ht="13.5" x14ac:dyDescent="0.2">
      <c r="A13" s="534"/>
      <c r="B13" s="284"/>
      <c r="C13" s="285"/>
      <c r="D13" s="286"/>
      <c r="E13" s="534"/>
      <c r="F13" s="534"/>
      <c r="G13" s="295" t="s">
        <v>2585</v>
      </c>
      <c r="H13" s="273"/>
      <c r="I13" s="28"/>
      <c r="J13" s="284"/>
      <c r="K13" s="285"/>
      <c r="L13" s="286"/>
    </row>
    <row r="14" spans="1:12" ht="13.5" x14ac:dyDescent="0.2">
      <c r="A14" s="534"/>
      <c r="B14" s="284"/>
      <c r="C14" s="285"/>
      <c r="D14" s="286"/>
      <c r="E14" s="534"/>
      <c r="F14" s="534"/>
      <c r="G14" s="295" t="s">
        <v>2586</v>
      </c>
      <c r="H14" s="273"/>
      <c r="I14" s="28"/>
      <c r="J14" s="284"/>
      <c r="K14" s="285"/>
      <c r="L14" s="286"/>
    </row>
    <row r="15" spans="1:12" ht="13.5" x14ac:dyDescent="0.2">
      <c r="A15" s="534"/>
      <c r="B15" s="284"/>
      <c r="C15" s="285"/>
      <c r="D15" s="286"/>
      <c r="E15" s="534"/>
      <c r="F15" s="534"/>
      <c r="G15" s="295" t="s">
        <v>2587</v>
      </c>
      <c r="H15" s="273"/>
      <c r="I15" s="28"/>
      <c r="J15" s="284"/>
      <c r="K15" s="285"/>
      <c r="L15" s="286"/>
    </row>
    <row r="16" spans="1:12" ht="13.5" x14ac:dyDescent="0.2">
      <c r="A16" s="534"/>
      <c r="B16" s="284"/>
      <c r="C16" s="285"/>
      <c r="D16" s="286"/>
      <c r="E16" s="534"/>
      <c r="F16" s="534"/>
      <c r="G16" s="295" t="s">
        <v>2630</v>
      </c>
      <c r="H16" s="273"/>
      <c r="I16" s="28"/>
      <c r="J16" s="284"/>
      <c r="K16" s="285"/>
      <c r="L16" s="286"/>
    </row>
    <row r="17" spans="1:12" ht="13.5" x14ac:dyDescent="0.2">
      <c r="A17" s="281"/>
      <c r="B17" s="277"/>
      <c r="C17" s="278"/>
      <c r="D17" s="279"/>
      <c r="E17" s="281"/>
      <c r="F17" s="281"/>
      <c r="G17" s="295" t="s">
        <v>2631</v>
      </c>
      <c r="H17" s="273"/>
      <c r="I17" s="28"/>
      <c r="J17" s="277"/>
      <c r="K17" s="278"/>
      <c r="L17" s="279"/>
    </row>
    <row r="18" spans="1:12" ht="13.5" x14ac:dyDescent="0.25">
      <c r="A18" s="18"/>
      <c r="B18" s="18"/>
      <c r="C18" s="18"/>
      <c r="D18" s="18"/>
      <c r="E18" s="18"/>
      <c r="F18" s="18"/>
      <c r="G18" s="18"/>
      <c r="H18" s="18"/>
      <c r="I18" s="18"/>
      <c r="J18" s="18"/>
      <c r="K18" s="18"/>
      <c r="L18" s="18"/>
    </row>
    <row r="19" spans="1:12" x14ac:dyDescent="0.2">
      <c r="A19" s="287" t="s">
        <v>76</v>
      </c>
      <c r="B19" s="271"/>
      <c r="C19" s="271"/>
      <c r="D19" s="311"/>
      <c r="E19" s="16" t="s">
        <v>77</v>
      </c>
      <c r="F19" s="16" t="s">
        <v>78</v>
      </c>
      <c r="G19" s="532" t="s">
        <v>2576</v>
      </c>
      <c r="H19" s="482"/>
      <c r="I19" s="287" t="s">
        <v>2579</v>
      </c>
      <c r="J19" s="271"/>
      <c r="K19" s="271"/>
      <c r="L19" s="273"/>
    </row>
    <row r="20" spans="1:12" ht="13.5" x14ac:dyDescent="0.2">
      <c r="A20" s="542" t="s">
        <v>211</v>
      </c>
      <c r="B20" s="535" t="s">
        <v>2632</v>
      </c>
      <c r="C20" s="275"/>
      <c r="D20" s="276"/>
      <c r="E20" s="533" t="s">
        <v>999</v>
      </c>
      <c r="F20" s="536">
        <f>+I20</f>
        <v>1</v>
      </c>
      <c r="G20" s="295" t="s">
        <v>444</v>
      </c>
      <c r="H20" s="273"/>
      <c r="I20" s="28">
        <f>I21</f>
        <v>1</v>
      </c>
      <c r="J20" s="313"/>
      <c r="K20" s="275"/>
      <c r="L20" s="276"/>
    </row>
    <row r="21" spans="1:12" ht="13.5" x14ac:dyDescent="0.2">
      <c r="A21" s="534"/>
      <c r="B21" s="284"/>
      <c r="C21" s="285"/>
      <c r="D21" s="286"/>
      <c r="E21" s="534"/>
      <c r="F21" s="534"/>
      <c r="G21" s="295" t="s">
        <v>453</v>
      </c>
      <c r="H21" s="273"/>
      <c r="I21" s="28">
        <v>1</v>
      </c>
      <c r="J21" s="284"/>
      <c r="K21" s="285"/>
      <c r="L21" s="286"/>
    </row>
    <row r="22" spans="1:12" ht="13.5" x14ac:dyDescent="0.2">
      <c r="A22" s="534"/>
      <c r="B22" s="284"/>
      <c r="C22" s="285"/>
      <c r="D22" s="286"/>
      <c r="E22" s="534"/>
      <c r="F22" s="534"/>
      <c r="G22" s="295" t="s">
        <v>2583</v>
      </c>
      <c r="H22" s="273"/>
      <c r="I22" s="28"/>
      <c r="J22" s="284"/>
      <c r="K22" s="285"/>
      <c r="L22" s="286"/>
    </row>
    <row r="23" spans="1:12" ht="13.5" x14ac:dyDescent="0.2">
      <c r="A23" s="534"/>
      <c r="B23" s="284"/>
      <c r="C23" s="285"/>
      <c r="D23" s="286"/>
      <c r="E23" s="534"/>
      <c r="F23" s="534"/>
      <c r="G23" s="295" t="s">
        <v>2584</v>
      </c>
      <c r="H23" s="273"/>
      <c r="I23" s="28"/>
      <c r="J23" s="284"/>
      <c r="K23" s="285"/>
      <c r="L23" s="286"/>
    </row>
    <row r="24" spans="1:12" ht="13.5" x14ac:dyDescent="0.2">
      <c r="A24" s="534"/>
      <c r="B24" s="284"/>
      <c r="C24" s="285"/>
      <c r="D24" s="286"/>
      <c r="E24" s="534"/>
      <c r="F24" s="534"/>
      <c r="G24" s="295" t="s">
        <v>2585</v>
      </c>
      <c r="H24" s="273"/>
      <c r="I24" s="28"/>
      <c r="J24" s="284"/>
      <c r="K24" s="285"/>
      <c r="L24" s="286"/>
    </row>
    <row r="25" spans="1:12" ht="13.5" x14ac:dyDescent="0.2">
      <c r="A25" s="534"/>
      <c r="B25" s="284"/>
      <c r="C25" s="285"/>
      <c r="D25" s="286"/>
      <c r="E25" s="534"/>
      <c r="F25" s="534"/>
      <c r="G25" s="295" t="s">
        <v>2586</v>
      </c>
      <c r="H25" s="273"/>
      <c r="I25" s="28"/>
      <c r="J25" s="284"/>
      <c r="K25" s="285"/>
      <c r="L25" s="286"/>
    </row>
    <row r="26" spans="1:12" ht="13.5" x14ac:dyDescent="0.2">
      <c r="A26" s="534"/>
      <c r="B26" s="284"/>
      <c r="C26" s="285"/>
      <c r="D26" s="286"/>
      <c r="E26" s="534"/>
      <c r="F26" s="534"/>
      <c r="G26" s="295" t="s">
        <v>2587</v>
      </c>
      <c r="H26" s="273"/>
      <c r="I26" s="28"/>
      <c r="J26" s="284"/>
      <c r="K26" s="285"/>
      <c r="L26" s="286"/>
    </row>
    <row r="27" spans="1:12" ht="13.5" x14ac:dyDescent="0.2">
      <c r="A27" s="534"/>
      <c r="B27" s="284"/>
      <c r="C27" s="285"/>
      <c r="D27" s="286"/>
      <c r="E27" s="534"/>
      <c r="F27" s="534"/>
      <c r="G27" s="295" t="s">
        <v>2633</v>
      </c>
      <c r="H27" s="273"/>
      <c r="I27" s="28"/>
      <c r="J27" s="284"/>
      <c r="K27" s="285"/>
      <c r="L27" s="286"/>
    </row>
    <row r="28" spans="1:12" ht="13.5" x14ac:dyDescent="0.2">
      <c r="A28" s="281"/>
      <c r="B28" s="277"/>
      <c r="C28" s="278"/>
      <c r="D28" s="279"/>
      <c r="E28" s="281"/>
      <c r="F28" s="281"/>
      <c r="G28" s="295" t="s">
        <v>2634</v>
      </c>
      <c r="H28" s="273"/>
      <c r="I28" s="28"/>
      <c r="J28" s="277"/>
      <c r="K28" s="278"/>
      <c r="L28" s="279"/>
    </row>
    <row r="29" spans="1:12" ht="13.5" x14ac:dyDescent="0.25">
      <c r="A29" s="18"/>
      <c r="B29" s="18"/>
      <c r="C29" s="18"/>
      <c r="D29" s="18"/>
      <c r="E29" s="18"/>
      <c r="F29" s="18"/>
      <c r="G29" s="18"/>
      <c r="H29" s="18"/>
      <c r="I29" s="18"/>
      <c r="J29" s="18"/>
      <c r="K29" s="18"/>
      <c r="L29" s="18"/>
    </row>
    <row r="30" spans="1:12" x14ac:dyDescent="0.2">
      <c r="A30" s="287" t="s">
        <v>76</v>
      </c>
      <c r="B30" s="271"/>
      <c r="C30" s="271"/>
      <c r="D30" s="311"/>
      <c r="E30" s="16" t="s">
        <v>77</v>
      </c>
      <c r="F30" s="16" t="s">
        <v>78</v>
      </c>
      <c r="G30" s="532" t="s">
        <v>2576</v>
      </c>
      <c r="H30" s="482"/>
      <c r="I30" s="287" t="s">
        <v>2579</v>
      </c>
      <c r="J30" s="271"/>
      <c r="K30" s="271"/>
      <c r="L30" s="273"/>
    </row>
    <row r="31" spans="1:12" ht="13.5" x14ac:dyDescent="0.2">
      <c r="A31" s="542" t="s">
        <v>218</v>
      </c>
      <c r="B31" s="535" t="s">
        <v>125</v>
      </c>
      <c r="C31" s="275"/>
      <c r="D31" s="276"/>
      <c r="E31" s="533" t="s">
        <v>934</v>
      </c>
      <c r="F31" s="536">
        <f>+I31</f>
        <v>3</v>
      </c>
      <c r="G31" s="295" t="s">
        <v>444</v>
      </c>
      <c r="H31" s="273"/>
      <c r="I31" s="28">
        <f>I33*I34</f>
        <v>3</v>
      </c>
      <c r="J31" s="547" t="s">
        <v>2582</v>
      </c>
      <c r="K31" s="275"/>
      <c r="L31" s="276"/>
    </row>
    <row r="32" spans="1:12" ht="13.5" x14ac:dyDescent="0.2">
      <c r="A32" s="534"/>
      <c r="B32" s="284"/>
      <c r="C32" s="285"/>
      <c r="D32" s="286"/>
      <c r="E32" s="534"/>
      <c r="F32" s="534"/>
      <c r="G32" s="295" t="s">
        <v>453</v>
      </c>
      <c r="H32" s="273"/>
      <c r="I32" s="28"/>
      <c r="J32" s="284"/>
      <c r="K32" s="285"/>
      <c r="L32" s="286"/>
    </row>
    <row r="33" spans="1:12" ht="13.5" x14ac:dyDescent="0.2">
      <c r="A33" s="534"/>
      <c r="B33" s="284"/>
      <c r="C33" s="285"/>
      <c r="D33" s="286"/>
      <c r="E33" s="534"/>
      <c r="F33" s="534"/>
      <c r="G33" s="295" t="s">
        <v>2583</v>
      </c>
      <c r="H33" s="273"/>
      <c r="I33" s="28">
        <v>3</v>
      </c>
      <c r="J33" s="284"/>
      <c r="K33" s="285"/>
      <c r="L33" s="286"/>
    </row>
    <row r="34" spans="1:12" ht="13.5" x14ac:dyDescent="0.2">
      <c r="A34" s="534"/>
      <c r="B34" s="284"/>
      <c r="C34" s="285"/>
      <c r="D34" s="286"/>
      <c r="E34" s="534"/>
      <c r="F34" s="534"/>
      <c r="G34" s="295" t="s">
        <v>2584</v>
      </c>
      <c r="H34" s="273"/>
      <c r="I34" s="28">
        <v>1</v>
      </c>
      <c r="J34" s="284"/>
      <c r="K34" s="285"/>
      <c r="L34" s="286"/>
    </row>
    <row r="35" spans="1:12" ht="13.5" x14ac:dyDescent="0.2">
      <c r="A35" s="534"/>
      <c r="B35" s="284"/>
      <c r="C35" s="285"/>
      <c r="D35" s="286"/>
      <c r="E35" s="534"/>
      <c r="F35" s="534"/>
      <c r="G35" s="295" t="s">
        <v>2585</v>
      </c>
      <c r="H35" s="273"/>
      <c r="I35" s="28"/>
      <c r="J35" s="284"/>
      <c r="K35" s="285"/>
      <c r="L35" s="286"/>
    </row>
    <row r="36" spans="1:12" ht="13.5" x14ac:dyDescent="0.2">
      <c r="A36" s="534"/>
      <c r="B36" s="284"/>
      <c r="C36" s="285"/>
      <c r="D36" s="286"/>
      <c r="E36" s="534"/>
      <c r="F36" s="534"/>
      <c r="G36" s="295" t="s">
        <v>2586</v>
      </c>
      <c r="H36" s="273"/>
      <c r="I36" s="28"/>
      <c r="J36" s="284"/>
      <c r="K36" s="285"/>
      <c r="L36" s="286"/>
    </row>
    <row r="37" spans="1:12" ht="13.5" x14ac:dyDescent="0.2">
      <c r="A37" s="534"/>
      <c r="B37" s="284"/>
      <c r="C37" s="285"/>
      <c r="D37" s="286"/>
      <c r="E37" s="534"/>
      <c r="F37" s="534"/>
      <c r="G37" s="295" t="s">
        <v>2587</v>
      </c>
      <c r="H37" s="273"/>
      <c r="I37" s="28"/>
      <c r="J37" s="284"/>
      <c r="K37" s="285"/>
      <c r="L37" s="286"/>
    </row>
    <row r="38" spans="1:12" ht="13.5" x14ac:dyDescent="0.2">
      <c r="A38" s="534"/>
      <c r="B38" s="284"/>
      <c r="C38" s="285"/>
      <c r="D38" s="286"/>
      <c r="E38" s="534"/>
      <c r="F38" s="534"/>
      <c r="G38" s="295" t="s">
        <v>2635</v>
      </c>
      <c r="H38" s="273"/>
      <c r="I38" s="28"/>
      <c r="J38" s="284"/>
      <c r="K38" s="285"/>
      <c r="L38" s="286"/>
    </row>
    <row r="39" spans="1:12" ht="13.5" x14ac:dyDescent="0.2">
      <c r="A39" s="281"/>
      <c r="B39" s="277"/>
      <c r="C39" s="278"/>
      <c r="D39" s="279"/>
      <c r="E39" s="281"/>
      <c r="F39" s="281"/>
      <c r="G39" s="295" t="s">
        <v>2636</v>
      </c>
      <c r="H39" s="273"/>
      <c r="I39" s="28"/>
      <c r="J39" s="277"/>
      <c r="K39" s="278"/>
      <c r="L39" s="279"/>
    </row>
    <row r="40" spans="1:12" ht="13.5" x14ac:dyDescent="0.25">
      <c r="A40" s="18"/>
      <c r="B40" s="18"/>
      <c r="C40" s="18"/>
      <c r="D40" s="18"/>
      <c r="E40" s="18"/>
      <c r="F40" s="18"/>
      <c r="G40" s="18"/>
      <c r="H40" s="18"/>
      <c r="I40" s="18"/>
      <c r="J40" s="18"/>
      <c r="K40" s="18"/>
      <c r="L40" s="18"/>
    </row>
    <row r="41" spans="1:12" x14ac:dyDescent="0.2">
      <c r="A41" s="287" t="s">
        <v>76</v>
      </c>
      <c r="B41" s="271"/>
      <c r="C41" s="271"/>
      <c r="D41" s="311"/>
      <c r="E41" s="16" t="s">
        <v>77</v>
      </c>
      <c r="F41" s="16" t="s">
        <v>78</v>
      </c>
      <c r="G41" s="532" t="s">
        <v>2576</v>
      </c>
      <c r="H41" s="482"/>
      <c r="I41" s="287" t="s">
        <v>2579</v>
      </c>
      <c r="J41" s="271"/>
      <c r="K41" s="271"/>
      <c r="L41" s="273"/>
    </row>
    <row r="42" spans="1:12" ht="13.5" x14ac:dyDescent="0.2">
      <c r="A42" s="542" t="s">
        <v>219</v>
      </c>
      <c r="B42" s="535" t="s">
        <v>129</v>
      </c>
      <c r="C42" s="275"/>
      <c r="D42" s="276"/>
      <c r="E42" s="533" t="s">
        <v>934</v>
      </c>
      <c r="F42" s="536">
        <f>+I42</f>
        <v>26.18</v>
      </c>
      <c r="G42" s="295" t="s">
        <v>444</v>
      </c>
      <c r="H42" s="273"/>
      <c r="I42" s="28">
        <f>((2*I44)+(2*I45)*I46)</f>
        <v>26.18</v>
      </c>
      <c r="J42" s="313"/>
      <c r="K42" s="275"/>
      <c r="L42" s="276"/>
    </row>
    <row r="43" spans="1:12" ht="13.5" x14ac:dyDescent="0.2">
      <c r="A43" s="534"/>
      <c r="B43" s="284"/>
      <c r="C43" s="285"/>
      <c r="D43" s="286"/>
      <c r="E43" s="534"/>
      <c r="F43" s="534"/>
      <c r="G43" s="295" t="s">
        <v>453</v>
      </c>
      <c r="H43" s="273"/>
      <c r="I43" s="28">
        <v>1</v>
      </c>
      <c r="J43" s="284"/>
      <c r="K43" s="285"/>
      <c r="L43" s="286"/>
    </row>
    <row r="44" spans="1:12" ht="13.5" x14ac:dyDescent="0.2">
      <c r="A44" s="534"/>
      <c r="B44" s="284"/>
      <c r="C44" s="285"/>
      <c r="D44" s="286"/>
      <c r="E44" s="534"/>
      <c r="F44" s="534"/>
      <c r="G44" s="295" t="s">
        <v>2583</v>
      </c>
      <c r="H44" s="273"/>
      <c r="I44" s="28">
        <v>6.25</v>
      </c>
      <c r="J44" s="284"/>
      <c r="K44" s="285"/>
      <c r="L44" s="286"/>
    </row>
    <row r="45" spans="1:12" ht="13.5" x14ac:dyDescent="0.2">
      <c r="A45" s="534"/>
      <c r="B45" s="284"/>
      <c r="C45" s="285"/>
      <c r="D45" s="286"/>
      <c r="E45" s="534"/>
      <c r="F45" s="534"/>
      <c r="G45" s="295" t="s">
        <v>2584</v>
      </c>
      <c r="H45" s="273"/>
      <c r="I45" s="28">
        <v>1.9</v>
      </c>
      <c r="J45" s="284"/>
      <c r="K45" s="285"/>
      <c r="L45" s="286"/>
    </row>
    <row r="46" spans="1:12" ht="13.5" x14ac:dyDescent="0.2">
      <c r="A46" s="534"/>
      <c r="B46" s="284"/>
      <c r="C46" s="285"/>
      <c r="D46" s="286"/>
      <c r="E46" s="534"/>
      <c r="F46" s="534"/>
      <c r="G46" s="295" t="s">
        <v>2585</v>
      </c>
      <c r="H46" s="273"/>
      <c r="I46" s="28">
        <v>3.6</v>
      </c>
      <c r="J46" s="284"/>
      <c r="K46" s="285"/>
      <c r="L46" s="286"/>
    </row>
    <row r="47" spans="1:12" ht="13.5" x14ac:dyDescent="0.2">
      <c r="A47" s="534"/>
      <c r="B47" s="284"/>
      <c r="C47" s="285"/>
      <c r="D47" s="286"/>
      <c r="E47" s="534"/>
      <c r="F47" s="534"/>
      <c r="G47" s="295" t="s">
        <v>2586</v>
      </c>
      <c r="H47" s="273"/>
      <c r="I47" s="28"/>
      <c r="J47" s="284"/>
      <c r="K47" s="285"/>
      <c r="L47" s="286"/>
    </row>
    <row r="48" spans="1:12" ht="13.5" x14ac:dyDescent="0.2">
      <c r="A48" s="534"/>
      <c r="B48" s="284"/>
      <c r="C48" s="285"/>
      <c r="D48" s="286"/>
      <c r="E48" s="534"/>
      <c r="F48" s="534"/>
      <c r="G48" s="295" t="s">
        <v>2587</v>
      </c>
      <c r="H48" s="273"/>
      <c r="I48" s="28"/>
      <c r="J48" s="284"/>
      <c r="K48" s="285"/>
      <c r="L48" s="286"/>
    </row>
    <row r="49" spans="1:12" ht="13.5" x14ac:dyDescent="0.2">
      <c r="A49" s="534"/>
      <c r="B49" s="284"/>
      <c r="C49" s="285"/>
      <c r="D49" s="286"/>
      <c r="E49" s="534"/>
      <c r="F49" s="534"/>
      <c r="G49" s="295" t="s">
        <v>2637</v>
      </c>
      <c r="H49" s="273"/>
      <c r="I49" s="28"/>
      <c r="J49" s="284"/>
      <c r="K49" s="285"/>
      <c r="L49" s="286"/>
    </row>
    <row r="50" spans="1:12" ht="13.5" x14ac:dyDescent="0.2">
      <c r="A50" s="281"/>
      <c r="B50" s="277"/>
      <c r="C50" s="278"/>
      <c r="D50" s="279"/>
      <c r="E50" s="281"/>
      <c r="F50" s="281"/>
      <c r="G50" s="295" t="s">
        <v>2638</v>
      </c>
      <c r="H50" s="273"/>
      <c r="I50" s="28"/>
      <c r="J50" s="277"/>
      <c r="K50" s="278"/>
      <c r="L50" s="279"/>
    </row>
    <row r="51" spans="1:12" ht="13.5" x14ac:dyDescent="0.25">
      <c r="A51" s="18"/>
      <c r="B51" s="18"/>
      <c r="C51" s="18"/>
      <c r="D51" s="18"/>
      <c r="E51" s="18"/>
      <c r="F51" s="18"/>
      <c r="G51" s="18"/>
      <c r="H51" s="18"/>
      <c r="I51" s="18"/>
      <c r="J51" s="18"/>
      <c r="K51" s="18"/>
      <c r="L51" s="18"/>
    </row>
    <row r="52" spans="1:12" x14ac:dyDescent="0.2">
      <c r="A52" s="287" t="s">
        <v>76</v>
      </c>
      <c r="B52" s="271"/>
      <c r="C52" s="271"/>
      <c r="D52" s="311"/>
      <c r="E52" s="16" t="s">
        <v>77</v>
      </c>
      <c r="F52" s="16" t="s">
        <v>78</v>
      </c>
      <c r="G52" s="532" t="s">
        <v>2576</v>
      </c>
      <c r="H52" s="482"/>
      <c r="I52" s="287" t="s">
        <v>2579</v>
      </c>
      <c r="J52" s="271"/>
      <c r="K52" s="271"/>
      <c r="L52" s="273"/>
    </row>
    <row r="53" spans="1:12" ht="13.5" x14ac:dyDescent="0.2">
      <c r="A53" s="542" t="s">
        <v>222</v>
      </c>
      <c r="B53" s="535" t="s">
        <v>2639</v>
      </c>
      <c r="C53" s="275"/>
      <c r="D53" s="276"/>
      <c r="E53" s="533" t="s">
        <v>981</v>
      </c>
      <c r="F53" s="536">
        <f>+I53</f>
        <v>5.6</v>
      </c>
      <c r="G53" s="295" t="s">
        <v>444</v>
      </c>
      <c r="H53" s="273"/>
      <c r="I53" s="28">
        <f>I54*I55</f>
        <v>5.6</v>
      </c>
      <c r="J53" s="313"/>
      <c r="K53" s="275"/>
      <c r="L53" s="276"/>
    </row>
    <row r="54" spans="1:12" ht="13.5" x14ac:dyDescent="0.2">
      <c r="A54" s="534"/>
      <c r="B54" s="284"/>
      <c r="C54" s="285"/>
      <c r="D54" s="286"/>
      <c r="E54" s="534"/>
      <c r="F54" s="534"/>
      <c r="G54" s="295" t="s">
        <v>453</v>
      </c>
      <c r="H54" s="273"/>
      <c r="I54" s="28">
        <v>2</v>
      </c>
      <c r="J54" s="284"/>
      <c r="K54" s="285"/>
      <c r="L54" s="286"/>
    </row>
    <row r="55" spans="1:12" ht="13.5" x14ac:dyDescent="0.2">
      <c r="A55" s="534"/>
      <c r="B55" s="284"/>
      <c r="C55" s="285"/>
      <c r="D55" s="286"/>
      <c r="E55" s="534"/>
      <c r="F55" s="534"/>
      <c r="G55" s="295" t="s">
        <v>2583</v>
      </c>
      <c r="H55" s="273"/>
      <c r="I55" s="28">
        <v>2.8</v>
      </c>
      <c r="J55" s="284"/>
      <c r="K55" s="285"/>
      <c r="L55" s="286"/>
    </row>
    <row r="56" spans="1:12" ht="13.5" x14ac:dyDescent="0.2">
      <c r="A56" s="534"/>
      <c r="B56" s="284"/>
      <c r="C56" s="285"/>
      <c r="D56" s="286"/>
      <c r="E56" s="534"/>
      <c r="F56" s="534"/>
      <c r="G56" s="295" t="s">
        <v>2584</v>
      </c>
      <c r="H56" s="273"/>
      <c r="I56" s="28"/>
      <c r="J56" s="284"/>
      <c r="K56" s="285"/>
      <c r="L56" s="286"/>
    </row>
    <row r="57" spans="1:12" ht="13.5" x14ac:dyDescent="0.2">
      <c r="A57" s="534"/>
      <c r="B57" s="284"/>
      <c r="C57" s="285"/>
      <c r="D57" s="286"/>
      <c r="E57" s="534"/>
      <c r="F57" s="534"/>
      <c r="G57" s="295" t="s">
        <v>2585</v>
      </c>
      <c r="H57" s="273"/>
      <c r="I57" s="28"/>
      <c r="J57" s="284"/>
      <c r="K57" s="285"/>
      <c r="L57" s="286"/>
    </row>
    <row r="58" spans="1:12" ht="13.5" x14ac:dyDescent="0.2">
      <c r="A58" s="534"/>
      <c r="B58" s="284"/>
      <c r="C58" s="285"/>
      <c r="D58" s="286"/>
      <c r="E58" s="534"/>
      <c r="F58" s="534"/>
      <c r="G58" s="295" t="s">
        <v>2586</v>
      </c>
      <c r="H58" s="273"/>
      <c r="I58" s="28"/>
      <c r="J58" s="284"/>
      <c r="K58" s="285"/>
      <c r="L58" s="286"/>
    </row>
    <row r="59" spans="1:12" ht="13.5" x14ac:dyDescent="0.2">
      <c r="A59" s="534"/>
      <c r="B59" s="284"/>
      <c r="C59" s="285"/>
      <c r="D59" s="286"/>
      <c r="E59" s="534"/>
      <c r="F59" s="534"/>
      <c r="G59" s="295" t="s">
        <v>2587</v>
      </c>
      <c r="H59" s="273"/>
      <c r="I59" s="28"/>
      <c r="J59" s="284"/>
      <c r="K59" s="285"/>
      <c r="L59" s="286"/>
    </row>
    <row r="60" spans="1:12" ht="13.5" x14ac:dyDescent="0.2">
      <c r="A60" s="534"/>
      <c r="B60" s="284"/>
      <c r="C60" s="285"/>
      <c r="D60" s="286"/>
      <c r="E60" s="534"/>
      <c r="F60" s="534"/>
      <c r="G60" s="295" t="s">
        <v>2640</v>
      </c>
      <c r="H60" s="273"/>
      <c r="I60" s="28"/>
      <c r="J60" s="284"/>
      <c r="K60" s="285"/>
      <c r="L60" s="286"/>
    </row>
    <row r="61" spans="1:12" ht="13.5" x14ac:dyDescent="0.2">
      <c r="A61" s="281"/>
      <c r="B61" s="277"/>
      <c r="C61" s="278"/>
      <c r="D61" s="279"/>
      <c r="E61" s="281"/>
      <c r="F61" s="281"/>
      <c r="G61" s="295" t="s">
        <v>2641</v>
      </c>
      <c r="H61" s="273"/>
      <c r="I61" s="28"/>
      <c r="J61" s="277"/>
      <c r="K61" s="278"/>
      <c r="L61" s="279"/>
    </row>
    <row r="62" spans="1:12" ht="13.5" x14ac:dyDescent="0.25">
      <c r="A62" s="18"/>
      <c r="B62" s="18"/>
      <c r="C62" s="18"/>
      <c r="D62" s="18"/>
      <c r="E62" s="18"/>
      <c r="F62" s="18"/>
      <c r="G62" s="18"/>
      <c r="H62" s="18"/>
      <c r="I62" s="18"/>
      <c r="J62" s="18"/>
      <c r="K62" s="18"/>
      <c r="L62" s="18"/>
    </row>
    <row r="63" spans="1:12" x14ac:dyDescent="0.2">
      <c r="A63" s="287" t="s">
        <v>76</v>
      </c>
      <c r="B63" s="271"/>
      <c r="C63" s="271"/>
      <c r="D63" s="311"/>
      <c r="E63" s="16" t="s">
        <v>77</v>
      </c>
      <c r="F63" s="16" t="s">
        <v>78</v>
      </c>
      <c r="G63" s="532" t="s">
        <v>2576</v>
      </c>
      <c r="H63" s="482"/>
      <c r="I63" s="287" t="s">
        <v>2579</v>
      </c>
      <c r="J63" s="271"/>
      <c r="K63" s="271"/>
      <c r="L63" s="273"/>
    </row>
    <row r="64" spans="1:12" ht="13.5" x14ac:dyDescent="0.2">
      <c r="A64" s="533" t="s">
        <v>236</v>
      </c>
      <c r="B64" s="535" t="s">
        <v>2642</v>
      </c>
      <c r="C64" s="275"/>
      <c r="D64" s="276"/>
      <c r="E64" s="533" t="s">
        <v>999</v>
      </c>
      <c r="F64" s="536">
        <f>+I64</f>
        <v>5</v>
      </c>
      <c r="G64" s="295" t="s">
        <v>444</v>
      </c>
      <c r="H64" s="273"/>
      <c r="I64" s="28">
        <f>I65</f>
        <v>5</v>
      </c>
      <c r="J64" s="313"/>
      <c r="K64" s="275"/>
      <c r="L64" s="276"/>
    </row>
    <row r="65" spans="1:12" ht="13.5" x14ac:dyDescent="0.2">
      <c r="A65" s="534"/>
      <c r="B65" s="284"/>
      <c r="C65" s="285"/>
      <c r="D65" s="286"/>
      <c r="E65" s="534"/>
      <c r="F65" s="534"/>
      <c r="G65" s="295" t="s">
        <v>453</v>
      </c>
      <c r="H65" s="273"/>
      <c r="I65" s="28">
        <v>5</v>
      </c>
      <c r="J65" s="284"/>
      <c r="K65" s="285"/>
      <c r="L65" s="286"/>
    </row>
    <row r="66" spans="1:12" ht="13.5" x14ac:dyDescent="0.2">
      <c r="A66" s="534"/>
      <c r="B66" s="284"/>
      <c r="C66" s="285"/>
      <c r="D66" s="286"/>
      <c r="E66" s="534"/>
      <c r="F66" s="534"/>
      <c r="G66" s="295" t="s">
        <v>2583</v>
      </c>
      <c r="H66" s="273"/>
      <c r="I66" s="28"/>
      <c r="J66" s="284"/>
      <c r="K66" s="285"/>
      <c r="L66" s="286"/>
    </row>
    <row r="67" spans="1:12" ht="13.5" x14ac:dyDescent="0.2">
      <c r="A67" s="534"/>
      <c r="B67" s="284"/>
      <c r="C67" s="285"/>
      <c r="D67" s="286"/>
      <c r="E67" s="534"/>
      <c r="F67" s="534"/>
      <c r="G67" s="295" t="s">
        <v>2584</v>
      </c>
      <c r="H67" s="273"/>
      <c r="I67" s="28"/>
      <c r="J67" s="284"/>
      <c r="K67" s="285"/>
      <c r="L67" s="286"/>
    </row>
    <row r="68" spans="1:12" ht="13.5" x14ac:dyDescent="0.2">
      <c r="A68" s="534"/>
      <c r="B68" s="284"/>
      <c r="C68" s="285"/>
      <c r="D68" s="286"/>
      <c r="E68" s="534"/>
      <c r="F68" s="534"/>
      <c r="G68" s="295" t="s">
        <v>2585</v>
      </c>
      <c r="H68" s="273"/>
      <c r="I68" s="28"/>
      <c r="J68" s="284"/>
      <c r="K68" s="285"/>
      <c r="L68" s="286"/>
    </row>
    <row r="69" spans="1:12" ht="13.5" x14ac:dyDescent="0.2">
      <c r="A69" s="534"/>
      <c r="B69" s="284"/>
      <c r="C69" s="285"/>
      <c r="D69" s="286"/>
      <c r="E69" s="534"/>
      <c r="F69" s="534"/>
      <c r="G69" s="295" t="s">
        <v>2586</v>
      </c>
      <c r="H69" s="273"/>
      <c r="I69" s="28"/>
      <c r="J69" s="284"/>
      <c r="K69" s="285"/>
      <c r="L69" s="286"/>
    </row>
    <row r="70" spans="1:12" ht="13.5" x14ac:dyDescent="0.2">
      <c r="A70" s="534"/>
      <c r="B70" s="284"/>
      <c r="C70" s="285"/>
      <c r="D70" s="286"/>
      <c r="E70" s="534"/>
      <c r="F70" s="534"/>
      <c r="G70" s="295" t="s">
        <v>2587</v>
      </c>
      <c r="H70" s="273"/>
      <c r="I70" s="28"/>
      <c r="J70" s="284"/>
      <c r="K70" s="285"/>
      <c r="L70" s="286"/>
    </row>
    <row r="71" spans="1:12" ht="13.5" x14ac:dyDescent="0.2">
      <c r="A71" s="534"/>
      <c r="B71" s="284"/>
      <c r="C71" s="285"/>
      <c r="D71" s="286"/>
      <c r="E71" s="534"/>
      <c r="F71" s="534"/>
      <c r="G71" s="295" t="s">
        <v>2643</v>
      </c>
      <c r="H71" s="273"/>
      <c r="I71" s="28"/>
      <c r="J71" s="284"/>
      <c r="K71" s="285"/>
      <c r="L71" s="286"/>
    </row>
    <row r="72" spans="1:12" ht="13.5" x14ac:dyDescent="0.2">
      <c r="A72" s="281"/>
      <c r="B72" s="277"/>
      <c r="C72" s="278"/>
      <c r="D72" s="279"/>
      <c r="E72" s="281"/>
      <c r="F72" s="281"/>
      <c r="G72" s="295" t="s">
        <v>2644</v>
      </c>
      <c r="H72" s="273"/>
      <c r="I72" s="28"/>
      <c r="J72" s="277"/>
      <c r="K72" s="278"/>
      <c r="L72" s="279"/>
    </row>
    <row r="73" spans="1:12" ht="13.5" x14ac:dyDescent="0.25">
      <c r="A73" s="18"/>
      <c r="B73" s="18"/>
      <c r="C73" s="18"/>
      <c r="D73" s="18"/>
      <c r="E73" s="18"/>
      <c r="F73" s="18"/>
      <c r="G73" s="18"/>
      <c r="H73" s="18"/>
      <c r="I73" s="18"/>
      <c r="J73" s="18"/>
      <c r="K73" s="18"/>
      <c r="L73" s="18"/>
    </row>
    <row r="74" spans="1:12" x14ac:dyDescent="0.2">
      <c r="A74" s="287" t="s">
        <v>76</v>
      </c>
      <c r="B74" s="271"/>
      <c r="C74" s="271"/>
      <c r="D74" s="311"/>
      <c r="E74" s="16" t="s">
        <v>77</v>
      </c>
      <c r="F74" s="16" t="s">
        <v>78</v>
      </c>
      <c r="G74" s="532" t="s">
        <v>2576</v>
      </c>
      <c r="H74" s="482"/>
      <c r="I74" s="287" t="s">
        <v>2579</v>
      </c>
      <c r="J74" s="271"/>
      <c r="K74" s="271"/>
      <c r="L74" s="273"/>
    </row>
    <row r="75" spans="1:12" ht="13.5" x14ac:dyDescent="0.2">
      <c r="A75" s="533" t="s">
        <v>238</v>
      </c>
      <c r="B75" s="535" t="s">
        <v>2645</v>
      </c>
      <c r="C75" s="275"/>
      <c r="D75" s="276"/>
      <c r="E75" s="533" t="s">
        <v>999</v>
      </c>
      <c r="F75" s="536">
        <f>+I75</f>
        <v>2</v>
      </c>
      <c r="G75" s="295" t="s">
        <v>444</v>
      </c>
      <c r="H75" s="273"/>
      <c r="I75" s="28">
        <f>I76</f>
        <v>2</v>
      </c>
      <c r="J75" s="313"/>
      <c r="K75" s="275"/>
      <c r="L75" s="276"/>
    </row>
    <row r="76" spans="1:12" ht="13.5" x14ac:dyDescent="0.2">
      <c r="A76" s="534"/>
      <c r="B76" s="284"/>
      <c r="C76" s="285"/>
      <c r="D76" s="286"/>
      <c r="E76" s="534"/>
      <c r="F76" s="534"/>
      <c r="G76" s="295" t="s">
        <v>453</v>
      </c>
      <c r="H76" s="273"/>
      <c r="I76" s="28">
        <v>2</v>
      </c>
      <c r="J76" s="284"/>
      <c r="K76" s="285"/>
      <c r="L76" s="286"/>
    </row>
    <row r="77" spans="1:12" ht="13.5" x14ac:dyDescent="0.2">
      <c r="A77" s="534"/>
      <c r="B77" s="284"/>
      <c r="C77" s="285"/>
      <c r="D77" s="286"/>
      <c r="E77" s="534"/>
      <c r="F77" s="534"/>
      <c r="G77" s="295" t="s">
        <v>2583</v>
      </c>
      <c r="H77" s="273"/>
      <c r="I77" s="28"/>
      <c r="J77" s="284"/>
      <c r="K77" s="285"/>
      <c r="L77" s="286"/>
    </row>
    <row r="78" spans="1:12" ht="13.5" x14ac:dyDescent="0.2">
      <c r="A78" s="534"/>
      <c r="B78" s="284"/>
      <c r="C78" s="285"/>
      <c r="D78" s="286"/>
      <c r="E78" s="534"/>
      <c r="F78" s="534"/>
      <c r="G78" s="295" t="s">
        <v>2584</v>
      </c>
      <c r="H78" s="273"/>
      <c r="I78" s="28"/>
      <c r="J78" s="284"/>
      <c r="K78" s="285"/>
      <c r="L78" s="286"/>
    </row>
    <row r="79" spans="1:12" ht="13.5" x14ac:dyDescent="0.2">
      <c r="A79" s="534"/>
      <c r="B79" s="284"/>
      <c r="C79" s="285"/>
      <c r="D79" s="286"/>
      <c r="E79" s="534"/>
      <c r="F79" s="534"/>
      <c r="G79" s="295" t="s">
        <v>2585</v>
      </c>
      <c r="H79" s="273"/>
      <c r="I79" s="28"/>
      <c r="J79" s="284"/>
      <c r="K79" s="285"/>
      <c r="L79" s="286"/>
    </row>
    <row r="80" spans="1:12" ht="13.5" x14ac:dyDescent="0.2">
      <c r="A80" s="534"/>
      <c r="B80" s="284"/>
      <c r="C80" s="285"/>
      <c r="D80" s="286"/>
      <c r="E80" s="534"/>
      <c r="F80" s="534"/>
      <c r="G80" s="295" t="s">
        <v>2586</v>
      </c>
      <c r="H80" s="273"/>
      <c r="I80" s="28"/>
      <c r="J80" s="284"/>
      <c r="K80" s="285"/>
      <c r="L80" s="286"/>
    </row>
    <row r="81" spans="1:12" ht="13.5" x14ac:dyDescent="0.2">
      <c r="A81" s="534"/>
      <c r="B81" s="284"/>
      <c r="C81" s="285"/>
      <c r="D81" s="286"/>
      <c r="E81" s="534"/>
      <c r="F81" s="534"/>
      <c r="G81" s="295" t="s">
        <v>2587</v>
      </c>
      <c r="H81" s="273"/>
      <c r="I81" s="28"/>
      <c r="J81" s="284"/>
      <c r="K81" s="285"/>
      <c r="L81" s="286"/>
    </row>
    <row r="82" spans="1:12" ht="13.5" x14ac:dyDescent="0.2">
      <c r="A82" s="534"/>
      <c r="B82" s="284"/>
      <c r="C82" s="285"/>
      <c r="D82" s="286"/>
      <c r="E82" s="534"/>
      <c r="F82" s="534"/>
      <c r="G82" s="295" t="s">
        <v>2646</v>
      </c>
      <c r="H82" s="273"/>
      <c r="I82" s="28"/>
      <c r="J82" s="284"/>
      <c r="K82" s="285"/>
      <c r="L82" s="286"/>
    </row>
    <row r="83" spans="1:12" ht="13.5" x14ac:dyDescent="0.2">
      <c r="A83" s="281"/>
      <c r="B83" s="277"/>
      <c r="C83" s="278"/>
      <c r="D83" s="279"/>
      <c r="E83" s="281"/>
      <c r="F83" s="281"/>
      <c r="G83" s="295" t="s">
        <v>2647</v>
      </c>
      <c r="H83" s="273"/>
      <c r="I83" s="28"/>
      <c r="J83" s="277"/>
      <c r="K83" s="278"/>
      <c r="L83" s="279"/>
    </row>
    <row r="84" spans="1:12" ht="13.5" x14ac:dyDescent="0.25">
      <c r="A84" s="18"/>
      <c r="B84" s="18"/>
      <c r="C84" s="18"/>
      <c r="D84" s="18"/>
      <c r="E84" s="18"/>
      <c r="F84" s="18"/>
      <c r="G84" s="18"/>
      <c r="H84" s="18"/>
      <c r="I84" s="18"/>
      <c r="J84" s="18"/>
      <c r="K84" s="18"/>
      <c r="L84" s="18"/>
    </row>
    <row r="85" spans="1:12" x14ac:dyDescent="0.2">
      <c r="A85" s="287" t="s">
        <v>76</v>
      </c>
      <c r="B85" s="271"/>
      <c r="C85" s="271"/>
      <c r="D85" s="311"/>
      <c r="E85" s="16" t="s">
        <v>77</v>
      </c>
      <c r="F85" s="16" t="s">
        <v>78</v>
      </c>
      <c r="G85" s="532" t="s">
        <v>2576</v>
      </c>
      <c r="H85" s="482"/>
      <c r="I85" s="287" t="s">
        <v>2579</v>
      </c>
      <c r="J85" s="271"/>
      <c r="K85" s="271"/>
      <c r="L85" s="273"/>
    </row>
    <row r="86" spans="1:12" ht="13.5" x14ac:dyDescent="0.2">
      <c r="A86" s="533" t="s">
        <v>2648</v>
      </c>
      <c r="B86" s="535" t="s">
        <v>2649</v>
      </c>
      <c r="C86" s="275"/>
      <c r="D86" s="276"/>
      <c r="E86" s="533" t="s">
        <v>981</v>
      </c>
      <c r="F86" s="536">
        <f>+I86</f>
        <v>35</v>
      </c>
      <c r="G86" s="295" t="s">
        <v>444</v>
      </c>
      <c r="H86" s="273"/>
      <c r="I86" s="28">
        <f>I87</f>
        <v>35</v>
      </c>
      <c r="J86" s="547" t="s">
        <v>2582</v>
      </c>
      <c r="K86" s="275"/>
      <c r="L86" s="276"/>
    </row>
    <row r="87" spans="1:12" ht="13.5" x14ac:dyDescent="0.2">
      <c r="A87" s="534"/>
      <c r="B87" s="284"/>
      <c r="C87" s="285"/>
      <c r="D87" s="286"/>
      <c r="E87" s="534"/>
      <c r="F87" s="534"/>
      <c r="G87" s="295" t="s">
        <v>453</v>
      </c>
      <c r="H87" s="273"/>
      <c r="I87" s="28">
        <v>35</v>
      </c>
      <c r="J87" s="284"/>
      <c r="K87" s="285"/>
      <c r="L87" s="286"/>
    </row>
    <row r="88" spans="1:12" ht="13.5" x14ac:dyDescent="0.2">
      <c r="A88" s="534"/>
      <c r="B88" s="284"/>
      <c r="C88" s="285"/>
      <c r="D88" s="286"/>
      <c r="E88" s="534"/>
      <c r="F88" s="534"/>
      <c r="G88" s="295" t="s">
        <v>2583</v>
      </c>
      <c r="H88" s="273"/>
      <c r="I88" s="28"/>
      <c r="J88" s="284"/>
      <c r="K88" s="285"/>
      <c r="L88" s="286"/>
    </row>
    <row r="89" spans="1:12" ht="13.5" x14ac:dyDescent="0.2">
      <c r="A89" s="534"/>
      <c r="B89" s="284"/>
      <c r="C89" s="285"/>
      <c r="D89" s="286"/>
      <c r="E89" s="534"/>
      <c r="F89" s="534"/>
      <c r="G89" s="295" t="s">
        <v>2584</v>
      </c>
      <c r="H89" s="273"/>
      <c r="I89" s="28"/>
      <c r="J89" s="284"/>
      <c r="K89" s="285"/>
      <c r="L89" s="286"/>
    </row>
    <row r="90" spans="1:12" ht="13.5" x14ac:dyDescent="0.2">
      <c r="A90" s="534"/>
      <c r="B90" s="284"/>
      <c r="C90" s="285"/>
      <c r="D90" s="286"/>
      <c r="E90" s="534"/>
      <c r="F90" s="534"/>
      <c r="G90" s="295" t="s">
        <v>2585</v>
      </c>
      <c r="H90" s="273"/>
      <c r="I90" s="28"/>
      <c r="J90" s="284"/>
      <c r="K90" s="285"/>
      <c r="L90" s="286"/>
    </row>
    <row r="91" spans="1:12" ht="13.5" x14ac:dyDescent="0.2">
      <c r="A91" s="534"/>
      <c r="B91" s="284"/>
      <c r="C91" s="285"/>
      <c r="D91" s="286"/>
      <c r="E91" s="534"/>
      <c r="F91" s="534"/>
      <c r="G91" s="295" t="s">
        <v>2586</v>
      </c>
      <c r="H91" s="273"/>
      <c r="I91" s="28"/>
      <c r="J91" s="284"/>
      <c r="K91" s="285"/>
      <c r="L91" s="286"/>
    </row>
    <row r="92" spans="1:12" ht="13.5" x14ac:dyDescent="0.2">
      <c r="A92" s="534"/>
      <c r="B92" s="284"/>
      <c r="C92" s="285"/>
      <c r="D92" s="286"/>
      <c r="E92" s="534"/>
      <c r="F92" s="534"/>
      <c r="G92" s="295" t="s">
        <v>2587</v>
      </c>
      <c r="H92" s="273"/>
      <c r="I92" s="28"/>
      <c r="J92" s="284"/>
      <c r="K92" s="285"/>
      <c r="L92" s="286"/>
    </row>
    <row r="93" spans="1:12" ht="13.5" x14ac:dyDescent="0.2">
      <c r="A93" s="534"/>
      <c r="B93" s="284"/>
      <c r="C93" s="285"/>
      <c r="D93" s="286"/>
      <c r="E93" s="534"/>
      <c r="F93" s="534"/>
      <c r="G93" s="295" t="s">
        <v>2650</v>
      </c>
      <c r="H93" s="273"/>
      <c r="I93" s="28"/>
      <c r="J93" s="284"/>
      <c r="K93" s="285"/>
      <c r="L93" s="286"/>
    </row>
    <row r="94" spans="1:12" ht="13.5" x14ac:dyDescent="0.2">
      <c r="A94" s="281"/>
      <c r="B94" s="277"/>
      <c r="C94" s="278"/>
      <c r="D94" s="279"/>
      <c r="E94" s="281"/>
      <c r="F94" s="281"/>
      <c r="G94" s="295" t="s">
        <v>2651</v>
      </c>
      <c r="H94" s="273"/>
      <c r="I94" s="28"/>
      <c r="J94" s="277"/>
      <c r="K94" s="278"/>
      <c r="L94" s="279"/>
    </row>
    <row r="95" spans="1:12" ht="13.5" x14ac:dyDescent="0.25">
      <c r="A95" s="18"/>
      <c r="B95" s="18"/>
      <c r="C95" s="18"/>
      <c r="D95" s="18"/>
      <c r="E95" s="18"/>
      <c r="F95" s="18"/>
      <c r="G95" s="18"/>
      <c r="H95" s="18"/>
      <c r="I95" s="18"/>
      <c r="J95" s="18"/>
      <c r="K95" s="18"/>
      <c r="L95" s="18"/>
    </row>
    <row r="96" spans="1:12" x14ac:dyDescent="0.2">
      <c r="A96" s="545" t="s">
        <v>2652</v>
      </c>
      <c r="B96" s="315"/>
      <c r="C96" s="315"/>
      <c r="D96" s="315"/>
      <c r="E96" s="315"/>
      <c r="F96" s="315"/>
      <c r="G96" s="315"/>
      <c r="H96" s="315"/>
      <c r="I96" s="315"/>
      <c r="J96" s="315"/>
      <c r="K96" s="315"/>
      <c r="L96" s="315"/>
    </row>
    <row r="97" spans="1:12" x14ac:dyDescent="0.2">
      <c r="A97" s="501"/>
      <c r="B97" s="318"/>
      <c r="C97" s="318"/>
      <c r="D97" s="318"/>
      <c r="E97" s="318"/>
      <c r="F97" s="318"/>
      <c r="G97" s="318"/>
      <c r="H97" s="318"/>
      <c r="I97" s="318"/>
      <c r="J97" s="318"/>
      <c r="K97" s="318"/>
      <c r="L97" s="318"/>
    </row>
    <row r="98" spans="1:12" ht="16.5" x14ac:dyDescent="0.3">
      <c r="A98" s="122"/>
      <c r="B98" s="122"/>
      <c r="C98" s="122"/>
      <c r="D98" s="122"/>
      <c r="E98" s="122"/>
      <c r="F98" s="122"/>
      <c r="G98" s="287" t="s">
        <v>2653</v>
      </c>
      <c r="H98" s="311"/>
      <c r="I98" s="31">
        <v>2</v>
      </c>
      <c r="J98" s="18"/>
      <c r="K98" s="18"/>
      <c r="L98" s="18"/>
    </row>
    <row r="99" spans="1:12" ht="16.5" x14ac:dyDescent="0.2">
      <c r="A99" s="121"/>
      <c r="B99" s="121"/>
      <c r="C99" s="121"/>
      <c r="D99" s="121"/>
      <c r="E99" s="121"/>
      <c r="F99" s="121"/>
      <c r="G99" s="121"/>
      <c r="H99" s="121"/>
      <c r="I99" s="121"/>
      <c r="J99" s="121"/>
      <c r="K99" s="121"/>
      <c r="L99" s="121"/>
    </row>
    <row r="100" spans="1:12" x14ac:dyDescent="0.2">
      <c r="A100" s="287" t="s">
        <v>76</v>
      </c>
      <c r="B100" s="271"/>
      <c r="C100" s="271"/>
      <c r="D100" s="311"/>
      <c r="E100" s="16" t="s">
        <v>77</v>
      </c>
      <c r="F100" s="16" t="s">
        <v>78</v>
      </c>
      <c r="G100" s="532" t="s">
        <v>2576</v>
      </c>
      <c r="H100" s="482"/>
      <c r="I100" s="287" t="s">
        <v>2579</v>
      </c>
      <c r="J100" s="271"/>
      <c r="K100" s="271"/>
      <c r="L100" s="273"/>
    </row>
    <row r="101" spans="1:12" ht="13.5" x14ac:dyDescent="0.2">
      <c r="A101" s="542" t="s">
        <v>243</v>
      </c>
      <c r="B101" s="535" t="s">
        <v>84</v>
      </c>
      <c r="C101" s="275"/>
      <c r="D101" s="276"/>
      <c r="E101" s="542" t="s">
        <v>934</v>
      </c>
      <c r="F101" s="536">
        <f>+I101</f>
        <v>92.47999999999999</v>
      </c>
      <c r="G101" s="295" t="s">
        <v>444</v>
      </c>
      <c r="H101" s="273"/>
      <c r="I101" s="28">
        <f>I102*I103*I104*I$98</f>
        <v>92.47999999999999</v>
      </c>
      <c r="J101" s="548"/>
      <c r="K101" s="275"/>
      <c r="L101" s="276"/>
    </row>
    <row r="102" spans="1:12" ht="13.5" x14ac:dyDescent="0.2">
      <c r="A102" s="534"/>
      <c r="B102" s="284"/>
      <c r="C102" s="285"/>
      <c r="D102" s="286"/>
      <c r="E102" s="534"/>
      <c r="F102" s="534"/>
      <c r="G102" s="295" t="s">
        <v>453</v>
      </c>
      <c r="H102" s="273"/>
      <c r="I102" s="28">
        <v>1</v>
      </c>
      <c r="J102" s="284"/>
      <c r="K102" s="285"/>
      <c r="L102" s="286"/>
    </row>
    <row r="103" spans="1:12" ht="13.5" x14ac:dyDescent="0.2">
      <c r="A103" s="534"/>
      <c r="B103" s="284"/>
      <c r="C103" s="285"/>
      <c r="D103" s="286"/>
      <c r="E103" s="534"/>
      <c r="F103" s="534"/>
      <c r="G103" s="295" t="s">
        <v>2583</v>
      </c>
      <c r="H103" s="273"/>
      <c r="I103" s="28">
        <f>3.4+(I105*2)</f>
        <v>6.8</v>
      </c>
      <c r="J103" s="284"/>
      <c r="K103" s="285"/>
      <c r="L103" s="286"/>
    </row>
    <row r="104" spans="1:12" ht="13.5" x14ac:dyDescent="0.2">
      <c r="A104" s="534"/>
      <c r="B104" s="284"/>
      <c r="C104" s="285"/>
      <c r="D104" s="286"/>
      <c r="E104" s="534"/>
      <c r="F104" s="534"/>
      <c r="G104" s="295" t="s">
        <v>2584</v>
      </c>
      <c r="H104" s="273"/>
      <c r="I104" s="28">
        <f>3.4+(I105*2)</f>
        <v>6.8</v>
      </c>
      <c r="J104" s="284"/>
      <c r="K104" s="285"/>
      <c r="L104" s="286"/>
    </row>
    <row r="105" spans="1:12" ht="13.5" x14ac:dyDescent="0.2">
      <c r="A105" s="534"/>
      <c r="B105" s="284"/>
      <c r="C105" s="285"/>
      <c r="D105" s="286"/>
      <c r="E105" s="534"/>
      <c r="F105" s="534"/>
      <c r="G105" s="295" t="s">
        <v>2585</v>
      </c>
      <c r="H105" s="273"/>
      <c r="I105" s="28">
        <v>1.7</v>
      </c>
      <c r="J105" s="284"/>
      <c r="K105" s="285"/>
      <c r="L105" s="286"/>
    </row>
    <row r="106" spans="1:12" ht="13.5" x14ac:dyDescent="0.2">
      <c r="A106" s="534"/>
      <c r="B106" s="284"/>
      <c r="C106" s="285"/>
      <c r="D106" s="286"/>
      <c r="E106" s="534"/>
      <c r="F106" s="534"/>
      <c r="G106" s="295" t="s">
        <v>2586</v>
      </c>
      <c r="H106" s="273"/>
      <c r="I106" s="28">
        <v>0.25</v>
      </c>
      <c r="J106" s="284"/>
      <c r="K106" s="285"/>
      <c r="L106" s="286"/>
    </row>
    <row r="107" spans="1:12" ht="13.5" x14ac:dyDescent="0.2">
      <c r="A107" s="534"/>
      <c r="B107" s="284"/>
      <c r="C107" s="285"/>
      <c r="D107" s="286"/>
      <c r="E107" s="534"/>
      <c r="F107" s="534"/>
      <c r="G107" s="295" t="s">
        <v>2587</v>
      </c>
      <c r="H107" s="273"/>
      <c r="I107" s="28"/>
      <c r="J107" s="284"/>
      <c r="K107" s="285"/>
      <c r="L107" s="286"/>
    </row>
    <row r="108" spans="1:12" ht="13.5" x14ac:dyDescent="0.2">
      <c r="A108" s="534"/>
      <c r="B108" s="284"/>
      <c r="C108" s="285"/>
      <c r="D108" s="286"/>
      <c r="E108" s="534"/>
      <c r="F108" s="534"/>
      <c r="G108" s="295" t="s">
        <v>2654</v>
      </c>
      <c r="H108" s="273"/>
      <c r="I108" s="28"/>
      <c r="J108" s="284"/>
      <c r="K108" s="285"/>
      <c r="L108" s="286"/>
    </row>
    <row r="109" spans="1:12" ht="13.5" x14ac:dyDescent="0.2">
      <c r="A109" s="281"/>
      <c r="B109" s="277"/>
      <c r="C109" s="278"/>
      <c r="D109" s="279"/>
      <c r="E109" s="281"/>
      <c r="F109" s="281"/>
      <c r="G109" s="295" t="s">
        <v>2655</v>
      </c>
      <c r="H109" s="273"/>
      <c r="I109" s="28"/>
      <c r="J109" s="277"/>
      <c r="K109" s="278"/>
      <c r="L109" s="279"/>
    </row>
    <row r="110" spans="1:12" ht="16.5" x14ac:dyDescent="0.2">
      <c r="A110" s="121"/>
      <c r="B110" s="121"/>
      <c r="C110" s="121"/>
      <c r="D110" s="121"/>
      <c r="E110" s="121"/>
      <c r="F110" s="121"/>
      <c r="G110" s="121"/>
      <c r="H110" s="121"/>
      <c r="I110" s="121"/>
      <c r="J110" s="121"/>
      <c r="K110" s="121"/>
      <c r="L110" s="121"/>
    </row>
    <row r="111" spans="1:12" x14ac:dyDescent="0.2">
      <c r="A111" s="287" t="s">
        <v>76</v>
      </c>
      <c r="B111" s="271"/>
      <c r="C111" s="271"/>
      <c r="D111" s="311"/>
      <c r="E111" s="16" t="s">
        <v>77</v>
      </c>
      <c r="F111" s="16" t="s">
        <v>78</v>
      </c>
      <c r="G111" s="532" t="s">
        <v>2576</v>
      </c>
      <c r="H111" s="482"/>
      <c r="I111" s="287" t="s">
        <v>2579</v>
      </c>
      <c r="J111" s="271"/>
      <c r="K111" s="271"/>
      <c r="L111" s="273"/>
    </row>
    <row r="112" spans="1:12" ht="13.5" x14ac:dyDescent="0.2">
      <c r="A112" s="542" t="s">
        <v>245</v>
      </c>
      <c r="B112" s="535" t="s">
        <v>161</v>
      </c>
      <c r="C112" s="275"/>
      <c r="D112" s="276"/>
      <c r="E112" s="542" t="s">
        <v>258</v>
      </c>
      <c r="F112" s="536">
        <f>+I112</f>
        <v>15.027999999999999</v>
      </c>
      <c r="G112" s="295" t="s">
        <v>444</v>
      </c>
      <c r="H112" s="273"/>
      <c r="I112" s="28">
        <f>I114*I115*I116*I117*I$98*I113</f>
        <v>15.027999999999999</v>
      </c>
      <c r="J112" s="548" t="e">
        <f>#REF!</f>
        <v>#REF!</v>
      </c>
      <c r="K112" s="275"/>
      <c r="L112" s="276"/>
    </row>
    <row r="113" spans="1:12" ht="13.5" x14ac:dyDescent="0.2">
      <c r="A113" s="534"/>
      <c r="B113" s="284"/>
      <c r="C113" s="285"/>
      <c r="D113" s="286"/>
      <c r="E113" s="534"/>
      <c r="F113" s="534"/>
      <c r="G113" s="295" t="s">
        <v>24</v>
      </c>
      <c r="H113" s="273"/>
      <c r="I113" s="28">
        <v>1</v>
      </c>
      <c r="J113" s="284"/>
      <c r="K113" s="285"/>
      <c r="L113" s="286"/>
    </row>
    <row r="114" spans="1:12" ht="13.5" x14ac:dyDescent="0.2">
      <c r="A114" s="534"/>
      <c r="B114" s="284"/>
      <c r="C114" s="285"/>
      <c r="D114" s="286"/>
      <c r="E114" s="534"/>
      <c r="F114" s="534"/>
      <c r="G114" s="295" t="s">
        <v>453</v>
      </c>
      <c r="H114" s="273"/>
      <c r="I114" s="28">
        <v>1</v>
      </c>
      <c r="J114" s="284"/>
      <c r="K114" s="285"/>
      <c r="L114" s="286"/>
    </row>
    <row r="115" spans="1:12" ht="13.5" x14ac:dyDescent="0.2">
      <c r="A115" s="534"/>
      <c r="B115" s="284"/>
      <c r="C115" s="285"/>
      <c r="D115" s="286"/>
      <c r="E115" s="534"/>
      <c r="F115" s="534"/>
      <c r="G115" s="295" t="s">
        <v>2583</v>
      </c>
      <c r="H115" s="273"/>
      <c r="I115" s="28">
        <v>3.4</v>
      </c>
      <c r="J115" s="284"/>
      <c r="K115" s="285"/>
      <c r="L115" s="286"/>
    </row>
    <row r="116" spans="1:12" ht="13.5" x14ac:dyDescent="0.2">
      <c r="A116" s="534"/>
      <c r="B116" s="284"/>
      <c r="C116" s="285"/>
      <c r="D116" s="286"/>
      <c r="E116" s="534"/>
      <c r="F116" s="534"/>
      <c r="G116" s="295" t="s">
        <v>2584</v>
      </c>
      <c r="H116" s="273"/>
      <c r="I116" s="28">
        <v>3.4</v>
      </c>
      <c r="J116" s="284"/>
      <c r="K116" s="285"/>
      <c r="L116" s="286"/>
    </row>
    <row r="117" spans="1:12" ht="13.5" x14ac:dyDescent="0.2">
      <c r="A117" s="534"/>
      <c r="B117" s="284"/>
      <c r="C117" s="285"/>
      <c r="D117" s="286"/>
      <c r="E117" s="534"/>
      <c r="F117" s="534"/>
      <c r="G117" s="295" t="s">
        <v>2585</v>
      </c>
      <c r="H117" s="273"/>
      <c r="I117" s="28">
        <v>0.65</v>
      </c>
      <c r="J117" s="284"/>
      <c r="K117" s="285"/>
      <c r="L117" s="286"/>
    </row>
    <row r="118" spans="1:12" ht="13.5" x14ac:dyDescent="0.2">
      <c r="A118" s="534"/>
      <c r="B118" s="284"/>
      <c r="C118" s="285"/>
      <c r="D118" s="286"/>
      <c r="E118" s="534"/>
      <c r="F118" s="534"/>
      <c r="G118" s="295" t="s">
        <v>2586</v>
      </c>
      <c r="H118" s="273"/>
      <c r="I118" s="28"/>
      <c r="J118" s="284"/>
      <c r="K118" s="285"/>
      <c r="L118" s="286"/>
    </row>
    <row r="119" spans="1:12" ht="13.5" x14ac:dyDescent="0.2">
      <c r="A119" s="534"/>
      <c r="B119" s="284"/>
      <c r="C119" s="285"/>
      <c r="D119" s="286"/>
      <c r="E119" s="534"/>
      <c r="F119" s="534"/>
      <c r="G119" s="295" t="s">
        <v>2587</v>
      </c>
      <c r="H119" s="273"/>
      <c r="I119" s="28"/>
      <c r="J119" s="284"/>
      <c r="K119" s="285"/>
      <c r="L119" s="286"/>
    </row>
    <row r="120" spans="1:12" ht="13.5" x14ac:dyDescent="0.2">
      <c r="A120" s="534"/>
      <c r="B120" s="284"/>
      <c r="C120" s="285"/>
      <c r="D120" s="286"/>
      <c r="E120" s="534"/>
      <c r="F120" s="534"/>
      <c r="G120" s="295" t="s">
        <v>2656</v>
      </c>
      <c r="H120" s="273"/>
      <c r="I120" s="28"/>
      <c r="J120" s="284"/>
      <c r="K120" s="285"/>
      <c r="L120" s="286"/>
    </row>
    <row r="121" spans="1:12" ht="13.5" x14ac:dyDescent="0.2">
      <c r="A121" s="281"/>
      <c r="B121" s="277"/>
      <c r="C121" s="278"/>
      <c r="D121" s="279"/>
      <c r="E121" s="281"/>
      <c r="F121" s="281"/>
      <c r="G121" s="295" t="s">
        <v>2657</v>
      </c>
      <c r="H121" s="273"/>
      <c r="I121" s="28"/>
      <c r="J121" s="277"/>
      <c r="K121" s="278"/>
      <c r="L121" s="279"/>
    </row>
    <row r="122" spans="1:12" ht="16.5" x14ac:dyDescent="0.3">
      <c r="A122" s="122"/>
      <c r="B122" s="122"/>
      <c r="C122" s="122"/>
      <c r="D122" s="122"/>
      <c r="E122" s="122"/>
      <c r="F122" s="122"/>
      <c r="G122" s="122"/>
      <c r="H122" s="122"/>
      <c r="I122" s="122"/>
      <c r="J122" s="122"/>
      <c r="K122" s="122"/>
      <c r="L122" s="122"/>
    </row>
    <row r="123" spans="1:12" ht="13.5" x14ac:dyDescent="0.25">
      <c r="A123" s="551" t="s">
        <v>76</v>
      </c>
      <c r="B123" s="524"/>
      <c r="C123" s="524"/>
      <c r="D123" s="524"/>
      <c r="E123" s="167" t="s">
        <v>77</v>
      </c>
      <c r="F123" s="167" t="s">
        <v>78</v>
      </c>
      <c r="G123" s="552" t="s">
        <v>2576</v>
      </c>
      <c r="H123" s="530"/>
      <c r="I123" s="551" t="s">
        <v>2579</v>
      </c>
      <c r="J123" s="524"/>
      <c r="K123" s="524"/>
      <c r="L123" s="550"/>
    </row>
    <row r="124" spans="1:12" ht="13.5" x14ac:dyDescent="0.25">
      <c r="A124" s="553" t="s">
        <v>247</v>
      </c>
      <c r="B124" s="556" t="s">
        <v>92</v>
      </c>
      <c r="C124" s="526"/>
      <c r="D124" s="527"/>
      <c r="E124" s="553" t="s">
        <v>258</v>
      </c>
      <c r="F124" s="559">
        <f>+I124</f>
        <v>5.7799999999999994</v>
      </c>
      <c r="G124" s="549" t="s">
        <v>444</v>
      </c>
      <c r="H124" s="550"/>
      <c r="I124" s="168">
        <f>I125*I126*I127*I128*$I$98</f>
        <v>5.7799999999999994</v>
      </c>
      <c r="J124" s="560"/>
      <c r="K124" s="526"/>
      <c r="L124" s="527"/>
    </row>
    <row r="125" spans="1:12" ht="13.5" x14ac:dyDescent="0.25">
      <c r="A125" s="554"/>
      <c r="B125" s="525"/>
      <c r="C125" s="557"/>
      <c r="D125" s="558"/>
      <c r="E125" s="554"/>
      <c r="F125" s="554"/>
      <c r="G125" s="549" t="s">
        <v>453</v>
      </c>
      <c r="H125" s="550"/>
      <c r="I125" s="168">
        <v>1</v>
      </c>
      <c r="J125" s="525"/>
      <c r="K125" s="557"/>
      <c r="L125" s="558"/>
    </row>
    <row r="126" spans="1:12" ht="13.5" x14ac:dyDescent="0.25">
      <c r="A126" s="554"/>
      <c r="B126" s="525"/>
      <c r="C126" s="557"/>
      <c r="D126" s="558"/>
      <c r="E126" s="554"/>
      <c r="F126" s="554"/>
      <c r="G126" s="549" t="s">
        <v>2583</v>
      </c>
      <c r="H126" s="550"/>
      <c r="I126" s="168">
        <v>3.4</v>
      </c>
      <c r="J126" s="525"/>
      <c r="K126" s="557"/>
      <c r="L126" s="558"/>
    </row>
    <row r="127" spans="1:12" ht="13.5" x14ac:dyDescent="0.25">
      <c r="A127" s="554"/>
      <c r="B127" s="525"/>
      <c r="C127" s="557"/>
      <c r="D127" s="558"/>
      <c r="E127" s="554"/>
      <c r="F127" s="554"/>
      <c r="G127" s="549" t="s">
        <v>2584</v>
      </c>
      <c r="H127" s="550"/>
      <c r="I127" s="168">
        <v>3.4</v>
      </c>
      <c r="J127" s="525"/>
      <c r="K127" s="557"/>
      <c r="L127" s="558"/>
    </row>
    <row r="128" spans="1:12" ht="13.5" x14ac:dyDescent="0.25">
      <c r="A128" s="554"/>
      <c r="B128" s="525"/>
      <c r="C128" s="557"/>
      <c r="D128" s="558"/>
      <c r="E128" s="554"/>
      <c r="F128" s="554"/>
      <c r="G128" s="549" t="s">
        <v>2585</v>
      </c>
      <c r="H128" s="550"/>
      <c r="I128" s="168">
        <v>0.25</v>
      </c>
      <c r="J128" s="525"/>
      <c r="K128" s="557"/>
      <c r="L128" s="558"/>
    </row>
    <row r="129" spans="1:12" ht="13.5" x14ac:dyDescent="0.25">
      <c r="A129" s="554"/>
      <c r="B129" s="525"/>
      <c r="C129" s="557"/>
      <c r="D129" s="558"/>
      <c r="E129" s="554"/>
      <c r="F129" s="554"/>
      <c r="G129" s="549" t="s">
        <v>2586</v>
      </c>
      <c r="H129" s="550"/>
      <c r="I129" s="168"/>
      <c r="J129" s="525"/>
      <c r="K129" s="557"/>
      <c r="L129" s="558"/>
    </row>
    <row r="130" spans="1:12" ht="13.5" x14ac:dyDescent="0.25">
      <c r="A130" s="554"/>
      <c r="B130" s="525"/>
      <c r="C130" s="557"/>
      <c r="D130" s="558"/>
      <c r="E130" s="554"/>
      <c r="F130" s="554"/>
      <c r="G130" s="549" t="s">
        <v>2587</v>
      </c>
      <c r="H130" s="550"/>
      <c r="I130" s="168"/>
      <c r="J130" s="525"/>
      <c r="K130" s="557"/>
      <c r="L130" s="558"/>
    </row>
    <row r="131" spans="1:12" ht="13.5" x14ac:dyDescent="0.25">
      <c r="A131" s="554"/>
      <c r="B131" s="525"/>
      <c r="C131" s="557"/>
      <c r="D131" s="558"/>
      <c r="E131" s="554"/>
      <c r="F131" s="554"/>
      <c r="G131" s="549" t="s">
        <v>3188</v>
      </c>
      <c r="H131" s="550"/>
      <c r="I131" s="168"/>
      <c r="J131" s="525"/>
      <c r="K131" s="557"/>
      <c r="L131" s="558"/>
    </row>
    <row r="132" spans="1:12" ht="13.5" x14ac:dyDescent="0.25">
      <c r="A132" s="555"/>
      <c r="B132" s="528"/>
      <c r="C132" s="529"/>
      <c r="D132" s="530"/>
      <c r="E132" s="555"/>
      <c r="F132" s="555"/>
      <c r="G132" s="549" t="s">
        <v>3189</v>
      </c>
      <c r="H132" s="550"/>
      <c r="I132" s="168"/>
      <c r="J132" s="528"/>
      <c r="K132" s="529"/>
      <c r="L132" s="530"/>
    </row>
    <row r="133" spans="1:12" ht="16.5" x14ac:dyDescent="0.3">
      <c r="A133" s="122"/>
      <c r="B133" s="122"/>
      <c r="C133" s="122"/>
      <c r="D133" s="122"/>
      <c r="E133" s="122"/>
      <c r="F133" s="122"/>
      <c r="G133" s="122"/>
      <c r="H133" s="122"/>
      <c r="I133" s="122"/>
      <c r="J133" s="122"/>
      <c r="K133" s="122"/>
      <c r="L133" s="122"/>
    </row>
    <row r="134" spans="1:12" ht="13.5" x14ac:dyDescent="0.25">
      <c r="A134" s="551" t="s">
        <v>76</v>
      </c>
      <c r="B134" s="524"/>
      <c r="C134" s="524"/>
      <c r="D134" s="524"/>
      <c r="E134" s="167" t="s">
        <v>77</v>
      </c>
      <c r="F134" s="167" t="s">
        <v>78</v>
      </c>
      <c r="G134" s="552" t="s">
        <v>2576</v>
      </c>
      <c r="H134" s="530"/>
      <c r="I134" s="551" t="s">
        <v>2579</v>
      </c>
      <c r="J134" s="524"/>
      <c r="K134" s="524"/>
      <c r="L134" s="550"/>
    </row>
    <row r="135" spans="1:12" ht="13.5" x14ac:dyDescent="0.25">
      <c r="A135" s="553" t="s">
        <v>248</v>
      </c>
      <c r="B135" s="556" t="s">
        <v>192</v>
      </c>
      <c r="C135" s="526"/>
      <c r="D135" s="527"/>
      <c r="E135" s="553" t="s">
        <v>258</v>
      </c>
      <c r="F135" s="559">
        <f>+I135</f>
        <v>4.5</v>
      </c>
      <c r="G135" s="549" t="s">
        <v>444</v>
      </c>
      <c r="H135" s="550"/>
      <c r="I135" s="168">
        <f>I136*I137*I138*I139*$I$98</f>
        <v>4.5</v>
      </c>
      <c r="J135" s="560"/>
      <c r="K135" s="526"/>
      <c r="L135" s="527"/>
    </row>
    <row r="136" spans="1:12" ht="13.5" x14ac:dyDescent="0.25">
      <c r="A136" s="554"/>
      <c r="B136" s="525"/>
      <c r="C136" s="557"/>
      <c r="D136" s="558"/>
      <c r="E136" s="554"/>
      <c r="F136" s="554"/>
      <c r="G136" s="549" t="s">
        <v>453</v>
      </c>
      <c r="H136" s="550"/>
      <c r="I136" s="168">
        <v>1</v>
      </c>
      <c r="J136" s="525"/>
      <c r="K136" s="557"/>
      <c r="L136" s="558"/>
    </row>
    <row r="137" spans="1:12" ht="13.5" x14ac:dyDescent="0.25">
      <c r="A137" s="554"/>
      <c r="B137" s="525"/>
      <c r="C137" s="557"/>
      <c r="D137" s="558"/>
      <c r="E137" s="554"/>
      <c r="F137" s="554"/>
      <c r="G137" s="549" t="s">
        <v>2583</v>
      </c>
      <c r="H137" s="550"/>
      <c r="I137" s="168">
        <v>3</v>
      </c>
      <c r="J137" s="525"/>
      <c r="K137" s="557"/>
      <c r="L137" s="558"/>
    </row>
    <row r="138" spans="1:12" ht="13.5" x14ac:dyDescent="0.25">
      <c r="A138" s="554"/>
      <c r="B138" s="525"/>
      <c r="C138" s="557"/>
      <c r="D138" s="558"/>
      <c r="E138" s="554"/>
      <c r="F138" s="554"/>
      <c r="G138" s="549" t="s">
        <v>2584</v>
      </c>
      <c r="H138" s="550"/>
      <c r="I138" s="168">
        <v>3</v>
      </c>
      <c r="J138" s="525"/>
      <c r="K138" s="557"/>
      <c r="L138" s="558"/>
    </row>
    <row r="139" spans="1:12" ht="13.5" x14ac:dyDescent="0.25">
      <c r="A139" s="554"/>
      <c r="B139" s="525"/>
      <c r="C139" s="557"/>
      <c r="D139" s="558"/>
      <c r="E139" s="554"/>
      <c r="F139" s="554"/>
      <c r="G139" s="549" t="s">
        <v>2585</v>
      </c>
      <c r="H139" s="550"/>
      <c r="I139" s="168">
        <v>0.25</v>
      </c>
      <c r="J139" s="525"/>
      <c r="K139" s="557"/>
      <c r="L139" s="558"/>
    </row>
    <row r="140" spans="1:12" ht="13.5" x14ac:dyDescent="0.25">
      <c r="A140" s="554"/>
      <c r="B140" s="525"/>
      <c r="C140" s="557"/>
      <c r="D140" s="558"/>
      <c r="E140" s="554"/>
      <c r="F140" s="554"/>
      <c r="G140" s="549" t="s">
        <v>2586</v>
      </c>
      <c r="H140" s="550"/>
      <c r="I140" s="168"/>
      <c r="J140" s="525"/>
      <c r="K140" s="557"/>
      <c r="L140" s="558"/>
    </row>
    <row r="141" spans="1:12" ht="13.5" x14ac:dyDescent="0.25">
      <c r="A141" s="554"/>
      <c r="B141" s="525"/>
      <c r="C141" s="557"/>
      <c r="D141" s="558"/>
      <c r="E141" s="554"/>
      <c r="F141" s="554"/>
      <c r="G141" s="549" t="s">
        <v>2587</v>
      </c>
      <c r="H141" s="550"/>
      <c r="I141" s="168"/>
      <c r="J141" s="525"/>
      <c r="K141" s="557"/>
      <c r="L141" s="558"/>
    </row>
    <row r="142" spans="1:12" ht="13.5" x14ac:dyDescent="0.25">
      <c r="A142" s="554"/>
      <c r="B142" s="525"/>
      <c r="C142" s="557"/>
      <c r="D142" s="558"/>
      <c r="E142" s="554"/>
      <c r="F142" s="554"/>
      <c r="G142" s="549" t="s">
        <v>3188</v>
      </c>
      <c r="H142" s="550"/>
      <c r="I142" s="168"/>
      <c r="J142" s="525"/>
      <c r="K142" s="557"/>
      <c r="L142" s="558"/>
    </row>
    <row r="143" spans="1:12" ht="13.5" x14ac:dyDescent="0.25">
      <c r="A143" s="555"/>
      <c r="B143" s="528"/>
      <c r="C143" s="529"/>
      <c r="D143" s="530"/>
      <c r="E143" s="555"/>
      <c r="F143" s="555"/>
      <c r="G143" s="549" t="s">
        <v>3189</v>
      </c>
      <c r="H143" s="550"/>
      <c r="I143" s="168"/>
      <c r="J143" s="528"/>
      <c r="K143" s="529"/>
      <c r="L143" s="530"/>
    </row>
    <row r="144" spans="1:12" ht="16.5" x14ac:dyDescent="0.2">
      <c r="A144" s="169"/>
      <c r="B144" s="169"/>
      <c r="C144" s="169"/>
      <c r="D144" s="169"/>
      <c r="E144" s="169"/>
      <c r="F144" s="169"/>
      <c r="G144" s="169"/>
      <c r="H144" s="169"/>
      <c r="I144" s="169"/>
      <c r="J144" s="169"/>
      <c r="K144" s="169"/>
      <c r="L144" s="169"/>
    </row>
    <row r="145" spans="1:12" ht="13.5" x14ac:dyDescent="0.25">
      <c r="A145" s="551" t="s">
        <v>76</v>
      </c>
      <c r="B145" s="524"/>
      <c r="C145" s="524"/>
      <c r="D145" s="524"/>
      <c r="E145" s="167" t="s">
        <v>77</v>
      </c>
      <c r="F145" s="167" t="s">
        <v>78</v>
      </c>
      <c r="G145" s="552" t="s">
        <v>2576</v>
      </c>
      <c r="H145" s="530"/>
      <c r="I145" s="551" t="s">
        <v>2579</v>
      </c>
      <c r="J145" s="524"/>
      <c r="K145" s="524"/>
      <c r="L145" s="550"/>
    </row>
    <row r="146" spans="1:12" ht="13.5" x14ac:dyDescent="0.25">
      <c r="A146" s="553" t="s">
        <v>249</v>
      </c>
      <c r="B146" s="556" t="s">
        <v>193</v>
      </c>
      <c r="C146" s="526"/>
      <c r="D146" s="527"/>
      <c r="E146" s="553" t="s">
        <v>258</v>
      </c>
      <c r="F146" s="559">
        <f>+I146</f>
        <v>5.3999999999999995</v>
      </c>
      <c r="G146" s="549" t="s">
        <v>444</v>
      </c>
      <c r="H146" s="550"/>
      <c r="I146" s="168">
        <f>I147*I148*I149*I150*$I$98</f>
        <v>5.3999999999999995</v>
      </c>
      <c r="J146" s="560"/>
      <c r="K146" s="526"/>
      <c r="L146" s="527"/>
    </row>
    <row r="147" spans="1:12" ht="13.5" x14ac:dyDescent="0.25">
      <c r="A147" s="554"/>
      <c r="B147" s="525"/>
      <c r="C147" s="557"/>
      <c r="D147" s="558"/>
      <c r="E147" s="554"/>
      <c r="F147" s="554"/>
      <c r="G147" s="549" t="s">
        <v>453</v>
      </c>
      <c r="H147" s="550"/>
      <c r="I147" s="168">
        <v>1</v>
      </c>
      <c r="J147" s="525"/>
      <c r="K147" s="557"/>
      <c r="L147" s="558"/>
    </row>
    <row r="148" spans="1:12" ht="13.5" x14ac:dyDescent="0.25">
      <c r="A148" s="554"/>
      <c r="B148" s="525"/>
      <c r="C148" s="557"/>
      <c r="D148" s="558"/>
      <c r="E148" s="554"/>
      <c r="F148" s="554"/>
      <c r="G148" s="549" t="s">
        <v>2583</v>
      </c>
      <c r="H148" s="550"/>
      <c r="I148" s="168">
        <v>3</v>
      </c>
      <c r="J148" s="525"/>
      <c r="K148" s="557"/>
      <c r="L148" s="558"/>
    </row>
    <row r="149" spans="1:12" ht="13.5" x14ac:dyDescent="0.25">
      <c r="A149" s="554"/>
      <c r="B149" s="525"/>
      <c r="C149" s="557"/>
      <c r="D149" s="558"/>
      <c r="E149" s="554"/>
      <c r="F149" s="554"/>
      <c r="G149" s="549" t="s">
        <v>2584</v>
      </c>
      <c r="H149" s="550"/>
      <c r="I149" s="168">
        <v>3</v>
      </c>
      <c r="J149" s="525"/>
      <c r="K149" s="557"/>
      <c r="L149" s="558"/>
    </row>
    <row r="150" spans="1:12" ht="13.5" x14ac:dyDescent="0.25">
      <c r="A150" s="554"/>
      <c r="B150" s="525"/>
      <c r="C150" s="557"/>
      <c r="D150" s="558"/>
      <c r="E150" s="554"/>
      <c r="F150" s="554"/>
      <c r="G150" s="549" t="s">
        <v>2585</v>
      </c>
      <c r="H150" s="550"/>
      <c r="I150" s="168">
        <v>0.3</v>
      </c>
      <c r="J150" s="525"/>
      <c r="K150" s="557"/>
      <c r="L150" s="558"/>
    </row>
    <row r="151" spans="1:12" ht="13.5" x14ac:dyDescent="0.25">
      <c r="A151" s="554"/>
      <c r="B151" s="525"/>
      <c r="C151" s="557"/>
      <c r="D151" s="558"/>
      <c r="E151" s="554"/>
      <c r="F151" s="554"/>
      <c r="G151" s="549" t="s">
        <v>2586</v>
      </c>
      <c r="H151" s="550"/>
      <c r="I151" s="168"/>
      <c r="J151" s="525"/>
      <c r="K151" s="557"/>
      <c r="L151" s="558"/>
    </row>
    <row r="152" spans="1:12" ht="13.5" x14ac:dyDescent="0.25">
      <c r="A152" s="554"/>
      <c r="B152" s="525"/>
      <c r="C152" s="557"/>
      <c r="D152" s="558"/>
      <c r="E152" s="554"/>
      <c r="F152" s="554"/>
      <c r="G152" s="549" t="s">
        <v>2587</v>
      </c>
      <c r="H152" s="550"/>
      <c r="I152" s="168"/>
      <c r="J152" s="525"/>
      <c r="K152" s="557"/>
      <c r="L152" s="558"/>
    </row>
    <row r="153" spans="1:12" ht="13.5" x14ac:dyDescent="0.25">
      <c r="A153" s="554"/>
      <c r="B153" s="525"/>
      <c r="C153" s="557"/>
      <c r="D153" s="558"/>
      <c r="E153" s="554"/>
      <c r="F153" s="554"/>
      <c r="G153" s="549" t="s">
        <v>3188</v>
      </c>
      <c r="H153" s="550"/>
      <c r="I153" s="168"/>
      <c r="J153" s="525"/>
      <c r="K153" s="557"/>
      <c r="L153" s="558"/>
    </row>
    <row r="154" spans="1:12" ht="13.5" x14ac:dyDescent="0.25">
      <c r="A154" s="555"/>
      <c r="B154" s="528"/>
      <c r="C154" s="529"/>
      <c r="D154" s="530"/>
      <c r="E154" s="555"/>
      <c r="F154" s="555"/>
      <c r="G154" s="549" t="s">
        <v>3189</v>
      </c>
      <c r="H154" s="550"/>
      <c r="I154" s="168"/>
      <c r="J154" s="528"/>
      <c r="K154" s="529"/>
      <c r="L154" s="530"/>
    </row>
    <row r="155" spans="1:12" ht="16.5" x14ac:dyDescent="0.2">
      <c r="A155" s="169"/>
      <c r="B155" s="169"/>
      <c r="C155" s="169"/>
      <c r="D155" s="169"/>
      <c r="E155" s="169"/>
      <c r="F155" s="169"/>
      <c r="G155" s="169"/>
      <c r="H155" s="169"/>
      <c r="I155" s="169"/>
      <c r="J155" s="169"/>
      <c r="K155" s="169"/>
      <c r="L155" s="169"/>
    </row>
    <row r="156" spans="1:12" ht="13.5" x14ac:dyDescent="0.25">
      <c r="A156" s="551" t="s">
        <v>76</v>
      </c>
      <c r="B156" s="524"/>
      <c r="C156" s="524"/>
      <c r="D156" s="524"/>
      <c r="E156" s="167" t="s">
        <v>77</v>
      </c>
      <c r="F156" s="167" t="s">
        <v>78</v>
      </c>
      <c r="G156" s="552" t="s">
        <v>2576</v>
      </c>
      <c r="H156" s="530"/>
      <c r="I156" s="551" t="s">
        <v>2579</v>
      </c>
      <c r="J156" s="524"/>
      <c r="K156" s="524"/>
      <c r="L156" s="550"/>
    </row>
    <row r="157" spans="1:12" ht="13.5" x14ac:dyDescent="0.25">
      <c r="A157" s="553" t="s">
        <v>251</v>
      </c>
      <c r="B157" s="556" t="s">
        <v>96</v>
      </c>
      <c r="C157" s="526"/>
      <c r="D157" s="527"/>
      <c r="E157" s="553" t="s">
        <v>258</v>
      </c>
      <c r="F157" s="559">
        <f>+I157</f>
        <v>1.1559999999999999</v>
      </c>
      <c r="G157" s="549" t="s">
        <v>444</v>
      </c>
      <c r="H157" s="550"/>
      <c r="I157" s="168">
        <f>I158*I159*I160*I161*$I$98</f>
        <v>1.1559999999999999</v>
      </c>
      <c r="J157" s="560"/>
      <c r="K157" s="526"/>
      <c r="L157" s="527"/>
    </row>
    <row r="158" spans="1:12" ht="13.5" x14ac:dyDescent="0.25">
      <c r="A158" s="554"/>
      <c r="B158" s="525"/>
      <c r="C158" s="557"/>
      <c r="D158" s="558"/>
      <c r="E158" s="554"/>
      <c r="F158" s="554"/>
      <c r="G158" s="549" t="s">
        <v>453</v>
      </c>
      <c r="H158" s="550"/>
      <c r="I158" s="168">
        <v>1</v>
      </c>
      <c r="J158" s="525"/>
      <c r="K158" s="557"/>
      <c r="L158" s="558"/>
    </row>
    <row r="159" spans="1:12" ht="13.5" x14ac:dyDescent="0.25">
      <c r="A159" s="554"/>
      <c r="B159" s="525"/>
      <c r="C159" s="557"/>
      <c r="D159" s="558"/>
      <c r="E159" s="554"/>
      <c r="F159" s="554"/>
      <c r="G159" s="549" t="s">
        <v>2583</v>
      </c>
      <c r="H159" s="550"/>
      <c r="I159" s="168">
        <v>3.4</v>
      </c>
      <c r="J159" s="525"/>
      <c r="K159" s="557"/>
      <c r="L159" s="558"/>
    </row>
    <row r="160" spans="1:12" ht="13.5" x14ac:dyDescent="0.25">
      <c r="A160" s="554"/>
      <c r="B160" s="525"/>
      <c r="C160" s="557"/>
      <c r="D160" s="558"/>
      <c r="E160" s="554"/>
      <c r="F160" s="554"/>
      <c r="G160" s="549" t="s">
        <v>2584</v>
      </c>
      <c r="H160" s="550"/>
      <c r="I160" s="168">
        <v>3.4</v>
      </c>
      <c r="J160" s="525"/>
      <c r="K160" s="557"/>
      <c r="L160" s="558"/>
    </row>
    <row r="161" spans="1:12" ht="13.5" x14ac:dyDescent="0.25">
      <c r="A161" s="554"/>
      <c r="B161" s="525"/>
      <c r="C161" s="557"/>
      <c r="D161" s="558"/>
      <c r="E161" s="554"/>
      <c r="F161" s="554"/>
      <c r="G161" s="549" t="s">
        <v>2585</v>
      </c>
      <c r="H161" s="550"/>
      <c r="I161" s="168">
        <v>0.05</v>
      </c>
      <c r="J161" s="525"/>
      <c r="K161" s="557"/>
      <c r="L161" s="558"/>
    </row>
    <row r="162" spans="1:12" ht="13.5" x14ac:dyDescent="0.25">
      <c r="A162" s="554"/>
      <c r="B162" s="525"/>
      <c r="C162" s="557"/>
      <c r="D162" s="558"/>
      <c r="E162" s="554"/>
      <c r="F162" s="554"/>
      <c r="G162" s="549" t="s">
        <v>2586</v>
      </c>
      <c r="H162" s="550"/>
      <c r="I162" s="168"/>
      <c r="J162" s="525"/>
      <c r="K162" s="557"/>
      <c r="L162" s="558"/>
    </row>
    <row r="163" spans="1:12" ht="13.5" x14ac:dyDescent="0.25">
      <c r="A163" s="554"/>
      <c r="B163" s="525"/>
      <c r="C163" s="557"/>
      <c r="D163" s="558"/>
      <c r="E163" s="554"/>
      <c r="F163" s="554"/>
      <c r="G163" s="549" t="s">
        <v>2587</v>
      </c>
      <c r="H163" s="550"/>
      <c r="I163" s="168"/>
      <c r="J163" s="525"/>
      <c r="K163" s="557"/>
      <c r="L163" s="558"/>
    </row>
    <row r="164" spans="1:12" ht="13.5" x14ac:dyDescent="0.25">
      <c r="A164" s="554"/>
      <c r="B164" s="525"/>
      <c r="C164" s="557"/>
      <c r="D164" s="558"/>
      <c r="E164" s="554"/>
      <c r="F164" s="554"/>
      <c r="G164" s="549" t="s">
        <v>3188</v>
      </c>
      <c r="H164" s="550"/>
      <c r="I164" s="168"/>
      <c r="J164" s="525"/>
      <c r="K164" s="557"/>
      <c r="L164" s="558"/>
    </row>
    <row r="165" spans="1:12" ht="13.5" x14ac:dyDescent="0.25">
      <c r="A165" s="555"/>
      <c r="B165" s="528"/>
      <c r="C165" s="529"/>
      <c r="D165" s="530"/>
      <c r="E165" s="555"/>
      <c r="F165" s="555"/>
      <c r="G165" s="549" t="s">
        <v>3189</v>
      </c>
      <c r="H165" s="550"/>
      <c r="I165" s="168"/>
      <c r="J165" s="528"/>
      <c r="K165" s="529"/>
      <c r="L165" s="530"/>
    </row>
    <row r="166" spans="1:12" ht="16.5" x14ac:dyDescent="0.2">
      <c r="A166" s="169"/>
      <c r="B166" s="169"/>
      <c r="C166" s="169"/>
      <c r="D166" s="169"/>
      <c r="E166" s="169"/>
      <c r="F166" s="169"/>
      <c r="G166" s="169"/>
      <c r="H166" s="169"/>
      <c r="I166" s="169"/>
      <c r="J166" s="169"/>
      <c r="K166" s="169"/>
      <c r="L166" s="169"/>
    </row>
    <row r="167" spans="1:12" ht="13.5" x14ac:dyDescent="0.25">
      <c r="A167" s="551" t="s">
        <v>76</v>
      </c>
      <c r="B167" s="524"/>
      <c r="C167" s="524"/>
      <c r="D167" s="550"/>
      <c r="E167" s="167" t="s">
        <v>77</v>
      </c>
      <c r="F167" s="167" t="s">
        <v>78</v>
      </c>
      <c r="G167" s="552" t="s">
        <v>2576</v>
      </c>
      <c r="H167" s="530"/>
      <c r="I167" s="551" t="s">
        <v>2579</v>
      </c>
      <c r="J167" s="524"/>
      <c r="K167" s="524"/>
      <c r="L167" s="550"/>
    </row>
    <row r="168" spans="1:12" ht="13.5" x14ac:dyDescent="0.25">
      <c r="A168" s="553" t="s">
        <v>252</v>
      </c>
      <c r="B168" s="556" t="s">
        <v>199</v>
      </c>
      <c r="C168" s="526"/>
      <c r="D168" s="527"/>
      <c r="E168" s="553" t="s">
        <v>258</v>
      </c>
      <c r="F168" s="559">
        <f>+I168</f>
        <v>5.7799999999999994</v>
      </c>
      <c r="G168" s="549" t="s">
        <v>444</v>
      </c>
      <c r="H168" s="550"/>
      <c r="I168" s="168">
        <f>I169*I170*I171*I172*I$98</f>
        <v>5.7799999999999994</v>
      </c>
      <c r="J168" s="560"/>
      <c r="K168" s="526"/>
      <c r="L168" s="527"/>
    </row>
    <row r="169" spans="1:12" ht="13.5" x14ac:dyDescent="0.25">
      <c r="A169" s="554"/>
      <c r="B169" s="525"/>
      <c r="C169" s="557"/>
      <c r="D169" s="558"/>
      <c r="E169" s="554"/>
      <c r="F169" s="554"/>
      <c r="G169" s="549" t="s">
        <v>453</v>
      </c>
      <c r="H169" s="550"/>
      <c r="I169" s="168">
        <v>1</v>
      </c>
      <c r="J169" s="525"/>
      <c r="K169" s="557"/>
      <c r="L169" s="558"/>
    </row>
    <row r="170" spans="1:12" ht="13.5" x14ac:dyDescent="0.25">
      <c r="A170" s="554"/>
      <c r="B170" s="525"/>
      <c r="C170" s="557"/>
      <c r="D170" s="558"/>
      <c r="E170" s="554"/>
      <c r="F170" s="554"/>
      <c r="G170" s="549" t="s">
        <v>2583</v>
      </c>
      <c r="H170" s="550"/>
      <c r="I170" s="168">
        <v>3.4</v>
      </c>
      <c r="J170" s="525"/>
      <c r="K170" s="557"/>
      <c r="L170" s="558"/>
    </row>
    <row r="171" spans="1:12" ht="13.5" x14ac:dyDescent="0.25">
      <c r="A171" s="554"/>
      <c r="B171" s="525"/>
      <c r="C171" s="557"/>
      <c r="D171" s="558"/>
      <c r="E171" s="554"/>
      <c r="F171" s="554"/>
      <c r="G171" s="549" t="s">
        <v>2584</v>
      </c>
      <c r="H171" s="550"/>
      <c r="I171" s="168">
        <v>3.4</v>
      </c>
      <c r="J171" s="525"/>
      <c r="K171" s="557"/>
      <c r="L171" s="558"/>
    </row>
    <row r="172" spans="1:12" ht="13.5" x14ac:dyDescent="0.25">
      <c r="A172" s="554"/>
      <c r="B172" s="525"/>
      <c r="C172" s="557"/>
      <c r="D172" s="558"/>
      <c r="E172" s="554"/>
      <c r="F172" s="554"/>
      <c r="G172" s="549" t="s">
        <v>2585</v>
      </c>
      <c r="H172" s="550"/>
      <c r="I172" s="168">
        <v>0.25</v>
      </c>
      <c r="J172" s="525"/>
      <c r="K172" s="557"/>
      <c r="L172" s="558"/>
    </row>
    <row r="173" spans="1:12" ht="13.5" x14ac:dyDescent="0.25">
      <c r="A173" s="554"/>
      <c r="B173" s="525"/>
      <c r="C173" s="557"/>
      <c r="D173" s="558"/>
      <c r="E173" s="554"/>
      <c r="F173" s="554"/>
      <c r="G173" s="549" t="s">
        <v>2586</v>
      </c>
      <c r="H173" s="550"/>
      <c r="I173" s="168"/>
      <c r="J173" s="525"/>
      <c r="K173" s="557"/>
      <c r="L173" s="558"/>
    </row>
    <row r="174" spans="1:12" ht="13.5" x14ac:dyDescent="0.25">
      <c r="A174" s="554"/>
      <c r="B174" s="525"/>
      <c r="C174" s="557"/>
      <c r="D174" s="558"/>
      <c r="E174" s="554"/>
      <c r="F174" s="554"/>
      <c r="G174" s="549" t="s">
        <v>2587</v>
      </c>
      <c r="H174" s="550"/>
      <c r="I174" s="168"/>
      <c r="J174" s="525"/>
      <c r="K174" s="557"/>
      <c r="L174" s="558"/>
    </row>
    <row r="175" spans="1:12" ht="13.5" x14ac:dyDescent="0.25">
      <c r="A175" s="554"/>
      <c r="B175" s="525"/>
      <c r="C175" s="557"/>
      <c r="D175" s="558"/>
      <c r="E175" s="554"/>
      <c r="F175" s="554"/>
      <c r="G175" s="549" t="s">
        <v>3188</v>
      </c>
      <c r="H175" s="550"/>
      <c r="I175" s="168"/>
      <c r="J175" s="525"/>
      <c r="K175" s="557"/>
      <c r="L175" s="558"/>
    </row>
    <row r="176" spans="1:12" ht="13.5" x14ac:dyDescent="0.25">
      <c r="A176" s="555"/>
      <c r="B176" s="528"/>
      <c r="C176" s="529"/>
      <c r="D176" s="530"/>
      <c r="E176" s="555"/>
      <c r="F176" s="555"/>
      <c r="G176" s="549" t="s">
        <v>3189</v>
      </c>
      <c r="H176" s="550"/>
      <c r="I176" s="168">
        <v>2.8899999999999997</v>
      </c>
      <c r="J176" s="528"/>
      <c r="K176" s="529"/>
      <c r="L176" s="530"/>
    </row>
    <row r="177" spans="1:12" ht="16.5" x14ac:dyDescent="0.2">
      <c r="A177" s="169"/>
      <c r="B177" s="169"/>
      <c r="C177" s="169"/>
      <c r="D177" s="169"/>
      <c r="E177" s="169"/>
      <c r="F177" s="169"/>
      <c r="G177" s="169"/>
      <c r="H177" s="169"/>
      <c r="I177" s="169"/>
      <c r="J177" s="169"/>
      <c r="K177" s="169"/>
      <c r="L177" s="169"/>
    </row>
    <row r="178" spans="1:12" ht="13.5" x14ac:dyDescent="0.25">
      <c r="A178" s="551" t="s">
        <v>76</v>
      </c>
      <c r="B178" s="524"/>
      <c r="C178" s="524"/>
      <c r="D178" s="524"/>
      <c r="E178" s="167" t="s">
        <v>77</v>
      </c>
      <c r="F178" s="167" t="s">
        <v>78</v>
      </c>
      <c r="G178" s="552" t="s">
        <v>2576</v>
      </c>
      <c r="H178" s="530"/>
      <c r="I178" s="551" t="s">
        <v>2579</v>
      </c>
      <c r="J178" s="524"/>
      <c r="K178" s="524"/>
      <c r="L178" s="550"/>
    </row>
    <row r="179" spans="1:12" ht="13.5" x14ac:dyDescent="0.25">
      <c r="A179" s="553" t="s">
        <v>253</v>
      </c>
      <c r="B179" s="556" t="s">
        <v>254</v>
      </c>
      <c r="C179" s="526"/>
      <c r="D179" s="527"/>
      <c r="E179" s="553" t="s">
        <v>258</v>
      </c>
      <c r="F179" s="559">
        <f>+I179</f>
        <v>13.6</v>
      </c>
      <c r="G179" s="549" t="s">
        <v>444</v>
      </c>
      <c r="H179" s="550"/>
      <c r="I179" s="168">
        <f>(I181+I181+I182+I182)*I183*I180*$I$98</f>
        <v>13.6</v>
      </c>
      <c r="J179" s="560"/>
      <c r="K179" s="526"/>
      <c r="L179" s="527"/>
    </row>
    <row r="180" spans="1:12" ht="13.5" x14ac:dyDescent="0.25">
      <c r="A180" s="554"/>
      <c r="B180" s="525"/>
      <c r="C180" s="557"/>
      <c r="D180" s="558"/>
      <c r="E180" s="554"/>
      <c r="F180" s="554"/>
      <c r="G180" s="549" t="s">
        <v>453</v>
      </c>
      <c r="H180" s="550"/>
      <c r="I180" s="168">
        <v>2</v>
      </c>
      <c r="J180" s="525"/>
      <c r="K180" s="557"/>
      <c r="L180" s="558"/>
    </row>
    <row r="181" spans="1:12" ht="13.5" x14ac:dyDescent="0.25">
      <c r="A181" s="554"/>
      <c r="B181" s="525"/>
      <c r="C181" s="557"/>
      <c r="D181" s="558"/>
      <c r="E181" s="554"/>
      <c r="F181" s="554"/>
      <c r="G181" s="549" t="s">
        <v>2583</v>
      </c>
      <c r="H181" s="550"/>
      <c r="I181" s="168">
        <v>3.4</v>
      </c>
      <c r="J181" s="525"/>
      <c r="K181" s="557"/>
      <c r="L181" s="558"/>
    </row>
    <row r="182" spans="1:12" ht="13.5" x14ac:dyDescent="0.25">
      <c r="A182" s="554"/>
      <c r="B182" s="525"/>
      <c r="C182" s="557"/>
      <c r="D182" s="558"/>
      <c r="E182" s="554"/>
      <c r="F182" s="554"/>
      <c r="G182" s="549" t="s">
        <v>2584</v>
      </c>
      <c r="H182" s="550"/>
      <c r="I182" s="168">
        <v>3.4</v>
      </c>
      <c r="J182" s="525"/>
      <c r="K182" s="557"/>
      <c r="L182" s="558"/>
    </row>
    <row r="183" spans="1:12" ht="13.5" x14ac:dyDescent="0.25">
      <c r="A183" s="554"/>
      <c r="B183" s="525"/>
      <c r="C183" s="557"/>
      <c r="D183" s="558"/>
      <c r="E183" s="554"/>
      <c r="F183" s="554"/>
      <c r="G183" s="549" t="s">
        <v>2585</v>
      </c>
      <c r="H183" s="550"/>
      <c r="I183" s="168">
        <v>0.25</v>
      </c>
      <c r="J183" s="525"/>
      <c r="K183" s="557"/>
      <c r="L183" s="558"/>
    </row>
    <row r="184" spans="1:12" ht="13.5" x14ac:dyDescent="0.25">
      <c r="A184" s="554"/>
      <c r="B184" s="525"/>
      <c r="C184" s="557"/>
      <c r="D184" s="558"/>
      <c r="E184" s="554"/>
      <c r="F184" s="554"/>
      <c r="G184" s="549" t="s">
        <v>2586</v>
      </c>
      <c r="H184" s="550"/>
      <c r="I184" s="168"/>
      <c r="J184" s="525"/>
      <c r="K184" s="557"/>
      <c r="L184" s="558"/>
    </row>
    <row r="185" spans="1:12" ht="13.5" x14ac:dyDescent="0.25">
      <c r="A185" s="554"/>
      <c r="B185" s="525"/>
      <c r="C185" s="557"/>
      <c r="D185" s="558"/>
      <c r="E185" s="554"/>
      <c r="F185" s="554"/>
      <c r="G185" s="549" t="s">
        <v>2587</v>
      </c>
      <c r="H185" s="550"/>
      <c r="I185" s="168"/>
      <c r="J185" s="525"/>
      <c r="K185" s="557"/>
      <c r="L185" s="558"/>
    </row>
    <row r="186" spans="1:12" ht="13.5" x14ac:dyDescent="0.25">
      <c r="A186" s="554"/>
      <c r="B186" s="525"/>
      <c r="C186" s="557"/>
      <c r="D186" s="558"/>
      <c r="E186" s="554"/>
      <c r="F186" s="554"/>
      <c r="G186" s="549" t="s">
        <v>3188</v>
      </c>
      <c r="H186" s="550"/>
      <c r="I186" s="168"/>
      <c r="J186" s="525"/>
      <c r="K186" s="557"/>
      <c r="L186" s="558"/>
    </row>
    <row r="187" spans="1:12" ht="13.5" x14ac:dyDescent="0.25">
      <c r="A187" s="555"/>
      <c r="B187" s="528"/>
      <c r="C187" s="529"/>
      <c r="D187" s="530"/>
      <c r="E187" s="555"/>
      <c r="F187" s="555"/>
      <c r="G187" s="549" t="s">
        <v>3189</v>
      </c>
      <c r="H187" s="550"/>
      <c r="I187" s="168"/>
      <c r="J187" s="528"/>
      <c r="K187" s="529"/>
      <c r="L187" s="530"/>
    </row>
    <row r="188" spans="1:12" ht="16.5" x14ac:dyDescent="0.3">
      <c r="A188" s="122"/>
      <c r="B188" s="122"/>
      <c r="C188" s="122"/>
      <c r="D188" s="122"/>
      <c r="E188" s="122"/>
      <c r="F188" s="122"/>
      <c r="G188" s="122"/>
      <c r="H188" s="122"/>
      <c r="I188" s="122"/>
      <c r="J188" s="122"/>
      <c r="K188" s="122"/>
      <c r="L188" s="122"/>
    </row>
    <row r="189" spans="1:12" x14ac:dyDescent="0.2">
      <c r="A189" s="287" t="s">
        <v>76</v>
      </c>
      <c r="B189" s="271"/>
      <c r="C189" s="271"/>
      <c r="D189" s="273"/>
      <c r="E189" s="16" t="s">
        <v>77</v>
      </c>
      <c r="F189" s="16" t="s">
        <v>78</v>
      </c>
      <c r="G189" s="532" t="s">
        <v>2576</v>
      </c>
      <c r="H189" s="482"/>
      <c r="I189" s="287" t="s">
        <v>2579</v>
      </c>
      <c r="J189" s="271"/>
      <c r="K189" s="271"/>
      <c r="L189" s="273"/>
    </row>
    <row r="190" spans="1:12" ht="13.5" x14ac:dyDescent="0.2">
      <c r="A190" s="542" t="s">
        <v>255</v>
      </c>
      <c r="B190" s="535" t="s">
        <v>2658</v>
      </c>
      <c r="C190" s="275"/>
      <c r="D190" s="276"/>
      <c r="E190" s="542" t="s">
        <v>969</v>
      </c>
      <c r="F190" s="536">
        <f>+I190</f>
        <v>1456</v>
      </c>
      <c r="G190" s="295" t="s">
        <v>444</v>
      </c>
      <c r="H190" s="273"/>
      <c r="I190" s="28">
        <f>I195*I98</f>
        <v>1456</v>
      </c>
      <c r="J190" s="548"/>
      <c r="K190" s="275"/>
      <c r="L190" s="276"/>
    </row>
    <row r="191" spans="1:12" ht="13.5" x14ac:dyDescent="0.2">
      <c r="A191" s="534"/>
      <c r="B191" s="284"/>
      <c r="C191" s="285"/>
      <c r="D191" s="286"/>
      <c r="E191" s="534"/>
      <c r="F191" s="534"/>
      <c r="G191" s="295" t="s">
        <v>453</v>
      </c>
      <c r="H191" s="273"/>
      <c r="I191" s="28">
        <v>1</v>
      </c>
      <c r="J191" s="284"/>
      <c r="K191" s="285"/>
      <c r="L191" s="286"/>
    </row>
    <row r="192" spans="1:12" ht="13.5" x14ac:dyDescent="0.2">
      <c r="A192" s="534"/>
      <c r="B192" s="284"/>
      <c r="C192" s="285"/>
      <c r="D192" s="286"/>
      <c r="E192" s="534"/>
      <c r="F192" s="534"/>
      <c r="G192" s="295" t="s">
        <v>2583</v>
      </c>
      <c r="H192" s="273"/>
      <c r="I192" s="28"/>
      <c r="J192" s="284"/>
      <c r="K192" s="285"/>
      <c r="L192" s="286"/>
    </row>
    <row r="193" spans="1:12" ht="13.5" x14ac:dyDescent="0.2">
      <c r="A193" s="534"/>
      <c r="B193" s="284"/>
      <c r="C193" s="285"/>
      <c r="D193" s="286"/>
      <c r="E193" s="534"/>
      <c r="F193" s="534"/>
      <c r="G193" s="295" t="s">
        <v>2584</v>
      </c>
      <c r="H193" s="273"/>
      <c r="I193" s="28"/>
      <c r="J193" s="284"/>
      <c r="K193" s="285"/>
      <c r="L193" s="286"/>
    </row>
    <row r="194" spans="1:12" ht="13.5" x14ac:dyDescent="0.2">
      <c r="A194" s="534"/>
      <c r="B194" s="284"/>
      <c r="C194" s="285"/>
      <c r="D194" s="286"/>
      <c r="E194" s="534"/>
      <c r="F194" s="534"/>
      <c r="G194" s="295" t="s">
        <v>2585</v>
      </c>
      <c r="H194" s="273"/>
      <c r="I194" s="28"/>
      <c r="J194" s="284"/>
      <c r="K194" s="285"/>
      <c r="L194" s="286"/>
    </row>
    <row r="195" spans="1:12" ht="13.5" x14ac:dyDescent="0.2">
      <c r="A195" s="534"/>
      <c r="B195" s="284"/>
      <c r="C195" s="285"/>
      <c r="D195" s="286"/>
      <c r="E195" s="534"/>
      <c r="F195" s="534"/>
      <c r="G195" s="295" t="s">
        <v>2586</v>
      </c>
      <c r="H195" s="273"/>
      <c r="I195" s="28">
        <v>728</v>
      </c>
      <c r="J195" s="284"/>
      <c r="K195" s="285"/>
      <c r="L195" s="286"/>
    </row>
    <row r="196" spans="1:12" ht="13.5" x14ac:dyDescent="0.2">
      <c r="A196" s="534"/>
      <c r="B196" s="284"/>
      <c r="C196" s="285"/>
      <c r="D196" s="286"/>
      <c r="E196" s="534"/>
      <c r="F196" s="534"/>
      <c r="G196" s="295" t="s">
        <v>2587</v>
      </c>
      <c r="H196" s="273"/>
      <c r="I196" s="28"/>
      <c r="J196" s="284"/>
      <c r="K196" s="285"/>
      <c r="L196" s="286"/>
    </row>
    <row r="197" spans="1:12" ht="13.5" x14ac:dyDescent="0.2">
      <c r="A197" s="534"/>
      <c r="B197" s="284"/>
      <c r="C197" s="285"/>
      <c r="D197" s="286"/>
      <c r="E197" s="534"/>
      <c r="F197" s="534"/>
      <c r="G197" s="295" t="s">
        <v>2659</v>
      </c>
      <c r="H197" s="273"/>
      <c r="I197" s="28"/>
      <c r="J197" s="284"/>
      <c r="K197" s="285"/>
      <c r="L197" s="286"/>
    </row>
    <row r="198" spans="1:12" ht="13.5" x14ac:dyDescent="0.2">
      <c r="A198" s="281"/>
      <c r="B198" s="277"/>
      <c r="C198" s="278"/>
      <c r="D198" s="279"/>
      <c r="E198" s="281"/>
      <c r="F198" s="281"/>
      <c r="G198" s="295" t="s">
        <v>2660</v>
      </c>
      <c r="H198" s="273"/>
      <c r="I198" s="28"/>
      <c r="J198" s="277"/>
      <c r="K198" s="278"/>
      <c r="L198" s="279"/>
    </row>
    <row r="199" spans="1:12" ht="16.5" x14ac:dyDescent="0.2">
      <c r="A199" s="121"/>
      <c r="B199" s="121"/>
      <c r="C199" s="121"/>
      <c r="D199" s="121"/>
      <c r="E199" s="121"/>
      <c r="F199" s="121"/>
      <c r="G199" s="121"/>
      <c r="H199" s="121"/>
      <c r="I199" s="121"/>
      <c r="J199" s="121"/>
      <c r="K199" s="121"/>
      <c r="L199" s="121"/>
    </row>
    <row r="200" spans="1:12" x14ac:dyDescent="0.2">
      <c r="A200" s="287" t="s">
        <v>76</v>
      </c>
      <c r="B200" s="271"/>
      <c r="C200" s="271"/>
      <c r="D200" s="273"/>
      <c r="E200" s="16" t="s">
        <v>77</v>
      </c>
      <c r="F200" s="16" t="s">
        <v>78</v>
      </c>
      <c r="G200" s="532" t="s">
        <v>2576</v>
      </c>
      <c r="H200" s="482"/>
      <c r="I200" s="287" t="s">
        <v>2579</v>
      </c>
      <c r="J200" s="271"/>
      <c r="K200" s="271"/>
      <c r="L200" s="273"/>
    </row>
    <row r="201" spans="1:12" ht="16.5" x14ac:dyDescent="0.2">
      <c r="A201" s="542" t="s">
        <v>262</v>
      </c>
      <c r="B201" s="535" t="s">
        <v>2661</v>
      </c>
      <c r="C201" s="275"/>
      <c r="D201" s="276"/>
      <c r="E201" s="542" t="s">
        <v>934</v>
      </c>
      <c r="F201" s="536">
        <f>+F206+F218</f>
        <v>7.5351680000000005</v>
      </c>
      <c r="G201" s="283" t="s">
        <v>444</v>
      </c>
      <c r="H201" s="276"/>
      <c r="I201" s="123"/>
      <c r="J201" s="548"/>
      <c r="K201" s="275"/>
      <c r="L201" s="276"/>
    </row>
    <row r="202" spans="1:12" ht="13.5" x14ac:dyDescent="0.2">
      <c r="A202" s="534"/>
      <c r="B202" s="284"/>
      <c r="C202" s="285"/>
      <c r="D202" s="286"/>
      <c r="E202" s="534"/>
      <c r="F202" s="534"/>
      <c r="G202" s="284"/>
      <c r="H202" s="286"/>
      <c r="I202" s="28"/>
      <c r="J202" s="284"/>
      <c r="K202" s="285"/>
      <c r="L202" s="286"/>
    </row>
    <row r="203" spans="1:12" ht="13.5" x14ac:dyDescent="0.2">
      <c r="A203" s="281"/>
      <c r="B203" s="277"/>
      <c r="C203" s="278"/>
      <c r="D203" s="279"/>
      <c r="E203" s="281"/>
      <c r="F203" s="281"/>
      <c r="G203" s="277"/>
      <c r="H203" s="279"/>
      <c r="I203" s="28"/>
      <c r="J203" s="277"/>
      <c r="K203" s="278"/>
      <c r="L203" s="279"/>
    </row>
    <row r="204" spans="1:12" ht="16.5" x14ac:dyDescent="0.2">
      <c r="A204" s="121"/>
      <c r="B204" s="121"/>
      <c r="C204" s="121"/>
      <c r="D204" s="121"/>
      <c r="E204" s="121"/>
      <c r="F204" s="121"/>
      <c r="G204" s="121"/>
      <c r="H204" s="121"/>
      <c r="I204" s="121"/>
      <c r="J204" s="121"/>
      <c r="K204" s="121"/>
      <c r="L204" s="121"/>
    </row>
    <row r="205" spans="1:12" x14ac:dyDescent="0.2">
      <c r="A205" s="287" t="s">
        <v>76</v>
      </c>
      <c r="B205" s="271"/>
      <c r="C205" s="271"/>
      <c r="D205" s="273"/>
      <c r="E205" s="16" t="s">
        <v>77</v>
      </c>
      <c r="F205" s="16" t="s">
        <v>78</v>
      </c>
      <c r="G205" s="532" t="s">
        <v>2576</v>
      </c>
      <c r="H205" s="482"/>
      <c r="I205" s="287" t="s">
        <v>2579</v>
      </c>
      <c r="J205" s="271"/>
      <c r="K205" s="271"/>
      <c r="L205" s="273"/>
    </row>
    <row r="206" spans="1:12" ht="13.5" x14ac:dyDescent="0.2">
      <c r="A206" s="542" t="s">
        <v>2662</v>
      </c>
      <c r="B206" s="535" t="s">
        <v>2663</v>
      </c>
      <c r="C206" s="275"/>
      <c r="D206" s="276"/>
      <c r="E206" s="542" t="s">
        <v>934</v>
      </c>
      <c r="F206" s="536">
        <f>+I206</f>
        <v>7.072000000000001</v>
      </c>
      <c r="G206" s="295" t="s">
        <v>444</v>
      </c>
      <c r="H206" s="273"/>
      <c r="I206" s="28">
        <f>I207*I208*I212*I211*I$98</f>
        <v>7.072000000000001</v>
      </c>
      <c r="J206" s="548"/>
      <c r="K206" s="275"/>
      <c r="L206" s="276"/>
    </row>
    <row r="207" spans="1:12" ht="13.5" x14ac:dyDescent="0.2">
      <c r="A207" s="534"/>
      <c r="B207" s="284"/>
      <c r="C207" s="285"/>
      <c r="D207" s="286"/>
      <c r="E207" s="534"/>
      <c r="F207" s="534"/>
      <c r="G207" s="295" t="s">
        <v>453</v>
      </c>
      <c r="H207" s="273"/>
      <c r="I207" s="28">
        <v>4</v>
      </c>
      <c r="J207" s="284"/>
      <c r="K207" s="285"/>
      <c r="L207" s="286"/>
    </row>
    <row r="208" spans="1:12" ht="13.5" x14ac:dyDescent="0.2">
      <c r="A208" s="534"/>
      <c r="B208" s="284"/>
      <c r="C208" s="285"/>
      <c r="D208" s="286"/>
      <c r="E208" s="534"/>
      <c r="F208" s="534"/>
      <c r="G208" s="295" t="s">
        <v>2583</v>
      </c>
      <c r="H208" s="273"/>
      <c r="I208" s="28">
        <v>3.4</v>
      </c>
      <c r="J208" s="284"/>
      <c r="K208" s="285"/>
      <c r="L208" s="286"/>
    </row>
    <row r="209" spans="1:12" ht="13.5" x14ac:dyDescent="0.2">
      <c r="A209" s="534"/>
      <c r="B209" s="284"/>
      <c r="C209" s="285"/>
      <c r="D209" s="286"/>
      <c r="E209" s="534"/>
      <c r="F209" s="534"/>
      <c r="G209" s="295" t="s">
        <v>2583</v>
      </c>
      <c r="H209" s="273"/>
      <c r="I209" s="28"/>
      <c r="J209" s="284"/>
      <c r="K209" s="285"/>
      <c r="L209" s="286"/>
    </row>
    <row r="210" spans="1:12" ht="13.5" x14ac:dyDescent="0.2">
      <c r="A210" s="534"/>
      <c r="B210" s="284"/>
      <c r="C210" s="285"/>
      <c r="D210" s="286"/>
      <c r="E210" s="534"/>
      <c r="F210" s="534"/>
      <c r="G210" s="295" t="s">
        <v>2584</v>
      </c>
      <c r="H210" s="273"/>
      <c r="I210" s="28">
        <v>3.4</v>
      </c>
      <c r="J210" s="284"/>
      <c r="K210" s="285"/>
      <c r="L210" s="286"/>
    </row>
    <row r="211" spans="1:12" ht="13.5" x14ac:dyDescent="0.2">
      <c r="A211" s="534"/>
      <c r="B211" s="284"/>
      <c r="C211" s="285"/>
      <c r="D211" s="286"/>
      <c r="E211" s="534"/>
      <c r="F211" s="534"/>
      <c r="G211" s="295" t="s">
        <v>2585</v>
      </c>
      <c r="H211" s="273"/>
      <c r="I211" s="28">
        <v>1.3</v>
      </c>
      <c r="J211" s="284"/>
      <c r="K211" s="285"/>
      <c r="L211" s="286"/>
    </row>
    <row r="212" spans="1:12" ht="13.5" x14ac:dyDescent="0.2">
      <c r="A212" s="534"/>
      <c r="B212" s="284"/>
      <c r="C212" s="285"/>
      <c r="D212" s="286"/>
      <c r="E212" s="534"/>
      <c r="F212" s="534"/>
      <c r="G212" s="295" t="s">
        <v>2586</v>
      </c>
      <c r="H212" s="273"/>
      <c r="I212" s="28">
        <v>0.2</v>
      </c>
      <c r="J212" s="284"/>
      <c r="K212" s="285"/>
      <c r="L212" s="286"/>
    </row>
    <row r="213" spans="1:12" ht="13.5" x14ac:dyDescent="0.2">
      <c r="A213" s="534"/>
      <c r="B213" s="284"/>
      <c r="C213" s="285"/>
      <c r="D213" s="286"/>
      <c r="E213" s="534"/>
      <c r="F213" s="534"/>
      <c r="G213" s="295" t="s">
        <v>2587</v>
      </c>
      <c r="H213" s="273"/>
      <c r="I213" s="28"/>
      <c r="J213" s="284"/>
      <c r="K213" s="285"/>
      <c r="L213" s="286"/>
    </row>
    <row r="214" spans="1:12" ht="13.5" x14ac:dyDescent="0.2">
      <c r="A214" s="534"/>
      <c r="B214" s="284"/>
      <c r="C214" s="285"/>
      <c r="D214" s="286"/>
      <c r="E214" s="534"/>
      <c r="F214" s="534"/>
      <c r="G214" s="295" t="s">
        <v>2664</v>
      </c>
      <c r="H214" s="273"/>
      <c r="I214" s="28"/>
      <c r="J214" s="284"/>
      <c r="K214" s="285"/>
      <c r="L214" s="286"/>
    </row>
    <row r="215" spans="1:12" ht="13.5" x14ac:dyDescent="0.2">
      <c r="A215" s="281"/>
      <c r="B215" s="277"/>
      <c r="C215" s="278"/>
      <c r="D215" s="279"/>
      <c r="E215" s="281"/>
      <c r="F215" s="281"/>
      <c r="G215" s="295" t="s">
        <v>2665</v>
      </c>
      <c r="H215" s="273"/>
      <c r="I215" s="28">
        <f>I207*I208*I210*I211</f>
        <v>60.111999999999995</v>
      </c>
      <c r="J215" s="277"/>
      <c r="K215" s="278"/>
      <c r="L215" s="279"/>
    </row>
    <row r="216" spans="1:12" ht="16.5" x14ac:dyDescent="0.2">
      <c r="A216" s="121"/>
      <c r="B216" s="121"/>
      <c r="C216" s="121"/>
      <c r="D216" s="121"/>
      <c r="E216" s="121"/>
      <c r="F216" s="121"/>
      <c r="G216" s="121"/>
      <c r="H216" s="121"/>
      <c r="I216" s="121"/>
      <c r="J216" s="121"/>
      <c r="K216" s="121"/>
      <c r="L216" s="121"/>
    </row>
    <row r="217" spans="1:12" x14ac:dyDescent="0.2">
      <c r="A217" s="287" t="s">
        <v>76</v>
      </c>
      <c r="B217" s="271"/>
      <c r="C217" s="271"/>
      <c r="D217" s="273"/>
      <c r="E217" s="16" t="s">
        <v>77</v>
      </c>
      <c r="F217" s="16" t="s">
        <v>78</v>
      </c>
      <c r="G217" s="532" t="s">
        <v>2576</v>
      </c>
      <c r="H217" s="482"/>
      <c r="I217" s="287" t="s">
        <v>2579</v>
      </c>
      <c r="J217" s="271"/>
      <c r="K217" s="271"/>
      <c r="L217" s="273"/>
    </row>
    <row r="218" spans="1:12" ht="13.5" x14ac:dyDescent="0.2">
      <c r="A218" s="542" t="s">
        <v>2666</v>
      </c>
      <c r="B218" s="535" t="s">
        <v>2667</v>
      </c>
      <c r="C218" s="275"/>
      <c r="D218" s="276"/>
      <c r="E218" s="542" t="s">
        <v>934</v>
      </c>
      <c r="F218" s="536">
        <f>+I218</f>
        <v>0.46316800000000002</v>
      </c>
      <c r="G218" s="295" t="s">
        <v>444</v>
      </c>
      <c r="H218" s="273"/>
      <c r="I218" s="28">
        <f>((I219*I220*I221*I222)+(I223*I224*I225))*I$98</f>
        <v>0.46316800000000002</v>
      </c>
      <c r="J218" s="548"/>
      <c r="K218" s="275"/>
      <c r="L218" s="276"/>
    </row>
    <row r="219" spans="1:12" ht="13.5" x14ac:dyDescent="0.2">
      <c r="A219" s="534"/>
      <c r="B219" s="284"/>
      <c r="C219" s="285"/>
      <c r="D219" s="286"/>
      <c r="E219" s="534"/>
      <c r="F219" s="534"/>
      <c r="G219" s="295" t="s">
        <v>453</v>
      </c>
      <c r="H219" s="273"/>
      <c r="I219" s="28">
        <v>1</v>
      </c>
      <c r="J219" s="284"/>
      <c r="K219" s="285"/>
      <c r="L219" s="286"/>
    </row>
    <row r="220" spans="1:12" ht="13.5" x14ac:dyDescent="0.2">
      <c r="A220" s="534"/>
      <c r="B220" s="284"/>
      <c r="C220" s="285"/>
      <c r="D220" s="286"/>
      <c r="E220" s="534"/>
      <c r="F220" s="534"/>
      <c r="G220" s="295" t="s">
        <v>2583</v>
      </c>
      <c r="H220" s="273"/>
      <c r="I220" s="28">
        <v>1.04</v>
      </c>
      <c r="J220" s="284"/>
      <c r="K220" s="285"/>
      <c r="L220" s="286"/>
    </row>
    <row r="221" spans="1:12" ht="13.5" x14ac:dyDescent="0.2">
      <c r="A221" s="534"/>
      <c r="B221" s="284"/>
      <c r="C221" s="285"/>
      <c r="D221" s="286"/>
      <c r="E221" s="534"/>
      <c r="F221" s="534"/>
      <c r="G221" s="295" t="s">
        <v>2584</v>
      </c>
      <c r="H221" s="273"/>
      <c r="I221" s="28">
        <v>0.12</v>
      </c>
      <c r="J221" s="284"/>
      <c r="K221" s="285"/>
      <c r="L221" s="286"/>
    </row>
    <row r="222" spans="1:12" ht="13.5" x14ac:dyDescent="0.2">
      <c r="A222" s="534"/>
      <c r="B222" s="284"/>
      <c r="C222" s="285"/>
      <c r="D222" s="286"/>
      <c r="E222" s="534"/>
      <c r="F222" s="534"/>
      <c r="G222" s="295" t="s">
        <v>2585</v>
      </c>
      <c r="H222" s="273"/>
      <c r="I222" s="28">
        <v>0.83</v>
      </c>
      <c r="J222" s="284"/>
      <c r="K222" s="285"/>
      <c r="L222" s="286"/>
    </row>
    <row r="223" spans="1:12" ht="13.5" x14ac:dyDescent="0.2">
      <c r="A223" s="534"/>
      <c r="B223" s="284"/>
      <c r="C223" s="285"/>
      <c r="D223" s="286"/>
      <c r="E223" s="534"/>
      <c r="F223" s="534"/>
      <c r="G223" s="295" t="s">
        <v>2583</v>
      </c>
      <c r="H223" s="273"/>
      <c r="I223" s="28">
        <v>0.8</v>
      </c>
      <c r="J223" s="284"/>
      <c r="K223" s="285"/>
      <c r="L223" s="286"/>
    </row>
    <row r="224" spans="1:12" ht="13.5" x14ac:dyDescent="0.2">
      <c r="A224" s="534"/>
      <c r="B224" s="284"/>
      <c r="C224" s="285"/>
      <c r="D224" s="286"/>
      <c r="E224" s="534"/>
      <c r="F224" s="534"/>
      <c r="G224" s="295" t="s">
        <v>2584</v>
      </c>
      <c r="H224" s="273"/>
      <c r="I224" s="28">
        <v>0.8</v>
      </c>
      <c r="J224" s="284"/>
      <c r="K224" s="285"/>
      <c r="L224" s="286"/>
    </row>
    <row r="225" spans="1:12" ht="13.5" x14ac:dyDescent="0.2">
      <c r="A225" s="534"/>
      <c r="B225" s="284"/>
      <c r="C225" s="285"/>
      <c r="D225" s="286"/>
      <c r="E225" s="534"/>
      <c r="F225" s="534"/>
      <c r="G225" s="295" t="s">
        <v>2585</v>
      </c>
      <c r="H225" s="273"/>
      <c r="I225" s="28">
        <v>0.2</v>
      </c>
      <c r="J225" s="284"/>
      <c r="K225" s="285"/>
      <c r="L225" s="286"/>
    </row>
    <row r="226" spans="1:12" ht="13.5" x14ac:dyDescent="0.2">
      <c r="A226" s="534"/>
      <c r="B226" s="284"/>
      <c r="C226" s="285"/>
      <c r="D226" s="286"/>
      <c r="E226" s="534"/>
      <c r="F226" s="534"/>
      <c r="G226" s="295" t="s">
        <v>2586</v>
      </c>
      <c r="H226" s="273"/>
      <c r="I226" s="28"/>
      <c r="J226" s="284"/>
      <c r="K226" s="285"/>
      <c r="L226" s="286"/>
    </row>
    <row r="227" spans="1:12" ht="13.5" x14ac:dyDescent="0.2">
      <c r="A227" s="534"/>
      <c r="B227" s="284"/>
      <c r="C227" s="285"/>
      <c r="D227" s="286"/>
      <c r="E227" s="534"/>
      <c r="F227" s="534"/>
      <c r="G227" s="295" t="s">
        <v>2587</v>
      </c>
      <c r="H227" s="273"/>
      <c r="I227" s="28"/>
      <c r="J227" s="284"/>
      <c r="K227" s="285"/>
      <c r="L227" s="286"/>
    </row>
    <row r="228" spans="1:12" ht="13.5" x14ac:dyDescent="0.2">
      <c r="A228" s="534"/>
      <c r="B228" s="284"/>
      <c r="C228" s="285"/>
      <c r="D228" s="286"/>
      <c r="E228" s="534"/>
      <c r="F228" s="534"/>
      <c r="G228" s="295" t="s">
        <v>2668</v>
      </c>
      <c r="H228" s="273"/>
      <c r="I228" s="28"/>
      <c r="J228" s="284"/>
      <c r="K228" s="285"/>
      <c r="L228" s="286"/>
    </row>
    <row r="229" spans="1:12" ht="13.5" x14ac:dyDescent="0.2">
      <c r="A229" s="281"/>
      <c r="B229" s="277"/>
      <c r="C229" s="278"/>
      <c r="D229" s="279"/>
      <c r="E229" s="281"/>
      <c r="F229" s="281"/>
      <c r="G229" s="295" t="s">
        <v>2669</v>
      </c>
      <c r="H229" s="273"/>
      <c r="I229" s="28"/>
      <c r="J229" s="277"/>
      <c r="K229" s="278"/>
      <c r="L229" s="279"/>
    </row>
    <row r="230" spans="1:12" ht="16.5" x14ac:dyDescent="0.2">
      <c r="A230" s="121"/>
      <c r="B230" s="121"/>
      <c r="C230" s="121"/>
      <c r="D230" s="121"/>
      <c r="E230" s="121"/>
      <c r="F230" s="121"/>
      <c r="G230" s="121"/>
      <c r="H230" s="121"/>
      <c r="I230" s="121"/>
      <c r="J230" s="121"/>
      <c r="K230" s="121"/>
      <c r="L230" s="121"/>
    </row>
    <row r="231" spans="1:12" x14ac:dyDescent="0.2">
      <c r="A231" s="287" t="s">
        <v>76</v>
      </c>
      <c r="B231" s="271"/>
      <c r="C231" s="271"/>
      <c r="D231" s="273"/>
      <c r="E231" s="16" t="s">
        <v>77</v>
      </c>
      <c r="F231" s="16" t="s">
        <v>78</v>
      </c>
      <c r="G231" s="532" t="s">
        <v>2576</v>
      </c>
      <c r="H231" s="482"/>
      <c r="I231" s="287" t="s">
        <v>2579</v>
      </c>
      <c r="J231" s="271"/>
      <c r="K231" s="271"/>
      <c r="L231" s="273"/>
    </row>
    <row r="232" spans="1:12" ht="13.5" x14ac:dyDescent="0.2">
      <c r="A232" s="542" t="s">
        <v>264</v>
      </c>
      <c r="B232" s="535" t="s">
        <v>265</v>
      </c>
      <c r="C232" s="275"/>
      <c r="D232" s="276"/>
      <c r="E232" s="542" t="s">
        <v>981</v>
      </c>
      <c r="F232" s="536">
        <f>+I232</f>
        <v>48</v>
      </c>
      <c r="G232" s="295" t="s">
        <v>444</v>
      </c>
      <c r="H232" s="273"/>
      <c r="I232" s="28">
        <f>I233*I234*I235*I$98</f>
        <v>48</v>
      </c>
      <c r="J232" s="548"/>
      <c r="K232" s="275"/>
      <c r="L232" s="276"/>
    </row>
    <row r="233" spans="1:12" ht="13.5" x14ac:dyDescent="0.2">
      <c r="A233" s="534"/>
      <c r="B233" s="284"/>
      <c r="C233" s="285"/>
      <c r="D233" s="286"/>
      <c r="E233" s="534"/>
      <c r="F233" s="534"/>
      <c r="G233" s="295" t="s">
        <v>453</v>
      </c>
      <c r="H233" s="273"/>
      <c r="I233" s="28">
        <v>6</v>
      </c>
      <c r="J233" s="284"/>
      <c r="K233" s="285"/>
      <c r="L233" s="286"/>
    </row>
    <row r="234" spans="1:12" ht="13.5" x14ac:dyDescent="0.2">
      <c r="A234" s="534"/>
      <c r="B234" s="284"/>
      <c r="C234" s="285"/>
      <c r="D234" s="286"/>
      <c r="E234" s="534"/>
      <c r="F234" s="534"/>
      <c r="G234" s="295" t="s">
        <v>2583</v>
      </c>
      <c r="H234" s="273"/>
      <c r="I234" s="28">
        <f>I291</f>
        <v>4</v>
      </c>
      <c r="J234" s="284"/>
      <c r="K234" s="285"/>
      <c r="L234" s="286"/>
    </row>
    <row r="235" spans="1:12" ht="13.5" x14ac:dyDescent="0.2">
      <c r="A235" s="534"/>
      <c r="B235" s="284"/>
      <c r="C235" s="285"/>
      <c r="D235" s="286"/>
      <c r="E235" s="534"/>
      <c r="F235" s="534"/>
      <c r="G235" s="295" t="s">
        <v>2584</v>
      </c>
      <c r="H235" s="273"/>
      <c r="I235" s="28">
        <v>1</v>
      </c>
      <c r="J235" s="284"/>
      <c r="K235" s="285"/>
      <c r="L235" s="286"/>
    </row>
    <row r="236" spans="1:12" ht="13.5" x14ac:dyDescent="0.2">
      <c r="A236" s="534"/>
      <c r="B236" s="284"/>
      <c r="C236" s="285"/>
      <c r="D236" s="286"/>
      <c r="E236" s="534"/>
      <c r="F236" s="534"/>
      <c r="G236" s="295" t="s">
        <v>2585</v>
      </c>
      <c r="H236" s="273"/>
      <c r="I236" s="28"/>
      <c r="J236" s="284"/>
      <c r="K236" s="285"/>
      <c r="L236" s="286"/>
    </row>
    <row r="237" spans="1:12" ht="13.5" x14ac:dyDescent="0.2">
      <c r="A237" s="534"/>
      <c r="B237" s="284"/>
      <c r="C237" s="285"/>
      <c r="D237" s="286"/>
      <c r="E237" s="534"/>
      <c r="F237" s="534"/>
      <c r="G237" s="295" t="s">
        <v>2586</v>
      </c>
      <c r="H237" s="273"/>
      <c r="I237" s="28"/>
      <c r="J237" s="284"/>
      <c r="K237" s="285"/>
      <c r="L237" s="286"/>
    </row>
    <row r="238" spans="1:12" ht="13.5" x14ac:dyDescent="0.2">
      <c r="A238" s="534"/>
      <c r="B238" s="284"/>
      <c r="C238" s="285"/>
      <c r="D238" s="286"/>
      <c r="E238" s="534"/>
      <c r="F238" s="534"/>
      <c r="G238" s="295" t="s">
        <v>2587</v>
      </c>
      <c r="H238" s="273"/>
      <c r="I238" s="28"/>
      <c r="J238" s="284"/>
      <c r="K238" s="285"/>
      <c r="L238" s="286"/>
    </row>
    <row r="239" spans="1:12" ht="13.5" x14ac:dyDescent="0.2">
      <c r="A239" s="534"/>
      <c r="B239" s="284"/>
      <c r="C239" s="285"/>
      <c r="D239" s="286"/>
      <c r="E239" s="534"/>
      <c r="F239" s="534"/>
      <c r="G239" s="295" t="s">
        <v>2670</v>
      </c>
      <c r="H239" s="273"/>
      <c r="I239" s="28"/>
      <c r="J239" s="284"/>
      <c r="K239" s="285"/>
      <c r="L239" s="286"/>
    </row>
    <row r="240" spans="1:12" ht="13.5" x14ac:dyDescent="0.2">
      <c r="A240" s="281"/>
      <c r="B240" s="277"/>
      <c r="C240" s="278"/>
      <c r="D240" s="279"/>
      <c r="E240" s="281"/>
      <c r="F240" s="281"/>
      <c r="G240" s="295" t="s">
        <v>2671</v>
      </c>
      <c r="H240" s="273"/>
      <c r="I240" s="28"/>
      <c r="J240" s="277"/>
      <c r="K240" s="278"/>
      <c r="L240" s="279"/>
    </row>
    <row r="241" spans="1:12" ht="16.5" x14ac:dyDescent="0.3">
      <c r="A241" s="122"/>
      <c r="B241" s="122"/>
      <c r="C241" s="122"/>
      <c r="D241" s="122"/>
      <c r="E241" s="122"/>
      <c r="F241" s="122"/>
      <c r="G241" s="122"/>
      <c r="H241" s="122"/>
      <c r="I241" s="122"/>
      <c r="J241" s="122"/>
      <c r="K241" s="122"/>
      <c r="L241" s="122"/>
    </row>
    <row r="242" spans="1:12" x14ac:dyDescent="0.2">
      <c r="A242" s="287" t="s">
        <v>76</v>
      </c>
      <c r="B242" s="271"/>
      <c r="C242" s="271"/>
      <c r="D242" s="273"/>
      <c r="E242" s="16" t="s">
        <v>77</v>
      </c>
      <c r="F242" s="16" t="s">
        <v>78</v>
      </c>
      <c r="G242" s="532" t="s">
        <v>2576</v>
      </c>
      <c r="H242" s="482"/>
      <c r="I242" s="287" t="s">
        <v>2579</v>
      </c>
      <c r="J242" s="271"/>
      <c r="K242" s="271"/>
      <c r="L242" s="273"/>
    </row>
    <row r="243" spans="1:12" ht="13.5" x14ac:dyDescent="0.2">
      <c r="A243" s="542" t="s">
        <v>267</v>
      </c>
      <c r="B243" s="535" t="s">
        <v>268</v>
      </c>
      <c r="C243" s="275"/>
      <c r="D243" s="276"/>
      <c r="E243" s="542" t="s">
        <v>999</v>
      </c>
      <c r="F243" s="536">
        <f>+I243</f>
        <v>4</v>
      </c>
      <c r="G243" s="295" t="s">
        <v>444</v>
      </c>
      <c r="H243" s="273"/>
      <c r="I243" s="28">
        <f>I244*I98</f>
        <v>4</v>
      </c>
      <c r="J243" s="547" t="s">
        <v>2582</v>
      </c>
      <c r="K243" s="275"/>
      <c r="L243" s="276"/>
    </row>
    <row r="244" spans="1:12" ht="13.5" x14ac:dyDescent="0.2">
      <c r="A244" s="534"/>
      <c r="B244" s="284"/>
      <c r="C244" s="285"/>
      <c r="D244" s="286"/>
      <c r="E244" s="534"/>
      <c r="F244" s="534"/>
      <c r="G244" s="295" t="s">
        <v>453</v>
      </c>
      <c r="H244" s="273"/>
      <c r="I244" s="28">
        <v>2</v>
      </c>
      <c r="J244" s="284"/>
      <c r="K244" s="285"/>
      <c r="L244" s="286"/>
    </row>
    <row r="245" spans="1:12" ht="13.5" x14ac:dyDescent="0.2">
      <c r="A245" s="534"/>
      <c r="B245" s="284"/>
      <c r="C245" s="285"/>
      <c r="D245" s="286"/>
      <c r="E245" s="534"/>
      <c r="F245" s="534"/>
      <c r="G245" s="295" t="s">
        <v>2583</v>
      </c>
      <c r="H245" s="273"/>
      <c r="I245" s="28"/>
      <c r="J245" s="284"/>
      <c r="K245" s="285"/>
      <c r="L245" s="286"/>
    </row>
    <row r="246" spans="1:12" ht="13.5" x14ac:dyDescent="0.2">
      <c r="A246" s="534"/>
      <c r="B246" s="284"/>
      <c r="C246" s="285"/>
      <c r="D246" s="286"/>
      <c r="E246" s="534"/>
      <c r="F246" s="534"/>
      <c r="G246" s="295" t="s">
        <v>2584</v>
      </c>
      <c r="H246" s="273"/>
      <c r="I246" s="28"/>
      <c r="J246" s="284"/>
      <c r="K246" s="285"/>
      <c r="L246" s="286"/>
    </row>
    <row r="247" spans="1:12" ht="13.5" x14ac:dyDescent="0.2">
      <c r="A247" s="534"/>
      <c r="B247" s="284"/>
      <c r="C247" s="285"/>
      <c r="D247" s="286"/>
      <c r="E247" s="534"/>
      <c r="F247" s="534"/>
      <c r="G247" s="295" t="s">
        <v>2585</v>
      </c>
      <c r="H247" s="273"/>
      <c r="I247" s="28"/>
      <c r="J247" s="284"/>
      <c r="K247" s="285"/>
      <c r="L247" s="286"/>
    </row>
    <row r="248" spans="1:12" ht="13.5" x14ac:dyDescent="0.2">
      <c r="A248" s="534"/>
      <c r="B248" s="284"/>
      <c r="C248" s="285"/>
      <c r="D248" s="286"/>
      <c r="E248" s="534"/>
      <c r="F248" s="534"/>
      <c r="G248" s="295" t="s">
        <v>2586</v>
      </c>
      <c r="H248" s="273"/>
      <c r="I248" s="28"/>
      <c r="J248" s="284"/>
      <c r="K248" s="285"/>
      <c r="L248" s="286"/>
    </row>
    <row r="249" spans="1:12" ht="13.5" x14ac:dyDescent="0.2">
      <c r="A249" s="534"/>
      <c r="B249" s="284"/>
      <c r="C249" s="285"/>
      <c r="D249" s="286"/>
      <c r="E249" s="534"/>
      <c r="F249" s="534"/>
      <c r="G249" s="295" t="s">
        <v>2587</v>
      </c>
      <c r="H249" s="273"/>
      <c r="I249" s="28"/>
      <c r="J249" s="284"/>
      <c r="K249" s="285"/>
      <c r="L249" s="286"/>
    </row>
    <row r="250" spans="1:12" ht="13.5" x14ac:dyDescent="0.2">
      <c r="A250" s="534"/>
      <c r="B250" s="284"/>
      <c r="C250" s="285"/>
      <c r="D250" s="286"/>
      <c r="E250" s="534"/>
      <c r="F250" s="534"/>
      <c r="G250" s="295" t="s">
        <v>2672</v>
      </c>
      <c r="H250" s="273"/>
      <c r="I250" s="28"/>
      <c r="J250" s="284"/>
      <c r="K250" s="285"/>
      <c r="L250" s="286"/>
    </row>
    <row r="251" spans="1:12" ht="13.5" x14ac:dyDescent="0.2">
      <c r="A251" s="281"/>
      <c r="B251" s="277"/>
      <c r="C251" s="278"/>
      <c r="D251" s="279"/>
      <c r="E251" s="281"/>
      <c r="F251" s="281"/>
      <c r="G251" s="295" t="s">
        <v>2673</v>
      </c>
      <c r="H251" s="273"/>
      <c r="I251" s="28"/>
      <c r="J251" s="277"/>
      <c r="K251" s="278"/>
      <c r="L251" s="279"/>
    </row>
    <row r="252" spans="1:12" ht="16.5" x14ac:dyDescent="0.3">
      <c r="A252" s="122"/>
      <c r="B252" s="122"/>
      <c r="C252" s="122"/>
      <c r="D252" s="122"/>
      <c r="E252" s="122"/>
      <c r="F252" s="122"/>
      <c r="G252" s="122"/>
      <c r="H252" s="122"/>
      <c r="I252" s="122"/>
      <c r="J252" s="122"/>
      <c r="K252" s="122"/>
      <c r="L252" s="122"/>
    </row>
    <row r="253" spans="1:12" x14ac:dyDescent="0.2">
      <c r="A253" s="287" t="s">
        <v>76</v>
      </c>
      <c r="B253" s="271"/>
      <c r="C253" s="271"/>
      <c r="D253" s="273"/>
      <c r="E253" s="16" t="s">
        <v>77</v>
      </c>
      <c r="F253" s="16" t="s">
        <v>78</v>
      </c>
      <c r="G253" s="532" t="s">
        <v>2576</v>
      </c>
      <c r="H253" s="482"/>
      <c r="I253" s="287" t="s">
        <v>2579</v>
      </c>
      <c r="J253" s="271"/>
      <c r="K253" s="271"/>
      <c r="L253" s="273"/>
    </row>
    <row r="254" spans="1:12" ht="13.5" x14ac:dyDescent="0.2">
      <c r="A254" s="542" t="s">
        <v>269</v>
      </c>
      <c r="B254" s="535" t="s">
        <v>270</v>
      </c>
      <c r="C254" s="275"/>
      <c r="D254" s="276"/>
      <c r="E254" s="542" t="s">
        <v>981</v>
      </c>
      <c r="F254" s="536">
        <f>+I254</f>
        <v>13.2</v>
      </c>
      <c r="G254" s="295" t="s">
        <v>444</v>
      </c>
      <c r="H254" s="273"/>
      <c r="I254" s="28">
        <f>I255*I256*I$98</f>
        <v>13.2</v>
      </c>
      <c r="J254" s="548"/>
      <c r="K254" s="275"/>
      <c r="L254" s="276"/>
    </row>
    <row r="255" spans="1:12" ht="13.5" x14ac:dyDescent="0.2">
      <c r="A255" s="534"/>
      <c r="B255" s="284"/>
      <c r="C255" s="285"/>
      <c r="D255" s="286"/>
      <c r="E255" s="534"/>
      <c r="F255" s="534"/>
      <c r="G255" s="295" t="s">
        <v>453</v>
      </c>
      <c r="H255" s="273"/>
      <c r="I255" s="28">
        <v>4</v>
      </c>
      <c r="J255" s="284"/>
      <c r="K255" s="285"/>
      <c r="L255" s="286"/>
    </row>
    <row r="256" spans="1:12" ht="13.5" x14ac:dyDescent="0.2">
      <c r="A256" s="534"/>
      <c r="B256" s="284"/>
      <c r="C256" s="285"/>
      <c r="D256" s="286"/>
      <c r="E256" s="534"/>
      <c r="F256" s="534"/>
      <c r="G256" s="295" t="s">
        <v>2583</v>
      </c>
      <c r="H256" s="273"/>
      <c r="I256" s="28">
        <v>1.65</v>
      </c>
      <c r="J256" s="284"/>
      <c r="K256" s="285"/>
      <c r="L256" s="286"/>
    </row>
    <row r="257" spans="1:12" ht="13.5" x14ac:dyDescent="0.2">
      <c r="A257" s="534"/>
      <c r="B257" s="284"/>
      <c r="C257" s="285"/>
      <c r="D257" s="286"/>
      <c r="E257" s="534"/>
      <c r="F257" s="534"/>
      <c r="G257" s="295" t="s">
        <v>2584</v>
      </c>
      <c r="H257" s="273"/>
      <c r="I257" s="28"/>
      <c r="J257" s="284"/>
      <c r="K257" s="285"/>
      <c r="L257" s="286"/>
    </row>
    <row r="258" spans="1:12" ht="13.5" x14ac:dyDescent="0.2">
      <c r="A258" s="534"/>
      <c r="B258" s="284"/>
      <c r="C258" s="285"/>
      <c r="D258" s="286"/>
      <c r="E258" s="534"/>
      <c r="F258" s="534"/>
      <c r="G258" s="295" t="s">
        <v>2585</v>
      </c>
      <c r="H258" s="273"/>
      <c r="I258" s="28"/>
      <c r="J258" s="284"/>
      <c r="K258" s="285"/>
      <c r="L258" s="286"/>
    </row>
    <row r="259" spans="1:12" ht="13.5" x14ac:dyDescent="0.2">
      <c r="A259" s="534"/>
      <c r="B259" s="284"/>
      <c r="C259" s="285"/>
      <c r="D259" s="286"/>
      <c r="E259" s="534"/>
      <c r="F259" s="534"/>
      <c r="G259" s="295" t="s">
        <v>2586</v>
      </c>
      <c r="H259" s="273"/>
      <c r="I259" s="28"/>
      <c r="J259" s="284"/>
      <c r="K259" s="285"/>
      <c r="L259" s="286"/>
    </row>
    <row r="260" spans="1:12" ht="13.5" x14ac:dyDescent="0.2">
      <c r="A260" s="534"/>
      <c r="B260" s="284"/>
      <c r="C260" s="285"/>
      <c r="D260" s="286"/>
      <c r="E260" s="534"/>
      <c r="F260" s="534"/>
      <c r="G260" s="295" t="s">
        <v>2587</v>
      </c>
      <c r="H260" s="273"/>
      <c r="I260" s="28"/>
      <c r="J260" s="284"/>
      <c r="K260" s="285"/>
      <c r="L260" s="286"/>
    </row>
    <row r="261" spans="1:12" ht="13.5" x14ac:dyDescent="0.2">
      <c r="A261" s="534"/>
      <c r="B261" s="284"/>
      <c r="C261" s="285"/>
      <c r="D261" s="286"/>
      <c r="E261" s="534"/>
      <c r="F261" s="534"/>
      <c r="G261" s="295" t="s">
        <v>2674</v>
      </c>
      <c r="H261" s="273"/>
      <c r="I261" s="28"/>
      <c r="J261" s="284"/>
      <c r="K261" s="285"/>
      <c r="L261" s="286"/>
    </row>
    <row r="262" spans="1:12" ht="13.5" x14ac:dyDescent="0.2">
      <c r="A262" s="281"/>
      <c r="B262" s="277"/>
      <c r="C262" s="278"/>
      <c r="D262" s="279"/>
      <c r="E262" s="281"/>
      <c r="F262" s="281"/>
      <c r="G262" s="295" t="s">
        <v>2675</v>
      </c>
      <c r="H262" s="273"/>
      <c r="I262" s="28"/>
      <c r="J262" s="277"/>
      <c r="K262" s="278"/>
      <c r="L262" s="279"/>
    </row>
    <row r="263" spans="1:12" ht="13.5" x14ac:dyDescent="0.25">
      <c r="A263" s="4"/>
      <c r="B263" s="4"/>
      <c r="C263" s="4"/>
      <c r="D263" s="4"/>
      <c r="E263" s="4"/>
      <c r="F263" s="4"/>
      <c r="G263" s="4"/>
      <c r="H263" s="4"/>
      <c r="I263" s="4"/>
      <c r="J263" s="4"/>
      <c r="K263" s="4"/>
      <c r="L263" s="4"/>
    </row>
    <row r="264" spans="1:12" x14ac:dyDescent="0.2">
      <c r="A264" s="287" t="s">
        <v>76</v>
      </c>
      <c r="B264" s="271"/>
      <c r="C264" s="271"/>
      <c r="D264" s="311"/>
      <c r="E264" s="16" t="s">
        <v>77</v>
      </c>
      <c r="F264" s="16" t="s">
        <v>78</v>
      </c>
      <c r="G264" s="532" t="s">
        <v>2576</v>
      </c>
      <c r="H264" s="482"/>
      <c r="I264" s="287" t="s">
        <v>2579</v>
      </c>
      <c r="J264" s="271"/>
      <c r="K264" s="271"/>
      <c r="L264" s="273"/>
    </row>
    <row r="265" spans="1:12" ht="13.5" x14ac:dyDescent="0.2">
      <c r="A265" s="542" t="s">
        <v>271</v>
      </c>
      <c r="B265" s="535" t="s">
        <v>2676</v>
      </c>
      <c r="C265" s="275"/>
      <c r="D265" s="276"/>
      <c r="E265" s="542" t="s">
        <v>999</v>
      </c>
      <c r="F265" s="536">
        <f>+I265</f>
        <v>2</v>
      </c>
      <c r="G265" s="295" t="s">
        <v>444</v>
      </c>
      <c r="H265" s="273"/>
      <c r="I265" s="28">
        <f>I98</f>
        <v>2</v>
      </c>
      <c r="J265" s="548"/>
      <c r="K265" s="275"/>
      <c r="L265" s="276"/>
    </row>
    <row r="266" spans="1:12" ht="13.5" x14ac:dyDescent="0.2">
      <c r="A266" s="534"/>
      <c r="B266" s="284"/>
      <c r="C266" s="285"/>
      <c r="D266" s="286"/>
      <c r="E266" s="534"/>
      <c r="F266" s="534"/>
      <c r="G266" s="295" t="s">
        <v>2677</v>
      </c>
      <c r="H266" s="273"/>
      <c r="I266" s="28"/>
      <c r="J266" s="284"/>
      <c r="K266" s="285"/>
      <c r="L266" s="286"/>
    </row>
    <row r="267" spans="1:12" ht="13.5" x14ac:dyDescent="0.2">
      <c r="A267" s="534"/>
      <c r="B267" s="284"/>
      <c r="C267" s="285"/>
      <c r="D267" s="286"/>
      <c r="E267" s="534"/>
      <c r="F267" s="534"/>
      <c r="G267" s="295" t="s">
        <v>2678</v>
      </c>
      <c r="H267" s="273"/>
      <c r="I267" s="28"/>
      <c r="J267" s="284"/>
      <c r="K267" s="285"/>
      <c r="L267" s="286"/>
    </row>
    <row r="268" spans="1:12" ht="13.5" x14ac:dyDescent="0.2">
      <c r="A268" s="534"/>
      <c r="B268" s="284"/>
      <c r="C268" s="285"/>
      <c r="D268" s="286"/>
      <c r="E268" s="534"/>
      <c r="F268" s="534"/>
      <c r="G268" s="295" t="s">
        <v>2679</v>
      </c>
      <c r="H268" s="273"/>
      <c r="I268" s="28"/>
      <c r="J268" s="284"/>
      <c r="K268" s="285"/>
      <c r="L268" s="286"/>
    </row>
    <row r="269" spans="1:12" ht="13.5" x14ac:dyDescent="0.2">
      <c r="A269" s="534"/>
      <c r="B269" s="284"/>
      <c r="C269" s="285"/>
      <c r="D269" s="286"/>
      <c r="E269" s="534"/>
      <c r="F269" s="534"/>
      <c r="G269" s="295" t="s">
        <v>2680</v>
      </c>
      <c r="H269" s="273"/>
      <c r="I269" s="28"/>
      <c r="J269" s="284"/>
      <c r="K269" s="285"/>
      <c r="L269" s="286"/>
    </row>
    <row r="270" spans="1:12" ht="13.5" x14ac:dyDescent="0.2">
      <c r="A270" s="534"/>
      <c r="B270" s="284"/>
      <c r="C270" s="285"/>
      <c r="D270" s="286"/>
      <c r="E270" s="534"/>
      <c r="F270" s="534"/>
      <c r="G270" s="295" t="s">
        <v>2584</v>
      </c>
      <c r="H270" s="273"/>
      <c r="I270" s="28"/>
      <c r="J270" s="284"/>
      <c r="K270" s="285"/>
      <c r="L270" s="286"/>
    </row>
    <row r="271" spans="1:12" ht="13.5" x14ac:dyDescent="0.2">
      <c r="A271" s="534"/>
      <c r="B271" s="284"/>
      <c r="C271" s="285"/>
      <c r="D271" s="286"/>
      <c r="E271" s="534"/>
      <c r="F271" s="534"/>
      <c r="G271" s="295" t="s">
        <v>2585</v>
      </c>
      <c r="H271" s="273"/>
      <c r="I271" s="28"/>
      <c r="J271" s="284"/>
      <c r="K271" s="285"/>
      <c r="L271" s="286"/>
    </row>
    <row r="272" spans="1:12" ht="13.5" x14ac:dyDescent="0.2">
      <c r="A272" s="534"/>
      <c r="B272" s="284"/>
      <c r="C272" s="285"/>
      <c r="D272" s="286"/>
      <c r="E272" s="534"/>
      <c r="F272" s="534"/>
      <c r="G272" s="295" t="s">
        <v>2586</v>
      </c>
      <c r="H272" s="273"/>
      <c r="I272" s="28"/>
      <c r="J272" s="284"/>
      <c r="K272" s="285"/>
      <c r="L272" s="286"/>
    </row>
    <row r="273" spans="1:12" ht="13.5" x14ac:dyDescent="0.2">
      <c r="A273" s="534"/>
      <c r="B273" s="284"/>
      <c r="C273" s="285"/>
      <c r="D273" s="286"/>
      <c r="E273" s="534"/>
      <c r="F273" s="534"/>
      <c r="G273" s="295" t="s">
        <v>2587</v>
      </c>
      <c r="H273" s="273"/>
      <c r="I273" s="28"/>
      <c r="J273" s="284"/>
      <c r="K273" s="285"/>
      <c r="L273" s="286"/>
    </row>
    <row r="274" spans="1:12" ht="13.5" x14ac:dyDescent="0.2">
      <c r="A274" s="534"/>
      <c r="B274" s="284"/>
      <c r="C274" s="285"/>
      <c r="D274" s="286"/>
      <c r="E274" s="534"/>
      <c r="F274" s="534"/>
      <c r="G274" s="295" t="s">
        <v>2681</v>
      </c>
      <c r="H274" s="273"/>
      <c r="I274" s="28"/>
      <c r="J274" s="284"/>
      <c r="K274" s="285"/>
      <c r="L274" s="286"/>
    </row>
    <row r="275" spans="1:12" ht="13.5" x14ac:dyDescent="0.2">
      <c r="A275" s="281"/>
      <c r="B275" s="277"/>
      <c r="C275" s="278"/>
      <c r="D275" s="279"/>
      <c r="E275" s="281"/>
      <c r="F275" s="281"/>
      <c r="G275" s="295" t="s">
        <v>2682</v>
      </c>
      <c r="H275" s="273"/>
      <c r="I275" s="28"/>
      <c r="J275" s="277"/>
      <c r="K275" s="278"/>
      <c r="L275" s="279"/>
    </row>
    <row r="276" spans="1:12" ht="13.5" x14ac:dyDescent="0.25">
      <c r="A276" s="4"/>
      <c r="B276" s="4"/>
      <c r="C276" s="4"/>
      <c r="D276" s="4"/>
      <c r="E276" s="4"/>
      <c r="F276" s="4"/>
      <c r="G276" s="4"/>
      <c r="H276" s="4"/>
      <c r="I276" s="4"/>
      <c r="J276" s="4"/>
      <c r="K276" s="4"/>
      <c r="L276" s="4"/>
    </row>
    <row r="277" spans="1:12" x14ac:dyDescent="0.2">
      <c r="A277" s="287" t="s">
        <v>76</v>
      </c>
      <c r="B277" s="271"/>
      <c r="C277" s="271"/>
      <c r="D277" s="273"/>
      <c r="E277" s="16" t="s">
        <v>77</v>
      </c>
      <c r="F277" s="16" t="s">
        <v>78</v>
      </c>
      <c r="G277" s="532" t="s">
        <v>2576</v>
      </c>
      <c r="H277" s="482"/>
      <c r="I277" s="287" t="s">
        <v>2579</v>
      </c>
      <c r="J277" s="271"/>
      <c r="K277" s="271"/>
      <c r="L277" s="273"/>
    </row>
    <row r="278" spans="1:12" ht="13.5" x14ac:dyDescent="0.2">
      <c r="A278" s="542" t="s">
        <v>274</v>
      </c>
      <c r="B278" s="535" t="s">
        <v>275</v>
      </c>
      <c r="C278" s="275"/>
      <c r="D278" s="276"/>
      <c r="E278" s="542" t="s">
        <v>934</v>
      </c>
      <c r="F278" s="536">
        <f>+I278</f>
        <v>2</v>
      </c>
      <c r="G278" s="295" t="s">
        <v>444</v>
      </c>
      <c r="H278" s="273"/>
      <c r="I278" s="28">
        <f>I98</f>
        <v>2</v>
      </c>
      <c r="J278" s="547" t="s">
        <v>2582</v>
      </c>
      <c r="K278" s="275"/>
      <c r="L278" s="276"/>
    </row>
    <row r="279" spans="1:12" ht="13.5" x14ac:dyDescent="0.2">
      <c r="A279" s="534"/>
      <c r="B279" s="284"/>
      <c r="C279" s="285"/>
      <c r="D279" s="286"/>
      <c r="E279" s="534"/>
      <c r="F279" s="534"/>
      <c r="G279" s="295" t="s">
        <v>453</v>
      </c>
      <c r="H279" s="273"/>
      <c r="I279" s="28"/>
      <c r="J279" s="284"/>
      <c r="K279" s="285"/>
      <c r="L279" s="286"/>
    </row>
    <row r="280" spans="1:12" ht="13.5" x14ac:dyDescent="0.2">
      <c r="A280" s="534"/>
      <c r="B280" s="284"/>
      <c r="C280" s="285"/>
      <c r="D280" s="286"/>
      <c r="E280" s="534"/>
      <c r="F280" s="534"/>
      <c r="G280" s="295" t="s">
        <v>2583</v>
      </c>
      <c r="H280" s="273"/>
      <c r="I280" s="28"/>
      <c r="J280" s="284"/>
      <c r="K280" s="285"/>
      <c r="L280" s="286"/>
    </row>
    <row r="281" spans="1:12" ht="13.5" x14ac:dyDescent="0.2">
      <c r="A281" s="534"/>
      <c r="B281" s="284"/>
      <c r="C281" s="285"/>
      <c r="D281" s="286"/>
      <c r="E281" s="534"/>
      <c r="F281" s="534"/>
      <c r="G281" s="295" t="s">
        <v>2584</v>
      </c>
      <c r="H281" s="273"/>
      <c r="I281" s="28"/>
      <c r="J281" s="284"/>
      <c r="K281" s="285"/>
      <c r="L281" s="286"/>
    </row>
    <row r="282" spans="1:12" ht="13.5" x14ac:dyDescent="0.2">
      <c r="A282" s="534"/>
      <c r="B282" s="284"/>
      <c r="C282" s="285"/>
      <c r="D282" s="286"/>
      <c r="E282" s="534"/>
      <c r="F282" s="534"/>
      <c r="G282" s="295" t="s">
        <v>2585</v>
      </c>
      <c r="H282" s="273"/>
      <c r="I282" s="28"/>
      <c r="J282" s="284"/>
      <c r="K282" s="285"/>
      <c r="L282" s="286"/>
    </row>
    <row r="283" spans="1:12" ht="13.5" x14ac:dyDescent="0.2">
      <c r="A283" s="534"/>
      <c r="B283" s="284"/>
      <c r="C283" s="285"/>
      <c r="D283" s="286"/>
      <c r="E283" s="534"/>
      <c r="F283" s="534"/>
      <c r="G283" s="295" t="s">
        <v>2586</v>
      </c>
      <c r="H283" s="273"/>
      <c r="I283" s="28"/>
      <c r="J283" s="284"/>
      <c r="K283" s="285"/>
      <c r="L283" s="286"/>
    </row>
    <row r="284" spans="1:12" ht="13.5" x14ac:dyDescent="0.2">
      <c r="A284" s="534"/>
      <c r="B284" s="284"/>
      <c r="C284" s="285"/>
      <c r="D284" s="286"/>
      <c r="E284" s="534"/>
      <c r="F284" s="534"/>
      <c r="G284" s="295" t="s">
        <v>2587</v>
      </c>
      <c r="H284" s="273"/>
      <c r="I284" s="28"/>
      <c r="J284" s="284"/>
      <c r="K284" s="285"/>
      <c r="L284" s="286"/>
    </row>
    <row r="285" spans="1:12" ht="13.5" x14ac:dyDescent="0.2">
      <c r="A285" s="534"/>
      <c r="B285" s="284"/>
      <c r="C285" s="285"/>
      <c r="D285" s="286"/>
      <c r="E285" s="534"/>
      <c r="F285" s="534"/>
      <c r="G285" s="295" t="s">
        <v>2683</v>
      </c>
      <c r="H285" s="273"/>
      <c r="I285" s="28"/>
      <c r="J285" s="284"/>
      <c r="K285" s="285"/>
      <c r="L285" s="286"/>
    </row>
    <row r="286" spans="1:12" ht="13.5" x14ac:dyDescent="0.2">
      <c r="A286" s="281"/>
      <c r="B286" s="277"/>
      <c r="C286" s="278"/>
      <c r="D286" s="279"/>
      <c r="E286" s="281"/>
      <c r="F286" s="281"/>
      <c r="G286" s="295" t="s">
        <v>2684</v>
      </c>
      <c r="H286" s="273"/>
      <c r="I286" s="28"/>
      <c r="J286" s="277"/>
      <c r="K286" s="278"/>
      <c r="L286" s="279"/>
    </row>
    <row r="287" spans="1:12" ht="16.5" x14ac:dyDescent="0.2">
      <c r="A287" s="121"/>
      <c r="B287" s="121"/>
      <c r="C287" s="121"/>
      <c r="D287" s="121"/>
      <c r="E287" s="121"/>
      <c r="F287" s="121"/>
      <c r="G287" s="121"/>
      <c r="H287" s="121"/>
      <c r="I287" s="121"/>
      <c r="J287" s="121"/>
      <c r="K287" s="121"/>
      <c r="L287" s="121"/>
    </row>
    <row r="288" spans="1:12" x14ac:dyDescent="0.2">
      <c r="A288" s="287" t="s">
        <v>76</v>
      </c>
      <c r="B288" s="271"/>
      <c r="C288" s="271"/>
      <c r="D288" s="273"/>
      <c r="E288" s="16" t="s">
        <v>77</v>
      </c>
      <c r="F288" s="16" t="s">
        <v>78</v>
      </c>
      <c r="G288" s="532" t="s">
        <v>2576</v>
      </c>
      <c r="H288" s="482"/>
      <c r="I288" s="287" t="s">
        <v>2579</v>
      </c>
      <c r="J288" s="271"/>
      <c r="K288" s="271"/>
      <c r="L288" s="273"/>
    </row>
    <row r="289" spans="1:12" ht="13.5" x14ac:dyDescent="0.2">
      <c r="A289" s="542" t="s">
        <v>276</v>
      </c>
      <c r="B289" s="535" t="s">
        <v>277</v>
      </c>
      <c r="C289" s="275"/>
      <c r="D289" s="276"/>
      <c r="E289" s="542" t="s">
        <v>934</v>
      </c>
      <c r="F289" s="536">
        <f>+I289</f>
        <v>36.799999999999997</v>
      </c>
      <c r="G289" s="295" t="s">
        <v>444</v>
      </c>
      <c r="H289" s="273"/>
      <c r="I289" s="28">
        <f>I290*I291*I292*I$98</f>
        <v>36.799999999999997</v>
      </c>
      <c r="J289" s="548"/>
      <c r="K289" s="275"/>
      <c r="L289" s="276"/>
    </row>
    <row r="290" spans="1:12" ht="13.5" x14ac:dyDescent="0.2">
      <c r="A290" s="534"/>
      <c r="B290" s="284"/>
      <c r="C290" s="285"/>
      <c r="D290" s="286"/>
      <c r="E290" s="534"/>
      <c r="F290" s="534"/>
      <c r="G290" s="295" t="s">
        <v>453</v>
      </c>
      <c r="H290" s="273"/>
      <c r="I290" s="28">
        <v>2</v>
      </c>
      <c r="J290" s="284"/>
      <c r="K290" s="285"/>
      <c r="L290" s="286"/>
    </row>
    <row r="291" spans="1:12" ht="13.5" x14ac:dyDescent="0.2">
      <c r="A291" s="534"/>
      <c r="B291" s="284"/>
      <c r="C291" s="285"/>
      <c r="D291" s="286"/>
      <c r="E291" s="534"/>
      <c r="F291" s="534"/>
      <c r="G291" s="295" t="s">
        <v>2583</v>
      </c>
      <c r="H291" s="273"/>
      <c r="I291" s="28">
        <v>4</v>
      </c>
      <c r="J291" s="284"/>
      <c r="K291" s="285"/>
      <c r="L291" s="286"/>
    </row>
    <row r="292" spans="1:12" ht="13.5" x14ac:dyDescent="0.2">
      <c r="A292" s="534"/>
      <c r="B292" s="284"/>
      <c r="C292" s="285"/>
      <c r="D292" s="286"/>
      <c r="E292" s="534"/>
      <c r="F292" s="534"/>
      <c r="G292" s="295" t="s">
        <v>2584</v>
      </c>
      <c r="H292" s="273"/>
      <c r="I292" s="28">
        <v>2.2999999999999998</v>
      </c>
      <c r="J292" s="284"/>
      <c r="K292" s="285"/>
      <c r="L292" s="286"/>
    </row>
    <row r="293" spans="1:12" ht="13.5" x14ac:dyDescent="0.2">
      <c r="A293" s="534"/>
      <c r="B293" s="284"/>
      <c r="C293" s="285"/>
      <c r="D293" s="286"/>
      <c r="E293" s="534"/>
      <c r="F293" s="534"/>
      <c r="G293" s="295" t="s">
        <v>2585</v>
      </c>
      <c r="H293" s="273"/>
      <c r="I293" s="28"/>
      <c r="J293" s="284"/>
      <c r="K293" s="285"/>
      <c r="L293" s="286"/>
    </row>
    <row r="294" spans="1:12" ht="13.5" x14ac:dyDescent="0.2">
      <c r="A294" s="534"/>
      <c r="B294" s="284"/>
      <c r="C294" s="285"/>
      <c r="D294" s="286"/>
      <c r="E294" s="534"/>
      <c r="F294" s="534"/>
      <c r="G294" s="295" t="s">
        <v>2586</v>
      </c>
      <c r="H294" s="273"/>
      <c r="I294" s="28"/>
      <c r="J294" s="284"/>
      <c r="K294" s="285"/>
      <c r="L294" s="286"/>
    </row>
    <row r="295" spans="1:12" ht="13.5" x14ac:dyDescent="0.2">
      <c r="A295" s="534"/>
      <c r="B295" s="284"/>
      <c r="C295" s="285"/>
      <c r="D295" s="286"/>
      <c r="E295" s="534"/>
      <c r="F295" s="534"/>
      <c r="G295" s="295" t="s">
        <v>2587</v>
      </c>
      <c r="H295" s="273"/>
      <c r="I295" s="28"/>
      <c r="J295" s="284"/>
      <c r="K295" s="285"/>
      <c r="L295" s="286"/>
    </row>
    <row r="296" spans="1:12" ht="13.5" x14ac:dyDescent="0.2">
      <c r="A296" s="534"/>
      <c r="B296" s="284"/>
      <c r="C296" s="285"/>
      <c r="D296" s="286"/>
      <c r="E296" s="534"/>
      <c r="F296" s="534"/>
      <c r="G296" s="295" t="s">
        <v>2685</v>
      </c>
      <c r="H296" s="273"/>
      <c r="I296" s="28">
        <f>I292*I291</f>
        <v>9.1999999999999993</v>
      </c>
      <c r="J296" s="284"/>
      <c r="K296" s="285"/>
      <c r="L296" s="286"/>
    </row>
    <row r="297" spans="1:12" ht="13.5" x14ac:dyDescent="0.2">
      <c r="A297" s="281"/>
      <c r="B297" s="277"/>
      <c r="C297" s="278"/>
      <c r="D297" s="279"/>
      <c r="E297" s="281"/>
      <c r="F297" s="281"/>
      <c r="G297" s="295" t="s">
        <v>2686</v>
      </c>
      <c r="H297" s="273"/>
      <c r="I297" s="28"/>
      <c r="J297" s="277"/>
      <c r="K297" s="278"/>
      <c r="L297" s="279"/>
    </row>
    <row r="298" spans="1:12" ht="16.5" x14ac:dyDescent="0.2">
      <c r="A298" s="121"/>
      <c r="B298" s="121"/>
      <c r="C298" s="121"/>
      <c r="D298" s="121"/>
      <c r="E298" s="121"/>
      <c r="F298" s="121"/>
      <c r="G298" s="121"/>
      <c r="H298" s="121"/>
      <c r="I298" s="121"/>
      <c r="J298" s="121"/>
      <c r="K298" s="121"/>
      <c r="L298" s="121"/>
    </row>
    <row r="299" spans="1:12" ht="13.5" x14ac:dyDescent="0.25">
      <c r="A299" s="4"/>
      <c r="B299" s="4"/>
      <c r="C299" s="4"/>
      <c r="D299" s="4"/>
      <c r="E299" s="4"/>
      <c r="F299" s="4"/>
      <c r="G299" s="4"/>
      <c r="H299" s="4"/>
      <c r="I299" s="124"/>
      <c r="J299" s="4"/>
      <c r="K299" s="4"/>
      <c r="L299" s="4"/>
    </row>
    <row r="300" spans="1:12" x14ac:dyDescent="0.2">
      <c r="A300" s="545" t="s">
        <v>2687</v>
      </c>
      <c r="B300" s="315"/>
      <c r="C300" s="315"/>
      <c r="D300" s="315"/>
      <c r="E300" s="315"/>
      <c r="F300" s="315"/>
      <c r="G300" s="315"/>
      <c r="H300" s="315"/>
      <c r="I300" s="315"/>
      <c r="J300" s="315"/>
      <c r="K300" s="315"/>
      <c r="L300" s="315"/>
    </row>
    <row r="301" spans="1:12" x14ac:dyDescent="0.2">
      <c r="A301" s="501"/>
      <c r="B301" s="318"/>
      <c r="C301" s="318"/>
      <c r="D301" s="318"/>
      <c r="E301" s="318"/>
      <c r="F301" s="318"/>
      <c r="G301" s="318"/>
      <c r="H301" s="318"/>
      <c r="I301" s="318"/>
      <c r="J301" s="318"/>
      <c r="K301" s="318"/>
      <c r="L301" s="318"/>
    </row>
    <row r="302" spans="1:12" ht="13.5" x14ac:dyDescent="0.25">
      <c r="A302" s="4"/>
      <c r="B302" s="4"/>
      <c r="C302" s="4"/>
      <c r="D302" s="4"/>
      <c r="E302" s="4"/>
      <c r="F302" s="4"/>
      <c r="G302" s="4"/>
      <c r="H302" s="4"/>
      <c r="I302" s="124"/>
      <c r="J302" s="4"/>
      <c r="K302" s="4"/>
      <c r="L302" s="4"/>
    </row>
    <row r="303" spans="1:12" x14ac:dyDescent="0.2">
      <c r="A303" s="287" t="s">
        <v>76</v>
      </c>
      <c r="B303" s="271"/>
      <c r="C303" s="271"/>
      <c r="D303" s="273"/>
      <c r="E303" s="16" t="s">
        <v>77</v>
      </c>
      <c r="F303" s="16" t="s">
        <v>78</v>
      </c>
      <c r="G303" s="287" t="s">
        <v>2576</v>
      </c>
      <c r="H303" s="273"/>
      <c r="I303" s="287" t="s">
        <v>2579</v>
      </c>
      <c r="J303" s="271"/>
      <c r="K303" s="271"/>
      <c r="L303" s="273"/>
    </row>
    <row r="304" spans="1:12" ht="13.5" x14ac:dyDescent="0.2">
      <c r="A304" s="542" t="s">
        <v>2688</v>
      </c>
      <c r="B304" s="535" t="s">
        <v>2689</v>
      </c>
      <c r="C304" s="275"/>
      <c r="D304" s="276"/>
      <c r="E304" s="542" t="s">
        <v>258</v>
      </c>
      <c r="F304" s="536">
        <f>+I304</f>
        <v>52.5</v>
      </c>
      <c r="G304" s="295" t="s">
        <v>444</v>
      </c>
      <c r="H304" s="273"/>
      <c r="I304" s="28">
        <f>I307*I305*I306</f>
        <v>52.5</v>
      </c>
      <c r="J304" s="547" t="s">
        <v>2582</v>
      </c>
      <c r="K304" s="275"/>
      <c r="L304" s="276"/>
    </row>
    <row r="305" spans="1:12" ht="13.5" x14ac:dyDescent="0.2">
      <c r="A305" s="534"/>
      <c r="B305" s="284"/>
      <c r="C305" s="285"/>
      <c r="D305" s="286"/>
      <c r="E305" s="534"/>
      <c r="F305" s="534"/>
      <c r="G305" s="295" t="s">
        <v>2584</v>
      </c>
      <c r="H305" s="273"/>
      <c r="I305" s="28">
        <v>1.5</v>
      </c>
      <c r="J305" s="284"/>
      <c r="K305" s="285"/>
      <c r="L305" s="286"/>
    </row>
    <row r="306" spans="1:12" ht="13.5" x14ac:dyDescent="0.2">
      <c r="A306" s="534"/>
      <c r="B306" s="284"/>
      <c r="C306" s="285"/>
      <c r="D306" s="286"/>
      <c r="E306" s="534"/>
      <c r="F306" s="534"/>
      <c r="G306" s="295" t="s">
        <v>2585</v>
      </c>
      <c r="H306" s="273"/>
      <c r="I306" s="28">
        <v>0.5</v>
      </c>
      <c r="J306" s="284"/>
      <c r="K306" s="285"/>
      <c r="L306" s="286"/>
    </row>
    <row r="307" spans="1:12" ht="13.5" x14ac:dyDescent="0.2">
      <c r="A307" s="281"/>
      <c r="B307" s="277"/>
      <c r="C307" s="278"/>
      <c r="D307" s="279"/>
      <c r="E307" s="281"/>
      <c r="F307" s="281"/>
      <c r="G307" s="295" t="s">
        <v>2587</v>
      </c>
      <c r="H307" s="273"/>
      <c r="I307" s="28">
        <v>70</v>
      </c>
      <c r="J307" s="277"/>
      <c r="K307" s="278"/>
      <c r="L307" s="279"/>
    </row>
    <row r="308" spans="1:12" ht="13.5" x14ac:dyDescent="0.25">
      <c r="A308" s="70"/>
      <c r="B308" s="70"/>
      <c r="C308" s="70"/>
      <c r="D308" s="70"/>
      <c r="E308" s="70"/>
      <c r="F308" s="70"/>
      <c r="G308" s="70"/>
      <c r="H308" s="70"/>
      <c r="I308" s="124"/>
      <c r="J308" s="70"/>
      <c r="K308" s="70"/>
      <c r="L308" s="70"/>
    </row>
    <row r="309" spans="1:12" x14ac:dyDescent="0.2">
      <c r="A309" s="287" t="s">
        <v>76</v>
      </c>
      <c r="B309" s="271"/>
      <c r="C309" s="271"/>
      <c r="D309" s="273"/>
      <c r="E309" s="16" t="s">
        <v>77</v>
      </c>
      <c r="F309" s="16" t="s">
        <v>78</v>
      </c>
      <c r="G309" s="287" t="s">
        <v>2576</v>
      </c>
      <c r="H309" s="273"/>
      <c r="I309" s="287" t="s">
        <v>2579</v>
      </c>
      <c r="J309" s="271"/>
      <c r="K309" s="271"/>
      <c r="L309" s="273"/>
    </row>
    <row r="310" spans="1:12" ht="13.5" x14ac:dyDescent="0.2">
      <c r="A310" s="542" t="s">
        <v>2690</v>
      </c>
      <c r="B310" s="535" t="s">
        <v>92</v>
      </c>
      <c r="C310" s="275"/>
      <c r="D310" s="276"/>
      <c r="E310" s="542" t="s">
        <v>258</v>
      </c>
      <c r="F310" s="536">
        <f>+I310</f>
        <v>21</v>
      </c>
      <c r="G310" s="295" t="s">
        <v>444</v>
      </c>
      <c r="H310" s="273"/>
      <c r="I310" s="28">
        <f>I313*I311*I312</f>
        <v>21</v>
      </c>
      <c r="J310" s="547" t="s">
        <v>2582</v>
      </c>
      <c r="K310" s="275"/>
      <c r="L310" s="276"/>
    </row>
    <row r="311" spans="1:12" ht="13.5" x14ac:dyDescent="0.2">
      <c r="A311" s="534"/>
      <c r="B311" s="284"/>
      <c r="C311" s="285"/>
      <c r="D311" s="286"/>
      <c r="E311" s="534"/>
      <c r="F311" s="534"/>
      <c r="G311" s="295" t="s">
        <v>2584</v>
      </c>
      <c r="H311" s="273"/>
      <c r="I311" s="28">
        <v>1.5</v>
      </c>
      <c r="J311" s="284"/>
      <c r="K311" s="285"/>
      <c r="L311" s="286"/>
    </row>
    <row r="312" spans="1:12" ht="13.5" x14ac:dyDescent="0.2">
      <c r="A312" s="534"/>
      <c r="B312" s="284"/>
      <c r="C312" s="285"/>
      <c r="D312" s="286"/>
      <c r="E312" s="534"/>
      <c r="F312" s="534"/>
      <c r="G312" s="295" t="s">
        <v>2585</v>
      </c>
      <c r="H312" s="273"/>
      <c r="I312" s="28">
        <v>0.2</v>
      </c>
      <c r="J312" s="284"/>
      <c r="K312" s="285"/>
      <c r="L312" s="286"/>
    </row>
    <row r="313" spans="1:12" ht="13.5" x14ac:dyDescent="0.2">
      <c r="A313" s="281"/>
      <c r="B313" s="277"/>
      <c r="C313" s="278"/>
      <c r="D313" s="279"/>
      <c r="E313" s="281"/>
      <c r="F313" s="281"/>
      <c r="G313" s="295" t="s">
        <v>2587</v>
      </c>
      <c r="H313" s="273"/>
      <c r="I313" s="28">
        <v>70</v>
      </c>
      <c r="J313" s="277"/>
      <c r="K313" s="278"/>
      <c r="L313" s="279"/>
    </row>
    <row r="314" spans="1:12" ht="13.5" x14ac:dyDescent="0.25">
      <c r="A314" s="70"/>
      <c r="B314" s="70"/>
      <c r="C314" s="70"/>
      <c r="D314" s="70"/>
      <c r="E314" s="70"/>
      <c r="F314" s="70"/>
      <c r="G314" s="70"/>
      <c r="H314" s="70"/>
      <c r="I314" s="124"/>
      <c r="J314" s="70"/>
      <c r="K314" s="70"/>
      <c r="L314" s="70"/>
    </row>
    <row r="315" spans="1:12" x14ac:dyDescent="0.2">
      <c r="A315" s="287" t="s">
        <v>76</v>
      </c>
      <c r="B315" s="271"/>
      <c r="C315" s="271"/>
      <c r="D315" s="273"/>
      <c r="E315" s="16" t="s">
        <v>77</v>
      </c>
      <c r="F315" s="16" t="s">
        <v>78</v>
      </c>
      <c r="G315" s="287" t="s">
        <v>2576</v>
      </c>
      <c r="H315" s="273"/>
      <c r="I315" s="287" t="s">
        <v>2579</v>
      </c>
      <c r="J315" s="271"/>
      <c r="K315" s="271"/>
      <c r="L315" s="273"/>
    </row>
    <row r="316" spans="1:12" ht="13.5" x14ac:dyDescent="0.2">
      <c r="A316" s="542" t="s">
        <v>2691</v>
      </c>
      <c r="B316" s="535" t="s">
        <v>96</v>
      </c>
      <c r="C316" s="275"/>
      <c r="D316" s="276"/>
      <c r="E316" s="542" t="s">
        <v>258</v>
      </c>
      <c r="F316" s="536">
        <f>+I316</f>
        <v>5.25</v>
      </c>
      <c r="G316" s="295" t="s">
        <v>444</v>
      </c>
      <c r="H316" s="273"/>
      <c r="I316" s="28">
        <f>I319*I317*I318</f>
        <v>5.25</v>
      </c>
      <c r="J316" s="547" t="s">
        <v>2582</v>
      </c>
      <c r="K316" s="275"/>
      <c r="L316" s="276"/>
    </row>
    <row r="317" spans="1:12" ht="13.5" x14ac:dyDescent="0.2">
      <c r="A317" s="534"/>
      <c r="B317" s="284"/>
      <c r="C317" s="285"/>
      <c r="D317" s="286"/>
      <c r="E317" s="534"/>
      <c r="F317" s="534"/>
      <c r="G317" s="295" t="s">
        <v>2584</v>
      </c>
      <c r="H317" s="273"/>
      <c r="I317" s="28">
        <v>1.5</v>
      </c>
      <c r="J317" s="284"/>
      <c r="K317" s="285"/>
      <c r="L317" s="286"/>
    </row>
    <row r="318" spans="1:12" ht="13.5" x14ac:dyDescent="0.2">
      <c r="A318" s="534"/>
      <c r="B318" s="284"/>
      <c r="C318" s="285"/>
      <c r="D318" s="286"/>
      <c r="E318" s="534"/>
      <c r="F318" s="534"/>
      <c r="G318" s="295" t="s">
        <v>2585</v>
      </c>
      <c r="H318" s="273"/>
      <c r="I318" s="28">
        <v>0.05</v>
      </c>
      <c r="J318" s="284"/>
      <c r="K318" s="285"/>
      <c r="L318" s="286"/>
    </row>
    <row r="319" spans="1:12" ht="13.5" x14ac:dyDescent="0.2">
      <c r="A319" s="281"/>
      <c r="B319" s="277"/>
      <c r="C319" s="278"/>
      <c r="D319" s="279"/>
      <c r="E319" s="281"/>
      <c r="F319" s="281"/>
      <c r="G319" s="295" t="s">
        <v>2587</v>
      </c>
      <c r="H319" s="273"/>
      <c r="I319" s="28">
        <v>70</v>
      </c>
      <c r="J319" s="277"/>
      <c r="K319" s="278"/>
      <c r="L319" s="279"/>
    </row>
    <row r="320" spans="1:12" ht="13.5" x14ac:dyDescent="0.25">
      <c r="A320" s="70"/>
      <c r="B320" s="70"/>
      <c r="C320" s="70"/>
      <c r="D320" s="70"/>
      <c r="E320" s="70"/>
      <c r="F320" s="70"/>
      <c r="G320" s="70"/>
      <c r="H320" s="70"/>
      <c r="I320" s="124"/>
      <c r="J320" s="70"/>
      <c r="K320" s="70"/>
      <c r="L320" s="70"/>
    </row>
    <row r="321" spans="1:12" x14ac:dyDescent="0.2">
      <c r="A321" s="287" t="s">
        <v>76</v>
      </c>
      <c r="B321" s="271"/>
      <c r="C321" s="271"/>
      <c r="D321" s="273"/>
      <c r="E321" s="16" t="s">
        <v>77</v>
      </c>
      <c r="F321" s="16" t="s">
        <v>78</v>
      </c>
      <c r="G321" s="287" t="s">
        <v>2576</v>
      </c>
      <c r="H321" s="273"/>
      <c r="I321" s="287" t="s">
        <v>2579</v>
      </c>
      <c r="J321" s="271"/>
      <c r="K321" s="271"/>
      <c r="L321" s="273"/>
    </row>
    <row r="322" spans="1:12" ht="13.5" x14ac:dyDescent="0.2">
      <c r="A322" s="542" t="s">
        <v>2692</v>
      </c>
      <c r="B322" s="535" t="s">
        <v>98</v>
      </c>
      <c r="C322" s="275"/>
      <c r="D322" s="276"/>
      <c r="E322" s="542" t="s">
        <v>258</v>
      </c>
      <c r="F322" s="536">
        <f>+I322</f>
        <v>15.75</v>
      </c>
      <c r="G322" s="295" t="s">
        <v>444</v>
      </c>
      <c r="H322" s="273"/>
      <c r="I322" s="28">
        <f>I325*I323*I324</f>
        <v>15.75</v>
      </c>
      <c r="J322" s="547" t="s">
        <v>2582</v>
      </c>
      <c r="K322" s="275"/>
      <c r="L322" s="276"/>
    </row>
    <row r="323" spans="1:12" ht="13.5" x14ac:dyDescent="0.2">
      <c r="A323" s="534"/>
      <c r="B323" s="284"/>
      <c r="C323" s="285"/>
      <c r="D323" s="286"/>
      <c r="E323" s="534"/>
      <c r="F323" s="534"/>
      <c r="G323" s="295" t="s">
        <v>2584</v>
      </c>
      <c r="H323" s="273"/>
      <c r="I323" s="28">
        <v>1.5</v>
      </c>
      <c r="J323" s="284"/>
      <c r="K323" s="285"/>
      <c r="L323" s="286"/>
    </row>
    <row r="324" spans="1:12" ht="13.5" x14ac:dyDescent="0.2">
      <c r="A324" s="534"/>
      <c r="B324" s="284"/>
      <c r="C324" s="285"/>
      <c r="D324" s="286"/>
      <c r="E324" s="534"/>
      <c r="F324" s="534"/>
      <c r="G324" s="295" t="s">
        <v>2585</v>
      </c>
      <c r="H324" s="273"/>
      <c r="I324" s="28">
        <v>0.15</v>
      </c>
      <c r="J324" s="284"/>
      <c r="K324" s="285"/>
      <c r="L324" s="286"/>
    </row>
    <row r="325" spans="1:12" ht="13.5" x14ac:dyDescent="0.2">
      <c r="A325" s="281"/>
      <c r="B325" s="277"/>
      <c r="C325" s="278"/>
      <c r="D325" s="279"/>
      <c r="E325" s="281"/>
      <c r="F325" s="281"/>
      <c r="G325" s="295" t="s">
        <v>2587</v>
      </c>
      <c r="H325" s="273"/>
      <c r="I325" s="28">
        <v>70</v>
      </c>
      <c r="J325" s="277"/>
      <c r="K325" s="278"/>
      <c r="L325" s="279"/>
    </row>
    <row r="326" spans="1:12" ht="13.5" x14ac:dyDescent="0.25">
      <c r="A326" s="70"/>
      <c r="B326" s="70"/>
      <c r="C326" s="70"/>
      <c r="D326" s="70"/>
      <c r="E326" s="70"/>
      <c r="F326" s="70"/>
      <c r="G326" s="70"/>
      <c r="H326" s="70"/>
      <c r="I326" s="124"/>
      <c r="J326" s="70"/>
      <c r="K326" s="70"/>
      <c r="L326" s="70"/>
    </row>
    <row r="327" spans="1:12" x14ac:dyDescent="0.2">
      <c r="A327" s="287" t="s">
        <v>76</v>
      </c>
      <c r="B327" s="271"/>
      <c r="C327" s="271"/>
      <c r="D327" s="273"/>
      <c r="E327" s="16" t="s">
        <v>77</v>
      </c>
      <c r="F327" s="16" t="s">
        <v>78</v>
      </c>
      <c r="G327" s="287" t="s">
        <v>2576</v>
      </c>
      <c r="H327" s="273"/>
      <c r="I327" s="287" t="s">
        <v>2579</v>
      </c>
      <c r="J327" s="271"/>
      <c r="K327" s="271"/>
      <c r="L327" s="273"/>
    </row>
    <row r="328" spans="1:12" ht="13.5" x14ac:dyDescent="0.2">
      <c r="A328" s="542" t="s">
        <v>2693</v>
      </c>
      <c r="B328" s="535" t="s">
        <v>100</v>
      </c>
      <c r="C328" s="275"/>
      <c r="D328" s="276"/>
      <c r="E328" s="542" t="s">
        <v>934</v>
      </c>
      <c r="F328" s="536">
        <f>+I328</f>
        <v>105</v>
      </c>
      <c r="G328" s="295" t="s">
        <v>444</v>
      </c>
      <c r="H328" s="273"/>
      <c r="I328" s="36">
        <f>+I330*I329</f>
        <v>105</v>
      </c>
      <c r="J328" s="547" t="s">
        <v>2582</v>
      </c>
      <c r="K328" s="275"/>
      <c r="L328" s="276"/>
    </row>
    <row r="329" spans="1:12" ht="13.5" x14ac:dyDescent="0.2">
      <c r="A329" s="534"/>
      <c r="B329" s="284"/>
      <c r="C329" s="285"/>
      <c r="D329" s="286"/>
      <c r="E329" s="534"/>
      <c r="F329" s="534"/>
      <c r="G329" s="295" t="s">
        <v>2584</v>
      </c>
      <c r="H329" s="273"/>
      <c r="I329" s="36">
        <v>1.5</v>
      </c>
      <c r="J329" s="284"/>
      <c r="K329" s="285"/>
      <c r="L329" s="286"/>
    </row>
    <row r="330" spans="1:12" ht="13.5" x14ac:dyDescent="0.2">
      <c r="A330" s="281"/>
      <c r="B330" s="277"/>
      <c r="C330" s="278"/>
      <c r="D330" s="279"/>
      <c r="E330" s="281"/>
      <c r="F330" s="281"/>
      <c r="G330" s="295" t="s">
        <v>2587</v>
      </c>
      <c r="H330" s="273"/>
      <c r="I330" s="36">
        <v>70</v>
      </c>
      <c r="J330" s="277"/>
      <c r="K330" s="278"/>
      <c r="L330" s="279"/>
    </row>
    <row r="331" spans="1:12" ht="13.5" x14ac:dyDescent="0.25">
      <c r="A331" s="4"/>
      <c r="B331" s="4"/>
      <c r="C331" s="4"/>
      <c r="D331" s="4"/>
      <c r="E331" s="4"/>
      <c r="F331" s="4"/>
      <c r="G331" s="4"/>
      <c r="H331" s="4"/>
      <c r="I331" s="18"/>
      <c r="J331" s="18"/>
      <c r="K331" s="18"/>
      <c r="L331" s="18"/>
    </row>
    <row r="332" spans="1:12" ht="13.5" x14ac:dyDescent="0.25">
      <c r="A332" s="4"/>
      <c r="B332" s="4"/>
      <c r="C332" s="4"/>
      <c r="D332" s="4"/>
      <c r="E332" s="4"/>
      <c r="F332" s="4"/>
      <c r="G332" s="4"/>
      <c r="H332" s="4"/>
      <c r="I332" s="18"/>
      <c r="J332" s="18"/>
      <c r="K332" s="18"/>
      <c r="L332" s="18"/>
    </row>
    <row r="333" spans="1:12" ht="13.5" x14ac:dyDescent="0.25">
      <c r="I333" s="18"/>
      <c r="J333" s="18"/>
      <c r="K333" s="18"/>
      <c r="L333" s="18"/>
    </row>
    <row r="334" spans="1:12" ht="13.5" x14ac:dyDescent="0.25">
      <c r="I334" s="18"/>
      <c r="J334" s="18"/>
      <c r="K334" s="18"/>
      <c r="L334" s="18"/>
    </row>
    <row r="335" spans="1:12" ht="13.5" x14ac:dyDescent="0.25">
      <c r="I335" s="18"/>
      <c r="J335" s="18"/>
      <c r="K335" s="18"/>
      <c r="L335" s="18"/>
    </row>
    <row r="336" spans="1:12" ht="13.5" x14ac:dyDescent="0.25">
      <c r="I336" s="18"/>
      <c r="J336" s="18"/>
      <c r="K336" s="18"/>
      <c r="L336" s="18"/>
    </row>
    <row r="337" spans="6:10" x14ac:dyDescent="0.2">
      <c r="I337" s="1"/>
      <c r="J337" s="1"/>
    </row>
    <row r="338" spans="6:10" ht="14.25" thickBot="1" x14ac:dyDescent="0.3">
      <c r="F338" s="18"/>
      <c r="G338" s="18"/>
      <c r="H338" s="18"/>
      <c r="I338" s="1"/>
      <c r="J338" s="1"/>
    </row>
    <row r="339" spans="6:10" ht="14.25" thickTop="1" x14ac:dyDescent="0.2">
      <c r="F339" s="302" t="s">
        <v>71</v>
      </c>
      <c r="G339" s="505"/>
      <c r="H339" s="505"/>
      <c r="I339" s="1"/>
      <c r="J339" s="1"/>
    </row>
    <row r="340" spans="6:10" ht="13.5" x14ac:dyDescent="0.25">
      <c r="F340" s="503" t="s">
        <v>72</v>
      </c>
      <c r="G340" s="285"/>
      <c r="H340" s="285"/>
      <c r="I340" s="1"/>
      <c r="J340" s="1"/>
    </row>
    <row r="341" spans="6:10" ht="13.5" x14ac:dyDescent="0.25">
      <c r="F341" s="503" t="s">
        <v>73</v>
      </c>
      <c r="G341" s="285"/>
      <c r="H341" s="285"/>
      <c r="I341" s="1"/>
      <c r="J341" s="1"/>
    </row>
  </sheetData>
  <mergeCells count="510">
    <mergeCell ref="G187:H187"/>
    <mergeCell ref="A167:D167"/>
    <mergeCell ref="G167:H167"/>
    <mergeCell ref="I167:L167"/>
    <mergeCell ref="A168:A176"/>
    <mergeCell ref="B168:D176"/>
    <mergeCell ref="E168:E176"/>
    <mergeCell ref="F168:F176"/>
    <mergeCell ref="G168:H168"/>
    <mergeCell ref="G183:H183"/>
    <mergeCell ref="G184:H184"/>
    <mergeCell ref="G185:H185"/>
    <mergeCell ref="G186:H186"/>
    <mergeCell ref="I178:L178"/>
    <mergeCell ref="A179:A187"/>
    <mergeCell ref="B179:D187"/>
    <mergeCell ref="E179:E187"/>
    <mergeCell ref="F179:F187"/>
    <mergeCell ref="G179:H179"/>
    <mergeCell ref="J179:L187"/>
    <mergeCell ref="G180:H180"/>
    <mergeCell ref="G181:H181"/>
    <mergeCell ref="G182:H182"/>
    <mergeCell ref="G135:H135"/>
    <mergeCell ref="J135:L143"/>
    <mergeCell ref="G165:H165"/>
    <mergeCell ref="A145:D145"/>
    <mergeCell ref="G145:H145"/>
    <mergeCell ref="I145:L145"/>
    <mergeCell ref="G175:H175"/>
    <mergeCell ref="A146:A154"/>
    <mergeCell ref="B146:D154"/>
    <mergeCell ref="J168:L176"/>
    <mergeCell ref="G169:H169"/>
    <mergeCell ref="G170:H170"/>
    <mergeCell ref="G171:H171"/>
    <mergeCell ref="G172:H172"/>
    <mergeCell ref="G173:H173"/>
    <mergeCell ref="G174:H174"/>
    <mergeCell ref="G176:H176"/>
    <mergeCell ref="G164:H164"/>
    <mergeCell ref="J157:L165"/>
    <mergeCell ref="G158:H158"/>
    <mergeCell ref="G159:H159"/>
    <mergeCell ref="G160:H160"/>
    <mergeCell ref="G161:H161"/>
    <mergeCell ref="G162:H162"/>
    <mergeCell ref="I156:L156"/>
    <mergeCell ref="A157:A165"/>
    <mergeCell ref="B157:D165"/>
    <mergeCell ref="E157:E165"/>
    <mergeCell ref="F157:F165"/>
    <mergeCell ref="G157:H157"/>
    <mergeCell ref="E146:E154"/>
    <mergeCell ref="F146:F154"/>
    <mergeCell ref="G146:H146"/>
    <mergeCell ref="J146:L154"/>
    <mergeCell ref="G147:H147"/>
    <mergeCell ref="G148:H148"/>
    <mergeCell ref="G149:H149"/>
    <mergeCell ref="G150:H150"/>
    <mergeCell ref="G151:H151"/>
    <mergeCell ref="G325:H325"/>
    <mergeCell ref="G303:H303"/>
    <mergeCell ref="G321:H321"/>
    <mergeCell ref="B316:D319"/>
    <mergeCell ref="A321:D321"/>
    <mergeCell ref="G242:H242"/>
    <mergeCell ref="A206:A215"/>
    <mergeCell ref="G197:H197"/>
    <mergeCell ref="G198:H198"/>
    <mergeCell ref="A289:A297"/>
    <mergeCell ref="B289:D297"/>
    <mergeCell ref="E289:E297"/>
    <mergeCell ref="F289:F297"/>
    <mergeCell ref="G212:H212"/>
    <mergeCell ref="G213:H213"/>
    <mergeCell ref="G214:H214"/>
    <mergeCell ref="G215:H215"/>
    <mergeCell ref="A288:D288"/>
    <mergeCell ref="G278:H278"/>
    <mergeCell ref="G275:H275"/>
    <mergeCell ref="G238:H238"/>
    <mergeCell ref="G239:H239"/>
    <mergeCell ref="G240:H240"/>
    <mergeCell ref="A242:D242"/>
    <mergeCell ref="I327:L327"/>
    <mergeCell ref="G205:H205"/>
    <mergeCell ref="F341:H341"/>
    <mergeCell ref="I303:L303"/>
    <mergeCell ref="A300:L301"/>
    <mergeCell ref="G329:H329"/>
    <mergeCell ref="G330:H330"/>
    <mergeCell ref="B322:D325"/>
    <mergeCell ref="A327:D327"/>
    <mergeCell ref="A328:A330"/>
    <mergeCell ref="A315:D315"/>
    <mergeCell ref="I321:L321"/>
    <mergeCell ref="G312:H312"/>
    <mergeCell ref="I315:L315"/>
    <mergeCell ref="J304:L307"/>
    <mergeCell ref="J328:L330"/>
    <mergeCell ref="J322:L325"/>
    <mergeCell ref="G323:H323"/>
    <mergeCell ref="G324:H324"/>
    <mergeCell ref="G327:H327"/>
    <mergeCell ref="F339:H339"/>
    <mergeCell ref="F340:H340"/>
    <mergeCell ref="B304:D307"/>
    <mergeCell ref="A309:D309"/>
    <mergeCell ref="B328:D330"/>
    <mergeCell ref="E328:E330"/>
    <mergeCell ref="F328:F330"/>
    <mergeCell ref="G328:H328"/>
    <mergeCell ref="A303:D303"/>
    <mergeCell ref="A304:A307"/>
    <mergeCell ref="E304:E307"/>
    <mergeCell ref="F304:F307"/>
    <mergeCell ref="G304:H304"/>
    <mergeCell ref="G305:H305"/>
    <mergeCell ref="A310:A313"/>
    <mergeCell ref="E310:E313"/>
    <mergeCell ref="F310:F313"/>
    <mergeCell ref="G310:H310"/>
    <mergeCell ref="G313:H313"/>
    <mergeCell ref="B310:D313"/>
    <mergeCell ref="A322:A325"/>
    <mergeCell ref="E322:E325"/>
    <mergeCell ref="F322:F325"/>
    <mergeCell ref="G322:H322"/>
    <mergeCell ref="F316:F319"/>
    <mergeCell ref="G316:H316"/>
    <mergeCell ref="G319:H319"/>
    <mergeCell ref="E316:E319"/>
    <mergeCell ref="I309:L309"/>
    <mergeCell ref="G307:H307"/>
    <mergeCell ref="A316:A319"/>
    <mergeCell ref="G296:H296"/>
    <mergeCell ref="G297:H297"/>
    <mergeCell ref="A218:A229"/>
    <mergeCell ref="E218:E229"/>
    <mergeCell ref="F218:F229"/>
    <mergeCell ref="G218:H218"/>
    <mergeCell ref="G229:H229"/>
    <mergeCell ref="J316:L319"/>
    <mergeCell ref="G317:H317"/>
    <mergeCell ref="G318:H318"/>
    <mergeCell ref="G315:H315"/>
    <mergeCell ref="J310:L313"/>
    <mergeCell ref="G311:H311"/>
    <mergeCell ref="G306:H306"/>
    <mergeCell ref="G309:H309"/>
    <mergeCell ref="G254:H254"/>
    <mergeCell ref="G293:H293"/>
    <mergeCell ref="G294:H294"/>
    <mergeCell ref="G272:H272"/>
    <mergeCell ref="G273:H273"/>
    <mergeCell ref="A253:D253"/>
    <mergeCell ref="A123:D123"/>
    <mergeCell ref="F278:F286"/>
    <mergeCell ref="B218:D229"/>
    <mergeCell ref="A231:D231"/>
    <mergeCell ref="A232:A240"/>
    <mergeCell ref="B232:D240"/>
    <mergeCell ref="E232:E240"/>
    <mergeCell ref="F232:F240"/>
    <mergeCell ref="A254:A262"/>
    <mergeCell ref="B254:D262"/>
    <mergeCell ref="E254:E262"/>
    <mergeCell ref="F254:F262"/>
    <mergeCell ref="A156:D156"/>
    <mergeCell ref="A178:D178"/>
    <mergeCell ref="A205:D205"/>
    <mergeCell ref="A217:D217"/>
    <mergeCell ref="A265:A275"/>
    <mergeCell ref="B265:D275"/>
    <mergeCell ref="E265:E275"/>
    <mergeCell ref="F265:F275"/>
    <mergeCell ref="G124:H124"/>
    <mergeCell ref="A200:D200"/>
    <mergeCell ref="G200:H200"/>
    <mergeCell ref="A189:D189"/>
    <mergeCell ref="G189:H189"/>
    <mergeCell ref="A190:A198"/>
    <mergeCell ref="B190:D198"/>
    <mergeCell ref="E190:E198"/>
    <mergeCell ref="F190:F198"/>
    <mergeCell ref="G129:H129"/>
    <mergeCell ref="G142:H142"/>
    <mergeCell ref="G143:H143"/>
    <mergeCell ref="G152:H152"/>
    <mergeCell ref="G153:H153"/>
    <mergeCell ref="G154:H154"/>
    <mergeCell ref="G136:H136"/>
    <mergeCell ref="G137:H137"/>
    <mergeCell ref="G138:H138"/>
    <mergeCell ref="G139:H139"/>
    <mergeCell ref="G140:H140"/>
    <mergeCell ref="G141:H141"/>
    <mergeCell ref="G178:H178"/>
    <mergeCell ref="G156:H156"/>
    <mergeCell ref="G126:H126"/>
    <mergeCell ref="I205:L205"/>
    <mergeCell ref="A201:A203"/>
    <mergeCell ref="B201:D203"/>
    <mergeCell ref="E201:E203"/>
    <mergeCell ref="F201:F203"/>
    <mergeCell ref="G201:H203"/>
    <mergeCell ref="G120:H120"/>
    <mergeCell ref="G115:H115"/>
    <mergeCell ref="G116:H116"/>
    <mergeCell ref="G117:H117"/>
    <mergeCell ref="G118:H118"/>
    <mergeCell ref="G119:H119"/>
    <mergeCell ref="E112:E121"/>
    <mergeCell ref="F112:F121"/>
    <mergeCell ref="G112:H112"/>
    <mergeCell ref="G121:H121"/>
    <mergeCell ref="G123:H123"/>
    <mergeCell ref="I123:L123"/>
    <mergeCell ref="A124:A132"/>
    <mergeCell ref="B124:D132"/>
    <mergeCell ref="E124:E132"/>
    <mergeCell ref="F124:F132"/>
    <mergeCell ref="J124:L132"/>
    <mergeCell ref="G125:H125"/>
    <mergeCell ref="A101:A109"/>
    <mergeCell ref="B101:D109"/>
    <mergeCell ref="E101:E109"/>
    <mergeCell ref="F101:F109"/>
    <mergeCell ref="G101:H101"/>
    <mergeCell ref="G108:H108"/>
    <mergeCell ref="G113:H113"/>
    <mergeCell ref="G114:H114"/>
    <mergeCell ref="B112:D121"/>
    <mergeCell ref="G102:H102"/>
    <mergeCell ref="G103:H103"/>
    <mergeCell ref="G104:H104"/>
    <mergeCell ref="G105:H105"/>
    <mergeCell ref="A111:D111"/>
    <mergeCell ref="G111:H111"/>
    <mergeCell ref="G106:H106"/>
    <mergeCell ref="G107:H107"/>
    <mergeCell ref="A112:A121"/>
    <mergeCell ref="G127:H127"/>
    <mergeCell ref="G128:H128"/>
    <mergeCell ref="G290:H290"/>
    <mergeCell ref="G291:H291"/>
    <mergeCell ref="G292:H292"/>
    <mergeCell ref="J278:L286"/>
    <mergeCell ref="G279:H279"/>
    <mergeCell ref="G280:H280"/>
    <mergeCell ref="G281:H281"/>
    <mergeCell ref="J289:L297"/>
    <mergeCell ref="G282:H282"/>
    <mergeCell ref="G283:H283"/>
    <mergeCell ref="G295:H295"/>
    <mergeCell ref="G217:H217"/>
    <mergeCell ref="I217:L217"/>
    <mergeCell ref="I231:L231"/>
    <mergeCell ref="G289:H289"/>
    <mergeCell ref="G288:H288"/>
    <mergeCell ref="G271:H271"/>
    <mergeCell ref="J265:L275"/>
    <mergeCell ref="G265:H265"/>
    <mergeCell ref="G284:H284"/>
    <mergeCell ref="G285:H285"/>
    <mergeCell ref="G286:H286"/>
    <mergeCell ref="I264:L264"/>
    <mergeCell ref="G266:H266"/>
    <mergeCell ref="G267:H267"/>
    <mergeCell ref="I288:L288"/>
    <mergeCell ref="A278:A286"/>
    <mergeCell ref="B278:D286"/>
    <mergeCell ref="E278:E286"/>
    <mergeCell ref="G243:H243"/>
    <mergeCell ref="J243:L251"/>
    <mergeCell ref="G248:H248"/>
    <mergeCell ref="A264:D264"/>
    <mergeCell ref="F243:F251"/>
    <mergeCell ref="G268:H268"/>
    <mergeCell ref="A277:D277"/>
    <mergeCell ref="G277:H277"/>
    <mergeCell ref="I277:L277"/>
    <mergeCell ref="G269:H269"/>
    <mergeCell ref="G270:H270"/>
    <mergeCell ref="G253:H253"/>
    <mergeCell ref="G249:H249"/>
    <mergeCell ref="G250:H250"/>
    <mergeCell ref="G251:H251"/>
    <mergeCell ref="A243:A251"/>
    <mergeCell ref="B243:D251"/>
    <mergeCell ref="G274:H274"/>
    <mergeCell ref="G264:H264"/>
    <mergeCell ref="G245:H245"/>
    <mergeCell ref="G246:H246"/>
    <mergeCell ref="G247:H247"/>
    <mergeCell ref="B206:D215"/>
    <mergeCell ref="E206:E215"/>
    <mergeCell ref="F206:F215"/>
    <mergeCell ref="G206:H206"/>
    <mergeCell ref="E243:E251"/>
    <mergeCell ref="I134:L134"/>
    <mergeCell ref="J254:L262"/>
    <mergeCell ref="G255:H255"/>
    <mergeCell ref="G256:H256"/>
    <mergeCell ref="G257:H257"/>
    <mergeCell ref="G258:H258"/>
    <mergeCell ref="G259:H259"/>
    <mergeCell ref="G260:H260"/>
    <mergeCell ref="G261:H261"/>
    <mergeCell ref="G262:H262"/>
    <mergeCell ref="J218:L229"/>
    <mergeCell ref="G219:H219"/>
    <mergeCell ref="G220:H220"/>
    <mergeCell ref="G221:H221"/>
    <mergeCell ref="G222:H222"/>
    <mergeCell ref="G223:H223"/>
    <mergeCell ref="G227:H227"/>
    <mergeCell ref="G224:H224"/>
    <mergeCell ref="G225:H225"/>
    <mergeCell ref="G226:H226"/>
    <mergeCell ref="I189:L189"/>
    <mergeCell ref="I242:L242"/>
    <mergeCell ref="G244:H244"/>
    <mergeCell ref="I253:L253"/>
    <mergeCell ref="I85:L85"/>
    <mergeCell ref="G93:H93"/>
    <mergeCell ref="G233:H233"/>
    <mergeCell ref="G234:H234"/>
    <mergeCell ref="G235:H235"/>
    <mergeCell ref="G236:H236"/>
    <mergeCell ref="G237:H237"/>
    <mergeCell ref="G228:H228"/>
    <mergeCell ref="G231:H231"/>
    <mergeCell ref="G232:H232"/>
    <mergeCell ref="G94:H94"/>
    <mergeCell ref="J232:L240"/>
    <mergeCell ref="J86:L94"/>
    <mergeCell ref="G207:H207"/>
    <mergeCell ref="G208:H208"/>
    <mergeCell ref="I200:L200"/>
    <mergeCell ref="J201:L203"/>
    <mergeCell ref="G195:H195"/>
    <mergeCell ref="G196:H196"/>
    <mergeCell ref="G190:H190"/>
    <mergeCell ref="J206:L215"/>
    <mergeCell ref="G209:H209"/>
    <mergeCell ref="G210:H210"/>
    <mergeCell ref="G211:H211"/>
    <mergeCell ref="A96:L97"/>
    <mergeCell ref="G98:H98"/>
    <mergeCell ref="A100:D100"/>
    <mergeCell ref="G100:H100"/>
    <mergeCell ref="J190:L198"/>
    <mergeCell ref="G191:H191"/>
    <mergeCell ref="G192:H192"/>
    <mergeCell ref="G193:H193"/>
    <mergeCell ref="G194:H194"/>
    <mergeCell ref="I100:L100"/>
    <mergeCell ref="J112:L121"/>
    <mergeCell ref="J101:L109"/>
    <mergeCell ref="I111:L111"/>
    <mergeCell ref="G131:H131"/>
    <mergeCell ref="G132:H132"/>
    <mergeCell ref="G130:H130"/>
    <mergeCell ref="A134:D134"/>
    <mergeCell ref="G134:H134"/>
    <mergeCell ref="A135:A143"/>
    <mergeCell ref="B135:D143"/>
    <mergeCell ref="E135:E143"/>
    <mergeCell ref="F135:F143"/>
    <mergeCell ref="G163:H163"/>
    <mergeCell ref="G109:H109"/>
    <mergeCell ref="A85:D85"/>
    <mergeCell ref="G85:H85"/>
    <mergeCell ref="G76:H76"/>
    <mergeCell ref="G77:H77"/>
    <mergeCell ref="G80:H80"/>
    <mergeCell ref="G81:H81"/>
    <mergeCell ref="G78:H78"/>
    <mergeCell ref="G79:H79"/>
    <mergeCell ref="G82:H82"/>
    <mergeCell ref="G83:H83"/>
    <mergeCell ref="A75:A83"/>
    <mergeCell ref="B75:D83"/>
    <mergeCell ref="E75:E83"/>
    <mergeCell ref="F75:F83"/>
    <mergeCell ref="A86:A94"/>
    <mergeCell ref="B86:D94"/>
    <mergeCell ref="E86:E94"/>
    <mergeCell ref="F86:F94"/>
    <mergeCell ref="G86:H86"/>
    <mergeCell ref="G87:H87"/>
    <mergeCell ref="G88:H88"/>
    <mergeCell ref="G89:H89"/>
    <mergeCell ref="G90:H90"/>
    <mergeCell ref="G91:H91"/>
    <mergeCell ref="G92:H92"/>
    <mergeCell ref="A53:A61"/>
    <mergeCell ref="B53:D61"/>
    <mergeCell ref="E53:E61"/>
    <mergeCell ref="F53:F61"/>
    <mergeCell ref="J75:L83"/>
    <mergeCell ref="A74:D74"/>
    <mergeCell ref="G74:H74"/>
    <mergeCell ref="I74:L74"/>
    <mergeCell ref="A64:A72"/>
    <mergeCell ref="B64:D72"/>
    <mergeCell ref="E64:E72"/>
    <mergeCell ref="F64:F72"/>
    <mergeCell ref="G64:H64"/>
    <mergeCell ref="G70:H70"/>
    <mergeCell ref="G71:H71"/>
    <mergeCell ref="G72:H72"/>
    <mergeCell ref="G75:H75"/>
    <mergeCell ref="A63:D63"/>
    <mergeCell ref="G63:H63"/>
    <mergeCell ref="I63:L63"/>
    <mergeCell ref="J64:L72"/>
    <mergeCell ref="G65:H65"/>
    <mergeCell ref="G66:H66"/>
    <mergeCell ref="G67:H67"/>
    <mergeCell ref="G68:H68"/>
    <mergeCell ref="G69:H69"/>
    <mergeCell ref="J53:L61"/>
    <mergeCell ref="G54:H54"/>
    <mergeCell ref="G55:H55"/>
    <mergeCell ref="G56:H56"/>
    <mergeCell ref="G57:H57"/>
    <mergeCell ref="G58:H58"/>
    <mergeCell ref="G59:H59"/>
    <mergeCell ref="G60:H60"/>
    <mergeCell ref="G61:H61"/>
    <mergeCell ref="G53:H53"/>
    <mergeCell ref="A52:D52"/>
    <mergeCell ref="G52:H52"/>
    <mergeCell ref="I52:L52"/>
    <mergeCell ref="J42:L50"/>
    <mergeCell ref="G43:H43"/>
    <mergeCell ref="G44:H44"/>
    <mergeCell ref="G45:H45"/>
    <mergeCell ref="G46:H46"/>
    <mergeCell ref="G47:H47"/>
    <mergeCell ref="G48:H48"/>
    <mergeCell ref="B42:D50"/>
    <mergeCell ref="E42:E50"/>
    <mergeCell ref="F42:F50"/>
    <mergeCell ref="G42:H42"/>
    <mergeCell ref="G50:H50"/>
    <mergeCell ref="J31:L39"/>
    <mergeCell ref="G32:H32"/>
    <mergeCell ref="G33:H33"/>
    <mergeCell ref="G34:H34"/>
    <mergeCell ref="G35:H35"/>
    <mergeCell ref="G49:H49"/>
    <mergeCell ref="A41:D41"/>
    <mergeCell ref="G41:H41"/>
    <mergeCell ref="I41:L41"/>
    <mergeCell ref="A31:A39"/>
    <mergeCell ref="B31:D39"/>
    <mergeCell ref="E31:E39"/>
    <mergeCell ref="F31:F39"/>
    <mergeCell ref="G31:H31"/>
    <mergeCell ref="A42:A50"/>
    <mergeCell ref="G36:H36"/>
    <mergeCell ref="G37:H37"/>
    <mergeCell ref="G38:H38"/>
    <mergeCell ref="G39:H39"/>
    <mergeCell ref="G26:H26"/>
    <mergeCell ref="G27:H27"/>
    <mergeCell ref="G28:H28"/>
    <mergeCell ref="A20:A28"/>
    <mergeCell ref="A30:D30"/>
    <mergeCell ref="G30:H30"/>
    <mergeCell ref="I30:L30"/>
    <mergeCell ref="J20:L28"/>
    <mergeCell ref="G21:H21"/>
    <mergeCell ref="G22:H22"/>
    <mergeCell ref="G23:H23"/>
    <mergeCell ref="G24:H24"/>
    <mergeCell ref="G25:H25"/>
    <mergeCell ref="B20:D28"/>
    <mergeCell ref="E20:E28"/>
    <mergeCell ref="F20:F28"/>
    <mergeCell ref="G20:H20"/>
    <mergeCell ref="I8:L8"/>
    <mergeCell ref="A1:J3"/>
    <mergeCell ref="K1:L1"/>
    <mergeCell ref="K2:L3"/>
    <mergeCell ref="A5:L6"/>
    <mergeCell ref="A8:D8"/>
    <mergeCell ref="I19:L19"/>
    <mergeCell ref="A9:A17"/>
    <mergeCell ref="B9:D17"/>
    <mergeCell ref="E9:E17"/>
    <mergeCell ref="F9:F17"/>
    <mergeCell ref="G9:H9"/>
    <mergeCell ref="G8:H8"/>
    <mergeCell ref="J9:L17"/>
    <mergeCell ref="G10:H10"/>
    <mergeCell ref="G11:H11"/>
    <mergeCell ref="G12:H12"/>
    <mergeCell ref="G13:H13"/>
    <mergeCell ref="G14:H14"/>
    <mergeCell ref="G15:H15"/>
    <mergeCell ref="G16:H16"/>
    <mergeCell ref="G17:H17"/>
    <mergeCell ref="A19:D19"/>
    <mergeCell ref="G19:H19"/>
  </mergeCells>
  <conditionalFormatting sqref="H13:H17 H306:H307 H312:H313 H318:H319 H324:H325 I202:I203 I307 I313 I319 I325 H330:I330">
    <cfRule type="cellIs" dxfId="443" priority="19" operator="lessThan">
      <formula>0.1</formula>
    </cfRule>
  </conditionalFormatting>
  <conditionalFormatting sqref="I9:I17">
    <cfRule type="cellIs" dxfId="442" priority="20" operator="lessThan">
      <formula>0.1</formula>
    </cfRule>
  </conditionalFormatting>
  <conditionalFormatting sqref="I157:I160">
    <cfRule type="cellIs" dxfId="441" priority="3" operator="lessThan">
      <formula>0.1</formula>
    </cfRule>
  </conditionalFormatting>
  <conditionalFormatting sqref="I146:I149">
    <cfRule type="cellIs" dxfId="440" priority="4" operator="lessThan">
      <formula>0.1</formula>
    </cfRule>
  </conditionalFormatting>
  <conditionalFormatting sqref="I135:I138">
    <cfRule type="cellIs" dxfId="439" priority="5" operator="lessThan">
      <formula>0.1</formula>
    </cfRule>
  </conditionalFormatting>
  <conditionalFormatting sqref="I150:I154">
    <cfRule type="cellIs" dxfId="438" priority="6" operator="lessThan">
      <formula>0.1</formula>
    </cfRule>
  </conditionalFormatting>
  <conditionalFormatting sqref="H150:H154">
    <cfRule type="cellIs" dxfId="437" priority="7" operator="lessThan">
      <formula>0.1</formula>
    </cfRule>
  </conditionalFormatting>
  <conditionalFormatting sqref="H35:H39 H46:H50">
    <cfRule type="cellIs" dxfId="436" priority="21" operator="lessThan">
      <formula>0.1</formula>
    </cfRule>
  </conditionalFormatting>
  <conditionalFormatting sqref="I31:I39 I47:I50">
    <cfRule type="cellIs" dxfId="435" priority="22" operator="lessThan">
      <formula>0.1</formula>
    </cfRule>
  </conditionalFormatting>
  <conditionalFormatting sqref="I161:I165">
    <cfRule type="cellIs" dxfId="434" priority="11" operator="lessThan">
      <formula>0.1</formula>
    </cfRule>
  </conditionalFormatting>
  <conditionalFormatting sqref="H161:H165">
    <cfRule type="cellIs" dxfId="433" priority="12" operator="lessThan">
      <formula>0.1</formula>
    </cfRule>
  </conditionalFormatting>
  <conditionalFormatting sqref="I172:I176">
    <cfRule type="cellIs" dxfId="432" priority="13" operator="lessThan">
      <formula>0.1</formula>
    </cfRule>
  </conditionalFormatting>
  <conditionalFormatting sqref="I183:I187">
    <cfRule type="cellIs" dxfId="431" priority="14" operator="lessThan">
      <formula>0.1</formula>
    </cfRule>
  </conditionalFormatting>
  <conditionalFormatting sqref="H183:H187">
    <cfRule type="cellIs" dxfId="430" priority="15" operator="lessThan">
      <formula>0.1</formula>
    </cfRule>
  </conditionalFormatting>
  <conditionalFormatting sqref="I124:I127">
    <cfRule type="cellIs" dxfId="429" priority="16" operator="lessThan">
      <formula>0.1</formula>
    </cfRule>
  </conditionalFormatting>
  <conditionalFormatting sqref="I128:I132">
    <cfRule type="cellIs" dxfId="428" priority="17" operator="lessThan">
      <formula>0.1</formula>
    </cfRule>
  </conditionalFormatting>
  <conditionalFormatting sqref="H128:H132">
    <cfRule type="cellIs" dxfId="427" priority="18" operator="lessThan">
      <formula>0.1</formula>
    </cfRule>
  </conditionalFormatting>
  <conditionalFormatting sqref="I43:I46">
    <cfRule type="cellIs" dxfId="426" priority="23" operator="lessThan">
      <formula>0.1</formula>
    </cfRule>
  </conditionalFormatting>
  <conditionalFormatting sqref="I42">
    <cfRule type="cellIs" dxfId="425" priority="24" operator="lessThan">
      <formula>0.1</formula>
    </cfRule>
  </conditionalFormatting>
  <conditionalFormatting sqref="H57:H61">
    <cfRule type="cellIs" dxfId="424" priority="25" operator="lessThan">
      <formula>0.1</formula>
    </cfRule>
  </conditionalFormatting>
  <conditionalFormatting sqref="I57:I61">
    <cfRule type="cellIs" dxfId="423" priority="26" operator="lessThan">
      <formula>0.1</formula>
    </cfRule>
  </conditionalFormatting>
  <conditionalFormatting sqref="I56">
    <cfRule type="cellIs" dxfId="422" priority="27" operator="lessThan">
      <formula>0.1</formula>
    </cfRule>
  </conditionalFormatting>
  <conditionalFormatting sqref="I54:I55">
    <cfRule type="cellIs" dxfId="421" priority="28" operator="lessThan">
      <formula>0.1</formula>
    </cfRule>
  </conditionalFormatting>
  <conditionalFormatting sqref="I53">
    <cfRule type="cellIs" dxfId="420" priority="29" operator="lessThan">
      <formula>0.1</formula>
    </cfRule>
  </conditionalFormatting>
  <conditionalFormatting sqref="H24:H28">
    <cfRule type="cellIs" dxfId="419" priority="30" operator="lessThan">
      <formula>0.1</formula>
    </cfRule>
  </conditionalFormatting>
  <conditionalFormatting sqref="I24:I28">
    <cfRule type="cellIs" dxfId="418" priority="31" operator="lessThan">
      <formula>0.1</formula>
    </cfRule>
  </conditionalFormatting>
  <conditionalFormatting sqref="I22:I23">
    <cfRule type="cellIs" dxfId="417" priority="32" operator="lessThan">
      <formula>0.1</formula>
    </cfRule>
  </conditionalFormatting>
  <conditionalFormatting sqref="I20:I21">
    <cfRule type="cellIs" dxfId="416" priority="33" operator="lessThan">
      <formula>0.1</formula>
    </cfRule>
  </conditionalFormatting>
  <conditionalFormatting sqref="H90:H94">
    <cfRule type="cellIs" dxfId="415" priority="34" operator="lessThan">
      <formula>0.1</formula>
    </cfRule>
  </conditionalFormatting>
  <conditionalFormatting sqref="I90:I94">
    <cfRule type="cellIs" dxfId="414" priority="35" operator="lessThan">
      <formula>0.1</formula>
    </cfRule>
  </conditionalFormatting>
  <conditionalFormatting sqref="I88:I89">
    <cfRule type="cellIs" dxfId="413" priority="36" operator="lessThan">
      <formula>0.1</formula>
    </cfRule>
  </conditionalFormatting>
  <conditionalFormatting sqref="I86:I87">
    <cfRule type="cellIs" dxfId="412" priority="37" operator="lessThan">
      <formula>0.1</formula>
    </cfRule>
  </conditionalFormatting>
  <conditionalFormatting sqref="H68:H72">
    <cfRule type="cellIs" dxfId="411" priority="38" operator="lessThan">
      <formula>0.1</formula>
    </cfRule>
  </conditionalFormatting>
  <conditionalFormatting sqref="I68:I72">
    <cfRule type="cellIs" dxfId="410" priority="39" operator="lessThan">
      <formula>0.1</formula>
    </cfRule>
  </conditionalFormatting>
  <conditionalFormatting sqref="I66:I67">
    <cfRule type="cellIs" dxfId="409" priority="40" operator="lessThan">
      <formula>0.1</formula>
    </cfRule>
  </conditionalFormatting>
  <conditionalFormatting sqref="I64:I65">
    <cfRule type="cellIs" dxfId="408" priority="41" operator="lessThan">
      <formula>0.1</formula>
    </cfRule>
  </conditionalFormatting>
  <conditionalFormatting sqref="H79:H83">
    <cfRule type="cellIs" dxfId="407" priority="42" operator="lessThan">
      <formula>0.1</formula>
    </cfRule>
  </conditionalFormatting>
  <conditionalFormatting sqref="I79:I83">
    <cfRule type="cellIs" dxfId="406" priority="43" operator="lessThan">
      <formula>0.1</formula>
    </cfRule>
  </conditionalFormatting>
  <conditionalFormatting sqref="I77:I78">
    <cfRule type="cellIs" dxfId="405" priority="44" operator="lessThan">
      <formula>0.1</formula>
    </cfRule>
  </conditionalFormatting>
  <conditionalFormatting sqref="I75:I76">
    <cfRule type="cellIs" dxfId="404" priority="45" operator="lessThan">
      <formula>0.1</formula>
    </cfRule>
  </conditionalFormatting>
  <conditionalFormatting sqref="H105:H109 H294:H297 H226:I229">
    <cfRule type="cellIs" dxfId="403" priority="46" operator="lessThan">
      <formula>0.1</formula>
    </cfRule>
  </conditionalFormatting>
  <conditionalFormatting sqref="H117:H121">
    <cfRule type="cellIs" dxfId="402" priority="47" operator="lessThan">
      <formula>0.1</formula>
    </cfRule>
  </conditionalFormatting>
  <conditionalFormatting sqref="I118:I121">
    <cfRule type="cellIs" dxfId="401" priority="48" operator="lessThan">
      <formula>0.1</formula>
    </cfRule>
  </conditionalFormatting>
  <conditionalFormatting sqref="I117">
    <cfRule type="cellIs" dxfId="400" priority="49" operator="lessThan">
      <formula>0.1</formula>
    </cfRule>
  </conditionalFormatting>
  <conditionalFormatting sqref="H194:H198">
    <cfRule type="cellIs" dxfId="399" priority="50" operator="lessThan">
      <formula>0.1</formula>
    </cfRule>
  </conditionalFormatting>
  <conditionalFormatting sqref="I196:I198">
    <cfRule type="cellIs" dxfId="398" priority="51" operator="lessThan">
      <formula>0.1</formula>
    </cfRule>
  </conditionalFormatting>
  <conditionalFormatting sqref="H211:H215">
    <cfRule type="cellIs" dxfId="397" priority="52" operator="lessThan">
      <formula>0.1</formula>
    </cfRule>
  </conditionalFormatting>
  <conditionalFormatting sqref="H222">
    <cfRule type="cellIs" dxfId="396" priority="53" operator="lessThan">
      <formula>0.1</formula>
    </cfRule>
  </conditionalFormatting>
  <conditionalFormatting sqref="H236:H240">
    <cfRule type="cellIs" dxfId="395" priority="54" operator="lessThan">
      <formula>0.1</formula>
    </cfRule>
  </conditionalFormatting>
  <conditionalFormatting sqref="H293">
    <cfRule type="cellIs" dxfId="394" priority="55" operator="lessThan">
      <formula>0.1</formula>
    </cfRule>
  </conditionalFormatting>
  <conditionalFormatting sqref="H225">
    <cfRule type="cellIs" dxfId="393" priority="56" operator="lessThan">
      <formula>0.1</formula>
    </cfRule>
  </conditionalFormatting>
  <conditionalFormatting sqref="I192:I193">
    <cfRule type="cellIs" dxfId="392" priority="57" operator="lessThan">
      <formula>0.1</formula>
    </cfRule>
  </conditionalFormatting>
  <conditionalFormatting sqref="I195">
    <cfRule type="cellIs" dxfId="391" priority="58" operator="lessThan">
      <formula>0.1</formula>
    </cfRule>
  </conditionalFormatting>
  <conditionalFormatting sqref="I194">
    <cfRule type="cellIs" dxfId="390" priority="59" operator="lessThan">
      <formula>0.1</formula>
    </cfRule>
  </conditionalFormatting>
  <conditionalFormatting sqref="I207:I215">
    <cfRule type="cellIs" dxfId="389" priority="60" operator="lessThan">
      <formula>0.1</formula>
    </cfRule>
  </conditionalFormatting>
  <conditionalFormatting sqref="I294:I295">
    <cfRule type="cellIs" dxfId="388" priority="61" operator="lessThan">
      <formula>0.1</formula>
    </cfRule>
  </conditionalFormatting>
  <conditionalFormatting sqref="I293">
    <cfRule type="cellIs" dxfId="387" priority="62" operator="lessThan">
      <formula>0.1</formula>
    </cfRule>
  </conditionalFormatting>
  <conditionalFormatting sqref="I296">
    <cfRule type="cellIs" dxfId="386" priority="63" operator="lessThan">
      <formula>0.1</formula>
    </cfRule>
  </conditionalFormatting>
  <conditionalFormatting sqref="I290:I292">
    <cfRule type="cellIs" dxfId="385" priority="64" operator="lessThan">
      <formula>0.1</formula>
    </cfRule>
  </conditionalFormatting>
  <conditionalFormatting sqref="I235:I240">
    <cfRule type="cellIs" dxfId="384" priority="65" operator="lessThan">
      <formula>0.1</formula>
    </cfRule>
  </conditionalFormatting>
  <conditionalFormatting sqref="I106">
    <cfRule type="cellIs" dxfId="383" priority="66" operator="lessThan">
      <formula>0.1</formula>
    </cfRule>
  </conditionalFormatting>
  <conditionalFormatting sqref="H247:H251">
    <cfRule type="cellIs" dxfId="382" priority="67" operator="lessThan">
      <formula>0.1</formula>
    </cfRule>
  </conditionalFormatting>
  <conditionalFormatting sqref="H258:H262">
    <cfRule type="cellIs" dxfId="381" priority="68" operator="lessThan">
      <formula>0.1</formula>
    </cfRule>
  </conditionalFormatting>
  <conditionalFormatting sqref="I245:I251">
    <cfRule type="cellIs" dxfId="380" priority="69" operator="lessThan">
      <formula>0.1</formula>
    </cfRule>
  </conditionalFormatting>
  <conditionalFormatting sqref="I317">
    <cfRule type="cellIs" dxfId="379" priority="70" operator="lessThan">
      <formula>0.1</formula>
    </cfRule>
  </conditionalFormatting>
  <conditionalFormatting sqref="I318">
    <cfRule type="cellIs" dxfId="378" priority="71" operator="lessThan">
      <formula>0.1</formula>
    </cfRule>
  </conditionalFormatting>
  <conditionalFormatting sqref="I306">
    <cfRule type="cellIs" dxfId="377" priority="72" operator="lessThan">
      <formula>0.1</formula>
    </cfRule>
  </conditionalFormatting>
  <conditionalFormatting sqref="I305">
    <cfRule type="cellIs" dxfId="376" priority="73" operator="lessThan">
      <formula>0.1</formula>
    </cfRule>
  </conditionalFormatting>
  <conditionalFormatting sqref="I312">
    <cfRule type="cellIs" dxfId="375" priority="74" operator="lessThan">
      <formula>0.1</formula>
    </cfRule>
  </conditionalFormatting>
  <conditionalFormatting sqref="I311">
    <cfRule type="cellIs" dxfId="374" priority="75" operator="lessThan">
      <formula>0.1</formula>
    </cfRule>
  </conditionalFormatting>
  <conditionalFormatting sqref="I323">
    <cfRule type="cellIs" dxfId="373" priority="76" operator="lessThan">
      <formula>0.1</formula>
    </cfRule>
  </conditionalFormatting>
  <conditionalFormatting sqref="I329">
    <cfRule type="cellIs" dxfId="372" priority="77" operator="lessThan">
      <formula>0.1</formula>
    </cfRule>
  </conditionalFormatting>
  <conditionalFormatting sqref="I244">
    <cfRule type="cellIs" dxfId="371" priority="78" operator="lessThan">
      <formula>0.1</formula>
    </cfRule>
  </conditionalFormatting>
  <conditionalFormatting sqref="I243">
    <cfRule type="cellIs" dxfId="370" priority="79" operator="lessThan">
      <formula>0.1</formula>
    </cfRule>
  </conditionalFormatting>
  <conditionalFormatting sqref="I256:I262">
    <cfRule type="cellIs" dxfId="369" priority="80" operator="lessThan">
      <formula>0.1</formula>
    </cfRule>
  </conditionalFormatting>
  <conditionalFormatting sqref="I268">
    <cfRule type="cellIs" dxfId="368" priority="81" operator="lessThan">
      <formula>0.1</formula>
    </cfRule>
  </conditionalFormatting>
  <conditionalFormatting sqref="I269:I270">
    <cfRule type="cellIs" dxfId="367" priority="82" operator="lessThan">
      <formula>0.1</formula>
    </cfRule>
  </conditionalFormatting>
  <conditionalFormatting sqref="I271">
    <cfRule type="cellIs" dxfId="366" priority="83" operator="lessThan">
      <formula>0.1</formula>
    </cfRule>
  </conditionalFormatting>
  <conditionalFormatting sqref="I272:I275">
    <cfRule type="cellIs" dxfId="365" priority="84" operator="lessThan">
      <formula>0.1</formula>
    </cfRule>
  </conditionalFormatting>
  <conditionalFormatting sqref="H271:H275">
    <cfRule type="cellIs" dxfId="364" priority="85" operator="lessThan">
      <formula>0.1</formula>
    </cfRule>
  </conditionalFormatting>
  <conditionalFormatting sqref="I267">
    <cfRule type="cellIs" dxfId="363" priority="86" operator="lessThan">
      <formula>0.1</formula>
    </cfRule>
  </conditionalFormatting>
  <conditionalFormatting sqref="I266">
    <cfRule type="cellIs" dxfId="362" priority="87" operator="lessThan">
      <formula>0.1</formula>
    </cfRule>
  </conditionalFormatting>
  <conditionalFormatting sqref="H283:H286">
    <cfRule type="cellIs" dxfId="361" priority="88" operator="lessThan">
      <formula>0.1</formula>
    </cfRule>
  </conditionalFormatting>
  <conditionalFormatting sqref="H282">
    <cfRule type="cellIs" dxfId="360" priority="89" operator="lessThan">
      <formula>0.1</formula>
    </cfRule>
  </conditionalFormatting>
  <conditionalFormatting sqref="I283:I284">
    <cfRule type="cellIs" dxfId="359" priority="90" operator="lessThan">
      <formula>0.1</formula>
    </cfRule>
  </conditionalFormatting>
  <conditionalFormatting sqref="I282">
    <cfRule type="cellIs" dxfId="358" priority="91" operator="lessThan">
      <formula>0.1</formula>
    </cfRule>
  </conditionalFormatting>
  <conditionalFormatting sqref="I285">
    <cfRule type="cellIs" dxfId="357" priority="92" operator="lessThan">
      <formula>0.1</formula>
    </cfRule>
  </conditionalFormatting>
  <conditionalFormatting sqref="I280:I281">
    <cfRule type="cellIs" dxfId="356" priority="93" operator="lessThan">
      <formula>0.1</formula>
    </cfRule>
  </conditionalFormatting>
  <conditionalFormatting sqref="I324">
    <cfRule type="cellIs" dxfId="355" priority="94" operator="lessThan">
      <formula>0.1</formula>
    </cfRule>
  </conditionalFormatting>
  <conditionalFormatting sqref="I279">
    <cfRule type="cellIs" dxfId="354" priority="95" operator="lessThan">
      <formula>0.1</formula>
    </cfRule>
  </conditionalFormatting>
  <conditionalFormatting sqref="I107:I109">
    <cfRule type="cellIs" dxfId="353" priority="96" operator="lessThan">
      <formula>0.1</formula>
    </cfRule>
  </conditionalFormatting>
  <conditionalFormatting sqref="I101:I105">
    <cfRule type="cellIs" dxfId="352" priority="97" operator="lessThan">
      <formula>0.1</formula>
    </cfRule>
  </conditionalFormatting>
  <conditionalFormatting sqref="I112:I116">
    <cfRule type="cellIs" dxfId="351" priority="98" operator="lessThan">
      <formula>0.1</formula>
    </cfRule>
  </conditionalFormatting>
  <conditionalFormatting sqref="I190:I191">
    <cfRule type="cellIs" dxfId="350" priority="99" operator="lessThan">
      <formula>0.1</formula>
    </cfRule>
  </conditionalFormatting>
  <conditionalFormatting sqref="I206">
    <cfRule type="cellIs" dxfId="349" priority="100" operator="lessThan">
      <formula>0.1</formula>
    </cfRule>
  </conditionalFormatting>
  <conditionalFormatting sqref="I218:I225">
    <cfRule type="cellIs" dxfId="348" priority="101" operator="lessThan">
      <formula>0.1</formula>
    </cfRule>
  </conditionalFormatting>
  <conditionalFormatting sqref="I232:I234">
    <cfRule type="cellIs" dxfId="347" priority="102" operator="lessThan">
      <formula>0.1</formula>
    </cfRule>
  </conditionalFormatting>
  <conditionalFormatting sqref="I254:I255">
    <cfRule type="cellIs" dxfId="346" priority="103" operator="lessThan">
      <formula>0.1</formula>
    </cfRule>
  </conditionalFormatting>
  <conditionalFormatting sqref="I265">
    <cfRule type="cellIs" dxfId="345" priority="104" operator="lessThan">
      <formula>0.1</formula>
    </cfRule>
  </conditionalFormatting>
  <conditionalFormatting sqref="I278">
    <cfRule type="cellIs" dxfId="344" priority="105" operator="lessThan">
      <formula>0.1</formula>
    </cfRule>
  </conditionalFormatting>
  <conditionalFormatting sqref="I286">
    <cfRule type="cellIs" dxfId="343" priority="106" operator="lessThan">
      <formula>0.1</formula>
    </cfRule>
  </conditionalFormatting>
  <conditionalFormatting sqref="I289">
    <cfRule type="cellIs" dxfId="342" priority="107" operator="lessThan">
      <formula>0.1</formula>
    </cfRule>
  </conditionalFormatting>
  <conditionalFormatting sqref="I297">
    <cfRule type="cellIs" dxfId="341" priority="108" operator="lessThan">
      <formula>0.1</formula>
    </cfRule>
  </conditionalFormatting>
  <conditionalFormatting sqref="I304">
    <cfRule type="cellIs" dxfId="340" priority="109" operator="lessThan">
      <formula>0.1</formula>
    </cfRule>
  </conditionalFormatting>
  <conditionalFormatting sqref="I310">
    <cfRule type="cellIs" dxfId="339" priority="110" operator="lessThan">
      <formula>0.1</formula>
    </cfRule>
  </conditionalFormatting>
  <conditionalFormatting sqref="I316">
    <cfRule type="cellIs" dxfId="338" priority="111" operator="lessThan">
      <formula>0.1</formula>
    </cfRule>
  </conditionalFormatting>
  <conditionalFormatting sqref="I322">
    <cfRule type="cellIs" dxfId="337" priority="112" operator="lessThan">
      <formula>0.1</formula>
    </cfRule>
  </conditionalFormatting>
  <conditionalFormatting sqref="I328">
    <cfRule type="cellIs" dxfId="336" priority="113" operator="lessThan">
      <formula>0.1</formula>
    </cfRule>
  </conditionalFormatting>
  <conditionalFormatting sqref="I139:I143">
    <cfRule type="cellIs" dxfId="335" priority="8" operator="lessThan">
      <formula>0.1</formula>
    </cfRule>
  </conditionalFormatting>
  <conditionalFormatting sqref="H139:H143">
    <cfRule type="cellIs" dxfId="334" priority="9" operator="lessThan">
      <formula>0.1</formula>
    </cfRule>
  </conditionalFormatting>
  <conditionalFormatting sqref="H172:H176">
    <cfRule type="cellIs" dxfId="333" priority="10" operator="lessThan">
      <formula>0.1</formula>
    </cfRule>
  </conditionalFormatting>
  <conditionalFormatting sqref="I168:I171">
    <cfRule type="cellIs" dxfId="332" priority="2" operator="lessThan">
      <formula>0.1</formula>
    </cfRule>
  </conditionalFormatting>
  <conditionalFormatting sqref="I179:I182">
    <cfRule type="cellIs" dxfId="331" priority="1" operator="lessThan">
      <formula>0.1</formula>
    </cfRule>
  </conditionalFormatting>
  <pageMargins left="0.7" right="0.7" top="0.75" bottom="0.75" header="0.3" footer="0.3"/>
  <pageSetup scale="6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FC56B-72CF-4B9E-9518-90CFF1A892C7}">
  <dimension ref="A1:X505"/>
  <sheetViews>
    <sheetView view="pageBreakPreview" topLeftCell="A345" zoomScaleNormal="100" zoomScaleSheetLayoutView="100" workbookViewId="0">
      <selection activeCell="G360" sqref="G360"/>
    </sheetView>
  </sheetViews>
  <sheetFormatPr baseColWidth="10" defaultRowHeight="12.75" x14ac:dyDescent="0.2"/>
  <sheetData>
    <row r="1" spans="1:24" ht="13.5" x14ac:dyDescent="0.25">
      <c r="A1" s="576" t="str">
        <f>Indice!$A$1</f>
        <v>OPTIMIZACIÓN DE SISTEMA DE ACUEDUCTO DE LA ZONA URBANA DEL MUNICIPIO DE VILLAVIEJA Y LOS CENTROS POBLADOS POTOSÍ, HATO NUEVO, POLONIA Y SAN ALFONSO DEL MUNICIPIO DE VILLAVIEJA, DEPARTAMENTO DEL HUILA</v>
      </c>
      <c r="B1" s="577"/>
      <c r="C1" s="577"/>
      <c r="D1" s="577"/>
      <c r="E1" s="577"/>
      <c r="F1" s="577"/>
      <c r="G1" s="577"/>
      <c r="H1" s="577"/>
      <c r="I1" s="577"/>
      <c r="J1" s="577"/>
      <c r="K1" s="577"/>
      <c r="L1" s="577"/>
      <c r="M1" s="577"/>
      <c r="N1" s="577"/>
      <c r="O1" s="577"/>
      <c r="P1" s="577"/>
      <c r="Q1" s="577"/>
      <c r="R1" s="577"/>
      <c r="S1" s="577"/>
      <c r="T1" s="577"/>
      <c r="U1" s="577"/>
      <c r="V1" s="578" t="s">
        <v>74</v>
      </c>
      <c r="W1" s="574"/>
      <c r="X1" s="171"/>
    </row>
    <row r="2" spans="1:24" ht="13.5" x14ac:dyDescent="0.25">
      <c r="A2" s="567"/>
      <c r="B2" s="568"/>
      <c r="C2" s="568"/>
      <c r="D2" s="568"/>
      <c r="E2" s="568"/>
      <c r="F2" s="568"/>
      <c r="G2" s="568"/>
      <c r="H2" s="568"/>
      <c r="I2" s="568"/>
      <c r="J2" s="568"/>
      <c r="K2" s="568"/>
      <c r="L2" s="568"/>
      <c r="M2" s="568"/>
      <c r="N2" s="568"/>
      <c r="O2" s="568"/>
      <c r="P2" s="568"/>
      <c r="Q2" s="568"/>
      <c r="R2" s="568"/>
      <c r="S2" s="568"/>
      <c r="T2" s="568"/>
      <c r="U2" s="568"/>
      <c r="V2" s="579">
        <f>Indice!$L$1</f>
        <v>46203</v>
      </c>
      <c r="W2" s="566"/>
      <c r="X2" s="171"/>
    </row>
    <row r="3" spans="1:24" ht="13.5" x14ac:dyDescent="0.25">
      <c r="A3" s="567"/>
      <c r="B3" s="577"/>
      <c r="C3" s="577"/>
      <c r="D3" s="577"/>
      <c r="E3" s="577"/>
      <c r="F3" s="577"/>
      <c r="G3" s="577"/>
      <c r="H3" s="577"/>
      <c r="I3" s="577"/>
      <c r="J3" s="577"/>
      <c r="K3" s="577"/>
      <c r="L3" s="577"/>
      <c r="M3" s="577"/>
      <c r="N3" s="577"/>
      <c r="O3" s="577"/>
      <c r="P3" s="577"/>
      <c r="Q3" s="577"/>
      <c r="R3" s="577"/>
      <c r="S3" s="577"/>
      <c r="T3" s="577"/>
      <c r="U3" s="577"/>
      <c r="V3" s="570"/>
      <c r="W3" s="572"/>
      <c r="X3" s="171"/>
    </row>
    <row r="4" spans="1:24" ht="13.5" x14ac:dyDescent="0.25">
      <c r="A4" s="171"/>
      <c r="B4" s="171"/>
      <c r="C4" s="171"/>
      <c r="D4" s="171"/>
      <c r="E4" s="171"/>
      <c r="F4" s="171"/>
      <c r="G4" s="171"/>
      <c r="H4" s="171"/>
      <c r="I4" s="171"/>
      <c r="J4" s="171"/>
      <c r="K4" s="171"/>
      <c r="L4" s="171"/>
      <c r="M4" s="171"/>
      <c r="N4" s="171"/>
      <c r="O4" s="171"/>
      <c r="P4" s="171"/>
      <c r="Q4" s="171"/>
      <c r="R4" s="171"/>
      <c r="S4" s="171"/>
      <c r="T4" s="171"/>
      <c r="U4" s="171"/>
      <c r="V4" s="171"/>
      <c r="W4" s="171"/>
      <c r="X4" s="171"/>
    </row>
    <row r="5" spans="1:24" ht="13.5" x14ac:dyDescent="0.25">
      <c r="A5" s="580" t="s">
        <v>2695</v>
      </c>
      <c r="B5" s="577"/>
      <c r="C5" s="577"/>
      <c r="D5" s="577"/>
      <c r="E5" s="577"/>
      <c r="F5" s="577"/>
      <c r="G5" s="577"/>
      <c r="H5" s="577"/>
      <c r="I5" s="577"/>
      <c r="J5" s="577"/>
      <c r="K5" s="577"/>
      <c r="L5" s="577"/>
      <c r="M5" s="577"/>
      <c r="N5" s="577"/>
      <c r="O5" s="577"/>
      <c r="P5" s="577"/>
      <c r="Q5" s="577"/>
      <c r="R5" s="577"/>
      <c r="S5" s="577"/>
      <c r="T5" s="577"/>
      <c r="U5" s="577"/>
      <c r="V5" s="577"/>
      <c r="W5" s="577"/>
      <c r="X5" s="171"/>
    </row>
    <row r="6" spans="1:24" ht="13.5" x14ac:dyDescent="0.25">
      <c r="A6" s="577"/>
      <c r="B6" s="577"/>
      <c r="C6" s="577"/>
      <c r="D6" s="577"/>
      <c r="E6" s="577"/>
      <c r="F6" s="577"/>
      <c r="G6" s="577"/>
      <c r="H6" s="577"/>
      <c r="I6" s="577"/>
      <c r="J6" s="577"/>
      <c r="K6" s="577"/>
      <c r="L6" s="577"/>
      <c r="M6" s="577"/>
      <c r="N6" s="577"/>
      <c r="O6" s="577"/>
      <c r="P6" s="577"/>
      <c r="Q6" s="577"/>
      <c r="R6" s="577"/>
      <c r="S6" s="577"/>
      <c r="T6" s="577"/>
      <c r="U6" s="577"/>
      <c r="V6" s="577"/>
      <c r="W6" s="577"/>
      <c r="X6" s="171"/>
    </row>
    <row r="7" spans="1:24" ht="13.5" x14ac:dyDescent="0.25">
      <c r="A7" s="171"/>
      <c r="B7" s="171"/>
      <c r="C7" s="171"/>
      <c r="D7" s="171"/>
      <c r="E7" s="172"/>
      <c r="F7" s="172"/>
      <c r="G7" s="172"/>
      <c r="H7" s="172"/>
      <c r="I7" s="581"/>
      <c r="J7" s="582"/>
      <c r="K7" s="173"/>
      <c r="L7" s="171"/>
      <c r="M7" s="171"/>
      <c r="N7" s="171"/>
      <c r="O7" s="171"/>
      <c r="P7" s="171"/>
      <c r="Q7" s="171"/>
      <c r="R7" s="171"/>
      <c r="S7" s="171"/>
      <c r="T7" s="171"/>
      <c r="U7" s="171"/>
      <c r="V7" s="171"/>
      <c r="W7" s="171"/>
      <c r="X7" s="171"/>
    </row>
    <row r="8" spans="1:24" ht="13.5" x14ac:dyDescent="0.25">
      <c r="A8" s="578" t="s">
        <v>76</v>
      </c>
      <c r="B8" s="582"/>
      <c r="C8" s="582"/>
      <c r="D8" s="582"/>
      <c r="E8" s="174" t="s">
        <v>77</v>
      </c>
      <c r="F8" s="583" t="s">
        <v>2576</v>
      </c>
      <c r="G8" s="572"/>
      <c r="H8" s="578" t="s">
        <v>2578</v>
      </c>
      <c r="I8" s="582"/>
      <c r="J8" s="582"/>
      <c r="K8" s="574"/>
      <c r="L8" s="578" t="s">
        <v>2579</v>
      </c>
      <c r="M8" s="582"/>
      <c r="N8" s="582"/>
      <c r="O8" s="574"/>
      <c r="P8" s="578" t="s">
        <v>2580</v>
      </c>
      <c r="Q8" s="582"/>
      <c r="R8" s="582"/>
      <c r="S8" s="574"/>
      <c r="T8" s="578" t="s">
        <v>2581</v>
      </c>
      <c r="U8" s="582"/>
      <c r="V8" s="582"/>
      <c r="W8" s="574"/>
      <c r="X8" s="171"/>
    </row>
    <row r="9" spans="1:24" ht="13.5" x14ac:dyDescent="0.25">
      <c r="A9" s="561" t="s">
        <v>283</v>
      </c>
      <c r="B9" s="564" t="s">
        <v>84</v>
      </c>
      <c r="C9" s="565"/>
      <c r="D9" s="566"/>
      <c r="E9" s="561" t="s">
        <v>934</v>
      </c>
      <c r="F9" s="573" t="s">
        <v>444</v>
      </c>
      <c r="G9" s="574"/>
      <c r="H9" s="175">
        <f>H10*H11*H12</f>
        <v>94.35</v>
      </c>
      <c r="I9" s="575"/>
      <c r="J9" s="565"/>
      <c r="K9" s="566"/>
      <c r="L9" s="176">
        <f>L10*L11*L12</f>
        <v>174.47</v>
      </c>
      <c r="M9" s="575"/>
      <c r="N9" s="565"/>
      <c r="O9" s="566"/>
      <c r="P9" s="175">
        <f>P10*P11*P12</f>
        <v>94.35</v>
      </c>
      <c r="Q9" s="584"/>
      <c r="R9" s="565"/>
      <c r="S9" s="566"/>
      <c r="T9" s="176">
        <f>(T10*T11*T12)</f>
        <v>174.47</v>
      </c>
      <c r="U9" s="585"/>
      <c r="V9" s="565"/>
      <c r="W9" s="566"/>
      <c r="X9" s="171"/>
    </row>
    <row r="10" spans="1:24" ht="13.5" x14ac:dyDescent="0.25">
      <c r="A10" s="562"/>
      <c r="B10" s="567"/>
      <c r="C10" s="568"/>
      <c r="D10" s="569"/>
      <c r="E10" s="562"/>
      <c r="F10" s="573" t="s">
        <v>453</v>
      </c>
      <c r="G10" s="574"/>
      <c r="H10" s="176">
        <v>1</v>
      </c>
      <c r="I10" s="567"/>
      <c r="J10" s="568"/>
      <c r="K10" s="569"/>
      <c r="L10" s="176">
        <v>1</v>
      </c>
      <c r="M10" s="567"/>
      <c r="N10" s="568"/>
      <c r="O10" s="569"/>
      <c r="P10" s="176">
        <v>1</v>
      </c>
      <c r="Q10" s="567"/>
      <c r="R10" s="568"/>
      <c r="S10" s="569"/>
      <c r="T10" s="176">
        <v>1</v>
      </c>
      <c r="U10" s="567"/>
      <c r="V10" s="568"/>
      <c r="W10" s="569"/>
      <c r="X10" s="171"/>
    </row>
    <row r="11" spans="1:24" ht="13.5" x14ac:dyDescent="0.25">
      <c r="A11" s="562"/>
      <c r="B11" s="567"/>
      <c r="C11" s="568"/>
      <c r="D11" s="569"/>
      <c r="E11" s="562"/>
      <c r="F11" s="573" t="s">
        <v>2583</v>
      </c>
      <c r="G11" s="574"/>
      <c r="H11" s="176">
        <v>8.5</v>
      </c>
      <c r="I11" s="567"/>
      <c r="J11" s="568"/>
      <c r="K11" s="569"/>
      <c r="L11" s="176">
        <v>14.6</v>
      </c>
      <c r="M11" s="567"/>
      <c r="N11" s="568"/>
      <c r="O11" s="569"/>
      <c r="P11" s="176">
        <v>8.5</v>
      </c>
      <c r="Q11" s="567"/>
      <c r="R11" s="568"/>
      <c r="S11" s="569"/>
      <c r="T11" s="176">
        <v>14.6</v>
      </c>
      <c r="U11" s="567"/>
      <c r="V11" s="568"/>
      <c r="W11" s="569"/>
      <c r="X11" s="171"/>
    </row>
    <row r="12" spans="1:24" ht="13.5" x14ac:dyDescent="0.25">
      <c r="A12" s="562"/>
      <c r="B12" s="567"/>
      <c r="C12" s="568"/>
      <c r="D12" s="569"/>
      <c r="E12" s="562"/>
      <c r="F12" s="573" t="s">
        <v>2584</v>
      </c>
      <c r="G12" s="574"/>
      <c r="H12" s="176">
        <v>11.1</v>
      </c>
      <c r="I12" s="567"/>
      <c r="J12" s="568"/>
      <c r="K12" s="569"/>
      <c r="L12" s="176">
        <v>11.95</v>
      </c>
      <c r="M12" s="567"/>
      <c r="N12" s="568"/>
      <c r="O12" s="569"/>
      <c r="P12" s="176">
        <v>11.1</v>
      </c>
      <c r="Q12" s="567"/>
      <c r="R12" s="568"/>
      <c r="S12" s="569"/>
      <c r="T12" s="176">
        <v>11.95</v>
      </c>
      <c r="U12" s="567"/>
      <c r="V12" s="568"/>
      <c r="W12" s="569"/>
      <c r="X12" s="171"/>
    </row>
    <row r="13" spans="1:24" ht="13.5" x14ac:dyDescent="0.25">
      <c r="A13" s="562"/>
      <c r="B13" s="567"/>
      <c r="C13" s="568"/>
      <c r="D13" s="569"/>
      <c r="E13" s="562"/>
      <c r="F13" s="573" t="s">
        <v>2585</v>
      </c>
      <c r="G13" s="574"/>
      <c r="H13" s="176"/>
      <c r="I13" s="567"/>
      <c r="J13" s="568"/>
      <c r="K13" s="569"/>
      <c r="L13" s="176"/>
      <c r="M13" s="567"/>
      <c r="N13" s="568"/>
      <c r="O13" s="569"/>
      <c r="P13" s="176"/>
      <c r="Q13" s="567"/>
      <c r="R13" s="568"/>
      <c r="S13" s="569"/>
      <c r="T13" s="176"/>
      <c r="U13" s="567"/>
      <c r="V13" s="568"/>
      <c r="W13" s="569"/>
      <c r="X13" s="171"/>
    </row>
    <row r="14" spans="1:24" ht="13.5" x14ac:dyDescent="0.25">
      <c r="A14" s="562"/>
      <c r="B14" s="567"/>
      <c r="C14" s="568"/>
      <c r="D14" s="569"/>
      <c r="E14" s="562"/>
      <c r="F14" s="573" t="s">
        <v>2586</v>
      </c>
      <c r="G14" s="574"/>
      <c r="H14" s="176"/>
      <c r="I14" s="567"/>
      <c r="J14" s="568"/>
      <c r="K14" s="569"/>
      <c r="L14" s="176"/>
      <c r="M14" s="567"/>
      <c r="N14" s="568"/>
      <c r="O14" s="569"/>
      <c r="P14" s="176"/>
      <c r="Q14" s="567"/>
      <c r="R14" s="568"/>
      <c r="S14" s="569"/>
      <c r="T14" s="176"/>
      <c r="U14" s="567"/>
      <c r="V14" s="568"/>
      <c r="W14" s="569"/>
      <c r="X14" s="171"/>
    </row>
    <row r="15" spans="1:24" ht="13.5" x14ac:dyDescent="0.25">
      <c r="A15" s="562"/>
      <c r="B15" s="567"/>
      <c r="C15" s="568"/>
      <c r="D15" s="569"/>
      <c r="E15" s="562"/>
      <c r="F15" s="573" t="s">
        <v>2587</v>
      </c>
      <c r="G15" s="574"/>
      <c r="H15" s="176"/>
      <c r="I15" s="567"/>
      <c r="J15" s="568"/>
      <c r="K15" s="569"/>
      <c r="L15" s="176"/>
      <c r="M15" s="567"/>
      <c r="N15" s="568"/>
      <c r="O15" s="569"/>
      <c r="P15" s="176"/>
      <c r="Q15" s="567"/>
      <c r="R15" s="568"/>
      <c r="S15" s="569"/>
      <c r="T15" s="176"/>
      <c r="U15" s="567"/>
      <c r="V15" s="568"/>
      <c r="W15" s="569"/>
      <c r="X15" s="171"/>
    </row>
    <row r="16" spans="1:24" ht="13.5" x14ac:dyDescent="0.25">
      <c r="A16" s="562"/>
      <c r="B16" s="567"/>
      <c r="C16" s="568"/>
      <c r="D16" s="569"/>
      <c r="E16" s="562"/>
      <c r="F16" s="573" t="s">
        <v>3188</v>
      </c>
      <c r="G16" s="574"/>
      <c r="H16" s="176"/>
      <c r="I16" s="567"/>
      <c r="J16" s="568"/>
      <c r="K16" s="569"/>
      <c r="L16" s="176"/>
      <c r="M16" s="567"/>
      <c r="N16" s="568"/>
      <c r="O16" s="569"/>
      <c r="P16" s="176"/>
      <c r="Q16" s="567"/>
      <c r="R16" s="568"/>
      <c r="S16" s="569"/>
      <c r="T16" s="176"/>
      <c r="U16" s="567"/>
      <c r="V16" s="568"/>
      <c r="W16" s="569"/>
      <c r="X16" s="171"/>
    </row>
    <row r="17" spans="1:24" ht="13.5" x14ac:dyDescent="0.25">
      <c r="A17" s="563"/>
      <c r="B17" s="570"/>
      <c r="C17" s="571"/>
      <c r="D17" s="572"/>
      <c r="E17" s="563"/>
      <c r="F17" s="573" t="s">
        <v>3189</v>
      </c>
      <c r="G17" s="574"/>
      <c r="H17" s="176"/>
      <c r="I17" s="570"/>
      <c r="J17" s="571"/>
      <c r="K17" s="572"/>
      <c r="L17" s="176"/>
      <c r="M17" s="570"/>
      <c r="N17" s="571"/>
      <c r="O17" s="572"/>
      <c r="P17" s="176"/>
      <c r="Q17" s="570"/>
      <c r="R17" s="571"/>
      <c r="S17" s="572"/>
      <c r="T17" s="176"/>
      <c r="U17" s="570"/>
      <c r="V17" s="571"/>
      <c r="W17" s="572"/>
      <c r="X17" s="171"/>
    </row>
    <row r="18" spans="1:24" ht="13.5" x14ac:dyDescent="0.25">
      <c r="A18" s="177"/>
      <c r="B18" s="178"/>
      <c r="C18" s="178"/>
      <c r="D18" s="178"/>
      <c r="E18" s="179"/>
      <c r="F18" s="173"/>
      <c r="G18" s="171"/>
      <c r="H18" s="171"/>
      <c r="I18" s="171"/>
      <c r="J18" s="171"/>
      <c r="K18" s="171"/>
      <c r="L18" s="171"/>
      <c r="M18" s="171"/>
      <c r="N18" s="171"/>
      <c r="O18" s="171"/>
      <c r="P18" s="171"/>
      <c r="Q18" s="171"/>
      <c r="R18" s="171"/>
      <c r="S18" s="171"/>
      <c r="T18" s="171"/>
      <c r="U18" s="171"/>
      <c r="V18" s="171"/>
      <c r="W18" s="171"/>
      <c r="X18" s="171"/>
    </row>
    <row r="19" spans="1:24" ht="13.5" x14ac:dyDescent="0.25">
      <c r="A19" s="578" t="s">
        <v>76</v>
      </c>
      <c r="B19" s="582"/>
      <c r="C19" s="582"/>
      <c r="D19" s="582"/>
      <c r="E19" s="174" t="s">
        <v>77</v>
      </c>
      <c r="F19" s="583" t="s">
        <v>2576</v>
      </c>
      <c r="G19" s="572"/>
      <c r="H19" s="578" t="s">
        <v>2578</v>
      </c>
      <c r="I19" s="582"/>
      <c r="J19" s="582"/>
      <c r="K19" s="574"/>
      <c r="L19" s="578" t="s">
        <v>2579</v>
      </c>
      <c r="M19" s="582"/>
      <c r="N19" s="582"/>
      <c r="O19" s="574"/>
      <c r="P19" s="578" t="s">
        <v>2580</v>
      </c>
      <c r="Q19" s="582"/>
      <c r="R19" s="582"/>
      <c r="S19" s="574"/>
      <c r="T19" s="578" t="s">
        <v>2581</v>
      </c>
      <c r="U19" s="582"/>
      <c r="V19" s="582"/>
      <c r="W19" s="574"/>
      <c r="X19" s="171"/>
    </row>
    <row r="20" spans="1:24" ht="13.5" x14ac:dyDescent="0.25">
      <c r="A20" s="561" t="s">
        <v>2696</v>
      </c>
      <c r="B20" s="564" t="s">
        <v>161</v>
      </c>
      <c r="C20" s="565"/>
      <c r="D20" s="566"/>
      <c r="E20" s="561" t="s">
        <v>258</v>
      </c>
      <c r="F20" s="573" t="s">
        <v>444</v>
      </c>
      <c r="G20" s="574"/>
      <c r="H20" s="175">
        <f>(H28*H25)</f>
        <v>36.697044733077924</v>
      </c>
      <c r="I20" s="575"/>
      <c r="J20" s="565"/>
      <c r="K20" s="566"/>
      <c r="L20" s="175">
        <f>+L28*L25</f>
        <v>53.802746694229199</v>
      </c>
      <c r="M20" s="575"/>
      <c r="N20" s="565"/>
      <c r="O20" s="566"/>
      <c r="P20" s="175">
        <f>+P28*P25</f>
        <v>36.697044733077924</v>
      </c>
      <c r="Q20" s="584"/>
      <c r="R20" s="565"/>
      <c r="S20" s="566"/>
      <c r="T20" s="175">
        <f>+T28*T25</f>
        <v>53.802746694229199</v>
      </c>
      <c r="U20" s="585"/>
      <c r="V20" s="565"/>
      <c r="W20" s="566"/>
      <c r="X20" s="171"/>
    </row>
    <row r="21" spans="1:24" ht="13.5" x14ac:dyDescent="0.25">
      <c r="A21" s="562"/>
      <c r="B21" s="567"/>
      <c r="C21" s="568"/>
      <c r="D21" s="569"/>
      <c r="E21" s="562"/>
      <c r="F21" s="573" t="s">
        <v>453</v>
      </c>
      <c r="G21" s="574"/>
      <c r="H21" s="176">
        <v>1</v>
      </c>
      <c r="I21" s="567"/>
      <c r="J21" s="568"/>
      <c r="K21" s="569"/>
      <c r="L21" s="176">
        <v>1</v>
      </c>
      <c r="M21" s="567"/>
      <c r="N21" s="568"/>
      <c r="O21" s="569"/>
      <c r="P21" s="176">
        <v>1</v>
      </c>
      <c r="Q21" s="567"/>
      <c r="R21" s="568"/>
      <c r="S21" s="569"/>
      <c r="T21" s="176">
        <v>1</v>
      </c>
      <c r="U21" s="567"/>
      <c r="V21" s="568"/>
      <c r="W21" s="569"/>
      <c r="X21" s="171"/>
    </row>
    <row r="22" spans="1:24" ht="13.5" x14ac:dyDescent="0.25">
      <c r="A22" s="562"/>
      <c r="B22" s="567"/>
      <c r="C22" s="568"/>
      <c r="D22" s="569"/>
      <c r="E22" s="562"/>
      <c r="F22" s="573" t="s">
        <v>2697</v>
      </c>
      <c r="G22" s="574"/>
      <c r="H22" s="176">
        <f>9.1*7.5</f>
        <v>68.25</v>
      </c>
      <c r="I22" s="567"/>
      <c r="J22" s="568"/>
      <c r="K22" s="569"/>
      <c r="L22" s="176">
        <f>10.6*7.6</f>
        <v>80.559999999999988</v>
      </c>
      <c r="M22" s="567"/>
      <c r="N22" s="568"/>
      <c r="O22" s="569"/>
      <c r="P22" s="176">
        <f>9.1*7.5</f>
        <v>68.25</v>
      </c>
      <c r="Q22" s="567"/>
      <c r="R22" s="568"/>
      <c r="S22" s="569"/>
      <c r="T22" s="176">
        <f>10.6*7.6</f>
        <v>80.559999999999988</v>
      </c>
      <c r="U22" s="567"/>
      <c r="V22" s="568"/>
      <c r="W22" s="569"/>
      <c r="X22" s="171"/>
    </row>
    <row r="23" spans="1:24" ht="13.5" x14ac:dyDescent="0.25">
      <c r="A23" s="562"/>
      <c r="B23" s="567"/>
      <c r="C23" s="568"/>
      <c r="D23" s="569"/>
      <c r="E23" s="562"/>
      <c r="F23" s="573" t="s">
        <v>2698</v>
      </c>
      <c r="G23" s="574"/>
      <c r="H23" s="176">
        <f>13.1*11.7</f>
        <v>153.26999999999998</v>
      </c>
      <c r="I23" s="567"/>
      <c r="J23" s="568"/>
      <c r="K23" s="569"/>
      <c r="L23" s="176">
        <f>15.4*16</f>
        <v>246.4</v>
      </c>
      <c r="M23" s="567"/>
      <c r="N23" s="568"/>
      <c r="O23" s="569"/>
      <c r="P23" s="176">
        <f>13.1*11.7</f>
        <v>153.26999999999998</v>
      </c>
      <c r="Q23" s="567"/>
      <c r="R23" s="568"/>
      <c r="S23" s="569"/>
      <c r="T23" s="176">
        <f>15.4*16</f>
        <v>246.4</v>
      </c>
      <c r="U23" s="567"/>
      <c r="V23" s="568"/>
      <c r="W23" s="569"/>
      <c r="X23" s="171"/>
    </row>
    <row r="24" spans="1:24" ht="13.5" x14ac:dyDescent="0.25">
      <c r="A24" s="562"/>
      <c r="B24" s="567"/>
      <c r="C24" s="568"/>
      <c r="D24" s="569"/>
      <c r="E24" s="562"/>
      <c r="F24" s="573" t="s">
        <v>2585</v>
      </c>
      <c r="G24" s="574"/>
      <c r="H24" s="176">
        <v>3.4</v>
      </c>
      <c r="I24" s="567"/>
      <c r="J24" s="568"/>
      <c r="K24" s="569"/>
      <c r="L24" s="176">
        <v>3.45</v>
      </c>
      <c r="M24" s="567"/>
      <c r="N24" s="568"/>
      <c r="O24" s="569"/>
      <c r="P24" s="176">
        <v>3.4</v>
      </c>
      <c r="Q24" s="567"/>
      <c r="R24" s="568"/>
      <c r="S24" s="569"/>
      <c r="T24" s="176">
        <v>3.45</v>
      </c>
      <c r="U24" s="567"/>
      <c r="V24" s="568"/>
      <c r="W24" s="569"/>
      <c r="X24" s="171"/>
    </row>
    <row r="25" spans="1:24" ht="13.5" x14ac:dyDescent="0.25">
      <c r="A25" s="562"/>
      <c r="B25" s="567"/>
      <c r="C25" s="568"/>
      <c r="D25" s="569"/>
      <c r="E25" s="562"/>
      <c r="F25" s="573" t="s">
        <v>24</v>
      </c>
      <c r="G25" s="574"/>
      <c r="H25" s="180">
        <v>0.1</v>
      </c>
      <c r="I25" s="567"/>
      <c r="J25" s="568"/>
      <c r="K25" s="569"/>
      <c r="L25" s="180">
        <v>0.1</v>
      </c>
      <c r="M25" s="567"/>
      <c r="N25" s="568"/>
      <c r="O25" s="569"/>
      <c r="P25" s="180">
        <v>0.1</v>
      </c>
      <c r="Q25" s="567"/>
      <c r="R25" s="568"/>
      <c r="S25" s="569"/>
      <c r="T25" s="180">
        <v>0.1</v>
      </c>
      <c r="U25" s="567"/>
      <c r="V25" s="568"/>
      <c r="W25" s="569"/>
      <c r="X25" s="171"/>
    </row>
    <row r="26" spans="1:24" ht="13.5" x14ac:dyDescent="0.25">
      <c r="A26" s="562"/>
      <c r="B26" s="567"/>
      <c r="C26" s="568"/>
      <c r="D26" s="569"/>
      <c r="E26" s="562"/>
      <c r="F26" s="573" t="s">
        <v>2587</v>
      </c>
      <c r="G26" s="574"/>
      <c r="H26" s="176"/>
      <c r="I26" s="567"/>
      <c r="J26" s="568"/>
      <c r="K26" s="569"/>
      <c r="L26" s="176"/>
      <c r="M26" s="567"/>
      <c r="N26" s="568"/>
      <c r="O26" s="569"/>
      <c r="P26" s="176"/>
      <c r="Q26" s="567"/>
      <c r="R26" s="568"/>
      <c r="S26" s="569"/>
      <c r="T26" s="176"/>
      <c r="U26" s="567"/>
      <c r="V26" s="568"/>
      <c r="W26" s="569"/>
      <c r="X26" s="171"/>
    </row>
    <row r="27" spans="1:24" ht="13.5" x14ac:dyDescent="0.25">
      <c r="A27" s="562"/>
      <c r="B27" s="567"/>
      <c r="C27" s="568"/>
      <c r="D27" s="569"/>
      <c r="E27" s="562"/>
      <c r="F27" s="573" t="s">
        <v>3188</v>
      </c>
      <c r="G27" s="574"/>
      <c r="H27" s="176"/>
      <c r="I27" s="567"/>
      <c r="J27" s="568"/>
      <c r="K27" s="569"/>
      <c r="L27" s="176"/>
      <c r="M27" s="567"/>
      <c r="N27" s="568"/>
      <c r="O27" s="569"/>
      <c r="P27" s="176"/>
      <c r="Q27" s="567"/>
      <c r="R27" s="568"/>
      <c r="S27" s="569"/>
      <c r="T27" s="176"/>
      <c r="U27" s="567"/>
      <c r="V27" s="568"/>
      <c r="W27" s="569"/>
      <c r="X27" s="171"/>
    </row>
    <row r="28" spans="1:24" ht="13.5" x14ac:dyDescent="0.25">
      <c r="A28" s="563"/>
      <c r="B28" s="570"/>
      <c r="C28" s="571"/>
      <c r="D28" s="572"/>
      <c r="E28" s="563"/>
      <c r="F28" s="573" t="s">
        <v>3189</v>
      </c>
      <c r="G28" s="574"/>
      <c r="H28" s="175">
        <f>+(H24/3)*((H23+H22+(SQRT(H23*H22))))</f>
        <v>366.97044733077922</v>
      </c>
      <c r="I28" s="570"/>
      <c r="J28" s="571"/>
      <c r="K28" s="572"/>
      <c r="L28" s="175">
        <f>+(L24/3)*((L23+L22+(SQRT(L23*L22))))</f>
        <v>538.02746694229199</v>
      </c>
      <c r="M28" s="570"/>
      <c r="N28" s="571"/>
      <c r="O28" s="572"/>
      <c r="P28" s="175">
        <f>+(P24/3)*((P23+P22+(SQRT(P23*P22))))</f>
        <v>366.97044733077922</v>
      </c>
      <c r="Q28" s="570"/>
      <c r="R28" s="571"/>
      <c r="S28" s="572"/>
      <c r="T28" s="175">
        <f>+(T24/3)*((T23+T22+(SQRT(T23*T22))))</f>
        <v>538.02746694229199</v>
      </c>
      <c r="U28" s="570"/>
      <c r="V28" s="571"/>
      <c r="W28" s="572"/>
      <c r="X28" s="171"/>
    </row>
    <row r="29" spans="1:24" ht="13.5" x14ac:dyDescent="0.25">
      <c r="A29" s="177"/>
      <c r="B29" s="178"/>
      <c r="C29" s="178"/>
      <c r="D29" s="178"/>
      <c r="E29" s="179"/>
      <c r="F29" s="173"/>
      <c r="G29" s="171"/>
      <c r="H29" s="171"/>
      <c r="I29" s="171"/>
      <c r="J29" s="171"/>
      <c r="K29" s="171"/>
      <c r="L29" s="171"/>
      <c r="M29" s="171"/>
      <c r="N29" s="171"/>
      <c r="O29" s="171"/>
      <c r="P29" s="171"/>
      <c r="Q29" s="171"/>
      <c r="R29" s="171"/>
      <c r="S29" s="171"/>
      <c r="T29" s="171"/>
      <c r="U29" s="171"/>
      <c r="V29" s="171"/>
      <c r="W29" s="171"/>
      <c r="X29" s="171"/>
    </row>
    <row r="30" spans="1:24" ht="13.5" x14ac:dyDescent="0.25">
      <c r="A30" s="578" t="s">
        <v>76</v>
      </c>
      <c r="B30" s="582"/>
      <c r="C30" s="582"/>
      <c r="D30" s="582"/>
      <c r="E30" s="174" t="s">
        <v>77</v>
      </c>
      <c r="F30" s="583" t="s">
        <v>2576</v>
      </c>
      <c r="G30" s="572"/>
      <c r="H30" s="578" t="s">
        <v>2578</v>
      </c>
      <c r="I30" s="582"/>
      <c r="J30" s="582"/>
      <c r="K30" s="574"/>
      <c r="L30" s="578" t="s">
        <v>2579</v>
      </c>
      <c r="M30" s="582"/>
      <c r="N30" s="582"/>
      <c r="O30" s="574"/>
      <c r="P30" s="578" t="s">
        <v>2580</v>
      </c>
      <c r="Q30" s="582"/>
      <c r="R30" s="582"/>
      <c r="S30" s="574"/>
      <c r="T30" s="578" t="s">
        <v>2581</v>
      </c>
      <c r="U30" s="582"/>
      <c r="V30" s="582"/>
      <c r="W30" s="574"/>
      <c r="X30" s="171"/>
    </row>
    <row r="31" spans="1:24" ht="13.5" x14ac:dyDescent="0.25">
      <c r="A31" s="561" t="s">
        <v>285</v>
      </c>
      <c r="B31" s="564" t="s">
        <v>286</v>
      </c>
      <c r="C31" s="565"/>
      <c r="D31" s="566"/>
      <c r="E31" s="561" t="s">
        <v>258</v>
      </c>
      <c r="F31" s="573" t="s">
        <v>444</v>
      </c>
      <c r="G31" s="574"/>
      <c r="H31" s="175">
        <f>+H39*H36</f>
        <v>330.27340259770131</v>
      </c>
      <c r="I31" s="575"/>
      <c r="J31" s="565"/>
      <c r="K31" s="566"/>
      <c r="L31" s="175">
        <f>+L39*L36</f>
        <v>484.22472024806279</v>
      </c>
      <c r="M31" s="575"/>
      <c r="N31" s="565"/>
      <c r="O31" s="566"/>
      <c r="P31" s="175">
        <f>+P39*P36</f>
        <v>330.27340259770131</v>
      </c>
      <c r="Q31" s="584"/>
      <c r="R31" s="565"/>
      <c r="S31" s="566"/>
      <c r="T31" s="175">
        <f>+T39*T36</f>
        <v>484.22472024806279</v>
      </c>
      <c r="U31" s="585"/>
      <c r="V31" s="565"/>
      <c r="W31" s="566"/>
      <c r="X31" s="171"/>
    </row>
    <row r="32" spans="1:24" ht="13.5" x14ac:dyDescent="0.25">
      <c r="A32" s="562"/>
      <c r="B32" s="567"/>
      <c r="C32" s="568"/>
      <c r="D32" s="569"/>
      <c r="E32" s="562"/>
      <c r="F32" s="573" t="s">
        <v>453</v>
      </c>
      <c r="G32" s="574"/>
      <c r="H32" s="176">
        <v>1</v>
      </c>
      <c r="I32" s="567"/>
      <c r="J32" s="568"/>
      <c r="K32" s="569"/>
      <c r="L32" s="176">
        <v>1</v>
      </c>
      <c r="M32" s="567"/>
      <c r="N32" s="568"/>
      <c r="O32" s="569"/>
      <c r="P32" s="176">
        <v>1</v>
      </c>
      <c r="Q32" s="567"/>
      <c r="R32" s="568"/>
      <c r="S32" s="569"/>
      <c r="T32" s="176">
        <v>1</v>
      </c>
      <c r="U32" s="567"/>
      <c r="V32" s="568"/>
      <c r="W32" s="569"/>
      <c r="X32" s="171"/>
    </row>
    <row r="33" spans="1:24" ht="13.5" x14ac:dyDescent="0.25">
      <c r="A33" s="562"/>
      <c r="B33" s="567"/>
      <c r="C33" s="568"/>
      <c r="D33" s="569"/>
      <c r="E33" s="562"/>
      <c r="F33" s="573" t="s">
        <v>2697</v>
      </c>
      <c r="G33" s="574"/>
      <c r="H33" s="176">
        <f>9.1*7.5</f>
        <v>68.25</v>
      </c>
      <c r="I33" s="567"/>
      <c r="J33" s="568"/>
      <c r="K33" s="569"/>
      <c r="L33" s="176">
        <f>10.6*7.6</f>
        <v>80.559999999999988</v>
      </c>
      <c r="M33" s="567"/>
      <c r="N33" s="568"/>
      <c r="O33" s="569"/>
      <c r="P33" s="176">
        <f>9.1*7.5</f>
        <v>68.25</v>
      </c>
      <c r="Q33" s="567"/>
      <c r="R33" s="568"/>
      <c r="S33" s="569"/>
      <c r="T33" s="176">
        <f>10.6*7.6</f>
        <v>80.559999999999988</v>
      </c>
      <c r="U33" s="567"/>
      <c r="V33" s="568"/>
      <c r="W33" s="569"/>
      <c r="X33" s="171"/>
    </row>
    <row r="34" spans="1:24" ht="13.5" x14ac:dyDescent="0.25">
      <c r="A34" s="562"/>
      <c r="B34" s="567"/>
      <c r="C34" s="568"/>
      <c r="D34" s="569"/>
      <c r="E34" s="562"/>
      <c r="F34" s="573" t="s">
        <v>2698</v>
      </c>
      <c r="G34" s="574"/>
      <c r="H34" s="176">
        <f>13.1*11.7</f>
        <v>153.26999999999998</v>
      </c>
      <c r="I34" s="567"/>
      <c r="J34" s="568"/>
      <c r="K34" s="569"/>
      <c r="L34" s="176">
        <f>15.4*16</f>
        <v>246.4</v>
      </c>
      <c r="M34" s="567"/>
      <c r="N34" s="568"/>
      <c r="O34" s="569"/>
      <c r="P34" s="176">
        <f>13.1*11.7</f>
        <v>153.26999999999998</v>
      </c>
      <c r="Q34" s="567"/>
      <c r="R34" s="568"/>
      <c r="S34" s="569"/>
      <c r="T34" s="176">
        <f>15.4*16</f>
        <v>246.4</v>
      </c>
      <c r="U34" s="567"/>
      <c r="V34" s="568"/>
      <c r="W34" s="569"/>
      <c r="X34" s="171"/>
    </row>
    <row r="35" spans="1:24" ht="13.5" x14ac:dyDescent="0.25">
      <c r="A35" s="562"/>
      <c r="B35" s="567"/>
      <c r="C35" s="568"/>
      <c r="D35" s="569"/>
      <c r="E35" s="562"/>
      <c r="F35" s="573" t="s">
        <v>2585</v>
      </c>
      <c r="G35" s="574"/>
      <c r="H35" s="176">
        <v>3.4</v>
      </c>
      <c r="I35" s="567"/>
      <c r="J35" s="568"/>
      <c r="K35" s="569"/>
      <c r="L35" s="176">
        <v>3.45</v>
      </c>
      <c r="M35" s="567"/>
      <c r="N35" s="568"/>
      <c r="O35" s="569"/>
      <c r="P35" s="176">
        <v>3.4</v>
      </c>
      <c r="Q35" s="567"/>
      <c r="R35" s="568"/>
      <c r="S35" s="569"/>
      <c r="T35" s="176">
        <v>3.45</v>
      </c>
      <c r="U35" s="567"/>
      <c r="V35" s="568"/>
      <c r="W35" s="569"/>
      <c r="X35" s="171"/>
    </row>
    <row r="36" spans="1:24" ht="13.5" x14ac:dyDescent="0.25">
      <c r="A36" s="562"/>
      <c r="B36" s="567"/>
      <c r="C36" s="568"/>
      <c r="D36" s="569"/>
      <c r="E36" s="562"/>
      <c r="F36" s="573" t="s">
        <v>24</v>
      </c>
      <c r="G36" s="574"/>
      <c r="H36" s="180">
        <v>0.9</v>
      </c>
      <c r="I36" s="567"/>
      <c r="J36" s="568"/>
      <c r="K36" s="569"/>
      <c r="L36" s="180">
        <v>0.9</v>
      </c>
      <c r="M36" s="567"/>
      <c r="N36" s="568"/>
      <c r="O36" s="569"/>
      <c r="P36" s="180">
        <v>0.9</v>
      </c>
      <c r="Q36" s="567"/>
      <c r="R36" s="568"/>
      <c r="S36" s="569"/>
      <c r="T36" s="180">
        <v>0.9</v>
      </c>
      <c r="U36" s="567"/>
      <c r="V36" s="568"/>
      <c r="W36" s="569"/>
      <c r="X36" s="171"/>
    </row>
    <row r="37" spans="1:24" ht="13.5" x14ac:dyDescent="0.25">
      <c r="A37" s="562"/>
      <c r="B37" s="567"/>
      <c r="C37" s="568"/>
      <c r="D37" s="569"/>
      <c r="E37" s="562"/>
      <c r="F37" s="573" t="s">
        <v>2587</v>
      </c>
      <c r="G37" s="574"/>
      <c r="H37" s="176"/>
      <c r="I37" s="567"/>
      <c r="J37" s="568"/>
      <c r="K37" s="569"/>
      <c r="L37" s="176"/>
      <c r="M37" s="567"/>
      <c r="N37" s="568"/>
      <c r="O37" s="569"/>
      <c r="P37" s="176"/>
      <c r="Q37" s="567"/>
      <c r="R37" s="568"/>
      <c r="S37" s="569"/>
      <c r="T37" s="176"/>
      <c r="U37" s="567"/>
      <c r="V37" s="568"/>
      <c r="W37" s="569"/>
      <c r="X37" s="171"/>
    </row>
    <row r="38" spans="1:24" ht="13.5" x14ac:dyDescent="0.25">
      <c r="A38" s="562"/>
      <c r="B38" s="567"/>
      <c r="C38" s="568"/>
      <c r="D38" s="569"/>
      <c r="E38" s="562"/>
      <c r="F38" s="573" t="s">
        <v>3188</v>
      </c>
      <c r="G38" s="574"/>
      <c r="H38" s="176"/>
      <c r="I38" s="567"/>
      <c r="J38" s="568"/>
      <c r="K38" s="569"/>
      <c r="L38" s="176"/>
      <c r="M38" s="567"/>
      <c r="N38" s="568"/>
      <c r="O38" s="569"/>
      <c r="P38" s="176"/>
      <c r="Q38" s="567"/>
      <c r="R38" s="568"/>
      <c r="S38" s="569"/>
      <c r="T38" s="176"/>
      <c r="U38" s="567"/>
      <c r="V38" s="568"/>
      <c r="W38" s="569"/>
      <c r="X38" s="171"/>
    </row>
    <row r="39" spans="1:24" ht="13.5" x14ac:dyDescent="0.25">
      <c r="A39" s="563"/>
      <c r="B39" s="570"/>
      <c r="C39" s="571"/>
      <c r="D39" s="572"/>
      <c r="E39" s="563"/>
      <c r="F39" s="573" t="s">
        <v>3189</v>
      </c>
      <c r="G39" s="574"/>
      <c r="H39" s="175">
        <f>+(H35/3)*((H34+H33+(SQRT(H34*H33))))</f>
        <v>366.97044733077922</v>
      </c>
      <c r="I39" s="570"/>
      <c r="J39" s="571"/>
      <c r="K39" s="572"/>
      <c r="L39" s="175">
        <f>+(L35/3)*((L34+L33+(SQRT(L34*L33))))</f>
        <v>538.02746694229199</v>
      </c>
      <c r="M39" s="570"/>
      <c r="N39" s="571"/>
      <c r="O39" s="572"/>
      <c r="P39" s="175">
        <f>+(P35/3)*((P34+P33+(SQRT(P34*P33))))</f>
        <v>366.97044733077922</v>
      </c>
      <c r="Q39" s="570"/>
      <c r="R39" s="571"/>
      <c r="S39" s="572"/>
      <c r="T39" s="175">
        <f>+(T35/3)*((T34+T33+(SQRT(T34*T33))))</f>
        <v>538.02746694229199</v>
      </c>
      <c r="U39" s="570"/>
      <c r="V39" s="571"/>
      <c r="W39" s="572"/>
      <c r="X39" s="171"/>
    </row>
    <row r="40" spans="1:24" ht="13.5" x14ac:dyDescent="0.25">
      <c r="A40" s="177"/>
      <c r="B40" s="178"/>
      <c r="C40" s="178"/>
      <c r="D40" s="178"/>
      <c r="E40" s="179"/>
      <c r="F40" s="173"/>
      <c r="G40" s="171"/>
      <c r="H40" s="171"/>
      <c r="I40" s="171"/>
      <c r="J40" s="171"/>
      <c r="K40" s="171"/>
      <c r="L40" s="171"/>
      <c r="M40" s="171"/>
      <c r="N40" s="171"/>
      <c r="O40" s="171"/>
      <c r="P40" s="171"/>
      <c r="Q40" s="171"/>
      <c r="R40" s="171"/>
      <c r="S40" s="171"/>
      <c r="T40" s="171"/>
      <c r="U40" s="171"/>
      <c r="V40" s="171"/>
      <c r="W40" s="171"/>
      <c r="X40" s="171"/>
    </row>
    <row r="41" spans="1:24" ht="13.5" x14ac:dyDescent="0.25">
      <c r="A41" s="578" t="s">
        <v>76</v>
      </c>
      <c r="B41" s="582"/>
      <c r="C41" s="582"/>
      <c r="D41" s="582"/>
      <c r="E41" s="174" t="s">
        <v>77</v>
      </c>
      <c r="F41" s="583" t="s">
        <v>2576</v>
      </c>
      <c r="G41" s="572"/>
      <c r="H41" s="578" t="s">
        <v>2578</v>
      </c>
      <c r="I41" s="582"/>
      <c r="J41" s="582"/>
      <c r="K41" s="574"/>
      <c r="L41" s="578" t="s">
        <v>2579</v>
      </c>
      <c r="M41" s="582"/>
      <c r="N41" s="582"/>
      <c r="O41" s="574"/>
      <c r="P41" s="578" t="s">
        <v>2580</v>
      </c>
      <c r="Q41" s="582"/>
      <c r="R41" s="582"/>
      <c r="S41" s="574"/>
      <c r="T41" s="578" t="s">
        <v>2581</v>
      </c>
      <c r="U41" s="582"/>
      <c r="V41" s="582"/>
      <c r="W41" s="574"/>
      <c r="X41" s="171"/>
    </row>
    <row r="42" spans="1:24" ht="13.5" x14ac:dyDescent="0.25">
      <c r="A42" s="561" t="s">
        <v>287</v>
      </c>
      <c r="B42" s="564" t="s">
        <v>288</v>
      </c>
      <c r="C42" s="565"/>
      <c r="D42" s="566"/>
      <c r="E42" s="561" t="s">
        <v>934</v>
      </c>
      <c r="F42" s="573" t="s">
        <v>444</v>
      </c>
      <c r="G42" s="574"/>
      <c r="H42" s="175">
        <f>+H49</f>
        <v>69.44</v>
      </c>
      <c r="I42" s="575"/>
      <c r="J42" s="565"/>
      <c r="K42" s="566"/>
      <c r="L42" s="176">
        <f>+L49</f>
        <v>103.61999999999999</v>
      </c>
      <c r="M42" s="575"/>
      <c r="N42" s="565"/>
      <c r="O42" s="566"/>
      <c r="P42" s="175">
        <f>+P49</f>
        <v>69.44</v>
      </c>
      <c r="Q42" s="584"/>
      <c r="R42" s="565"/>
      <c r="S42" s="566"/>
      <c r="T42" s="176">
        <f>+T49</f>
        <v>103.61999999999999</v>
      </c>
      <c r="U42" s="585"/>
      <c r="V42" s="565"/>
      <c r="W42" s="566"/>
      <c r="X42" s="171"/>
    </row>
    <row r="43" spans="1:24" ht="13.5" x14ac:dyDescent="0.25">
      <c r="A43" s="562"/>
      <c r="B43" s="567"/>
      <c r="C43" s="568"/>
      <c r="D43" s="569"/>
      <c r="E43" s="562"/>
      <c r="F43" s="573" t="s">
        <v>453</v>
      </c>
      <c r="G43" s="574"/>
      <c r="H43" s="176">
        <v>1</v>
      </c>
      <c r="I43" s="567"/>
      <c r="J43" s="568"/>
      <c r="K43" s="569"/>
      <c r="L43" s="176">
        <v>1</v>
      </c>
      <c r="M43" s="567"/>
      <c r="N43" s="568"/>
      <c r="O43" s="569"/>
      <c r="P43" s="176">
        <v>1</v>
      </c>
      <c r="Q43" s="567"/>
      <c r="R43" s="568"/>
      <c r="S43" s="569"/>
      <c r="T43" s="176">
        <v>1</v>
      </c>
      <c r="U43" s="567"/>
      <c r="V43" s="568"/>
      <c r="W43" s="569"/>
      <c r="X43" s="171"/>
    </row>
    <row r="44" spans="1:24" ht="13.5" x14ac:dyDescent="0.25">
      <c r="A44" s="562"/>
      <c r="B44" s="567"/>
      <c r="C44" s="568"/>
      <c r="D44" s="569"/>
      <c r="E44" s="562"/>
      <c r="F44" s="573" t="s">
        <v>2583</v>
      </c>
      <c r="G44" s="574"/>
      <c r="H44" s="176">
        <v>11.7</v>
      </c>
      <c r="I44" s="567"/>
      <c r="J44" s="568"/>
      <c r="K44" s="569"/>
      <c r="L44" s="176">
        <v>16</v>
      </c>
      <c r="M44" s="567"/>
      <c r="N44" s="568"/>
      <c r="O44" s="569"/>
      <c r="P44" s="176">
        <v>11.7</v>
      </c>
      <c r="Q44" s="567"/>
      <c r="R44" s="568"/>
      <c r="S44" s="569"/>
      <c r="T44" s="176">
        <v>16</v>
      </c>
      <c r="U44" s="567"/>
      <c r="V44" s="568"/>
      <c r="W44" s="569"/>
      <c r="X44" s="171"/>
    </row>
    <row r="45" spans="1:24" ht="13.5" x14ac:dyDescent="0.25">
      <c r="A45" s="562"/>
      <c r="B45" s="567"/>
      <c r="C45" s="568"/>
      <c r="D45" s="569"/>
      <c r="E45" s="562"/>
      <c r="F45" s="573" t="s">
        <v>2584</v>
      </c>
      <c r="G45" s="574"/>
      <c r="H45" s="176">
        <v>13.1</v>
      </c>
      <c r="I45" s="567"/>
      <c r="J45" s="568"/>
      <c r="K45" s="569"/>
      <c r="L45" s="176">
        <v>15.4</v>
      </c>
      <c r="M45" s="567"/>
      <c r="N45" s="568"/>
      <c r="O45" s="569"/>
      <c r="P45" s="176">
        <v>13.1</v>
      </c>
      <c r="Q45" s="567"/>
      <c r="R45" s="568"/>
      <c r="S45" s="569"/>
      <c r="T45" s="176">
        <v>15.4</v>
      </c>
      <c r="U45" s="567"/>
      <c r="V45" s="568"/>
      <c r="W45" s="569"/>
      <c r="X45" s="171"/>
    </row>
    <row r="46" spans="1:24" ht="13.5" x14ac:dyDescent="0.25">
      <c r="A46" s="562"/>
      <c r="B46" s="567"/>
      <c r="C46" s="568"/>
      <c r="D46" s="569"/>
      <c r="E46" s="562"/>
      <c r="F46" s="573" t="s">
        <v>2585</v>
      </c>
      <c r="G46" s="574"/>
      <c r="H46" s="176">
        <v>1.4</v>
      </c>
      <c r="I46" s="567"/>
      <c r="J46" s="568"/>
      <c r="K46" s="569"/>
      <c r="L46" s="176">
        <v>1.65</v>
      </c>
      <c r="M46" s="567"/>
      <c r="N46" s="568"/>
      <c r="O46" s="569"/>
      <c r="P46" s="176">
        <v>1.4</v>
      </c>
      <c r="Q46" s="567"/>
      <c r="R46" s="568"/>
      <c r="S46" s="569"/>
      <c r="T46" s="176">
        <v>1.65</v>
      </c>
      <c r="U46" s="567"/>
      <c r="V46" s="568"/>
      <c r="W46" s="569"/>
      <c r="X46" s="171"/>
    </row>
    <row r="47" spans="1:24" ht="13.5" x14ac:dyDescent="0.25">
      <c r="A47" s="562"/>
      <c r="B47" s="567"/>
      <c r="C47" s="568"/>
      <c r="D47" s="569"/>
      <c r="E47" s="562"/>
      <c r="F47" s="573" t="s">
        <v>2586</v>
      </c>
      <c r="G47" s="574"/>
      <c r="H47" s="176"/>
      <c r="I47" s="567"/>
      <c r="J47" s="568"/>
      <c r="K47" s="569"/>
      <c r="L47" s="176"/>
      <c r="M47" s="567"/>
      <c r="N47" s="568"/>
      <c r="O47" s="569"/>
      <c r="P47" s="176"/>
      <c r="Q47" s="567"/>
      <c r="R47" s="568"/>
      <c r="S47" s="569"/>
      <c r="T47" s="176"/>
      <c r="U47" s="567"/>
      <c r="V47" s="568"/>
      <c r="W47" s="569"/>
      <c r="X47" s="171"/>
    </row>
    <row r="48" spans="1:24" ht="13.5" x14ac:dyDescent="0.25">
      <c r="A48" s="562"/>
      <c r="B48" s="567"/>
      <c r="C48" s="568"/>
      <c r="D48" s="569"/>
      <c r="E48" s="562"/>
      <c r="F48" s="573" t="s">
        <v>2587</v>
      </c>
      <c r="G48" s="574"/>
      <c r="H48" s="176">
        <f>+H44+H44+H45+H45</f>
        <v>49.6</v>
      </c>
      <c r="I48" s="567"/>
      <c r="J48" s="568"/>
      <c r="K48" s="569"/>
      <c r="L48" s="176">
        <f>+L44+L44+L45+L45</f>
        <v>62.8</v>
      </c>
      <c r="M48" s="567"/>
      <c r="N48" s="568"/>
      <c r="O48" s="569"/>
      <c r="P48" s="176">
        <f>+P44+P44+P45+P45</f>
        <v>49.6</v>
      </c>
      <c r="Q48" s="567"/>
      <c r="R48" s="568"/>
      <c r="S48" s="569"/>
      <c r="T48" s="176">
        <f>+T44+T44+T45+T45</f>
        <v>62.8</v>
      </c>
      <c r="U48" s="567"/>
      <c r="V48" s="568"/>
      <c r="W48" s="569"/>
      <c r="X48" s="171"/>
    </row>
    <row r="49" spans="1:24" ht="13.5" x14ac:dyDescent="0.25">
      <c r="A49" s="562"/>
      <c r="B49" s="567"/>
      <c r="C49" s="568"/>
      <c r="D49" s="569"/>
      <c r="E49" s="562"/>
      <c r="F49" s="573" t="s">
        <v>3188</v>
      </c>
      <c r="G49" s="574"/>
      <c r="H49" s="176">
        <f>+H48*H46</f>
        <v>69.44</v>
      </c>
      <c r="I49" s="567"/>
      <c r="J49" s="568"/>
      <c r="K49" s="569"/>
      <c r="L49" s="176">
        <f>+L48*L46</f>
        <v>103.61999999999999</v>
      </c>
      <c r="M49" s="567"/>
      <c r="N49" s="568"/>
      <c r="O49" s="569"/>
      <c r="P49" s="176">
        <f>+P48*P46</f>
        <v>69.44</v>
      </c>
      <c r="Q49" s="567"/>
      <c r="R49" s="568"/>
      <c r="S49" s="569"/>
      <c r="T49" s="176">
        <f>+T48*T46</f>
        <v>103.61999999999999</v>
      </c>
      <c r="U49" s="567"/>
      <c r="V49" s="568"/>
      <c r="W49" s="569"/>
      <c r="X49" s="171"/>
    </row>
    <row r="50" spans="1:24" ht="13.5" x14ac:dyDescent="0.25">
      <c r="A50" s="563"/>
      <c r="B50" s="570"/>
      <c r="C50" s="571"/>
      <c r="D50" s="572"/>
      <c r="E50" s="563"/>
      <c r="F50" s="573" t="s">
        <v>3189</v>
      </c>
      <c r="G50" s="574"/>
      <c r="H50" s="176"/>
      <c r="I50" s="570"/>
      <c r="J50" s="571"/>
      <c r="K50" s="572"/>
      <c r="L50" s="176"/>
      <c r="M50" s="570"/>
      <c r="N50" s="571"/>
      <c r="O50" s="572"/>
      <c r="P50" s="176"/>
      <c r="Q50" s="570"/>
      <c r="R50" s="571"/>
      <c r="S50" s="572"/>
      <c r="T50" s="176"/>
      <c r="U50" s="570"/>
      <c r="V50" s="571"/>
      <c r="W50" s="572"/>
      <c r="X50" s="171"/>
    </row>
    <row r="51" spans="1:24" ht="13.5" x14ac:dyDescent="0.25">
      <c r="A51" s="177"/>
      <c r="B51" s="178"/>
      <c r="C51" s="178"/>
      <c r="D51" s="178"/>
      <c r="E51" s="179"/>
      <c r="F51" s="173"/>
      <c r="G51" s="171"/>
      <c r="H51" s="171"/>
      <c r="I51" s="171"/>
      <c r="J51" s="171"/>
      <c r="K51" s="171"/>
      <c r="L51" s="171"/>
      <c r="M51" s="171"/>
      <c r="N51" s="171"/>
      <c r="O51" s="171"/>
      <c r="P51" s="171"/>
      <c r="Q51" s="171"/>
      <c r="R51" s="171"/>
      <c r="S51" s="171"/>
      <c r="T51" s="171"/>
      <c r="U51" s="171"/>
      <c r="V51" s="171"/>
      <c r="W51" s="171"/>
      <c r="X51" s="171"/>
    </row>
    <row r="52" spans="1:24" ht="13.5" x14ac:dyDescent="0.25">
      <c r="A52" s="578" t="s">
        <v>76</v>
      </c>
      <c r="B52" s="582"/>
      <c r="C52" s="582"/>
      <c r="D52" s="582"/>
      <c r="E52" s="174" t="s">
        <v>77</v>
      </c>
      <c r="F52" s="583" t="s">
        <v>2576</v>
      </c>
      <c r="G52" s="572"/>
      <c r="H52" s="578" t="s">
        <v>2578</v>
      </c>
      <c r="I52" s="582"/>
      <c r="J52" s="582"/>
      <c r="K52" s="574"/>
      <c r="L52" s="578" t="s">
        <v>2579</v>
      </c>
      <c r="M52" s="582"/>
      <c r="N52" s="582"/>
      <c r="O52" s="574"/>
      <c r="P52" s="578" t="s">
        <v>2580</v>
      </c>
      <c r="Q52" s="582"/>
      <c r="R52" s="582"/>
      <c r="S52" s="574"/>
      <c r="T52" s="578" t="s">
        <v>2581</v>
      </c>
      <c r="U52" s="582"/>
      <c r="V52" s="582"/>
      <c r="W52" s="574"/>
      <c r="X52" s="171"/>
    </row>
    <row r="53" spans="1:24" ht="13.5" x14ac:dyDescent="0.25">
      <c r="A53" s="561" t="s">
        <v>289</v>
      </c>
      <c r="B53" s="564" t="s">
        <v>290</v>
      </c>
      <c r="C53" s="565"/>
      <c r="D53" s="566"/>
      <c r="E53" s="561" t="s">
        <v>934</v>
      </c>
      <c r="F53" s="573" t="s">
        <v>444</v>
      </c>
      <c r="G53" s="574"/>
      <c r="H53" s="175">
        <f>+H60</f>
        <v>66.400000000000006</v>
      </c>
      <c r="I53" s="575"/>
      <c r="J53" s="565"/>
      <c r="K53" s="566"/>
      <c r="L53" s="176">
        <f>+L60</f>
        <v>93.24</v>
      </c>
      <c r="M53" s="575"/>
      <c r="N53" s="565"/>
      <c r="O53" s="566"/>
      <c r="P53" s="175">
        <f>+P60</f>
        <v>66.400000000000006</v>
      </c>
      <c r="Q53" s="584"/>
      <c r="R53" s="565"/>
      <c r="S53" s="566"/>
      <c r="T53" s="176">
        <f>+T60</f>
        <v>93.24</v>
      </c>
      <c r="U53" s="585"/>
      <c r="V53" s="565"/>
      <c r="W53" s="566"/>
      <c r="X53" s="171"/>
    </row>
    <row r="54" spans="1:24" ht="13.5" x14ac:dyDescent="0.25">
      <c r="A54" s="562"/>
      <c r="B54" s="567"/>
      <c r="C54" s="568"/>
      <c r="D54" s="569"/>
      <c r="E54" s="562"/>
      <c r="F54" s="573" t="s">
        <v>453</v>
      </c>
      <c r="G54" s="574"/>
      <c r="H54" s="176">
        <v>1</v>
      </c>
      <c r="I54" s="567"/>
      <c r="J54" s="568"/>
      <c r="K54" s="569"/>
      <c r="L54" s="176">
        <v>1</v>
      </c>
      <c r="M54" s="567"/>
      <c r="N54" s="568"/>
      <c r="O54" s="569"/>
      <c r="P54" s="176">
        <v>1</v>
      </c>
      <c r="Q54" s="567"/>
      <c r="R54" s="568"/>
      <c r="S54" s="569"/>
      <c r="T54" s="176">
        <v>1</v>
      </c>
      <c r="U54" s="567"/>
      <c r="V54" s="568"/>
      <c r="W54" s="569"/>
      <c r="X54" s="171"/>
    </row>
    <row r="55" spans="1:24" ht="13.5" x14ac:dyDescent="0.25">
      <c r="A55" s="562"/>
      <c r="B55" s="567"/>
      <c r="C55" s="568"/>
      <c r="D55" s="569"/>
      <c r="E55" s="562"/>
      <c r="F55" s="573" t="s">
        <v>2583</v>
      </c>
      <c r="G55" s="574"/>
      <c r="H55" s="176">
        <v>7.5</v>
      </c>
      <c r="I55" s="567"/>
      <c r="J55" s="568"/>
      <c r="K55" s="569"/>
      <c r="L55" s="176">
        <v>13.25</v>
      </c>
      <c r="M55" s="567"/>
      <c r="N55" s="568"/>
      <c r="O55" s="569"/>
      <c r="P55" s="176">
        <v>7.5</v>
      </c>
      <c r="Q55" s="567"/>
      <c r="R55" s="568"/>
      <c r="S55" s="569"/>
      <c r="T55" s="176">
        <v>13.25</v>
      </c>
      <c r="U55" s="567"/>
      <c r="V55" s="568"/>
      <c r="W55" s="569"/>
      <c r="X55" s="171"/>
    </row>
    <row r="56" spans="1:24" ht="13.5" x14ac:dyDescent="0.25">
      <c r="A56" s="562"/>
      <c r="B56" s="567"/>
      <c r="C56" s="568"/>
      <c r="D56" s="569"/>
      <c r="E56" s="562"/>
      <c r="F56" s="573" t="s">
        <v>2584</v>
      </c>
      <c r="G56" s="574"/>
      <c r="H56" s="176">
        <v>9.1</v>
      </c>
      <c r="I56" s="567"/>
      <c r="J56" s="568"/>
      <c r="K56" s="569"/>
      <c r="L56" s="176">
        <v>12.65</v>
      </c>
      <c r="M56" s="567"/>
      <c r="N56" s="568"/>
      <c r="O56" s="569"/>
      <c r="P56" s="176">
        <v>9.1</v>
      </c>
      <c r="Q56" s="567"/>
      <c r="R56" s="568"/>
      <c r="S56" s="569"/>
      <c r="T56" s="176">
        <v>12.65</v>
      </c>
      <c r="U56" s="567"/>
      <c r="V56" s="568"/>
      <c r="W56" s="569"/>
      <c r="X56" s="171"/>
    </row>
    <row r="57" spans="1:24" ht="13.5" x14ac:dyDescent="0.25">
      <c r="A57" s="562"/>
      <c r="B57" s="567"/>
      <c r="C57" s="568"/>
      <c r="D57" s="569"/>
      <c r="E57" s="562"/>
      <c r="F57" s="573" t="s">
        <v>2585</v>
      </c>
      <c r="G57" s="574"/>
      <c r="H57" s="176">
        <v>2</v>
      </c>
      <c r="I57" s="567"/>
      <c r="J57" s="568"/>
      <c r="K57" s="569"/>
      <c r="L57" s="176">
        <v>1.8</v>
      </c>
      <c r="M57" s="567"/>
      <c r="N57" s="568"/>
      <c r="O57" s="569"/>
      <c r="P57" s="176">
        <v>2</v>
      </c>
      <c r="Q57" s="567"/>
      <c r="R57" s="568"/>
      <c r="S57" s="569"/>
      <c r="T57" s="176">
        <v>1.8</v>
      </c>
      <c r="U57" s="567"/>
      <c r="V57" s="568"/>
      <c r="W57" s="569"/>
      <c r="X57" s="171"/>
    </row>
    <row r="58" spans="1:24" ht="13.5" x14ac:dyDescent="0.25">
      <c r="A58" s="562"/>
      <c r="B58" s="567"/>
      <c r="C58" s="568"/>
      <c r="D58" s="569"/>
      <c r="E58" s="562"/>
      <c r="F58" s="573" t="s">
        <v>2586</v>
      </c>
      <c r="G58" s="574"/>
      <c r="H58" s="176"/>
      <c r="I58" s="567"/>
      <c r="J58" s="568"/>
      <c r="K58" s="569"/>
      <c r="L58" s="176"/>
      <c r="M58" s="567"/>
      <c r="N58" s="568"/>
      <c r="O58" s="569"/>
      <c r="P58" s="176"/>
      <c r="Q58" s="567"/>
      <c r="R58" s="568"/>
      <c r="S58" s="569"/>
      <c r="T58" s="176"/>
      <c r="U58" s="567"/>
      <c r="V58" s="568"/>
      <c r="W58" s="569"/>
      <c r="X58" s="171"/>
    </row>
    <row r="59" spans="1:24" ht="13.5" x14ac:dyDescent="0.25">
      <c r="A59" s="562"/>
      <c r="B59" s="567"/>
      <c r="C59" s="568"/>
      <c r="D59" s="569"/>
      <c r="E59" s="562"/>
      <c r="F59" s="573" t="s">
        <v>2587</v>
      </c>
      <c r="G59" s="574"/>
      <c r="H59" s="176">
        <f>+H56+H56+H55+H55</f>
        <v>33.200000000000003</v>
      </c>
      <c r="I59" s="567"/>
      <c r="J59" s="568"/>
      <c r="K59" s="569"/>
      <c r="L59" s="176">
        <f>+L56+L56+L55+L55</f>
        <v>51.8</v>
      </c>
      <c r="M59" s="567"/>
      <c r="N59" s="568"/>
      <c r="O59" s="569"/>
      <c r="P59" s="176">
        <f>+P56+P56+P55+P55</f>
        <v>33.200000000000003</v>
      </c>
      <c r="Q59" s="567"/>
      <c r="R59" s="568"/>
      <c r="S59" s="569"/>
      <c r="T59" s="176">
        <f>+T56+T56+T55+T55</f>
        <v>51.8</v>
      </c>
      <c r="U59" s="567"/>
      <c r="V59" s="568"/>
      <c r="W59" s="569"/>
      <c r="X59" s="171"/>
    </row>
    <row r="60" spans="1:24" ht="13.5" x14ac:dyDescent="0.25">
      <c r="A60" s="562"/>
      <c r="B60" s="567"/>
      <c r="C60" s="568"/>
      <c r="D60" s="569"/>
      <c r="E60" s="562"/>
      <c r="F60" s="573" t="s">
        <v>3188</v>
      </c>
      <c r="G60" s="574"/>
      <c r="H60" s="176">
        <f>+H59*H57</f>
        <v>66.400000000000006</v>
      </c>
      <c r="I60" s="567"/>
      <c r="J60" s="568"/>
      <c r="K60" s="569"/>
      <c r="L60" s="176">
        <f>+L59*L57</f>
        <v>93.24</v>
      </c>
      <c r="M60" s="567"/>
      <c r="N60" s="568"/>
      <c r="O60" s="569"/>
      <c r="P60" s="176">
        <f>+P59*P57</f>
        <v>66.400000000000006</v>
      </c>
      <c r="Q60" s="567"/>
      <c r="R60" s="568"/>
      <c r="S60" s="569"/>
      <c r="T60" s="176">
        <f>+T59*T57</f>
        <v>93.24</v>
      </c>
      <c r="U60" s="567"/>
      <c r="V60" s="568"/>
      <c r="W60" s="569"/>
      <c r="X60" s="171"/>
    </row>
    <row r="61" spans="1:24" ht="13.5" x14ac:dyDescent="0.25">
      <c r="A61" s="563"/>
      <c r="B61" s="570"/>
      <c r="C61" s="571"/>
      <c r="D61" s="572"/>
      <c r="E61" s="563"/>
      <c r="F61" s="573" t="s">
        <v>3189</v>
      </c>
      <c r="G61" s="574"/>
      <c r="H61" s="176"/>
      <c r="I61" s="570"/>
      <c r="J61" s="571"/>
      <c r="K61" s="572"/>
      <c r="L61" s="176"/>
      <c r="M61" s="570"/>
      <c r="N61" s="571"/>
      <c r="O61" s="572"/>
      <c r="P61" s="176"/>
      <c r="Q61" s="570"/>
      <c r="R61" s="571"/>
      <c r="S61" s="572"/>
      <c r="T61" s="176"/>
      <c r="U61" s="570"/>
      <c r="V61" s="571"/>
      <c r="W61" s="572"/>
      <c r="X61" s="171"/>
    </row>
    <row r="62" spans="1:24" ht="13.5" x14ac:dyDescent="0.25">
      <c r="A62" s="177"/>
      <c r="B62" s="178"/>
      <c r="C62" s="178"/>
      <c r="D62" s="178"/>
      <c r="E62" s="179"/>
      <c r="F62" s="173"/>
      <c r="G62" s="171"/>
      <c r="H62" s="171"/>
      <c r="I62" s="171"/>
      <c r="J62" s="171"/>
      <c r="K62" s="171"/>
      <c r="L62" s="171"/>
      <c r="M62" s="171"/>
      <c r="N62" s="171"/>
      <c r="O62" s="171"/>
      <c r="P62" s="171"/>
      <c r="Q62" s="171"/>
      <c r="R62" s="171"/>
      <c r="S62" s="171"/>
      <c r="T62" s="171"/>
      <c r="U62" s="171"/>
      <c r="V62" s="171"/>
      <c r="W62" s="171"/>
      <c r="X62" s="171"/>
    </row>
    <row r="63" spans="1:24" ht="13.5" x14ac:dyDescent="0.25">
      <c r="A63" s="578" t="s">
        <v>76</v>
      </c>
      <c r="B63" s="582"/>
      <c r="C63" s="582"/>
      <c r="D63" s="582"/>
      <c r="E63" s="174" t="s">
        <v>77</v>
      </c>
      <c r="F63" s="583" t="s">
        <v>2576</v>
      </c>
      <c r="G63" s="572"/>
      <c r="H63" s="578" t="s">
        <v>2578</v>
      </c>
      <c r="I63" s="582"/>
      <c r="J63" s="582"/>
      <c r="K63" s="574"/>
      <c r="L63" s="578" t="s">
        <v>2579</v>
      </c>
      <c r="M63" s="582"/>
      <c r="N63" s="582"/>
      <c r="O63" s="574"/>
      <c r="P63" s="578" t="s">
        <v>2580</v>
      </c>
      <c r="Q63" s="582"/>
      <c r="R63" s="582"/>
      <c r="S63" s="574"/>
      <c r="T63" s="578" t="s">
        <v>2581</v>
      </c>
      <c r="U63" s="582"/>
      <c r="V63" s="582"/>
      <c r="W63" s="574"/>
      <c r="X63" s="171"/>
    </row>
    <row r="64" spans="1:24" ht="13.5" x14ac:dyDescent="0.25">
      <c r="A64" s="561" t="s">
        <v>291</v>
      </c>
      <c r="B64" s="564" t="s">
        <v>2699</v>
      </c>
      <c r="C64" s="565"/>
      <c r="D64" s="566"/>
      <c r="E64" s="561" t="s">
        <v>934</v>
      </c>
      <c r="F64" s="573" t="s">
        <v>444</v>
      </c>
      <c r="G64" s="574"/>
      <c r="H64" s="176"/>
      <c r="I64" s="584" t="s">
        <v>2582</v>
      </c>
      <c r="J64" s="565"/>
      <c r="K64" s="566"/>
      <c r="L64" s="176">
        <f>+L71</f>
        <v>18.549999999999997</v>
      </c>
      <c r="M64" s="575"/>
      <c r="N64" s="565"/>
      <c r="O64" s="566"/>
      <c r="P64" s="176"/>
      <c r="Q64" s="584" t="s">
        <v>2582</v>
      </c>
      <c r="R64" s="565"/>
      <c r="S64" s="566"/>
      <c r="T64" s="176">
        <f>+T71</f>
        <v>18.549999999999997</v>
      </c>
      <c r="U64" s="585"/>
      <c r="V64" s="565"/>
      <c r="W64" s="566"/>
      <c r="X64" s="171"/>
    </row>
    <row r="65" spans="1:24" ht="13.5" x14ac:dyDescent="0.25">
      <c r="A65" s="562"/>
      <c r="B65" s="567"/>
      <c r="C65" s="568"/>
      <c r="D65" s="569"/>
      <c r="E65" s="562"/>
      <c r="F65" s="573" t="s">
        <v>453</v>
      </c>
      <c r="G65" s="574"/>
      <c r="H65" s="176"/>
      <c r="I65" s="567"/>
      <c r="J65" s="568"/>
      <c r="K65" s="569"/>
      <c r="L65" s="176">
        <v>1</v>
      </c>
      <c r="M65" s="567"/>
      <c r="N65" s="568"/>
      <c r="O65" s="569"/>
      <c r="P65" s="176"/>
      <c r="Q65" s="567"/>
      <c r="R65" s="568"/>
      <c r="S65" s="569"/>
      <c r="T65" s="176">
        <v>1</v>
      </c>
      <c r="U65" s="567"/>
      <c r="V65" s="568"/>
      <c r="W65" s="569"/>
      <c r="X65" s="171"/>
    </row>
    <row r="66" spans="1:24" ht="13.5" x14ac:dyDescent="0.25">
      <c r="A66" s="562"/>
      <c r="B66" s="567"/>
      <c r="C66" s="568"/>
      <c r="D66" s="569"/>
      <c r="E66" s="562"/>
      <c r="F66" s="573" t="s">
        <v>2583</v>
      </c>
      <c r="G66" s="574"/>
      <c r="H66" s="176"/>
      <c r="I66" s="567"/>
      <c r="J66" s="568"/>
      <c r="K66" s="569"/>
      <c r="L66" s="176">
        <v>7.6</v>
      </c>
      <c r="M66" s="567"/>
      <c r="N66" s="568"/>
      <c r="O66" s="569"/>
      <c r="P66" s="176"/>
      <c r="Q66" s="567"/>
      <c r="R66" s="568"/>
      <c r="S66" s="569"/>
      <c r="T66" s="176">
        <v>7.6</v>
      </c>
      <c r="U66" s="567"/>
      <c r="V66" s="568"/>
      <c r="W66" s="569"/>
      <c r="X66" s="171"/>
    </row>
    <row r="67" spans="1:24" ht="13.5" x14ac:dyDescent="0.25">
      <c r="A67" s="562"/>
      <c r="B67" s="567"/>
      <c r="C67" s="568"/>
      <c r="D67" s="569"/>
      <c r="E67" s="562"/>
      <c r="F67" s="573" t="s">
        <v>2584</v>
      </c>
      <c r="G67" s="574"/>
      <c r="H67" s="176"/>
      <c r="I67" s="567"/>
      <c r="J67" s="568"/>
      <c r="K67" s="569"/>
      <c r="L67" s="176">
        <v>10.6</v>
      </c>
      <c r="M67" s="567"/>
      <c r="N67" s="568"/>
      <c r="O67" s="569"/>
      <c r="P67" s="176"/>
      <c r="Q67" s="567"/>
      <c r="R67" s="568"/>
      <c r="S67" s="569"/>
      <c r="T67" s="176">
        <v>10.6</v>
      </c>
      <c r="U67" s="567"/>
      <c r="V67" s="568"/>
      <c r="W67" s="569"/>
      <c r="X67" s="171"/>
    </row>
    <row r="68" spans="1:24" ht="13.5" x14ac:dyDescent="0.25">
      <c r="A68" s="562"/>
      <c r="B68" s="567"/>
      <c r="C68" s="568"/>
      <c r="D68" s="569"/>
      <c r="E68" s="562"/>
      <c r="F68" s="573" t="s">
        <v>2585</v>
      </c>
      <c r="G68" s="574"/>
      <c r="H68" s="176"/>
      <c r="I68" s="567"/>
      <c r="J68" s="568"/>
      <c r="K68" s="569"/>
      <c r="L68" s="176">
        <v>0.7</v>
      </c>
      <c r="M68" s="567"/>
      <c r="N68" s="568"/>
      <c r="O68" s="569"/>
      <c r="P68" s="176"/>
      <c r="Q68" s="567"/>
      <c r="R68" s="568"/>
      <c r="S68" s="569"/>
      <c r="T68" s="176">
        <v>0.7</v>
      </c>
      <c r="U68" s="567"/>
      <c r="V68" s="568"/>
      <c r="W68" s="569"/>
      <c r="X68" s="171"/>
    </row>
    <row r="69" spans="1:24" ht="13.5" x14ac:dyDescent="0.25">
      <c r="A69" s="562"/>
      <c r="B69" s="567"/>
      <c r="C69" s="568"/>
      <c r="D69" s="569"/>
      <c r="E69" s="562"/>
      <c r="F69" s="573" t="s">
        <v>2586</v>
      </c>
      <c r="G69" s="574"/>
      <c r="H69" s="176"/>
      <c r="I69" s="567"/>
      <c r="J69" s="568"/>
      <c r="K69" s="569"/>
      <c r="L69" s="176"/>
      <c r="M69" s="567"/>
      <c r="N69" s="568"/>
      <c r="O69" s="569"/>
      <c r="P69" s="176"/>
      <c r="Q69" s="567"/>
      <c r="R69" s="568"/>
      <c r="S69" s="569"/>
      <c r="T69" s="176"/>
      <c r="U69" s="567"/>
      <c r="V69" s="568"/>
      <c r="W69" s="569"/>
      <c r="X69" s="171"/>
    </row>
    <row r="70" spans="1:24" ht="13.5" x14ac:dyDescent="0.25">
      <c r="A70" s="562"/>
      <c r="B70" s="567"/>
      <c r="C70" s="568"/>
      <c r="D70" s="569"/>
      <c r="E70" s="562"/>
      <c r="F70" s="573" t="s">
        <v>2587</v>
      </c>
      <c r="G70" s="574"/>
      <c r="H70" s="176"/>
      <c r="I70" s="567"/>
      <c r="J70" s="568"/>
      <c r="K70" s="569"/>
      <c r="L70" s="176">
        <f>+L66+L66+L67+L68</f>
        <v>26.499999999999996</v>
      </c>
      <c r="M70" s="567"/>
      <c r="N70" s="568"/>
      <c r="O70" s="569"/>
      <c r="P70" s="176"/>
      <c r="Q70" s="567"/>
      <c r="R70" s="568"/>
      <c r="S70" s="569"/>
      <c r="T70" s="176">
        <f>+T66+T66+T67+T68</f>
        <v>26.499999999999996</v>
      </c>
      <c r="U70" s="567"/>
      <c r="V70" s="568"/>
      <c r="W70" s="569"/>
      <c r="X70" s="171"/>
    </row>
    <row r="71" spans="1:24" ht="13.5" x14ac:dyDescent="0.25">
      <c r="A71" s="562"/>
      <c r="B71" s="567"/>
      <c r="C71" s="568"/>
      <c r="D71" s="569"/>
      <c r="E71" s="562"/>
      <c r="F71" s="573" t="s">
        <v>3188</v>
      </c>
      <c r="G71" s="574"/>
      <c r="H71" s="176"/>
      <c r="I71" s="567"/>
      <c r="J71" s="568"/>
      <c r="K71" s="569"/>
      <c r="L71" s="176">
        <f>+L70*L68</f>
        <v>18.549999999999997</v>
      </c>
      <c r="M71" s="567"/>
      <c r="N71" s="568"/>
      <c r="O71" s="569"/>
      <c r="P71" s="176"/>
      <c r="Q71" s="567"/>
      <c r="R71" s="568"/>
      <c r="S71" s="569"/>
      <c r="T71" s="176">
        <f>+T70*T68</f>
        <v>18.549999999999997</v>
      </c>
      <c r="U71" s="567"/>
      <c r="V71" s="568"/>
      <c r="W71" s="569"/>
      <c r="X71" s="171"/>
    </row>
    <row r="72" spans="1:24" ht="13.5" x14ac:dyDescent="0.25">
      <c r="A72" s="563"/>
      <c r="B72" s="570"/>
      <c r="C72" s="571"/>
      <c r="D72" s="572"/>
      <c r="E72" s="563"/>
      <c r="F72" s="573" t="s">
        <v>3189</v>
      </c>
      <c r="G72" s="574"/>
      <c r="H72" s="176"/>
      <c r="I72" s="570"/>
      <c r="J72" s="571"/>
      <c r="K72" s="572"/>
      <c r="L72" s="176"/>
      <c r="M72" s="570"/>
      <c r="N72" s="571"/>
      <c r="O72" s="572"/>
      <c r="P72" s="176"/>
      <c r="Q72" s="570"/>
      <c r="R72" s="571"/>
      <c r="S72" s="572"/>
      <c r="T72" s="176"/>
      <c r="U72" s="570"/>
      <c r="V72" s="571"/>
      <c r="W72" s="572"/>
      <c r="X72" s="171"/>
    </row>
    <row r="73" spans="1:24" ht="13.5" x14ac:dyDescent="0.25">
      <c r="A73" s="177"/>
      <c r="B73" s="178"/>
      <c r="C73" s="178"/>
      <c r="D73" s="178"/>
      <c r="E73" s="179"/>
      <c r="F73" s="173"/>
      <c r="G73" s="171"/>
      <c r="H73" s="171"/>
      <c r="I73" s="171"/>
      <c r="J73" s="171"/>
      <c r="K73" s="171"/>
      <c r="L73" s="171"/>
      <c r="M73" s="171"/>
      <c r="N73" s="171"/>
      <c r="O73" s="171"/>
      <c r="P73" s="171"/>
      <c r="Q73" s="171"/>
      <c r="R73" s="171"/>
      <c r="S73" s="171"/>
      <c r="T73" s="171"/>
      <c r="U73" s="171"/>
      <c r="V73" s="171"/>
      <c r="W73" s="171"/>
      <c r="X73" s="171"/>
    </row>
    <row r="74" spans="1:24" ht="13.5" x14ac:dyDescent="0.25">
      <c r="A74" s="578" t="s">
        <v>76</v>
      </c>
      <c r="B74" s="582"/>
      <c r="C74" s="582"/>
      <c r="D74" s="582"/>
      <c r="E74" s="174" t="s">
        <v>77</v>
      </c>
      <c r="F74" s="583" t="s">
        <v>2576</v>
      </c>
      <c r="G74" s="572"/>
      <c r="H74" s="578" t="s">
        <v>2578</v>
      </c>
      <c r="I74" s="582"/>
      <c r="J74" s="582"/>
      <c r="K74" s="574"/>
      <c r="L74" s="578" t="s">
        <v>2579</v>
      </c>
      <c r="M74" s="582"/>
      <c r="N74" s="582"/>
      <c r="O74" s="574"/>
      <c r="P74" s="586" t="s">
        <v>2580</v>
      </c>
      <c r="Q74" s="565"/>
      <c r="R74" s="565"/>
      <c r="S74" s="566"/>
      <c r="T74" s="578" t="s">
        <v>2581</v>
      </c>
      <c r="U74" s="582"/>
      <c r="V74" s="582"/>
      <c r="W74" s="574"/>
      <c r="X74" s="171"/>
    </row>
    <row r="75" spans="1:24" ht="13.5" x14ac:dyDescent="0.25">
      <c r="A75" s="561" t="s">
        <v>294</v>
      </c>
      <c r="B75" s="564" t="s">
        <v>92</v>
      </c>
      <c r="C75" s="565"/>
      <c r="D75" s="566"/>
      <c r="E75" s="561" t="s">
        <v>258</v>
      </c>
      <c r="F75" s="573" t="s">
        <v>444</v>
      </c>
      <c r="G75" s="574"/>
      <c r="H75" s="175">
        <f>+H83</f>
        <v>7.81</v>
      </c>
      <c r="I75" s="584"/>
      <c r="J75" s="565"/>
      <c r="K75" s="566"/>
      <c r="L75" s="176">
        <f>+L83</f>
        <v>9.6319999999999997</v>
      </c>
      <c r="M75" s="575"/>
      <c r="N75" s="565"/>
      <c r="O75" s="566"/>
      <c r="P75" s="181">
        <f>+P83</f>
        <v>7.81</v>
      </c>
      <c r="Q75" s="584"/>
      <c r="R75" s="565"/>
      <c r="S75" s="566"/>
      <c r="T75" s="176">
        <f>+T83</f>
        <v>9.6319999999999997</v>
      </c>
      <c r="U75" s="585"/>
      <c r="V75" s="565"/>
      <c r="W75" s="566"/>
      <c r="X75" s="171"/>
    </row>
    <row r="76" spans="1:24" ht="13.5" x14ac:dyDescent="0.25">
      <c r="A76" s="562"/>
      <c r="B76" s="567"/>
      <c r="C76" s="568"/>
      <c r="D76" s="569"/>
      <c r="E76" s="562"/>
      <c r="F76" s="573" t="s">
        <v>453</v>
      </c>
      <c r="G76" s="574"/>
      <c r="H76" s="176">
        <v>1</v>
      </c>
      <c r="I76" s="567"/>
      <c r="J76" s="568"/>
      <c r="K76" s="569"/>
      <c r="L76" s="176">
        <v>1</v>
      </c>
      <c r="M76" s="567"/>
      <c r="N76" s="568"/>
      <c r="O76" s="569"/>
      <c r="P76" s="182">
        <v>1</v>
      </c>
      <c r="Q76" s="567"/>
      <c r="R76" s="568"/>
      <c r="S76" s="569"/>
      <c r="T76" s="176">
        <v>1</v>
      </c>
      <c r="U76" s="567"/>
      <c r="V76" s="568"/>
      <c r="W76" s="569"/>
      <c r="X76" s="171"/>
    </row>
    <row r="77" spans="1:24" ht="13.5" x14ac:dyDescent="0.25">
      <c r="A77" s="562"/>
      <c r="B77" s="567"/>
      <c r="C77" s="568"/>
      <c r="D77" s="569"/>
      <c r="E77" s="562"/>
      <c r="F77" s="573" t="s">
        <v>2583</v>
      </c>
      <c r="G77" s="574"/>
      <c r="H77" s="176">
        <v>5.5</v>
      </c>
      <c r="I77" s="567"/>
      <c r="J77" s="568"/>
      <c r="K77" s="569"/>
      <c r="L77" s="176">
        <v>5.6</v>
      </c>
      <c r="M77" s="567"/>
      <c r="N77" s="568"/>
      <c r="O77" s="569"/>
      <c r="P77" s="182">
        <v>5.5</v>
      </c>
      <c r="Q77" s="567"/>
      <c r="R77" s="568"/>
      <c r="S77" s="569"/>
      <c r="T77" s="176">
        <v>5.6</v>
      </c>
      <c r="U77" s="567"/>
      <c r="V77" s="568"/>
      <c r="W77" s="569"/>
      <c r="X77" s="171"/>
    </row>
    <row r="78" spans="1:24" ht="13.5" x14ac:dyDescent="0.25">
      <c r="A78" s="562"/>
      <c r="B78" s="567"/>
      <c r="C78" s="568"/>
      <c r="D78" s="569"/>
      <c r="E78" s="562"/>
      <c r="F78" s="573" t="s">
        <v>2584</v>
      </c>
      <c r="G78" s="574"/>
      <c r="H78" s="176">
        <v>7.1</v>
      </c>
      <c r="I78" s="567"/>
      <c r="J78" s="568"/>
      <c r="K78" s="569"/>
      <c r="L78" s="176">
        <v>8.6</v>
      </c>
      <c r="M78" s="567"/>
      <c r="N78" s="568"/>
      <c r="O78" s="569"/>
      <c r="P78" s="182">
        <v>7.1</v>
      </c>
      <c r="Q78" s="567"/>
      <c r="R78" s="568"/>
      <c r="S78" s="569"/>
      <c r="T78" s="176">
        <v>8.6</v>
      </c>
      <c r="U78" s="567"/>
      <c r="V78" s="568"/>
      <c r="W78" s="569"/>
      <c r="X78" s="171"/>
    </row>
    <row r="79" spans="1:24" ht="13.5" x14ac:dyDescent="0.25">
      <c r="A79" s="562"/>
      <c r="B79" s="567"/>
      <c r="C79" s="568"/>
      <c r="D79" s="569"/>
      <c r="E79" s="562"/>
      <c r="F79" s="573" t="s">
        <v>2585</v>
      </c>
      <c r="G79" s="574"/>
      <c r="H79" s="176">
        <v>0.2</v>
      </c>
      <c r="I79" s="567"/>
      <c r="J79" s="568"/>
      <c r="K79" s="569"/>
      <c r="L79" s="176">
        <v>0.2</v>
      </c>
      <c r="M79" s="567"/>
      <c r="N79" s="568"/>
      <c r="O79" s="569"/>
      <c r="P79" s="182">
        <v>0.2</v>
      </c>
      <c r="Q79" s="567"/>
      <c r="R79" s="568"/>
      <c r="S79" s="569"/>
      <c r="T79" s="176">
        <v>0.2</v>
      </c>
      <c r="U79" s="567"/>
      <c r="V79" s="568"/>
      <c r="W79" s="569"/>
      <c r="X79" s="171"/>
    </row>
    <row r="80" spans="1:24" ht="13.5" x14ac:dyDescent="0.25">
      <c r="A80" s="562"/>
      <c r="B80" s="567"/>
      <c r="C80" s="568"/>
      <c r="D80" s="569"/>
      <c r="E80" s="562"/>
      <c r="F80" s="573" t="s">
        <v>2586</v>
      </c>
      <c r="G80" s="574"/>
      <c r="H80" s="176"/>
      <c r="I80" s="567"/>
      <c r="J80" s="568"/>
      <c r="K80" s="569"/>
      <c r="L80" s="176"/>
      <c r="M80" s="567"/>
      <c r="N80" s="568"/>
      <c r="O80" s="569"/>
      <c r="P80" s="182"/>
      <c r="Q80" s="567"/>
      <c r="R80" s="568"/>
      <c r="S80" s="569"/>
      <c r="T80" s="176"/>
      <c r="U80" s="567"/>
      <c r="V80" s="568"/>
      <c r="W80" s="569"/>
      <c r="X80" s="171"/>
    </row>
    <row r="81" spans="1:24" ht="13.5" x14ac:dyDescent="0.25">
      <c r="A81" s="562"/>
      <c r="B81" s="567"/>
      <c r="C81" s="568"/>
      <c r="D81" s="569"/>
      <c r="E81" s="562"/>
      <c r="F81" s="573" t="s">
        <v>2587</v>
      </c>
      <c r="G81" s="574"/>
      <c r="H81" s="176"/>
      <c r="I81" s="567"/>
      <c r="J81" s="568"/>
      <c r="K81" s="569"/>
      <c r="L81" s="176"/>
      <c r="M81" s="567"/>
      <c r="N81" s="568"/>
      <c r="O81" s="569"/>
      <c r="P81" s="182"/>
      <c r="Q81" s="567"/>
      <c r="R81" s="568"/>
      <c r="S81" s="569"/>
      <c r="T81" s="176"/>
      <c r="U81" s="567"/>
      <c r="V81" s="568"/>
      <c r="W81" s="569"/>
      <c r="X81" s="171"/>
    </row>
    <row r="82" spans="1:24" ht="13.5" x14ac:dyDescent="0.25">
      <c r="A82" s="562"/>
      <c r="B82" s="567"/>
      <c r="C82" s="568"/>
      <c r="D82" s="569"/>
      <c r="E82" s="562"/>
      <c r="F82" s="573" t="s">
        <v>3188</v>
      </c>
      <c r="G82" s="574"/>
      <c r="H82" s="176">
        <f>+H77*H78</f>
        <v>39.049999999999997</v>
      </c>
      <c r="I82" s="567"/>
      <c r="J82" s="568"/>
      <c r="K82" s="569"/>
      <c r="L82" s="176">
        <f>+L77*L78</f>
        <v>48.16</v>
      </c>
      <c r="M82" s="567"/>
      <c r="N82" s="568"/>
      <c r="O82" s="569"/>
      <c r="P82" s="182">
        <f>+P77*P78</f>
        <v>39.049999999999997</v>
      </c>
      <c r="Q82" s="567"/>
      <c r="R82" s="568"/>
      <c r="S82" s="569"/>
      <c r="T82" s="176">
        <f>+T77*T78</f>
        <v>48.16</v>
      </c>
      <c r="U82" s="567"/>
      <c r="V82" s="568"/>
      <c r="W82" s="569"/>
      <c r="X82" s="171"/>
    </row>
    <row r="83" spans="1:24" ht="13.5" x14ac:dyDescent="0.25">
      <c r="A83" s="563"/>
      <c r="B83" s="570"/>
      <c r="C83" s="571"/>
      <c r="D83" s="572"/>
      <c r="E83" s="563"/>
      <c r="F83" s="573" t="s">
        <v>3189</v>
      </c>
      <c r="G83" s="574"/>
      <c r="H83" s="176">
        <f>+H82*H79</f>
        <v>7.81</v>
      </c>
      <c r="I83" s="570"/>
      <c r="J83" s="571"/>
      <c r="K83" s="572"/>
      <c r="L83" s="176">
        <f>+L82*L79</f>
        <v>9.6319999999999997</v>
      </c>
      <c r="M83" s="570"/>
      <c r="N83" s="571"/>
      <c r="O83" s="572"/>
      <c r="P83" s="182">
        <f>+P82*P79</f>
        <v>7.81</v>
      </c>
      <c r="Q83" s="570"/>
      <c r="R83" s="571"/>
      <c r="S83" s="572"/>
      <c r="T83" s="176">
        <f>+T82*T79</f>
        <v>9.6319999999999997</v>
      </c>
      <c r="U83" s="570"/>
      <c r="V83" s="571"/>
      <c r="W83" s="572"/>
      <c r="X83" s="171"/>
    </row>
    <row r="84" spans="1:24" ht="13.5" x14ac:dyDescent="0.25">
      <c r="A84" s="177"/>
      <c r="B84" s="178"/>
      <c r="C84" s="178"/>
      <c r="D84" s="178"/>
      <c r="E84" s="179"/>
      <c r="F84" s="173"/>
      <c r="G84" s="171"/>
      <c r="H84" s="171"/>
      <c r="I84" s="171"/>
      <c r="J84" s="171"/>
      <c r="K84" s="171"/>
      <c r="L84" s="171"/>
      <c r="M84" s="171"/>
      <c r="N84" s="171"/>
      <c r="O84" s="171"/>
      <c r="P84" s="171"/>
      <c r="Q84" s="171"/>
      <c r="R84" s="171"/>
      <c r="S84" s="171"/>
      <c r="T84" s="171"/>
      <c r="U84" s="171"/>
      <c r="V84" s="171"/>
      <c r="W84" s="171"/>
      <c r="X84" s="171"/>
    </row>
    <row r="85" spans="1:24" ht="13.5" x14ac:dyDescent="0.25">
      <c r="A85" s="578" t="s">
        <v>76</v>
      </c>
      <c r="B85" s="582"/>
      <c r="C85" s="582"/>
      <c r="D85" s="582"/>
      <c r="E85" s="174" t="s">
        <v>77</v>
      </c>
      <c r="F85" s="583" t="s">
        <v>2576</v>
      </c>
      <c r="G85" s="572"/>
      <c r="H85" s="578" t="s">
        <v>2578</v>
      </c>
      <c r="I85" s="582"/>
      <c r="J85" s="582"/>
      <c r="K85" s="574"/>
      <c r="L85" s="578" t="s">
        <v>2579</v>
      </c>
      <c r="M85" s="582"/>
      <c r="N85" s="582"/>
      <c r="O85" s="574"/>
      <c r="P85" s="586" t="s">
        <v>2580</v>
      </c>
      <c r="Q85" s="565"/>
      <c r="R85" s="565"/>
      <c r="S85" s="566"/>
      <c r="T85" s="578" t="s">
        <v>2581</v>
      </c>
      <c r="U85" s="582"/>
      <c r="V85" s="582"/>
      <c r="W85" s="574"/>
      <c r="X85" s="171"/>
    </row>
    <row r="86" spans="1:24" ht="13.5" x14ac:dyDescent="0.25">
      <c r="A86" s="561" t="s">
        <v>295</v>
      </c>
      <c r="B86" s="564" t="s">
        <v>169</v>
      </c>
      <c r="C86" s="565"/>
      <c r="D86" s="566"/>
      <c r="E86" s="561" t="s">
        <v>258</v>
      </c>
      <c r="F86" s="573" t="s">
        <v>444</v>
      </c>
      <c r="G86" s="574"/>
      <c r="H86" s="175">
        <f>H87-(SUM(H88:H94))</f>
        <v>224.35544733077924</v>
      </c>
      <c r="I86" s="575"/>
      <c r="J86" s="565"/>
      <c r="K86" s="566"/>
      <c r="L86" s="175">
        <f>L87-(SUM(L88:L94))</f>
        <v>325.89946694229195</v>
      </c>
      <c r="M86" s="575"/>
      <c r="N86" s="565"/>
      <c r="O86" s="566"/>
      <c r="P86" s="175">
        <f>P87-(SUM(P88:P94))</f>
        <v>224.35544733077924</v>
      </c>
      <c r="Q86" s="584"/>
      <c r="R86" s="565"/>
      <c r="S86" s="566"/>
      <c r="T86" s="175">
        <f>T87-(SUM(T88:T94))</f>
        <v>325.89946694229195</v>
      </c>
      <c r="U86" s="585"/>
      <c r="V86" s="565"/>
      <c r="W86" s="566"/>
      <c r="X86" s="171"/>
    </row>
    <row r="87" spans="1:24" ht="13.5" x14ac:dyDescent="0.25">
      <c r="A87" s="562"/>
      <c r="B87" s="567"/>
      <c r="C87" s="568"/>
      <c r="D87" s="569"/>
      <c r="E87" s="562"/>
      <c r="F87" s="573" t="s">
        <v>2700</v>
      </c>
      <c r="G87" s="574"/>
      <c r="H87" s="176">
        <f>+H31+H20</f>
        <v>366.97044733077922</v>
      </c>
      <c r="I87" s="567"/>
      <c r="J87" s="568"/>
      <c r="K87" s="569"/>
      <c r="L87" s="176">
        <f>+L31+L20</f>
        <v>538.02746694229199</v>
      </c>
      <c r="M87" s="567"/>
      <c r="N87" s="568"/>
      <c r="O87" s="569"/>
      <c r="P87" s="176">
        <f>+P31+P20</f>
        <v>366.97044733077922</v>
      </c>
      <c r="Q87" s="567"/>
      <c r="R87" s="568"/>
      <c r="S87" s="569"/>
      <c r="T87" s="176">
        <f>+T31+T20</f>
        <v>538.02746694229199</v>
      </c>
      <c r="U87" s="567"/>
      <c r="V87" s="568"/>
      <c r="W87" s="569"/>
      <c r="X87" s="171"/>
    </row>
    <row r="88" spans="1:24" ht="13.5" x14ac:dyDescent="0.25">
      <c r="A88" s="562"/>
      <c r="B88" s="567"/>
      <c r="C88" s="568"/>
      <c r="D88" s="569"/>
      <c r="E88" s="562"/>
      <c r="F88" s="573" t="s">
        <v>2701</v>
      </c>
      <c r="G88" s="574"/>
      <c r="H88" s="176">
        <f>7.1*5.5*3.4</f>
        <v>132.76999999999998</v>
      </c>
      <c r="I88" s="567"/>
      <c r="J88" s="568"/>
      <c r="K88" s="569"/>
      <c r="L88" s="176">
        <f>8.6*5.6*4.15</f>
        <v>199.864</v>
      </c>
      <c r="M88" s="567"/>
      <c r="N88" s="568"/>
      <c r="O88" s="569"/>
      <c r="P88" s="176">
        <f>7.1*5.5*3.4</f>
        <v>132.76999999999998</v>
      </c>
      <c r="Q88" s="567"/>
      <c r="R88" s="568"/>
      <c r="S88" s="569"/>
      <c r="T88" s="176">
        <f>8.6*5.6*4.15</f>
        <v>199.864</v>
      </c>
      <c r="U88" s="567"/>
      <c r="V88" s="568"/>
      <c r="W88" s="569"/>
      <c r="X88" s="171"/>
    </row>
    <row r="89" spans="1:24" ht="13.5" x14ac:dyDescent="0.25">
      <c r="A89" s="562"/>
      <c r="B89" s="567"/>
      <c r="C89" s="568"/>
      <c r="D89" s="569"/>
      <c r="E89" s="562"/>
      <c r="F89" s="573" t="s">
        <v>2702</v>
      </c>
      <c r="G89" s="574"/>
      <c r="H89" s="176"/>
      <c r="I89" s="567"/>
      <c r="J89" s="568"/>
      <c r="K89" s="569"/>
      <c r="L89" s="176"/>
      <c r="M89" s="567"/>
      <c r="N89" s="568"/>
      <c r="O89" s="569"/>
      <c r="P89" s="176"/>
      <c r="Q89" s="567"/>
      <c r="R89" s="568"/>
      <c r="S89" s="569"/>
      <c r="T89" s="176"/>
      <c r="U89" s="567"/>
      <c r="V89" s="568"/>
      <c r="W89" s="569"/>
      <c r="X89" s="171"/>
    </row>
    <row r="90" spans="1:24" ht="13.5" x14ac:dyDescent="0.25">
      <c r="A90" s="562"/>
      <c r="B90" s="567"/>
      <c r="C90" s="568"/>
      <c r="D90" s="569"/>
      <c r="E90" s="562"/>
      <c r="F90" s="573" t="s">
        <v>2703</v>
      </c>
      <c r="G90" s="574"/>
      <c r="H90" s="176"/>
      <c r="I90" s="567"/>
      <c r="J90" s="568"/>
      <c r="K90" s="569"/>
      <c r="L90" s="176"/>
      <c r="M90" s="567"/>
      <c r="N90" s="568"/>
      <c r="O90" s="569"/>
      <c r="P90" s="176"/>
      <c r="Q90" s="567"/>
      <c r="R90" s="568"/>
      <c r="S90" s="569"/>
      <c r="T90" s="176"/>
      <c r="U90" s="567"/>
      <c r="V90" s="568"/>
      <c r="W90" s="569"/>
      <c r="X90" s="171"/>
    </row>
    <row r="91" spans="1:24" ht="13.5" x14ac:dyDescent="0.25">
      <c r="A91" s="562"/>
      <c r="B91" s="567"/>
      <c r="C91" s="568"/>
      <c r="D91" s="569"/>
      <c r="E91" s="562"/>
      <c r="F91" s="573" t="s">
        <v>2704</v>
      </c>
      <c r="G91" s="574"/>
      <c r="H91" s="176">
        <f>+H97</f>
        <v>2.0350000000000001</v>
      </c>
      <c r="I91" s="567"/>
      <c r="J91" s="568"/>
      <c r="K91" s="569"/>
      <c r="L91" s="176">
        <f>+L97</f>
        <v>2.6319999999999997</v>
      </c>
      <c r="M91" s="567"/>
      <c r="N91" s="568"/>
      <c r="O91" s="569"/>
      <c r="P91" s="176">
        <f>+P97</f>
        <v>2.0350000000000001</v>
      </c>
      <c r="Q91" s="567"/>
      <c r="R91" s="568"/>
      <c r="S91" s="569"/>
      <c r="T91" s="176">
        <f>+T97</f>
        <v>2.6319999999999997</v>
      </c>
      <c r="U91" s="567"/>
      <c r="V91" s="568"/>
      <c r="W91" s="569"/>
      <c r="X91" s="171"/>
    </row>
    <row r="92" spans="1:24" ht="13.5" x14ac:dyDescent="0.25">
      <c r="A92" s="562"/>
      <c r="B92" s="567"/>
      <c r="C92" s="568"/>
      <c r="D92" s="569"/>
      <c r="E92" s="562"/>
      <c r="F92" s="573" t="s">
        <v>2705</v>
      </c>
      <c r="G92" s="574"/>
      <c r="H92" s="176">
        <f>+H75</f>
        <v>7.81</v>
      </c>
      <c r="I92" s="567"/>
      <c r="J92" s="568"/>
      <c r="K92" s="569"/>
      <c r="L92" s="176">
        <f>+L75</f>
        <v>9.6319999999999997</v>
      </c>
      <c r="M92" s="567"/>
      <c r="N92" s="568"/>
      <c r="O92" s="569"/>
      <c r="P92" s="176">
        <f>+P75</f>
        <v>7.81</v>
      </c>
      <c r="Q92" s="567"/>
      <c r="R92" s="568"/>
      <c r="S92" s="569"/>
      <c r="T92" s="176">
        <f>+T75</f>
        <v>9.6319999999999997</v>
      </c>
      <c r="U92" s="567"/>
      <c r="V92" s="568"/>
      <c r="W92" s="569"/>
      <c r="X92" s="171"/>
    </row>
    <row r="93" spans="1:24" ht="13.5" x14ac:dyDescent="0.25">
      <c r="A93" s="562"/>
      <c r="B93" s="567"/>
      <c r="C93" s="568"/>
      <c r="D93" s="569"/>
      <c r="E93" s="562"/>
      <c r="F93" s="573" t="s">
        <v>2706</v>
      </c>
      <c r="G93" s="574"/>
      <c r="H93" s="176"/>
      <c r="I93" s="567"/>
      <c r="J93" s="568"/>
      <c r="K93" s="569"/>
      <c r="L93" s="176"/>
      <c r="M93" s="567"/>
      <c r="N93" s="568"/>
      <c r="O93" s="569"/>
      <c r="P93" s="176"/>
      <c r="Q93" s="567"/>
      <c r="R93" s="568"/>
      <c r="S93" s="569"/>
      <c r="T93" s="176"/>
      <c r="U93" s="567"/>
      <c r="V93" s="568"/>
      <c r="W93" s="569"/>
      <c r="X93" s="171"/>
    </row>
    <row r="94" spans="1:24" ht="13.5" x14ac:dyDescent="0.25">
      <c r="A94" s="563"/>
      <c r="B94" s="570"/>
      <c r="C94" s="571"/>
      <c r="D94" s="572"/>
      <c r="E94" s="563"/>
      <c r="F94" s="573" t="s">
        <v>2707</v>
      </c>
      <c r="G94" s="574"/>
      <c r="H94" s="176"/>
      <c r="I94" s="570"/>
      <c r="J94" s="571"/>
      <c r="K94" s="572"/>
      <c r="L94" s="176"/>
      <c r="M94" s="570"/>
      <c r="N94" s="571"/>
      <c r="O94" s="572"/>
      <c r="P94" s="176"/>
      <c r="Q94" s="570"/>
      <c r="R94" s="571"/>
      <c r="S94" s="572"/>
      <c r="T94" s="176"/>
      <c r="U94" s="570"/>
      <c r="V94" s="571"/>
      <c r="W94" s="572"/>
      <c r="X94" s="171"/>
    </row>
    <row r="95" spans="1:24" ht="13.5" x14ac:dyDescent="0.25">
      <c r="A95" s="177"/>
      <c r="B95" s="178"/>
      <c r="C95" s="178"/>
      <c r="D95" s="178"/>
      <c r="E95" s="179"/>
      <c r="F95" s="173"/>
      <c r="G95" s="171"/>
      <c r="H95" s="171"/>
      <c r="I95" s="171"/>
      <c r="J95" s="171"/>
      <c r="K95" s="171"/>
      <c r="L95" s="171"/>
      <c r="M95" s="171"/>
      <c r="N95" s="171"/>
      <c r="O95" s="171"/>
      <c r="P95" s="171"/>
      <c r="Q95" s="171"/>
      <c r="R95" s="171"/>
      <c r="S95" s="171"/>
      <c r="T95" s="171"/>
      <c r="U95" s="171"/>
      <c r="V95" s="171"/>
      <c r="W95" s="171"/>
      <c r="X95" s="171"/>
    </row>
    <row r="96" spans="1:24" ht="13.5" x14ac:dyDescent="0.25">
      <c r="A96" s="578" t="s">
        <v>76</v>
      </c>
      <c r="B96" s="582"/>
      <c r="C96" s="582"/>
      <c r="D96" s="582"/>
      <c r="E96" s="174" t="s">
        <v>77</v>
      </c>
      <c r="F96" s="583" t="s">
        <v>2576</v>
      </c>
      <c r="G96" s="572"/>
      <c r="H96" s="578" t="s">
        <v>2578</v>
      </c>
      <c r="I96" s="582"/>
      <c r="J96" s="582"/>
      <c r="K96" s="574"/>
      <c r="L96" s="578" t="s">
        <v>2579</v>
      </c>
      <c r="M96" s="582"/>
      <c r="N96" s="582"/>
      <c r="O96" s="574"/>
      <c r="P96" s="578" t="s">
        <v>2580</v>
      </c>
      <c r="Q96" s="582"/>
      <c r="R96" s="582"/>
      <c r="S96" s="574"/>
      <c r="T96" s="578" t="s">
        <v>2581</v>
      </c>
      <c r="U96" s="582"/>
      <c r="V96" s="582"/>
      <c r="W96" s="574"/>
      <c r="X96" s="171"/>
    </row>
    <row r="97" spans="1:24" ht="13.5" x14ac:dyDescent="0.25">
      <c r="A97" s="561" t="s">
        <v>299</v>
      </c>
      <c r="B97" s="564" t="s">
        <v>96</v>
      </c>
      <c r="C97" s="565"/>
      <c r="D97" s="566"/>
      <c r="E97" s="561" t="s">
        <v>258</v>
      </c>
      <c r="F97" s="573" t="s">
        <v>444</v>
      </c>
      <c r="G97" s="574"/>
      <c r="H97" s="175">
        <f>+H98*H105</f>
        <v>2.0350000000000001</v>
      </c>
      <c r="I97" s="575"/>
      <c r="J97" s="565"/>
      <c r="K97" s="566"/>
      <c r="L97" s="176">
        <f>+L105*L98</f>
        <v>2.6319999999999997</v>
      </c>
      <c r="M97" s="575"/>
      <c r="N97" s="565"/>
      <c r="O97" s="566"/>
      <c r="P97" s="175">
        <f>+P105*P98</f>
        <v>2.0350000000000001</v>
      </c>
      <c r="Q97" s="584"/>
      <c r="R97" s="565"/>
      <c r="S97" s="566"/>
      <c r="T97" s="176">
        <f>+T105*T98</f>
        <v>2.6319999999999997</v>
      </c>
      <c r="U97" s="585"/>
      <c r="V97" s="565"/>
      <c r="W97" s="566"/>
      <c r="X97" s="171"/>
    </row>
    <row r="98" spans="1:24" ht="13.5" x14ac:dyDescent="0.25">
      <c r="A98" s="562"/>
      <c r="B98" s="567"/>
      <c r="C98" s="568"/>
      <c r="D98" s="569"/>
      <c r="E98" s="562"/>
      <c r="F98" s="573" t="s">
        <v>453</v>
      </c>
      <c r="G98" s="574"/>
      <c r="H98" s="176">
        <v>1</v>
      </c>
      <c r="I98" s="567"/>
      <c r="J98" s="568"/>
      <c r="K98" s="569"/>
      <c r="L98" s="176">
        <v>1</v>
      </c>
      <c r="M98" s="567"/>
      <c r="N98" s="568"/>
      <c r="O98" s="569"/>
      <c r="P98" s="176">
        <v>1</v>
      </c>
      <c r="Q98" s="567"/>
      <c r="R98" s="568"/>
      <c r="S98" s="569"/>
      <c r="T98" s="176">
        <v>1</v>
      </c>
      <c r="U98" s="567"/>
      <c r="V98" s="568"/>
      <c r="W98" s="569"/>
      <c r="X98" s="171"/>
    </row>
    <row r="99" spans="1:24" ht="13.5" x14ac:dyDescent="0.25">
      <c r="A99" s="562"/>
      <c r="B99" s="567"/>
      <c r="C99" s="568"/>
      <c r="D99" s="569"/>
      <c r="E99" s="562"/>
      <c r="F99" s="573" t="s">
        <v>2583</v>
      </c>
      <c r="G99" s="574"/>
      <c r="H99" s="176">
        <v>5.5</v>
      </c>
      <c r="I99" s="567"/>
      <c r="J99" s="568"/>
      <c r="K99" s="569"/>
      <c r="L99" s="176">
        <v>5.6</v>
      </c>
      <c r="M99" s="567"/>
      <c r="N99" s="568"/>
      <c r="O99" s="569"/>
      <c r="P99" s="176">
        <v>5.5</v>
      </c>
      <c r="Q99" s="567"/>
      <c r="R99" s="568"/>
      <c r="S99" s="569"/>
      <c r="T99" s="176">
        <v>5.6</v>
      </c>
      <c r="U99" s="567"/>
      <c r="V99" s="568"/>
      <c r="W99" s="569"/>
      <c r="X99" s="171"/>
    </row>
    <row r="100" spans="1:24" ht="13.5" x14ac:dyDescent="0.25">
      <c r="A100" s="562"/>
      <c r="B100" s="567"/>
      <c r="C100" s="568"/>
      <c r="D100" s="569"/>
      <c r="E100" s="562"/>
      <c r="F100" s="573" t="s">
        <v>2584</v>
      </c>
      <c r="G100" s="574"/>
      <c r="H100" s="176"/>
      <c r="I100" s="567"/>
      <c r="J100" s="568"/>
      <c r="K100" s="569"/>
      <c r="L100" s="176"/>
      <c r="M100" s="567"/>
      <c r="N100" s="568"/>
      <c r="O100" s="569"/>
      <c r="P100" s="176"/>
      <c r="Q100" s="567"/>
      <c r="R100" s="568"/>
      <c r="S100" s="569"/>
      <c r="T100" s="176"/>
      <c r="U100" s="567"/>
      <c r="V100" s="568"/>
      <c r="W100" s="569"/>
      <c r="X100" s="171"/>
    </row>
    <row r="101" spans="1:24" ht="13.5" x14ac:dyDescent="0.25">
      <c r="A101" s="562"/>
      <c r="B101" s="567"/>
      <c r="C101" s="568"/>
      <c r="D101" s="569"/>
      <c r="E101" s="562"/>
      <c r="F101" s="573" t="s">
        <v>2585</v>
      </c>
      <c r="G101" s="574"/>
      <c r="H101" s="176"/>
      <c r="I101" s="567"/>
      <c r="J101" s="568"/>
      <c r="K101" s="569"/>
      <c r="L101" s="176"/>
      <c r="M101" s="567"/>
      <c r="N101" s="568"/>
      <c r="O101" s="569"/>
      <c r="P101" s="176"/>
      <c r="Q101" s="567"/>
      <c r="R101" s="568"/>
      <c r="S101" s="569"/>
      <c r="T101" s="176"/>
      <c r="U101" s="567"/>
      <c r="V101" s="568"/>
      <c r="W101" s="569"/>
      <c r="X101" s="171"/>
    </row>
    <row r="102" spans="1:24" ht="13.5" x14ac:dyDescent="0.25">
      <c r="A102" s="562"/>
      <c r="B102" s="567"/>
      <c r="C102" s="568"/>
      <c r="D102" s="569"/>
      <c r="E102" s="562"/>
      <c r="F102" s="573" t="s">
        <v>2586</v>
      </c>
      <c r="G102" s="574"/>
      <c r="H102" s="176"/>
      <c r="I102" s="567"/>
      <c r="J102" s="568"/>
      <c r="K102" s="569"/>
      <c r="L102" s="176"/>
      <c r="M102" s="567"/>
      <c r="N102" s="568"/>
      <c r="O102" s="569"/>
      <c r="P102" s="176"/>
      <c r="Q102" s="567"/>
      <c r="R102" s="568"/>
      <c r="S102" s="569"/>
      <c r="T102" s="176"/>
      <c r="U102" s="567"/>
      <c r="V102" s="568"/>
      <c r="W102" s="569"/>
      <c r="X102" s="171"/>
    </row>
    <row r="103" spans="1:24" ht="13.5" x14ac:dyDescent="0.25">
      <c r="A103" s="562"/>
      <c r="B103" s="567"/>
      <c r="C103" s="568"/>
      <c r="D103" s="569"/>
      <c r="E103" s="562"/>
      <c r="F103" s="573" t="s">
        <v>2587</v>
      </c>
      <c r="G103" s="574"/>
      <c r="H103" s="176"/>
      <c r="I103" s="567"/>
      <c r="J103" s="568"/>
      <c r="K103" s="569"/>
      <c r="L103" s="176"/>
      <c r="M103" s="567"/>
      <c r="N103" s="568"/>
      <c r="O103" s="569"/>
      <c r="P103" s="176"/>
      <c r="Q103" s="567"/>
      <c r="R103" s="568"/>
      <c r="S103" s="569"/>
      <c r="T103" s="176"/>
      <c r="U103" s="567"/>
      <c r="V103" s="568"/>
      <c r="W103" s="569"/>
      <c r="X103" s="171"/>
    </row>
    <row r="104" spans="1:24" ht="13.5" x14ac:dyDescent="0.25">
      <c r="A104" s="562"/>
      <c r="B104" s="567"/>
      <c r="C104" s="568"/>
      <c r="D104" s="569"/>
      <c r="E104" s="562"/>
      <c r="F104" s="573" t="s">
        <v>3188</v>
      </c>
      <c r="G104" s="574"/>
      <c r="H104" s="176">
        <v>0.37</v>
      </c>
      <c r="I104" s="567"/>
      <c r="J104" s="568"/>
      <c r="K104" s="569"/>
      <c r="L104" s="176">
        <v>0.47</v>
      </c>
      <c r="M104" s="567"/>
      <c r="N104" s="568"/>
      <c r="O104" s="569"/>
      <c r="P104" s="176">
        <v>0.37</v>
      </c>
      <c r="Q104" s="567"/>
      <c r="R104" s="568"/>
      <c r="S104" s="569"/>
      <c r="T104" s="176">
        <v>0.47</v>
      </c>
      <c r="U104" s="567"/>
      <c r="V104" s="568"/>
      <c r="W104" s="569"/>
      <c r="X104" s="171"/>
    </row>
    <row r="105" spans="1:24" ht="13.5" x14ac:dyDescent="0.25">
      <c r="A105" s="563"/>
      <c r="B105" s="570"/>
      <c r="C105" s="571"/>
      <c r="D105" s="572"/>
      <c r="E105" s="563"/>
      <c r="F105" s="573" t="s">
        <v>3189</v>
      </c>
      <c r="G105" s="574"/>
      <c r="H105" s="176">
        <f>+H104*H99</f>
        <v>2.0350000000000001</v>
      </c>
      <c r="I105" s="570"/>
      <c r="J105" s="571"/>
      <c r="K105" s="572"/>
      <c r="L105" s="176">
        <f>+L104*L99</f>
        <v>2.6319999999999997</v>
      </c>
      <c r="M105" s="570"/>
      <c r="N105" s="571"/>
      <c r="O105" s="572"/>
      <c r="P105" s="176">
        <f>+P104*P99</f>
        <v>2.0350000000000001</v>
      </c>
      <c r="Q105" s="570"/>
      <c r="R105" s="571"/>
      <c r="S105" s="572"/>
      <c r="T105" s="176">
        <f>+T104*T99</f>
        <v>2.6319999999999997</v>
      </c>
      <c r="U105" s="570"/>
      <c r="V105" s="571"/>
      <c r="W105" s="572"/>
      <c r="X105" s="171"/>
    </row>
    <row r="106" spans="1:24" ht="13.5" x14ac:dyDescent="0.25">
      <c r="A106" s="177"/>
      <c r="B106" s="178"/>
      <c r="C106" s="178"/>
      <c r="D106" s="178"/>
      <c r="E106" s="179"/>
      <c r="F106" s="173"/>
      <c r="G106" s="171"/>
      <c r="H106" s="171"/>
      <c r="I106" s="171"/>
      <c r="J106" s="171"/>
      <c r="K106" s="171"/>
      <c r="L106" s="171"/>
      <c r="M106" s="171"/>
      <c r="N106" s="171"/>
      <c r="O106" s="171"/>
      <c r="P106" s="171"/>
      <c r="Q106" s="171"/>
      <c r="R106" s="171"/>
      <c r="S106" s="171"/>
      <c r="T106" s="171"/>
      <c r="U106" s="171"/>
      <c r="V106" s="171"/>
      <c r="W106" s="171"/>
      <c r="X106" s="171"/>
    </row>
    <row r="107" spans="1:24" ht="13.5" x14ac:dyDescent="0.25">
      <c r="A107" s="578" t="s">
        <v>76</v>
      </c>
      <c r="B107" s="582"/>
      <c r="C107" s="582"/>
      <c r="D107" s="582"/>
      <c r="E107" s="174" t="s">
        <v>77</v>
      </c>
      <c r="F107" s="583" t="s">
        <v>2576</v>
      </c>
      <c r="G107" s="572"/>
      <c r="H107" s="578" t="s">
        <v>2578</v>
      </c>
      <c r="I107" s="582"/>
      <c r="J107" s="582"/>
      <c r="K107" s="574"/>
      <c r="L107" s="578" t="s">
        <v>2579</v>
      </c>
      <c r="M107" s="582"/>
      <c r="N107" s="582"/>
      <c r="O107" s="574"/>
      <c r="P107" s="578" t="s">
        <v>2580</v>
      </c>
      <c r="Q107" s="582"/>
      <c r="R107" s="582"/>
      <c r="S107" s="574"/>
      <c r="T107" s="578" t="s">
        <v>2581</v>
      </c>
      <c r="U107" s="582"/>
      <c r="V107" s="582"/>
      <c r="W107" s="574"/>
      <c r="X107" s="171"/>
    </row>
    <row r="108" spans="1:24" ht="13.5" x14ac:dyDescent="0.25">
      <c r="A108" s="561" t="s">
        <v>300</v>
      </c>
      <c r="B108" s="564" t="s">
        <v>301</v>
      </c>
      <c r="C108" s="565"/>
      <c r="D108" s="566"/>
      <c r="E108" s="561" t="s">
        <v>258</v>
      </c>
      <c r="F108" s="573" t="s">
        <v>444</v>
      </c>
      <c r="G108" s="574"/>
      <c r="H108" s="175">
        <f>+H116</f>
        <v>2.040225</v>
      </c>
      <c r="I108" s="575"/>
      <c r="J108" s="565"/>
      <c r="K108" s="566"/>
      <c r="L108" s="175">
        <f>+L116</f>
        <v>1.5419999999999998</v>
      </c>
      <c r="M108" s="575"/>
      <c r="N108" s="565"/>
      <c r="O108" s="566"/>
      <c r="P108" s="175">
        <f>+P116</f>
        <v>2.040225</v>
      </c>
      <c r="Q108" s="584"/>
      <c r="R108" s="565"/>
      <c r="S108" s="566"/>
      <c r="T108" s="175">
        <f>+T116</f>
        <v>1.5419999999999998</v>
      </c>
      <c r="U108" s="585"/>
      <c r="V108" s="565"/>
      <c r="W108" s="566"/>
      <c r="X108" s="171"/>
    </row>
    <row r="109" spans="1:24" ht="13.5" x14ac:dyDescent="0.25">
      <c r="A109" s="562"/>
      <c r="B109" s="567"/>
      <c r="C109" s="568"/>
      <c r="D109" s="569"/>
      <c r="E109" s="562"/>
      <c r="F109" s="573" t="s">
        <v>453</v>
      </c>
      <c r="G109" s="574"/>
      <c r="H109" s="176">
        <v>1</v>
      </c>
      <c r="I109" s="567"/>
      <c r="J109" s="568"/>
      <c r="K109" s="569"/>
      <c r="L109" s="176">
        <v>1</v>
      </c>
      <c r="M109" s="567"/>
      <c r="N109" s="568"/>
      <c r="O109" s="569"/>
      <c r="P109" s="176">
        <v>1</v>
      </c>
      <c r="Q109" s="567"/>
      <c r="R109" s="568"/>
      <c r="S109" s="569"/>
      <c r="T109" s="176">
        <v>1</v>
      </c>
      <c r="U109" s="567"/>
      <c r="V109" s="568"/>
      <c r="W109" s="569"/>
      <c r="X109" s="171"/>
    </row>
    <row r="110" spans="1:24" ht="13.5" x14ac:dyDescent="0.25">
      <c r="A110" s="562"/>
      <c r="B110" s="567"/>
      <c r="C110" s="568"/>
      <c r="D110" s="569"/>
      <c r="E110" s="562"/>
      <c r="F110" s="573" t="s">
        <v>2583</v>
      </c>
      <c r="G110" s="574"/>
      <c r="H110" s="176"/>
      <c r="I110" s="567"/>
      <c r="J110" s="568"/>
      <c r="K110" s="569"/>
      <c r="L110" s="176"/>
      <c r="M110" s="567"/>
      <c r="N110" s="568"/>
      <c r="O110" s="569"/>
      <c r="P110" s="176"/>
      <c r="Q110" s="567"/>
      <c r="R110" s="568"/>
      <c r="S110" s="569"/>
      <c r="T110" s="176"/>
      <c r="U110" s="567"/>
      <c r="V110" s="568"/>
      <c r="W110" s="569"/>
      <c r="X110" s="171"/>
    </row>
    <row r="111" spans="1:24" ht="13.5" x14ac:dyDescent="0.25">
      <c r="A111" s="562"/>
      <c r="B111" s="567"/>
      <c r="C111" s="568"/>
      <c r="D111" s="569"/>
      <c r="E111" s="562"/>
      <c r="F111" s="573" t="s">
        <v>2584</v>
      </c>
      <c r="G111" s="574"/>
      <c r="H111" s="176">
        <v>1.5</v>
      </c>
      <c r="I111" s="567"/>
      <c r="J111" s="568"/>
      <c r="K111" s="569"/>
      <c r="L111" s="176">
        <v>1.5</v>
      </c>
      <c r="M111" s="567"/>
      <c r="N111" s="568"/>
      <c r="O111" s="569"/>
      <c r="P111" s="176">
        <v>1.5</v>
      </c>
      <c r="Q111" s="567"/>
      <c r="R111" s="568"/>
      <c r="S111" s="569"/>
      <c r="T111" s="176">
        <v>1.5</v>
      </c>
      <c r="U111" s="567"/>
      <c r="V111" s="568"/>
      <c r="W111" s="569"/>
      <c r="X111" s="171"/>
    </row>
    <row r="112" spans="1:24" ht="13.5" x14ac:dyDescent="0.25">
      <c r="A112" s="562"/>
      <c r="B112" s="567"/>
      <c r="C112" s="568"/>
      <c r="D112" s="569"/>
      <c r="E112" s="562"/>
      <c r="F112" s="573" t="s">
        <v>2585</v>
      </c>
      <c r="G112" s="574"/>
      <c r="H112" s="176">
        <v>0.05</v>
      </c>
      <c r="I112" s="567"/>
      <c r="J112" s="568"/>
      <c r="K112" s="569"/>
      <c r="L112" s="176">
        <v>0.05</v>
      </c>
      <c r="M112" s="567"/>
      <c r="N112" s="568"/>
      <c r="O112" s="569"/>
      <c r="P112" s="176">
        <v>0.05</v>
      </c>
      <c r="Q112" s="567"/>
      <c r="R112" s="568"/>
      <c r="S112" s="569"/>
      <c r="T112" s="176">
        <v>0.05</v>
      </c>
      <c r="U112" s="567"/>
      <c r="V112" s="568"/>
      <c r="W112" s="569"/>
      <c r="X112" s="171"/>
    </row>
    <row r="113" spans="1:24" ht="13.5" x14ac:dyDescent="0.25">
      <c r="A113" s="562"/>
      <c r="B113" s="567"/>
      <c r="C113" s="568"/>
      <c r="D113" s="569"/>
      <c r="E113" s="562"/>
      <c r="F113" s="573" t="s">
        <v>2586</v>
      </c>
      <c r="G113" s="574"/>
      <c r="H113" s="176"/>
      <c r="I113" s="567"/>
      <c r="J113" s="568"/>
      <c r="K113" s="569"/>
      <c r="L113" s="176"/>
      <c r="M113" s="567"/>
      <c r="N113" s="568"/>
      <c r="O113" s="569"/>
      <c r="P113" s="176"/>
      <c r="Q113" s="567"/>
      <c r="R113" s="568"/>
      <c r="S113" s="569"/>
      <c r="T113" s="176"/>
      <c r="U113" s="567"/>
      <c r="V113" s="568"/>
      <c r="W113" s="569"/>
      <c r="X113" s="171"/>
    </row>
    <row r="114" spans="1:24" ht="13.5" x14ac:dyDescent="0.25">
      <c r="A114" s="562"/>
      <c r="B114" s="567"/>
      <c r="C114" s="568"/>
      <c r="D114" s="569"/>
      <c r="E114" s="562"/>
      <c r="F114" s="573" t="s">
        <v>2587</v>
      </c>
      <c r="G114" s="574"/>
      <c r="H114" s="176">
        <v>27.202999999999999</v>
      </c>
      <c r="I114" s="567"/>
      <c r="J114" s="568"/>
      <c r="K114" s="569"/>
      <c r="L114" s="176">
        <v>20.56</v>
      </c>
      <c r="M114" s="567"/>
      <c r="N114" s="568"/>
      <c r="O114" s="569"/>
      <c r="P114" s="176">
        <v>27.202999999999999</v>
      </c>
      <c r="Q114" s="567"/>
      <c r="R114" s="568"/>
      <c r="S114" s="569"/>
      <c r="T114" s="176">
        <v>20.56</v>
      </c>
      <c r="U114" s="567"/>
      <c r="V114" s="568"/>
      <c r="W114" s="569"/>
      <c r="X114" s="171"/>
    </row>
    <row r="115" spans="1:24" ht="13.5" x14ac:dyDescent="0.25">
      <c r="A115" s="562"/>
      <c r="B115" s="567"/>
      <c r="C115" s="568"/>
      <c r="D115" s="569"/>
      <c r="E115" s="562"/>
      <c r="F115" s="573" t="s">
        <v>3188</v>
      </c>
      <c r="G115" s="574"/>
      <c r="H115" s="176">
        <f>+H114*H111</f>
        <v>40.804499999999997</v>
      </c>
      <c r="I115" s="567"/>
      <c r="J115" s="568"/>
      <c r="K115" s="569"/>
      <c r="L115" s="176">
        <f>+L114*L111</f>
        <v>30.839999999999996</v>
      </c>
      <c r="M115" s="567"/>
      <c r="N115" s="568"/>
      <c r="O115" s="569"/>
      <c r="P115" s="176">
        <f>+P114*P111</f>
        <v>40.804499999999997</v>
      </c>
      <c r="Q115" s="567"/>
      <c r="R115" s="568"/>
      <c r="S115" s="569"/>
      <c r="T115" s="176">
        <f>+T114*T111</f>
        <v>30.839999999999996</v>
      </c>
      <c r="U115" s="567"/>
      <c r="V115" s="568"/>
      <c r="W115" s="569"/>
      <c r="X115" s="171"/>
    </row>
    <row r="116" spans="1:24" ht="13.5" x14ac:dyDescent="0.25">
      <c r="A116" s="563"/>
      <c r="B116" s="570"/>
      <c r="C116" s="571"/>
      <c r="D116" s="572"/>
      <c r="E116" s="563"/>
      <c r="F116" s="573" t="s">
        <v>3189</v>
      </c>
      <c r="G116" s="574"/>
      <c r="H116" s="176">
        <f>+H115*H112</f>
        <v>2.040225</v>
      </c>
      <c r="I116" s="570"/>
      <c r="J116" s="571"/>
      <c r="K116" s="572"/>
      <c r="L116" s="176">
        <f>+L115*L112</f>
        <v>1.5419999999999998</v>
      </c>
      <c r="M116" s="570"/>
      <c r="N116" s="571"/>
      <c r="O116" s="572"/>
      <c r="P116" s="176">
        <f>+P115*P112</f>
        <v>2.040225</v>
      </c>
      <c r="Q116" s="570"/>
      <c r="R116" s="571"/>
      <c r="S116" s="572"/>
      <c r="T116" s="176">
        <f>+T115*T112</f>
        <v>1.5419999999999998</v>
      </c>
      <c r="U116" s="570"/>
      <c r="V116" s="571"/>
      <c r="W116" s="572"/>
      <c r="X116" s="171"/>
    </row>
    <row r="117" spans="1:24" ht="13.5" x14ac:dyDescent="0.25">
      <c r="A117" s="177"/>
      <c r="B117" s="178"/>
      <c r="C117" s="178"/>
      <c r="D117" s="178"/>
      <c r="E117" s="179"/>
      <c r="F117" s="173"/>
      <c r="G117" s="171"/>
      <c r="H117" s="171"/>
      <c r="I117" s="171"/>
      <c r="J117" s="171"/>
      <c r="K117" s="171"/>
      <c r="L117" s="171"/>
      <c r="M117" s="171"/>
      <c r="N117" s="171"/>
      <c r="O117" s="171"/>
      <c r="P117" s="171"/>
      <c r="Q117" s="171"/>
      <c r="R117" s="171"/>
      <c r="S117" s="171"/>
      <c r="T117" s="171"/>
      <c r="U117" s="171"/>
      <c r="V117" s="171"/>
      <c r="W117" s="171"/>
      <c r="X117" s="171"/>
    </row>
    <row r="118" spans="1:24" ht="13.5" x14ac:dyDescent="0.25">
      <c r="A118" s="578" t="s">
        <v>76</v>
      </c>
      <c r="B118" s="582"/>
      <c r="C118" s="582"/>
      <c r="D118" s="582"/>
      <c r="E118" s="174" t="s">
        <v>77</v>
      </c>
      <c r="F118" s="583" t="s">
        <v>2576</v>
      </c>
      <c r="G118" s="572"/>
      <c r="H118" s="578" t="s">
        <v>2578</v>
      </c>
      <c r="I118" s="582"/>
      <c r="J118" s="582"/>
      <c r="K118" s="574"/>
      <c r="L118" s="578" t="s">
        <v>2579</v>
      </c>
      <c r="M118" s="582"/>
      <c r="N118" s="582"/>
      <c r="O118" s="574"/>
      <c r="P118" s="586" t="s">
        <v>2580</v>
      </c>
      <c r="Q118" s="565"/>
      <c r="R118" s="565"/>
      <c r="S118" s="566"/>
      <c r="T118" s="578" t="s">
        <v>2581</v>
      </c>
      <c r="U118" s="582"/>
      <c r="V118" s="582"/>
      <c r="W118" s="574"/>
      <c r="X118" s="171"/>
    </row>
    <row r="119" spans="1:24" ht="13.5" x14ac:dyDescent="0.25">
      <c r="A119" s="561" t="s">
        <v>302</v>
      </c>
      <c r="B119" s="564" t="s">
        <v>98</v>
      </c>
      <c r="C119" s="565"/>
      <c r="D119" s="566"/>
      <c r="E119" s="561" t="s">
        <v>258</v>
      </c>
      <c r="F119" s="573" t="s">
        <v>444</v>
      </c>
      <c r="G119" s="574"/>
      <c r="H119" s="175">
        <f>+H127</f>
        <v>6.1206749999999994</v>
      </c>
      <c r="I119" s="575"/>
      <c r="J119" s="565"/>
      <c r="K119" s="566"/>
      <c r="L119" s="175">
        <f>+L127</f>
        <v>4.6259999999999994</v>
      </c>
      <c r="M119" s="575"/>
      <c r="N119" s="565"/>
      <c r="O119" s="566"/>
      <c r="P119" s="181">
        <f>+P127</f>
        <v>6.1206749999999994</v>
      </c>
      <c r="Q119" s="584"/>
      <c r="R119" s="565"/>
      <c r="S119" s="566"/>
      <c r="T119" s="175">
        <f>+T127</f>
        <v>4.6259999999999994</v>
      </c>
      <c r="U119" s="585"/>
      <c r="V119" s="565"/>
      <c r="W119" s="566"/>
      <c r="X119" s="171"/>
    </row>
    <row r="120" spans="1:24" ht="13.5" x14ac:dyDescent="0.25">
      <c r="A120" s="562"/>
      <c r="B120" s="567"/>
      <c r="C120" s="568"/>
      <c r="D120" s="569"/>
      <c r="E120" s="562"/>
      <c r="F120" s="573" t="s">
        <v>453</v>
      </c>
      <c r="G120" s="574"/>
      <c r="H120" s="176">
        <v>1</v>
      </c>
      <c r="I120" s="567"/>
      <c r="J120" s="568"/>
      <c r="K120" s="569"/>
      <c r="L120" s="176">
        <v>1</v>
      </c>
      <c r="M120" s="567"/>
      <c r="N120" s="568"/>
      <c r="O120" s="569"/>
      <c r="P120" s="182">
        <v>1</v>
      </c>
      <c r="Q120" s="567"/>
      <c r="R120" s="568"/>
      <c r="S120" s="569"/>
      <c r="T120" s="176">
        <v>1</v>
      </c>
      <c r="U120" s="567"/>
      <c r="V120" s="568"/>
      <c r="W120" s="569"/>
      <c r="X120" s="171"/>
    </row>
    <row r="121" spans="1:24" ht="13.5" x14ac:dyDescent="0.25">
      <c r="A121" s="562"/>
      <c r="B121" s="567"/>
      <c r="C121" s="568"/>
      <c r="D121" s="569"/>
      <c r="E121" s="562"/>
      <c r="F121" s="573" t="s">
        <v>2583</v>
      </c>
      <c r="G121" s="574"/>
      <c r="H121" s="176"/>
      <c r="I121" s="567"/>
      <c r="J121" s="568"/>
      <c r="K121" s="569"/>
      <c r="L121" s="176"/>
      <c r="M121" s="567"/>
      <c r="N121" s="568"/>
      <c r="O121" s="569"/>
      <c r="P121" s="182"/>
      <c r="Q121" s="567"/>
      <c r="R121" s="568"/>
      <c r="S121" s="569"/>
      <c r="T121" s="176"/>
      <c r="U121" s="567"/>
      <c r="V121" s="568"/>
      <c r="W121" s="569"/>
      <c r="X121" s="171"/>
    </row>
    <row r="122" spans="1:24" ht="13.5" x14ac:dyDescent="0.25">
      <c r="A122" s="562"/>
      <c r="B122" s="567"/>
      <c r="C122" s="568"/>
      <c r="D122" s="569"/>
      <c r="E122" s="562"/>
      <c r="F122" s="573" t="s">
        <v>2584</v>
      </c>
      <c r="G122" s="574"/>
      <c r="H122" s="176">
        <v>1.5</v>
      </c>
      <c r="I122" s="567"/>
      <c r="J122" s="568"/>
      <c r="K122" s="569"/>
      <c r="L122" s="176">
        <v>1.5</v>
      </c>
      <c r="M122" s="567"/>
      <c r="N122" s="568"/>
      <c r="O122" s="569"/>
      <c r="P122" s="182">
        <v>1.5</v>
      </c>
      <c r="Q122" s="567"/>
      <c r="R122" s="568"/>
      <c r="S122" s="569"/>
      <c r="T122" s="176">
        <v>1.5</v>
      </c>
      <c r="U122" s="567"/>
      <c r="V122" s="568"/>
      <c r="W122" s="569"/>
      <c r="X122" s="171"/>
    </row>
    <row r="123" spans="1:24" ht="13.5" x14ac:dyDescent="0.25">
      <c r="A123" s="562"/>
      <c r="B123" s="567"/>
      <c r="C123" s="568"/>
      <c r="D123" s="569"/>
      <c r="E123" s="562"/>
      <c r="F123" s="573" t="s">
        <v>2585</v>
      </c>
      <c r="G123" s="574"/>
      <c r="H123" s="176">
        <v>0.15</v>
      </c>
      <c r="I123" s="567"/>
      <c r="J123" s="568"/>
      <c r="K123" s="569"/>
      <c r="L123" s="176">
        <v>0.15</v>
      </c>
      <c r="M123" s="567"/>
      <c r="N123" s="568"/>
      <c r="O123" s="569"/>
      <c r="P123" s="182">
        <v>0.15</v>
      </c>
      <c r="Q123" s="567"/>
      <c r="R123" s="568"/>
      <c r="S123" s="569"/>
      <c r="T123" s="176">
        <v>0.15</v>
      </c>
      <c r="U123" s="567"/>
      <c r="V123" s="568"/>
      <c r="W123" s="569"/>
      <c r="X123" s="171"/>
    </row>
    <row r="124" spans="1:24" ht="13.5" x14ac:dyDescent="0.25">
      <c r="A124" s="562"/>
      <c r="B124" s="567"/>
      <c r="C124" s="568"/>
      <c r="D124" s="569"/>
      <c r="E124" s="562"/>
      <c r="F124" s="573" t="s">
        <v>2586</v>
      </c>
      <c r="G124" s="574"/>
      <c r="H124" s="176"/>
      <c r="I124" s="567"/>
      <c r="J124" s="568"/>
      <c r="K124" s="569"/>
      <c r="L124" s="176"/>
      <c r="M124" s="567"/>
      <c r="N124" s="568"/>
      <c r="O124" s="569"/>
      <c r="P124" s="182"/>
      <c r="Q124" s="567"/>
      <c r="R124" s="568"/>
      <c r="S124" s="569"/>
      <c r="T124" s="176"/>
      <c r="U124" s="567"/>
      <c r="V124" s="568"/>
      <c r="W124" s="569"/>
      <c r="X124" s="171"/>
    </row>
    <row r="125" spans="1:24" ht="13.5" x14ac:dyDescent="0.25">
      <c r="A125" s="562"/>
      <c r="B125" s="567"/>
      <c r="C125" s="568"/>
      <c r="D125" s="569"/>
      <c r="E125" s="562"/>
      <c r="F125" s="573" t="s">
        <v>2587</v>
      </c>
      <c r="G125" s="574"/>
      <c r="H125" s="176">
        <v>27.202999999999999</v>
      </c>
      <c r="I125" s="567"/>
      <c r="J125" s="568"/>
      <c r="K125" s="569"/>
      <c r="L125" s="176">
        <v>20.56</v>
      </c>
      <c r="M125" s="567"/>
      <c r="N125" s="568"/>
      <c r="O125" s="569"/>
      <c r="P125" s="182">
        <v>27.202999999999999</v>
      </c>
      <c r="Q125" s="567"/>
      <c r="R125" s="568"/>
      <c r="S125" s="569"/>
      <c r="T125" s="176">
        <v>20.56</v>
      </c>
      <c r="U125" s="567"/>
      <c r="V125" s="568"/>
      <c r="W125" s="569"/>
      <c r="X125" s="171"/>
    </row>
    <row r="126" spans="1:24" ht="13.5" x14ac:dyDescent="0.25">
      <c r="A126" s="562"/>
      <c r="B126" s="567"/>
      <c r="C126" s="568"/>
      <c r="D126" s="569"/>
      <c r="E126" s="562"/>
      <c r="F126" s="573" t="s">
        <v>3188</v>
      </c>
      <c r="G126" s="574"/>
      <c r="H126" s="176">
        <f>+H125*H122</f>
        <v>40.804499999999997</v>
      </c>
      <c r="I126" s="567"/>
      <c r="J126" s="568"/>
      <c r="K126" s="569"/>
      <c r="L126" s="176">
        <f>+L125*L122</f>
        <v>30.839999999999996</v>
      </c>
      <c r="M126" s="567"/>
      <c r="N126" s="568"/>
      <c r="O126" s="569"/>
      <c r="P126" s="182">
        <f>+P125*P122</f>
        <v>40.804499999999997</v>
      </c>
      <c r="Q126" s="567"/>
      <c r="R126" s="568"/>
      <c r="S126" s="569"/>
      <c r="T126" s="176">
        <f>+T125*T122</f>
        <v>30.839999999999996</v>
      </c>
      <c r="U126" s="567"/>
      <c r="V126" s="568"/>
      <c r="W126" s="569"/>
      <c r="X126" s="171"/>
    </row>
    <row r="127" spans="1:24" ht="13.5" x14ac:dyDescent="0.25">
      <c r="A127" s="563"/>
      <c r="B127" s="570"/>
      <c r="C127" s="571"/>
      <c r="D127" s="572"/>
      <c r="E127" s="563"/>
      <c r="F127" s="573" t="s">
        <v>3189</v>
      </c>
      <c r="G127" s="574"/>
      <c r="H127" s="176">
        <f>+H126*H123</f>
        <v>6.1206749999999994</v>
      </c>
      <c r="I127" s="570"/>
      <c r="J127" s="571"/>
      <c r="K127" s="572"/>
      <c r="L127" s="176">
        <f>+L126*L123</f>
        <v>4.6259999999999994</v>
      </c>
      <c r="M127" s="570"/>
      <c r="N127" s="571"/>
      <c r="O127" s="572"/>
      <c r="P127" s="182">
        <f>+P126*P123</f>
        <v>6.1206749999999994</v>
      </c>
      <c r="Q127" s="570"/>
      <c r="R127" s="571"/>
      <c r="S127" s="572"/>
      <c r="T127" s="176">
        <f>+T126*T123</f>
        <v>4.6259999999999994</v>
      </c>
      <c r="U127" s="570"/>
      <c r="V127" s="571"/>
      <c r="W127" s="572"/>
      <c r="X127" s="171"/>
    </row>
    <row r="128" spans="1:24" ht="13.5" x14ac:dyDescent="0.25">
      <c r="A128" s="177"/>
      <c r="B128" s="178"/>
      <c r="C128" s="178"/>
      <c r="D128" s="178"/>
      <c r="E128" s="179"/>
      <c r="F128" s="173"/>
      <c r="G128" s="171"/>
      <c r="H128" s="171"/>
      <c r="I128" s="171"/>
      <c r="J128" s="171"/>
      <c r="K128" s="171"/>
      <c r="L128" s="171"/>
      <c r="M128" s="171"/>
      <c r="N128" s="171"/>
      <c r="O128" s="171"/>
      <c r="P128" s="171"/>
      <c r="Q128" s="171"/>
      <c r="R128" s="171"/>
      <c r="S128" s="171"/>
      <c r="T128" s="171"/>
      <c r="U128" s="171"/>
      <c r="V128" s="171"/>
      <c r="W128" s="171"/>
      <c r="X128" s="171"/>
    </row>
    <row r="129" spans="1:24" ht="13.5" x14ac:dyDescent="0.25">
      <c r="A129" s="578" t="s">
        <v>76</v>
      </c>
      <c r="B129" s="582"/>
      <c r="C129" s="582"/>
      <c r="D129" s="582"/>
      <c r="E129" s="174" t="s">
        <v>77</v>
      </c>
      <c r="F129" s="583" t="s">
        <v>2576</v>
      </c>
      <c r="G129" s="572"/>
      <c r="H129" s="578" t="s">
        <v>2578</v>
      </c>
      <c r="I129" s="582"/>
      <c r="J129" s="582"/>
      <c r="K129" s="574"/>
      <c r="L129" s="578" t="s">
        <v>2579</v>
      </c>
      <c r="M129" s="582"/>
      <c r="N129" s="582"/>
      <c r="O129" s="574"/>
      <c r="P129" s="578" t="s">
        <v>2580</v>
      </c>
      <c r="Q129" s="582"/>
      <c r="R129" s="582"/>
      <c r="S129" s="574"/>
      <c r="T129" s="578" t="s">
        <v>2581</v>
      </c>
      <c r="U129" s="582"/>
      <c r="V129" s="582"/>
      <c r="W129" s="574"/>
      <c r="X129" s="171"/>
    </row>
    <row r="130" spans="1:24" ht="13.5" x14ac:dyDescent="0.25">
      <c r="A130" s="561" t="s">
        <v>303</v>
      </c>
      <c r="B130" s="564" t="s">
        <v>199</v>
      </c>
      <c r="C130" s="565"/>
      <c r="D130" s="566"/>
      <c r="E130" s="561" t="s">
        <v>258</v>
      </c>
      <c r="F130" s="573" t="s">
        <v>444</v>
      </c>
      <c r="G130" s="574"/>
      <c r="H130" s="175">
        <f>+H132*H137</f>
        <v>9.625</v>
      </c>
      <c r="I130" s="575"/>
      <c r="J130" s="565"/>
      <c r="K130" s="566"/>
      <c r="L130" s="176">
        <f>+L132*L137</f>
        <v>15.567999999999998</v>
      </c>
      <c r="M130" s="575"/>
      <c r="N130" s="565"/>
      <c r="O130" s="566"/>
      <c r="P130" s="176">
        <f>+P132*P137</f>
        <v>9.625</v>
      </c>
      <c r="Q130" s="575"/>
      <c r="R130" s="565"/>
      <c r="S130" s="566"/>
      <c r="T130" s="176">
        <f>+T132*T137</f>
        <v>15.567999999999998</v>
      </c>
      <c r="U130" s="585"/>
      <c r="V130" s="565"/>
      <c r="W130" s="566"/>
      <c r="X130" s="171"/>
    </row>
    <row r="131" spans="1:24" ht="13.5" x14ac:dyDescent="0.25">
      <c r="A131" s="562"/>
      <c r="B131" s="567"/>
      <c r="C131" s="568"/>
      <c r="D131" s="569"/>
      <c r="E131" s="562"/>
      <c r="F131" s="573" t="s">
        <v>453</v>
      </c>
      <c r="G131" s="574"/>
      <c r="H131" s="176">
        <v>1</v>
      </c>
      <c r="I131" s="567"/>
      <c r="J131" s="568"/>
      <c r="K131" s="569"/>
      <c r="L131" s="176">
        <v>1</v>
      </c>
      <c r="M131" s="567"/>
      <c r="N131" s="568"/>
      <c r="O131" s="569"/>
      <c r="P131" s="176">
        <v>1</v>
      </c>
      <c r="Q131" s="567"/>
      <c r="R131" s="568"/>
      <c r="S131" s="569"/>
      <c r="T131" s="176">
        <v>1</v>
      </c>
      <c r="U131" s="567"/>
      <c r="V131" s="568"/>
      <c r="W131" s="569"/>
      <c r="X131" s="171"/>
    </row>
    <row r="132" spans="1:24" ht="13.5" x14ac:dyDescent="0.25">
      <c r="A132" s="562"/>
      <c r="B132" s="567"/>
      <c r="C132" s="568"/>
      <c r="D132" s="569"/>
      <c r="E132" s="562"/>
      <c r="F132" s="573" t="s">
        <v>2583</v>
      </c>
      <c r="G132" s="574"/>
      <c r="H132" s="176">
        <v>5.5</v>
      </c>
      <c r="I132" s="567"/>
      <c r="J132" s="568"/>
      <c r="K132" s="569"/>
      <c r="L132" s="176">
        <v>5.6</v>
      </c>
      <c r="M132" s="567"/>
      <c r="N132" s="568"/>
      <c r="O132" s="569"/>
      <c r="P132" s="176">
        <v>5.5</v>
      </c>
      <c r="Q132" s="567"/>
      <c r="R132" s="568"/>
      <c r="S132" s="569"/>
      <c r="T132" s="176">
        <v>5.6</v>
      </c>
      <c r="U132" s="567"/>
      <c r="V132" s="568"/>
      <c r="W132" s="569"/>
      <c r="X132" s="171"/>
    </row>
    <row r="133" spans="1:24" ht="13.5" x14ac:dyDescent="0.25">
      <c r="A133" s="562"/>
      <c r="B133" s="567"/>
      <c r="C133" s="568"/>
      <c r="D133" s="569"/>
      <c r="E133" s="562"/>
      <c r="F133" s="573" t="s">
        <v>2584</v>
      </c>
      <c r="G133" s="574"/>
      <c r="H133" s="176"/>
      <c r="I133" s="567"/>
      <c r="J133" s="568"/>
      <c r="K133" s="569"/>
      <c r="L133" s="176"/>
      <c r="M133" s="567"/>
      <c r="N133" s="568"/>
      <c r="O133" s="569"/>
      <c r="P133" s="176"/>
      <c r="Q133" s="567"/>
      <c r="R133" s="568"/>
      <c r="S133" s="569"/>
      <c r="T133" s="176"/>
      <c r="U133" s="567"/>
      <c r="V133" s="568"/>
      <c r="W133" s="569"/>
      <c r="X133" s="171"/>
    </row>
    <row r="134" spans="1:24" ht="13.5" x14ac:dyDescent="0.25">
      <c r="A134" s="562"/>
      <c r="B134" s="567"/>
      <c r="C134" s="568"/>
      <c r="D134" s="569"/>
      <c r="E134" s="562"/>
      <c r="F134" s="573" t="s">
        <v>2585</v>
      </c>
      <c r="G134" s="574"/>
      <c r="H134" s="176"/>
      <c r="I134" s="567"/>
      <c r="J134" s="568"/>
      <c r="K134" s="569"/>
      <c r="L134" s="176"/>
      <c r="M134" s="567"/>
      <c r="N134" s="568"/>
      <c r="O134" s="569"/>
      <c r="P134" s="176"/>
      <c r="Q134" s="567"/>
      <c r="R134" s="568"/>
      <c r="S134" s="569"/>
      <c r="T134" s="176"/>
      <c r="U134" s="567"/>
      <c r="V134" s="568"/>
      <c r="W134" s="569"/>
      <c r="X134" s="171"/>
    </row>
    <row r="135" spans="1:24" ht="13.5" x14ac:dyDescent="0.25">
      <c r="A135" s="562"/>
      <c r="B135" s="567"/>
      <c r="C135" s="568"/>
      <c r="D135" s="569"/>
      <c r="E135" s="562"/>
      <c r="F135" s="573" t="s">
        <v>2586</v>
      </c>
      <c r="G135" s="574"/>
      <c r="H135" s="176"/>
      <c r="I135" s="567"/>
      <c r="J135" s="568"/>
      <c r="K135" s="569"/>
      <c r="L135" s="176"/>
      <c r="M135" s="567"/>
      <c r="N135" s="568"/>
      <c r="O135" s="569"/>
      <c r="P135" s="176"/>
      <c r="Q135" s="567"/>
      <c r="R135" s="568"/>
      <c r="S135" s="569"/>
      <c r="T135" s="176"/>
      <c r="U135" s="567"/>
      <c r="V135" s="568"/>
      <c r="W135" s="569"/>
      <c r="X135" s="171"/>
    </row>
    <row r="136" spans="1:24" ht="13.5" x14ac:dyDescent="0.25">
      <c r="A136" s="562"/>
      <c r="B136" s="567"/>
      <c r="C136" s="568"/>
      <c r="D136" s="569"/>
      <c r="E136" s="562"/>
      <c r="F136" s="573" t="s">
        <v>2587</v>
      </c>
      <c r="G136" s="574"/>
      <c r="H136" s="176"/>
      <c r="I136" s="567"/>
      <c r="J136" s="568"/>
      <c r="K136" s="569"/>
      <c r="L136" s="176"/>
      <c r="M136" s="567"/>
      <c r="N136" s="568"/>
      <c r="O136" s="569"/>
      <c r="P136" s="176"/>
      <c r="Q136" s="567"/>
      <c r="R136" s="568"/>
      <c r="S136" s="569"/>
      <c r="T136" s="176"/>
      <c r="U136" s="567"/>
      <c r="V136" s="568"/>
      <c r="W136" s="569"/>
      <c r="X136" s="171"/>
    </row>
    <row r="137" spans="1:24" ht="13.5" x14ac:dyDescent="0.25">
      <c r="A137" s="562"/>
      <c r="B137" s="567"/>
      <c r="C137" s="568"/>
      <c r="D137" s="569"/>
      <c r="E137" s="562"/>
      <c r="F137" s="573" t="s">
        <v>3188</v>
      </c>
      <c r="G137" s="574"/>
      <c r="H137" s="176">
        <v>1.75</v>
      </c>
      <c r="I137" s="567"/>
      <c r="J137" s="568"/>
      <c r="K137" s="569"/>
      <c r="L137" s="176">
        <v>2.78</v>
      </c>
      <c r="M137" s="567"/>
      <c r="N137" s="568"/>
      <c r="O137" s="569"/>
      <c r="P137" s="176">
        <v>1.75</v>
      </c>
      <c r="Q137" s="567"/>
      <c r="R137" s="568"/>
      <c r="S137" s="569"/>
      <c r="T137" s="176">
        <v>2.78</v>
      </c>
      <c r="U137" s="567"/>
      <c r="V137" s="568"/>
      <c r="W137" s="569"/>
      <c r="X137" s="171"/>
    </row>
    <row r="138" spans="1:24" ht="13.5" x14ac:dyDescent="0.25">
      <c r="A138" s="563"/>
      <c r="B138" s="570"/>
      <c r="C138" s="571"/>
      <c r="D138" s="572"/>
      <c r="E138" s="563"/>
      <c r="F138" s="573" t="s">
        <v>3189</v>
      </c>
      <c r="G138" s="574"/>
      <c r="H138" s="176"/>
      <c r="I138" s="570"/>
      <c r="J138" s="571"/>
      <c r="K138" s="572"/>
      <c r="L138" s="176"/>
      <c r="M138" s="570"/>
      <c r="N138" s="571"/>
      <c r="O138" s="572"/>
      <c r="P138" s="176"/>
      <c r="Q138" s="570"/>
      <c r="R138" s="571"/>
      <c r="S138" s="572"/>
      <c r="T138" s="176"/>
      <c r="U138" s="570"/>
      <c r="V138" s="571"/>
      <c r="W138" s="572"/>
      <c r="X138" s="171"/>
    </row>
    <row r="139" spans="1:24" ht="13.5" x14ac:dyDescent="0.25">
      <c r="A139" s="177"/>
      <c r="B139" s="178"/>
      <c r="C139" s="178"/>
      <c r="D139" s="178"/>
      <c r="E139" s="179"/>
      <c r="F139" s="173"/>
      <c r="G139" s="171"/>
      <c r="H139" s="171"/>
      <c r="I139" s="171"/>
      <c r="J139" s="171"/>
      <c r="K139" s="171"/>
      <c r="L139" s="171"/>
      <c r="M139" s="171"/>
      <c r="N139" s="171"/>
      <c r="O139" s="171"/>
      <c r="P139" s="171"/>
      <c r="Q139" s="171"/>
      <c r="R139" s="171"/>
      <c r="S139" s="171"/>
      <c r="T139" s="171"/>
      <c r="U139" s="171"/>
      <c r="V139" s="171"/>
      <c r="W139" s="171"/>
      <c r="X139" s="171"/>
    </row>
    <row r="140" spans="1:24" ht="13.5" x14ac:dyDescent="0.25">
      <c r="A140" s="578" t="s">
        <v>76</v>
      </c>
      <c r="B140" s="582"/>
      <c r="C140" s="582"/>
      <c r="D140" s="582"/>
      <c r="E140" s="174" t="s">
        <v>77</v>
      </c>
      <c r="F140" s="583" t="s">
        <v>2576</v>
      </c>
      <c r="G140" s="572"/>
      <c r="H140" s="578" t="s">
        <v>2578</v>
      </c>
      <c r="I140" s="582"/>
      <c r="J140" s="582"/>
      <c r="K140" s="574"/>
      <c r="L140" s="578" t="s">
        <v>2579</v>
      </c>
      <c r="M140" s="582"/>
      <c r="N140" s="582"/>
      <c r="O140" s="574"/>
      <c r="P140" s="578" t="s">
        <v>2580</v>
      </c>
      <c r="Q140" s="582"/>
      <c r="R140" s="582"/>
      <c r="S140" s="574"/>
      <c r="T140" s="578" t="s">
        <v>2581</v>
      </c>
      <c r="U140" s="582"/>
      <c r="V140" s="582"/>
      <c r="W140" s="574"/>
      <c r="X140" s="171"/>
    </row>
    <row r="141" spans="1:24" ht="13.5" x14ac:dyDescent="0.25">
      <c r="A141" s="561" t="s">
        <v>304</v>
      </c>
      <c r="B141" s="564" t="s">
        <v>254</v>
      </c>
      <c r="C141" s="565"/>
      <c r="D141" s="566"/>
      <c r="E141" s="561" t="s">
        <v>258</v>
      </c>
      <c r="F141" s="573" t="s">
        <v>444</v>
      </c>
      <c r="G141" s="574"/>
      <c r="H141" s="175">
        <f>+H149*H142</f>
        <v>17.739250000000002</v>
      </c>
      <c r="I141" s="575"/>
      <c r="J141" s="565"/>
      <c r="K141" s="566"/>
      <c r="L141" s="176">
        <f>+L149*L142</f>
        <v>42.23899999999999</v>
      </c>
      <c r="M141" s="575"/>
      <c r="N141" s="565"/>
      <c r="O141" s="566"/>
      <c r="P141" s="175">
        <f>+P149*P142</f>
        <v>17.739250000000002</v>
      </c>
      <c r="Q141" s="585"/>
      <c r="R141" s="565"/>
      <c r="S141" s="566"/>
      <c r="T141" s="176">
        <f>+T149*T142</f>
        <v>42.23899999999999</v>
      </c>
      <c r="U141" s="585"/>
      <c r="V141" s="565"/>
      <c r="W141" s="566"/>
      <c r="X141" s="171"/>
    </row>
    <row r="142" spans="1:24" ht="13.5" x14ac:dyDescent="0.25">
      <c r="A142" s="562"/>
      <c r="B142" s="567"/>
      <c r="C142" s="568"/>
      <c r="D142" s="569"/>
      <c r="E142" s="562"/>
      <c r="F142" s="573" t="s">
        <v>453</v>
      </c>
      <c r="G142" s="574"/>
      <c r="H142" s="176">
        <v>1</v>
      </c>
      <c r="I142" s="567"/>
      <c r="J142" s="568"/>
      <c r="K142" s="569"/>
      <c r="L142" s="176">
        <v>1</v>
      </c>
      <c r="M142" s="567"/>
      <c r="N142" s="568"/>
      <c r="O142" s="569"/>
      <c r="P142" s="176">
        <v>1</v>
      </c>
      <c r="Q142" s="567"/>
      <c r="R142" s="568"/>
      <c r="S142" s="569"/>
      <c r="T142" s="176">
        <v>1</v>
      </c>
      <c r="U142" s="567"/>
      <c r="V142" s="568"/>
      <c r="W142" s="569"/>
      <c r="X142" s="171"/>
    </row>
    <row r="143" spans="1:24" ht="13.5" x14ac:dyDescent="0.25">
      <c r="A143" s="562"/>
      <c r="B143" s="567"/>
      <c r="C143" s="568"/>
      <c r="D143" s="569"/>
      <c r="E143" s="562"/>
      <c r="F143" s="573" t="s">
        <v>2583</v>
      </c>
      <c r="G143" s="574"/>
      <c r="H143" s="176"/>
      <c r="I143" s="567"/>
      <c r="J143" s="568"/>
      <c r="K143" s="569"/>
      <c r="L143" s="176"/>
      <c r="M143" s="567"/>
      <c r="N143" s="568"/>
      <c r="O143" s="569"/>
      <c r="P143" s="176"/>
      <c r="Q143" s="567"/>
      <c r="R143" s="568"/>
      <c r="S143" s="569"/>
      <c r="T143" s="176"/>
      <c r="U143" s="567"/>
      <c r="V143" s="568"/>
      <c r="W143" s="569"/>
      <c r="X143" s="171"/>
    </row>
    <row r="144" spans="1:24" ht="13.5" x14ac:dyDescent="0.25">
      <c r="A144" s="562"/>
      <c r="B144" s="567"/>
      <c r="C144" s="568"/>
      <c r="D144" s="569"/>
      <c r="E144" s="562"/>
      <c r="F144" s="573" t="s">
        <v>2584</v>
      </c>
      <c r="G144" s="574"/>
      <c r="H144" s="176"/>
      <c r="I144" s="567"/>
      <c r="J144" s="568"/>
      <c r="K144" s="569"/>
      <c r="L144" s="176"/>
      <c r="M144" s="567"/>
      <c r="N144" s="568"/>
      <c r="O144" s="569"/>
      <c r="P144" s="176"/>
      <c r="Q144" s="567"/>
      <c r="R144" s="568"/>
      <c r="S144" s="569"/>
      <c r="T144" s="176"/>
      <c r="U144" s="567"/>
      <c r="V144" s="568"/>
      <c r="W144" s="569"/>
      <c r="X144" s="171"/>
    </row>
    <row r="145" spans="1:24" ht="13.5" x14ac:dyDescent="0.25">
      <c r="A145" s="562"/>
      <c r="B145" s="567"/>
      <c r="C145" s="568"/>
      <c r="D145" s="569"/>
      <c r="E145" s="562"/>
      <c r="F145" s="573" t="s">
        <v>2585</v>
      </c>
      <c r="G145" s="574"/>
      <c r="H145" s="176"/>
      <c r="I145" s="567"/>
      <c r="J145" s="568"/>
      <c r="K145" s="569"/>
      <c r="L145" s="176"/>
      <c r="M145" s="567"/>
      <c r="N145" s="568"/>
      <c r="O145" s="569"/>
      <c r="P145" s="176"/>
      <c r="Q145" s="567"/>
      <c r="R145" s="568"/>
      <c r="S145" s="569"/>
      <c r="T145" s="176"/>
      <c r="U145" s="567"/>
      <c r="V145" s="568"/>
      <c r="W145" s="569"/>
      <c r="X145" s="171"/>
    </row>
    <row r="146" spans="1:24" ht="13.5" x14ac:dyDescent="0.25">
      <c r="A146" s="562"/>
      <c r="B146" s="567"/>
      <c r="C146" s="568"/>
      <c r="D146" s="569"/>
      <c r="E146" s="562"/>
      <c r="F146" s="573" t="s">
        <v>2586</v>
      </c>
      <c r="G146" s="574"/>
      <c r="H146" s="176"/>
      <c r="I146" s="567"/>
      <c r="J146" s="568"/>
      <c r="K146" s="569"/>
      <c r="L146" s="176"/>
      <c r="M146" s="567"/>
      <c r="N146" s="568"/>
      <c r="O146" s="569"/>
      <c r="P146" s="176"/>
      <c r="Q146" s="567"/>
      <c r="R146" s="568"/>
      <c r="S146" s="569"/>
      <c r="T146" s="176"/>
      <c r="U146" s="567"/>
      <c r="V146" s="568"/>
      <c r="W146" s="569"/>
      <c r="X146" s="171"/>
    </row>
    <row r="147" spans="1:24" ht="13.5" x14ac:dyDescent="0.25">
      <c r="A147" s="562"/>
      <c r="B147" s="567"/>
      <c r="C147" s="568"/>
      <c r="D147" s="569"/>
      <c r="E147" s="562"/>
      <c r="F147" s="573" t="s">
        <v>2587</v>
      </c>
      <c r="G147" s="574"/>
      <c r="H147" s="176"/>
      <c r="I147" s="567"/>
      <c r="J147" s="568"/>
      <c r="K147" s="569"/>
      <c r="L147" s="176"/>
      <c r="M147" s="567"/>
      <c r="N147" s="568"/>
      <c r="O147" s="569"/>
      <c r="P147" s="176"/>
      <c r="Q147" s="567"/>
      <c r="R147" s="568"/>
      <c r="S147" s="569"/>
      <c r="T147" s="176"/>
      <c r="U147" s="567"/>
      <c r="V147" s="568"/>
      <c r="W147" s="569"/>
      <c r="X147" s="171"/>
    </row>
    <row r="148" spans="1:24" ht="13.5" x14ac:dyDescent="0.25">
      <c r="A148" s="562"/>
      <c r="B148" s="567"/>
      <c r="C148" s="568"/>
      <c r="D148" s="569"/>
      <c r="E148" s="562"/>
      <c r="F148" s="573" t="s">
        <v>3188</v>
      </c>
      <c r="G148" s="574"/>
      <c r="H148" s="176"/>
      <c r="I148" s="567"/>
      <c r="J148" s="568"/>
      <c r="K148" s="569"/>
      <c r="L148" s="176"/>
      <c r="M148" s="567"/>
      <c r="N148" s="568"/>
      <c r="O148" s="569"/>
      <c r="P148" s="176"/>
      <c r="Q148" s="567"/>
      <c r="R148" s="568"/>
      <c r="S148" s="569"/>
      <c r="T148" s="176"/>
      <c r="U148" s="567"/>
      <c r="V148" s="568"/>
      <c r="W148" s="569"/>
      <c r="X148" s="171"/>
    </row>
    <row r="149" spans="1:24" ht="13.5" x14ac:dyDescent="0.25">
      <c r="A149" s="563"/>
      <c r="B149" s="570"/>
      <c r="C149" s="571"/>
      <c r="D149" s="572"/>
      <c r="E149" s="563"/>
      <c r="F149" s="573" t="s">
        <v>3189</v>
      </c>
      <c r="G149" s="574"/>
      <c r="H149" s="176">
        <f>+$A$398</f>
        <v>17.739250000000002</v>
      </c>
      <c r="I149" s="570"/>
      <c r="J149" s="571"/>
      <c r="K149" s="572"/>
      <c r="L149" s="176">
        <f>+$A$380</f>
        <v>42.23899999999999</v>
      </c>
      <c r="M149" s="570"/>
      <c r="N149" s="571"/>
      <c r="O149" s="572"/>
      <c r="P149" s="176">
        <f>+$A$398</f>
        <v>17.739250000000002</v>
      </c>
      <c r="Q149" s="570"/>
      <c r="R149" s="571"/>
      <c r="S149" s="572"/>
      <c r="T149" s="176">
        <f>+$A$380</f>
        <v>42.23899999999999</v>
      </c>
      <c r="U149" s="570"/>
      <c r="V149" s="571"/>
      <c r="W149" s="572"/>
      <c r="X149" s="171"/>
    </row>
    <row r="150" spans="1:24" ht="13.5" x14ac:dyDescent="0.25">
      <c r="A150" s="177"/>
      <c r="B150" s="178"/>
      <c r="C150" s="178"/>
      <c r="D150" s="178"/>
      <c r="E150" s="179"/>
      <c r="F150" s="173"/>
      <c r="G150" s="171"/>
      <c r="H150" s="171"/>
      <c r="I150" s="171"/>
      <c r="J150" s="171"/>
      <c r="K150" s="171"/>
      <c r="L150" s="171"/>
      <c r="M150" s="171"/>
      <c r="N150" s="171"/>
      <c r="O150" s="171"/>
      <c r="P150" s="171"/>
      <c r="Q150" s="171"/>
      <c r="R150" s="171"/>
      <c r="S150" s="171"/>
      <c r="T150" s="171"/>
      <c r="U150" s="171"/>
      <c r="V150" s="171"/>
      <c r="W150" s="171"/>
      <c r="X150" s="171"/>
    </row>
    <row r="151" spans="1:24" ht="13.5" x14ac:dyDescent="0.25">
      <c r="A151" s="578" t="s">
        <v>76</v>
      </c>
      <c r="B151" s="582"/>
      <c r="C151" s="582"/>
      <c r="D151" s="582"/>
      <c r="E151" s="174" t="s">
        <v>77</v>
      </c>
      <c r="F151" s="583" t="s">
        <v>2576</v>
      </c>
      <c r="G151" s="572"/>
      <c r="H151" s="578" t="s">
        <v>2578</v>
      </c>
      <c r="I151" s="582"/>
      <c r="J151" s="582"/>
      <c r="K151" s="574"/>
      <c r="L151" s="578" t="s">
        <v>2579</v>
      </c>
      <c r="M151" s="582"/>
      <c r="N151" s="582"/>
      <c r="O151" s="574"/>
      <c r="P151" s="578" t="s">
        <v>2580</v>
      </c>
      <c r="Q151" s="582"/>
      <c r="R151" s="582"/>
      <c r="S151" s="574"/>
      <c r="T151" s="578" t="s">
        <v>2581</v>
      </c>
      <c r="U151" s="582"/>
      <c r="V151" s="582"/>
      <c r="W151" s="574"/>
      <c r="X151" s="171"/>
    </row>
    <row r="152" spans="1:24" ht="13.5" x14ac:dyDescent="0.25">
      <c r="A152" s="561" t="s">
        <v>305</v>
      </c>
      <c r="B152" s="564" t="s">
        <v>306</v>
      </c>
      <c r="C152" s="565"/>
      <c r="D152" s="566"/>
      <c r="E152" s="561" t="s">
        <v>258</v>
      </c>
      <c r="F152" s="573" t="s">
        <v>444</v>
      </c>
      <c r="G152" s="574"/>
      <c r="H152" s="175">
        <f>+H159*H157</f>
        <v>6.8260000000000005</v>
      </c>
      <c r="I152" s="575"/>
      <c r="J152" s="565"/>
      <c r="K152" s="566"/>
      <c r="L152" s="176">
        <f>+L157*L159</f>
        <v>16.864999999999998</v>
      </c>
      <c r="M152" s="575"/>
      <c r="N152" s="565"/>
      <c r="O152" s="566"/>
      <c r="P152" s="175">
        <f>+P159*P157</f>
        <v>6.8260000000000005</v>
      </c>
      <c r="Q152" s="575"/>
      <c r="R152" s="565"/>
      <c r="S152" s="566"/>
      <c r="T152" s="176">
        <f>+T157*T159</f>
        <v>16.864999999999998</v>
      </c>
      <c r="U152" s="585"/>
      <c r="V152" s="565"/>
      <c r="W152" s="566"/>
      <c r="X152" s="171"/>
    </row>
    <row r="153" spans="1:24" ht="13.5" x14ac:dyDescent="0.25">
      <c r="A153" s="562"/>
      <c r="B153" s="567"/>
      <c r="C153" s="568"/>
      <c r="D153" s="569"/>
      <c r="E153" s="562"/>
      <c r="F153" s="573" t="s">
        <v>453</v>
      </c>
      <c r="G153" s="574"/>
      <c r="H153" s="176">
        <v>1</v>
      </c>
      <c r="I153" s="567"/>
      <c r="J153" s="568"/>
      <c r="K153" s="569"/>
      <c r="L153" s="176">
        <v>1</v>
      </c>
      <c r="M153" s="567"/>
      <c r="N153" s="568"/>
      <c r="O153" s="569"/>
      <c r="P153" s="176">
        <v>1</v>
      </c>
      <c r="Q153" s="567"/>
      <c r="R153" s="568"/>
      <c r="S153" s="569"/>
      <c r="T153" s="176">
        <v>1</v>
      </c>
      <c r="U153" s="567"/>
      <c r="V153" s="568"/>
      <c r="W153" s="569"/>
      <c r="X153" s="171"/>
    </row>
    <row r="154" spans="1:24" ht="13.5" x14ac:dyDescent="0.25">
      <c r="A154" s="562"/>
      <c r="B154" s="567"/>
      <c r="C154" s="568"/>
      <c r="D154" s="569"/>
      <c r="E154" s="562"/>
      <c r="F154" s="573" t="s">
        <v>2583</v>
      </c>
      <c r="G154" s="574"/>
      <c r="H154" s="176"/>
      <c r="I154" s="567"/>
      <c r="J154" s="568"/>
      <c r="K154" s="569"/>
      <c r="L154" s="176"/>
      <c r="M154" s="567"/>
      <c r="N154" s="568"/>
      <c r="O154" s="569"/>
      <c r="P154" s="176"/>
      <c r="Q154" s="567"/>
      <c r="R154" s="568"/>
      <c r="S154" s="569"/>
      <c r="T154" s="176"/>
      <c r="U154" s="567"/>
      <c r="V154" s="568"/>
      <c r="W154" s="569"/>
      <c r="X154" s="171"/>
    </row>
    <row r="155" spans="1:24" ht="13.5" x14ac:dyDescent="0.25">
      <c r="A155" s="562"/>
      <c r="B155" s="567"/>
      <c r="C155" s="568"/>
      <c r="D155" s="569"/>
      <c r="E155" s="562"/>
      <c r="F155" s="573" t="s">
        <v>2584</v>
      </c>
      <c r="G155" s="574"/>
      <c r="H155" s="176"/>
      <c r="I155" s="567"/>
      <c r="J155" s="568"/>
      <c r="K155" s="569"/>
      <c r="L155" s="176"/>
      <c r="M155" s="567"/>
      <c r="N155" s="568"/>
      <c r="O155" s="569"/>
      <c r="P155" s="176"/>
      <c r="Q155" s="567"/>
      <c r="R155" s="568"/>
      <c r="S155" s="569"/>
      <c r="T155" s="176"/>
      <c r="U155" s="567"/>
      <c r="V155" s="568"/>
      <c r="W155" s="569"/>
      <c r="X155" s="171"/>
    </row>
    <row r="156" spans="1:24" ht="13.5" x14ac:dyDescent="0.25">
      <c r="A156" s="562"/>
      <c r="B156" s="567"/>
      <c r="C156" s="568"/>
      <c r="D156" s="569"/>
      <c r="E156" s="562"/>
      <c r="F156" s="573" t="s">
        <v>2585</v>
      </c>
      <c r="G156" s="574"/>
      <c r="H156" s="176"/>
      <c r="I156" s="567"/>
      <c r="J156" s="568"/>
      <c r="K156" s="569"/>
      <c r="L156" s="176"/>
      <c r="M156" s="567"/>
      <c r="N156" s="568"/>
      <c r="O156" s="569"/>
      <c r="P156" s="176"/>
      <c r="Q156" s="567"/>
      <c r="R156" s="568"/>
      <c r="S156" s="569"/>
      <c r="T156" s="176"/>
      <c r="U156" s="567"/>
      <c r="V156" s="568"/>
      <c r="W156" s="569"/>
      <c r="X156" s="171"/>
    </row>
    <row r="157" spans="1:24" ht="13.5" x14ac:dyDescent="0.25">
      <c r="A157" s="562"/>
      <c r="B157" s="567"/>
      <c r="C157" s="568"/>
      <c r="D157" s="569"/>
      <c r="E157" s="562"/>
      <c r="F157" s="573" t="s">
        <v>2586</v>
      </c>
      <c r="G157" s="574"/>
      <c r="H157" s="176">
        <v>0.2</v>
      </c>
      <c r="I157" s="567"/>
      <c r="J157" s="568"/>
      <c r="K157" s="569"/>
      <c r="L157" s="176">
        <v>0.25</v>
      </c>
      <c r="M157" s="567"/>
      <c r="N157" s="568"/>
      <c r="O157" s="569"/>
      <c r="P157" s="176">
        <v>0.2</v>
      </c>
      <c r="Q157" s="567"/>
      <c r="R157" s="568"/>
      <c r="S157" s="569"/>
      <c r="T157" s="176">
        <v>0.25</v>
      </c>
      <c r="U157" s="567"/>
      <c r="V157" s="568"/>
      <c r="W157" s="569"/>
      <c r="X157" s="171"/>
    </row>
    <row r="158" spans="1:24" ht="13.5" x14ac:dyDescent="0.25">
      <c r="A158" s="562"/>
      <c r="B158" s="567"/>
      <c r="C158" s="568"/>
      <c r="D158" s="569"/>
      <c r="E158" s="562"/>
      <c r="F158" s="573" t="s">
        <v>2587</v>
      </c>
      <c r="G158" s="574"/>
      <c r="H158" s="176"/>
      <c r="I158" s="567"/>
      <c r="J158" s="568"/>
      <c r="K158" s="569"/>
      <c r="L158" s="176"/>
      <c r="M158" s="567"/>
      <c r="N158" s="568"/>
      <c r="O158" s="569"/>
      <c r="P158" s="176"/>
      <c r="Q158" s="567"/>
      <c r="R158" s="568"/>
      <c r="S158" s="569"/>
      <c r="T158" s="176"/>
      <c r="U158" s="567"/>
      <c r="V158" s="568"/>
      <c r="W158" s="569"/>
      <c r="X158" s="171"/>
    </row>
    <row r="159" spans="1:24" ht="13.5" x14ac:dyDescent="0.25">
      <c r="A159" s="562"/>
      <c r="B159" s="567"/>
      <c r="C159" s="568"/>
      <c r="D159" s="569"/>
      <c r="E159" s="562"/>
      <c r="F159" s="573" t="s">
        <v>3188</v>
      </c>
      <c r="G159" s="574"/>
      <c r="H159" s="176">
        <v>34.130000000000003</v>
      </c>
      <c r="I159" s="567"/>
      <c r="J159" s="568"/>
      <c r="K159" s="569"/>
      <c r="L159" s="176">
        <v>67.459999999999994</v>
      </c>
      <c r="M159" s="567"/>
      <c r="N159" s="568"/>
      <c r="O159" s="569"/>
      <c r="P159" s="176">
        <v>34.130000000000003</v>
      </c>
      <c r="Q159" s="567"/>
      <c r="R159" s="568"/>
      <c r="S159" s="569"/>
      <c r="T159" s="176">
        <v>67.459999999999994</v>
      </c>
      <c r="U159" s="567"/>
      <c r="V159" s="568"/>
      <c r="W159" s="569"/>
      <c r="X159" s="171"/>
    </row>
    <row r="160" spans="1:24" ht="13.5" x14ac:dyDescent="0.25">
      <c r="A160" s="563"/>
      <c r="B160" s="570"/>
      <c r="C160" s="571"/>
      <c r="D160" s="572"/>
      <c r="E160" s="563"/>
      <c r="F160" s="573" t="s">
        <v>3189</v>
      </c>
      <c r="G160" s="574"/>
      <c r="H160" s="176"/>
      <c r="I160" s="570"/>
      <c r="J160" s="571"/>
      <c r="K160" s="572"/>
      <c r="L160" s="176"/>
      <c r="M160" s="570"/>
      <c r="N160" s="571"/>
      <c r="O160" s="572"/>
      <c r="P160" s="176"/>
      <c r="Q160" s="570"/>
      <c r="R160" s="571"/>
      <c r="S160" s="572"/>
      <c r="T160" s="176"/>
      <c r="U160" s="570"/>
      <c r="V160" s="571"/>
      <c r="W160" s="572"/>
      <c r="X160" s="171"/>
    </row>
    <row r="161" spans="1:24" ht="13.5" x14ac:dyDescent="0.25">
      <c r="A161" s="177"/>
      <c r="B161" s="178"/>
      <c r="C161" s="178"/>
      <c r="D161" s="178"/>
      <c r="E161" s="179"/>
      <c r="F161" s="173"/>
      <c r="G161" s="171"/>
      <c r="H161" s="171"/>
      <c r="I161" s="171"/>
      <c r="J161" s="171"/>
      <c r="K161" s="171"/>
      <c r="L161" s="171"/>
      <c r="M161" s="171"/>
      <c r="N161" s="171"/>
      <c r="O161" s="171"/>
      <c r="P161" s="171"/>
      <c r="Q161" s="171"/>
      <c r="R161" s="171"/>
      <c r="S161" s="171"/>
      <c r="T161" s="171"/>
      <c r="U161" s="171"/>
      <c r="V161" s="171"/>
      <c r="W161" s="171"/>
      <c r="X161" s="171"/>
    </row>
    <row r="162" spans="1:24" ht="13.5" x14ac:dyDescent="0.25">
      <c r="A162" s="578" t="s">
        <v>76</v>
      </c>
      <c r="B162" s="582"/>
      <c r="C162" s="582"/>
      <c r="D162" s="582"/>
      <c r="E162" s="174" t="s">
        <v>77</v>
      </c>
      <c r="F162" s="583" t="s">
        <v>2576</v>
      </c>
      <c r="G162" s="572"/>
      <c r="H162" s="578" t="s">
        <v>2578</v>
      </c>
      <c r="I162" s="582"/>
      <c r="J162" s="582"/>
      <c r="K162" s="574"/>
      <c r="L162" s="578" t="s">
        <v>2579</v>
      </c>
      <c r="M162" s="582"/>
      <c r="N162" s="582"/>
      <c r="O162" s="574"/>
      <c r="P162" s="578" t="s">
        <v>2580</v>
      </c>
      <c r="Q162" s="582"/>
      <c r="R162" s="582"/>
      <c r="S162" s="574"/>
      <c r="T162" s="578" t="s">
        <v>2581</v>
      </c>
      <c r="U162" s="582"/>
      <c r="V162" s="582"/>
      <c r="W162" s="574"/>
      <c r="X162" s="171"/>
    </row>
    <row r="163" spans="1:24" ht="13.5" x14ac:dyDescent="0.25">
      <c r="A163" s="561" t="s">
        <v>307</v>
      </c>
      <c r="B163" s="564" t="s">
        <v>200</v>
      </c>
      <c r="C163" s="565"/>
      <c r="D163" s="566"/>
      <c r="E163" s="561" t="s">
        <v>969</v>
      </c>
      <c r="F163" s="573" t="s">
        <v>444</v>
      </c>
      <c r="G163" s="574"/>
      <c r="H163" s="175">
        <f>+H168*H164</f>
        <v>4436.0418799999989</v>
      </c>
      <c r="I163" s="584" t="s">
        <v>2582</v>
      </c>
      <c r="J163" s="565"/>
      <c r="K163" s="566"/>
      <c r="L163" s="176">
        <f>+L168*L164</f>
        <v>6421.5680400000001</v>
      </c>
      <c r="M163" s="584" t="s">
        <v>2582</v>
      </c>
      <c r="N163" s="565"/>
      <c r="O163" s="566"/>
      <c r="P163" s="176">
        <f>+P168*P164</f>
        <v>4436.0418799999989</v>
      </c>
      <c r="Q163" s="584" t="s">
        <v>2582</v>
      </c>
      <c r="R163" s="565"/>
      <c r="S163" s="566"/>
      <c r="T163" s="176">
        <f>+T168*T164</f>
        <v>6421.5680400000001</v>
      </c>
      <c r="U163" s="584" t="s">
        <v>2582</v>
      </c>
      <c r="V163" s="565"/>
      <c r="W163" s="566"/>
      <c r="X163" s="171"/>
    </row>
    <row r="164" spans="1:24" ht="13.5" x14ac:dyDescent="0.25">
      <c r="A164" s="562"/>
      <c r="B164" s="567"/>
      <c r="C164" s="568"/>
      <c r="D164" s="569"/>
      <c r="E164" s="562"/>
      <c r="F164" s="573" t="s">
        <v>453</v>
      </c>
      <c r="G164" s="574"/>
      <c r="H164" s="176">
        <v>1</v>
      </c>
      <c r="I164" s="567"/>
      <c r="J164" s="568"/>
      <c r="K164" s="569"/>
      <c r="L164" s="176">
        <v>1</v>
      </c>
      <c r="M164" s="567"/>
      <c r="N164" s="568"/>
      <c r="O164" s="569"/>
      <c r="P164" s="176">
        <v>1</v>
      </c>
      <c r="Q164" s="567"/>
      <c r="R164" s="568"/>
      <c r="S164" s="569"/>
      <c r="T164" s="176">
        <v>1</v>
      </c>
      <c r="U164" s="567"/>
      <c r="V164" s="568"/>
      <c r="W164" s="569"/>
      <c r="X164" s="171"/>
    </row>
    <row r="165" spans="1:24" ht="13.5" x14ac:dyDescent="0.25">
      <c r="A165" s="562"/>
      <c r="B165" s="567"/>
      <c r="C165" s="568"/>
      <c r="D165" s="569"/>
      <c r="E165" s="562"/>
      <c r="F165" s="573" t="s">
        <v>2583</v>
      </c>
      <c r="G165" s="574"/>
      <c r="H165" s="176"/>
      <c r="I165" s="567"/>
      <c r="J165" s="568"/>
      <c r="K165" s="569"/>
      <c r="L165" s="176"/>
      <c r="M165" s="567"/>
      <c r="N165" s="568"/>
      <c r="O165" s="569"/>
      <c r="P165" s="176"/>
      <c r="Q165" s="567"/>
      <c r="R165" s="568"/>
      <c r="S165" s="569"/>
      <c r="T165" s="176"/>
      <c r="U165" s="567"/>
      <c r="V165" s="568"/>
      <c r="W165" s="569"/>
      <c r="X165" s="171"/>
    </row>
    <row r="166" spans="1:24" ht="13.5" x14ac:dyDescent="0.25">
      <c r="A166" s="562"/>
      <c r="B166" s="567"/>
      <c r="C166" s="568"/>
      <c r="D166" s="569"/>
      <c r="E166" s="562"/>
      <c r="F166" s="573" t="s">
        <v>2584</v>
      </c>
      <c r="G166" s="574"/>
      <c r="H166" s="176"/>
      <c r="I166" s="567"/>
      <c r="J166" s="568"/>
      <c r="K166" s="569"/>
      <c r="L166" s="176"/>
      <c r="M166" s="567"/>
      <c r="N166" s="568"/>
      <c r="O166" s="569"/>
      <c r="P166" s="176"/>
      <c r="Q166" s="567"/>
      <c r="R166" s="568"/>
      <c r="S166" s="569"/>
      <c r="T166" s="176"/>
      <c r="U166" s="567"/>
      <c r="V166" s="568"/>
      <c r="W166" s="569"/>
      <c r="X166" s="171"/>
    </row>
    <row r="167" spans="1:24" ht="13.5" x14ac:dyDescent="0.25">
      <c r="A167" s="562"/>
      <c r="B167" s="567"/>
      <c r="C167" s="568"/>
      <c r="D167" s="569"/>
      <c r="E167" s="562"/>
      <c r="F167" s="573" t="s">
        <v>2585</v>
      </c>
      <c r="G167" s="574"/>
      <c r="H167" s="176"/>
      <c r="I167" s="567"/>
      <c r="J167" s="568"/>
      <c r="K167" s="569"/>
      <c r="L167" s="176"/>
      <c r="M167" s="567"/>
      <c r="N167" s="568"/>
      <c r="O167" s="569"/>
      <c r="P167" s="176"/>
      <c r="Q167" s="567"/>
      <c r="R167" s="568"/>
      <c r="S167" s="569"/>
      <c r="T167" s="176"/>
      <c r="U167" s="567"/>
      <c r="V167" s="568"/>
      <c r="W167" s="569"/>
      <c r="X167" s="171"/>
    </row>
    <row r="168" spans="1:24" ht="13.5" x14ac:dyDescent="0.25">
      <c r="A168" s="562"/>
      <c r="B168" s="567"/>
      <c r="C168" s="568"/>
      <c r="D168" s="569"/>
      <c r="E168" s="562"/>
      <c r="F168" s="573" t="s">
        <v>2586</v>
      </c>
      <c r="G168" s="574"/>
      <c r="H168" s="176">
        <f>+$D$481</f>
        <v>4436.0418799999989</v>
      </c>
      <c r="I168" s="567"/>
      <c r="J168" s="568"/>
      <c r="K168" s="569"/>
      <c r="L168" s="176">
        <f>+D449</f>
        <v>6421.5680400000001</v>
      </c>
      <c r="M168" s="567"/>
      <c r="N168" s="568"/>
      <c r="O168" s="569"/>
      <c r="P168" s="176">
        <f>+$D$481</f>
        <v>4436.0418799999989</v>
      </c>
      <c r="Q168" s="567"/>
      <c r="R168" s="568"/>
      <c r="S168" s="569"/>
      <c r="T168" s="176">
        <f>+D449</f>
        <v>6421.5680400000001</v>
      </c>
      <c r="U168" s="567"/>
      <c r="V168" s="568"/>
      <c r="W168" s="569"/>
      <c r="X168" s="171"/>
    </row>
    <row r="169" spans="1:24" ht="13.5" x14ac:dyDescent="0.25">
      <c r="A169" s="562"/>
      <c r="B169" s="567"/>
      <c r="C169" s="568"/>
      <c r="D169" s="569"/>
      <c r="E169" s="562"/>
      <c r="F169" s="573" t="s">
        <v>2587</v>
      </c>
      <c r="G169" s="574"/>
      <c r="H169" s="176"/>
      <c r="I169" s="567"/>
      <c r="J169" s="568"/>
      <c r="K169" s="569"/>
      <c r="L169" s="176"/>
      <c r="M169" s="567"/>
      <c r="N169" s="568"/>
      <c r="O169" s="569"/>
      <c r="P169" s="176"/>
      <c r="Q169" s="567"/>
      <c r="R169" s="568"/>
      <c r="S169" s="569"/>
      <c r="T169" s="176"/>
      <c r="U169" s="567"/>
      <c r="V169" s="568"/>
      <c r="W169" s="569"/>
      <c r="X169" s="171"/>
    </row>
    <row r="170" spans="1:24" ht="13.5" x14ac:dyDescent="0.25">
      <c r="A170" s="562"/>
      <c r="B170" s="567"/>
      <c r="C170" s="568"/>
      <c r="D170" s="569"/>
      <c r="E170" s="562"/>
      <c r="F170" s="573" t="s">
        <v>3188</v>
      </c>
      <c r="G170" s="574"/>
      <c r="H170" s="176"/>
      <c r="I170" s="567"/>
      <c r="J170" s="568"/>
      <c r="K170" s="569"/>
      <c r="L170" s="176"/>
      <c r="M170" s="567"/>
      <c r="N170" s="568"/>
      <c r="O170" s="569"/>
      <c r="P170" s="176"/>
      <c r="Q170" s="567"/>
      <c r="R170" s="568"/>
      <c r="S170" s="569"/>
      <c r="T170" s="176"/>
      <c r="U170" s="567"/>
      <c r="V170" s="568"/>
      <c r="W170" s="569"/>
      <c r="X170" s="171"/>
    </row>
    <row r="171" spans="1:24" ht="13.5" x14ac:dyDescent="0.25">
      <c r="A171" s="563"/>
      <c r="B171" s="570"/>
      <c r="C171" s="571"/>
      <c r="D171" s="572"/>
      <c r="E171" s="563"/>
      <c r="F171" s="573" t="s">
        <v>3189</v>
      </c>
      <c r="G171" s="574"/>
      <c r="H171" s="176"/>
      <c r="I171" s="570"/>
      <c r="J171" s="571"/>
      <c r="K171" s="572"/>
      <c r="L171" s="176"/>
      <c r="M171" s="570"/>
      <c r="N171" s="571"/>
      <c r="O171" s="572"/>
      <c r="P171" s="176"/>
      <c r="Q171" s="570"/>
      <c r="R171" s="571"/>
      <c r="S171" s="572"/>
      <c r="T171" s="176"/>
      <c r="U171" s="570"/>
      <c r="V171" s="571"/>
      <c r="W171" s="572"/>
      <c r="X171" s="171"/>
    </row>
    <row r="172" spans="1:24" ht="13.5" x14ac:dyDescent="0.25">
      <c r="A172" s="177"/>
      <c r="B172" s="178"/>
      <c r="C172" s="178"/>
      <c r="D172" s="178"/>
      <c r="E172" s="179"/>
      <c r="F172" s="173"/>
      <c r="G172" s="171"/>
      <c r="H172" s="171"/>
      <c r="I172" s="171"/>
      <c r="J172" s="171"/>
      <c r="K172" s="171"/>
      <c r="L172" s="171"/>
      <c r="M172" s="171"/>
      <c r="N172" s="171"/>
      <c r="O172" s="171"/>
      <c r="P172" s="171"/>
      <c r="Q172" s="171"/>
      <c r="R172" s="171"/>
      <c r="S172" s="171"/>
      <c r="T172" s="171"/>
      <c r="U172" s="171"/>
      <c r="V172" s="171"/>
      <c r="W172" s="171"/>
      <c r="X172" s="171"/>
    </row>
    <row r="173" spans="1:24" ht="13.5" x14ac:dyDescent="0.25">
      <c r="A173" s="578" t="s">
        <v>76</v>
      </c>
      <c r="B173" s="582"/>
      <c r="C173" s="582"/>
      <c r="D173" s="582"/>
      <c r="E173" s="174" t="s">
        <v>77</v>
      </c>
      <c r="F173" s="583" t="s">
        <v>2576</v>
      </c>
      <c r="G173" s="572"/>
      <c r="H173" s="578" t="s">
        <v>2578</v>
      </c>
      <c r="I173" s="582"/>
      <c r="J173" s="582"/>
      <c r="K173" s="574"/>
      <c r="L173" s="578" t="s">
        <v>2579</v>
      </c>
      <c r="M173" s="582"/>
      <c r="N173" s="582"/>
      <c r="O173" s="574"/>
      <c r="P173" s="578" t="s">
        <v>2580</v>
      </c>
      <c r="Q173" s="582"/>
      <c r="R173" s="582"/>
      <c r="S173" s="574"/>
      <c r="T173" s="578" t="s">
        <v>2581</v>
      </c>
      <c r="U173" s="582"/>
      <c r="V173" s="582"/>
      <c r="W173" s="574"/>
      <c r="X173" s="171"/>
    </row>
    <row r="174" spans="1:24" ht="13.5" x14ac:dyDescent="0.25">
      <c r="A174" s="561" t="s">
        <v>308</v>
      </c>
      <c r="B174" s="564" t="s">
        <v>309</v>
      </c>
      <c r="C174" s="565"/>
      <c r="D174" s="566"/>
      <c r="E174" s="561" t="s">
        <v>258</v>
      </c>
      <c r="F174" s="573" t="s">
        <v>444</v>
      </c>
      <c r="G174" s="574"/>
      <c r="H174" s="176"/>
      <c r="I174" s="584" t="s">
        <v>2582</v>
      </c>
      <c r="J174" s="565"/>
      <c r="K174" s="566"/>
      <c r="L174" s="176">
        <f>+L182</f>
        <v>7.4750000000000005</v>
      </c>
      <c r="M174" s="575"/>
      <c r="N174" s="565"/>
      <c r="O174" s="566"/>
      <c r="P174" s="176"/>
      <c r="Q174" s="584" t="s">
        <v>2582</v>
      </c>
      <c r="R174" s="565"/>
      <c r="S174" s="566"/>
      <c r="T174" s="176"/>
      <c r="U174" s="584" t="s">
        <v>2582</v>
      </c>
      <c r="V174" s="565"/>
      <c r="W174" s="566"/>
      <c r="X174" s="171"/>
    </row>
    <row r="175" spans="1:24" ht="13.5" x14ac:dyDescent="0.25">
      <c r="A175" s="562"/>
      <c r="B175" s="567"/>
      <c r="C175" s="568"/>
      <c r="D175" s="569"/>
      <c r="E175" s="562"/>
      <c r="F175" s="573" t="s">
        <v>453</v>
      </c>
      <c r="G175" s="574"/>
      <c r="H175" s="176"/>
      <c r="I175" s="567"/>
      <c r="J175" s="568"/>
      <c r="K175" s="569"/>
      <c r="L175" s="176">
        <v>1</v>
      </c>
      <c r="M175" s="567"/>
      <c r="N175" s="568"/>
      <c r="O175" s="569"/>
      <c r="P175" s="176"/>
      <c r="Q175" s="567"/>
      <c r="R175" s="568"/>
      <c r="S175" s="569"/>
      <c r="T175" s="176"/>
      <c r="U175" s="567"/>
      <c r="V175" s="568"/>
      <c r="W175" s="569"/>
      <c r="X175" s="171"/>
    </row>
    <row r="176" spans="1:24" ht="13.5" x14ac:dyDescent="0.25">
      <c r="A176" s="562"/>
      <c r="B176" s="567"/>
      <c r="C176" s="568"/>
      <c r="D176" s="569"/>
      <c r="E176" s="562"/>
      <c r="F176" s="573" t="s">
        <v>2583</v>
      </c>
      <c r="G176" s="574"/>
      <c r="H176" s="176"/>
      <c r="I176" s="567"/>
      <c r="J176" s="568"/>
      <c r="K176" s="569"/>
      <c r="L176" s="176">
        <v>5</v>
      </c>
      <c r="M176" s="567"/>
      <c r="N176" s="568"/>
      <c r="O176" s="569"/>
      <c r="P176" s="176"/>
      <c r="Q176" s="567"/>
      <c r="R176" s="568"/>
      <c r="S176" s="569"/>
      <c r="T176" s="176"/>
      <c r="U176" s="567"/>
      <c r="V176" s="568"/>
      <c r="W176" s="569"/>
      <c r="X176" s="171"/>
    </row>
    <row r="177" spans="1:24" ht="13.5" x14ac:dyDescent="0.25">
      <c r="A177" s="562"/>
      <c r="B177" s="567"/>
      <c r="C177" s="568"/>
      <c r="D177" s="569"/>
      <c r="E177" s="562"/>
      <c r="F177" s="573" t="s">
        <v>2584</v>
      </c>
      <c r="G177" s="574"/>
      <c r="H177" s="176"/>
      <c r="I177" s="567"/>
      <c r="J177" s="568"/>
      <c r="K177" s="569"/>
      <c r="L177" s="176">
        <v>4.5999999999999996</v>
      </c>
      <c r="M177" s="567"/>
      <c r="N177" s="568"/>
      <c r="O177" s="569"/>
      <c r="P177" s="176"/>
      <c r="Q177" s="567"/>
      <c r="R177" s="568"/>
      <c r="S177" s="569"/>
      <c r="T177" s="176"/>
      <c r="U177" s="567"/>
      <c r="V177" s="568"/>
      <c r="W177" s="569"/>
      <c r="X177" s="171"/>
    </row>
    <row r="178" spans="1:24" ht="13.5" x14ac:dyDescent="0.25">
      <c r="A178" s="562"/>
      <c r="B178" s="567"/>
      <c r="C178" s="568"/>
      <c r="D178" s="569"/>
      <c r="E178" s="562"/>
      <c r="F178" s="573" t="s">
        <v>2585</v>
      </c>
      <c r="G178" s="574"/>
      <c r="H178" s="176"/>
      <c r="I178" s="567"/>
      <c r="J178" s="568"/>
      <c r="K178" s="569"/>
      <c r="L178" s="176">
        <v>1.3</v>
      </c>
      <c r="M178" s="567"/>
      <c r="N178" s="568"/>
      <c r="O178" s="569"/>
      <c r="P178" s="176"/>
      <c r="Q178" s="567"/>
      <c r="R178" s="568"/>
      <c r="S178" s="569"/>
      <c r="T178" s="176"/>
      <c r="U178" s="567"/>
      <c r="V178" s="568"/>
      <c r="W178" s="569"/>
      <c r="X178" s="171"/>
    </row>
    <row r="179" spans="1:24" ht="13.5" x14ac:dyDescent="0.25">
      <c r="A179" s="562"/>
      <c r="B179" s="567"/>
      <c r="C179" s="568"/>
      <c r="D179" s="569"/>
      <c r="E179" s="562"/>
      <c r="F179" s="573" t="s">
        <v>2586</v>
      </c>
      <c r="G179" s="574"/>
      <c r="H179" s="176"/>
      <c r="I179" s="567"/>
      <c r="J179" s="568"/>
      <c r="K179" s="569"/>
      <c r="L179" s="176">
        <v>0.25</v>
      </c>
      <c r="M179" s="567"/>
      <c r="N179" s="568"/>
      <c r="O179" s="569"/>
      <c r="P179" s="176"/>
      <c r="Q179" s="567"/>
      <c r="R179" s="568"/>
      <c r="S179" s="569"/>
      <c r="T179" s="176"/>
      <c r="U179" s="567"/>
      <c r="V179" s="568"/>
      <c r="W179" s="569"/>
      <c r="X179" s="171"/>
    </row>
    <row r="180" spans="1:24" ht="13.5" x14ac:dyDescent="0.25">
      <c r="A180" s="562"/>
      <c r="B180" s="567"/>
      <c r="C180" s="568"/>
      <c r="D180" s="569"/>
      <c r="E180" s="562"/>
      <c r="F180" s="573" t="s">
        <v>2587</v>
      </c>
      <c r="G180" s="574"/>
      <c r="H180" s="176"/>
      <c r="I180" s="567"/>
      <c r="J180" s="568"/>
      <c r="K180" s="569"/>
      <c r="L180" s="176"/>
      <c r="M180" s="567"/>
      <c r="N180" s="568"/>
      <c r="O180" s="569"/>
      <c r="P180" s="176"/>
      <c r="Q180" s="567"/>
      <c r="R180" s="568"/>
      <c r="S180" s="569"/>
      <c r="T180" s="176"/>
      <c r="U180" s="567"/>
      <c r="V180" s="568"/>
      <c r="W180" s="569"/>
      <c r="X180" s="171"/>
    </row>
    <row r="181" spans="1:24" ht="13.5" x14ac:dyDescent="0.25">
      <c r="A181" s="562"/>
      <c r="B181" s="567"/>
      <c r="C181" s="568"/>
      <c r="D181" s="569"/>
      <c r="E181" s="562"/>
      <c r="F181" s="573" t="s">
        <v>3188</v>
      </c>
      <c r="G181" s="574"/>
      <c r="H181" s="176"/>
      <c r="I181" s="567"/>
      <c r="J181" s="568"/>
      <c r="K181" s="569"/>
      <c r="L181" s="176"/>
      <c r="M181" s="567"/>
      <c r="N181" s="568"/>
      <c r="O181" s="569"/>
      <c r="P181" s="176"/>
      <c r="Q181" s="567"/>
      <c r="R181" s="568"/>
      <c r="S181" s="569"/>
      <c r="T181" s="176"/>
      <c r="U181" s="567"/>
      <c r="V181" s="568"/>
      <c r="W181" s="569"/>
      <c r="X181" s="171"/>
    </row>
    <row r="182" spans="1:24" ht="13.5" x14ac:dyDescent="0.25">
      <c r="A182" s="563"/>
      <c r="B182" s="570"/>
      <c r="C182" s="571"/>
      <c r="D182" s="572"/>
      <c r="E182" s="563"/>
      <c r="F182" s="573" t="s">
        <v>3189</v>
      </c>
      <c r="G182" s="574"/>
      <c r="H182" s="176"/>
      <c r="I182" s="570"/>
      <c r="J182" s="571"/>
      <c r="K182" s="572"/>
      <c r="L182" s="176">
        <f>+L176*L177*L178*L179</f>
        <v>7.4750000000000005</v>
      </c>
      <c r="M182" s="570"/>
      <c r="N182" s="571"/>
      <c r="O182" s="572"/>
      <c r="P182" s="176"/>
      <c r="Q182" s="570"/>
      <c r="R182" s="571"/>
      <c r="S182" s="572"/>
      <c r="T182" s="176"/>
      <c r="U182" s="570"/>
      <c r="V182" s="571"/>
      <c r="W182" s="572"/>
      <c r="X182" s="171"/>
    </row>
    <row r="183" spans="1:24" ht="13.5" x14ac:dyDescent="0.25">
      <c r="A183" s="177"/>
      <c r="B183" s="178"/>
      <c r="C183" s="178"/>
      <c r="D183" s="178"/>
      <c r="E183" s="179"/>
      <c r="F183" s="173"/>
      <c r="G183" s="171"/>
      <c r="H183" s="171"/>
      <c r="I183" s="171"/>
      <c r="J183" s="171"/>
      <c r="K183" s="171"/>
      <c r="L183" s="171"/>
      <c r="M183" s="171"/>
      <c r="N183" s="171"/>
      <c r="O183" s="171"/>
      <c r="P183" s="171"/>
      <c r="Q183" s="171"/>
      <c r="R183" s="171"/>
      <c r="S183" s="171"/>
      <c r="T183" s="171"/>
      <c r="U183" s="171"/>
      <c r="V183" s="171"/>
      <c r="W183" s="171"/>
      <c r="X183" s="171"/>
    </row>
    <row r="184" spans="1:24" ht="13.5" x14ac:dyDescent="0.25">
      <c r="A184" s="578" t="s">
        <v>76</v>
      </c>
      <c r="B184" s="582"/>
      <c r="C184" s="582"/>
      <c r="D184" s="582"/>
      <c r="E184" s="174" t="s">
        <v>77</v>
      </c>
      <c r="F184" s="583" t="s">
        <v>2576</v>
      </c>
      <c r="G184" s="572"/>
      <c r="H184" s="578" t="s">
        <v>2578</v>
      </c>
      <c r="I184" s="582"/>
      <c r="J184" s="582"/>
      <c r="K184" s="574"/>
      <c r="L184" s="578" t="s">
        <v>2579</v>
      </c>
      <c r="M184" s="582"/>
      <c r="N184" s="582"/>
      <c r="O184" s="574"/>
      <c r="P184" s="578" t="s">
        <v>2580</v>
      </c>
      <c r="Q184" s="582"/>
      <c r="R184" s="582"/>
      <c r="S184" s="574"/>
      <c r="T184" s="578" t="s">
        <v>2581</v>
      </c>
      <c r="U184" s="582"/>
      <c r="V184" s="582"/>
      <c r="W184" s="574"/>
      <c r="X184" s="171"/>
    </row>
    <row r="185" spans="1:24" ht="13.5" x14ac:dyDescent="0.25">
      <c r="A185" s="561" t="s">
        <v>311</v>
      </c>
      <c r="B185" s="564" t="s">
        <v>2708</v>
      </c>
      <c r="C185" s="565"/>
      <c r="D185" s="566"/>
      <c r="E185" s="561" t="s">
        <v>258</v>
      </c>
      <c r="F185" s="573" t="s">
        <v>444</v>
      </c>
      <c r="G185" s="574"/>
      <c r="H185" s="263">
        <f>+H186-H187</f>
        <v>142.61499999999998</v>
      </c>
      <c r="I185" s="584" t="s">
        <v>2582</v>
      </c>
      <c r="J185" s="565"/>
      <c r="K185" s="566"/>
      <c r="L185" s="175">
        <f>+L186-L187</f>
        <v>212.12800000000004</v>
      </c>
      <c r="M185" s="584" t="s">
        <v>2582</v>
      </c>
      <c r="N185" s="565"/>
      <c r="O185" s="566"/>
      <c r="P185" s="175">
        <f>+P186-P187</f>
        <v>142.61499999999998</v>
      </c>
      <c r="Q185" s="584" t="s">
        <v>2582</v>
      </c>
      <c r="R185" s="565"/>
      <c r="S185" s="566"/>
      <c r="T185" s="175">
        <f>+T186-T187</f>
        <v>212.12800000000004</v>
      </c>
      <c r="U185" s="584" t="s">
        <v>2582</v>
      </c>
      <c r="V185" s="565"/>
      <c r="W185" s="566"/>
      <c r="X185" s="171"/>
    </row>
    <row r="186" spans="1:24" ht="13.5" x14ac:dyDescent="0.25">
      <c r="A186" s="562"/>
      <c r="B186" s="567"/>
      <c r="C186" s="568"/>
      <c r="D186" s="569"/>
      <c r="E186" s="562"/>
      <c r="F186" s="573" t="s">
        <v>2700</v>
      </c>
      <c r="G186" s="574"/>
      <c r="H186" s="264">
        <f>+H20+H31</f>
        <v>366.97044733077922</v>
      </c>
      <c r="I186" s="567"/>
      <c r="J186" s="568"/>
      <c r="K186" s="569"/>
      <c r="L186" s="176">
        <f>+L20+L31</f>
        <v>538.02746694229199</v>
      </c>
      <c r="M186" s="567"/>
      <c r="N186" s="568"/>
      <c r="O186" s="569"/>
      <c r="P186" s="176">
        <f>+P20+P31</f>
        <v>366.97044733077922</v>
      </c>
      <c r="Q186" s="567"/>
      <c r="R186" s="568"/>
      <c r="S186" s="569"/>
      <c r="T186" s="176">
        <f>+T20+T31</f>
        <v>538.02746694229199</v>
      </c>
      <c r="U186" s="567"/>
      <c r="V186" s="568"/>
      <c r="W186" s="569"/>
      <c r="X186" s="171"/>
    </row>
    <row r="187" spans="1:24" ht="13.5" x14ac:dyDescent="0.25">
      <c r="A187" s="562"/>
      <c r="B187" s="567"/>
      <c r="C187" s="568"/>
      <c r="D187" s="569"/>
      <c r="E187" s="562"/>
      <c r="F187" s="573" t="s">
        <v>2709</v>
      </c>
      <c r="G187" s="574"/>
      <c r="H187" s="264">
        <f>+H86</f>
        <v>224.35544733077924</v>
      </c>
      <c r="I187" s="567"/>
      <c r="J187" s="568"/>
      <c r="K187" s="569"/>
      <c r="L187" s="176">
        <f>+L86</f>
        <v>325.89946694229195</v>
      </c>
      <c r="M187" s="567"/>
      <c r="N187" s="568"/>
      <c r="O187" s="569"/>
      <c r="P187" s="176">
        <f>+P86</f>
        <v>224.35544733077924</v>
      </c>
      <c r="Q187" s="567"/>
      <c r="R187" s="568"/>
      <c r="S187" s="569"/>
      <c r="T187" s="176">
        <f>+T86</f>
        <v>325.89946694229195</v>
      </c>
      <c r="U187" s="567"/>
      <c r="V187" s="568"/>
      <c r="W187" s="569"/>
      <c r="X187" s="171"/>
    </row>
    <row r="188" spans="1:24" ht="13.5" x14ac:dyDescent="0.25">
      <c r="A188" s="562"/>
      <c r="B188" s="567"/>
      <c r="C188" s="568"/>
      <c r="D188" s="569"/>
      <c r="E188" s="562"/>
      <c r="F188" s="573" t="s">
        <v>2584</v>
      </c>
      <c r="G188" s="574"/>
      <c r="H188" s="176"/>
      <c r="I188" s="567"/>
      <c r="J188" s="568"/>
      <c r="K188" s="569"/>
      <c r="L188" s="176"/>
      <c r="M188" s="567"/>
      <c r="N188" s="568"/>
      <c r="O188" s="569"/>
      <c r="P188" s="176"/>
      <c r="Q188" s="567"/>
      <c r="R188" s="568"/>
      <c r="S188" s="569"/>
      <c r="T188" s="176"/>
      <c r="U188" s="567"/>
      <c r="V188" s="568"/>
      <c r="W188" s="569"/>
      <c r="X188" s="171"/>
    </row>
    <row r="189" spans="1:24" ht="13.5" x14ac:dyDescent="0.25">
      <c r="A189" s="562"/>
      <c r="B189" s="567"/>
      <c r="C189" s="568"/>
      <c r="D189" s="569"/>
      <c r="E189" s="562"/>
      <c r="F189" s="573" t="s">
        <v>2585</v>
      </c>
      <c r="G189" s="574"/>
      <c r="H189" s="176"/>
      <c r="I189" s="567"/>
      <c r="J189" s="568"/>
      <c r="K189" s="569"/>
      <c r="L189" s="176"/>
      <c r="M189" s="567"/>
      <c r="N189" s="568"/>
      <c r="O189" s="569"/>
      <c r="P189" s="176"/>
      <c r="Q189" s="567"/>
      <c r="R189" s="568"/>
      <c r="S189" s="569"/>
      <c r="T189" s="176"/>
      <c r="U189" s="567"/>
      <c r="V189" s="568"/>
      <c r="W189" s="569"/>
      <c r="X189" s="171"/>
    </row>
    <row r="190" spans="1:24" ht="13.5" x14ac:dyDescent="0.25">
      <c r="A190" s="562"/>
      <c r="B190" s="567"/>
      <c r="C190" s="568"/>
      <c r="D190" s="569"/>
      <c r="E190" s="562"/>
      <c r="F190" s="573" t="s">
        <v>2586</v>
      </c>
      <c r="G190" s="574"/>
      <c r="H190" s="176"/>
      <c r="I190" s="567"/>
      <c r="J190" s="568"/>
      <c r="K190" s="569"/>
      <c r="L190" s="176"/>
      <c r="M190" s="567"/>
      <c r="N190" s="568"/>
      <c r="O190" s="569"/>
      <c r="P190" s="176"/>
      <c r="Q190" s="567"/>
      <c r="R190" s="568"/>
      <c r="S190" s="569"/>
      <c r="T190" s="176"/>
      <c r="U190" s="567"/>
      <c r="V190" s="568"/>
      <c r="W190" s="569"/>
      <c r="X190" s="171"/>
    </row>
    <row r="191" spans="1:24" ht="13.5" x14ac:dyDescent="0.25">
      <c r="A191" s="562"/>
      <c r="B191" s="567"/>
      <c r="C191" s="568"/>
      <c r="D191" s="569"/>
      <c r="E191" s="562"/>
      <c r="F191" s="573" t="s">
        <v>2587</v>
      </c>
      <c r="G191" s="574"/>
      <c r="H191" s="176"/>
      <c r="I191" s="567"/>
      <c r="J191" s="568"/>
      <c r="K191" s="569"/>
      <c r="L191" s="176"/>
      <c r="M191" s="567"/>
      <c r="N191" s="568"/>
      <c r="O191" s="569"/>
      <c r="P191" s="176"/>
      <c r="Q191" s="567"/>
      <c r="R191" s="568"/>
      <c r="S191" s="569"/>
      <c r="T191" s="176"/>
      <c r="U191" s="567"/>
      <c r="V191" s="568"/>
      <c r="W191" s="569"/>
      <c r="X191" s="171"/>
    </row>
    <row r="192" spans="1:24" ht="13.5" x14ac:dyDescent="0.25">
      <c r="A192" s="562"/>
      <c r="B192" s="567"/>
      <c r="C192" s="568"/>
      <c r="D192" s="569"/>
      <c r="E192" s="562"/>
      <c r="F192" s="573" t="s">
        <v>3188</v>
      </c>
      <c r="G192" s="574"/>
      <c r="H192" s="176"/>
      <c r="I192" s="567"/>
      <c r="J192" s="568"/>
      <c r="K192" s="569"/>
      <c r="L192" s="176"/>
      <c r="M192" s="567"/>
      <c r="N192" s="568"/>
      <c r="O192" s="569"/>
      <c r="P192" s="176"/>
      <c r="Q192" s="567"/>
      <c r="R192" s="568"/>
      <c r="S192" s="569"/>
      <c r="T192" s="176"/>
      <c r="U192" s="567"/>
      <c r="V192" s="568"/>
      <c r="W192" s="569"/>
      <c r="X192" s="171"/>
    </row>
    <row r="193" spans="1:24" ht="13.5" x14ac:dyDescent="0.25">
      <c r="A193" s="563"/>
      <c r="B193" s="570"/>
      <c r="C193" s="571"/>
      <c r="D193" s="572"/>
      <c r="E193" s="563"/>
      <c r="F193" s="573" t="s">
        <v>3189</v>
      </c>
      <c r="G193" s="574"/>
      <c r="H193" s="176"/>
      <c r="I193" s="570"/>
      <c r="J193" s="571"/>
      <c r="K193" s="572"/>
      <c r="L193" s="176"/>
      <c r="M193" s="570"/>
      <c r="N193" s="571"/>
      <c r="O193" s="572"/>
      <c r="P193" s="176"/>
      <c r="Q193" s="570"/>
      <c r="R193" s="571"/>
      <c r="S193" s="572"/>
      <c r="T193" s="176"/>
      <c r="U193" s="570"/>
      <c r="V193" s="571"/>
      <c r="W193" s="572"/>
      <c r="X193" s="171"/>
    </row>
    <row r="194" spans="1:24" ht="13.5" x14ac:dyDescent="0.25">
      <c r="A194" s="177"/>
      <c r="B194" s="178"/>
      <c r="C194" s="178"/>
      <c r="D194" s="178"/>
      <c r="E194" s="179"/>
      <c r="F194" s="173"/>
      <c r="G194" s="171"/>
      <c r="H194" s="171"/>
      <c r="I194" s="171"/>
      <c r="J194" s="171"/>
      <c r="K194" s="171"/>
      <c r="L194" s="171"/>
      <c r="M194" s="171"/>
      <c r="N194" s="171"/>
      <c r="O194" s="171"/>
      <c r="P194" s="171"/>
      <c r="Q194" s="171"/>
      <c r="R194" s="171"/>
      <c r="S194" s="171"/>
      <c r="T194" s="171"/>
      <c r="U194" s="171"/>
      <c r="V194" s="171"/>
      <c r="W194" s="171"/>
      <c r="X194" s="171"/>
    </row>
    <row r="195" spans="1:24" ht="13.5" x14ac:dyDescent="0.25">
      <c r="A195" s="578" t="s">
        <v>76</v>
      </c>
      <c r="B195" s="582"/>
      <c r="C195" s="582"/>
      <c r="D195" s="582"/>
      <c r="E195" s="174" t="s">
        <v>77</v>
      </c>
      <c r="F195" s="583" t="s">
        <v>2576</v>
      </c>
      <c r="G195" s="572"/>
      <c r="H195" s="578" t="s">
        <v>2578</v>
      </c>
      <c r="I195" s="582"/>
      <c r="J195" s="582"/>
      <c r="K195" s="574"/>
      <c r="L195" s="578" t="s">
        <v>2579</v>
      </c>
      <c r="M195" s="582"/>
      <c r="N195" s="582"/>
      <c r="O195" s="574"/>
      <c r="P195" s="586" t="s">
        <v>2580</v>
      </c>
      <c r="Q195" s="565"/>
      <c r="R195" s="565"/>
      <c r="S195" s="566"/>
      <c r="T195" s="578" t="s">
        <v>2581</v>
      </c>
      <c r="U195" s="582"/>
      <c r="V195" s="582"/>
      <c r="W195" s="574"/>
      <c r="X195" s="171"/>
    </row>
    <row r="196" spans="1:24" ht="13.5" x14ac:dyDescent="0.25">
      <c r="A196" s="561" t="s">
        <v>315</v>
      </c>
      <c r="B196" s="564" t="s">
        <v>316</v>
      </c>
      <c r="C196" s="565"/>
      <c r="D196" s="566"/>
      <c r="E196" s="561" t="s">
        <v>999</v>
      </c>
      <c r="F196" s="573" t="s">
        <v>444</v>
      </c>
      <c r="G196" s="574"/>
      <c r="H196" s="175">
        <f>+H197</f>
        <v>3</v>
      </c>
      <c r="I196" s="575"/>
      <c r="J196" s="565"/>
      <c r="K196" s="566"/>
      <c r="L196" s="176"/>
      <c r="M196" s="584" t="s">
        <v>2582</v>
      </c>
      <c r="N196" s="565"/>
      <c r="O196" s="566"/>
      <c r="P196" s="182">
        <f>+P197</f>
        <v>3</v>
      </c>
      <c r="Q196" s="584"/>
      <c r="R196" s="565"/>
      <c r="S196" s="566"/>
      <c r="T196" s="183"/>
      <c r="U196" s="584" t="s">
        <v>2582</v>
      </c>
      <c r="V196" s="565"/>
      <c r="W196" s="566"/>
      <c r="X196" s="171"/>
    </row>
    <row r="197" spans="1:24" ht="13.5" x14ac:dyDescent="0.25">
      <c r="A197" s="562"/>
      <c r="B197" s="567"/>
      <c r="C197" s="568"/>
      <c r="D197" s="569"/>
      <c r="E197" s="562"/>
      <c r="F197" s="573" t="s">
        <v>453</v>
      </c>
      <c r="G197" s="574"/>
      <c r="H197" s="176">
        <v>3</v>
      </c>
      <c r="I197" s="567"/>
      <c r="J197" s="568"/>
      <c r="K197" s="569"/>
      <c r="L197" s="176"/>
      <c r="M197" s="567"/>
      <c r="N197" s="568"/>
      <c r="O197" s="569"/>
      <c r="P197" s="182">
        <v>3</v>
      </c>
      <c r="Q197" s="567"/>
      <c r="R197" s="568"/>
      <c r="S197" s="569"/>
      <c r="T197" s="183"/>
      <c r="U197" s="567"/>
      <c r="V197" s="568"/>
      <c r="W197" s="569"/>
      <c r="X197" s="171"/>
    </row>
    <row r="198" spans="1:24" ht="13.5" x14ac:dyDescent="0.25">
      <c r="A198" s="562"/>
      <c r="B198" s="567"/>
      <c r="C198" s="568"/>
      <c r="D198" s="569"/>
      <c r="E198" s="562"/>
      <c r="F198" s="573" t="s">
        <v>2583</v>
      </c>
      <c r="G198" s="574"/>
      <c r="H198" s="176"/>
      <c r="I198" s="567"/>
      <c r="J198" s="568"/>
      <c r="K198" s="569"/>
      <c r="L198" s="176"/>
      <c r="M198" s="567"/>
      <c r="N198" s="568"/>
      <c r="O198" s="569"/>
      <c r="P198" s="182"/>
      <c r="Q198" s="567"/>
      <c r="R198" s="568"/>
      <c r="S198" s="569"/>
      <c r="T198" s="183"/>
      <c r="U198" s="567"/>
      <c r="V198" s="568"/>
      <c r="W198" s="569"/>
      <c r="X198" s="171"/>
    </row>
    <row r="199" spans="1:24" ht="13.5" x14ac:dyDescent="0.25">
      <c r="A199" s="562"/>
      <c r="B199" s="567"/>
      <c r="C199" s="568"/>
      <c r="D199" s="569"/>
      <c r="E199" s="562"/>
      <c r="F199" s="573" t="s">
        <v>2584</v>
      </c>
      <c r="G199" s="574"/>
      <c r="H199" s="176"/>
      <c r="I199" s="567"/>
      <c r="J199" s="568"/>
      <c r="K199" s="569"/>
      <c r="L199" s="176"/>
      <c r="M199" s="567"/>
      <c r="N199" s="568"/>
      <c r="O199" s="569"/>
      <c r="P199" s="182"/>
      <c r="Q199" s="567"/>
      <c r="R199" s="568"/>
      <c r="S199" s="569"/>
      <c r="T199" s="183"/>
      <c r="U199" s="567"/>
      <c r="V199" s="568"/>
      <c r="W199" s="569"/>
      <c r="X199" s="171"/>
    </row>
    <row r="200" spans="1:24" ht="13.5" x14ac:dyDescent="0.25">
      <c r="A200" s="562"/>
      <c r="B200" s="567"/>
      <c r="C200" s="568"/>
      <c r="D200" s="569"/>
      <c r="E200" s="562"/>
      <c r="F200" s="573" t="s">
        <v>2585</v>
      </c>
      <c r="G200" s="574"/>
      <c r="H200" s="176"/>
      <c r="I200" s="567"/>
      <c r="J200" s="568"/>
      <c r="K200" s="569"/>
      <c r="L200" s="176"/>
      <c r="M200" s="567"/>
      <c r="N200" s="568"/>
      <c r="O200" s="569"/>
      <c r="P200" s="182"/>
      <c r="Q200" s="567"/>
      <c r="R200" s="568"/>
      <c r="S200" s="569"/>
      <c r="T200" s="183"/>
      <c r="U200" s="567"/>
      <c r="V200" s="568"/>
      <c r="W200" s="569"/>
      <c r="X200" s="171"/>
    </row>
    <row r="201" spans="1:24" ht="13.5" x14ac:dyDescent="0.25">
      <c r="A201" s="562"/>
      <c r="B201" s="567"/>
      <c r="C201" s="568"/>
      <c r="D201" s="569"/>
      <c r="E201" s="562"/>
      <c r="F201" s="573" t="s">
        <v>2586</v>
      </c>
      <c r="G201" s="574"/>
      <c r="H201" s="176"/>
      <c r="I201" s="567"/>
      <c r="J201" s="568"/>
      <c r="K201" s="569"/>
      <c r="L201" s="176"/>
      <c r="M201" s="567"/>
      <c r="N201" s="568"/>
      <c r="O201" s="569"/>
      <c r="P201" s="182"/>
      <c r="Q201" s="567"/>
      <c r="R201" s="568"/>
      <c r="S201" s="569"/>
      <c r="T201" s="183"/>
      <c r="U201" s="567"/>
      <c r="V201" s="568"/>
      <c r="W201" s="569"/>
      <c r="X201" s="171"/>
    </row>
    <row r="202" spans="1:24" ht="13.5" x14ac:dyDescent="0.25">
      <c r="A202" s="562"/>
      <c r="B202" s="567"/>
      <c r="C202" s="568"/>
      <c r="D202" s="569"/>
      <c r="E202" s="562"/>
      <c r="F202" s="573" t="s">
        <v>2587</v>
      </c>
      <c r="G202" s="574"/>
      <c r="H202" s="176"/>
      <c r="I202" s="567"/>
      <c r="J202" s="568"/>
      <c r="K202" s="569"/>
      <c r="L202" s="176"/>
      <c r="M202" s="567"/>
      <c r="N202" s="568"/>
      <c r="O202" s="569"/>
      <c r="P202" s="182"/>
      <c r="Q202" s="567"/>
      <c r="R202" s="568"/>
      <c r="S202" s="569"/>
      <c r="T202" s="183"/>
      <c r="U202" s="567"/>
      <c r="V202" s="568"/>
      <c r="W202" s="569"/>
      <c r="X202" s="171"/>
    </row>
    <row r="203" spans="1:24" ht="13.5" x14ac:dyDescent="0.25">
      <c r="A203" s="562"/>
      <c r="B203" s="567"/>
      <c r="C203" s="568"/>
      <c r="D203" s="569"/>
      <c r="E203" s="562"/>
      <c r="F203" s="573" t="s">
        <v>3188</v>
      </c>
      <c r="G203" s="574"/>
      <c r="H203" s="176"/>
      <c r="I203" s="567"/>
      <c r="J203" s="568"/>
      <c r="K203" s="569"/>
      <c r="L203" s="176"/>
      <c r="M203" s="567"/>
      <c r="N203" s="568"/>
      <c r="O203" s="569"/>
      <c r="P203" s="182"/>
      <c r="Q203" s="567"/>
      <c r="R203" s="568"/>
      <c r="S203" s="569"/>
      <c r="T203" s="183"/>
      <c r="U203" s="567"/>
      <c r="V203" s="568"/>
      <c r="W203" s="569"/>
      <c r="X203" s="171"/>
    </row>
    <row r="204" spans="1:24" ht="13.5" x14ac:dyDescent="0.25">
      <c r="A204" s="563"/>
      <c r="B204" s="570"/>
      <c r="C204" s="571"/>
      <c r="D204" s="572"/>
      <c r="E204" s="563"/>
      <c r="F204" s="573" t="s">
        <v>3189</v>
      </c>
      <c r="G204" s="574"/>
      <c r="H204" s="176"/>
      <c r="I204" s="570"/>
      <c r="J204" s="571"/>
      <c r="K204" s="572"/>
      <c r="L204" s="176"/>
      <c r="M204" s="570"/>
      <c r="N204" s="571"/>
      <c r="O204" s="572"/>
      <c r="P204" s="182"/>
      <c r="Q204" s="570"/>
      <c r="R204" s="571"/>
      <c r="S204" s="572"/>
      <c r="T204" s="183"/>
      <c r="U204" s="570"/>
      <c r="V204" s="571"/>
      <c r="W204" s="572"/>
      <c r="X204" s="171"/>
    </row>
    <row r="205" spans="1:24" ht="13.5" x14ac:dyDescent="0.25">
      <c r="A205" s="177"/>
      <c r="B205" s="178"/>
      <c r="C205" s="178"/>
      <c r="D205" s="178"/>
      <c r="E205" s="179"/>
      <c r="F205" s="173"/>
      <c r="G205" s="171"/>
      <c r="H205" s="171"/>
      <c r="I205" s="171"/>
      <c r="J205" s="171"/>
      <c r="K205" s="171"/>
      <c r="L205" s="171"/>
      <c r="M205" s="171"/>
      <c r="N205" s="171"/>
      <c r="O205" s="171"/>
      <c r="P205" s="171"/>
      <c r="Q205" s="171"/>
      <c r="R205" s="171"/>
      <c r="S205" s="171"/>
      <c r="T205" s="171"/>
      <c r="U205" s="171"/>
      <c r="V205" s="171"/>
      <c r="W205" s="171"/>
      <c r="X205" s="171"/>
    </row>
    <row r="206" spans="1:24" ht="13.5" x14ac:dyDescent="0.25">
      <c r="A206" s="578" t="s">
        <v>76</v>
      </c>
      <c r="B206" s="582"/>
      <c r="C206" s="582"/>
      <c r="D206" s="582"/>
      <c r="E206" s="174" t="s">
        <v>77</v>
      </c>
      <c r="F206" s="583" t="s">
        <v>2576</v>
      </c>
      <c r="G206" s="572"/>
      <c r="H206" s="578" t="s">
        <v>2578</v>
      </c>
      <c r="I206" s="582"/>
      <c r="J206" s="582"/>
      <c r="K206" s="574"/>
      <c r="L206" s="578" t="s">
        <v>2579</v>
      </c>
      <c r="M206" s="582"/>
      <c r="N206" s="582"/>
      <c r="O206" s="574"/>
      <c r="P206" s="586" t="s">
        <v>2580</v>
      </c>
      <c r="Q206" s="565"/>
      <c r="R206" s="565"/>
      <c r="S206" s="566"/>
      <c r="T206" s="578" t="s">
        <v>2581</v>
      </c>
      <c r="U206" s="582"/>
      <c r="V206" s="582"/>
      <c r="W206" s="574"/>
      <c r="X206" s="171"/>
    </row>
    <row r="207" spans="1:24" ht="13.5" x14ac:dyDescent="0.25">
      <c r="A207" s="561" t="s">
        <v>317</v>
      </c>
      <c r="B207" s="564" t="s">
        <v>153</v>
      </c>
      <c r="C207" s="565"/>
      <c r="D207" s="566"/>
      <c r="E207" s="561" t="s">
        <v>999</v>
      </c>
      <c r="F207" s="573" t="s">
        <v>444</v>
      </c>
      <c r="G207" s="574"/>
      <c r="H207" s="175">
        <f>+H208</f>
        <v>1</v>
      </c>
      <c r="I207" s="575"/>
      <c r="J207" s="565"/>
      <c r="K207" s="566"/>
      <c r="L207" s="176">
        <f>+L208</f>
        <v>3</v>
      </c>
      <c r="M207" s="575"/>
      <c r="N207" s="565"/>
      <c r="O207" s="566"/>
      <c r="P207" s="182">
        <f>+P208</f>
        <v>1</v>
      </c>
      <c r="Q207" s="584"/>
      <c r="R207" s="565"/>
      <c r="S207" s="566"/>
      <c r="T207" s="176">
        <f>+T208</f>
        <v>3</v>
      </c>
      <c r="U207" s="585"/>
      <c r="V207" s="565"/>
      <c r="W207" s="566"/>
      <c r="X207" s="171"/>
    </row>
    <row r="208" spans="1:24" ht="13.5" x14ac:dyDescent="0.25">
      <c r="A208" s="562"/>
      <c r="B208" s="567"/>
      <c r="C208" s="568"/>
      <c r="D208" s="569"/>
      <c r="E208" s="562"/>
      <c r="F208" s="573" t="s">
        <v>453</v>
      </c>
      <c r="G208" s="574"/>
      <c r="H208" s="176">
        <v>1</v>
      </c>
      <c r="I208" s="567"/>
      <c r="J208" s="568"/>
      <c r="K208" s="569"/>
      <c r="L208" s="176">
        <v>3</v>
      </c>
      <c r="M208" s="567"/>
      <c r="N208" s="568"/>
      <c r="O208" s="569"/>
      <c r="P208" s="182">
        <v>1</v>
      </c>
      <c r="Q208" s="567"/>
      <c r="R208" s="568"/>
      <c r="S208" s="569"/>
      <c r="T208" s="176">
        <v>3</v>
      </c>
      <c r="U208" s="567"/>
      <c r="V208" s="568"/>
      <c r="W208" s="569"/>
      <c r="X208" s="171"/>
    </row>
    <row r="209" spans="1:24" ht="13.5" x14ac:dyDescent="0.25">
      <c r="A209" s="562"/>
      <c r="B209" s="567"/>
      <c r="C209" s="568"/>
      <c r="D209" s="569"/>
      <c r="E209" s="562"/>
      <c r="F209" s="573" t="s">
        <v>2583</v>
      </c>
      <c r="G209" s="574"/>
      <c r="H209" s="176"/>
      <c r="I209" s="567"/>
      <c r="J209" s="568"/>
      <c r="K209" s="569"/>
      <c r="L209" s="176"/>
      <c r="M209" s="567"/>
      <c r="N209" s="568"/>
      <c r="O209" s="569"/>
      <c r="P209" s="182"/>
      <c r="Q209" s="567"/>
      <c r="R209" s="568"/>
      <c r="S209" s="569"/>
      <c r="T209" s="183"/>
      <c r="U209" s="567"/>
      <c r="V209" s="568"/>
      <c r="W209" s="569"/>
      <c r="X209" s="171"/>
    </row>
    <row r="210" spans="1:24" ht="13.5" x14ac:dyDescent="0.25">
      <c r="A210" s="562"/>
      <c r="B210" s="567"/>
      <c r="C210" s="568"/>
      <c r="D210" s="569"/>
      <c r="E210" s="562"/>
      <c r="F210" s="573" t="s">
        <v>2584</v>
      </c>
      <c r="G210" s="574"/>
      <c r="H210" s="176"/>
      <c r="I210" s="567"/>
      <c r="J210" s="568"/>
      <c r="K210" s="569"/>
      <c r="L210" s="176"/>
      <c r="M210" s="567"/>
      <c r="N210" s="568"/>
      <c r="O210" s="569"/>
      <c r="P210" s="182"/>
      <c r="Q210" s="567"/>
      <c r="R210" s="568"/>
      <c r="S210" s="569"/>
      <c r="T210" s="183"/>
      <c r="U210" s="567"/>
      <c r="V210" s="568"/>
      <c r="W210" s="569"/>
      <c r="X210" s="171"/>
    </row>
    <row r="211" spans="1:24" ht="13.5" x14ac:dyDescent="0.25">
      <c r="A211" s="562"/>
      <c r="B211" s="567"/>
      <c r="C211" s="568"/>
      <c r="D211" s="569"/>
      <c r="E211" s="562"/>
      <c r="F211" s="573" t="s">
        <v>2585</v>
      </c>
      <c r="G211" s="574"/>
      <c r="H211" s="176"/>
      <c r="I211" s="567"/>
      <c r="J211" s="568"/>
      <c r="K211" s="569"/>
      <c r="L211" s="176"/>
      <c r="M211" s="567"/>
      <c r="N211" s="568"/>
      <c r="O211" s="569"/>
      <c r="P211" s="182"/>
      <c r="Q211" s="567"/>
      <c r="R211" s="568"/>
      <c r="S211" s="569"/>
      <c r="T211" s="183"/>
      <c r="U211" s="567"/>
      <c r="V211" s="568"/>
      <c r="W211" s="569"/>
      <c r="X211" s="171"/>
    </row>
    <row r="212" spans="1:24" ht="13.5" x14ac:dyDescent="0.25">
      <c r="A212" s="562"/>
      <c r="B212" s="567"/>
      <c r="C212" s="568"/>
      <c r="D212" s="569"/>
      <c r="E212" s="562"/>
      <c r="F212" s="573" t="s">
        <v>2586</v>
      </c>
      <c r="G212" s="574"/>
      <c r="H212" s="176"/>
      <c r="I212" s="567"/>
      <c r="J212" s="568"/>
      <c r="K212" s="569"/>
      <c r="L212" s="176"/>
      <c r="M212" s="567"/>
      <c r="N212" s="568"/>
      <c r="O212" s="569"/>
      <c r="P212" s="182"/>
      <c r="Q212" s="567"/>
      <c r="R212" s="568"/>
      <c r="S212" s="569"/>
      <c r="T212" s="183"/>
      <c r="U212" s="567"/>
      <c r="V212" s="568"/>
      <c r="W212" s="569"/>
      <c r="X212" s="171"/>
    </row>
    <row r="213" spans="1:24" ht="13.5" x14ac:dyDescent="0.25">
      <c r="A213" s="562"/>
      <c r="B213" s="567"/>
      <c r="C213" s="568"/>
      <c r="D213" s="569"/>
      <c r="E213" s="562"/>
      <c r="F213" s="573" t="s">
        <v>2587</v>
      </c>
      <c r="G213" s="574"/>
      <c r="H213" s="176"/>
      <c r="I213" s="567"/>
      <c r="J213" s="568"/>
      <c r="K213" s="569"/>
      <c r="L213" s="176"/>
      <c r="M213" s="567"/>
      <c r="N213" s="568"/>
      <c r="O213" s="569"/>
      <c r="P213" s="182"/>
      <c r="Q213" s="567"/>
      <c r="R213" s="568"/>
      <c r="S213" s="569"/>
      <c r="T213" s="183"/>
      <c r="U213" s="567"/>
      <c r="V213" s="568"/>
      <c r="W213" s="569"/>
      <c r="X213" s="171"/>
    </row>
    <row r="214" spans="1:24" ht="13.5" x14ac:dyDescent="0.25">
      <c r="A214" s="562"/>
      <c r="B214" s="567"/>
      <c r="C214" s="568"/>
      <c r="D214" s="569"/>
      <c r="E214" s="562"/>
      <c r="F214" s="573" t="s">
        <v>3188</v>
      </c>
      <c r="G214" s="574"/>
      <c r="H214" s="176"/>
      <c r="I214" s="567"/>
      <c r="J214" s="568"/>
      <c r="K214" s="569"/>
      <c r="L214" s="176"/>
      <c r="M214" s="567"/>
      <c r="N214" s="568"/>
      <c r="O214" s="569"/>
      <c r="P214" s="182"/>
      <c r="Q214" s="567"/>
      <c r="R214" s="568"/>
      <c r="S214" s="569"/>
      <c r="T214" s="183"/>
      <c r="U214" s="567"/>
      <c r="V214" s="568"/>
      <c r="W214" s="569"/>
      <c r="X214" s="171"/>
    </row>
    <row r="215" spans="1:24" ht="13.5" x14ac:dyDescent="0.25">
      <c r="A215" s="563"/>
      <c r="B215" s="570"/>
      <c r="C215" s="571"/>
      <c r="D215" s="572"/>
      <c r="E215" s="563"/>
      <c r="F215" s="573" t="s">
        <v>3189</v>
      </c>
      <c r="G215" s="574"/>
      <c r="H215" s="176"/>
      <c r="I215" s="570"/>
      <c r="J215" s="571"/>
      <c r="K215" s="572"/>
      <c r="L215" s="176"/>
      <c r="M215" s="570"/>
      <c r="N215" s="571"/>
      <c r="O215" s="572"/>
      <c r="P215" s="182"/>
      <c r="Q215" s="570"/>
      <c r="R215" s="571"/>
      <c r="S215" s="572"/>
      <c r="T215" s="183"/>
      <c r="U215" s="570"/>
      <c r="V215" s="571"/>
      <c r="W215" s="572"/>
      <c r="X215" s="171"/>
    </row>
    <row r="216" spans="1:24" ht="13.5" x14ac:dyDescent="0.25">
      <c r="A216" s="177"/>
      <c r="B216" s="178"/>
      <c r="C216" s="178"/>
      <c r="D216" s="178"/>
      <c r="E216" s="179"/>
      <c r="F216" s="173"/>
      <c r="G216" s="171"/>
      <c r="H216" s="171"/>
      <c r="I216" s="171"/>
      <c r="J216" s="171"/>
      <c r="K216" s="171"/>
      <c r="L216" s="171"/>
      <c r="M216" s="171"/>
      <c r="N216" s="171"/>
      <c r="O216" s="171"/>
      <c r="P216" s="171"/>
      <c r="Q216" s="171"/>
      <c r="R216" s="171"/>
      <c r="S216" s="171"/>
      <c r="T216" s="171"/>
      <c r="U216" s="171"/>
      <c r="V216" s="171"/>
      <c r="W216" s="171"/>
      <c r="X216" s="171"/>
    </row>
    <row r="217" spans="1:24" ht="13.5" x14ac:dyDescent="0.25">
      <c r="A217" s="578" t="s">
        <v>76</v>
      </c>
      <c r="B217" s="582"/>
      <c r="C217" s="582"/>
      <c r="D217" s="582"/>
      <c r="E217" s="174" t="s">
        <v>77</v>
      </c>
      <c r="F217" s="583" t="s">
        <v>2576</v>
      </c>
      <c r="G217" s="572"/>
      <c r="H217" s="578" t="s">
        <v>2578</v>
      </c>
      <c r="I217" s="582"/>
      <c r="J217" s="582"/>
      <c r="K217" s="574"/>
      <c r="L217" s="578" t="s">
        <v>2579</v>
      </c>
      <c r="M217" s="582"/>
      <c r="N217" s="582"/>
      <c r="O217" s="574"/>
      <c r="P217" s="586" t="s">
        <v>2580</v>
      </c>
      <c r="Q217" s="565"/>
      <c r="R217" s="565"/>
      <c r="S217" s="566"/>
      <c r="T217" s="578" t="s">
        <v>2581</v>
      </c>
      <c r="U217" s="582"/>
      <c r="V217" s="582"/>
      <c r="W217" s="574"/>
      <c r="X217" s="171"/>
    </row>
    <row r="218" spans="1:24" ht="13.5" x14ac:dyDescent="0.25">
      <c r="A218" s="561" t="s">
        <v>320</v>
      </c>
      <c r="B218" s="564" t="s">
        <v>321</v>
      </c>
      <c r="C218" s="565"/>
      <c r="D218" s="566"/>
      <c r="E218" s="561" t="s">
        <v>999</v>
      </c>
      <c r="F218" s="573" t="s">
        <v>444</v>
      </c>
      <c r="G218" s="574"/>
      <c r="H218" s="175">
        <f>+H219</f>
        <v>2</v>
      </c>
      <c r="I218" s="575"/>
      <c r="J218" s="565"/>
      <c r="K218" s="566"/>
      <c r="L218" s="176"/>
      <c r="M218" s="584" t="s">
        <v>2582</v>
      </c>
      <c r="N218" s="565"/>
      <c r="O218" s="566"/>
      <c r="P218" s="182">
        <f>+P219</f>
        <v>2</v>
      </c>
      <c r="Q218" s="584"/>
      <c r="R218" s="565"/>
      <c r="S218" s="566"/>
      <c r="T218" s="183"/>
      <c r="U218" s="584" t="s">
        <v>2582</v>
      </c>
      <c r="V218" s="565"/>
      <c r="W218" s="566"/>
      <c r="X218" s="171"/>
    </row>
    <row r="219" spans="1:24" ht="13.5" x14ac:dyDescent="0.25">
      <c r="A219" s="562"/>
      <c r="B219" s="567"/>
      <c r="C219" s="568"/>
      <c r="D219" s="569"/>
      <c r="E219" s="562"/>
      <c r="F219" s="573" t="s">
        <v>453</v>
      </c>
      <c r="G219" s="574"/>
      <c r="H219" s="176">
        <v>2</v>
      </c>
      <c r="I219" s="567"/>
      <c r="J219" s="568"/>
      <c r="K219" s="569"/>
      <c r="L219" s="176"/>
      <c r="M219" s="567"/>
      <c r="N219" s="568"/>
      <c r="O219" s="569"/>
      <c r="P219" s="182">
        <v>2</v>
      </c>
      <c r="Q219" s="567"/>
      <c r="R219" s="568"/>
      <c r="S219" s="569"/>
      <c r="T219" s="183"/>
      <c r="U219" s="567"/>
      <c r="V219" s="568"/>
      <c r="W219" s="569"/>
      <c r="X219" s="171"/>
    </row>
    <row r="220" spans="1:24" ht="13.5" x14ac:dyDescent="0.25">
      <c r="A220" s="562"/>
      <c r="B220" s="567"/>
      <c r="C220" s="568"/>
      <c r="D220" s="569"/>
      <c r="E220" s="562"/>
      <c r="F220" s="573" t="s">
        <v>2583</v>
      </c>
      <c r="G220" s="574"/>
      <c r="H220" s="176"/>
      <c r="I220" s="567"/>
      <c r="J220" s="568"/>
      <c r="K220" s="569"/>
      <c r="L220" s="176"/>
      <c r="M220" s="567"/>
      <c r="N220" s="568"/>
      <c r="O220" s="569"/>
      <c r="P220" s="182"/>
      <c r="Q220" s="567"/>
      <c r="R220" s="568"/>
      <c r="S220" s="569"/>
      <c r="T220" s="183"/>
      <c r="U220" s="567"/>
      <c r="V220" s="568"/>
      <c r="W220" s="569"/>
      <c r="X220" s="171"/>
    </row>
    <row r="221" spans="1:24" ht="13.5" x14ac:dyDescent="0.25">
      <c r="A221" s="562"/>
      <c r="B221" s="567"/>
      <c r="C221" s="568"/>
      <c r="D221" s="569"/>
      <c r="E221" s="562"/>
      <c r="F221" s="573" t="s">
        <v>2584</v>
      </c>
      <c r="G221" s="574"/>
      <c r="H221" s="176"/>
      <c r="I221" s="567"/>
      <c r="J221" s="568"/>
      <c r="K221" s="569"/>
      <c r="L221" s="176"/>
      <c r="M221" s="567"/>
      <c r="N221" s="568"/>
      <c r="O221" s="569"/>
      <c r="P221" s="182"/>
      <c r="Q221" s="567"/>
      <c r="R221" s="568"/>
      <c r="S221" s="569"/>
      <c r="T221" s="183"/>
      <c r="U221" s="567"/>
      <c r="V221" s="568"/>
      <c r="W221" s="569"/>
      <c r="X221" s="171"/>
    </row>
    <row r="222" spans="1:24" ht="13.5" x14ac:dyDescent="0.25">
      <c r="A222" s="562"/>
      <c r="B222" s="567"/>
      <c r="C222" s="568"/>
      <c r="D222" s="569"/>
      <c r="E222" s="562"/>
      <c r="F222" s="573" t="s">
        <v>2585</v>
      </c>
      <c r="G222" s="574"/>
      <c r="H222" s="176"/>
      <c r="I222" s="567"/>
      <c r="J222" s="568"/>
      <c r="K222" s="569"/>
      <c r="L222" s="176"/>
      <c r="M222" s="567"/>
      <c r="N222" s="568"/>
      <c r="O222" s="569"/>
      <c r="P222" s="182"/>
      <c r="Q222" s="567"/>
      <c r="R222" s="568"/>
      <c r="S222" s="569"/>
      <c r="T222" s="183"/>
      <c r="U222" s="567"/>
      <c r="V222" s="568"/>
      <c r="W222" s="569"/>
      <c r="X222" s="171"/>
    </row>
    <row r="223" spans="1:24" ht="13.5" x14ac:dyDescent="0.25">
      <c r="A223" s="562"/>
      <c r="B223" s="567"/>
      <c r="C223" s="568"/>
      <c r="D223" s="569"/>
      <c r="E223" s="562"/>
      <c r="F223" s="573" t="s">
        <v>2586</v>
      </c>
      <c r="G223" s="574"/>
      <c r="H223" s="176"/>
      <c r="I223" s="567"/>
      <c r="J223" s="568"/>
      <c r="K223" s="569"/>
      <c r="L223" s="176"/>
      <c r="M223" s="567"/>
      <c r="N223" s="568"/>
      <c r="O223" s="569"/>
      <c r="P223" s="182"/>
      <c r="Q223" s="567"/>
      <c r="R223" s="568"/>
      <c r="S223" s="569"/>
      <c r="T223" s="183"/>
      <c r="U223" s="567"/>
      <c r="V223" s="568"/>
      <c r="W223" s="569"/>
      <c r="X223" s="171"/>
    </row>
    <row r="224" spans="1:24" ht="13.5" x14ac:dyDescent="0.25">
      <c r="A224" s="562"/>
      <c r="B224" s="567"/>
      <c r="C224" s="568"/>
      <c r="D224" s="569"/>
      <c r="E224" s="562"/>
      <c r="F224" s="573" t="s">
        <v>2587</v>
      </c>
      <c r="G224" s="574"/>
      <c r="H224" s="176"/>
      <c r="I224" s="567"/>
      <c r="J224" s="568"/>
      <c r="K224" s="569"/>
      <c r="L224" s="176"/>
      <c r="M224" s="567"/>
      <c r="N224" s="568"/>
      <c r="O224" s="569"/>
      <c r="P224" s="182"/>
      <c r="Q224" s="567"/>
      <c r="R224" s="568"/>
      <c r="S224" s="569"/>
      <c r="T224" s="183"/>
      <c r="U224" s="567"/>
      <c r="V224" s="568"/>
      <c r="W224" s="569"/>
      <c r="X224" s="171"/>
    </row>
    <row r="225" spans="1:24" ht="13.5" x14ac:dyDescent="0.25">
      <c r="A225" s="562"/>
      <c r="B225" s="567"/>
      <c r="C225" s="568"/>
      <c r="D225" s="569"/>
      <c r="E225" s="562"/>
      <c r="F225" s="573" t="s">
        <v>3188</v>
      </c>
      <c r="G225" s="574"/>
      <c r="H225" s="176"/>
      <c r="I225" s="567"/>
      <c r="J225" s="568"/>
      <c r="K225" s="569"/>
      <c r="L225" s="176"/>
      <c r="M225" s="567"/>
      <c r="N225" s="568"/>
      <c r="O225" s="569"/>
      <c r="P225" s="182"/>
      <c r="Q225" s="567"/>
      <c r="R225" s="568"/>
      <c r="S225" s="569"/>
      <c r="T225" s="183"/>
      <c r="U225" s="567"/>
      <c r="V225" s="568"/>
      <c r="W225" s="569"/>
      <c r="X225" s="171"/>
    </row>
    <row r="226" spans="1:24" ht="13.5" x14ac:dyDescent="0.25">
      <c r="A226" s="563"/>
      <c r="B226" s="570"/>
      <c r="C226" s="571"/>
      <c r="D226" s="572"/>
      <c r="E226" s="563"/>
      <c r="F226" s="573" t="s">
        <v>3189</v>
      </c>
      <c r="G226" s="574"/>
      <c r="H226" s="176"/>
      <c r="I226" s="570"/>
      <c r="J226" s="571"/>
      <c r="K226" s="572"/>
      <c r="L226" s="176"/>
      <c r="M226" s="570"/>
      <c r="N226" s="571"/>
      <c r="O226" s="572"/>
      <c r="P226" s="182"/>
      <c r="Q226" s="570"/>
      <c r="R226" s="571"/>
      <c r="S226" s="572"/>
      <c r="T226" s="183"/>
      <c r="U226" s="570"/>
      <c r="V226" s="571"/>
      <c r="W226" s="572"/>
      <c r="X226" s="171"/>
    </row>
    <row r="227" spans="1:24" ht="13.5" x14ac:dyDescent="0.25">
      <c r="A227" s="177"/>
      <c r="B227" s="178"/>
      <c r="C227" s="178"/>
      <c r="D227" s="178"/>
      <c r="E227" s="179"/>
      <c r="F227" s="173"/>
      <c r="G227" s="171"/>
      <c r="H227" s="171"/>
      <c r="I227" s="171"/>
      <c r="J227" s="171"/>
      <c r="K227" s="171"/>
      <c r="L227" s="171"/>
      <c r="M227" s="171"/>
      <c r="N227" s="171"/>
      <c r="O227" s="171"/>
      <c r="P227" s="171"/>
      <c r="Q227" s="171"/>
      <c r="R227" s="171"/>
      <c r="S227" s="171"/>
      <c r="T227" s="171"/>
      <c r="U227" s="171"/>
      <c r="V227" s="171"/>
      <c r="W227" s="171"/>
      <c r="X227" s="171"/>
    </row>
    <row r="228" spans="1:24" ht="13.5" x14ac:dyDescent="0.25">
      <c r="A228" s="578" t="s">
        <v>76</v>
      </c>
      <c r="B228" s="582"/>
      <c r="C228" s="582"/>
      <c r="D228" s="582"/>
      <c r="E228" s="174" t="s">
        <v>77</v>
      </c>
      <c r="F228" s="583" t="s">
        <v>2576</v>
      </c>
      <c r="G228" s="572"/>
      <c r="H228" s="578" t="s">
        <v>2578</v>
      </c>
      <c r="I228" s="582"/>
      <c r="J228" s="582"/>
      <c r="K228" s="574"/>
      <c r="L228" s="578" t="s">
        <v>2579</v>
      </c>
      <c r="M228" s="582"/>
      <c r="N228" s="582"/>
      <c r="O228" s="574"/>
      <c r="P228" s="578" t="s">
        <v>2580</v>
      </c>
      <c r="Q228" s="582"/>
      <c r="R228" s="582"/>
      <c r="S228" s="574"/>
      <c r="T228" s="578" t="s">
        <v>2581</v>
      </c>
      <c r="U228" s="582"/>
      <c r="V228" s="582"/>
      <c r="W228" s="574"/>
      <c r="X228" s="171"/>
    </row>
    <row r="229" spans="1:24" ht="13.5" x14ac:dyDescent="0.25">
      <c r="A229" s="561" t="s">
        <v>324</v>
      </c>
      <c r="B229" s="564" t="s">
        <v>325</v>
      </c>
      <c r="C229" s="565"/>
      <c r="D229" s="566"/>
      <c r="E229" s="561" t="s">
        <v>999</v>
      </c>
      <c r="F229" s="573" t="s">
        <v>444</v>
      </c>
      <c r="G229" s="574"/>
      <c r="H229" s="176"/>
      <c r="I229" s="584" t="s">
        <v>2582</v>
      </c>
      <c r="J229" s="565"/>
      <c r="K229" s="566"/>
      <c r="L229" s="176">
        <f>+L230</f>
        <v>5</v>
      </c>
      <c r="M229" s="575"/>
      <c r="N229" s="565"/>
      <c r="O229" s="566"/>
      <c r="P229" s="176"/>
      <c r="Q229" s="584" t="s">
        <v>2582</v>
      </c>
      <c r="R229" s="565"/>
      <c r="S229" s="566"/>
      <c r="T229" s="176">
        <f>+T230</f>
        <v>5</v>
      </c>
      <c r="U229" s="585"/>
      <c r="V229" s="565"/>
      <c r="W229" s="566"/>
      <c r="X229" s="171"/>
    </row>
    <row r="230" spans="1:24" ht="13.5" x14ac:dyDescent="0.25">
      <c r="A230" s="562"/>
      <c r="B230" s="567"/>
      <c r="C230" s="568"/>
      <c r="D230" s="569"/>
      <c r="E230" s="562"/>
      <c r="F230" s="573" t="s">
        <v>453</v>
      </c>
      <c r="G230" s="574"/>
      <c r="H230" s="176"/>
      <c r="I230" s="567"/>
      <c r="J230" s="568"/>
      <c r="K230" s="569"/>
      <c r="L230" s="176">
        <v>5</v>
      </c>
      <c r="M230" s="567"/>
      <c r="N230" s="568"/>
      <c r="O230" s="569"/>
      <c r="P230" s="176"/>
      <c r="Q230" s="567"/>
      <c r="R230" s="568"/>
      <c r="S230" s="569"/>
      <c r="T230" s="176">
        <v>5</v>
      </c>
      <c r="U230" s="567"/>
      <c r="V230" s="568"/>
      <c r="W230" s="569"/>
      <c r="X230" s="171"/>
    </row>
    <row r="231" spans="1:24" ht="13.5" x14ac:dyDescent="0.25">
      <c r="A231" s="562"/>
      <c r="B231" s="567"/>
      <c r="C231" s="568"/>
      <c r="D231" s="569"/>
      <c r="E231" s="562"/>
      <c r="F231" s="573" t="s">
        <v>2583</v>
      </c>
      <c r="G231" s="574"/>
      <c r="H231" s="176"/>
      <c r="I231" s="567"/>
      <c r="J231" s="568"/>
      <c r="K231" s="569"/>
      <c r="L231" s="176"/>
      <c r="M231" s="567"/>
      <c r="N231" s="568"/>
      <c r="O231" s="569"/>
      <c r="P231" s="176"/>
      <c r="Q231" s="567"/>
      <c r="R231" s="568"/>
      <c r="S231" s="569"/>
      <c r="T231" s="176"/>
      <c r="U231" s="567"/>
      <c r="V231" s="568"/>
      <c r="W231" s="569"/>
      <c r="X231" s="171"/>
    </row>
    <row r="232" spans="1:24" ht="13.5" x14ac:dyDescent="0.25">
      <c r="A232" s="562"/>
      <c r="B232" s="567"/>
      <c r="C232" s="568"/>
      <c r="D232" s="569"/>
      <c r="E232" s="562"/>
      <c r="F232" s="573" t="s">
        <v>2584</v>
      </c>
      <c r="G232" s="574"/>
      <c r="H232" s="176"/>
      <c r="I232" s="567"/>
      <c r="J232" s="568"/>
      <c r="K232" s="569"/>
      <c r="L232" s="176"/>
      <c r="M232" s="567"/>
      <c r="N232" s="568"/>
      <c r="O232" s="569"/>
      <c r="P232" s="176"/>
      <c r="Q232" s="567"/>
      <c r="R232" s="568"/>
      <c r="S232" s="569"/>
      <c r="T232" s="176"/>
      <c r="U232" s="567"/>
      <c r="V232" s="568"/>
      <c r="W232" s="569"/>
      <c r="X232" s="171"/>
    </row>
    <row r="233" spans="1:24" ht="13.5" x14ac:dyDescent="0.25">
      <c r="A233" s="562"/>
      <c r="B233" s="567"/>
      <c r="C233" s="568"/>
      <c r="D233" s="569"/>
      <c r="E233" s="562"/>
      <c r="F233" s="573" t="s">
        <v>2585</v>
      </c>
      <c r="G233" s="574"/>
      <c r="H233" s="176"/>
      <c r="I233" s="567"/>
      <c r="J233" s="568"/>
      <c r="K233" s="569"/>
      <c r="L233" s="176"/>
      <c r="M233" s="567"/>
      <c r="N233" s="568"/>
      <c r="O233" s="569"/>
      <c r="P233" s="176"/>
      <c r="Q233" s="567"/>
      <c r="R233" s="568"/>
      <c r="S233" s="569"/>
      <c r="T233" s="176"/>
      <c r="U233" s="567"/>
      <c r="V233" s="568"/>
      <c r="W233" s="569"/>
      <c r="X233" s="171"/>
    </row>
    <row r="234" spans="1:24" ht="13.5" x14ac:dyDescent="0.25">
      <c r="A234" s="562"/>
      <c r="B234" s="567"/>
      <c r="C234" s="568"/>
      <c r="D234" s="569"/>
      <c r="E234" s="562"/>
      <c r="F234" s="573" t="s">
        <v>2586</v>
      </c>
      <c r="G234" s="574"/>
      <c r="H234" s="176"/>
      <c r="I234" s="567"/>
      <c r="J234" s="568"/>
      <c r="K234" s="569"/>
      <c r="L234" s="176"/>
      <c r="M234" s="567"/>
      <c r="N234" s="568"/>
      <c r="O234" s="569"/>
      <c r="P234" s="176"/>
      <c r="Q234" s="567"/>
      <c r="R234" s="568"/>
      <c r="S234" s="569"/>
      <c r="T234" s="176"/>
      <c r="U234" s="567"/>
      <c r="V234" s="568"/>
      <c r="W234" s="569"/>
      <c r="X234" s="171"/>
    </row>
    <row r="235" spans="1:24" ht="13.5" x14ac:dyDescent="0.25">
      <c r="A235" s="562"/>
      <c r="B235" s="567"/>
      <c r="C235" s="568"/>
      <c r="D235" s="569"/>
      <c r="E235" s="562"/>
      <c r="F235" s="573" t="s">
        <v>2587</v>
      </c>
      <c r="G235" s="574"/>
      <c r="H235" s="176"/>
      <c r="I235" s="567"/>
      <c r="J235" s="568"/>
      <c r="K235" s="569"/>
      <c r="L235" s="176"/>
      <c r="M235" s="567"/>
      <c r="N235" s="568"/>
      <c r="O235" s="569"/>
      <c r="P235" s="176"/>
      <c r="Q235" s="567"/>
      <c r="R235" s="568"/>
      <c r="S235" s="569"/>
      <c r="T235" s="176"/>
      <c r="U235" s="567"/>
      <c r="V235" s="568"/>
      <c r="W235" s="569"/>
      <c r="X235" s="171"/>
    </row>
    <row r="236" spans="1:24" ht="13.5" x14ac:dyDescent="0.25">
      <c r="A236" s="562"/>
      <c r="B236" s="567"/>
      <c r="C236" s="568"/>
      <c r="D236" s="569"/>
      <c r="E236" s="562"/>
      <c r="F236" s="573" t="s">
        <v>3188</v>
      </c>
      <c r="G236" s="574"/>
      <c r="H236" s="176"/>
      <c r="I236" s="567"/>
      <c r="J236" s="568"/>
      <c r="K236" s="569"/>
      <c r="L236" s="176"/>
      <c r="M236" s="567"/>
      <c r="N236" s="568"/>
      <c r="O236" s="569"/>
      <c r="P236" s="176"/>
      <c r="Q236" s="567"/>
      <c r="R236" s="568"/>
      <c r="S236" s="569"/>
      <c r="T236" s="176"/>
      <c r="U236" s="567"/>
      <c r="V236" s="568"/>
      <c r="W236" s="569"/>
      <c r="X236" s="171"/>
    </row>
    <row r="237" spans="1:24" ht="13.5" x14ac:dyDescent="0.25">
      <c r="A237" s="563"/>
      <c r="B237" s="570"/>
      <c r="C237" s="571"/>
      <c r="D237" s="572"/>
      <c r="E237" s="563"/>
      <c r="F237" s="573" t="s">
        <v>3189</v>
      </c>
      <c r="G237" s="574"/>
      <c r="H237" s="176"/>
      <c r="I237" s="570"/>
      <c r="J237" s="571"/>
      <c r="K237" s="572"/>
      <c r="L237" s="176"/>
      <c r="M237" s="570"/>
      <c r="N237" s="571"/>
      <c r="O237" s="572"/>
      <c r="P237" s="176"/>
      <c r="Q237" s="570"/>
      <c r="R237" s="571"/>
      <c r="S237" s="572"/>
      <c r="T237" s="176"/>
      <c r="U237" s="570"/>
      <c r="V237" s="571"/>
      <c r="W237" s="572"/>
      <c r="X237" s="171"/>
    </row>
    <row r="238" spans="1:24" ht="13.5" x14ac:dyDescent="0.25">
      <c r="A238" s="177"/>
      <c r="B238" s="178"/>
      <c r="C238" s="178"/>
      <c r="D238" s="178"/>
      <c r="E238" s="179"/>
      <c r="F238" s="173"/>
      <c r="G238" s="171"/>
      <c r="H238" s="171"/>
      <c r="I238" s="171"/>
      <c r="J238" s="171"/>
      <c r="K238" s="171"/>
      <c r="L238" s="171"/>
      <c r="M238" s="171"/>
      <c r="N238" s="171"/>
      <c r="O238" s="171"/>
      <c r="P238" s="171"/>
      <c r="Q238" s="171"/>
      <c r="R238" s="171"/>
      <c r="S238" s="171"/>
      <c r="T238" s="171"/>
      <c r="U238" s="171"/>
      <c r="V238" s="171"/>
      <c r="W238" s="171"/>
      <c r="X238" s="171"/>
    </row>
    <row r="239" spans="1:24" ht="13.5" x14ac:dyDescent="0.25">
      <c r="A239" s="578" t="s">
        <v>76</v>
      </c>
      <c r="B239" s="582"/>
      <c r="C239" s="582"/>
      <c r="D239" s="582"/>
      <c r="E239" s="174" t="s">
        <v>77</v>
      </c>
      <c r="F239" s="583" t="s">
        <v>2576</v>
      </c>
      <c r="G239" s="572"/>
      <c r="H239" s="578" t="s">
        <v>2578</v>
      </c>
      <c r="I239" s="582"/>
      <c r="J239" s="582"/>
      <c r="K239" s="574"/>
      <c r="L239" s="578" t="s">
        <v>2579</v>
      </c>
      <c r="M239" s="582"/>
      <c r="N239" s="582"/>
      <c r="O239" s="574"/>
      <c r="P239" s="578" t="s">
        <v>2580</v>
      </c>
      <c r="Q239" s="582"/>
      <c r="R239" s="582"/>
      <c r="S239" s="574"/>
      <c r="T239" s="578" t="s">
        <v>2581</v>
      </c>
      <c r="U239" s="582"/>
      <c r="V239" s="582"/>
      <c r="W239" s="574"/>
      <c r="X239" s="171"/>
    </row>
    <row r="240" spans="1:24" ht="13.5" x14ac:dyDescent="0.25">
      <c r="A240" s="561" t="s">
        <v>326</v>
      </c>
      <c r="B240" s="564" t="s">
        <v>327</v>
      </c>
      <c r="C240" s="565"/>
      <c r="D240" s="566"/>
      <c r="E240" s="561" t="s">
        <v>999</v>
      </c>
      <c r="F240" s="573" t="s">
        <v>444</v>
      </c>
      <c r="G240" s="574"/>
      <c r="H240" s="176"/>
      <c r="I240" s="584" t="s">
        <v>2582</v>
      </c>
      <c r="J240" s="565"/>
      <c r="K240" s="566"/>
      <c r="L240" s="176">
        <f>+L241</f>
        <v>3</v>
      </c>
      <c r="M240" s="575"/>
      <c r="N240" s="565"/>
      <c r="O240" s="566"/>
      <c r="P240" s="176"/>
      <c r="Q240" s="584" t="s">
        <v>2582</v>
      </c>
      <c r="R240" s="565"/>
      <c r="S240" s="566"/>
      <c r="T240" s="176">
        <f>+T241</f>
        <v>3</v>
      </c>
      <c r="U240" s="585"/>
      <c r="V240" s="565"/>
      <c r="W240" s="566"/>
      <c r="X240" s="171"/>
    </row>
    <row r="241" spans="1:24" ht="13.5" x14ac:dyDescent="0.25">
      <c r="A241" s="562"/>
      <c r="B241" s="567"/>
      <c r="C241" s="568"/>
      <c r="D241" s="569"/>
      <c r="E241" s="562"/>
      <c r="F241" s="573" t="s">
        <v>453</v>
      </c>
      <c r="G241" s="574"/>
      <c r="H241" s="176"/>
      <c r="I241" s="567"/>
      <c r="J241" s="568"/>
      <c r="K241" s="569"/>
      <c r="L241" s="176">
        <v>3</v>
      </c>
      <c r="M241" s="567"/>
      <c r="N241" s="568"/>
      <c r="O241" s="569"/>
      <c r="P241" s="176"/>
      <c r="Q241" s="567"/>
      <c r="R241" s="568"/>
      <c r="S241" s="569"/>
      <c r="T241" s="176">
        <v>3</v>
      </c>
      <c r="U241" s="567"/>
      <c r="V241" s="568"/>
      <c r="W241" s="569"/>
      <c r="X241" s="171"/>
    </row>
    <row r="242" spans="1:24" ht="13.5" x14ac:dyDescent="0.25">
      <c r="A242" s="562"/>
      <c r="B242" s="567"/>
      <c r="C242" s="568"/>
      <c r="D242" s="569"/>
      <c r="E242" s="562"/>
      <c r="F242" s="573" t="s">
        <v>2583</v>
      </c>
      <c r="G242" s="574"/>
      <c r="H242" s="176"/>
      <c r="I242" s="567"/>
      <c r="J242" s="568"/>
      <c r="K242" s="569"/>
      <c r="L242" s="176"/>
      <c r="M242" s="567"/>
      <c r="N242" s="568"/>
      <c r="O242" s="569"/>
      <c r="P242" s="176"/>
      <c r="Q242" s="567"/>
      <c r="R242" s="568"/>
      <c r="S242" s="569"/>
      <c r="T242" s="176"/>
      <c r="U242" s="567"/>
      <c r="V242" s="568"/>
      <c r="W242" s="569"/>
      <c r="X242" s="171"/>
    </row>
    <row r="243" spans="1:24" ht="13.5" x14ac:dyDescent="0.25">
      <c r="A243" s="562"/>
      <c r="B243" s="567"/>
      <c r="C243" s="568"/>
      <c r="D243" s="569"/>
      <c r="E243" s="562"/>
      <c r="F243" s="573" t="s">
        <v>2584</v>
      </c>
      <c r="G243" s="574"/>
      <c r="H243" s="176"/>
      <c r="I243" s="567"/>
      <c r="J243" s="568"/>
      <c r="K243" s="569"/>
      <c r="L243" s="176"/>
      <c r="M243" s="567"/>
      <c r="N243" s="568"/>
      <c r="O243" s="569"/>
      <c r="P243" s="176"/>
      <c r="Q243" s="567"/>
      <c r="R243" s="568"/>
      <c r="S243" s="569"/>
      <c r="T243" s="176"/>
      <c r="U243" s="567"/>
      <c r="V243" s="568"/>
      <c r="W243" s="569"/>
      <c r="X243" s="171"/>
    </row>
    <row r="244" spans="1:24" ht="13.5" x14ac:dyDescent="0.25">
      <c r="A244" s="562"/>
      <c r="B244" s="567"/>
      <c r="C244" s="568"/>
      <c r="D244" s="569"/>
      <c r="E244" s="562"/>
      <c r="F244" s="573" t="s">
        <v>2585</v>
      </c>
      <c r="G244" s="574"/>
      <c r="H244" s="176"/>
      <c r="I244" s="567"/>
      <c r="J244" s="568"/>
      <c r="K244" s="569"/>
      <c r="L244" s="176"/>
      <c r="M244" s="567"/>
      <c r="N244" s="568"/>
      <c r="O244" s="569"/>
      <c r="P244" s="176"/>
      <c r="Q244" s="567"/>
      <c r="R244" s="568"/>
      <c r="S244" s="569"/>
      <c r="T244" s="176"/>
      <c r="U244" s="567"/>
      <c r="V244" s="568"/>
      <c r="W244" s="569"/>
      <c r="X244" s="171"/>
    </row>
    <row r="245" spans="1:24" ht="13.5" x14ac:dyDescent="0.25">
      <c r="A245" s="562"/>
      <c r="B245" s="567"/>
      <c r="C245" s="568"/>
      <c r="D245" s="569"/>
      <c r="E245" s="562"/>
      <c r="F245" s="573" t="s">
        <v>2586</v>
      </c>
      <c r="G245" s="574"/>
      <c r="H245" s="176"/>
      <c r="I245" s="567"/>
      <c r="J245" s="568"/>
      <c r="K245" s="569"/>
      <c r="L245" s="176"/>
      <c r="M245" s="567"/>
      <c r="N245" s="568"/>
      <c r="O245" s="569"/>
      <c r="P245" s="176"/>
      <c r="Q245" s="567"/>
      <c r="R245" s="568"/>
      <c r="S245" s="569"/>
      <c r="T245" s="176"/>
      <c r="U245" s="567"/>
      <c r="V245" s="568"/>
      <c r="W245" s="569"/>
      <c r="X245" s="171"/>
    </row>
    <row r="246" spans="1:24" ht="13.5" x14ac:dyDescent="0.25">
      <c r="A246" s="562"/>
      <c r="B246" s="567"/>
      <c r="C246" s="568"/>
      <c r="D246" s="569"/>
      <c r="E246" s="562"/>
      <c r="F246" s="573" t="s">
        <v>2587</v>
      </c>
      <c r="G246" s="574"/>
      <c r="H246" s="176"/>
      <c r="I246" s="567"/>
      <c r="J246" s="568"/>
      <c r="K246" s="569"/>
      <c r="L246" s="176"/>
      <c r="M246" s="567"/>
      <c r="N246" s="568"/>
      <c r="O246" s="569"/>
      <c r="P246" s="176"/>
      <c r="Q246" s="567"/>
      <c r="R246" s="568"/>
      <c r="S246" s="569"/>
      <c r="T246" s="176"/>
      <c r="U246" s="567"/>
      <c r="V246" s="568"/>
      <c r="W246" s="569"/>
      <c r="X246" s="171"/>
    </row>
    <row r="247" spans="1:24" ht="13.5" x14ac:dyDescent="0.25">
      <c r="A247" s="562"/>
      <c r="B247" s="567"/>
      <c r="C247" s="568"/>
      <c r="D247" s="569"/>
      <c r="E247" s="562"/>
      <c r="F247" s="573" t="s">
        <v>3188</v>
      </c>
      <c r="G247" s="574"/>
      <c r="H247" s="176"/>
      <c r="I247" s="567"/>
      <c r="J247" s="568"/>
      <c r="K247" s="569"/>
      <c r="L247" s="176"/>
      <c r="M247" s="567"/>
      <c r="N247" s="568"/>
      <c r="O247" s="569"/>
      <c r="P247" s="176"/>
      <c r="Q247" s="567"/>
      <c r="R247" s="568"/>
      <c r="S247" s="569"/>
      <c r="T247" s="176"/>
      <c r="U247" s="567"/>
      <c r="V247" s="568"/>
      <c r="W247" s="569"/>
      <c r="X247" s="171"/>
    </row>
    <row r="248" spans="1:24" ht="13.5" x14ac:dyDescent="0.25">
      <c r="A248" s="563"/>
      <c r="B248" s="570"/>
      <c r="C248" s="571"/>
      <c r="D248" s="572"/>
      <c r="E248" s="563"/>
      <c r="F248" s="573" t="s">
        <v>3189</v>
      </c>
      <c r="G248" s="574"/>
      <c r="H248" s="176"/>
      <c r="I248" s="570"/>
      <c r="J248" s="571"/>
      <c r="K248" s="572"/>
      <c r="L248" s="176"/>
      <c r="M248" s="570"/>
      <c r="N248" s="571"/>
      <c r="O248" s="572"/>
      <c r="P248" s="176"/>
      <c r="Q248" s="570"/>
      <c r="R248" s="571"/>
      <c r="S248" s="572"/>
      <c r="T248" s="176"/>
      <c r="U248" s="570"/>
      <c r="V248" s="571"/>
      <c r="W248" s="572"/>
      <c r="X248" s="171"/>
    </row>
    <row r="249" spans="1:24" ht="13.5" x14ac:dyDescent="0.25">
      <c r="A249" s="177"/>
      <c r="B249" s="178"/>
      <c r="C249" s="178"/>
      <c r="D249" s="178"/>
      <c r="E249" s="179"/>
      <c r="F249" s="173"/>
      <c r="G249" s="171"/>
      <c r="H249" s="171"/>
      <c r="I249" s="171"/>
      <c r="J249" s="171"/>
      <c r="K249" s="171"/>
      <c r="L249" s="171"/>
      <c r="M249" s="171"/>
      <c r="N249" s="171"/>
      <c r="O249" s="171"/>
      <c r="P249" s="171"/>
      <c r="Q249" s="171"/>
      <c r="R249" s="171"/>
      <c r="S249" s="171"/>
      <c r="T249" s="171"/>
      <c r="U249" s="171"/>
      <c r="V249" s="171"/>
      <c r="W249" s="171"/>
      <c r="X249" s="171"/>
    </row>
    <row r="250" spans="1:24" ht="13.5" x14ac:dyDescent="0.25">
      <c r="A250" s="578" t="s">
        <v>76</v>
      </c>
      <c r="B250" s="582"/>
      <c r="C250" s="582"/>
      <c r="D250" s="582"/>
      <c r="E250" s="174" t="s">
        <v>77</v>
      </c>
      <c r="F250" s="583" t="s">
        <v>2576</v>
      </c>
      <c r="G250" s="572"/>
      <c r="H250" s="578" t="s">
        <v>2578</v>
      </c>
      <c r="I250" s="582"/>
      <c r="J250" s="582"/>
      <c r="K250" s="574"/>
      <c r="L250" s="578" t="s">
        <v>2579</v>
      </c>
      <c r="M250" s="582"/>
      <c r="N250" s="582"/>
      <c r="O250" s="574"/>
      <c r="P250" s="586" t="s">
        <v>2580</v>
      </c>
      <c r="Q250" s="565"/>
      <c r="R250" s="565"/>
      <c r="S250" s="566"/>
      <c r="T250" s="578" t="s">
        <v>2581</v>
      </c>
      <c r="U250" s="582"/>
      <c r="V250" s="582"/>
      <c r="W250" s="574"/>
      <c r="X250" s="171"/>
    </row>
    <row r="251" spans="1:24" ht="13.5" x14ac:dyDescent="0.25">
      <c r="A251" s="561" t="s">
        <v>328</v>
      </c>
      <c r="B251" s="564" t="s">
        <v>278</v>
      </c>
      <c r="C251" s="565"/>
      <c r="D251" s="566"/>
      <c r="E251" s="561" t="s">
        <v>999</v>
      </c>
      <c r="F251" s="573" t="s">
        <v>444</v>
      </c>
      <c r="G251" s="574"/>
      <c r="H251" s="176"/>
      <c r="I251" s="584" t="s">
        <v>2582</v>
      </c>
      <c r="J251" s="565"/>
      <c r="K251" s="566"/>
      <c r="L251" s="176">
        <f>+L252</f>
        <v>4</v>
      </c>
      <c r="M251" s="575"/>
      <c r="N251" s="565"/>
      <c r="O251" s="566"/>
      <c r="P251" s="182"/>
      <c r="Q251" s="584" t="s">
        <v>2582</v>
      </c>
      <c r="R251" s="565"/>
      <c r="S251" s="566"/>
      <c r="T251" s="183">
        <f>+T252</f>
        <v>4</v>
      </c>
      <c r="U251" s="585"/>
      <c r="V251" s="565"/>
      <c r="W251" s="566"/>
      <c r="X251" s="171"/>
    </row>
    <row r="252" spans="1:24" ht="13.5" x14ac:dyDescent="0.25">
      <c r="A252" s="562"/>
      <c r="B252" s="567"/>
      <c r="C252" s="568"/>
      <c r="D252" s="569"/>
      <c r="E252" s="562"/>
      <c r="F252" s="573" t="s">
        <v>453</v>
      </c>
      <c r="G252" s="574"/>
      <c r="H252" s="176"/>
      <c r="I252" s="567"/>
      <c r="J252" s="568"/>
      <c r="K252" s="569"/>
      <c r="L252" s="176">
        <v>4</v>
      </c>
      <c r="M252" s="567"/>
      <c r="N252" s="568"/>
      <c r="O252" s="569"/>
      <c r="P252" s="182"/>
      <c r="Q252" s="567"/>
      <c r="R252" s="568"/>
      <c r="S252" s="569"/>
      <c r="T252" s="183">
        <v>4</v>
      </c>
      <c r="U252" s="567"/>
      <c r="V252" s="568"/>
      <c r="W252" s="569"/>
      <c r="X252" s="171"/>
    </row>
    <row r="253" spans="1:24" ht="13.5" x14ac:dyDescent="0.25">
      <c r="A253" s="562"/>
      <c r="B253" s="567"/>
      <c r="C253" s="568"/>
      <c r="D253" s="569"/>
      <c r="E253" s="562"/>
      <c r="F253" s="573" t="s">
        <v>2583</v>
      </c>
      <c r="G253" s="574"/>
      <c r="H253" s="176"/>
      <c r="I253" s="567"/>
      <c r="J253" s="568"/>
      <c r="K253" s="569"/>
      <c r="L253" s="176"/>
      <c r="M253" s="567"/>
      <c r="N253" s="568"/>
      <c r="O253" s="569"/>
      <c r="P253" s="182"/>
      <c r="Q253" s="567"/>
      <c r="R253" s="568"/>
      <c r="S253" s="569"/>
      <c r="T253" s="183"/>
      <c r="U253" s="567"/>
      <c r="V253" s="568"/>
      <c r="W253" s="569"/>
      <c r="X253" s="171"/>
    </row>
    <row r="254" spans="1:24" ht="13.5" x14ac:dyDescent="0.25">
      <c r="A254" s="562"/>
      <c r="B254" s="567"/>
      <c r="C254" s="568"/>
      <c r="D254" s="569"/>
      <c r="E254" s="562"/>
      <c r="F254" s="573" t="s">
        <v>2584</v>
      </c>
      <c r="G254" s="574"/>
      <c r="H254" s="176"/>
      <c r="I254" s="567"/>
      <c r="J254" s="568"/>
      <c r="K254" s="569"/>
      <c r="L254" s="176"/>
      <c r="M254" s="567"/>
      <c r="N254" s="568"/>
      <c r="O254" s="569"/>
      <c r="P254" s="182"/>
      <c r="Q254" s="567"/>
      <c r="R254" s="568"/>
      <c r="S254" s="569"/>
      <c r="T254" s="183"/>
      <c r="U254" s="567"/>
      <c r="V254" s="568"/>
      <c r="W254" s="569"/>
      <c r="X254" s="171"/>
    </row>
    <row r="255" spans="1:24" ht="13.5" x14ac:dyDescent="0.25">
      <c r="A255" s="562"/>
      <c r="B255" s="567"/>
      <c r="C255" s="568"/>
      <c r="D255" s="569"/>
      <c r="E255" s="562"/>
      <c r="F255" s="573" t="s">
        <v>2585</v>
      </c>
      <c r="G255" s="574"/>
      <c r="H255" s="176"/>
      <c r="I255" s="567"/>
      <c r="J255" s="568"/>
      <c r="K255" s="569"/>
      <c r="L255" s="176"/>
      <c r="M255" s="567"/>
      <c r="N255" s="568"/>
      <c r="O255" s="569"/>
      <c r="P255" s="182"/>
      <c r="Q255" s="567"/>
      <c r="R255" s="568"/>
      <c r="S255" s="569"/>
      <c r="T255" s="183"/>
      <c r="U255" s="567"/>
      <c r="V255" s="568"/>
      <c r="W255" s="569"/>
      <c r="X255" s="171"/>
    </row>
    <row r="256" spans="1:24" ht="13.5" x14ac:dyDescent="0.25">
      <c r="A256" s="562"/>
      <c r="B256" s="567"/>
      <c r="C256" s="568"/>
      <c r="D256" s="569"/>
      <c r="E256" s="562"/>
      <c r="F256" s="573" t="s">
        <v>2586</v>
      </c>
      <c r="G256" s="574"/>
      <c r="H256" s="176"/>
      <c r="I256" s="567"/>
      <c r="J256" s="568"/>
      <c r="K256" s="569"/>
      <c r="L256" s="176"/>
      <c r="M256" s="567"/>
      <c r="N256" s="568"/>
      <c r="O256" s="569"/>
      <c r="P256" s="182"/>
      <c r="Q256" s="567"/>
      <c r="R256" s="568"/>
      <c r="S256" s="569"/>
      <c r="T256" s="183"/>
      <c r="U256" s="567"/>
      <c r="V256" s="568"/>
      <c r="W256" s="569"/>
      <c r="X256" s="171"/>
    </row>
    <row r="257" spans="1:24" ht="13.5" x14ac:dyDescent="0.25">
      <c r="A257" s="562"/>
      <c r="B257" s="567"/>
      <c r="C257" s="568"/>
      <c r="D257" s="569"/>
      <c r="E257" s="562"/>
      <c r="F257" s="573" t="s">
        <v>2587</v>
      </c>
      <c r="G257" s="574"/>
      <c r="H257" s="176"/>
      <c r="I257" s="567"/>
      <c r="J257" s="568"/>
      <c r="K257" s="569"/>
      <c r="L257" s="176"/>
      <c r="M257" s="567"/>
      <c r="N257" s="568"/>
      <c r="O257" s="569"/>
      <c r="P257" s="182"/>
      <c r="Q257" s="567"/>
      <c r="R257" s="568"/>
      <c r="S257" s="569"/>
      <c r="T257" s="183"/>
      <c r="U257" s="567"/>
      <c r="V257" s="568"/>
      <c r="W257" s="569"/>
      <c r="X257" s="171"/>
    </row>
    <row r="258" spans="1:24" ht="13.5" x14ac:dyDescent="0.25">
      <c r="A258" s="562"/>
      <c r="B258" s="567"/>
      <c r="C258" s="568"/>
      <c r="D258" s="569"/>
      <c r="E258" s="562"/>
      <c r="F258" s="573" t="s">
        <v>3188</v>
      </c>
      <c r="G258" s="574"/>
      <c r="H258" s="176"/>
      <c r="I258" s="567"/>
      <c r="J258" s="568"/>
      <c r="K258" s="569"/>
      <c r="L258" s="176"/>
      <c r="M258" s="567"/>
      <c r="N258" s="568"/>
      <c r="O258" s="569"/>
      <c r="P258" s="182"/>
      <c r="Q258" s="567"/>
      <c r="R258" s="568"/>
      <c r="S258" s="569"/>
      <c r="T258" s="183"/>
      <c r="U258" s="567"/>
      <c r="V258" s="568"/>
      <c r="W258" s="569"/>
      <c r="X258" s="171"/>
    </row>
    <row r="259" spans="1:24" ht="13.5" x14ac:dyDescent="0.25">
      <c r="A259" s="563"/>
      <c r="B259" s="570"/>
      <c r="C259" s="571"/>
      <c r="D259" s="572"/>
      <c r="E259" s="563"/>
      <c r="F259" s="573" t="s">
        <v>3189</v>
      </c>
      <c r="G259" s="574"/>
      <c r="H259" s="176"/>
      <c r="I259" s="570"/>
      <c r="J259" s="571"/>
      <c r="K259" s="572"/>
      <c r="L259" s="176"/>
      <c r="M259" s="570"/>
      <c r="N259" s="571"/>
      <c r="O259" s="572"/>
      <c r="P259" s="182"/>
      <c r="Q259" s="570"/>
      <c r="R259" s="571"/>
      <c r="S259" s="572"/>
      <c r="T259" s="183"/>
      <c r="U259" s="570"/>
      <c r="V259" s="571"/>
      <c r="W259" s="572"/>
      <c r="X259" s="171"/>
    </row>
    <row r="260" spans="1:24" ht="13.5" x14ac:dyDescent="0.25">
      <c r="A260" s="177"/>
      <c r="B260" s="178"/>
      <c r="C260" s="178"/>
      <c r="D260" s="178"/>
      <c r="E260" s="179"/>
      <c r="F260" s="173"/>
      <c r="G260" s="171"/>
      <c r="H260" s="171"/>
      <c r="I260" s="171"/>
      <c r="J260" s="171"/>
      <c r="K260" s="171"/>
      <c r="L260" s="171"/>
      <c r="M260" s="171"/>
      <c r="N260" s="171"/>
      <c r="O260" s="171"/>
      <c r="P260" s="171"/>
      <c r="Q260" s="171"/>
      <c r="R260" s="171"/>
      <c r="S260" s="171"/>
      <c r="T260" s="171"/>
      <c r="U260" s="171"/>
      <c r="V260" s="171"/>
      <c r="W260" s="171"/>
      <c r="X260" s="171"/>
    </row>
    <row r="261" spans="1:24" ht="13.5" x14ac:dyDescent="0.25">
      <c r="A261" s="578" t="s">
        <v>76</v>
      </c>
      <c r="B261" s="582"/>
      <c r="C261" s="582"/>
      <c r="D261" s="582"/>
      <c r="E261" s="174" t="s">
        <v>77</v>
      </c>
      <c r="F261" s="583" t="s">
        <v>2576</v>
      </c>
      <c r="G261" s="572"/>
      <c r="H261" s="578" t="s">
        <v>2578</v>
      </c>
      <c r="I261" s="582"/>
      <c r="J261" s="582"/>
      <c r="K261" s="574"/>
      <c r="L261" s="578" t="s">
        <v>2579</v>
      </c>
      <c r="M261" s="582"/>
      <c r="N261" s="582"/>
      <c r="O261" s="574"/>
      <c r="P261" s="578" t="s">
        <v>2580</v>
      </c>
      <c r="Q261" s="582"/>
      <c r="R261" s="582"/>
      <c r="S261" s="574"/>
      <c r="T261" s="578" t="s">
        <v>2581</v>
      </c>
      <c r="U261" s="582"/>
      <c r="V261" s="582"/>
      <c r="W261" s="574"/>
      <c r="X261" s="171"/>
    </row>
    <row r="262" spans="1:24" ht="13.5" x14ac:dyDescent="0.25">
      <c r="A262" s="561" t="s">
        <v>329</v>
      </c>
      <c r="B262" s="564" t="s">
        <v>330</v>
      </c>
      <c r="C262" s="565"/>
      <c r="D262" s="566"/>
      <c r="E262" s="561" t="s">
        <v>999</v>
      </c>
      <c r="F262" s="573" t="s">
        <v>444</v>
      </c>
      <c r="G262" s="574"/>
      <c r="H262" s="176"/>
      <c r="I262" s="584" t="s">
        <v>2582</v>
      </c>
      <c r="J262" s="565"/>
      <c r="K262" s="566"/>
      <c r="L262" s="176">
        <f>+L263</f>
        <v>2</v>
      </c>
      <c r="M262" s="575"/>
      <c r="N262" s="565"/>
      <c r="O262" s="566"/>
      <c r="P262" s="176"/>
      <c r="Q262" s="584" t="s">
        <v>2582</v>
      </c>
      <c r="R262" s="565"/>
      <c r="S262" s="566"/>
      <c r="T262" s="176">
        <f>+T263</f>
        <v>2</v>
      </c>
      <c r="U262" s="585"/>
      <c r="V262" s="565"/>
      <c r="W262" s="566"/>
      <c r="X262" s="171"/>
    </row>
    <row r="263" spans="1:24" ht="13.5" x14ac:dyDescent="0.25">
      <c r="A263" s="562"/>
      <c r="B263" s="567"/>
      <c r="C263" s="568"/>
      <c r="D263" s="569"/>
      <c r="E263" s="562"/>
      <c r="F263" s="573" t="s">
        <v>453</v>
      </c>
      <c r="G263" s="574"/>
      <c r="H263" s="176"/>
      <c r="I263" s="567"/>
      <c r="J263" s="568"/>
      <c r="K263" s="569"/>
      <c r="L263" s="176">
        <v>2</v>
      </c>
      <c r="M263" s="567"/>
      <c r="N263" s="568"/>
      <c r="O263" s="569"/>
      <c r="P263" s="176"/>
      <c r="Q263" s="567"/>
      <c r="R263" s="568"/>
      <c r="S263" s="569"/>
      <c r="T263" s="176">
        <v>2</v>
      </c>
      <c r="U263" s="567"/>
      <c r="V263" s="568"/>
      <c r="W263" s="569"/>
      <c r="X263" s="171"/>
    </row>
    <row r="264" spans="1:24" ht="13.5" x14ac:dyDescent="0.25">
      <c r="A264" s="562"/>
      <c r="B264" s="567"/>
      <c r="C264" s="568"/>
      <c r="D264" s="569"/>
      <c r="E264" s="562"/>
      <c r="F264" s="573" t="s">
        <v>2583</v>
      </c>
      <c r="G264" s="574"/>
      <c r="H264" s="176"/>
      <c r="I264" s="567"/>
      <c r="J264" s="568"/>
      <c r="K264" s="569"/>
      <c r="L264" s="176"/>
      <c r="M264" s="567"/>
      <c r="N264" s="568"/>
      <c r="O264" s="569"/>
      <c r="P264" s="176"/>
      <c r="Q264" s="567"/>
      <c r="R264" s="568"/>
      <c r="S264" s="569"/>
      <c r="T264" s="176"/>
      <c r="U264" s="567"/>
      <c r="V264" s="568"/>
      <c r="W264" s="569"/>
      <c r="X264" s="171"/>
    </row>
    <row r="265" spans="1:24" ht="13.5" x14ac:dyDescent="0.25">
      <c r="A265" s="562"/>
      <c r="B265" s="567"/>
      <c r="C265" s="568"/>
      <c r="D265" s="569"/>
      <c r="E265" s="562"/>
      <c r="F265" s="573" t="s">
        <v>2584</v>
      </c>
      <c r="G265" s="574"/>
      <c r="H265" s="176"/>
      <c r="I265" s="567"/>
      <c r="J265" s="568"/>
      <c r="K265" s="569"/>
      <c r="L265" s="176"/>
      <c r="M265" s="567"/>
      <c r="N265" s="568"/>
      <c r="O265" s="569"/>
      <c r="P265" s="176"/>
      <c r="Q265" s="567"/>
      <c r="R265" s="568"/>
      <c r="S265" s="569"/>
      <c r="T265" s="176"/>
      <c r="U265" s="567"/>
      <c r="V265" s="568"/>
      <c r="W265" s="569"/>
      <c r="X265" s="171"/>
    </row>
    <row r="266" spans="1:24" ht="13.5" x14ac:dyDescent="0.25">
      <c r="A266" s="562"/>
      <c r="B266" s="567"/>
      <c r="C266" s="568"/>
      <c r="D266" s="569"/>
      <c r="E266" s="562"/>
      <c r="F266" s="573" t="s">
        <v>2585</v>
      </c>
      <c r="G266" s="574"/>
      <c r="H266" s="176"/>
      <c r="I266" s="567"/>
      <c r="J266" s="568"/>
      <c r="K266" s="569"/>
      <c r="L266" s="176"/>
      <c r="M266" s="567"/>
      <c r="N266" s="568"/>
      <c r="O266" s="569"/>
      <c r="P266" s="176"/>
      <c r="Q266" s="567"/>
      <c r="R266" s="568"/>
      <c r="S266" s="569"/>
      <c r="T266" s="176"/>
      <c r="U266" s="567"/>
      <c r="V266" s="568"/>
      <c r="W266" s="569"/>
      <c r="X266" s="171"/>
    </row>
    <row r="267" spans="1:24" ht="13.5" x14ac:dyDescent="0.25">
      <c r="A267" s="562"/>
      <c r="B267" s="567"/>
      <c r="C267" s="568"/>
      <c r="D267" s="569"/>
      <c r="E267" s="562"/>
      <c r="F267" s="573" t="s">
        <v>2586</v>
      </c>
      <c r="G267" s="574"/>
      <c r="H267" s="176"/>
      <c r="I267" s="567"/>
      <c r="J267" s="568"/>
      <c r="K267" s="569"/>
      <c r="L267" s="176"/>
      <c r="M267" s="567"/>
      <c r="N267" s="568"/>
      <c r="O267" s="569"/>
      <c r="P267" s="176"/>
      <c r="Q267" s="567"/>
      <c r="R267" s="568"/>
      <c r="S267" s="569"/>
      <c r="T267" s="176"/>
      <c r="U267" s="567"/>
      <c r="V267" s="568"/>
      <c r="W267" s="569"/>
      <c r="X267" s="171"/>
    </row>
    <row r="268" spans="1:24" ht="13.5" x14ac:dyDescent="0.25">
      <c r="A268" s="562"/>
      <c r="B268" s="567"/>
      <c r="C268" s="568"/>
      <c r="D268" s="569"/>
      <c r="E268" s="562"/>
      <c r="F268" s="573" t="s">
        <v>2587</v>
      </c>
      <c r="G268" s="574"/>
      <c r="H268" s="176"/>
      <c r="I268" s="567"/>
      <c r="J268" s="568"/>
      <c r="K268" s="569"/>
      <c r="L268" s="176"/>
      <c r="M268" s="567"/>
      <c r="N268" s="568"/>
      <c r="O268" s="569"/>
      <c r="P268" s="176"/>
      <c r="Q268" s="567"/>
      <c r="R268" s="568"/>
      <c r="S268" s="569"/>
      <c r="T268" s="176"/>
      <c r="U268" s="567"/>
      <c r="V268" s="568"/>
      <c r="W268" s="569"/>
      <c r="X268" s="171"/>
    </row>
    <row r="269" spans="1:24" ht="13.5" x14ac:dyDescent="0.25">
      <c r="A269" s="562"/>
      <c r="B269" s="567"/>
      <c r="C269" s="568"/>
      <c r="D269" s="569"/>
      <c r="E269" s="562"/>
      <c r="F269" s="573" t="s">
        <v>3188</v>
      </c>
      <c r="G269" s="574"/>
      <c r="H269" s="176"/>
      <c r="I269" s="567"/>
      <c r="J269" s="568"/>
      <c r="K269" s="569"/>
      <c r="L269" s="176"/>
      <c r="M269" s="567"/>
      <c r="N269" s="568"/>
      <c r="O269" s="569"/>
      <c r="P269" s="176"/>
      <c r="Q269" s="567"/>
      <c r="R269" s="568"/>
      <c r="S269" s="569"/>
      <c r="T269" s="176"/>
      <c r="U269" s="567"/>
      <c r="V269" s="568"/>
      <c r="W269" s="569"/>
      <c r="X269" s="171"/>
    </row>
    <row r="270" spans="1:24" ht="13.5" x14ac:dyDescent="0.25">
      <c r="A270" s="563"/>
      <c r="B270" s="570"/>
      <c r="C270" s="571"/>
      <c r="D270" s="572"/>
      <c r="E270" s="563"/>
      <c r="F270" s="573" t="s">
        <v>3189</v>
      </c>
      <c r="G270" s="574"/>
      <c r="H270" s="176"/>
      <c r="I270" s="570"/>
      <c r="J270" s="571"/>
      <c r="K270" s="572"/>
      <c r="L270" s="176"/>
      <c r="M270" s="570"/>
      <c r="N270" s="571"/>
      <c r="O270" s="572"/>
      <c r="P270" s="176"/>
      <c r="Q270" s="570"/>
      <c r="R270" s="571"/>
      <c r="S270" s="572"/>
      <c r="T270" s="176"/>
      <c r="U270" s="570"/>
      <c r="V270" s="571"/>
      <c r="W270" s="572"/>
      <c r="X270" s="171"/>
    </row>
    <row r="271" spans="1:24" ht="13.5" x14ac:dyDescent="0.25">
      <c r="A271" s="177"/>
      <c r="B271" s="178"/>
      <c r="C271" s="178"/>
      <c r="D271" s="178"/>
      <c r="E271" s="179"/>
      <c r="F271" s="173"/>
      <c r="G271" s="171"/>
      <c r="H271" s="171"/>
      <c r="I271" s="171"/>
      <c r="J271" s="171"/>
      <c r="K271" s="171"/>
      <c r="L271" s="171"/>
      <c r="M271" s="171"/>
      <c r="N271" s="171"/>
      <c r="O271" s="171"/>
      <c r="P271" s="171"/>
      <c r="Q271" s="171"/>
      <c r="R271" s="171"/>
      <c r="S271" s="171"/>
      <c r="T271" s="171"/>
      <c r="U271" s="171"/>
      <c r="V271" s="171"/>
      <c r="W271" s="171"/>
      <c r="X271" s="171"/>
    </row>
    <row r="272" spans="1:24" ht="13.5" x14ac:dyDescent="0.25">
      <c r="A272" s="578" t="s">
        <v>76</v>
      </c>
      <c r="B272" s="582"/>
      <c r="C272" s="582"/>
      <c r="D272" s="582"/>
      <c r="E272" s="174" t="s">
        <v>77</v>
      </c>
      <c r="F272" s="583" t="s">
        <v>2576</v>
      </c>
      <c r="G272" s="572"/>
      <c r="H272" s="578" t="s">
        <v>2578</v>
      </c>
      <c r="I272" s="582"/>
      <c r="J272" s="582"/>
      <c r="K272" s="574"/>
      <c r="L272" s="578" t="s">
        <v>2579</v>
      </c>
      <c r="M272" s="582"/>
      <c r="N272" s="582"/>
      <c r="O272" s="574"/>
      <c r="P272" s="586" t="s">
        <v>2580</v>
      </c>
      <c r="Q272" s="565"/>
      <c r="R272" s="565"/>
      <c r="S272" s="566"/>
      <c r="T272" s="578" t="s">
        <v>2581</v>
      </c>
      <c r="U272" s="582"/>
      <c r="V272" s="582"/>
      <c r="W272" s="574"/>
      <c r="X272" s="171"/>
    </row>
    <row r="273" spans="1:24" ht="13.5" x14ac:dyDescent="0.25">
      <c r="A273" s="561" t="s">
        <v>333</v>
      </c>
      <c r="B273" s="564" t="s">
        <v>279</v>
      </c>
      <c r="C273" s="565"/>
      <c r="D273" s="566"/>
      <c r="E273" s="561" t="s">
        <v>999</v>
      </c>
      <c r="F273" s="573" t="s">
        <v>444</v>
      </c>
      <c r="G273" s="574"/>
      <c r="H273" s="175">
        <f>+H274</f>
        <v>1</v>
      </c>
      <c r="I273" s="575"/>
      <c r="J273" s="565"/>
      <c r="K273" s="566"/>
      <c r="L273" s="176">
        <f>+L274</f>
        <v>2</v>
      </c>
      <c r="M273" s="575"/>
      <c r="N273" s="565"/>
      <c r="O273" s="566"/>
      <c r="P273" s="182">
        <f>+P274</f>
        <v>1</v>
      </c>
      <c r="Q273" s="584"/>
      <c r="R273" s="565"/>
      <c r="S273" s="566"/>
      <c r="T273" s="183">
        <f>+T274</f>
        <v>2</v>
      </c>
      <c r="U273" s="585"/>
      <c r="V273" s="565"/>
      <c r="W273" s="566"/>
      <c r="X273" s="171"/>
    </row>
    <row r="274" spans="1:24" ht="13.5" x14ac:dyDescent="0.25">
      <c r="A274" s="562"/>
      <c r="B274" s="567"/>
      <c r="C274" s="568"/>
      <c r="D274" s="569"/>
      <c r="E274" s="562"/>
      <c r="F274" s="573" t="s">
        <v>453</v>
      </c>
      <c r="G274" s="574"/>
      <c r="H274" s="176">
        <v>1</v>
      </c>
      <c r="I274" s="567"/>
      <c r="J274" s="568"/>
      <c r="K274" s="569"/>
      <c r="L274" s="176">
        <v>2</v>
      </c>
      <c r="M274" s="567"/>
      <c r="N274" s="568"/>
      <c r="O274" s="569"/>
      <c r="P274" s="182">
        <v>1</v>
      </c>
      <c r="Q274" s="567"/>
      <c r="R274" s="568"/>
      <c r="S274" s="569"/>
      <c r="T274" s="183">
        <v>2</v>
      </c>
      <c r="U274" s="567"/>
      <c r="V274" s="568"/>
      <c r="W274" s="569"/>
      <c r="X274" s="171"/>
    </row>
    <row r="275" spans="1:24" ht="13.5" x14ac:dyDescent="0.25">
      <c r="A275" s="562"/>
      <c r="B275" s="567"/>
      <c r="C275" s="568"/>
      <c r="D275" s="569"/>
      <c r="E275" s="562"/>
      <c r="F275" s="573" t="s">
        <v>2583</v>
      </c>
      <c r="G275" s="574"/>
      <c r="H275" s="176"/>
      <c r="I275" s="567"/>
      <c r="J275" s="568"/>
      <c r="K275" s="569"/>
      <c r="L275" s="176"/>
      <c r="M275" s="567"/>
      <c r="N275" s="568"/>
      <c r="O275" s="569"/>
      <c r="P275" s="182"/>
      <c r="Q275" s="567"/>
      <c r="R275" s="568"/>
      <c r="S275" s="569"/>
      <c r="T275" s="183"/>
      <c r="U275" s="567"/>
      <c r="V275" s="568"/>
      <c r="W275" s="569"/>
      <c r="X275" s="171"/>
    </row>
    <row r="276" spans="1:24" ht="13.5" x14ac:dyDescent="0.25">
      <c r="A276" s="562"/>
      <c r="B276" s="567"/>
      <c r="C276" s="568"/>
      <c r="D276" s="569"/>
      <c r="E276" s="562"/>
      <c r="F276" s="573" t="s">
        <v>2584</v>
      </c>
      <c r="G276" s="574"/>
      <c r="H276" s="176"/>
      <c r="I276" s="567"/>
      <c r="J276" s="568"/>
      <c r="K276" s="569"/>
      <c r="L276" s="176"/>
      <c r="M276" s="567"/>
      <c r="N276" s="568"/>
      <c r="O276" s="569"/>
      <c r="P276" s="182"/>
      <c r="Q276" s="567"/>
      <c r="R276" s="568"/>
      <c r="S276" s="569"/>
      <c r="T276" s="183"/>
      <c r="U276" s="567"/>
      <c r="V276" s="568"/>
      <c r="W276" s="569"/>
      <c r="X276" s="171"/>
    </row>
    <row r="277" spans="1:24" ht="13.5" x14ac:dyDescent="0.25">
      <c r="A277" s="562"/>
      <c r="B277" s="567"/>
      <c r="C277" s="568"/>
      <c r="D277" s="569"/>
      <c r="E277" s="562"/>
      <c r="F277" s="573" t="s">
        <v>2585</v>
      </c>
      <c r="G277" s="574"/>
      <c r="H277" s="176"/>
      <c r="I277" s="567"/>
      <c r="J277" s="568"/>
      <c r="K277" s="569"/>
      <c r="L277" s="176"/>
      <c r="M277" s="567"/>
      <c r="N277" s="568"/>
      <c r="O277" s="569"/>
      <c r="P277" s="182"/>
      <c r="Q277" s="567"/>
      <c r="R277" s="568"/>
      <c r="S277" s="569"/>
      <c r="T277" s="183"/>
      <c r="U277" s="567"/>
      <c r="V277" s="568"/>
      <c r="W277" s="569"/>
      <c r="X277" s="171"/>
    </row>
    <row r="278" spans="1:24" ht="13.5" x14ac:dyDescent="0.25">
      <c r="A278" s="562"/>
      <c r="B278" s="567"/>
      <c r="C278" s="568"/>
      <c r="D278" s="569"/>
      <c r="E278" s="562"/>
      <c r="F278" s="573" t="s">
        <v>2586</v>
      </c>
      <c r="G278" s="574"/>
      <c r="H278" s="176"/>
      <c r="I278" s="567"/>
      <c r="J278" s="568"/>
      <c r="K278" s="569"/>
      <c r="L278" s="176"/>
      <c r="M278" s="567"/>
      <c r="N278" s="568"/>
      <c r="O278" s="569"/>
      <c r="P278" s="182"/>
      <c r="Q278" s="567"/>
      <c r="R278" s="568"/>
      <c r="S278" s="569"/>
      <c r="T278" s="183"/>
      <c r="U278" s="567"/>
      <c r="V278" s="568"/>
      <c r="W278" s="569"/>
      <c r="X278" s="171"/>
    </row>
    <row r="279" spans="1:24" ht="13.5" x14ac:dyDescent="0.25">
      <c r="A279" s="562"/>
      <c r="B279" s="567"/>
      <c r="C279" s="568"/>
      <c r="D279" s="569"/>
      <c r="E279" s="562"/>
      <c r="F279" s="573" t="s">
        <v>2587</v>
      </c>
      <c r="G279" s="574"/>
      <c r="H279" s="176"/>
      <c r="I279" s="567"/>
      <c r="J279" s="568"/>
      <c r="K279" s="569"/>
      <c r="L279" s="176"/>
      <c r="M279" s="567"/>
      <c r="N279" s="568"/>
      <c r="O279" s="569"/>
      <c r="P279" s="182"/>
      <c r="Q279" s="567"/>
      <c r="R279" s="568"/>
      <c r="S279" s="569"/>
      <c r="T279" s="183"/>
      <c r="U279" s="567"/>
      <c r="V279" s="568"/>
      <c r="W279" s="569"/>
      <c r="X279" s="171"/>
    </row>
    <row r="280" spans="1:24" ht="13.5" x14ac:dyDescent="0.25">
      <c r="A280" s="562"/>
      <c r="B280" s="567"/>
      <c r="C280" s="568"/>
      <c r="D280" s="569"/>
      <c r="E280" s="562"/>
      <c r="F280" s="573" t="s">
        <v>3188</v>
      </c>
      <c r="G280" s="574"/>
      <c r="H280" s="176"/>
      <c r="I280" s="567"/>
      <c r="J280" s="568"/>
      <c r="K280" s="569"/>
      <c r="L280" s="176"/>
      <c r="M280" s="567"/>
      <c r="N280" s="568"/>
      <c r="O280" s="569"/>
      <c r="P280" s="182"/>
      <c r="Q280" s="567"/>
      <c r="R280" s="568"/>
      <c r="S280" s="569"/>
      <c r="T280" s="183"/>
      <c r="U280" s="567"/>
      <c r="V280" s="568"/>
      <c r="W280" s="569"/>
      <c r="X280" s="171"/>
    </row>
    <row r="281" spans="1:24" ht="13.5" x14ac:dyDescent="0.25">
      <c r="A281" s="563"/>
      <c r="B281" s="570"/>
      <c r="C281" s="571"/>
      <c r="D281" s="572"/>
      <c r="E281" s="563"/>
      <c r="F281" s="573" t="s">
        <v>3189</v>
      </c>
      <c r="G281" s="574"/>
      <c r="H281" s="176"/>
      <c r="I281" s="570"/>
      <c r="J281" s="571"/>
      <c r="K281" s="572"/>
      <c r="L281" s="176"/>
      <c r="M281" s="570"/>
      <c r="N281" s="571"/>
      <c r="O281" s="572"/>
      <c r="P281" s="182"/>
      <c r="Q281" s="570"/>
      <c r="R281" s="571"/>
      <c r="S281" s="572"/>
      <c r="T281" s="183"/>
      <c r="U281" s="570"/>
      <c r="V281" s="571"/>
      <c r="W281" s="572"/>
      <c r="X281" s="171"/>
    </row>
    <row r="282" spans="1:24" ht="13.5" x14ac:dyDescent="0.25">
      <c r="A282" s="177"/>
      <c r="B282" s="178"/>
      <c r="C282" s="178"/>
      <c r="D282" s="178"/>
      <c r="E282" s="179"/>
      <c r="F282" s="173"/>
      <c r="G282" s="171"/>
      <c r="H282" s="171"/>
      <c r="I282" s="171"/>
      <c r="J282" s="171"/>
      <c r="K282" s="171"/>
      <c r="L282" s="171"/>
      <c r="M282" s="171"/>
      <c r="N282" s="171"/>
      <c r="O282" s="171"/>
      <c r="P282" s="171"/>
      <c r="Q282" s="171"/>
      <c r="R282" s="171"/>
      <c r="S282" s="171"/>
      <c r="T282" s="171"/>
      <c r="U282" s="171"/>
      <c r="V282" s="171"/>
      <c r="W282" s="171"/>
      <c r="X282" s="171"/>
    </row>
    <row r="283" spans="1:24" ht="13.5" x14ac:dyDescent="0.25">
      <c r="A283" s="578" t="s">
        <v>76</v>
      </c>
      <c r="B283" s="582"/>
      <c r="C283" s="582"/>
      <c r="D283" s="582"/>
      <c r="E283" s="174" t="s">
        <v>77</v>
      </c>
      <c r="F283" s="583" t="s">
        <v>2576</v>
      </c>
      <c r="G283" s="572"/>
      <c r="H283" s="578" t="s">
        <v>2578</v>
      </c>
      <c r="I283" s="582"/>
      <c r="J283" s="582"/>
      <c r="K283" s="574"/>
      <c r="L283" s="578" t="s">
        <v>2579</v>
      </c>
      <c r="M283" s="582"/>
      <c r="N283" s="582"/>
      <c r="O283" s="574"/>
      <c r="P283" s="586" t="s">
        <v>2580</v>
      </c>
      <c r="Q283" s="565"/>
      <c r="R283" s="565"/>
      <c r="S283" s="566"/>
      <c r="T283" s="578" t="s">
        <v>2581</v>
      </c>
      <c r="U283" s="582"/>
      <c r="V283" s="582"/>
      <c r="W283" s="574"/>
      <c r="X283" s="171"/>
    </row>
    <row r="284" spans="1:24" ht="13.5" x14ac:dyDescent="0.25">
      <c r="A284" s="561" t="s">
        <v>336</v>
      </c>
      <c r="B284" s="564" t="s">
        <v>2628</v>
      </c>
      <c r="C284" s="565"/>
      <c r="D284" s="566"/>
      <c r="E284" s="561" t="s">
        <v>999</v>
      </c>
      <c r="F284" s="573" t="s">
        <v>444</v>
      </c>
      <c r="G284" s="574"/>
      <c r="H284" s="175">
        <f>+H285</f>
        <v>3</v>
      </c>
      <c r="I284" s="575"/>
      <c r="J284" s="565"/>
      <c r="K284" s="566"/>
      <c r="L284" s="176">
        <f>+L285</f>
        <v>4</v>
      </c>
      <c r="M284" s="575"/>
      <c r="N284" s="565"/>
      <c r="O284" s="566"/>
      <c r="P284" s="182">
        <f>+P285</f>
        <v>3</v>
      </c>
      <c r="Q284" s="584"/>
      <c r="R284" s="565"/>
      <c r="S284" s="566"/>
      <c r="T284" s="183">
        <f>+T285</f>
        <v>4</v>
      </c>
      <c r="U284" s="585"/>
      <c r="V284" s="565"/>
      <c r="W284" s="566"/>
      <c r="X284" s="171"/>
    </row>
    <row r="285" spans="1:24" ht="13.5" x14ac:dyDescent="0.25">
      <c r="A285" s="562"/>
      <c r="B285" s="567"/>
      <c r="C285" s="568"/>
      <c r="D285" s="569"/>
      <c r="E285" s="562"/>
      <c r="F285" s="573" t="s">
        <v>453</v>
      </c>
      <c r="G285" s="574"/>
      <c r="H285" s="176">
        <v>3</v>
      </c>
      <c r="I285" s="567"/>
      <c r="J285" s="568"/>
      <c r="K285" s="569"/>
      <c r="L285" s="176">
        <v>4</v>
      </c>
      <c r="M285" s="567"/>
      <c r="N285" s="568"/>
      <c r="O285" s="569"/>
      <c r="P285" s="182">
        <v>3</v>
      </c>
      <c r="Q285" s="567"/>
      <c r="R285" s="568"/>
      <c r="S285" s="569"/>
      <c r="T285" s="183">
        <v>4</v>
      </c>
      <c r="U285" s="567"/>
      <c r="V285" s="568"/>
      <c r="W285" s="569"/>
      <c r="X285" s="171"/>
    </row>
    <row r="286" spans="1:24" ht="13.5" x14ac:dyDescent="0.25">
      <c r="A286" s="562"/>
      <c r="B286" s="567"/>
      <c r="C286" s="568"/>
      <c r="D286" s="569"/>
      <c r="E286" s="562"/>
      <c r="F286" s="573" t="s">
        <v>2583</v>
      </c>
      <c r="G286" s="574"/>
      <c r="H286" s="176"/>
      <c r="I286" s="567"/>
      <c r="J286" s="568"/>
      <c r="K286" s="569"/>
      <c r="L286" s="176"/>
      <c r="M286" s="567"/>
      <c r="N286" s="568"/>
      <c r="O286" s="569"/>
      <c r="P286" s="182"/>
      <c r="Q286" s="567"/>
      <c r="R286" s="568"/>
      <c r="S286" s="569"/>
      <c r="T286" s="183"/>
      <c r="U286" s="567"/>
      <c r="V286" s="568"/>
      <c r="W286" s="569"/>
      <c r="X286" s="171"/>
    </row>
    <row r="287" spans="1:24" ht="13.5" x14ac:dyDescent="0.25">
      <c r="A287" s="562"/>
      <c r="B287" s="567"/>
      <c r="C287" s="568"/>
      <c r="D287" s="569"/>
      <c r="E287" s="562"/>
      <c r="F287" s="573" t="s">
        <v>2584</v>
      </c>
      <c r="G287" s="574"/>
      <c r="H287" s="176"/>
      <c r="I287" s="567"/>
      <c r="J287" s="568"/>
      <c r="K287" s="569"/>
      <c r="L287" s="176"/>
      <c r="M287" s="567"/>
      <c r="N287" s="568"/>
      <c r="O287" s="569"/>
      <c r="P287" s="182"/>
      <c r="Q287" s="567"/>
      <c r="R287" s="568"/>
      <c r="S287" s="569"/>
      <c r="T287" s="183"/>
      <c r="U287" s="567"/>
      <c r="V287" s="568"/>
      <c r="W287" s="569"/>
      <c r="X287" s="171"/>
    </row>
    <row r="288" spans="1:24" ht="13.5" x14ac:dyDescent="0.25">
      <c r="A288" s="562"/>
      <c r="B288" s="567"/>
      <c r="C288" s="568"/>
      <c r="D288" s="569"/>
      <c r="E288" s="562"/>
      <c r="F288" s="573" t="s">
        <v>2585</v>
      </c>
      <c r="G288" s="574"/>
      <c r="H288" s="176"/>
      <c r="I288" s="567"/>
      <c r="J288" s="568"/>
      <c r="K288" s="569"/>
      <c r="L288" s="176"/>
      <c r="M288" s="567"/>
      <c r="N288" s="568"/>
      <c r="O288" s="569"/>
      <c r="P288" s="182"/>
      <c r="Q288" s="567"/>
      <c r="R288" s="568"/>
      <c r="S288" s="569"/>
      <c r="T288" s="183"/>
      <c r="U288" s="567"/>
      <c r="V288" s="568"/>
      <c r="W288" s="569"/>
      <c r="X288" s="171"/>
    </row>
    <row r="289" spans="1:24" ht="13.5" x14ac:dyDescent="0.25">
      <c r="A289" s="562"/>
      <c r="B289" s="567"/>
      <c r="C289" s="568"/>
      <c r="D289" s="569"/>
      <c r="E289" s="562"/>
      <c r="F289" s="573" t="s">
        <v>2586</v>
      </c>
      <c r="G289" s="574"/>
      <c r="H289" s="176"/>
      <c r="I289" s="567"/>
      <c r="J289" s="568"/>
      <c r="K289" s="569"/>
      <c r="L289" s="176"/>
      <c r="M289" s="567"/>
      <c r="N289" s="568"/>
      <c r="O289" s="569"/>
      <c r="P289" s="182"/>
      <c r="Q289" s="567"/>
      <c r="R289" s="568"/>
      <c r="S289" s="569"/>
      <c r="T289" s="183"/>
      <c r="U289" s="567"/>
      <c r="V289" s="568"/>
      <c r="W289" s="569"/>
      <c r="X289" s="171"/>
    </row>
    <row r="290" spans="1:24" ht="13.5" x14ac:dyDescent="0.25">
      <c r="A290" s="562"/>
      <c r="B290" s="567"/>
      <c r="C290" s="568"/>
      <c r="D290" s="569"/>
      <c r="E290" s="562"/>
      <c r="F290" s="573" t="s">
        <v>2587</v>
      </c>
      <c r="G290" s="574"/>
      <c r="H290" s="176"/>
      <c r="I290" s="567"/>
      <c r="J290" s="568"/>
      <c r="K290" s="569"/>
      <c r="L290" s="176"/>
      <c r="M290" s="567"/>
      <c r="N290" s="568"/>
      <c r="O290" s="569"/>
      <c r="P290" s="182"/>
      <c r="Q290" s="567"/>
      <c r="R290" s="568"/>
      <c r="S290" s="569"/>
      <c r="T290" s="183"/>
      <c r="U290" s="567"/>
      <c r="V290" s="568"/>
      <c r="W290" s="569"/>
      <c r="X290" s="171"/>
    </row>
    <row r="291" spans="1:24" ht="13.5" x14ac:dyDescent="0.25">
      <c r="A291" s="562"/>
      <c r="B291" s="567"/>
      <c r="C291" s="568"/>
      <c r="D291" s="569"/>
      <c r="E291" s="562"/>
      <c r="F291" s="573" t="s">
        <v>3188</v>
      </c>
      <c r="G291" s="574"/>
      <c r="H291" s="176"/>
      <c r="I291" s="567"/>
      <c r="J291" s="568"/>
      <c r="K291" s="569"/>
      <c r="L291" s="176"/>
      <c r="M291" s="567"/>
      <c r="N291" s="568"/>
      <c r="O291" s="569"/>
      <c r="P291" s="182"/>
      <c r="Q291" s="567"/>
      <c r="R291" s="568"/>
      <c r="S291" s="569"/>
      <c r="T291" s="183"/>
      <c r="U291" s="567"/>
      <c r="V291" s="568"/>
      <c r="W291" s="569"/>
      <c r="X291" s="171"/>
    </row>
    <row r="292" spans="1:24" ht="13.5" x14ac:dyDescent="0.25">
      <c r="A292" s="563"/>
      <c r="B292" s="570"/>
      <c r="C292" s="571"/>
      <c r="D292" s="572"/>
      <c r="E292" s="563"/>
      <c r="F292" s="573" t="s">
        <v>3189</v>
      </c>
      <c r="G292" s="574"/>
      <c r="H292" s="176"/>
      <c r="I292" s="570"/>
      <c r="J292" s="571"/>
      <c r="K292" s="572"/>
      <c r="L292" s="176"/>
      <c r="M292" s="570"/>
      <c r="N292" s="571"/>
      <c r="O292" s="572"/>
      <c r="P292" s="182"/>
      <c r="Q292" s="570"/>
      <c r="R292" s="571"/>
      <c r="S292" s="572"/>
      <c r="T292" s="183"/>
      <c r="U292" s="570"/>
      <c r="V292" s="571"/>
      <c r="W292" s="572"/>
      <c r="X292" s="171"/>
    </row>
    <row r="293" spans="1:24" ht="13.5" x14ac:dyDescent="0.25">
      <c r="A293" s="177"/>
      <c r="B293" s="178"/>
      <c r="C293" s="178"/>
      <c r="D293" s="178"/>
      <c r="E293" s="179"/>
      <c r="F293" s="173"/>
      <c r="G293" s="171"/>
      <c r="H293" s="171"/>
      <c r="I293" s="171"/>
      <c r="J293" s="171"/>
      <c r="K293" s="171"/>
      <c r="L293" s="171"/>
      <c r="M293" s="171"/>
      <c r="N293" s="171"/>
      <c r="O293" s="171"/>
      <c r="P293" s="171"/>
      <c r="Q293" s="171"/>
      <c r="R293" s="171"/>
      <c r="S293" s="171"/>
      <c r="T293" s="171"/>
      <c r="U293" s="171"/>
      <c r="V293" s="171"/>
      <c r="W293" s="171"/>
      <c r="X293" s="171"/>
    </row>
    <row r="294" spans="1:24" ht="13.5" x14ac:dyDescent="0.25">
      <c r="A294" s="578" t="s">
        <v>76</v>
      </c>
      <c r="B294" s="582"/>
      <c r="C294" s="582"/>
      <c r="D294" s="582"/>
      <c r="E294" s="174" t="s">
        <v>77</v>
      </c>
      <c r="F294" s="583" t="s">
        <v>2576</v>
      </c>
      <c r="G294" s="572"/>
      <c r="H294" s="578" t="s">
        <v>2578</v>
      </c>
      <c r="I294" s="582"/>
      <c r="J294" s="582"/>
      <c r="K294" s="574"/>
      <c r="L294" s="578" t="s">
        <v>2579</v>
      </c>
      <c r="M294" s="582"/>
      <c r="N294" s="582"/>
      <c r="O294" s="574"/>
      <c r="P294" s="586" t="s">
        <v>2580</v>
      </c>
      <c r="Q294" s="565"/>
      <c r="R294" s="565"/>
      <c r="S294" s="566"/>
      <c r="T294" s="578" t="s">
        <v>2581</v>
      </c>
      <c r="U294" s="582"/>
      <c r="V294" s="582"/>
      <c r="W294" s="574"/>
      <c r="X294" s="171"/>
    </row>
    <row r="295" spans="1:24" ht="13.5" x14ac:dyDescent="0.25">
      <c r="A295" s="561" t="s">
        <v>337</v>
      </c>
      <c r="B295" s="564" t="s">
        <v>155</v>
      </c>
      <c r="C295" s="565"/>
      <c r="D295" s="566"/>
      <c r="E295" s="561" t="s">
        <v>999</v>
      </c>
      <c r="F295" s="573" t="s">
        <v>444</v>
      </c>
      <c r="G295" s="574"/>
      <c r="H295" s="175">
        <f>+H296</f>
        <v>15</v>
      </c>
      <c r="I295" s="575"/>
      <c r="J295" s="565"/>
      <c r="K295" s="566"/>
      <c r="L295" s="176">
        <f>+L296</f>
        <v>26</v>
      </c>
      <c r="M295" s="575"/>
      <c r="N295" s="565"/>
      <c r="O295" s="566"/>
      <c r="P295" s="175">
        <f>+P296</f>
        <v>15</v>
      </c>
      <c r="Q295" s="584"/>
      <c r="R295" s="565"/>
      <c r="S295" s="566"/>
      <c r="T295" s="176">
        <f>+T296</f>
        <v>26</v>
      </c>
      <c r="U295" s="585"/>
      <c r="V295" s="565"/>
      <c r="W295" s="566"/>
      <c r="X295" s="171"/>
    </row>
    <row r="296" spans="1:24" ht="13.5" x14ac:dyDescent="0.25">
      <c r="A296" s="562"/>
      <c r="B296" s="567"/>
      <c r="C296" s="568"/>
      <c r="D296" s="569"/>
      <c r="E296" s="562"/>
      <c r="F296" s="573" t="s">
        <v>2710</v>
      </c>
      <c r="G296" s="574"/>
      <c r="H296" s="176">
        <f>5+(H297/H299)</f>
        <v>15</v>
      </c>
      <c r="I296" s="567"/>
      <c r="J296" s="568"/>
      <c r="K296" s="569"/>
      <c r="L296" s="176">
        <f>16+(2*(L297/L299))</f>
        <v>26</v>
      </c>
      <c r="M296" s="567"/>
      <c r="N296" s="568"/>
      <c r="O296" s="569"/>
      <c r="P296" s="176">
        <f>5+(P297/P299)</f>
        <v>15</v>
      </c>
      <c r="Q296" s="567"/>
      <c r="R296" s="568"/>
      <c r="S296" s="569"/>
      <c r="T296" s="176">
        <f>16+(2*(T297/T299))</f>
        <v>26</v>
      </c>
      <c r="U296" s="567"/>
      <c r="V296" s="568"/>
      <c r="W296" s="569"/>
      <c r="X296" s="171"/>
    </row>
    <row r="297" spans="1:24" ht="13.5" x14ac:dyDescent="0.25">
      <c r="A297" s="562"/>
      <c r="B297" s="567"/>
      <c r="C297" s="568"/>
      <c r="D297" s="569"/>
      <c r="E297" s="562"/>
      <c r="F297" s="573" t="s">
        <v>2583</v>
      </c>
      <c r="G297" s="574"/>
      <c r="H297" s="176">
        <v>3</v>
      </c>
      <c r="I297" s="567"/>
      <c r="J297" s="568"/>
      <c r="K297" s="569"/>
      <c r="L297" s="176">
        <v>1</v>
      </c>
      <c r="M297" s="567"/>
      <c r="N297" s="568"/>
      <c r="O297" s="569"/>
      <c r="P297" s="176">
        <v>3</v>
      </c>
      <c r="Q297" s="567"/>
      <c r="R297" s="568"/>
      <c r="S297" s="569"/>
      <c r="T297" s="176">
        <v>1</v>
      </c>
      <c r="U297" s="567"/>
      <c r="V297" s="568"/>
      <c r="W297" s="569"/>
      <c r="X297" s="171"/>
    </row>
    <row r="298" spans="1:24" ht="13.5" x14ac:dyDescent="0.25">
      <c r="A298" s="562"/>
      <c r="B298" s="567"/>
      <c r="C298" s="568"/>
      <c r="D298" s="569"/>
      <c r="E298" s="562"/>
      <c r="F298" s="573" t="s">
        <v>2584</v>
      </c>
      <c r="G298" s="574"/>
      <c r="H298" s="176"/>
      <c r="I298" s="567"/>
      <c r="J298" s="568"/>
      <c r="K298" s="569"/>
      <c r="L298" s="176"/>
      <c r="M298" s="567"/>
      <c r="N298" s="568"/>
      <c r="O298" s="569"/>
      <c r="P298" s="176"/>
      <c r="Q298" s="567"/>
      <c r="R298" s="568"/>
      <c r="S298" s="569"/>
      <c r="T298" s="176"/>
      <c r="U298" s="567"/>
      <c r="V298" s="568"/>
      <c r="W298" s="569"/>
      <c r="X298" s="171"/>
    </row>
    <row r="299" spans="1:24" ht="13.5" x14ac:dyDescent="0.25">
      <c r="A299" s="562"/>
      <c r="B299" s="567"/>
      <c r="C299" s="568"/>
      <c r="D299" s="569"/>
      <c r="E299" s="562"/>
      <c r="F299" s="573" t="s">
        <v>2585</v>
      </c>
      <c r="G299" s="574"/>
      <c r="H299" s="176">
        <v>0.3</v>
      </c>
      <c r="I299" s="567"/>
      <c r="J299" s="568"/>
      <c r="K299" s="569"/>
      <c r="L299" s="176">
        <v>0.2</v>
      </c>
      <c r="M299" s="567"/>
      <c r="N299" s="568"/>
      <c r="O299" s="569"/>
      <c r="P299" s="176">
        <v>0.3</v>
      </c>
      <c r="Q299" s="567"/>
      <c r="R299" s="568"/>
      <c r="S299" s="569"/>
      <c r="T299" s="176">
        <v>0.2</v>
      </c>
      <c r="U299" s="567"/>
      <c r="V299" s="568"/>
      <c r="W299" s="569"/>
      <c r="X299" s="171"/>
    </row>
    <row r="300" spans="1:24" ht="13.5" x14ac:dyDescent="0.25">
      <c r="A300" s="562"/>
      <c r="B300" s="567"/>
      <c r="C300" s="568"/>
      <c r="D300" s="569"/>
      <c r="E300" s="562"/>
      <c r="F300" s="573" t="s">
        <v>2586</v>
      </c>
      <c r="G300" s="574"/>
      <c r="H300" s="176"/>
      <c r="I300" s="567"/>
      <c r="J300" s="568"/>
      <c r="K300" s="569"/>
      <c r="L300" s="176"/>
      <c r="M300" s="567"/>
      <c r="N300" s="568"/>
      <c r="O300" s="569"/>
      <c r="P300" s="176"/>
      <c r="Q300" s="567"/>
      <c r="R300" s="568"/>
      <c r="S300" s="569"/>
      <c r="T300" s="176"/>
      <c r="U300" s="567"/>
      <c r="V300" s="568"/>
      <c r="W300" s="569"/>
      <c r="X300" s="171"/>
    </row>
    <row r="301" spans="1:24" ht="13.5" x14ac:dyDescent="0.25">
      <c r="A301" s="562"/>
      <c r="B301" s="567"/>
      <c r="C301" s="568"/>
      <c r="D301" s="569"/>
      <c r="E301" s="562"/>
      <c r="F301" s="573" t="s">
        <v>2587</v>
      </c>
      <c r="G301" s="574"/>
      <c r="H301" s="176"/>
      <c r="I301" s="567"/>
      <c r="J301" s="568"/>
      <c r="K301" s="569"/>
      <c r="L301" s="176"/>
      <c r="M301" s="567"/>
      <c r="N301" s="568"/>
      <c r="O301" s="569"/>
      <c r="P301" s="176"/>
      <c r="Q301" s="567"/>
      <c r="R301" s="568"/>
      <c r="S301" s="569"/>
      <c r="T301" s="176"/>
      <c r="U301" s="567"/>
      <c r="V301" s="568"/>
      <c r="W301" s="569"/>
      <c r="X301" s="171"/>
    </row>
    <row r="302" spans="1:24" ht="13.5" x14ac:dyDescent="0.25">
      <c r="A302" s="562"/>
      <c r="B302" s="567"/>
      <c r="C302" s="568"/>
      <c r="D302" s="569"/>
      <c r="E302" s="562"/>
      <c r="F302" s="573" t="s">
        <v>3188</v>
      </c>
      <c r="G302" s="574"/>
      <c r="H302" s="176"/>
      <c r="I302" s="567"/>
      <c r="J302" s="568"/>
      <c r="K302" s="569"/>
      <c r="L302" s="176"/>
      <c r="M302" s="567"/>
      <c r="N302" s="568"/>
      <c r="O302" s="569"/>
      <c r="P302" s="176"/>
      <c r="Q302" s="567"/>
      <c r="R302" s="568"/>
      <c r="S302" s="569"/>
      <c r="T302" s="176"/>
      <c r="U302" s="567"/>
      <c r="V302" s="568"/>
      <c r="W302" s="569"/>
      <c r="X302" s="171"/>
    </row>
    <row r="303" spans="1:24" ht="13.5" x14ac:dyDescent="0.25">
      <c r="A303" s="563"/>
      <c r="B303" s="570"/>
      <c r="C303" s="571"/>
      <c r="D303" s="572"/>
      <c r="E303" s="563"/>
      <c r="F303" s="573" t="s">
        <v>3189</v>
      </c>
      <c r="G303" s="574"/>
      <c r="H303" s="176"/>
      <c r="I303" s="570"/>
      <c r="J303" s="571"/>
      <c r="K303" s="572"/>
      <c r="L303" s="176"/>
      <c r="M303" s="570"/>
      <c r="N303" s="571"/>
      <c r="O303" s="572"/>
      <c r="P303" s="176"/>
      <c r="Q303" s="570"/>
      <c r="R303" s="571"/>
      <c r="S303" s="572"/>
      <c r="T303" s="176"/>
      <c r="U303" s="570"/>
      <c r="V303" s="571"/>
      <c r="W303" s="572"/>
      <c r="X303" s="171"/>
    </row>
    <row r="304" spans="1:24" ht="13.5" x14ac:dyDescent="0.25">
      <c r="A304" s="177"/>
      <c r="B304" s="178"/>
      <c r="C304" s="178"/>
      <c r="D304" s="178"/>
      <c r="E304" s="179"/>
      <c r="F304" s="173"/>
      <c r="G304" s="184"/>
      <c r="H304" s="184"/>
      <c r="I304" s="184"/>
      <c r="J304" s="184"/>
      <c r="K304" s="184"/>
      <c r="L304" s="184"/>
      <c r="M304" s="184"/>
      <c r="N304" s="184"/>
      <c r="O304" s="184"/>
      <c r="P304" s="184"/>
      <c r="Q304" s="184"/>
      <c r="R304" s="184"/>
      <c r="S304" s="184"/>
      <c r="T304" s="184"/>
      <c r="U304" s="184"/>
      <c r="V304" s="184"/>
      <c r="W304" s="184"/>
      <c r="X304" s="171"/>
    </row>
    <row r="305" spans="1:24" ht="13.5" x14ac:dyDescent="0.25">
      <c r="A305" s="578" t="s">
        <v>76</v>
      </c>
      <c r="B305" s="582"/>
      <c r="C305" s="582"/>
      <c r="D305" s="582"/>
      <c r="E305" s="174" t="s">
        <v>77</v>
      </c>
      <c r="F305" s="583" t="s">
        <v>2576</v>
      </c>
      <c r="G305" s="572"/>
      <c r="H305" s="578" t="s">
        <v>2578</v>
      </c>
      <c r="I305" s="582"/>
      <c r="J305" s="582"/>
      <c r="K305" s="574"/>
      <c r="L305" s="578" t="s">
        <v>2579</v>
      </c>
      <c r="M305" s="582"/>
      <c r="N305" s="582"/>
      <c r="O305" s="574"/>
      <c r="P305" s="586" t="s">
        <v>2580</v>
      </c>
      <c r="Q305" s="565"/>
      <c r="R305" s="565"/>
      <c r="S305" s="566"/>
      <c r="T305" s="578" t="s">
        <v>2581</v>
      </c>
      <c r="U305" s="582"/>
      <c r="V305" s="582"/>
      <c r="W305" s="574"/>
      <c r="X305" s="171"/>
    </row>
    <row r="306" spans="1:24" ht="13.5" x14ac:dyDescent="0.25">
      <c r="A306" s="561" t="s">
        <v>338</v>
      </c>
      <c r="B306" s="564" t="s">
        <v>339</v>
      </c>
      <c r="C306" s="565"/>
      <c r="D306" s="566"/>
      <c r="E306" s="561" t="s">
        <v>999</v>
      </c>
      <c r="F306" s="573" t="s">
        <v>444</v>
      </c>
      <c r="G306" s="574"/>
      <c r="H306" s="175">
        <f>+H307</f>
        <v>1</v>
      </c>
      <c r="I306" s="575"/>
      <c r="J306" s="565"/>
      <c r="K306" s="566"/>
      <c r="L306" s="176"/>
      <c r="M306" s="584" t="s">
        <v>2582</v>
      </c>
      <c r="N306" s="565"/>
      <c r="O306" s="566"/>
      <c r="P306" s="175">
        <f>+P307</f>
        <v>1</v>
      </c>
      <c r="Q306" s="584"/>
      <c r="R306" s="565"/>
      <c r="S306" s="566"/>
      <c r="T306" s="176"/>
      <c r="U306" s="584" t="s">
        <v>2582</v>
      </c>
      <c r="V306" s="565"/>
      <c r="W306" s="566"/>
      <c r="X306" s="171"/>
    </row>
    <row r="307" spans="1:24" ht="13.5" x14ac:dyDescent="0.25">
      <c r="A307" s="562"/>
      <c r="B307" s="567"/>
      <c r="C307" s="568"/>
      <c r="D307" s="569"/>
      <c r="E307" s="562"/>
      <c r="F307" s="573" t="s">
        <v>2710</v>
      </c>
      <c r="G307" s="574"/>
      <c r="H307" s="176">
        <v>1</v>
      </c>
      <c r="I307" s="567"/>
      <c r="J307" s="568"/>
      <c r="K307" s="569"/>
      <c r="L307" s="176"/>
      <c r="M307" s="567"/>
      <c r="N307" s="568"/>
      <c r="O307" s="569"/>
      <c r="P307" s="176">
        <v>1</v>
      </c>
      <c r="Q307" s="567"/>
      <c r="R307" s="568"/>
      <c r="S307" s="569"/>
      <c r="T307" s="176"/>
      <c r="U307" s="567"/>
      <c r="V307" s="568"/>
      <c r="W307" s="569"/>
      <c r="X307" s="171"/>
    </row>
    <row r="308" spans="1:24" ht="13.5" x14ac:dyDescent="0.25">
      <c r="A308" s="562"/>
      <c r="B308" s="567"/>
      <c r="C308" s="568"/>
      <c r="D308" s="569"/>
      <c r="E308" s="562"/>
      <c r="F308" s="573" t="s">
        <v>2583</v>
      </c>
      <c r="G308" s="574"/>
      <c r="H308" s="176"/>
      <c r="I308" s="567"/>
      <c r="J308" s="568"/>
      <c r="K308" s="569"/>
      <c r="L308" s="176"/>
      <c r="M308" s="567"/>
      <c r="N308" s="568"/>
      <c r="O308" s="569"/>
      <c r="P308" s="176"/>
      <c r="Q308" s="567"/>
      <c r="R308" s="568"/>
      <c r="S308" s="569"/>
      <c r="T308" s="176"/>
      <c r="U308" s="567"/>
      <c r="V308" s="568"/>
      <c r="W308" s="569"/>
      <c r="X308" s="171"/>
    </row>
    <row r="309" spans="1:24" ht="13.5" x14ac:dyDescent="0.25">
      <c r="A309" s="562"/>
      <c r="B309" s="567"/>
      <c r="C309" s="568"/>
      <c r="D309" s="569"/>
      <c r="E309" s="562"/>
      <c r="F309" s="573" t="s">
        <v>2584</v>
      </c>
      <c r="G309" s="574"/>
      <c r="H309" s="176"/>
      <c r="I309" s="567"/>
      <c r="J309" s="568"/>
      <c r="K309" s="569"/>
      <c r="L309" s="176"/>
      <c r="M309" s="567"/>
      <c r="N309" s="568"/>
      <c r="O309" s="569"/>
      <c r="P309" s="176"/>
      <c r="Q309" s="567"/>
      <c r="R309" s="568"/>
      <c r="S309" s="569"/>
      <c r="T309" s="176"/>
      <c r="U309" s="567"/>
      <c r="V309" s="568"/>
      <c r="W309" s="569"/>
      <c r="X309" s="171"/>
    </row>
    <row r="310" spans="1:24" ht="13.5" x14ac:dyDescent="0.25">
      <c r="A310" s="562"/>
      <c r="B310" s="567"/>
      <c r="C310" s="568"/>
      <c r="D310" s="569"/>
      <c r="E310" s="562"/>
      <c r="F310" s="573" t="s">
        <v>2585</v>
      </c>
      <c r="G310" s="574"/>
      <c r="H310" s="176"/>
      <c r="I310" s="567"/>
      <c r="J310" s="568"/>
      <c r="K310" s="569"/>
      <c r="L310" s="176"/>
      <c r="M310" s="567"/>
      <c r="N310" s="568"/>
      <c r="O310" s="569"/>
      <c r="P310" s="176"/>
      <c r="Q310" s="567"/>
      <c r="R310" s="568"/>
      <c r="S310" s="569"/>
      <c r="T310" s="176"/>
      <c r="U310" s="567"/>
      <c r="V310" s="568"/>
      <c r="W310" s="569"/>
      <c r="X310" s="171"/>
    </row>
    <row r="311" spans="1:24" ht="13.5" x14ac:dyDescent="0.25">
      <c r="A311" s="562"/>
      <c r="B311" s="567"/>
      <c r="C311" s="568"/>
      <c r="D311" s="569"/>
      <c r="E311" s="562"/>
      <c r="F311" s="573" t="s">
        <v>2586</v>
      </c>
      <c r="G311" s="574"/>
      <c r="H311" s="176"/>
      <c r="I311" s="567"/>
      <c r="J311" s="568"/>
      <c r="K311" s="569"/>
      <c r="L311" s="176"/>
      <c r="M311" s="567"/>
      <c r="N311" s="568"/>
      <c r="O311" s="569"/>
      <c r="P311" s="176"/>
      <c r="Q311" s="567"/>
      <c r="R311" s="568"/>
      <c r="S311" s="569"/>
      <c r="T311" s="176"/>
      <c r="U311" s="567"/>
      <c r="V311" s="568"/>
      <c r="W311" s="569"/>
      <c r="X311" s="171"/>
    </row>
    <row r="312" spans="1:24" ht="13.5" x14ac:dyDescent="0.25">
      <c r="A312" s="562"/>
      <c r="B312" s="567"/>
      <c r="C312" s="568"/>
      <c r="D312" s="569"/>
      <c r="E312" s="562"/>
      <c r="F312" s="573" t="s">
        <v>2587</v>
      </c>
      <c r="G312" s="574"/>
      <c r="H312" s="176"/>
      <c r="I312" s="567"/>
      <c r="J312" s="568"/>
      <c r="K312" s="569"/>
      <c r="L312" s="176"/>
      <c r="M312" s="567"/>
      <c r="N312" s="568"/>
      <c r="O312" s="569"/>
      <c r="P312" s="176"/>
      <c r="Q312" s="567"/>
      <c r="R312" s="568"/>
      <c r="S312" s="569"/>
      <c r="T312" s="176"/>
      <c r="U312" s="567"/>
      <c r="V312" s="568"/>
      <c r="W312" s="569"/>
      <c r="X312" s="171"/>
    </row>
    <row r="313" spans="1:24" ht="13.5" x14ac:dyDescent="0.25">
      <c r="A313" s="562"/>
      <c r="B313" s="567"/>
      <c r="C313" s="568"/>
      <c r="D313" s="569"/>
      <c r="E313" s="562"/>
      <c r="F313" s="573" t="s">
        <v>3188</v>
      </c>
      <c r="G313" s="574"/>
      <c r="H313" s="176"/>
      <c r="I313" s="567"/>
      <c r="J313" s="568"/>
      <c r="K313" s="569"/>
      <c r="L313" s="176"/>
      <c r="M313" s="567"/>
      <c r="N313" s="568"/>
      <c r="O313" s="569"/>
      <c r="P313" s="176"/>
      <c r="Q313" s="567"/>
      <c r="R313" s="568"/>
      <c r="S313" s="569"/>
      <c r="T313" s="176"/>
      <c r="U313" s="567"/>
      <c r="V313" s="568"/>
      <c r="W313" s="569"/>
      <c r="X313" s="171"/>
    </row>
    <row r="314" spans="1:24" ht="13.5" x14ac:dyDescent="0.25">
      <c r="A314" s="563"/>
      <c r="B314" s="570"/>
      <c r="C314" s="571"/>
      <c r="D314" s="572"/>
      <c r="E314" s="563"/>
      <c r="F314" s="573" t="s">
        <v>3189</v>
      </c>
      <c r="G314" s="574"/>
      <c r="H314" s="176"/>
      <c r="I314" s="570"/>
      <c r="J314" s="571"/>
      <c r="K314" s="572"/>
      <c r="L314" s="176"/>
      <c r="M314" s="570"/>
      <c r="N314" s="571"/>
      <c r="O314" s="572"/>
      <c r="P314" s="176"/>
      <c r="Q314" s="570"/>
      <c r="R314" s="571"/>
      <c r="S314" s="572"/>
      <c r="T314" s="176"/>
      <c r="U314" s="570"/>
      <c r="V314" s="571"/>
      <c r="W314" s="572"/>
      <c r="X314" s="171"/>
    </row>
    <row r="315" spans="1:24" ht="13.5" x14ac:dyDescent="0.25">
      <c r="A315" s="177"/>
      <c r="B315" s="178"/>
      <c r="C315" s="178"/>
      <c r="D315" s="178"/>
      <c r="E315" s="179"/>
      <c r="F315" s="173"/>
      <c r="G315" s="171"/>
      <c r="H315" s="171"/>
      <c r="I315" s="171"/>
      <c r="J315" s="171"/>
      <c r="K315" s="171"/>
      <c r="L315" s="171"/>
      <c r="M315" s="171"/>
      <c r="N315" s="171"/>
      <c r="O315" s="171"/>
      <c r="P315" s="171"/>
      <c r="Q315" s="171"/>
      <c r="R315" s="171"/>
      <c r="S315" s="171"/>
      <c r="T315" s="171"/>
      <c r="U315" s="171"/>
      <c r="V315" s="171"/>
      <c r="W315" s="171"/>
      <c r="X315" s="171"/>
    </row>
    <row r="316" spans="1:24" ht="13.5" x14ac:dyDescent="0.25">
      <c r="A316" s="578" t="s">
        <v>76</v>
      </c>
      <c r="B316" s="582"/>
      <c r="C316" s="582"/>
      <c r="D316" s="582"/>
      <c r="E316" s="174" t="s">
        <v>77</v>
      </c>
      <c r="F316" s="583" t="s">
        <v>2576</v>
      </c>
      <c r="G316" s="572"/>
      <c r="H316" s="578" t="s">
        <v>2578</v>
      </c>
      <c r="I316" s="582"/>
      <c r="J316" s="582"/>
      <c r="K316" s="574"/>
      <c r="L316" s="578" t="s">
        <v>2579</v>
      </c>
      <c r="M316" s="582"/>
      <c r="N316" s="582"/>
      <c r="O316" s="574"/>
      <c r="P316" s="586" t="s">
        <v>2580</v>
      </c>
      <c r="Q316" s="565"/>
      <c r="R316" s="565"/>
      <c r="S316" s="566"/>
      <c r="T316" s="578" t="s">
        <v>2581</v>
      </c>
      <c r="U316" s="582"/>
      <c r="V316" s="582"/>
      <c r="W316" s="574"/>
      <c r="X316" s="171"/>
    </row>
    <row r="317" spans="1:24" ht="13.5" x14ac:dyDescent="0.25">
      <c r="A317" s="561" t="s">
        <v>340</v>
      </c>
      <c r="B317" s="564" t="s">
        <v>2711</v>
      </c>
      <c r="C317" s="565"/>
      <c r="D317" s="566"/>
      <c r="E317" s="561" t="s">
        <v>999</v>
      </c>
      <c r="F317" s="573" t="s">
        <v>444</v>
      </c>
      <c r="G317" s="574"/>
      <c r="H317" s="175">
        <f>+H318</f>
        <v>4</v>
      </c>
      <c r="I317" s="575"/>
      <c r="J317" s="565"/>
      <c r="K317" s="566"/>
      <c r="L317" s="175">
        <f>+L318</f>
        <v>2</v>
      </c>
      <c r="M317" s="575"/>
      <c r="N317" s="565"/>
      <c r="O317" s="566"/>
      <c r="P317" s="175">
        <f>+P318</f>
        <v>4</v>
      </c>
      <c r="Q317" s="584"/>
      <c r="R317" s="565"/>
      <c r="S317" s="566"/>
      <c r="T317" s="175">
        <f>+T318</f>
        <v>2</v>
      </c>
      <c r="U317" s="585"/>
      <c r="V317" s="565"/>
      <c r="W317" s="566"/>
      <c r="X317" s="171"/>
    </row>
    <row r="318" spans="1:24" ht="13.5" x14ac:dyDescent="0.25">
      <c r="A318" s="562"/>
      <c r="B318" s="567"/>
      <c r="C318" s="568"/>
      <c r="D318" s="569"/>
      <c r="E318" s="562"/>
      <c r="F318" s="573" t="s">
        <v>453</v>
      </c>
      <c r="G318" s="574"/>
      <c r="H318" s="176">
        <v>4</v>
      </c>
      <c r="I318" s="567"/>
      <c r="J318" s="568"/>
      <c r="K318" s="569"/>
      <c r="L318" s="176">
        <v>2</v>
      </c>
      <c r="M318" s="567"/>
      <c r="N318" s="568"/>
      <c r="O318" s="569"/>
      <c r="P318" s="176">
        <v>4</v>
      </c>
      <c r="Q318" s="567"/>
      <c r="R318" s="568"/>
      <c r="S318" s="569"/>
      <c r="T318" s="176">
        <v>2</v>
      </c>
      <c r="U318" s="567"/>
      <c r="V318" s="568"/>
      <c r="W318" s="569"/>
      <c r="X318" s="171"/>
    </row>
    <row r="319" spans="1:24" ht="13.5" x14ac:dyDescent="0.25">
      <c r="A319" s="562"/>
      <c r="B319" s="567"/>
      <c r="C319" s="568"/>
      <c r="D319" s="569"/>
      <c r="E319" s="562"/>
      <c r="F319" s="573" t="s">
        <v>2583</v>
      </c>
      <c r="G319" s="574"/>
      <c r="H319" s="176"/>
      <c r="I319" s="567"/>
      <c r="J319" s="568"/>
      <c r="K319" s="569"/>
      <c r="L319" s="176"/>
      <c r="M319" s="567"/>
      <c r="N319" s="568"/>
      <c r="O319" s="569"/>
      <c r="P319" s="176"/>
      <c r="Q319" s="567"/>
      <c r="R319" s="568"/>
      <c r="S319" s="569"/>
      <c r="T319" s="176"/>
      <c r="U319" s="567"/>
      <c r="V319" s="568"/>
      <c r="W319" s="569"/>
      <c r="X319" s="171"/>
    </row>
    <row r="320" spans="1:24" ht="13.5" x14ac:dyDescent="0.25">
      <c r="A320" s="562"/>
      <c r="B320" s="567"/>
      <c r="C320" s="568"/>
      <c r="D320" s="569"/>
      <c r="E320" s="562"/>
      <c r="F320" s="573" t="s">
        <v>2584</v>
      </c>
      <c r="G320" s="574"/>
      <c r="H320" s="176"/>
      <c r="I320" s="567"/>
      <c r="J320" s="568"/>
      <c r="K320" s="569"/>
      <c r="L320" s="176"/>
      <c r="M320" s="567"/>
      <c r="N320" s="568"/>
      <c r="O320" s="569"/>
      <c r="P320" s="176"/>
      <c r="Q320" s="567"/>
      <c r="R320" s="568"/>
      <c r="S320" s="569"/>
      <c r="T320" s="176"/>
      <c r="U320" s="567"/>
      <c r="V320" s="568"/>
      <c r="W320" s="569"/>
      <c r="X320" s="171"/>
    </row>
    <row r="321" spans="1:24" ht="13.5" x14ac:dyDescent="0.25">
      <c r="A321" s="562"/>
      <c r="B321" s="567"/>
      <c r="C321" s="568"/>
      <c r="D321" s="569"/>
      <c r="E321" s="562"/>
      <c r="F321" s="573" t="s">
        <v>2585</v>
      </c>
      <c r="G321" s="574"/>
      <c r="H321" s="176"/>
      <c r="I321" s="567"/>
      <c r="J321" s="568"/>
      <c r="K321" s="569"/>
      <c r="L321" s="176"/>
      <c r="M321" s="567"/>
      <c r="N321" s="568"/>
      <c r="O321" s="569"/>
      <c r="P321" s="176"/>
      <c r="Q321" s="567"/>
      <c r="R321" s="568"/>
      <c r="S321" s="569"/>
      <c r="T321" s="176"/>
      <c r="U321" s="567"/>
      <c r="V321" s="568"/>
      <c r="W321" s="569"/>
      <c r="X321" s="171"/>
    </row>
    <row r="322" spans="1:24" ht="13.5" x14ac:dyDescent="0.25">
      <c r="A322" s="562"/>
      <c r="B322" s="567"/>
      <c r="C322" s="568"/>
      <c r="D322" s="569"/>
      <c r="E322" s="562"/>
      <c r="F322" s="573" t="s">
        <v>2586</v>
      </c>
      <c r="G322" s="574"/>
      <c r="H322" s="176"/>
      <c r="I322" s="567"/>
      <c r="J322" s="568"/>
      <c r="K322" s="569"/>
      <c r="L322" s="176"/>
      <c r="M322" s="567"/>
      <c r="N322" s="568"/>
      <c r="O322" s="569"/>
      <c r="P322" s="176"/>
      <c r="Q322" s="567"/>
      <c r="R322" s="568"/>
      <c r="S322" s="569"/>
      <c r="T322" s="176"/>
      <c r="U322" s="567"/>
      <c r="V322" s="568"/>
      <c r="W322" s="569"/>
      <c r="X322" s="171"/>
    </row>
    <row r="323" spans="1:24" ht="13.5" x14ac:dyDescent="0.25">
      <c r="A323" s="562"/>
      <c r="B323" s="567"/>
      <c r="C323" s="568"/>
      <c r="D323" s="569"/>
      <c r="E323" s="562"/>
      <c r="F323" s="573" t="s">
        <v>2587</v>
      </c>
      <c r="G323" s="574"/>
      <c r="H323" s="176"/>
      <c r="I323" s="567"/>
      <c r="J323" s="568"/>
      <c r="K323" s="569"/>
      <c r="L323" s="176"/>
      <c r="M323" s="567"/>
      <c r="N323" s="568"/>
      <c r="O323" s="569"/>
      <c r="P323" s="176"/>
      <c r="Q323" s="567"/>
      <c r="R323" s="568"/>
      <c r="S323" s="569"/>
      <c r="T323" s="176"/>
      <c r="U323" s="567"/>
      <c r="V323" s="568"/>
      <c r="W323" s="569"/>
      <c r="X323" s="171"/>
    </row>
    <row r="324" spans="1:24" ht="13.5" x14ac:dyDescent="0.25">
      <c r="A324" s="562"/>
      <c r="B324" s="567"/>
      <c r="C324" s="568"/>
      <c r="D324" s="569"/>
      <c r="E324" s="562"/>
      <c r="F324" s="573" t="s">
        <v>3188</v>
      </c>
      <c r="G324" s="574"/>
      <c r="H324" s="176"/>
      <c r="I324" s="567"/>
      <c r="J324" s="568"/>
      <c r="K324" s="569"/>
      <c r="L324" s="176"/>
      <c r="M324" s="567"/>
      <c r="N324" s="568"/>
      <c r="O324" s="569"/>
      <c r="P324" s="176"/>
      <c r="Q324" s="567"/>
      <c r="R324" s="568"/>
      <c r="S324" s="569"/>
      <c r="T324" s="176"/>
      <c r="U324" s="567"/>
      <c r="V324" s="568"/>
      <c r="W324" s="569"/>
      <c r="X324" s="171"/>
    </row>
    <row r="325" spans="1:24" ht="13.5" x14ac:dyDescent="0.25">
      <c r="A325" s="563"/>
      <c r="B325" s="570"/>
      <c r="C325" s="571"/>
      <c r="D325" s="572"/>
      <c r="E325" s="563"/>
      <c r="F325" s="573" t="s">
        <v>3189</v>
      </c>
      <c r="G325" s="574"/>
      <c r="H325" s="176"/>
      <c r="I325" s="570"/>
      <c r="J325" s="571"/>
      <c r="K325" s="572"/>
      <c r="L325" s="176"/>
      <c r="M325" s="570"/>
      <c r="N325" s="571"/>
      <c r="O325" s="572"/>
      <c r="P325" s="176"/>
      <c r="Q325" s="570"/>
      <c r="R325" s="571"/>
      <c r="S325" s="572"/>
      <c r="T325" s="176"/>
      <c r="U325" s="570"/>
      <c r="V325" s="571"/>
      <c r="W325" s="572"/>
      <c r="X325" s="171"/>
    </row>
    <row r="326" spans="1:24" ht="13.5" x14ac:dyDescent="0.25">
      <c r="A326" s="177"/>
      <c r="B326" s="178"/>
      <c r="C326" s="178"/>
      <c r="D326" s="178"/>
      <c r="E326" s="179"/>
      <c r="F326" s="173"/>
      <c r="G326" s="171"/>
      <c r="H326" s="171"/>
      <c r="I326" s="171"/>
      <c r="J326" s="171"/>
      <c r="K326" s="171"/>
      <c r="L326" s="171"/>
      <c r="M326" s="171"/>
      <c r="N326" s="171"/>
      <c r="O326" s="171"/>
      <c r="P326" s="171"/>
      <c r="Q326" s="171"/>
      <c r="R326" s="171"/>
      <c r="S326" s="171"/>
      <c r="T326" s="171"/>
      <c r="U326" s="171"/>
      <c r="V326" s="171"/>
      <c r="W326" s="171"/>
      <c r="X326" s="171"/>
    </row>
    <row r="327" spans="1:24" ht="13.5" x14ac:dyDescent="0.25">
      <c r="A327" s="578" t="s">
        <v>76</v>
      </c>
      <c r="B327" s="582"/>
      <c r="C327" s="582"/>
      <c r="D327" s="574"/>
      <c r="E327" s="174" t="s">
        <v>77</v>
      </c>
      <c r="F327" s="583" t="s">
        <v>2576</v>
      </c>
      <c r="G327" s="572"/>
      <c r="H327" s="578" t="s">
        <v>2578</v>
      </c>
      <c r="I327" s="582"/>
      <c r="J327" s="582"/>
      <c r="K327" s="574"/>
      <c r="L327" s="578" t="s">
        <v>2579</v>
      </c>
      <c r="M327" s="582"/>
      <c r="N327" s="582"/>
      <c r="O327" s="574"/>
      <c r="P327" s="586" t="s">
        <v>2580</v>
      </c>
      <c r="Q327" s="565"/>
      <c r="R327" s="565"/>
      <c r="S327" s="566"/>
      <c r="T327" s="578" t="s">
        <v>2581</v>
      </c>
      <c r="U327" s="582"/>
      <c r="V327" s="582"/>
      <c r="W327" s="574"/>
      <c r="X327" s="171"/>
    </row>
    <row r="328" spans="1:24" ht="13.5" x14ac:dyDescent="0.25">
      <c r="A328" s="561" t="s">
        <v>342</v>
      </c>
      <c r="B328" s="564" t="s">
        <v>343</v>
      </c>
      <c r="C328" s="565"/>
      <c r="D328" s="566"/>
      <c r="E328" s="561" t="s">
        <v>999</v>
      </c>
      <c r="F328" s="573" t="s">
        <v>444</v>
      </c>
      <c r="G328" s="574"/>
      <c r="H328" s="175">
        <f>+H329</f>
        <v>1</v>
      </c>
      <c r="I328" s="575"/>
      <c r="J328" s="565"/>
      <c r="K328" s="566"/>
      <c r="L328" s="176"/>
      <c r="M328" s="584" t="s">
        <v>2582</v>
      </c>
      <c r="N328" s="565"/>
      <c r="O328" s="566"/>
      <c r="P328" s="175">
        <f>+P329</f>
        <v>1</v>
      </c>
      <c r="Q328" s="584"/>
      <c r="R328" s="565"/>
      <c r="S328" s="566"/>
      <c r="T328" s="176"/>
      <c r="U328" s="584" t="s">
        <v>2582</v>
      </c>
      <c r="V328" s="565"/>
      <c r="W328" s="566"/>
      <c r="X328" s="171"/>
    </row>
    <row r="329" spans="1:24" ht="13.5" x14ac:dyDescent="0.25">
      <c r="A329" s="562"/>
      <c r="B329" s="567"/>
      <c r="C329" s="568"/>
      <c r="D329" s="569"/>
      <c r="E329" s="562"/>
      <c r="F329" s="573" t="s">
        <v>2710</v>
      </c>
      <c r="G329" s="574"/>
      <c r="H329" s="176">
        <v>1</v>
      </c>
      <c r="I329" s="567"/>
      <c r="J329" s="568"/>
      <c r="K329" s="569"/>
      <c r="L329" s="176"/>
      <c r="M329" s="567"/>
      <c r="N329" s="568"/>
      <c r="O329" s="569"/>
      <c r="P329" s="176">
        <v>1</v>
      </c>
      <c r="Q329" s="567"/>
      <c r="R329" s="568"/>
      <c r="S329" s="569"/>
      <c r="T329" s="176"/>
      <c r="U329" s="567"/>
      <c r="V329" s="568"/>
      <c r="W329" s="569"/>
      <c r="X329" s="171"/>
    </row>
    <row r="330" spans="1:24" ht="13.5" x14ac:dyDescent="0.25">
      <c r="A330" s="562"/>
      <c r="B330" s="567"/>
      <c r="C330" s="568"/>
      <c r="D330" s="569"/>
      <c r="E330" s="562"/>
      <c r="F330" s="573" t="s">
        <v>2583</v>
      </c>
      <c r="G330" s="574"/>
      <c r="H330" s="176"/>
      <c r="I330" s="567"/>
      <c r="J330" s="568"/>
      <c r="K330" s="569"/>
      <c r="L330" s="176"/>
      <c r="M330" s="567"/>
      <c r="N330" s="568"/>
      <c r="O330" s="569"/>
      <c r="P330" s="176"/>
      <c r="Q330" s="567"/>
      <c r="R330" s="568"/>
      <c r="S330" s="569"/>
      <c r="T330" s="176"/>
      <c r="U330" s="567"/>
      <c r="V330" s="568"/>
      <c r="W330" s="569"/>
      <c r="X330" s="171"/>
    </row>
    <row r="331" spans="1:24" ht="13.5" x14ac:dyDescent="0.25">
      <c r="A331" s="562"/>
      <c r="B331" s="567"/>
      <c r="C331" s="568"/>
      <c r="D331" s="569"/>
      <c r="E331" s="562"/>
      <c r="F331" s="573" t="s">
        <v>2584</v>
      </c>
      <c r="G331" s="574"/>
      <c r="H331" s="176"/>
      <c r="I331" s="567"/>
      <c r="J331" s="568"/>
      <c r="K331" s="569"/>
      <c r="L331" s="176"/>
      <c r="M331" s="567"/>
      <c r="N331" s="568"/>
      <c r="O331" s="569"/>
      <c r="P331" s="176"/>
      <c r="Q331" s="567"/>
      <c r="R331" s="568"/>
      <c r="S331" s="569"/>
      <c r="T331" s="176"/>
      <c r="U331" s="567"/>
      <c r="V331" s="568"/>
      <c r="W331" s="569"/>
      <c r="X331" s="171"/>
    </row>
    <row r="332" spans="1:24" ht="13.5" x14ac:dyDescent="0.25">
      <c r="A332" s="562"/>
      <c r="B332" s="567"/>
      <c r="C332" s="568"/>
      <c r="D332" s="569"/>
      <c r="E332" s="562"/>
      <c r="F332" s="573" t="s">
        <v>2585</v>
      </c>
      <c r="G332" s="574"/>
      <c r="H332" s="176"/>
      <c r="I332" s="567"/>
      <c r="J332" s="568"/>
      <c r="K332" s="569"/>
      <c r="L332" s="176"/>
      <c r="M332" s="567"/>
      <c r="N332" s="568"/>
      <c r="O332" s="569"/>
      <c r="P332" s="176"/>
      <c r="Q332" s="567"/>
      <c r="R332" s="568"/>
      <c r="S332" s="569"/>
      <c r="T332" s="176"/>
      <c r="U332" s="567"/>
      <c r="V332" s="568"/>
      <c r="W332" s="569"/>
      <c r="X332" s="171"/>
    </row>
    <row r="333" spans="1:24" ht="13.5" x14ac:dyDescent="0.25">
      <c r="A333" s="562"/>
      <c r="B333" s="567"/>
      <c r="C333" s="568"/>
      <c r="D333" s="569"/>
      <c r="E333" s="562"/>
      <c r="F333" s="573" t="s">
        <v>2586</v>
      </c>
      <c r="G333" s="574"/>
      <c r="H333" s="176"/>
      <c r="I333" s="567"/>
      <c r="J333" s="568"/>
      <c r="K333" s="569"/>
      <c r="L333" s="176"/>
      <c r="M333" s="567"/>
      <c r="N333" s="568"/>
      <c r="O333" s="569"/>
      <c r="P333" s="176"/>
      <c r="Q333" s="567"/>
      <c r="R333" s="568"/>
      <c r="S333" s="569"/>
      <c r="T333" s="176"/>
      <c r="U333" s="567"/>
      <c r="V333" s="568"/>
      <c r="W333" s="569"/>
      <c r="X333" s="171"/>
    </row>
    <row r="334" spans="1:24" ht="13.5" x14ac:dyDescent="0.25">
      <c r="A334" s="562"/>
      <c r="B334" s="567"/>
      <c r="C334" s="568"/>
      <c r="D334" s="569"/>
      <c r="E334" s="562"/>
      <c r="F334" s="573" t="s">
        <v>2587</v>
      </c>
      <c r="G334" s="574"/>
      <c r="H334" s="176"/>
      <c r="I334" s="567"/>
      <c r="J334" s="568"/>
      <c r="K334" s="569"/>
      <c r="L334" s="176"/>
      <c r="M334" s="567"/>
      <c r="N334" s="568"/>
      <c r="O334" s="569"/>
      <c r="P334" s="176"/>
      <c r="Q334" s="567"/>
      <c r="R334" s="568"/>
      <c r="S334" s="569"/>
      <c r="T334" s="176"/>
      <c r="U334" s="567"/>
      <c r="V334" s="568"/>
      <c r="W334" s="569"/>
      <c r="X334" s="171"/>
    </row>
    <row r="335" spans="1:24" ht="13.5" x14ac:dyDescent="0.25">
      <c r="A335" s="562"/>
      <c r="B335" s="567"/>
      <c r="C335" s="568"/>
      <c r="D335" s="569"/>
      <c r="E335" s="562"/>
      <c r="F335" s="573" t="s">
        <v>3188</v>
      </c>
      <c r="G335" s="574"/>
      <c r="H335" s="176"/>
      <c r="I335" s="567"/>
      <c r="J335" s="568"/>
      <c r="K335" s="569"/>
      <c r="L335" s="176"/>
      <c r="M335" s="567"/>
      <c r="N335" s="568"/>
      <c r="O335" s="569"/>
      <c r="P335" s="176"/>
      <c r="Q335" s="567"/>
      <c r="R335" s="568"/>
      <c r="S335" s="569"/>
      <c r="T335" s="176"/>
      <c r="U335" s="567"/>
      <c r="V335" s="568"/>
      <c r="W335" s="569"/>
      <c r="X335" s="171"/>
    </row>
    <row r="336" spans="1:24" ht="13.5" x14ac:dyDescent="0.25">
      <c r="A336" s="563"/>
      <c r="B336" s="570"/>
      <c r="C336" s="571"/>
      <c r="D336" s="572"/>
      <c r="E336" s="563"/>
      <c r="F336" s="573" t="s">
        <v>3189</v>
      </c>
      <c r="G336" s="574"/>
      <c r="H336" s="176"/>
      <c r="I336" s="570"/>
      <c r="J336" s="571"/>
      <c r="K336" s="572"/>
      <c r="L336" s="176"/>
      <c r="M336" s="570"/>
      <c r="N336" s="571"/>
      <c r="O336" s="572"/>
      <c r="P336" s="176"/>
      <c r="Q336" s="570"/>
      <c r="R336" s="571"/>
      <c r="S336" s="572"/>
      <c r="T336" s="176"/>
      <c r="U336" s="570"/>
      <c r="V336" s="571"/>
      <c r="W336" s="572"/>
      <c r="X336" s="171"/>
    </row>
    <row r="337" spans="1:24" ht="13.5" x14ac:dyDescent="0.25">
      <c r="A337" s="177"/>
      <c r="B337" s="178"/>
      <c r="C337" s="178"/>
      <c r="D337" s="178"/>
      <c r="E337" s="179"/>
      <c r="F337" s="173"/>
      <c r="G337" s="171"/>
      <c r="H337" s="171"/>
      <c r="I337" s="171"/>
      <c r="J337" s="171"/>
      <c r="K337" s="171"/>
      <c r="L337" s="171"/>
      <c r="M337" s="171"/>
      <c r="N337" s="171"/>
      <c r="O337" s="171"/>
      <c r="P337" s="171"/>
      <c r="Q337" s="171"/>
      <c r="R337" s="171"/>
      <c r="S337" s="171"/>
      <c r="T337" s="171"/>
      <c r="U337" s="171"/>
      <c r="V337" s="171"/>
      <c r="W337" s="171"/>
      <c r="X337" s="171"/>
    </row>
    <row r="338" spans="1:24" ht="13.5" x14ac:dyDescent="0.25">
      <c r="A338" s="578" t="s">
        <v>76</v>
      </c>
      <c r="B338" s="582"/>
      <c r="C338" s="582"/>
      <c r="D338" s="574"/>
      <c r="E338" s="174" t="s">
        <v>77</v>
      </c>
      <c r="F338" s="583" t="s">
        <v>2576</v>
      </c>
      <c r="G338" s="572"/>
      <c r="H338" s="578" t="s">
        <v>2578</v>
      </c>
      <c r="I338" s="582"/>
      <c r="J338" s="582"/>
      <c r="K338" s="574"/>
      <c r="L338" s="578" t="s">
        <v>2579</v>
      </c>
      <c r="M338" s="582"/>
      <c r="N338" s="582"/>
      <c r="O338" s="574"/>
      <c r="P338" s="586" t="s">
        <v>2580</v>
      </c>
      <c r="Q338" s="565"/>
      <c r="R338" s="565"/>
      <c r="S338" s="566"/>
      <c r="T338" s="578" t="s">
        <v>2581</v>
      </c>
      <c r="U338" s="582"/>
      <c r="V338" s="582"/>
      <c r="W338" s="574"/>
      <c r="X338" s="171"/>
    </row>
    <row r="339" spans="1:24" ht="13.5" x14ac:dyDescent="0.25">
      <c r="A339" s="561" t="s">
        <v>344</v>
      </c>
      <c r="B339" s="564" t="s">
        <v>345</v>
      </c>
      <c r="C339" s="565"/>
      <c r="D339" s="566"/>
      <c r="E339" s="561" t="s">
        <v>999</v>
      </c>
      <c r="F339" s="573" t="s">
        <v>444</v>
      </c>
      <c r="G339" s="574"/>
      <c r="H339" s="175">
        <f>+H340</f>
        <v>1</v>
      </c>
      <c r="I339" s="575"/>
      <c r="J339" s="565"/>
      <c r="K339" s="566"/>
      <c r="L339" s="176"/>
      <c r="M339" s="584" t="s">
        <v>2582</v>
      </c>
      <c r="N339" s="565"/>
      <c r="O339" s="566"/>
      <c r="P339" s="175">
        <f>+P340</f>
        <v>1</v>
      </c>
      <c r="Q339" s="584"/>
      <c r="R339" s="565"/>
      <c r="S339" s="566"/>
      <c r="T339" s="176"/>
      <c r="U339" s="584" t="s">
        <v>2582</v>
      </c>
      <c r="V339" s="565"/>
      <c r="W339" s="566"/>
      <c r="X339" s="171"/>
    </row>
    <row r="340" spans="1:24" ht="13.5" x14ac:dyDescent="0.25">
      <c r="A340" s="562"/>
      <c r="B340" s="567"/>
      <c r="C340" s="568"/>
      <c r="D340" s="569"/>
      <c r="E340" s="562"/>
      <c r="F340" s="573" t="s">
        <v>2710</v>
      </c>
      <c r="G340" s="574"/>
      <c r="H340" s="176">
        <v>1</v>
      </c>
      <c r="I340" s="567"/>
      <c r="J340" s="568"/>
      <c r="K340" s="569"/>
      <c r="L340" s="176"/>
      <c r="M340" s="567"/>
      <c r="N340" s="568"/>
      <c r="O340" s="569"/>
      <c r="P340" s="176">
        <v>1</v>
      </c>
      <c r="Q340" s="567"/>
      <c r="R340" s="568"/>
      <c r="S340" s="569"/>
      <c r="T340" s="176"/>
      <c r="U340" s="567"/>
      <c r="V340" s="568"/>
      <c r="W340" s="569"/>
      <c r="X340" s="171"/>
    </row>
    <row r="341" spans="1:24" ht="13.5" x14ac:dyDescent="0.25">
      <c r="A341" s="562"/>
      <c r="B341" s="567"/>
      <c r="C341" s="568"/>
      <c r="D341" s="569"/>
      <c r="E341" s="562"/>
      <c r="F341" s="573" t="s">
        <v>2583</v>
      </c>
      <c r="G341" s="574"/>
      <c r="H341" s="176"/>
      <c r="I341" s="567"/>
      <c r="J341" s="568"/>
      <c r="K341" s="569"/>
      <c r="L341" s="176"/>
      <c r="M341" s="567"/>
      <c r="N341" s="568"/>
      <c r="O341" s="569"/>
      <c r="P341" s="176"/>
      <c r="Q341" s="567"/>
      <c r="R341" s="568"/>
      <c r="S341" s="569"/>
      <c r="T341" s="176"/>
      <c r="U341" s="567"/>
      <c r="V341" s="568"/>
      <c r="W341" s="569"/>
      <c r="X341" s="171"/>
    </row>
    <row r="342" spans="1:24" ht="13.5" x14ac:dyDescent="0.25">
      <c r="A342" s="562"/>
      <c r="B342" s="567"/>
      <c r="C342" s="568"/>
      <c r="D342" s="569"/>
      <c r="E342" s="562"/>
      <c r="F342" s="573" t="s">
        <v>2584</v>
      </c>
      <c r="G342" s="574"/>
      <c r="H342" s="176"/>
      <c r="I342" s="567"/>
      <c r="J342" s="568"/>
      <c r="K342" s="569"/>
      <c r="L342" s="176"/>
      <c r="M342" s="567"/>
      <c r="N342" s="568"/>
      <c r="O342" s="569"/>
      <c r="P342" s="176"/>
      <c r="Q342" s="567"/>
      <c r="R342" s="568"/>
      <c r="S342" s="569"/>
      <c r="T342" s="176"/>
      <c r="U342" s="567"/>
      <c r="V342" s="568"/>
      <c r="W342" s="569"/>
      <c r="X342" s="171"/>
    </row>
    <row r="343" spans="1:24" ht="13.5" x14ac:dyDescent="0.25">
      <c r="A343" s="562"/>
      <c r="B343" s="567"/>
      <c r="C343" s="568"/>
      <c r="D343" s="569"/>
      <c r="E343" s="562"/>
      <c r="F343" s="573" t="s">
        <v>2585</v>
      </c>
      <c r="G343" s="574"/>
      <c r="H343" s="176"/>
      <c r="I343" s="567"/>
      <c r="J343" s="568"/>
      <c r="K343" s="569"/>
      <c r="L343" s="176"/>
      <c r="M343" s="567"/>
      <c r="N343" s="568"/>
      <c r="O343" s="569"/>
      <c r="P343" s="176"/>
      <c r="Q343" s="567"/>
      <c r="R343" s="568"/>
      <c r="S343" s="569"/>
      <c r="T343" s="176"/>
      <c r="U343" s="567"/>
      <c r="V343" s="568"/>
      <c r="W343" s="569"/>
      <c r="X343" s="171"/>
    </row>
    <row r="344" spans="1:24" ht="13.5" x14ac:dyDescent="0.25">
      <c r="A344" s="562"/>
      <c r="B344" s="567"/>
      <c r="C344" s="568"/>
      <c r="D344" s="569"/>
      <c r="E344" s="562"/>
      <c r="F344" s="573" t="s">
        <v>2586</v>
      </c>
      <c r="G344" s="574"/>
      <c r="H344" s="176"/>
      <c r="I344" s="567"/>
      <c r="J344" s="568"/>
      <c r="K344" s="569"/>
      <c r="L344" s="176"/>
      <c r="M344" s="567"/>
      <c r="N344" s="568"/>
      <c r="O344" s="569"/>
      <c r="P344" s="176"/>
      <c r="Q344" s="567"/>
      <c r="R344" s="568"/>
      <c r="S344" s="569"/>
      <c r="T344" s="176"/>
      <c r="U344" s="567"/>
      <c r="V344" s="568"/>
      <c r="W344" s="569"/>
      <c r="X344" s="171"/>
    </row>
    <row r="345" spans="1:24" ht="13.5" x14ac:dyDescent="0.25">
      <c r="A345" s="562"/>
      <c r="B345" s="567"/>
      <c r="C345" s="568"/>
      <c r="D345" s="569"/>
      <c r="E345" s="562"/>
      <c r="F345" s="573" t="s">
        <v>2587</v>
      </c>
      <c r="G345" s="574"/>
      <c r="H345" s="176"/>
      <c r="I345" s="567"/>
      <c r="J345" s="568"/>
      <c r="K345" s="569"/>
      <c r="L345" s="176"/>
      <c r="M345" s="567"/>
      <c r="N345" s="568"/>
      <c r="O345" s="569"/>
      <c r="P345" s="176"/>
      <c r="Q345" s="567"/>
      <c r="R345" s="568"/>
      <c r="S345" s="569"/>
      <c r="T345" s="176"/>
      <c r="U345" s="567"/>
      <c r="V345" s="568"/>
      <c r="W345" s="569"/>
      <c r="X345" s="171"/>
    </row>
    <row r="346" spans="1:24" ht="13.5" x14ac:dyDescent="0.25">
      <c r="A346" s="562"/>
      <c r="B346" s="567"/>
      <c r="C346" s="568"/>
      <c r="D346" s="569"/>
      <c r="E346" s="562"/>
      <c r="F346" s="573" t="s">
        <v>3188</v>
      </c>
      <c r="G346" s="574"/>
      <c r="H346" s="176"/>
      <c r="I346" s="567"/>
      <c r="J346" s="568"/>
      <c r="K346" s="569"/>
      <c r="L346" s="176"/>
      <c r="M346" s="567"/>
      <c r="N346" s="568"/>
      <c r="O346" s="569"/>
      <c r="P346" s="176"/>
      <c r="Q346" s="567"/>
      <c r="R346" s="568"/>
      <c r="S346" s="569"/>
      <c r="T346" s="176"/>
      <c r="U346" s="567"/>
      <c r="V346" s="568"/>
      <c r="W346" s="569"/>
      <c r="X346" s="171"/>
    </row>
    <row r="347" spans="1:24" ht="13.5" x14ac:dyDescent="0.25">
      <c r="A347" s="563"/>
      <c r="B347" s="570"/>
      <c r="C347" s="571"/>
      <c r="D347" s="572"/>
      <c r="E347" s="563"/>
      <c r="F347" s="573" t="s">
        <v>3189</v>
      </c>
      <c r="G347" s="574"/>
      <c r="H347" s="176"/>
      <c r="I347" s="570"/>
      <c r="J347" s="571"/>
      <c r="K347" s="572"/>
      <c r="L347" s="176"/>
      <c r="M347" s="570"/>
      <c r="N347" s="571"/>
      <c r="O347" s="572"/>
      <c r="P347" s="176"/>
      <c r="Q347" s="570"/>
      <c r="R347" s="571"/>
      <c r="S347" s="572"/>
      <c r="T347" s="176"/>
      <c r="U347" s="570"/>
      <c r="V347" s="571"/>
      <c r="W347" s="572"/>
      <c r="X347" s="171"/>
    </row>
    <row r="348" spans="1:24" ht="13.5" x14ac:dyDescent="0.25">
      <c r="A348" s="177"/>
      <c r="B348" s="178"/>
      <c r="C348" s="178"/>
      <c r="D348" s="178"/>
      <c r="E348" s="179"/>
      <c r="F348" s="173"/>
      <c r="G348" s="171"/>
      <c r="H348" s="171"/>
      <c r="I348" s="171"/>
      <c r="J348" s="171"/>
      <c r="K348" s="171"/>
      <c r="L348" s="171"/>
      <c r="M348" s="171"/>
      <c r="N348" s="171"/>
      <c r="O348" s="171"/>
      <c r="P348" s="171"/>
      <c r="Q348" s="171"/>
      <c r="R348" s="171"/>
      <c r="S348" s="171"/>
      <c r="T348" s="171"/>
      <c r="U348" s="171"/>
      <c r="V348" s="171"/>
      <c r="W348" s="171"/>
      <c r="X348" s="171"/>
    </row>
    <row r="349" spans="1:24" ht="13.5" x14ac:dyDescent="0.25">
      <c r="A349" s="578" t="s">
        <v>76</v>
      </c>
      <c r="B349" s="582"/>
      <c r="C349" s="582"/>
      <c r="D349" s="582"/>
      <c r="E349" s="174" t="s">
        <v>77</v>
      </c>
      <c r="F349" s="583" t="s">
        <v>2576</v>
      </c>
      <c r="G349" s="572"/>
      <c r="H349" s="578" t="s">
        <v>2578</v>
      </c>
      <c r="I349" s="582"/>
      <c r="J349" s="582"/>
      <c r="K349" s="574"/>
      <c r="L349" s="578" t="s">
        <v>2579</v>
      </c>
      <c r="M349" s="582"/>
      <c r="N349" s="582"/>
      <c r="O349" s="574"/>
      <c r="P349" s="586" t="s">
        <v>2580</v>
      </c>
      <c r="Q349" s="565"/>
      <c r="R349" s="565"/>
      <c r="S349" s="566"/>
      <c r="T349" s="578" t="s">
        <v>2581</v>
      </c>
      <c r="U349" s="582"/>
      <c r="V349" s="582"/>
      <c r="W349" s="574"/>
      <c r="X349" s="171"/>
    </row>
    <row r="350" spans="1:24" ht="13.5" x14ac:dyDescent="0.25">
      <c r="A350" s="561" t="s">
        <v>346</v>
      </c>
      <c r="B350" s="564" t="s">
        <v>347</v>
      </c>
      <c r="C350" s="565"/>
      <c r="D350" s="566"/>
      <c r="E350" s="561" t="s">
        <v>999</v>
      </c>
      <c r="F350" s="573" t="s">
        <v>444</v>
      </c>
      <c r="G350" s="574"/>
      <c r="H350" s="175">
        <f>+H351</f>
        <v>4</v>
      </c>
      <c r="I350" s="575"/>
      <c r="J350" s="565"/>
      <c r="K350" s="566"/>
      <c r="L350" s="175">
        <f>+L351</f>
        <v>6</v>
      </c>
      <c r="M350" s="575"/>
      <c r="N350" s="565"/>
      <c r="O350" s="566"/>
      <c r="P350" s="175">
        <f>+P351</f>
        <v>4</v>
      </c>
      <c r="Q350" s="584"/>
      <c r="R350" s="565"/>
      <c r="S350" s="566"/>
      <c r="T350" s="175">
        <f>+T351</f>
        <v>6</v>
      </c>
      <c r="U350" s="585"/>
      <c r="V350" s="565"/>
      <c r="W350" s="566"/>
      <c r="X350" s="171"/>
    </row>
    <row r="351" spans="1:24" ht="13.5" x14ac:dyDescent="0.25">
      <c r="A351" s="562"/>
      <c r="B351" s="567"/>
      <c r="C351" s="568"/>
      <c r="D351" s="569"/>
      <c r="E351" s="562"/>
      <c r="F351" s="573" t="s">
        <v>453</v>
      </c>
      <c r="G351" s="574"/>
      <c r="H351" s="176">
        <v>4</v>
      </c>
      <c r="I351" s="567"/>
      <c r="J351" s="568"/>
      <c r="K351" s="569"/>
      <c r="L351" s="176">
        <v>6</v>
      </c>
      <c r="M351" s="567"/>
      <c r="N351" s="568"/>
      <c r="O351" s="569"/>
      <c r="P351" s="176">
        <v>4</v>
      </c>
      <c r="Q351" s="567"/>
      <c r="R351" s="568"/>
      <c r="S351" s="569"/>
      <c r="T351" s="176">
        <v>6</v>
      </c>
      <c r="U351" s="567"/>
      <c r="V351" s="568"/>
      <c r="W351" s="569"/>
      <c r="X351" s="171"/>
    </row>
    <row r="352" spans="1:24" ht="13.5" x14ac:dyDescent="0.25">
      <c r="A352" s="562"/>
      <c r="B352" s="567"/>
      <c r="C352" s="568"/>
      <c r="D352" s="569"/>
      <c r="E352" s="562"/>
      <c r="F352" s="573" t="s">
        <v>2583</v>
      </c>
      <c r="G352" s="574"/>
      <c r="H352" s="176"/>
      <c r="I352" s="567"/>
      <c r="J352" s="568"/>
      <c r="K352" s="569"/>
      <c r="L352" s="176"/>
      <c r="M352" s="567"/>
      <c r="N352" s="568"/>
      <c r="O352" s="569"/>
      <c r="P352" s="176"/>
      <c r="Q352" s="567"/>
      <c r="R352" s="568"/>
      <c r="S352" s="569"/>
      <c r="T352" s="176"/>
      <c r="U352" s="567"/>
      <c r="V352" s="568"/>
      <c r="W352" s="569"/>
      <c r="X352" s="171"/>
    </row>
    <row r="353" spans="1:24" ht="13.5" x14ac:dyDescent="0.25">
      <c r="A353" s="562"/>
      <c r="B353" s="567"/>
      <c r="C353" s="568"/>
      <c r="D353" s="569"/>
      <c r="E353" s="562"/>
      <c r="F353" s="573" t="s">
        <v>2584</v>
      </c>
      <c r="G353" s="574"/>
      <c r="H353" s="176"/>
      <c r="I353" s="567"/>
      <c r="J353" s="568"/>
      <c r="K353" s="569"/>
      <c r="L353" s="176"/>
      <c r="M353" s="567"/>
      <c r="N353" s="568"/>
      <c r="O353" s="569"/>
      <c r="P353" s="176"/>
      <c r="Q353" s="567"/>
      <c r="R353" s="568"/>
      <c r="S353" s="569"/>
      <c r="T353" s="176"/>
      <c r="U353" s="567"/>
      <c r="V353" s="568"/>
      <c r="W353" s="569"/>
      <c r="X353" s="171"/>
    </row>
    <row r="354" spans="1:24" ht="13.5" x14ac:dyDescent="0.25">
      <c r="A354" s="562"/>
      <c r="B354" s="567"/>
      <c r="C354" s="568"/>
      <c r="D354" s="569"/>
      <c r="E354" s="562"/>
      <c r="F354" s="573" t="s">
        <v>2585</v>
      </c>
      <c r="G354" s="574"/>
      <c r="H354" s="176"/>
      <c r="I354" s="567"/>
      <c r="J354" s="568"/>
      <c r="K354" s="569"/>
      <c r="L354" s="176"/>
      <c r="M354" s="567"/>
      <c r="N354" s="568"/>
      <c r="O354" s="569"/>
      <c r="P354" s="176"/>
      <c r="Q354" s="567"/>
      <c r="R354" s="568"/>
      <c r="S354" s="569"/>
      <c r="T354" s="176"/>
      <c r="U354" s="567"/>
      <c r="V354" s="568"/>
      <c r="W354" s="569"/>
      <c r="X354" s="171"/>
    </row>
    <row r="355" spans="1:24" ht="13.5" x14ac:dyDescent="0.25">
      <c r="A355" s="562"/>
      <c r="B355" s="567"/>
      <c r="C355" s="568"/>
      <c r="D355" s="569"/>
      <c r="E355" s="562"/>
      <c r="F355" s="573" t="s">
        <v>2586</v>
      </c>
      <c r="G355" s="574"/>
      <c r="H355" s="176"/>
      <c r="I355" s="567"/>
      <c r="J355" s="568"/>
      <c r="K355" s="569"/>
      <c r="L355" s="176"/>
      <c r="M355" s="567"/>
      <c r="N355" s="568"/>
      <c r="O355" s="569"/>
      <c r="P355" s="176"/>
      <c r="Q355" s="567"/>
      <c r="R355" s="568"/>
      <c r="S355" s="569"/>
      <c r="T355" s="176"/>
      <c r="U355" s="567"/>
      <c r="V355" s="568"/>
      <c r="W355" s="569"/>
      <c r="X355" s="171"/>
    </row>
    <row r="356" spans="1:24" ht="13.5" x14ac:dyDescent="0.25">
      <c r="A356" s="562"/>
      <c r="B356" s="567"/>
      <c r="C356" s="568"/>
      <c r="D356" s="569"/>
      <c r="E356" s="562"/>
      <c r="F356" s="573" t="s">
        <v>2587</v>
      </c>
      <c r="G356" s="574"/>
      <c r="H356" s="176"/>
      <c r="I356" s="567"/>
      <c r="J356" s="568"/>
      <c r="K356" s="569"/>
      <c r="L356" s="176"/>
      <c r="M356" s="567"/>
      <c r="N356" s="568"/>
      <c r="O356" s="569"/>
      <c r="P356" s="176"/>
      <c r="Q356" s="567"/>
      <c r="R356" s="568"/>
      <c r="S356" s="569"/>
      <c r="T356" s="176"/>
      <c r="U356" s="567"/>
      <c r="V356" s="568"/>
      <c r="W356" s="569"/>
      <c r="X356" s="171"/>
    </row>
    <row r="357" spans="1:24" ht="13.5" x14ac:dyDescent="0.25">
      <c r="A357" s="562"/>
      <c r="B357" s="567"/>
      <c r="C357" s="568"/>
      <c r="D357" s="569"/>
      <c r="E357" s="562"/>
      <c r="F357" s="573" t="s">
        <v>3188</v>
      </c>
      <c r="G357" s="574"/>
      <c r="H357" s="176"/>
      <c r="I357" s="567"/>
      <c r="J357" s="568"/>
      <c r="K357" s="569"/>
      <c r="L357" s="176"/>
      <c r="M357" s="567"/>
      <c r="N357" s="568"/>
      <c r="O357" s="569"/>
      <c r="P357" s="176"/>
      <c r="Q357" s="567"/>
      <c r="R357" s="568"/>
      <c r="S357" s="569"/>
      <c r="T357" s="176"/>
      <c r="U357" s="567"/>
      <c r="V357" s="568"/>
      <c r="W357" s="569"/>
      <c r="X357" s="171"/>
    </row>
    <row r="358" spans="1:24" ht="13.5" x14ac:dyDescent="0.25">
      <c r="A358" s="563"/>
      <c r="B358" s="570"/>
      <c r="C358" s="571"/>
      <c r="D358" s="572"/>
      <c r="E358" s="563"/>
      <c r="F358" s="573" t="s">
        <v>3189</v>
      </c>
      <c r="G358" s="574"/>
      <c r="H358" s="176"/>
      <c r="I358" s="570"/>
      <c r="J358" s="571"/>
      <c r="K358" s="572"/>
      <c r="L358" s="176"/>
      <c r="M358" s="570"/>
      <c r="N358" s="571"/>
      <c r="O358" s="572"/>
      <c r="P358" s="176"/>
      <c r="Q358" s="570"/>
      <c r="R358" s="571"/>
      <c r="S358" s="572"/>
      <c r="T358" s="176"/>
      <c r="U358" s="570"/>
      <c r="V358" s="571"/>
      <c r="W358" s="572"/>
      <c r="X358" s="171"/>
    </row>
    <row r="359" spans="1:24" ht="13.5" x14ac:dyDescent="0.25">
      <c r="A359" s="171"/>
      <c r="B359" s="171"/>
      <c r="C359" s="171"/>
      <c r="D359" s="171"/>
      <c r="E359" s="171"/>
      <c r="F359" s="171"/>
      <c r="G359" s="171"/>
      <c r="H359" s="171"/>
      <c r="I359" s="171"/>
      <c r="J359" s="171"/>
      <c r="K359" s="171"/>
      <c r="L359" s="171"/>
      <c r="M359" s="171"/>
      <c r="N359" s="171"/>
      <c r="O359" s="171"/>
      <c r="P359" s="171"/>
      <c r="Q359" s="171"/>
      <c r="R359" s="171"/>
      <c r="S359" s="171"/>
      <c r="T359" s="171"/>
      <c r="U359" s="171"/>
      <c r="V359" s="171"/>
      <c r="W359" s="171"/>
      <c r="X359" s="171"/>
    </row>
    <row r="360" spans="1:24" ht="13.5" x14ac:dyDescent="0.25">
      <c r="A360" s="171"/>
      <c r="B360" s="171"/>
      <c r="C360" s="171"/>
      <c r="D360" s="171"/>
      <c r="E360" s="171"/>
      <c r="F360" s="171"/>
      <c r="G360" s="171"/>
      <c r="H360" s="171"/>
      <c r="I360" s="171"/>
      <c r="J360" s="171"/>
      <c r="K360" s="171"/>
      <c r="L360" s="171"/>
      <c r="M360" s="171"/>
      <c r="N360" s="171"/>
      <c r="O360" s="171"/>
      <c r="P360" s="171"/>
      <c r="Q360" s="171"/>
      <c r="R360" s="171"/>
      <c r="S360" s="171"/>
      <c r="T360" s="171"/>
      <c r="U360" s="171"/>
      <c r="V360" s="171"/>
      <c r="W360" s="171"/>
      <c r="X360" s="171"/>
    </row>
    <row r="361" spans="1:24" ht="13.5" x14ac:dyDescent="0.25">
      <c r="A361" s="588" t="s">
        <v>2712</v>
      </c>
      <c r="B361" s="582"/>
      <c r="C361" s="582"/>
      <c r="D361" s="574"/>
      <c r="E361" s="171"/>
      <c r="F361" s="171"/>
      <c r="G361" s="171"/>
      <c r="H361" s="171"/>
      <c r="I361" s="171"/>
      <c r="J361" s="171"/>
      <c r="K361" s="171"/>
      <c r="L361" s="171"/>
      <c r="M361" s="171"/>
      <c r="N361" s="171"/>
      <c r="O361" s="171"/>
      <c r="P361" s="171"/>
      <c r="Q361" s="171"/>
      <c r="R361" s="171"/>
      <c r="S361" s="171"/>
      <c r="T361" s="171"/>
      <c r="U361" s="171"/>
      <c r="V361" s="171"/>
      <c r="W361" s="171"/>
      <c r="X361" s="171"/>
    </row>
    <row r="362" spans="1:24" ht="13.5" x14ac:dyDescent="0.25">
      <c r="A362" s="584">
        <f>+E375+K375+L375+R375+S375+T375</f>
        <v>97.287000000000006</v>
      </c>
      <c r="B362" s="565"/>
      <c r="C362" s="565"/>
      <c r="D362" s="566"/>
      <c r="E362" s="171"/>
      <c r="F362" s="171"/>
      <c r="G362" s="171"/>
      <c r="H362" s="171"/>
      <c r="I362" s="171"/>
      <c r="J362" s="171"/>
      <c r="K362" s="171"/>
      <c r="L362" s="171"/>
      <c r="M362" s="171"/>
      <c r="N362" s="171"/>
      <c r="O362" s="171"/>
      <c r="P362" s="171"/>
      <c r="Q362" s="171"/>
      <c r="R362" s="171"/>
      <c r="S362" s="171"/>
      <c r="T362" s="171"/>
      <c r="U362" s="171"/>
      <c r="V362" s="171"/>
      <c r="W362" s="171"/>
      <c r="X362" s="171"/>
    </row>
    <row r="363" spans="1:24" ht="13.5" x14ac:dyDescent="0.25">
      <c r="A363" s="570"/>
      <c r="B363" s="571"/>
      <c r="C363" s="571"/>
      <c r="D363" s="572"/>
      <c r="E363" s="171"/>
      <c r="F363" s="171"/>
      <c r="G363" s="171"/>
      <c r="H363" s="171"/>
      <c r="I363" s="171"/>
      <c r="J363" s="171"/>
      <c r="K363" s="171"/>
      <c r="L363" s="171"/>
      <c r="M363" s="171"/>
      <c r="N363" s="171"/>
      <c r="O363" s="171"/>
      <c r="P363" s="171"/>
      <c r="Q363" s="171"/>
      <c r="R363" s="171"/>
      <c r="S363" s="171"/>
      <c r="T363" s="171"/>
      <c r="U363" s="171"/>
      <c r="V363" s="171"/>
      <c r="W363" s="171"/>
      <c r="X363" s="171"/>
    </row>
    <row r="364" spans="1:24" ht="13.5" x14ac:dyDescent="0.25">
      <c r="A364" s="171"/>
      <c r="B364" s="171"/>
      <c r="C364" s="171"/>
      <c r="D364" s="171"/>
      <c r="E364" s="171"/>
      <c r="F364" s="171"/>
      <c r="G364" s="171"/>
      <c r="H364" s="171"/>
      <c r="I364" s="171"/>
      <c r="J364" s="171"/>
      <c r="K364" s="171"/>
      <c r="L364" s="171"/>
      <c r="M364" s="171"/>
      <c r="N364" s="171"/>
      <c r="O364" s="171"/>
      <c r="P364" s="171"/>
      <c r="Q364" s="171"/>
      <c r="R364" s="171"/>
      <c r="S364" s="171"/>
      <c r="T364" s="171"/>
      <c r="U364" s="171"/>
      <c r="V364" s="171"/>
      <c r="W364" s="171"/>
      <c r="X364" s="171"/>
    </row>
    <row r="365" spans="1:24" ht="30.75" customHeight="1" x14ac:dyDescent="0.25">
      <c r="A365" s="578" t="s">
        <v>2713</v>
      </c>
      <c r="B365" s="582"/>
      <c r="C365" s="582"/>
      <c r="D365" s="582"/>
      <c r="E365" s="574"/>
      <c r="F365" s="171"/>
      <c r="G365" s="578" t="s">
        <v>2714</v>
      </c>
      <c r="H365" s="582"/>
      <c r="I365" s="582"/>
      <c r="J365" s="582"/>
      <c r="K365" s="582"/>
      <c r="L365" s="574"/>
      <c r="M365" s="171"/>
      <c r="N365" s="583" t="s">
        <v>2715</v>
      </c>
      <c r="O365" s="571"/>
      <c r="P365" s="571"/>
      <c r="Q365" s="571"/>
      <c r="R365" s="571"/>
      <c r="S365" s="571"/>
      <c r="T365" s="571"/>
      <c r="U365" s="171"/>
      <c r="V365" s="171"/>
      <c r="W365" s="171"/>
      <c r="X365" s="171"/>
    </row>
    <row r="366" spans="1:24" ht="13.5" x14ac:dyDescent="0.25">
      <c r="A366" s="584" t="s">
        <v>2582</v>
      </c>
      <c r="B366" s="565"/>
      <c r="C366" s="566"/>
      <c r="D366" s="573" t="s">
        <v>2576</v>
      </c>
      <c r="E366" s="574"/>
      <c r="F366" s="171"/>
      <c r="G366" s="584" t="s">
        <v>2582</v>
      </c>
      <c r="H366" s="565"/>
      <c r="I366" s="566"/>
      <c r="J366" s="185"/>
      <c r="K366" s="186" t="s">
        <v>2716</v>
      </c>
      <c r="L366" s="186" t="s">
        <v>2717</v>
      </c>
      <c r="M366" s="171"/>
      <c r="N366" s="584" t="s">
        <v>2582</v>
      </c>
      <c r="O366" s="565"/>
      <c r="P366" s="566"/>
      <c r="Q366" s="185"/>
      <c r="R366" s="186" t="s">
        <v>2716</v>
      </c>
      <c r="S366" s="186" t="s">
        <v>2717</v>
      </c>
      <c r="T366" s="186" t="s">
        <v>2718</v>
      </c>
      <c r="U366" s="171"/>
      <c r="V366" s="171"/>
      <c r="W366" s="171"/>
      <c r="X366" s="171"/>
    </row>
    <row r="367" spans="1:24" ht="13.5" x14ac:dyDescent="0.25">
      <c r="A367" s="567"/>
      <c r="B367" s="568"/>
      <c r="C367" s="569"/>
      <c r="D367" s="561" t="s">
        <v>2719</v>
      </c>
      <c r="E367" s="587">
        <v>3.6</v>
      </c>
      <c r="F367" s="171"/>
      <c r="G367" s="567"/>
      <c r="H367" s="568"/>
      <c r="I367" s="569"/>
      <c r="J367" s="561" t="s">
        <v>2719</v>
      </c>
      <c r="K367" s="587">
        <v>4.5999999999999996</v>
      </c>
      <c r="L367" s="587">
        <v>4.5999999999999996</v>
      </c>
      <c r="M367" s="171"/>
      <c r="N367" s="567"/>
      <c r="O367" s="568"/>
      <c r="P367" s="569"/>
      <c r="Q367" s="561" t="s">
        <v>2719</v>
      </c>
      <c r="R367" s="587">
        <v>8.8000000000000007</v>
      </c>
      <c r="S367" s="587">
        <v>8.8000000000000007</v>
      </c>
      <c r="T367" s="587">
        <v>6</v>
      </c>
      <c r="U367" s="171"/>
      <c r="V367" s="171"/>
      <c r="W367" s="171"/>
      <c r="X367" s="171"/>
    </row>
    <row r="368" spans="1:24" ht="13.5" x14ac:dyDescent="0.25">
      <c r="A368" s="567"/>
      <c r="B368" s="568"/>
      <c r="C368" s="569"/>
      <c r="D368" s="563"/>
      <c r="E368" s="563"/>
      <c r="F368" s="171"/>
      <c r="G368" s="567"/>
      <c r="H368" s="568"/>
      <c r="I368" s="569"/>
      <c r="J368" s="563"/>
      <c r="K368" s="563"/>
      <c r="L368" s="563"/>
      <c r="M368" s="171"/>
      <c r="N368" s="567"/>
      <c r="O368" s="568"/>
      <c r="P368" s="569"/>
      <c r="Q368" s="563"/>
      <c r="R368" s="563"/>
      <c r="S368" s="563"/>
      <c r="T368" s="563"/>
      <c r="U368" s="171"/>
      <c r="V368" s="171"/>
      <c r="W368" s="171"/>
      <c r="X368" s="171"/>
    </row>
    <row r="369" spans="1:24" ht="13.5" x14ac:dyDescent="0.25">
      <c r="A369" s="567"/>
      <c r="B369" s="568"/>
      <c r="C369" s="569"/>
      <c r="D369" s="561" t="s">
        <v>2720</v>
      </c>
      <c r="E369" s="587">
        <v>2</v>
      </c>
      <c r="F369" s="171"/>
      <c r="G369" s="567"/>
      <c r="H369" s="568"/>
      <c r="I369" s="569"/>
      <c r="J369" s="561" t="s">
        <v>2720</v>
      </c>
      <c r="K369" s="587">
        <v>2.5</v>
      </c>
      <c r="L369" s="587">
        <v>2.2999999999999998</v>
      </c>
      <c r="M369" s="171"/>
      <c r="N369" s="567"/>
      <c r="O369" s="568"/>
      <c r="P369" s="569"/>
      <c r="Q369" s="561" t="s">
        <v>2720</v>
      </c>
      <c r="R369" s="587">
        <v>2.5499999999999998</v>
      </c>
      <c r="S369" s="587">
        <v>6.25</v>
      </c>
      <c r="T369" s="587"/>
      <c r="U369" s="171"/>
      <c r="V369" s="171"/>
      <c r="W369" s="171"/>
      <c r="X369" s="171"/>
    </row>
    <row r="370" spans="1:24" ht="13.5" x14ac:dyDescent="0.25">
      <c r="A370" s="567"/>
      <c r="B370" s="568"/>
      <c r="C370" s="569"/>
      <c r="D370" s="563"/>
      <c r="E370" s="563"/>
      <c r="F370" s="171"/>
      <c r="G370" s="567"/>
      <c r="H370" s="568"/>
      <c r="I370" s="569"/>
      <c r="J370" s="563"/>
      <c r="K370" s="563"/>
      <c r="L370" s="563"/>
      <c r="M370" s="171"/>
      <c r="N370" s="567"/>
      <c r="O370" s="568"/>
      <c r="P370" s="569"/>
      <c r="Q370" s="563"/>
      <c r="R370" s="563"/>
      <c r="S370" s="563"/>
      <c r="T370" s="563"/>
      <c r="U370" s="171"/>
      <c r="V370" s="171"/>
      <c r="W370" s="171"/>
      <c r="X370" s="171"/>
    </row>
    <row r="371" spans="1:24" ht="13.5" x14ac:dyDescent="0.25">
      <c r="A371" s="567"/>
      <c r="B371" s="568"/>
      <c r="C371" s="569"/>
      <c r="D371" s="561" t="s">
        <v>2721</v>
      </c>
      <c r="E371" s="587">
        <v>1.9</v>
      </c>
      <c r="F371" s="171"/>
      <c r="G371" s="567"/>
      <c r="H371" s="568"/>
      <c r="I371" s="569"/>
      <c r="J371" s="561" t="s">
        <v>2721</v>
      </c>
      <c r="K371" s="587">
        <v>5.4</v>
      </c>
      <c r="L371" s="587">
        <v>5</v>
      </c>
      <c r="M371" s="171"/>
      <c r="N371" s="567"/>
      <c r="O371" s="568"/>
      <c r="P371" s="569"/>
      <c r="Q371" s="561" t="s">
        <v>2721</v>
      </c>
      <c r="R371" s="587">
        <v>5.4</v>
      </c>
      <c r="S371" s="587">
        <v>4.7</v>
      </c>
      <c r="T371" s="587">
        <v>5</v>
      </c>
      <c r="U371" s="171"/>
      <c r="V371" s="171"/>
      <c r="W371" s="171"/>
      <c r="X371" s="171"/>
    </row>
    <row r="372" spans="1:24" ht="13.5" x14ac:dyDescent="0.25">
      <c r="A372" s="567"/>
      <c r="B372" s="568"/>
      <c r="C372" s="569"/>
      <c r="D372" s="563"/>
      <c r="E372" s="563"/>
      <c r="F372" s="171"/>
      <c r="G372" s="567"/>
      <c r="H372" s="568"/>
      <c r="I372" s="569"/>
      <c r="J372" s="563"/>
      <c r="K372" s="563"/>
      <c r="L372" s="563"/>
      <c r="M372" s="171"/>
      <c r="N372" s="567"/>
      <c r="O372" s="568"/>
      <c r="P372" s="569"/>
      <c r="Q372" s="563"/>
      <c r="R372" s="563"/>
      <c r="S372" s="563"/>
      <c r="T372" s="563"/>
      <c r="U372" s="171"/>
      <c r="V372" s="171"/>
      <c r="W372" s="171"/>
      <c r="X372" s="171"/>
    </row>
    <row r="373" spans="1:24" ht="13.5" x14ac:dyDescent="0.25">
      <c r="A373" s="567"/>
      <c r="B373" s="568"/>
      <c r="C373" s="569"/>
      <c r="D373" s="561" t="s">
        <v>2722</v>
      </c>
      <c r="E373" s="587">
        <v>0.3</v>
      </c>
      <c r="F373" s="171"/>
      <c r="G373" s="567"/>
      <c r="H373" s="568"/>
      <c r="I373" s="569"/>
      <c r="J373" s="561" t="s">
        <v>2722</v>
      </c>
      <c r="K373" s="587">
        <v>0.3</v>
      </c>
      <c r="L373" s="587">
        <v>0.3</v>
      </c>
      <c r="M373" s="171"/>
      <c r="N373" s="567"/>
      <c r="O373" s="568"/>
      <c r="P373" s="569"/>
      <c r="Q373" s="561" t="s">
        <v>2722</v>
      </c>
      <c r="R373" s="587">
        <v>0.3</v>
      </c>
      <c r="S373" s="587">
        <v>0.3</v>
      </c>
      <c r="T373" s="587">
        <v>0.3</v>
      </c>
      <c r="U373" s="171"/>
      <c r="V373" s="171"/>
      <c r="W373" s="171"/>
      <c r="X373" s="171"/>
    </row>
    <row r="374" spans="1:24" ht="13.5" x14ac:dyDescent="0.25">
      <c r="A374" s="567"/>
      <c r="B374" s="568"/>
      <c r="C374" s="569"/>
      <c r="D374" s="563"/>
      <c r="E374" s="563"/>
      <c r="F374" s="171"/>
      <c r="G374" s="567"/>
      <c r="H374" s="568"/>
      <c r="I374" s="569"/>
      <c r="J374" s="563"/>
      <c r="K374" s="563"/>
      <c r="L374" s="563"/>
      <c r="M374" s="171"/>
      <c r="N374" s="567"/>
      <c r="O374" s="568"/>
      <c r="P374" s="569"/>
      <c r="Q374" s="563"/>
      <c r="R374" s="563"/>
      <c r="S374" s="563"/>
      <c r="T374" s="563"/>
      <c r="U374" s="171"/>
      <c r="V374" s="171"/>
      <c r="W374" s="171"/>
      <c r="X374" s="171"/>
    </row>
    <row r="375" spans="1:24" ht="13.5" x14ac:dyDescent="0.25">
      <c r="A375" s="567"/>
      <c r="B375" s="568"/>
      <c r="C375" s="569"/>
      <c r="D375" s="590" t="s">
        <v>445</v>
      </c>
      <c r="E375" s="589">
        <f>+(E367+E367+E369+E369)*E371*E373</f>
        <v>6.3839999999999995</v>
      </c>
      <c r="F375" s="171"/>
      <c r="G375" s="567"/>
      <c r="H375" s="568"/>
      <c r="I375" s="569"/>
      <c r="J375" s="590" t="s">
        <v>445</v>
      </c>
      <c r="K375" s="589">
        <f>+(K367+K369+K369)*K371*K373</f>
        <v>15.552</v>
      </c>
      <c r="L375" s="589">
        <f>+(L367+L369+L369)*L371*L373</f>
        <v>13.799999999999999</v>
      </c>
      <c r="M375" s="171"/>
      <c r="N375" s="567"/>
      <c r="O375" s="568"/>
      <c r="P375" s="569"/>
      <c r="Q375" s="590" t="s">
        <v>445</v>
      </c>
      <c r="R375" s="589">
        <f>+(R367+R369+R369)*R371*R373</f>
        <v>22.518000000000004</v>
      </c>
      <c r="S375" s="589">
        <f>+(S367+S369+S369)*S371*S373</f>
        <v>30.033000000000001</v>
      </c>
      <c r="T375" s="589">
        <f>+(T367+T369+T369)*T371*T373</f>
        <v>9</v>
      </c>
      <c r="U375" s="171"/>
      <c r="V375" s="171"/>
      <c r="W375" s="171"/>
      <c r="X375" s="171"/>
    </row>
    <row r="376" spans="1:24" ht="13.5" x14ac:dyDescent="0.25">
      <c r="A376" s="570"/>
      <c r="B376" s="571"/>
      <c r="C376" s="572"/>
      <c r="D376" s="563"/>
      <c r="E376" s="563"/>
      <c r="F376" s="171"/>
      <c r="G376" s="570"/>
      <c r="H376" s="571"/>
      <c r="I376" s="572"/>
      <c r="J376" s="563"/>
      <c r="K376" s="563"/>
      <c r="L376" s="563"/>
      <c r="M376" s="171"/>
      <c r="N376" s="570"/>
      <c r="O376" s="571"/>
      <c r="P376" s="572"/>
      <c r="Q376" s="563"/>
      <c r="R376" s="563"/>
      <c r="S376" s="563"/>
      <c r="T376" s="563"/>
      <c r="U376" s="171"/>
      <c r="V376" s="171"/>
      <c r="W376" s="171"/>
      <c r="X376" s="171"/>
    </row>
    <row r="377" spans="1:24" ht="13.5" x14ac:dyDescent="0.25">
      <c r="A377" s="171"/>
      <c r="B377" s="171"/>
      <c r="C377" s="171"/>
      <c r="D377" s="171"/>
      <c r="E377" s="171"/>
      <c r="F377" s="171"/>
      <c r="G377" s="171"/>
      <c r="H377" s="171"/>
      <c r="I377" s="171"/>
      <c r="J377" s="171"/>
      <c r="K377" s="171"/>
      <c r="L377" s="171"/>
      <c r="M377" s="171"/>
      <c r="N377" s="171"/>
      <c r="O377" s="171"/>
      <c r="P377" s="171"/>
      <c r="Q377" s="171"/>
      <c r="R377" s="171"/>
      <c r="S377" s="171"/>
      <c r="T377" s="171"/>
      <c r="U377" s="171"/>
      <c r="V377" s="171"/>
      <c r="W377" s="171"/>
      <c r="X377" s="171"/>
    </row>
    <row r="378" spans="1:24" ht="13.5" x14ac:dyDescent="0.25">
      <c r="A378" s="171"/>
      <c r="B378" s="171"/>
      <c r="C378" s="171"/>
      <c r="D378" s="171"/>
      <c r="E378" s="171"/>
      <c r="F378" s="171"/>
      <c r="G378" s="171"/>
      <c r="H378" s="171"/>
      <c r="I378" s="171"/>
      <c r="J378" s="171"/>
      <c r="K378" s="171"/>
      <c r="L378" s="171"/>
      <c r="M378" s="171"/>
      <c r="N378" s="171"/>
      <c r="O378" s="171"/>
      <c r="P378" s="171"/>
      <c r="Q378" s="171"/>
      <c r="R378" s="171"/>
      <c r="S378" s="171"/>
      <c r="T378" s="171"/>
      <c r="U378" s="171"/>
      <c r="V378" s="171"/>
      <c r="W378" s="171"/>
      <c r="X378" s="171"/>
    </row>
    <row r="379" spans="1:24" ht="13.5" x14ac:dyDescent="0.25">
      <c r="A379" s="578" t="s">
        <v>2723</v>
      </c>
      <c r="B379" s="582"/>
      <c r="C379" s="582"/>
      <c r="D379" s="574"/>
      <c r="E379" s="171"/>
      <c r="F379" s="171"/>
      <c r="G379" s="171"/>
      <c r="H379" s="171"/>
      <c r="I379" s="171"/>
      <c r="J379" s="171"/>
      <c r="K379" s="171"/>
      <c r="L379" s="171"/>
      <c r="M379" s="171"/>
      <c r="N379" s="171"/>
      <c r="O379" s="171"/>
      <c r="P379" s="171"/>
      <c r="Q379" s="171"/>
      <c r="R379" s="171"/>
      <c r="S379" s="171"/>
      <c r="T379" s="171"/>
      <c r="U379" s="171"/>
      <c r="V379" s="171"/>
      <c r="W379" s="171"/>
      <c r="X379" s="171"/>
    </row>
    <row r="380" spans="1:24" ht="13.5" x14ac:dyDescent="0.25">
      <c r="A380" s="584">
        <f>+E393+K393+R393+S393+T393</f>
        <v>42.23899999999999</v>
      </c>
      <c r="B380" s="565"/>
      <c r="C380" s="565"/>
      <c r="D380" s="566"/>
      <c r="E380" s="171"/>
      <c r="F380" s="171"/>
      <c r="G380" s="171"/>
      <c r="H380" s="171"/>
      <c r="I380" s="171"/>
      <c r="J380" s="171"/>
      <c r="K380" s="171"/>
      <c r="L380" s="171"/>
      <c r="M380" s="171"/>
      <c r="N380" s="171"/>
      <c r="O380" s="171"/>
      <c r="P380" s="171"/>
      <c r="Q380" s="171"/>
      <c r="R380" s="171"/>
      <c r="S380" s="171"/>
      <c r="T380" s="171"/>
      <c r="U380" s="171"/>
      <c r="V380" s="171"/>
      <c r="W380" s="171"/>
      <c r="X380" s="171"/>
    </row>
    <row r="381" spans="1:24" ht="13.5" x14ac:dyDescent="0.25">
      <c r="A381" s="570"/>
      <c r="B381" s="571"/>
      <c r="C381" s="571"/>
      <c r="D381" s="572"/>
      <c r="E381" s="171"/>
      <c r="F381" s="171"/>
      <c r="G381" s="171"/>
      <c r="H381" s="171"/>
      <c r="I381" s="171"/>
      <c r="J381" s="171"/>
      <c r="K381" s="171"/>
      <c r="L381" s="171"/>
      <c r="M381" s="171"/>
      <c r="N381" s="171"/>
      <c r="O381" s="171"/>
      <c r="P381" s="171"/>
      <c r="Q381" s="171"/>
      <c r="R381" s="171"/>
      <c r="S381" s="171"/>
      <c r="T381" s="171"/>
      <c r="U381" s="171"/>
      <c r="V381" s="171"/>
      <c r="W381" s="171"/>
      <c r="X381" s="171"/>
    </row>
    <row r="382" spans="1:24" ht="13.5" x14ac:dyDescent="0.25">
      <c r="A382" s="171"/>
      <c r="B382" s="171"/>
      <c r="C382" s="171"/>
      <c r="D382" s="171"/>
      <c r="E382" s="171"/>
      <c r="F382" s="171"/>
      <c r="G382" s="171"/>
      <c r="H382" s="171"/>
      <c r="I382" s="171"/>
      <c r="J382" s="171"/>
      <c r="K382" s="171"/>
      <c r="L382" s="171"/>
      <c r="M382" s="171"/>
      <c r="N382" s="171"/>
      <c r="O382" s="171"/>
      <c r="P382" s="171"/>
      <c r="Q382" s="171"/>
      <c r="R382" s="171"/>
      <c r="S382" s="171"/>
      <c r="T382" s="171"/>
      <c r="U382" s="171"/>
      <c r="V382" s="171"/>
      <c r="W382" s="171"/>
      <c r="X382" s="171"/>
    </row>
    <row r="383" spans="1:24" ht="13.5" x14ac:dyDescent="0.25">
      <c r="A383" s="578" t="s">
        <v>2724</v>
      </c>
      <c r="B383" s="582"/>
      <c r="C383" s="582"/>
      <c r="D383" s="582"/>
      <c r="E383" s="574"/>
      <c r="F383" s="171"/>
      <c r="G383" s="592" t="s">
        <v>2725</v>
      </c>
      <c r="H383" s="577"/>
      <c r="I383" s="577"/>
      <c r="J383" s="577"/>
      <c r="K383" s="577"/>
      <c r="L383" s="577"/>
      <c r="M383" s="171"/>
      <c r="N383" s="583" t="s">
        <v>2726</v>
      </c>
      <c r="O383" s="571"/>
      <c r="P383" s="571"/>
      <c r="Q383" s="571"/>
      <c r="R383" s="571"/>
      <c r="S383" s="571"/>
      <c r="T383" s="571"/>
      <c r="U383" s="171"/>
      <c r="V383" s="171"/>
      <c r="W383" s="171"/>
      <c r="X383" s="171"/>
    </row>
    <row r="384" spans="1:24" ht="13.5" x14ac:dyDescent="0.25">
      <c r="A384" s="584" t="s">
        <v>2582</v>
      </c>
      <c r="B384" s="565"/>
      <c r="C384" s="566"/>
      <c r="D384" s="573" t="s">
        <v>2576</v>
      </c>
      <c r="E384" s="574"/>
      <c r="F384" s="171"/>
      <c r="G384" s="584" t="s">
        <v>2582</v>
      </c>
      <c r="H384" s="565"/>
      <c r="I384" s="566"/>
      <c r="J384" s="591" t="s">
        <v>2576</v>
      </c>
      <c r="K384" s="571"/>
      <c r="L384" s="571"/>
      <c r="M384" s="171"/>
      <c r="N384" s="584" t="s">
        <v>2582</v>
      </c>
      <c r="O384" s="565"/>
      <c r="P384" s="566"/>
      <c r="Q384" s="185"/>
      <c r="R384" s="186" t="s">
        <v>2716</v>
      </c>
      <c r="S384" s="186" t="s">
        <v>2717</v>
      </c>
      <c r="T384" s="186" t="s">
        <v>2718</v>
      </c>
      <c r="U384" s="171"/>
      <c r="V384" s="171"/>
      <c r="W384" s="171"/>
      <c r="X384" s="171"/>
    </row>
    <row r="385" spans="1:24" ht="13.5" x14ac:dyDescent="0.25">
      <c r="A385" s="567"/>
      <c r="B385" s="568"/>
      <c r="C385" s="569"/>
      <c r="D385" s="561" t="s">
        <v>2719</v>
      </c>
      <c r="E385" s="587">
        <v>2</v>
      </c>
      <c r="F385" s="171"/>
      <c r="G385" s="567"/>
      <c r="H385" s="568"/>
      <c r="I385" s="569"/>
      <c r="J385" s="561" t="s">
        <v>2719</v>
      </c>
      <c r="K385" s="575">
        <v>3</v>
      </c>
      <c r="L385" s="566"/>
      <c r="M385" s="171"/>
      <c r="N385" s="567"/>
      <c r="O385" s="568"/>
      <c r="P385" s="569"/>
      <c r="Q385" s="561" t="s">
        <v>2719</v>
      </c>
      <c r="R385" s="587">
        <v>5.6</v>
      </c>
      <c r="S385" s="587">
        <v>3</v>
      </c>
      <c r="T385" s="587">
        <v>6.2</v>
      </c>
      <c r="U385" s="171"/>
      <c r="V385" s="171"/>
      <c r="W385" s="171"/>
      <c r="X385" s="171"/>
    </row>
    <row r="386" spans="1:24" ht="13.5" x14ac:dyDescent="0.25">
      <c r="A386" s="567"/>
      <c r="B386" s="568"/>
      <c r="C386" s="569"/>
      <c r="D386" s="563"/>
      <c r="E386" s="563"/>
      <c r="F386" s="171"/>
      <c r="G386" s="567"/>
      <c r="H386" s="568"/>
      <c r="I386" s="569"/>
      <c r="J386" s="563"/>
      <c r="K386" s="570"/>
      <c r="L386" s="572"/>
      <c r="M386" s="171"/>
      <c r="N386" s="567"/>
      <c r="O386" s="568"/>
      <c r="P386" s="569"/>
      <c r="Q386" s="563"/>
      <c r="R386" s="563"/>
      <c r="S386" s="563"/>
      <c r="T386" s="563"/>
      <c r="U386" s="171"/>
      <c r="V386" s="171"/>
      <c r="W386" s="171"/>
      <c r="X386" s="171"/>
    </row>
    <row r="387" spans="1:24" ht="13.5" x14ac:dyDescent="0.25">
      <c r="A387" s="567"/>
      <c r="B387" s="568"/>
      <c r="C387" s="569"/>
      <c r="D387" s="561" t="s">
        <v>2720</v>
      </c>
      <c r="E387" s="587">
        <v>2.9</v>
      </c>
      <c r="F387" s="171"/>
      <c r="G387" s="567"/>
      <c r="H387" s="568"/>
      <c r="I387" s="569"/>
      <c r="J387" s="561" t="s">
        <v>2720</v>
      </c>
      <c r="K387" s="575">
        <v>4.5</v>
      </c>
      <c r="L387" s="566"/>
      <c r="M387" s="171"/>
      <c r="N387" s="567"/>
      <c r="O387" s="568"/>
      <c r="P387" s="569"/>
      <c r="Q387" s="561" t="s">
        <v>2720</v>
      </c>
      <c r="R387" s="587">
        <v>8.6</v>
      </c>
      <c r="S387" s="587">
        <v>5.6</v>
      </c>
      <c r="T387" s="587"/>
      <c r="U387" s="171"/>
      <c r="V387" s="171"/>
      <c r="W387" s="171"/>
      <c r="X387" s="171"/>
    </row>
    <row r="388" spans="1:24" ht="13.5" x14ac:dyDescent="0.25">
      <c r="A388" s="567"/>
      <c r="B388" s="568"/>
      <c r="C388" s="569"/>
      <c r="D388" s="563"/>
      <c r="E388" s="563"/>
      <c r="F388" s="171"/>
      <c r="G388" s="567"/>
      <c r="H388" s="568"/>
      <c r="I388" s="569"/>
      <c r="J388" s="563"/>
      <c r="K388" s="570"/>
      <c r="L388" s="572"/>
      <c r="M388" s="171"/>
      <c r="N388" s="567"/>
      <c r="O388" s="568"/>
      <c r="P388" s="569"/>
      <c r="Q388" s="563"/>
      <c r="R388" s="563"/>
      <c r="S388" s="563"/>
      <c r="T388" s="563"/>
      <c r="U388" s="171"/>
      <c r="V388" s="171"/>
      <c r="W388" s="171"/>
      <c r="X388" s="171"/>
    </row>
    <row r="389" spans="1:24" ht="13.5" x14ac:dyDescent="0.25">
      <c r="A389" s="567"/>
      <c r="B389" s="568"/>
      <c r="C389" s="569"/>
      <c r="D389" s="561" t="s">
        <v>2721</v>
      </c>
      <c r="E389" s="587">
        <v>1</v>
      </c>
      <c r="F389" s="171"/>
      <c r="G389" s="567"/>
      <c r="H389" s="568"/>
      <c r="I389" s="569"/>
      <c r="J389" s="561" t="s">
        <v>2721</v>
      </c>
      <c r="K389" s="575">
        <v>1</v>
      </c>
      <c r="L389" s="566"/>
      <c r="M389" s="171"/>
      <c r="N389" s="567"/>
      <c r="O389" s="568"/>
      <c r="P389" s="569"/>
      <c r="Q389" s="561" t="s">
        <v>2721</v>
      </c>
      <c r="R389" s="587">
        <v>2.95</v>
      </c>
      <c r="S389" s="587">
        <v>3.6</v>
      </c>
      <c r="T389" s="587">
        <v>3.6</v>
      </c>
      <c r="U389" s="171"/>
      <c r="V389" s="171"/>
      <c r="W389" s="171"/>
      <c r="X389" s="171"/>
    </row>
    <row r="390" spans="1:24" ht="13.5" x14ac:dyDescent="0.25">
      <c r="A390" s="567"/>
      <c r="B390" s="568"/>
      <c r="C390" s="569"/>
      <c r="D390" s="563"/>
      <c r="E390" s="563"/>
      <c r="F390" s="171"/>
      <c r="G390" s="567"/>
      <c r="H390" s="568"/>
      <c r="I390" s="569"/>
      <c r="J390" s="563"/>
      <c r="K390" s="570"/>
      <c r="L390" s="572"/>
      <c r="M390" s="171"/>
      <c r="N390" s="567"/>
      <c r="O390" s="568"/>
      <c r="P390" s="569"/>
      <c r="Q390" s="563"/>
      <c r="R390" s="563"/>
      <c r="S390" s="563"/>
      <c r="T390" s="563"/>
      <c r="U390" s="171"/>
      <c r="V390" s="171"/>
      <c r="W390" s="171"/>
      <c r="X390" s="171"/>
    </row>
    <row r="391" spans="1:24" ht="13.5" x14ac:dyDescent="0.25">
      <c r="A391" s="567"/>
      <c r="B391" s="568"/>
      <c r="C391" s="569"/>
      <c r="D391" s="561" t="s">
        <v>2722</v>
      </c>
      <c r="E391" s="587">
        <v>0.25</v>
      </c>
      <c r="F391" s="171"/>
      <c r="G391" s="567"/>
      <c r="H391" s="568"/>
      <c r="I391" s="569"/>
      <c r="J391" s="561" t="s">
        <v>2722</v>
      </c>
      <c r="K391" s="575">
        <v>0.25</v>
      </c>
      <c r="L391" s="566"/>
      <c r="M391" s="171"/>
      <c r="N391" s="567"/>
      <c r="O391" s="568"/>
      <c r="P391" s="569"/>
      <c r="Q391" s="561" t="s">
        <v>2722</v>
      </c>
      <c r="R391" s="587">
        <v>0.25</v>
      </c>
      <c r="S391" s="587">
        <v>0.3</v>
      </c>
      <c r="T391" s="587">
        <v>0.3</v>
      </c>
      <c r="U391" s="171"/>
      <c r="V391" s="171"/>
      <c r="W391" s="171"/>
      <c r="X391" s="171"/>
    </row>
    <row r="392" spans="1:24" ht="13.5" x14ac:dyDescent="0.25">
      <c r="A392" s="567"/>
      <c r="B392" s="568"/>
      <c r="C392" s="569"/>
      <c r="D392" s="563"/>
      <c r="E392" s="563"/>
      <c r="F392" s="171"/>
      <c r="G392" s="567"/>
      <c r="H392" s="568"/>
      <c r="I392" s="569"/>
      <c r="J392" s="563"/>
      <c r="K392" s="570"/>
      <c r="L392" s="572"/>
      <c r="M392" s="171"/>
      <c r="N392" s="567"/>
      <c r="O392" s="568"/>
      <c r="P392" s="569"/>
      <c r="Q392" s="563"/>
      <c r="R392" s="563"/>
      <c r="S392" s="563"/>
      <c r="T392" s="563"/>
      <c r="U392" s="171"/>
      <c r="V392" s="171"/>
      <c r="W392" s="171"/>
      <c r="X392" s="171"/>
    </row>
    <row r="393" spans="1:24" ht="13.5" x14ac:dyDescent="0.25">
      <c r="A393" s="567"/>
      <c r="B393" s="568"/>
      <c r="C393" s="569"/>
      <c r="D393" s="590" t="s">
        <v>445</v>
      </c>
      <c r="E393" s="589">
        <f>+(E385+E385+E387+E387)*E389*E391</f>
        <v>2.4500000000000002</v>
      </c>
      <c r="F393" s="171"/>
      <c r="G393" s="567"/>
      <c r="H393" s="568"/>
      <c r="I393" s="569"/>
      <c r="J393" s="590" t="s">
        <v>445</v>
      </c>
      <c r="K393" s="584">
        <f>+(K385+K385+K387+K387)*K389*K391</f>
        <v>3.75</v>
      </c>
      <c r="L393" s="566"/>
      <c r="M393" s="171"/>
      <c r="N393" s="567"/>
      <c r="O393" s="568"/>
      <c r="P393" s="569"/>
      <c r="Q393" s="590" t="s">
        <v>445</v>
      </c>
      <c r="R393" s="589">
        <f>+(R385+R387+R387)*R389*R391</f>
        <v>16.814999999999998</v>
      </c>
      <c r="S393" s="589">
        <f>+(S385+S385+S387)*S389*S391</f>
        <v>12.527999999999999</v>
      </c>
      <c r="T393" s="589">
        <f>+T385*T389*T391</f>
        <v>6.6959999999999997</v>
      </c>
      <c r="U393" s="171"/>
      <c r="V393" s="171"/>
      <c r="W393" s="171"/>
      <c r="X393" s="171"/>
    </row>
    <row r="394" spans="1:24" ht="13.5" x14ac:dyDescent="0.25">
      <c r="A394" s="570"/>
      <c r="B394" s="571"/>
      <c r="C394" s="572"/>
      <c r="D394" s="563"/>
      <c r="E394" s="563"/>
      <c r="F394" s="171"/>
      <c r="G394" s="570"/>
      <c r="H394" s="571"/>
      <c r="I394" s="572"/>
      <c r="J394" s="563"/>
      <c r="K394" s="570"/>
      <c r="L394" s="572"/>
      <c r="M394" s="171"/>
      <c r="N394" s="570"/>
      <c r="O394" s="571"/>
      <c r="P394" s="572"/>
      <c r="Q394" s="563"/>
      <c r="R394" s="563"/>
      <c r="S394" s="563"/>
      <c r="T394" s="563"/>
      <c r="U394" s="171"/>
      <c r="V394" s="171"/>
      <c r="W394" s="171"/>
      <c r="X394" s="171"/>
    </row>
    <row r="395" spans="1:24" ht="13.5" x14ac:dyDescent="0.25">
      <c r="A395" s="171"/>
      <c r="B395" s="171"/>
      <c r="C395" s="171"/>
      <c r="D395" s="171"/>
      <c r="E395" s="171"/>
      <c r="F395" s="171"/>
      <c r="G395" s="171"/>
      <c r="H395" s="171"/>
      <c r="I395" s="171"/>
      <c r="J395" s="171"/>
      <c r="K395" s="171"/>
      <c r="L395" s="171"/>
      <c r="M395" s="171"/>
      <c r="N395" s="171"/>
      <c r="O395" s="171"/>
      <c r="P395" s="171"/>
      <c r="Q395" s="171"/>
      <c r="R395" s="171"/>
      <c r="S395" s="171"/>
      <c r="T395" s="171"/>
      <c r="U395" s="171"/>
      <c r="V395" s="171"/>
      <c r="W395" s="171"/>
      <c r="X395" s="171"/>
    </row>
    <row r="396" spans="1:24" ht="13.5" x14ac:dyDescent="0.25">
      <c r="A396" s="171"/>
      <c r="B396" s="171"/>
      <c r="C396" s="171"/>
      <c r="D396" s="171"/>
      <c r="E396" s="171"/>
      <c r="F396" s="171"/>
      <c r="G396" s="171"/>
      <c r="H396" s="171"/>
      <c r="I396" s="171"/>
      <c r="J396" s="171"/>
      <c r="K396" s="171"/>
      <c r="L396" s="171"/>
      <c r="M396" s="171"/>
      <c r="N396" s="171"/>
      <c r="O396" s="171"/>
      <c r="P396" s="171"/>
      <c r="Q396" s="171"/>
      <c r="R396" s="171"/>
      <c r="S396" s="171"/>
      <c r="T396" s="171"/>
      <c r="U396" s="171"/>
      <c r="V396" s="171"/>
      <c r="W396" s="171"/>
      <c r="X396" s="171"/>
    </row>
    <row r="397" spans="1:24" ht="13.5" x14ac:dyDescent="0.25">
      <c r="A397" s="578" t="s">
        <v>2727</v>
      </c>
      <c r="B397" s="582"/>
      <c r="C397" s="582"/>
      <c r="D397" s="574"/>
      <c r="E397" s="171"/>
      <c r="F397" s="171"/>
      <c r="G397" s="171"/>
      <c r="H397" s="171"/>
      <c r="I397" s="171"/>
      <c r="J397" s="171"/>
      <c r="K397" s="171"/>
      <c r="L397" s="171"/>
      <c r="M397" s="171"/>
      <c r="N397" s="171"/>
      <c r="O397" s="171"/>
      <c r="P397" s="171"/>
      <c r="Q397" s="171"/>
      <c r="R397" s="171"/>
      <c r="S397" s="171"/>
      <c r="T397" s="171"/>
      <c r="U397" s="171"/>
      <c r="V397" s="171"/>
      <c r="W397" s="171"/>
      <c r="X397" s="171"/>
    </row>
    <row r="398" spans="1:24" ht="13.5" x14ac:dyDescent="0.25">
      <c r="A398" s="584">
        <f>+E411+K411+R411+S411</f>
        <v>17.739250000000002</v>
      </c>
      <c r="B398" s="565"/>
      <c r="C398" s="565"/>
      <c r="D398" s="566"/>
      <c r="E398" s="171"/>
      <c r="F398" s="171"/>
      <c r="G398" s="171"/>
      <c r="H398" s="171"/>
      <c r="I398" s="171"/>
      <c r="J398" s="171"/>
      <c r="K398" s="171"/>
      <c r="L398" s="171"/>
      <c r="M398" s="171"/>
      <c r="N398" s="171"/>
      <c r="O398" s="171"/>
      <c r="P398" s="171"/>
      <c r="Q398" s="171"/>
      <c r="R398" s="171"/>
      <c r="S398" s="171"/>
      <c r="T398" s="171"/>
      <c r="U398" s="171"/>
      <c r="V398" s="171"/>
      <c r="W398" s="171"/>
      <c r="X398" s="171"/>
    </row>
    <row r="399" spans="1:24" ht="13.5" x14ac:dyDescent="0.25">
      <c r="A399" s="570"/>
      <c r="B399" s="571"/>
      <c r="C399" s="571"/>
      <c r="D399" s="572"/>
      <c r="E399" s="171"/>
      <c r="F399" s="171"/>
      <c r="G399" s="171"/>
      <c r="H399" s="171"/>
      <c r="I399" s="171"/>
      <c r="J399" s="171"/>
      <c r="K399" s="171"/>
      <c r="L399" s="171"/>
      <c r="M399" s="171"/>
      <c r="N399" s="171"/>
      <c r="O399" s="171"/>
      <c r="P399" s="171"/>
      <c r="Q399" s="171"/>
      <c r="R399" s="171"/>
      <c r="S399" s="171"/>
      <c r="T399" s="171"/>
      <c r="U399" s="171"/>
      <c r="V399" s="171"/>
      <c r="W399" s="171"/>
      <c r="X399" s="171"/>
    </row>
    <row r="400" spans="1:24" ht="13.5" x14ac:dyDescent="0.25">
      <c r="A400" s="171"/>
      <c r="B400" s="171"/>
      <c r="C400" s="171"/>
      <c r="D400" s="171"/>
      <c r="E400" s="171"/>
      <c r="F400" s="171"/>
      <c r="G400" s="171"/>
      <c r="H400" s="171"/>
      <c r="I400" s="171"/>
      <c r="J400" s="171"/>
      <c r="K400" s="171"/>
      <c r="L400" s="171"/>
      <c r="M400" s="171"/>
      <c r="N400" s="171"/>
      <c r="O400" s="171"/>
      <c r="P400" s="171"/>
      <c r="Q400" s="171"/>
      <c r="R400" s="171"/>
      <c r="S400" s="171"/>
      <c r="T400" s="171"/>
      <c r="U400" s="171"/>
      <c r="V400" s="171"/>
      <c r="W400" s="171"/>
      <c r="X400" s="171"/>
    </row>
    <row r="401" spans="1:24" ht="13.5" x14ac:dyDescent="0.25">
      <c r="A401" s="578" t="s">
        <v>2728</v>
      </c>
      <c r="B401" s="582"/>
      <c r="C401" s="582"/>
      <c r="D401" s="582"/>
      <c r="E401" s="574"/>
      <c r="F401" s="171"/>
      <c r="G401" s="578" t="s">
        <v>2728</v>
      </c>
      <c r="H401" s="582"/>
      <c r="I401" s="582"/>
      <c r="J401" s="582"/>
      <c r="K401" s="582"/>
      <c r="L401" s="574"/>
      <c r="M401" s="171"/>
      <c r="N401" s="583" t="s">
        <v>2729</v>
      </c>
      <c r="O401" s="571"/>
      <c r="P401" s="571"/>
      <c r="Q401" s="571"/>
      <c r="R401" s="571"/>
      <c r="S401" s="571"/>
      <c r="T401" s="571"/>
      <c r="U401" s="171"/>
      <c r="V401" s="171"/>
      <c r="W401" s="171"/>
      <c r="X401" s="171"/>
    </row>
    <row r="402" spans="1:24" ht="13.5" x14ac:dyDescent="0.25">
      <c r="A402" s="584" t="s">
        <v>2582</v>
      </c>
      <c r="B402" s="565"/>
      <c r="C402" s="566"/>
      <c r="D402" s="573" t="s">
        <v>2576</v>
      </c>
      <c r="E402" s="574"/>
      <c r="F402" s="171"/>
      <c r="G402" s="584" t="s">
        <v>2582</v>
      </c>
      <c r="H402" s="565"/>
      <c r="I402" s="566"/>
      <c r="J402" s="573" t="s">
        <v>2576</v>
      </c>
      <c r="K402" s="582"/>
      <c r="L402" s="574"/>
      <c r="M402" s="171"/>
      <c r="N402" s="584" t="s">
        <v>2582</v>
      </c>
      <c r="O402" s="565"/>
      <c r="P402" s="566"/>
      <c r="Q402" s="185"/>
      <c r="R402" s="186" t="s">
        <v>2716</v>
      </c>
      <c r="S402" s="573" t="s">
        <v>2718</v>
      </c>
      <c r="T402" s="574"/>
      <c r="U402" s="171"/>
      <c r="V402" s="171"/>
      <c r="W402" s="171"/>
      <c r="X402" s="171"/>
    </row>
    <row r="403" spans="1:24" ht="13.5" x14ac:dyDescent="0.25">
      <c r="A403" s="567"/>
      <c r="B403" s="568"/>
      <c r="C403" s="569"/>
      <c r="D403" s="561" t="s">
        <v>2719</v>
      </c>
      <c r="E403" s="587">
        <v>1</v>
      </c>
      <c r="F403" s="171"/>
      <c r="G403" s="567"/>
      <c r="H403" s="568"/>
      <c r="I403" s="569"/>
      <c r="J403" s="561" t="s">
        <v>2719</v>
      </c>
      <c r="K403" s="575">
        <v>1.8</v>
      </c>
      <c r="L403" s="566"/>
      <c r="M403" s="171"/>
      <c r="N403" s="567"/>
      <c r="O403" s="568"/>
      <c r="P403" s="569"/>
      <c r="Q403" s="561" t="s">
        <v>2719</v>
      </c>
      <c r="R403" s="587">
        <v>5.5</v>
      </c>
      <c r="S403" s="575">
        <v>3.8</v>
      </c>
      <c r="T403" s="566"/>
      <c r="U403" s="171"/>
      <c r="V403" s="171"/>
      <c r="W403" s="171"/>
      <c r="X403" s="171"/>
    </row>
    <row r="404" spans="1:24" ht="13.5" x14ac:dyDescent="0.25">
      <c r="A404" s="567"/>
      <c r="B404" s="568"/>
      <c r="C404" s="569"/>
      <c r="D404" s="563"/>
      <c r="E404" s="563"/>
      <c r="F404" s="171"/>
      <c r="G404" s="567"/>
      <c r="H404" s="568"/>
      <c r="I404" s="569"/>
      <c r="J404" s="563"/>
      <c r="K404" s="570"/>
      <c r="L404" s="572"/>
      <c r="M404" s="171"/>
      <c r="N404" s="567"/>
      <c r="O404" s="568"/>
      <c r="P404" s="569"/>
      <c r="Q404" s="563"/>
      <c r="R404" s="563"/>
      <c r="S404" s="570"/>
      <c r="T404" s="572"/>
      <c r="U404" s="171"/>
      <c r="V404" s="171"/>
      <c r="W404" s="171"/>
      <c r="X404" s="171"/>
    </row>
    <row r="405" spans="1:24" ht="13.5" x14ac:dyDescent="0.25">
      <c r="A405" s="567"/>
      <c r="B405" s="568"/>
      <c r="C405" s="569"/>
      <c r="D405" s="561" t="s">
        <v>2720</v>
      </c>
      <c r="E405" s="587">
        <v>1</v>
      </c>
      <c r="F405" s="171"/>
      <c r="G405" s="567"/>
      <c r="H405" s="568"/>
      <c r="I405" s="569"/>
      <c r="J405" s="561" t="s">
        <v>2720</v>
      </c>
      <c r="K405" s="575">
        <v>1.6</v>
      </c>
      <c r="L405" s="566"/>
      <c r="M405" s="171"/>
      <c r="N405" s="567"/>
      <c r="O405" s="568"/>
      <c r="P405" s="569"/>
      <c r="Q405" s="561" t="s">
        <v>2720</v>
      </c>
      <c r="R405" s="587">
        <v>5.5</v>
      </c>
      <c r="S405" s="575"/>
      <c r="T405" s="566"/>
      <c r="U405" s="171"/>
      <c r="V405" s="171"/>
      <c r="W405" s="171"/>
      <c r="X405" s="171"/>
    </row>
    <row r="406" spans="1:24" ht="13.5" x14ac:dyDescent="0.25">
      <c r="A406" s="567"/>
      <c r="B406" s="568"/>
      <c r="C406" s="569"/>
      <c r="D406" s="563"/>
      <c r="E406" s="563"/>
      <c r="F406" s="171"/>
      <c r="G406" s="567"/>
      <c r="H406" s="568"/>
      <c r="I406" s="569"/>
      <c r="J406" s="563"/>
      <c r="K406" s="570"/>
      <c r="L406" s="572"/>
      <c r="M406" s="171"/>
      <c r="N406" s="567"/>
      <c r="O406" s="568"/>
      <c r="P406" s="569"/>
      <c r="Q406" s="563"/>
      <c r="R406" s="563"/>
      <c r="S406" s="570"/>
      <c r="T406" s="572"/>
      <c r="U406" s="171"/>
      <c r="V406" s="171"/>
      <c r="W406" s="171"/>
      <c r="X406" s="171"/>
    </row>
    <row r="407" spans="1:24" ht="13.5" x14ac:dyDescent="0.25">
      <c r="A407" s="567"/>
      <c r="B407" s="568"/>
      <c r="C407" s="569"/>
      <c r="D407" s="561" t="s">
        <v>2721</v>
      </c>
      <c r="E407" s="587">
        <v>0.8</v>
      </c>
      <c r="F407" s="171"/>
      <c r="G407" s="567"/>
      <c r="H407" s="568"/>
      <c r="I407" s="569"/>
      <c r="J407" s="561" t="s">
        <v>2721</v>
      </c>
      <c r="K407" s="575">
        <v>1.8</v>
      </c>
      <c r="L407" s="566"/>
      <c r="M407" s="171"/>
      <c r="N407" s="567"/>
      <c r="O407" s="568"/>
      <c r="P407" s="569"/>
      <c r="Q407" s="561" t="s">
        <v>2721</v>
      </c>
      <c r="R407" s="587">
        <v>2.95</v>
      </c>
      <c r="S407" s="575">
        <v>2.95</v>
      </c>
      <c r="T407" s="566"/>
      <c r="U407" s="171"/>
      <c r="V407" s="171"/>
      <c r="W407" s="171"/>
      <c r="X407" s="171"/>
    </row>
    <row r="408" spans="1:24" ht="13.5" x14ac:dyDescent="0.25">
      <c r="A408" s="567"/>
      <c r="B408" s="568"/>
      <c r="C408" s="569"/>
      <c r="D408" s="563"/>
      <c r="E408" s="563"/>
      <c r="F408" s="171"/>
      <c r="G408" s="567"/>
      <c r="H408" s="568"/>
      <c r="I408" s="569"/>
      <c r="J408" s="563"/>
      <c r="K408" s="570"/>
      <c r="L408" s="572"/>
      <c r="M408" s="171"/>
      <c r="N408" s="567"/>
      <c r="O408" s="568"/>
      <c r="P408" s="569"/>
      <c r="Q408" s="563"/>
      <c r="R408" s="563"/>
      <c r="S408" s="570"/>
      <c r="T408" s="572"/>
      <c r="U408" s="171"/>
      <c r="V408" s="171"/>
      <c r="W408" s="171"/>
      <c r="X408" s="171"/>
    </row>
    <row r="409" spans="1:24" ht="13.5" x14ac:dyDescent="0.25">
      <c r="A409" s="567"/>
      <c r="B409" s="568"/>
      <c r="C409" s="569"/>
      <c r="D409" s="561" t="s">
        <v>2722</v>
      </c>
      <c r="E409" s="587">
        <v>0.1</v>
      </c>
      <c r="F409" s="171"/>
      <c r="G409" s="567"/>
      <c r="H409" s="568"/>
      <c r="I409" s="569"/>
      <c r="J409" s="561" t="s">
        <v>2722</v>
      </c>
      <c r="K409" s="575">
        <v>0.2</v>
      </c>
      <c r="L409" s="566"/>
      <c r="M409" s="171"/>
      <c r="N409" s="567"/>
      <c r="O409" s="568"/>
      <c r="P409" s="569"/>
      <c r="Q409" s="561" t="s">
        <v>2722</v>
      </c>
      <c r="R409" s="587">
        <v>0.25</v>
      </c>
      <c r="S409" s="575">
        <v>0.25</v>
      </c>
      <c r="T409" s="566"/>
      <c r="U409" s="171"/>
      <c r="V409" s="171"/>
      <c r="W409" s="171"/>
      <c r="X409" s="171"/>
    </row>
    <row r="410" spans="1:24" ht="13.5" x14ac:dyDescent="0.25">
      <c r="A410" s="567"/>
      <c r="B410" s="568"/>
      <c r="C410" s="569"/>
      <c r="D410" s="563"/>
      <c r="E410" s="563"/>
      <c r="F410" s="171"/>
      <c r="G410" s="567"/>
      <c r="H410" s="568"/>
      <c r="I410" s="569"/>
      <c r="J410" s="563"/>
      <c r="K410" s="570"/>
      <c r="L410" s="572"/>
      <c r="M410" s="171"/>
      <c r="N410" s="567"/>
      <c r="O410" s="568"/>
      <c r="P410" s="569"/>
      <c r="Q410" s="563"/>
      <c r="R410" s="563"/>
      <c r="S410" s="570"/>
      <c r="T410" s="572"/>
      <c r="U410" s="171"/>
      <c r="V410" s="171"/>
      <c r="W410" s="171"/>
      <c r="X410" s="171"/>
    </row>
    <row r="411" spans="1:24" ht="13.5" x14ac:dyDescent="0.25">
      <c r="A411" s="567"/>
      <c r="B411" s="568"/>
      <c r="C411" s="569"/>
      <c r="D411" s="590" t="s">
        <v>445</v>
      </c>
      <c r="E411" s="589">
        <f>+(E403+E403+E405+E405)*E407*E409</f>
        <v>0.32000000000000006</v>
      </c>
      <c r="F411" s="171"/>
      <c r="G411" s="567"/>
      <c r="H411" s="568"/>
      <c r="I411" s="569"/>
      <c r="J411" s="590" t="s">
        <v>445</v>
      </c>
      <c r="K411" s="584">
        <f>+(K403+K403+K405+K405)*K407*K409</f>
        <v>2.4480000000000004</v>
      </c>
      <c r="L411" s="566"/>
      <c r="M411" s="171"/>
      <c r="N411" s="567"/>
      <c r="O411" s="568"/>
      <c r="P411" s="569"/>
      <c r="Q411" s="590" t="s">
        <v>445</v>
      </c>
      <c r="R411" s="589">
        <f>+(R403+R405+R405)*R407*R409</f>
        <v>12.168750000000001</v>
      </c>
      <c r="S411" s="584">
        <f>+S403*S407*S409</f>
        <v>2.8025000000000002</v>
      </c>
      <c r="T411" s="566"/>
      <c r="U411" s="171"/>
      <c r="V411" s="171"/>
      <c r="W411" s="171"/>
      <c r="X411" s="171"/>
    </row>
    <row r="412" spans="1:24" ht="13.5" x14ac:dyDescent="0.25">
      <c r="A412" s="570"/>
      <c r="B412" s="571"/>
      <c r="C412" s="572"/>
      <c r="D412" s="563"/>
      <c r="E412" s="563"/>
      <c r="F412" s="171"/>
      <c r="G412" s="570"/>
      <c r="H412" s="571"/>
      <c r="I412" s="572"/>
      <c r="J412" s="563"/>
      <c r="K412" s="570"/>
      <c r="L412" s="572"/>
      <c r="M412" s="171"/>
      <c r="N412" s="570"/>
      <c r="O412" s="571"/>
      <c r="P412" s="572"/>
      <c r="Q412" s="563"/>
      <c r="R412" s="563"/>
      <c r="S412" s="570"/>
      <c r="T412" s="572"/>
      <c r="U412" s="171"/>
      <c r="V412" s="171"/>
      <c r="W412" s="171"/>
      <c r="X412" s="171"/>
    </row>
    <row r="413" spans="1:24" ht="13.5" x14ac:dyDescent="0.25">
      <c r="A413" s="171"/>
      <c r="B413" s="171"/>
      <c r="C413" s="171"/>
      <c r="D413" s="171"/>
      <c r="E413" s="171"/>
      <c r="F413" s="171"/>
      <c r="G413" s="171"/>
      <c r="H413" s="171"/>
      <c r="I413" s="171"/>
      <c r="J413" s="171"/>
      <c r="K413" s="171"/>
      <c r="L413" s="171"/>
      <c r="M413" s="171"/>
      <c r="N413" s="171"/>
      <c r="O413" s="171"/>
      <c r="P413" s="171"/>
      <c r="Q413" s="171"/>
      <c r="R413" s="171"/>
      <c r="S413" s="171"/>
      <c r="T413" s="171"/>
      <c r="U413" s="171"/>
      <c r="V413" s="171"/>
      <c r="W413" s="171"/>
      <c r="X413" s="171"/>
    </row>
    <row r="414" spans="1:24" ht="13.5" x14ac:dyDescent="0.25">
      <c r="A414" s="171"/>
      <c r="B414" s="171"/>
      <c r="C414" s="171"/>
      <c r="D414" s="171"/>
      <c r="E414" s="171"/>
      <c r="F414" s="171"/>
      <c r="G414" s="171"/>
      <c r="H414" s="171"/>
      <c r="I414" s="171"/>
      <c r="J414" s="171"/>
      <c r="K414" s="171"/>
      <c r="L414" s="171"/>
      <c r="M414" s="171"/>
      <c r="N414" s="171"/>
      <c r="O414" s="171"/>
      <c r="P414" s="171"/>
      <c r="Q414" s="171"/>
      <c r="R414" s="171"/>
      <c r="S414" s="171"/>
      <c r="T414" s="171"/>
      <c r="U414" s="171"/>
      <c r="V414" s="171"/>
      <c r="W414" s="171"/>
      <c r="X414" s="171"/>
    </row>
    <row r="415" spans="1:24" ht="13.5" x14ac:dyDescent="0.25">
      <c r="A415" s="593" t="s">
        <v>2730</v>
      </c>
      <c r="B415" s="582"/>
      <c r="C415" s="582"/>
      <c r="D415" s="574"/>
      <c r="E415" s="171"/>
      <c r="F415" s="171"/>
      <c r="G415" s="171"/>
      <c r="H415" s="171"/>
      <c r="I415" s="171"/>
      <c r="J415" s="171"/>
      <c r="K415" s="171"/>
      <c r="L415" s="171"/>
      <c r="M415" s="171"/>
      <c r="N415" s="171"/>
      <c r="O415" s="171"/>
      <c r="P415" s="171"/>
      <c r="Q415" s="171"/>
      <c r="R415" s="171"/>
      <c r="S415" s="171"/>
      <c r="T415" s="171"/>
      <c r="U415" s="171"/>
      <c r="V415" s="171"/>
      <c r="W415" s="171"/>
      <c r="X415" s="171"/>
    </row>
    <row r="416" spans="1:24" ht="13.5" x14ac:dyDescent="0.25">
      <c r="A416" s="594" t="s">
        <v>2731</v>
      </c>
      <c r="B416" s="574"/>
      <c r="C416" s="187">
        <f>+SUM(B432:I432)</f>
        <v>804.56880000000001</v>
      </c>
      <c r="D416" s="595">
        <f>+SUM(C416:C419)</f>
        <v>11988.4686</v>
      </c>
      <c r="E416" s="171"/>
      <c r="F416" s="171"/>
      <c r="G416" s="171"/>
      <c r="H416" s="171"/>
      <c r="I416" s="171"/>
      <c r="J416" s="171"/>
      <c r="K416" s="171"/>
      <c r="L416" s="171"/>
      <c r="M416" s="171"/>
      <c r="N416" s="171"/>
      <c r="O416" s="171"/>
      <c r="P416" s="171"/>
      <c r="Q416" s="171"/>
      <c r="R416" s="171"/>
      <c r="S416" s="171"/>
      <c r="T416" s="171"/>
      <c r="U416" s="171"/>
      <c r="V416" s="171"/>
      <c r="W416" s="171"/>
      <c r="X416" s="171"/>
    </row>
    <row r="417" spans="1:24" ht="13.5" x14ac:dyDescent="0.25">
      <c r="A417" s="594" t="s">
        <v>2732</v>
      </c>
      <c r="B417" s="574"/>
      <c r="C417" s="187">
        <f>+SUM(L432:T432)</f>
        <v>1327.9667999999999</v>
      </c>
      <c r="D417" s="562"/>
      <c r="E417" s="171"/>
      <c r="F417" s="171"/>
      <c r="G417" s="171"/>
      <c r="H417" s="171"/>
      <c r="I417" s="171"/>
      <c r="J417" s="171"/>
      <c r="K417" s="171"/>
      <c r="L417" s="171"/>
      <c r="M417" s="171"/>
      <c r="N417" s="171"/>
      <c r="O417" s="171"/>
      <c r="P417" s="171"/>
      <c r="Q417" s="171"/>
      <c r="R417" s="171"/>
      <c r="S417" s="171"/>
      <c r="T417" s="171"/>
      <c r="U417" s="171"/>
      <c r="V417" s="171"/>
      <c r="W417" s="171"/>
      <c r="X417" s="171"/>
    </row>
    <row r="418" spans="1:24" ht="13.5" x14ac:dyDescent="0.25">
      <c r="A418" s="594" t="s">
        <v>2733</v>
      </c>
      <c r="B418" s="574"/>
      <c r="C418" s="187">
        <f>+SUM(B445:I445)</f>
        <v>7169.06</v>
      </c>
      <c r="D418" s="562"/>
      <c r="E418" s="171"/>
      <c r="F418" s="171"/>
      <c r="G418" s="171"/>
      <c r="H418" s="171"/>
      <c r="I418" s="171"/>
      <c r="J418" s="171"/>
      <c r="K418" s="171"/>
      <c r="L418" s="171"/>
      <c r="M418" s="171"/>
      <c r="N418" s="171"/>
      <c r="O418" s="171"/>
      <c r="P418" s="171"/>
      <c r="Q418" s="171"/>
      <c r="R418" s="171"/>
      <c r="S418" s="171"/>
      <c r="T418" s="171"/>
      <c r="U418" s="171"/>
      <c r="V418" s="171"/>
      <c r="W418" s="171"/>
      <c r="X418" s="171"/>
    </row>
    <row r="419" spans="1:24" ht="13.5" x14ac:dyDescent="0.25">
      <c r="A419" s="594" t="s">
        <v>2734</v>
      </c>
      <c r="B419" s="574"/>
      <c r="C419" s="187">
        <f>+SUM(L445:T445)</f>
        <v>2686.8730000000005</v>
      </c>
      <c r="D419" s="563"/>
      <c r="E419" s="171"/>
      <c r="F419" s="171"/>
      <c r="G419" s="171"/>
      <c r="H419" s="171"/>
      <c r="I419" s="171"/>
      <c r="J419" s="171"/>
      <c r="K419" s="171"/>
      <c r="L419" s="171"/>
      <c r="M419" s="171"/>
      <c r="N419" s="171"/>
      <c r="O419" s="171"/>
      <c r="P419" s="171"/>
      <c r="Q419" s="171"/>
      <c r="R419" s="171"/>
      <c r="S419" s="171"/>
      <c r="T419" s="171"/>
      <c r="U419" s="171"/>
      <c r="V419" s="171"/>
      <c r="W419" s="171"/>
      <c r="X419" s="171"/>
    </row>
    <row r="420" spans="1:24" ht="13.5" x14ac:dyDescent="0.25">
      <c r="A420" s="171"/>
      <c r="B420" s="171"/>
      <c r="C420" s="171"/>
      <c r="D420" s="171"/>
      <c r="E420" s="171"/>
      <c r="F420" s="171"/>
      <c r="G420" s="171"/>
      <c r="H420" s="171"/>
      <c r="I420" s="171"/>
      <c r="J420" s="171"/>
      <c r="K420" s="171"/>
      <c r="L420" s="171"/>
      <c r="M420" s="171"/>
      <c r="N420" s="171"/>
      <c r="O420" s="171"/>
      <c r="P420" s="171"/>
      <c r="Q420" s="171"/>
      <c r="R420" s="171"/>
      <c r="S420" s="171"/>
      <c r="T420" s="171"/>
      <c r="U420" s="171"/>
      <c r="V420" s="171"/>
      <c r="W420" s="171"/>
      <c r="X420" s="171"/>
    </row>
    <row r="421" spans="1:24" ht="13.5" x14ac:dyDescent="0.25">
      <c r="A421" s="171"/>
      <c r="B421" s="171"/>
      <c r="C421" s="171"/>
      <c r="D421" s="171"/>
      <c r="E421" s="171"/>
      <c r="F421" s="171"/>
      <c r="G421" s="171"/>
      <c r="H421" s="171"/>
      <c r="I421" s="171"/>
      <c r="J421" s="171"/>
      <c r="K421" s="171"/>
      <c r="L421" s="171"/>
      <c r="M421" s="171"/>
      <c r="N421" s="171"/>
      <c r="O421" s="171"/>
      <c r="P421" s="171"/>
      <c r="Q421" s="171"/>
      <c r="R421" s="171"/>
      <c r="S421" s="171"/>
      <c r="T421" s="171"/>
      <c r="U421" s="171"/>
      <c r="V421" s="171"/>
      <c r="W421" s="171"/>
      <c r="X421" s="171"/>
    </row>
    <row r="422" spans="1:24" ht="13.5" x14ac:dyDescent="0.25">
      <c r="A422" s="578" t="s">
        <v>2735</v>
      </c>
      <c r="B422" s="582"/>
      <c r="C422" s="582"/>
      <c r="D422" s="582"/>
      <c r="E422" s="582"/>
      <c r="F422" s="582"/>
      <c r="G422" s="582"/>
      <c r="H422" s="582"/>
      <c r="I422" s="574"/>
      <c r="J422" s="171"/>
      <c r="K422" s="578" t="s">
        <v>2736</v>
      </c>
      <c r="L422" s="582"/>
      <c r="M422" s="582"/>
      <c r="N422" s="582"/>
      <c r="O422" s="582"/>
      <c r="P422" s="582"/>
      <c r="Q422" s="582"/>
      <c r="R422" s="582"/>
      <c r="S422" s="582"/>
      <c r="T422" s="574"/>
      <c r="U422" s="171"/>
      <c r="V422" s="171"/>
      <c r="W422" s="171"/>
      <c r="X422" s="171"/>
    </row>
    <row r="423" spans="1:24" ht="13.5" x14ac:dyDescent="0.25">
      <c r="A423" s="188"/>
      <c r="B423" s="593" t="s">
        <v>2737</v>
      </c>
      <c r="C423" s="574"/>
      <c r="D423" s="593" t="s">
        <v>2738</v>
      </c>
      <c r="E423" s="574"/>
      <c r="F423" s="593" t="s">
        <v>2739</v>
      </c>
      <c r="G423" s="574"/>
      <c r="H423" s="593" t="s">
        <v>2740</v>
      </c>
      <c r="I423" s="574"/>
      <c r="J423" s="171"/>
      <c r="K423" s="188"/>
      <c r="L423" s="593" t="s">
        <v>2737</v>
      </c>
      <c r="M423" s="574"/>
      <c r="N423" s="593" t="s">
        <v>2738</v>
      </c>
      <c r="O423" s="582"/>
      <c r="P423" s="574"/>
      <c r="Q423" s="593" t="s">
        <v>2739</v>
      </c>
      <c r="R423" s="574"/>
      <c r="S423" s="593" t="s">
        <v>2740</v>
      </c>
      <c r="T423" s="574"/>
      <c r="U423" s="171"/>
      <c r="V423" s="171"/>
      <c r="W423" s="171"/>
      <c r="X423" s="171"/>
    </row>
    <row r="424" spans="1:24" ht="13.5" x14ac:dyDescent="0.25">
      <c r="A424" s="188"/>
      <c r="B424" s="189">
        <v>1</v>
      </c>
      <c r="C424" s="189">
        <v>2</v>
      </c>
      <c r="D424" s="189">
        <v>1</v>
      </c>
      <c r="E424" s="189">
        <v>2</v>
      </c>
      <c r="F424" s="189" t="s">
        <v>2741</v>
      </c>
      <c r="G424" s="189" t="s">
        <v>2742</v>
      </c>
      <c r="H424" s="189" t="s">
        <v>2741</v>
      </c>
      <c r="I424" s="189" t="s">
        <v>2742</v>
      </c>
      <c r="J424" s="171"/>
      <c r="K424" s="188"/>
      <c r="L424" s="189">
        <v>1</v>
      </c>
      <c r="M424" s="189">
        <v>2</v>
      </c>
      <c r="N424" s="189">
        <v>1</v>
      </c>
      <c r="O424" s="189">
        <v>2</v>
      </c>
      <c r="P424" s="189">
        <v>3</v>
      </c>
      <c r="Q424" s="189" t="s">
        <v>2741</v>
      </c>
      <c r="R424" s="189" t="s">
        <v>2742</v>
      </c>
      <c r="S424" s="189" t="s">
        <v>2741</v>
      </c>
      <c r="T424" s="189" t="s">
        <v>2742</v>
      </c>
      <c r="U424" s="171"/>
      <c r="V424" s="171"/>
      <c r="W424" s="171"/>
      <c r="X424" s="171"/>
    </row>
    <row r="425" spans="1:24" ht="13.5" x14ac:dyDescent="0.25">
      <c r="A425" s="188" t="s">
        <v>2743</v>
      </c>
      <c r="B425" s="190">
        <v>0.2</v>
      </c>
      <c r="C425" s="190">
        <v>0.2</v>
      </c>
      <c r="D425" s="190">
        <v>0.2</v>
      </c>
      <c r="E425" s="190">
        <v>0.2</v>
      </c>
      <c r="F425" s="190">
        <v>0.2</v>
      </c>
      <c r="G425" s="190">
        <v>0.2</v>
      </c>
      <c r="H425" s="190">
        <v>0.2</v>
      </c>
      <c r="I425" s="190">
        <v>0.2</v>
      </c>
      <c r="J425" s="171"/>
      <c r="K425" s="188" t="s">
        <v>2743</v>
      </c>
      <c r="L425" s="190">
        <v>0.2</v>
      </c>
      <c r="M425" s="190">
        <v>0.2</v>
      </c>
      <c r="N425" s="190">
        <v>0.2</v>
      </c>
      <c r="O425" s="190">
        <v>0.2</v>
      </c>
      <c r="P425" s="190">
        <v>0.2</v>
      </c>
      <c r="Q425" s="190">
        <v>0.2</v>
      </c>
      <c r="R425" s="190">
        <v>0.2</v>
      </c>
      <c r="S425" s="190">
        <v>0.2</v>
      </c>
      <c r="T425" s="190">
        <v>0.2</v>
      </c>
      <c r="U425" s="171"/>
      <c r="V425" s="171"/>
      <c r="W425" s="171"/>
      <c r="X425" s="171"/>
    </row>
    <row r="426" spans="1:24" ht="13.5" x14ac:dyDescent="0.25">
      <c r="A426" s="188" t="s">
        <v>2744</v>
      </c>
      <c r="B426" s="190">
        <v>1.4</v>
      </c>
      <c r="C426" s="190">
        <v>1.9</v>
      </c>
      <c r="D426" s="190">
        <v>3.5</v>
      </c>
      <c r="E426" s="190">
        <v>1.9</v>
      </c>
      <c r="F426" s="190">
        <v>1.9</v>
      </c>
      <c r="G426" s="190">
        <v>3.5</v>
      </c>
      <c r="H426" s="190">
        <v>1.9</v>
      </c>
      <c r="I426" s="190">
        <v>3.5</v>
      </c>
      <c r="J426" s="171"/>
      <c r="K426" s="188" t="s">
        <v>2744</v>
      </c>
      <c r="L426" s="190">
        <v>2.7</v>
      </c>
      <c r="M426" s="190">
        <v>2.6</v>
      </c>
      <c r="N426" s="190">
        <v>4</v>
      </c>
      <c r="O426" s="190">
        <v>2.2999999999999998</v>
      </c>
      <c r="P426" s="190">
        <v>2.2999999999999998</v>
      </c>
      <c r="Q426" s="190">
        <v>2.7</v>
      </c>
      <c r="R426" s="190">
        <v>4.5</v>
      </c>
      <c r="S426" s="190">
        <v>2.7</v>
      </c>
      <c r="T426" s="190">
        <v>4.5</v>
      </c>
      <c r="U426" s="171"/>
      <c r="V426" s="171"/>
      <c r="W426" s="171"/>
      <c r="X426" s="171"/>
    </row>
    <row r="427" spans="1:24" ht="13.5" x14ac:dyDescent="0.25">
      <c r="A427" s="188" t="s">
        <v>2745</v>
      </c>
      <c r="B427" s="190">
        <f t="shared" ref="B427:I427" si="0">+(B426/B425)+1</f>
        <v>7.9999999999999991</v>
      </c>
      <c r="C427" s="190">
        <f t="shared" si="0"/>
        <v>10.499999999999998</v>
      </c>
      <c r="D427" s="190">
        <f t="shared" si="0"/>
        <v>18.5</v>
      </c>
      <c r="E427" s="190">
        <f t="shared" si="0"/>
        <v>10.499999999999998</v>
      </c>
      <c r="F427" s="190">
        <f t="shared" si="0"/>
        <v>10.499999999999998</v>
      </c>
      <c r="G427" s="190">
        <f t="shared" si="0"/>
        <v>18.5</v>
      </c>
      <c r="H427" s="190">
        <f t="shared" si="0"/>
        <v>10.499999999999998</v>
      </c>
      <c r="I427" s="190">
        <f t="shared" si="0"/>
        <v>18.5</v>
      </c>
      <c r="J427" s="171"/>
      <c r="K427" s="188" t="s">
        <v>2745</v>
      </c>
      <c r="L427" s="190">
        <f t="shared" ref="L427:T427" si="1">+(L426/L425)+1</f>
        <v>14.5</v>
      </c>
      <c r="M427" s="190">
        <f t="shared" si="1"/>
        <v>14</v>
      </c>
      <c r="N427" s="190">
        <f t="shared" si="1"/>
        <v>21</v>
      </c>
      <c r="O427" s="190">
        <f t="shared" si="1"/>
        <v>12.499999999999998</v>
      </c>
      <c r="P427" s="190">
        <f t="shared" si="1"/>
        <v>12.499999999999998</v>
      </c>
      <c r="Q427" s="190">
        <f t="shared" si="1"/>
        <v>14.5</v>
      </c>
      <c r="R427" s="190">
        <f t="shared" si="1"/>
        <v>23.5</v>
      </c>
      <c r="S427" s="190">
        <f t="shared" si="1"/>
        <v>14.5</v>
      </c>
      <c r="T427" s="190">
        <f t="shared" si="1"/>
        <v>23.5</v>
      </c>
      <c r="U427" s="171"/>
      <c r="V427" s="171"/>
      <c r="W427" s="171"/>
      <c r="X427" s="171"/>
    </row>
    <row r="428" spans="1:24" ht="13.5" x14ac:dyDescent="0.25">
      <c r="A428" s="188" t="s">
        <v>2746</v>
      </c>
      <c r="B428" s="190">
        <v>2.6</v>
      </c>
      <c r="C428" s="190">
        <v>2.2000000000000002</v>
      </c>
      <c r="D428" s="190">
        <v>2.6</v>
      </c>
      <c r="E428" s="190">
        <v>3.8</v>
      </c>
      <c r="F428" s="190">
        <v>2.2000000000000002</v>
      </c>
      <c r="G428" s="190">
        <v>3.8</v>
      </c>
      <c r="H428" s="190">
        <v>2.2000000000000002</v>
      </c>
      <c r="I428" s="190">
        <v>3.8</v>
      </c>
      <c r="J428" s="171"/>
      <c r="K428" s="188" t="s">
        <v>2746</v>
      </c>
      <c r="L428" s="190">
        <v>3.1</v>
      </c>
      <c r="M428" s="190">
        <v>3</v>
      </c>
      <c r="N428" s="190">
        <v>3.4</v>
      </c>
      <c r="O428" s="190">
        <v>4.8</v>
      </c>
      <c r="P428" s="190">
        <v>7.8</v>
      </c>
      <c r="Q428" s="190">
        <v>3</v>
      </c>
      <c r="R428" s="190">
        <v>4.8</v>
      </c>
      <c r="S428" s="190">
        <v>3</v>
      </c>
      <c r="T428" s="190">
        <v>4.8</v>
      </c>
      <c r="U428" s="171"/>
      <c r="V428" s="171"/>
      <c r="W428" s="171"/>
      <c r="X428" s="171"/>
    </row>
    <row r="429" spans="1:24" ht="13.5" x14ac:dyDescent="0.25">
      <c r="A429" s="188" t="s">
        <v>2747</v>
      </c>
      <c r="B429" s="190">
        <v>0.996</v>
      </c>
      <c r="C429" s="190">
        <v>0.996</v>
      </c>
      <c r="D429" s="190">
        <v>0.996</v>
      </c>
      <c r="E429" s="190">
        <v>0.996</v>
      </c>
      <c r="F429" s="190">
        <v>0.996</v>
      </c>
      <c r="G429" s="190">
        <v>0.996</v>
      </c>
      <c r="H429" s="190">
        <v>0.996</v>
      </c>
      <c r="I429" s="190">
        <v>0.996</v>
      </c>
      <c r="J429" s="171"/>
      <c r="K429" s="188" t="s">
        <v>2747</v>
      </c>
      <c r="L429" s="190">
        <v>0.996</v>
      </c>
      <c r="M429" s="190">
        <v>0.996</v>
      </c>
      <c r="N429" s="190">
        <v>0.996</v>
      </c>
      <c r="O429" s="190">
        <v>0.996</v>
      </c>
      <c r="P429" s="190">
        <v>0.996</v>
      </c>
      <c r="Q429" s="190">
        <v>0.996</v>
      </c>
      <c r="R429" s="190">
        <v>0.996</v>
      </c>
      <c r="S429" s="190">
        <v>0.996</v>
      </c>
      <c r="T429" s="190">
        <v>0.996</v>
      </c>
      <c r="U429" s="171"/>
      <c r="V429" s="171"/>
      <c r="W429" s="171"/>
      <c r="X429" s="171"/>
    </row>
    <row r="430" spans="1:24" ht="13.5" x14ac:dyDescent="0.25">
      <c r="A430" s="188" t="s">
        <v>2748</v>
      </c>
      <c r="B430" s="190">
        <v>2</v>
      </c>
      <c r="C430" s="190">
        <v>2</v>
      </c>
      <c r="D430" s="190">
        <v>2</v>
      </c>
      <c r="E430" s="190">
        <v>2</v>
      </c>
      <c r="F430" s="190">
        <v>2</v>
      </c>
      <c r="G430" s="190">
        <v>2</v>
      </c>
      <c r="H430" s="190">
        <v>1</v>
      </c>
      <c r="I430" s="190">
        <v>1</v>
      </c>
      <c r="J430" s="171"/>
      <c r="K430" s="188" t="s">
        <v>2748</v>
      </c>
      <c r="L430" s="190">
        <v>2</v>
      </c>
      <c r="M430" s="190">
        <v>1</v>
      </c>
      <c r="N430" s="190">
        <v>2</v>
      </c>
      <c r="O430" s="190">
        <v>1</v>
      </c>
      <c r="P430" s="190">
        <v>1</v>
      </c>
      <c r="Q430" s="190">
        <v>1</v>
      </c>
      <c r="R430" s="190">
        <v>2</v>
      </c>
      <c r="S430" s="190">
        <v>1</v>
      </c>
      <c r="T430" s="190">
        <v>1</v>
      </c>
      <c r="U430" s="171"/>
      <c r="V430" s="171"/>
      <c r="W430" s="171"/>
      <c r="X430" s="171"/>
    </row>
    <row r="431" spans="1:24" ht="13.5" x14ac:dyDescent="0.25">
      <c r="A431" s="188" t="s">
        <v>453</v>
      </c>
      <c r="B431" s="190">
        <v>2</v>
      </c>
      <c r="C431" s="190">
        <v>2</v>
      </c>
      <c r="D431" s="190">
        <v>2</v>
      </c>
      <c r="E431" s="190">
        <v>2</v>
      </c>
      <c r="F431" s="190">
        <v>1</v>
      </c>
      <c r="G431" s="190">
        <v>1</v>
      </c>
      <c r="H431" s="190">
        <v>1</v>
      </c>
      <c r="I431" s="190">
        <v>1</v>
      </c>
      <c r="J431" s="171"/>
      <c r="K431" s="188" t="s">
        <v>453</v>
      </c>
      <c r="L431" s="190">
        <v>2</v>
      </c>
      <c r="M431" s="190">
        <v>2</v>
      </c>
      <c r="N431" s="190">
        <v>2</v>
      </c>
      <c r="O431" s="190">
        <v>2</v>
      </c>
      <c r="P431" s="190">
        <v>2</v>
      </c>
      <c r="Q431" s="190">
        <v>2</v>
      </c>
      <c r="R431" s="190">
        <v>1</v>
      </c>
      <c r="S431" s="190">
        <v>1</v>
      </c>
      <c r="T431" s="190">
        <v>1</v>
      </c>
      <c r="U431" s="171"/>
      <c r="V431" s="171"/>
      <c r="W431" s="171"/>
      <c r="X431" s="171"/>
    </row>
    <row r="432" spans="1:24" ht="13.5" x14ac:dyDescent="0.25">
      <c r="A432" s="191" t="s">
        <v>2694</v>
      </c>
      <c r="B432" s="190">
        <f t="shared" ref="B432:I432" si="2">+B427*B428*B429*B430*B431</f>
        <v>82.867199999999983</v>
      </c>
      <c r="C432" s="190">
        <f t="shared" si="2"/>
        <v>92.030399999999986</v>
      </c>
      <c r="D432" s="190">
        <f t="shared" si="2"/>
        <v>191.63040000000001</v>
      </c>
      <c r="E432" s="190">
        <f t="shared" si="2"/>
        <v>158.96159999999998</v>
      </c>
      <c r="F432" s="190">
        <f t="shared" si="2"/>
        <v>46.015199999999993</v>
      </c>
      <c r="G432" s="190">
        <f t="shared" si="2"/>
        <v>140.0376</v>
      </c>
      <c r="H432" s="190">
        <f t="shared" si="2"/>
        <v>23.007599999999996</v>
      </c>
      <c r="I432" s="190">
        <f t="shared" si="2"/>
        <v>70.018799999999999</v>
      </c>
      <c r="J432" s="171"/>
      <c r="K432" s="191" t="s">
        <v>2694</v>
      </c>
      <c r="L432" s="190">
        <f t="shared" ref="L432:T432" si="3">+L427*L428*L429*L430*L431</f>
        <v>179.08080000000001</v>
      </c>
      <c r="M432" s="190">
        <f t="shared" si="3"/>
        <v>83.664000000000001</v>
      </c>
      <c r="N432" s="190">
        <f t="shared" si="3"/>
        <v>284.45759999999996</v>
      </c>
      <c r="O432" s="190">
        <f t="shared" si="3"/>
        <v>119.51999999999997</v>
      </c>
      <c r="P432" s="190">
        <f t="shared" si="3"/>
        <v>194.21999999999997</v>
      </c>
      <c r="Q432" s="190">
        <f t="shared" si="3"/>
        <v>86.652000000000001</v>
      </c>
      <c r="R432" s="190">
        <f t="shared" si="3"/>
        <v>224.69759999999999</v>
      </c>
      <c r="S432" s="190">
        <f t="shared" si="3"/>
        <v>43.326000000000001</v>
      </c>
      <c r="T432" s="190">
        <f t="shared" si="3"/>
        <v>112.3488</v>
      </c>
      <c r="U432" s="171"/>
      <c r="V432" s="171"/>
      <c r="W432" s="171"/>
      <c r="X432" s="171"/>
    </row>
    <row r="433" spans="1:24" ht="13.5" x14ac:dyDescent="0.25">
      <c r="A433" s="171"/>
      <c r="B433" s="171"/>
      <c r="C433" s="171"/>
      <c r="D433" s="171"/>
      <c r="E433" s="171"/>
      <c r="F433" s="171"/>
      <c r="G433" s="171"/>
      <c r="H433" s="171"/>
      <c r="I433" s="171"/>
      <c r="J433" s="171"/>
      <c r="K433" s="171"/>
      <c r="L433" s="171"/>
      <c r="M433" s="171"/>
      <c r="N433" s="171"/>
      <c r="O433" s="171"/>
      <c r="P433" s="171"/>
      <c r="Q433" s="171"/>
      <c r="R433" s="171"/>
      <c r="S433" s="171"/>
      <c r="T433" s="171"/>
      <c r="U433" s="171"/>
      <c r="V433" s="171"/>
      <c r="W433" s="171"/>
      <c r="X433" s="171"/>
    </row>
    <row r="434" spans="1:24" ht="13.5" x14ac:dyDescent="0.25">
      <c r="A434" s="171"/>
      <c r="B434" s="171"/>
      <c r="C434" s="171"/>
      <c r="D434" s="171"/>
      <c r="E434" s="171"/>
      <c r="F434" s="171"/>
      <c r="G434" s="171"/>
      <c r="H434" s="171"/>
      <c r="I434" s="171"/>
      <c r="J434" s="171"/>
      <c r="K434" s="171"/>
      <c r="L434" s="171"/>
      <c r="M434" s="171"/>
      <c r="N434" s="171"/>
      <c r="O434" s="171"/>
      <c r="P434" s="171"/>
      <c r="Q434" s="171"/>
      <c r="R434" s="171"/>
      <c r="S434" s="171"/>
      <c r="T434" s="171"/>
      <c r="U434" s="171"/>
      <c r="V434" s="171"/>
      <c r="W434" s="171"/>
      <c r="X434" s="171"/>
    </row>
    <row r="435" spans="1:24" ht="13.5" x14ac:dyDescent="0.25">
      <c r="A435" s="578" t="s">
        <v>2749</v>
      </c>
      <c r="B435" s="582"/>
      <c r="C435" s="582"/>
      <c r="D435" s="582"/>
      <c r="E435" s="582"/>
      <c r="F435" s="582"/>
      <c r="G435" s="582"/>
      <c r="H435" s="582"/>
      <c r="I435" s="574"/>
      <c r="J435" s="171"/>
      <c r="K435" s="583" t="s">
        <v>2750</v>
      </c>
      <c r="L435" s="571"/>
      <c r="M435" s="571"/>
      <c r="N435" s="571"/>
      <c r="O435" s="571"/>
      <c r="P435" s="571"/>
      <c r="Q435" s="571"/>
      <c r="R435" s="571"/>
      <c r="S435" s="571"/>
      <c r="T435" s="571"/>
      <c r="U435" s="171"/>
      <c r="V435" s="171"/>
      <c r="W435" s="171"/>
      <c r="X435" s="171"/>
    </row>
    <row r="436" spans="1:24" ht="13.5" x14ac:dyDescent="0.25">
      <c r="A436" s="188"/>
      <c r="B436" s="596" t="s">
        <v>2737</v>
      </c>
      <c r="C436" s="565"/>
      <c r="D436" s="566"/>
      <c r="E436" s="593" t="s">
        <v>2738</v>
      </c>
      <c r="F436" s="582"/>
      <c r="G436" s="574"/>
      <c r="H436" s="593" t="s">
        <v>2739</v>
      </c>
      <c r="I436" s="574"/>
      <c r="J436" s="171"/>
      <c r="K436" s="188"/>
      <c r="L436" s="593" t="s">
        <v>2751</v>
      </c>
      <c r="M436" s="574"/>
      <c r="N436" s="593" t="s">
        <v>2752</v>
      </c>
      <c r="O436" s="574"/>
      <c r="P436" s="192" t="s">
        <v>2753</v>
      </c>
      <c r="Q436" s="593" t="s">
        <v>2740</v>
      </c>
      <c r="R436" s="574"/>
      <c r="S436" s="593" t="s">
        <v>2754</v>
      </c>
      <c r="T436" s="574"/>
      <c r="U436" s="171"/>
      <c r="V436" s="171"/>
      <c r="W436" s="171"/>
      <c r="X436" s="171"/>
    </row>
    <row r="437" spans="1:24" ht="13.5" x14ac:dyDescent="0.25">
      <c r="A437" s="188"/>
      <c r="B437" s="189">
        <v>1</v>
      </c>
      <c r="C437" s="189">
        <v>2</v>
      </c>
      <c r="D437" s="189">
        <v>3</v>
      </c>
      <c r="E437" s="189">
        <v>1</v>
      </c>
      <c r="F437" s="189">
        <v>2</v>
      </c>
      <c r="G437" s="189">
        <v>3</v>
      </c>
      <c r="H437" s="189" t="s">
        <v>2741</v>
      </c>
      <c r="I437" s="189" t="s">
        <v>2742</v>
      </c>
      <c r="J437" s="171"/>
      <c r="K437" s="188"/>
      <c r="L437" s="189" t="s">
        <v>2741</v>
      </c>
      <c r="M437" s="189" t="s">
        <v>2742</v>
      </c>
      <c r="N437" s="189" t="s">
        <v>2741</v>
      </c>
      <c r="O437" s="189" t="s">
        <v>2742</v>
      </c>
      <c r="P437" s="193" t="s">
        <v>2741</v>
      </c>
      <c r="Q437" s="189" t="s">
        <v>2741</v>
      </c>
      <c r="R437" s="189" t="s">
        <v>2742</v>
      </c>
      <c r="S437" s="597" t="s">
        <v>2755</v>
      </c>
      <c r="T437" s="574"/>
      <c r="U437" s="171"/>
      <c r="V437" s="171"/>
      <c r="W437" s="171"/>
      <c r="X437" s="171"/>
    </row>
    <row r="438" spans="1:24" ht="13.5" x14ac:dyDescent="0.25">
      <c r="A438" s="188" t="s">
        <v>2743</v>
      </c>
      <c r="B438" s="190">
        <v>0.2</v>
      </c>
      <c r="C438" s="190">
        <v>0.2</v>
      </c>
      <c r="D438" s="190">
        <v>0.2</v>
      </c>
      <c r="E438" s="190">
        <v>0.2</v>
      </c>
      <c r="F438" s="190">
        <v>0.2</v>
      </c>
      <c r="G438" s="190">
        <v>0.2</v>
      </c>
      <c r="H438" s="190">
        <v>0.2</v>
      </c>
      <c r="I438" s="190">
        <v>0.2</v>
      </c>
      <c r="J438" s="171"/>
      <c r="K438" s="188" t="s">
        <v>2743</v>
      </c>
      <c r="L438" s="190">
        <v>0.2</v>
      </c>
      <c r="M438" s="190">
        <v>0.2</v>
      </c>
      <c r="N438" s="190">
        <v>0.2</v>
      </c>
      <c r="O438" s="190">
        <v>0.2</v>
      </c>
      <c r="P438" s="194">
        <v>0.2</v>
      </c>
      <c r="Q438" s="190">
        <v>0.2</v>
      </c>
      <c r="R438" s="190">
        <v>0.2</v>
      </c>
      <c r="S438" s="598">
        <v>0.15</v>
      </c>
      <c r="T438" s="574"/>
      <c r="U438" s="171"/>
      <c r="V438" s="171"/>
      <c r="W438" s="171"/>
      <c r="X438" s="171"/>
    </row>
    <row r="439" spans="1:24" ht="13.5" x14ac:dyDescent="0.25">
      <c r="A439" s="188" t="s">
        <v>2744</v>
      </c>
      <c r="B439" s="190">
        <v>2.2999999999999998</v>
      </c>
      <c r="C439" s="190">
        <v>5.4</v>
      </c>
      <c r="D439" s="190">
        <v>5.4</v>
      </c>
      <c r="E439" s="190">
        <v>8.8000000000000007</v>
      </c>
      <c r="F439" s="190">
        <v>5.4</v>
      </c>
      <c r="G439" s="190">
        <v>5.4</v>
      </c>
      <c r="H439" s="190">
        <v>8.8000000000000007</v>
      </c>
      <c r="I439" s="190">
        <v>8.8000000000000007</v>
      </c>
      <c r="J439" s="171"/>
      <c r="K439" s="188" t="s">
        <v>2744</v>
      </c>
      <c r="L439" s="190">
        <v>2.2999999999999998</v>
      </c>
      <c r="M439" s="190">
        <v>4.5999999999999996</v>
      </c>
      <c r="N439" s="190">
        <v>6</v>
      </c>
      <c r="O439" s="190">
        <v>4.7</v>
      </c>
      <c r="P439" s="194">
        <v>5.4</v>
      </c>
      <c r="Q439" s="190">
        <v>8.8000000000000007</v>
      </c>
      <c r="R439" s="190">
        <v>8.8000000000000007</v>
      </c>
      <c r="S439" s="598">
        <v>1.5</v>
      </c>
      <c r="T439" s="574"/>
      <c r="U439" s="171"/>
      <c r="V439" s="171"/>
      <c r="W439" s="171"/>
      <c r="X439" s="171"/>
    </row>
    <row r="440" spans="1:24" ht="13.5" x14ac:dyDescent="0.25">
      <c r="A440" s="188" t="s">
        <v>2745</v>
      </c>
      <c r="B440" s="190">
        <f t="shared" ref="B440:I440" si="4">+(B439/B438)+1</f>
        <v>12.499999999999998</v>
      </c>
      <c r="C440" s="190">
        <f t="shared" si="4"/>
        <v>28</v>
      </c>
      <c r="D440" s="190">
        <f t="shared" si="4"/>
        <v>28</v>
      </c>
      <c r="E440" s="190">
        <f t="shared" si="4"/>
        <v>45</v>
      </c>
      <c r="F440" s="190">
        <f t="shared" si="4"/>
        <v>28</v>
      </c>
      <c r="G440" s="190">
        <f t="shared" si="4"/>
        <v>28</v>
      </c>
      <c r="H440" s="190">
        <f t="shared" si="4"/>
        <v>45</v>
      </c>
      <c r="I440" s="190">
        <f t="shared" si="4"/>
        <v>45</v>
      </c>
      <c r="J440" s="171"/>
      <c r="K440" s="188" t="s">
        <v>2745</v>
      </c>
      <c r="L440" s="190">
        <f t="shared" ref="L440:S440" si="5">+(L439/L438)+1</f>
        <v>12.499999999999998</v>
      </c>
      <c r="M440" s="190">
        <f t="shared" si="5"/>
        <v>23.999999999999996</v>
      </c>
      <c r="N440" s="190">
        <f t="shared" si="5"/>
        <v>31</v>
      </c>
      <c r="O440" s="190">
        <f t="shared" si="5"/>
        <v>24.5</v>
      </c>
      <c r="P440" s="194">
        <f t="shared" si="5"/>
        <v>28</v>
      </c>
      <c r="Q440" s="190">
        <f t="shared" si="5"/>
        <v>45</v>
      </c>
      <c r="R440" s="190">
        <f t="shared" si="5"/>
        <v>45</v>
      </c>
      <c r="S440" s="598">
        <f t="shared" si="5"/>
        <v>11</v>
      </c>
      <c r="T440" s="574"/>
      <c r="U440" s="171"/>
      <c r="V440" s="171"/>
      <c r="W440" s="171"/>
      <c r="X440" s="171"/>
    </row>
    <row r="441" spans="1:24" ht="13.5" x14ac:dyDescent="0.25">
      <c r="A441" s="188" t="s">
        <v>2746</v>
      </c>
      <c r="B441" s="190">
        <v>6.2</v>
      </c>
      <c r="C441" s="190">
        <v>7</v>
      </c>
      <c r="D441" s="190">
        <v>9.1</v>
      </c>
      <c r="E441" s="190">
        <v>6.2</v>
      </c>
      <c r="F441" s="190">
        <v>12</v>
      </c>
      <c r="G441" s="190">
        <v>9.1</v>
      </c>
      <c r="H441" s="190">
        <v>9.5</v>
      </c>
      <c r="I441" s="190">
        <v>9.1</v>
      </c>
      <c r="J441" s="171"/>
      <c r="K441" s="188" t="s">
        <v>2746</v>
      </c>
      <c r="L441" s="190">
        <v>0.7</v>
      </c>
      <c r="M441" s="190">
        <v>1.3</v>
      </c>
      <c r="N441" s="190">
        <v>5.5</v>
      </c>
      <c r="O441" s="190">
        <v>6.2</v>
      </c>
      <c r="P441" s="194">
        <v>0.9</v>
      </c>
      <c r="Q441" s="190">
        <v>9.1</v>
      </c>
      <c r="R441" s="190">
        <v>9.1</v>
      </c>
      <c r="S441" s="598">
        <v>54</v>
      </c>
      <c r="T441" s="574"/>
      <c r="U441" s="171"/>
      <c r="V441" s="171"/>
      <c r="W441" s="171"/>
      <c r="X441" s="171"/>
    </row>
    <row r="442" spans="1:24" ht="13.5" x14ac:dyDescent="0.25">
      <c r="A442" s="188" t="s">
        <v>2747</v>
      </c>
      <c r="B442" s="190">
        <v>1.55</v>
      </c>
      <c r="C442" s="190">
        <v>1.55</v>
      </c>
      <c r="D442" s="190">
        <v>1.55</v>
      </c>
      <c r="E442" s="190">
        <v>1.55</v>
      </c>
      <c r="F442" s="190">
        <v>1.55</v>
      </c>
      <c r="G442" s="190">
        <v>1.55</v>
      </c>
      <c r="H442" s="190">
        <v>1.55</v>
      </c>
      <c r="I442" s="190">
        <v>1.55</v>
      </c>
      <c r="J442" s="171"/>
      <c r="K442" s="188" t="s">
        <v>2747</v>
      </c>
      <c r="L442" s="190">
        <v>1.55</v>
      </c>
      <c r="M442" s="190">
        <v>1.55</v>
      </c>
      <c r="N442" s="190">
        <v>1.55</v>
      </c>
      <c r="O442" s="190">
        <v>1.55</v>
      </c>
      <c r="P442" s="194">
        <v>1.55</v>
      </c>
      <c r="Q442" s="190">
        <v>0.996</v>
      </c>
      <c r="R442" s="190">
        <v>0.996</v>
      </c>
      <c r="S442" s="598">
        <v>0.996</v>
      </c>
      <c r="T442" s="574"/>
      <c r="U442" s="171"/>
      <c r="V442" s="171"/>
      <c r="W442" s="171"/>
      <c r="X442" s="171"/>
    </row>
    <row r="443" spans="1:24" ht="13.5" x14ac:dyDescent="0.25">
      <c r="A443" s="188" t="s">
        <v>2748</v>
      </c>
      <c r="B443" s="190">
        <v>2</v>
      </c>
      <c r="C443" s="190">
        <v>1</v>
      </c>
      <c r="D443" s="190">
        <v>1</v>
      </c>
      <c r="E443" s="190">
        <v>2</v>
      </c>
      <c r="F443" s="190">
        <v>1</v>
      </c>
      <c r="G443" s="190">
        <v>1</v>
      </c>
      <c r="H443" s="190">
        <v>2</v>
      </c>
      <c r="I443" s="190">
        <v>2</v>
      </c>
      <c r="J443" s="171"/>
      <c r="K443" s="188" t="s">
        <v>2748</v>
      </c>
      <c r="L443" s="190">
        <v>2</v>
      </c>
      <c r="M443" s="190">
        <v>2</v>
      </c>
      <c r="N443" s="190">
        <v>2</v>
      </c>
      <c r="O443" s="190">
        <v>2</v>
      </c>
      <c r="P443" s="194">
        <v>1</v>
      </c>
      <c r="Q443" s="190">
        <v>1</v>
      </c>
      <c r="R443" s="190">
        <v>1</v>
      </c>
      <c r="S443" s="598">
        <v>1</v>
      </c>
      <c r="T443" s="574"/>
      <c r="U443" s="171"/>
      <c r="V443" s="171"/>
      <c r="W443" s="171"/>
      <c r="X443" s="171"/>
    </row>
    <row r="444" spans="1:24" ht="13.5" x14ac:dyDescent="0.25">
      <c r="A444" s="188" t="s">
        <v>453</v>
      </c>
      <c r="B444" s="190">
        <v>2</v>
      </c>
      <c r="C444" s="190">
        <v>2</v>
      </c>
      <c r="D444" s="190">
        <v>2</v>
      </c>
      <c r="E444" s="190">
        <v>1</v>
      </c>
      <c r="F444" s="190">
        <v>2</v>
      </c>
      <c r="G444" s="190">
        <v>2</v>
      </c>
      <c r="H444" s="190">
        <v>1</v>
      </c>
      <c r="I444" s="190">
        <v>1</v>
      </c>
      <c r="J444" s="171"/>
      <c r="K444" s="188" t="s">
        <v>453</v>
      </c>
      <c r="L444" s="190">
        <v>1</v>
      </c>
      <c r="M444" s="190">
        <v>1</v>
      </c>
      <c r="N444" s="190">
        <v>1</v>
      </c>
      <c r="O444" s="190">
        <v>1</v>
      </c>
      <c r="P444" s="194">
        <v>4</v>
      </c>
      <c r="Q444" s="190">
        <v>1</v>
      </c>
      <c r="R444" s="190">
        <v>1</v>
      </c>
      <c r="S444" s="598">
        <v>1</v>
      </c>
      <c r="T444" s="574"/>
      <c r="U444" s="171"/>
      <c r="V444" s="171"/>
      <c r="W444" s="171"/>
      <c r="X444" s="171"/>
    </row>
    <row r="445" spans="1:24" ht="13.5" x14ac:dyDescent="0.25">
      <c r="A445" s="191" t="s">
        <v>2694</v>
      </c>
      <c r="B445" s="190">
        <f t="shared" ref="B445:I445" si="6">+B440*B441*B442*B443*B444</f>
        <v>480.49999999999994</v>
      </c>
      <c r="C445" s="190">
        <f t="shared" si="6"/>
        <v>607.6</v>
      </c>
      <c r="D445" s="190">
        <f t="shared" si="6"/>
        <v>789.88</v>
      </c>
      <c r="E445" s="190">
        <f t="shared" si="6"/>
        <v>864.9</v>
      </c>
      <c r="F445" s="190">
        <f t="shared" si="6"/>
        <v>1041.6000000000001</v>
      </c>
      <c r="G445" s="190">
        <f t="shared" si="6"/>
        <v>789.88</v>
      </c>
      <c r="H445" s="190">
        <f t="shared" si="6"/>
        <v>1325.25</v>
      </c>
      <c r="I445" s="190">
        <f t="shared" si="6"/>
        <v>1269.45</v>
      </c>
      <c r="J445" s="171"/>
      <c r="K445" s="191" t="s">
        <v>2694</v>
      </c>
      <c r="L445" s="190">
        <f t="shared" ref="L445:S445" si="7">+L440*L441*L442*L443*L444</f>
        <v>27.124999999999996</v>
      </c>
      <c r="M445" s="190">
        <f t="shared" si="7"/>
        <v>96.719999999999985</v>
      </c>
      <c r="N445" s="190">
        <f t="shared" si="7"/>
        <v>528.55000000000007</v>
      </c>
      <c r="O445" s="190">
        <f t="shared" si="7"/>
        <v>470.89000000000004</v>
      </c>
      <c r="P445" s="194">
        <f t="shared" si="7"/>
        <v>156.24</v>
      </c>
      <c r="Q445" s="190">
        <f t="shared" si="7"/>
        <v>407.86200000000002</v>
      </c>
      <c r="R445" s="190">
        <f t="shared" si="7"/>
        <v>407.86200000000002</v>
      </c>
      <c r="S445" s="598">
        <f t="shared" si="7"/>
        <v>591.62400000000002</v>
      </c>
      <c r="T445" s="574"/>
      <c r="U445" s="171"/>
      <c r="V445" s="171"/>
      <c r="W445" s="171"/>
      <c r="X445" s="171"/>
    </row>
    <row r="446" spans="1:24" ht="13.5" x14ac:dyDescent="0.25">
      <c r="A446" s="171"/>
      <c r="B446" s="171"/>
      <c r="C446" s="171"/>
      <c r="D446" s="171"/>
      <c r="E446" s="171"/>
      <c r="F446" s="171"/>
      <c r="G446" s="171"/>
      <c r="H446" s="171"/>
      <c r="I446" s="171"/>
      <c r="J446" s="171"/>
      <c r="K446" s="171"/>
      <c r="L446" s="171"/>
      <c r="M446" s="171"/>
      <c r="N446" s="171"/>
      <c r="O446" s="171"/>
      <c r="P446" s="171"/>
      <c r="Q446" s="171"/>
      <c r="R446" s="171"/>
      <c r="S446" s="171"/>
      <c r="T446" s="171"/>
      <c r="U446" s="171"/>
      <c r="V446" s="171"/>
      <c r="W446" s="171"/>
      <c r="X446" s="171"/>
    </row>
    <row r="447" spans="1:24" ht="13.5" x14ac:dyDescent="0.25">
      <c r="A447" s="171"/>
      <c r="B447" s="171"/>
      <c r="C447" s="171"/>
      <c r="D447" s="171"/>
      <c r="E447" s="171"/>
      <c r="F447" s="171"/>
      <c r="G447" s="171"/>
      <c r="H447" s="171"/>
      <c r="I447" s="171"/>
      <c r="J447" s="171"/>
      <c r="K447" s="171"/>
      <c r="L447" s="171"/>
      <c r="M447" s="171"/>
      <c r="N447" s="171"/>
      <c r="O447" s="171"/>
      <c r="P447" s="171"/>
      <c r="Q447" s="171"/>
      <c r="R447" s="171"/>
      <c r="S447" s="171"/>
      <c r="T447" s="171"/>
      <c r="U447" s="171"/>
      <c r="V447" s="171"/>
      <c r="W447" s="171"/>
      <c r="X447" s="171"/>
    </row>
    <row r="448" spans="1:24" ht="13.5" x14ac:dyDescent="0.25">
      <c r="A448" s="593" t="s">
        <v>2756</v>
      </c>
      <c r="B448" s="582"/>
      <c r="C448" s="582"/>
      <c r="D448" s="574"/>
      <c r="E448" s="171"/>
      <c r="F448" s="171"/>
      <c r="G448" s="171"/>
      <c r="H448" s="171"/>
      <c r="I448" s="171"/>
      <c r="J448" s="171"/>
      <c r="K448" s="171"/>
      <c r="L448" s="171"/>
      <c r="M448" s="171"/>
      <c r="N448" s="171"/>
      <c r="O448" s="171"/>
      <c r="P448" s="171"/>
      <c r="Q448" s="171"/>
      <c r="R448" s="171"/>
      <c r="S448" s="171"/>
      <c r="T448" s="171"/>
      <c r="U448" s="171"/>
      <c r="V448" s="171"/>
      <c r="W448" s="171"/>
      <c r="X448" s="171"/>
    </row>
    <row r="449" spans="1:24" ht="13.5" x14ac:dyDescent="0.25">
      <c r="A449" s="594" t="s">
        <v>2757</v>
      </c>
      <c r="B449" s="574"/>
      <c r="C449" s="187">
        <f>+SUM(B464:I464)</f>
        <v>2183.8850400000001</v>
      </c>
      <c r="D449" s="595">
        <f>+SUM(C449:C451)</f>
        <v>6421.5680400000001</v>
      </c>
      <c r="E449" s="171"/>
      <c r="F449" s="171"/>
      <c r="G449" s="171"/>
      <c r="H449" s="171"/>
      <c r="I449" s="171"/>
      <c r="J449" s="171"/>
      <c r="K449" s="171"/>
      <c r="L449" s="171"/>
      <c r="M449" s="171"/>
      <c r="N449" s="171"/>
      <c r="O449" s="171"/>
      <c r="P449" s="171"/>
      <c r="Q449" s="171"/>
      <c r="R449" s="171"/>
      <c r="S449" s="171"/>
      <c r="T449" s="171"/>
      <c r="U449" s="171"/>
      <c r="V449" s="171"/>
      <c r="W449" s="171"/>
      <c r="X449" s="171"/>
    </row>
    <row r="450" spans="1:24" ht="13.5" x14ac:dyDescent="0.25">
      <c r="A450" s="594" t="s">
        <v>2758</v>
      </c>
      <c r="B450" s="574"/>
      <c r="C450" s="187">
        <f>+SUM(L464:T464)</f>
        <v>1258.1969999999999</v>
      </c>
      <c r="D450" s="562"/>
      <c r="E450" s="171"/>
      <c r="F450" s="171"/>
      <c r="G450" s="171"/>
      <c r="H450" s="171"/>
      <c r="I450" s="171"/>
      <c r="J450" s="171"/>
      <c r="K450" s="171"/>
      <c r="L450" s="171"/>
      <c r="M450" s="171"/>
      <c r="N450" s="171"/>
      <c r="O450" s="171"/>
      <c r="P450" s="171"/>
      <c r="Q450" s="171"/>
      <c r="R450" s="171"/>
      <c r="S450" s="171"/>
      <c r="T450" s="171"/>
      <c r="U450" s="171"/>
      <c r="V450" s="171"/>
      <c r="W450" s="171"/>
      <c r="X450" s="171"/>
    </row>
    <row r="451" spans="1:24" ht="13.5" x14ac:dyDescent="0.25">
      <c r="A451" s="594" t="s">
        <v>2733</v>
      </c>
      <c r="B451" s="574"/>
      <c r="C451" s="187">
        <f>+SUM(B477:I477)</f>
        <v>2979.4859999999999</v>
      </c>
      <c r="D451" s="563"/>
      <c r="E451" s="171"/>
      <c r="F451" s="171"/>
      <c r="G451" s="171"/>
      <c r="H451" s="171"/>
      <c r="I451" s="171"/>
      <c r="J451" s="171"/>
      <c r="K451" s="171"/>
      <c r="L451" s="171"/>
      <c r="M451" s="171"/>
      <c r="N451" s="171"/>
      <c r="O451" s="171"/>
      <c r="P451" s="171"/>
      <c r="Q451" s="171"/>
      <c r="R451" s="171"/>
      <c r="S451" s="171"/>
      <c r="T451" s="171"/>
      <c r="U451" s="171"/>
      <c r="V451" s="171"/>
      <c r="W451" s="171"/>
      <c r="X451" s="171"/>
    </row>
    <row r="452" spans="1:24" ht="13.5" x14ac:dyDescent="0.25">
      <c r="A452" s="171"/>
      <c r="B452" s="171"/>
      <c r="C452" s="171"/>
      <c r="D452" s="171"/>
      <c r="E452" s="171"/>
      <c r="F452" s="171"/>
      <c r="G452" s="171"/>
      <c r="H452" s="171"/>
      <c r="I452" s="171"/>
      <c r="J452" s="171"/>
      <c r="K452" s="171"/>
      <c r="L452" s="171"/>
      <c r="M452" s="171"/>
      <c r="N452" s="171"/>
      <c r="O452" s="171"/>
      <c r="P452" s="171"/>
      <c r="Q452" s="171"/>
      <c r="R452" s="171"/>
      <c r="S452" s="171"/>
      <c r="T452" s="171"/>
      <c r="U452" s="171"/>
      <c r="V452" s="171"/>
      <c r="W452" s="171"/>
      <c r="X452" s="171"/>
    </row>
    <row r="453" spans="1:24" ht="13.5" x14ac:dyDescent="0.25">
      <c r="A453" s="171"/>
      <c r="B453" s="171"/>
      <c r="C453" s="171"/>
      <c r="D453" s="171"/>
      <c r="E453" s="171"/>
      <c r="F453" s="171"/>
      <c r="G453" s="171"/>
      <c r="H453" s="171"/>
      <c r="I453" s="171"/>
      <c r="J453" s="171"/>
      <c r="K453" s="171"/>
      <c r="L453" s="171"/>
      <c r="M453" s="171"/>
      <c r="N453" s="171"/>
      <c r="O453" s="171"/>
      <c r="P453" s="171"/>
      <c r="Q453" s="171"/>
      <c r="R453" s="171"/>
      <c r="S453" s="171"/>
      <c r="T453" s="171"/>
      <c r="U453" s="171"/>
      <c r="V453" s="171"/>
      <c r="W453" s="171"/>
      <c r="X453" s="171"/>
    </row>
    <row r="454" spans="1:24" ht="13.5" x14ac:dyDescent="0.25">
      <c r="A454" s="578" t="s">
        <v>2759</v>
      </c>
      <c r="B454" s="582"/>
      <c r="C454" s="582"/>
      <c r="D454" s="582"/>
      <c r="E454" s="582"/>
      <c r="F454" s="582"/>
      <c r="G454" s="582"/>
      <c r="H454" s="582"/>
      <c r="I454" s="574"/>
      <c r="J454" s="171"/>
      <c r="K454" s="592" t="s">
        <v>2760</v>
      </c>
      <c r="L454" s="577"/>
      <c r="M454" s="577"/>
      <c r="N454" s="577"/>
      <c r="O454" s="577"/>
      <c r="P454" s="577"/>
      <c r="Q454" s="577"/>
      <c r="R454" s="577"/>
      <c r="S454" s="577"/>
      <c r="T454" s="577"/>
      <c r="U454" s="171"/>
      <c r="V454" s="171"/>
      <c r="W454" s="171"/>
      <c r="X454" s="171"/>
    </row>
    <row r="455" spans="1:24" ht="13.5" x14ac:dyDescent="0.25">
      <c r="A455" s="188"/>
      <c r="B455" s="593" t="s">
        <v>2761</v>
      </c>
      <c r="C455" s="582"/>
      <c r="D455" s="582"/>
      <c r="E455" s="574"/>
      <c r="F455" s="593" t="s">
        <v>2762</v>
      </c>
      <c r="G455" s="574"/>
      <c r="H455" s="593" t="s">
        <v>2718</v>
      </c>
      <c r="I455" s="574"/>
      <c r="J455" s="171"/>
      <c r="K455" s="188"/>
      <c r="L455" s="599" t="s">
        <v>2763</v>
      </c>
      <c r="M455" s="571"/>
      <c r="N455" s="571"/>
      <c r="O455" s="571"/>
      <c r="P455" s="571"/>
      <c r="Q455" s="571"/>
      <c r="R455" s="571"/>
      <c r="S455" s="571"/>
      <c r="T455" s="571"/>
      <c r="U455" s="171"/>
      <c r="V455" s="171"/>
      <c r="W455" s="171"/>
      <c r="X455" s="171"/>
    </row>
    <row r="456" spans="1:24" ht="13.5" x14ac:dyDescent="0.25">
      <c r="A456" s="188"/>
      <c r="B456" s="189" t="s">
        <v>2764</v>
      </c>
      <c r="C456" s="189" t="s">
        <v>2765</v>
      </c>
      <c r="D456" s="189" t="s">
        <v>2766</v>
      </c>
      <c r="E456" s="189" t="s">
        <v>2767</v>
      </c>
      <c r="F456" s="189" t="s">
        <v>2768</v>
      </c>
      <c r="G456" s="189" t="s">
        <v>2769</v>
      </c>
      <c r="H456" s="189" t="s">
        <v>2770</v>
      </c>
      <c r="I456" s="189" t="s">
        <v>2771</v>
      </c>
      <c r="J456" s="171"/>
      <c r="K456" s="188"/>
      <c r="L456" s="189" t="s">
        <v>2772</v>
      </c>
      <c r="M456" s="189" t="s">
        <v>2773</v>
      </c>
      <c r="N456" s="189" t="s">
        <v>2774</v>
      </c>
      <c r="O456" s="189" t="s">
        <v>2775</v>
      </c>
      <c r="P456" s="189" t="s">
        <v>2776</v>
      </c>
      <c r="Q456" s="189" t="s">
        <v>2777</v>
      </c>
      <c r="R456" s="189" t="s">
        <v>2778</v>
      </c>
      <c r="S456" s="597" t="s">
        <v>2779</v>
      </c>
      <c r="T456" s="574"/>
      <c r="U456" s="171"/>
      <c r="V456" s="171"/>
      <c r="W456" s="171"/>
      <c r="X456" s="171"/>
    </row>
    <row r="457" spans="1:24" ht="13.5" x14ac:dyDescent="0.25">
      <c r="A457" s="188" t="s">
        <v>2743</v>
      </c>
      <c r="B457" s="190">
        <v>0.2</v>
      </c>
      <c r="C457" s="190">
        <v>0.2</v>
      </c>
      <c r="D457" s="190">
        <v>0.2</v>
      </c>
      <c r="E457" s="190">
        <v>0.2</v>
      </c>
      <c r="F457" s="190">
        <v>0.2</v>
      </c>
      <c r="G457" s="190">
        <v>0.2</v>
      </c>
      <c r="H457" s="190">
        <v>0.2</v>
      </c>
      <c r="I457" s="190">
        <v>0.2</v>
      </c>
      <c r="J457" s="171"/>
      <c r="K457" s="188" t="s">
        <v>2743</v>
      </c>
      <c r="L457" s="190">
        <v>0.2</v>
      </c>
      <c r="M457" s="190">
        <v>0.2</v>
      </c>
      <c r="N457" s="190">
        <v>0.2</v>
      </c>
      <c r="O457" s="190">
        <v>0.2</v>
      </c>
      <c r="P457" s="190">
        <v>0.2</v>
      </c>
      <c r="Q457" s="190">
        <v>0.2</v>
      </c>
      <c r="R457" s="190">
        <v>0.2</v>
      </c>
      <c r="S457" s="598">
        <v>0.2</v>
      </c>
      <c r="T457" s="574"/>
      <c r="U457" s="171"/>
      <c r="V457" s="171"/>
      <c r="W457" s="171"/>
      <c r="X457" s="171"/>
    </row>
    <row r="458" spans="1:24" ht="13.5" x14ac:dyDescent="0.25">
      <c r="A458" s="188" t="s">
        <v>2744</v>
      </c>
      <c r="B458" s="190">
        <v>2.9</v>
      </c>
      <c r="C458" s="190">
        <v>2.9</v>
      </c>
      <c r="D458" s="190">
        <v>2.9</v>
      </c>
      <c r="E458" s="190">
        <v>3.6</v>
      </c>
      <c r="F458" s="190">
        <v>2.9</v>
      </c>
      <c r="G458" s="190">
        <v>2.9</v>
      </c>
      <c r="H458" s="190">
        <v>2.9</v>
      </c>
      <c r="I458" s="190">
        <v>6.2</v>
      </c>
      <c r="J458" s="171"/>
      <c r="K458" s="188" t="s">
        <v>2744</v>
      </c>
      <c r="L458" s="190">
        <v>5.6</v>
      </c>
      <c r="M458" s="190">
        <v>5.6</v>
      </c>
      <c r="N458" s="190">
        <v>5.6</v>
      </c>
      <c r="O458" s="190">
        <v>5.6</v>
      </c>
      <c r="P458" s="190">
        <v>8.3000000000000007</v>
      </c>
      <c r="Q458" s="190">
        <v>8.3000000000000007</v>
      </c>
      <c r="R458" s="190">
        <v>8.3000000000000007</v>
      </c>
      <c r="S458" s="598">
        <v>8.3000000000000007</v>
      </c>
      <c r="T458" s="574"/>
      <c r="U458" s="171"/>
      <c r="V458" s="171"/>
      <c r="W458" s="171"/>
      <c r="X458" s="171"/>
    </row>
    <row r="459" spans="1:24" ht="13.5" x14ac:dyDescent="0.25">
      <c r="A459" s="188" t="s">
        <v>2745</v>
      </c>
      <c r="B459" s="190">
        <f t="shared" ref="B459:I459" si="8">+(B458/B457)+1</f>
        <v>15.499999999999998</v>
      </c>
      <c r="C459" s="190">
        <f t="shared" si="8"/>
        <v>15.499999999999998</v>
      </c>
      <c r="D459" s="190">
        <f t="shared" si="8"/>
        <v>15.499999999999998</v>
      </c>
      <c r="E459" s="190">
        <f t="shared" si="8"/>
        <v>19</v>
      </c>
      <c r="F459" s="190">
        <f t="shared" si="8"/>
        <v>15.499999999999998</v>
      </c>
      <c r="G459" s="190">
        <f t="shared" si="8"/>
        <v>15.499999999999998</v>
      </c>
      <c r="H459" s="190">
        <f t="shared" si="8"/>
        <v>15.499999999999998</v>
      </c>
      <c r="I459" s="190">
        <f t="shared" si="8"/>
        <v>32</v>
      </c>
      <c r="J459" s="171"/>
      <c r="K459" s="188" t="s">
        <v>2745</v>
      </c>
      <c r="L459" s="190">
        <f t="shared" ref="L459:S459" si="9">+(L458/L457)+1</f>
        <v>28.999999999999996</v>
      </c>
      <c r="M459" s="190">
        <f t="shared" si="9"/>
        <v>28.999999999999996</v>
      </c>
      <c r="N459" s="190">
        <f t="shared" si="9"/>
        <v>28.999999999999996</v>
      </c>
      <c r="O459" s="190">
        <f t="shared" si="9"/>
        <v>28.999999999999996</v>
      </c>
      <c r="P459" s="190">
        <f t="shared" si="9"/>
        <v>42.5</v>
      </c>
      <c r="Q459" s="190">
        <f t="shared" si="9"/>
        <v>42.5</v>
      </c>
      <c r="R459" s="190">
        <f t="shared" si="9"/>
        <v>42.5</v>
      </c>
      <c r="S459" s="598">
        <f t="shared" si="9"/>
        <v>42.5</v>
      </c>
      <c r="T459" s="574"/>
      <c r="U459" s="171"/>
      <c r="V459" s="171"/>
      <c r="W459" s="171"/>
      <c r="X459" s="171"/>
    </row>
    <row r="460" spans="1:24" ht="13.5" x14ac:dyDescent="0.25">
      <c r="A460" s="188" t="s">
        <v>2746</v>
      </c>
      <c r="B460" s="190">
        <v>6</v>
      </c>
      <c r="C460" s="190">
        <v>6</v>
      </c>
      <c r="D460" s="190">
        <v>6</v>
      </c>
      <c r="E460" s="190">
        <v>6</v>
      </c>
      <c r="F460" s="190">
        <v>4.7</v>
      </c>
      <c r="G460" s="190">
        <v>3.94</v>
      </c>
      <c r="H460" s="190">
        <v>6.6</v>
      </c>
      <c r="I460" s="190">
        <v>3.66</v>
      </c>
      <c r="J460" s="171"/>
      <c r="K460" s="188" t="s">
        <v>2746</v>
      </c>
      <c r="L460" s="190">
        <v>4.1900000000000004</v>
      </c>
      <c r="M460" s="190">
        <v>4.3600000000000003</v>
      </c>
      <c r="N460" s="190">
        <v>4.8899999999999997</v>
      </c>
      <c r="O460" s="190">
        <v>5.0599999999999996</v>
      </c>
      <c r="P460" s="190">
        <v>4.1900000000000004</v>
      </c>
      <c r="Q460" s="190">
        <v>4.3600000000000003</v>
      </c>
      <c r="R460" s="190">
        <v>4.1900000000000004</v>
      </c>
      <c r="S460" s="598">
        <v>4.3600000000000003</v>
      </c>
      <c r="T460" s="574"/>
      <c r="U460" s="171"/>
      <c r="V460" s="171"/>
      <c r="W460" s="171"/>
      <c r="X460" s="171"/>
    </row>
    <row r="461" spans="1:24" ht="13.5" x14ac:dyDescent="0.25">
      <c r="A461" s="188" t="s">
        <v>2747</v>
      </c>
      <c r="B461" s="190">
        <v>1.55</v>
      </c>
      <c r="C461" s="190">
        <v>1.55</v>
      </c>
      <c r="D461" s="190">
        <v>1.55</v>
      </c>
      <c r="E461" s="190">
        <v>1.55</v>
      </c>
      <c r="F461" s="190">
        <v>1.55</v>
      </c>
      <c r="G461" s="190">
        <v>1.55</v>
      </c>
      <c r="H461" s="190">
        <v>1.55</v>
      </c>
      <c r="I461" s="190">
        <v>0.996</v>
      </c>
      <c r="J461" s="171"/>
      <c r="K461" s="188" t="s">
        <v>2747</v>
      </c>
      <c r="L461" s="190">
        <v>0.996</v>
      </c>
      <c r="M461" s="190">
        <v>0.996</v>
      </c>
      <c r="N461" s="190">
        <v>0.996</v>
      </c>
      <c r="O461" s="190">
        <v>0.996</v>
      </c>
      <c r="P461" s="190">
        <v>0.996</v>
      </c>
      <c r="Q461" s="190">
        <v>0.996</v>
      </c>
      <c r="R461" s="190">
        <v>0.996</v>
      </c>
      <c r="S461" s="598">
        <v>0.996</v>
      </c>
      <c r="T461" s="574"/>
      <c r="U461" s="171"/>
      <c r="V461" s="171"/>
      <c r="W461" s="171"/>
      <c r="X461" s="171"/>
    </row>
    <row r="462" spans="1:24" ht="13.5" x14ac:dyDescent="0.25">
      <c r="A462" s="188" t="s">
        <v>2748</v>
      </c>
      <c r="B462" s="190">
        <v>2</v>
      </c>
      <c r="C462" s="190">
        <v>2</v>
      </c>
      <c r="D462" s="190">
        <v>2</v>
      </c>
      <c r="E462" s="190">
        <v>2</v>
      </c>
      <c r="F462" s="190">
        <v>1</v>
      </c>
      <c r="G462" s="190">
        <v>1</v>
      </c>
      <c r="H462" s="190">
        <v>2</v>
      </c>
      <c r="I462" s="190">
        <v>2</v>
      </c>
      <c r="J462" s="171"/>
      <c r="K462" s="188" t="s">
        <v>2748</v>
      </c>
      <c r="L462" s="190">
        <v>1</v>
      </c>
      <c r="M462" s="190">
        <v>1</v>
      </c>
      <c r="N462" s="190">
        <v>1</v>
      </c>
      <c r="O462" s="190">
        <v>1</v>
      </c>
      <c r="P462" s="190">
        <v>1</v>
      </c>
      <c r="Q462" s="190">
        <v>1</v>
      </c>
      <c r="R462" s="190">
        <v>1</v>
      </c>
      <c r="S462" s="598">
        <v>1</v>
      </c>
      <c r="T462" s="574"/>
      <c r="U462" s="171"/>
      <c r="V462" s="171"/>
      <c r="W462" s="171"/>
      <c r="X462" s="171"/>
    </row>
    <row r="463" spans="1:24" ht="13.5" x14ac:dyDescent="0.25">
      <c r="A463" s="188" t="s">
        <v>453</v>
      </c>
      <c r="B463" s="190">
        <v>1</v>
      </c>
      <c r="C463" s="190">
        <v>1</v>
      </c>
      <c r="D463" s="190">
        <v>1</v>
      </c>
      <c r="E463" s="190">
        <v>1</v>
      </c>
      <c r="F463" s="190">
        <v>2</v>
      </c>
      <c r="G463" s="190">
        <v>2</v>
      </c>
      <c r="H463" s="190">
        <v>1</v>
      </c>
      <c r="I463" s="190">
        <v>1</v>
      </c>
      <c r="J463" s="171"/>
      <c r="K463" s="188" t="s">
        <v>453</v>
      </c>
      <c r="L463" s="190">
        <v>1</v>
      </c>
      <c r="M463" s="190">
        <v>1</v>
      </c>
      <c r="N463" s="190">
        <v>1</v>
      </c>
      <c r="O463" s="190">
        <v>1</v>
      </c>
      <c r="P463" s="190">
        <v>1</v>
      </c>
      <c r="Q463" s="190">
        <v>1</v>
      </c>
      <c r="R463" s="190">
        <v>1</v>
      </c>
      <c r="S463" s="598">
        <v>1</v>
      </c>
      <c r="T463" s="574"/>
      <c r="U463" s="171"/>
      <c r="V463" s="171"/>
      <c r="W463" s="171"/>
      <c r="X463" s="171"/>
    </row>
    <row r="464" spans="1:24" ht="13.5" x14ac:dyDescent="0.25">
      <c r="A464" s="191" t="s">
        <v>2694</v>
      </c>
      <c r="B464" s="190">
        <f t="shared" ref="B464:I464" si="10">+B459*B460*B461*B462*B463</f>
        <v>288.29999999999995</v>
      </c>
      <c r="C464" s="190">
        <f t="shared" si="10"/>
        <v>288.29999999999995</v>
      </c>
      <c r="D464" s="190">
        <f t="shared" si="10"/>
        <v>288.29999999999995</v>
      </c>
      <c r="E464" s="190">
        <f t="shared" si="10"/>
        <v>353.40000000000003</v>
      </c>
      <c r="F464" s="190">
        <f t="shared" si="10"/>
        <v>225.83499999999998</v>
      </c>
      <c r="G464" s="190">
        <f t="shared" si="10"/>
        <v>189.31699999999998</v>
      </c>
      <c r="H464" s="190">
        <f t="shared" si="10"/>
        <v>317.12999999999994</v>
      </c>
      <c r="I464" s="190">
        <f t="shared" si="10"/>
        <v>233.30304000000001</v>
      </c>
      <c r="J464" s="171"/>
      <c r="K464" s="191" t="s">
        <v>2694</v>
      </c>
      <c r="L464" s="190">
        <f t="shared" ref="L464:S464" si="11">+L459*L460*L461*L462*L463</f>
        <v>121.02395999999999</v>
      </c>
      <c r="M464" s="190">
        <f t="shared" si="11"/>
        <v>125.93424</v>
      </c>
      <c r="N464" s="190">
        <f t="shared" si="11"/>
        <v>141.24275999999998</v>
      </c>
      <c r="O464" s="190">
        <f t="shared" si="11"/>
        <v>146.15303999999998</v>
      </c>
      <c r="P464" s="190">
        <f t="shared" si="11"/>
        <v>177.36270000000002</v>
      </c>
      <c r="Q464" s="190">
        <f t="shared" si="11"/>
        <v>184.55880000000002</v>
      </c>
      <c r="R464" s="190">
        <f t="shared" si="11"/>
        <v>177.36270000000002</v>
      </c>
      <c r="S464" s="598">
        <f t="shared" si="11"/>
        <v>184.55880000000002</v>
      </c>
      <c r="T464" s="574"/>
      <c r="U464" s="171"/>
      <c r="V464" s="171"/>
      <c r="W464" s="171"/>
      <c r="X464" s="171"/>
    </row>
    <row r="465" spans="1:24" ht="13.5" x14ac:dyDescent="0.25">
      <c r="A465" s="171"/>
      <c r="B465" s="171"/>
      <c r="C465" s="171"/>
      <c r="D465" s="171"/>
      <c r="E465" s="171"/>
      <c r="F465" s="171"/>
      <c r="G465" s="171"/>
      <c r="H465" s="171"/>
      <c r="I465" s="171"/>
      <c r="J465" s="171"/>
      <c r="K465" s="171"/>
      <c r="L465" s="171"/>
      <c r="M465" s="171"/>
      <c r="N465" s="171"/>
      <c r="O465" s="171"/>
      <c r="P465" s="171"/>
      <c r="Q465" s="171"/>
      <c r="R465" s="171"/>
      <c r="S465" s="171"/>
      <c r="T465" s="171"/>
      <c r="U465" s="171"/>
      <c r="V465" s="171"/>
      <c r="W465" s="171"/>
      <c r="X465" s="171"/>
    </row>
    <row r="466" spans="1:24" ht="13.5" x14ac:dyDescent="0.25">
      <c r="A466" s="171"/>
      <c r="B466" s="171"/>
      <c r="C466" s="171"/>
      <c r="D466" s="171"/>
      <c r="E466" s="171"/>
      <c r="F466" s="171"/>
      <c r="G466" s="171"/>
      <c r="H466" s="171"/>
      <c r="I466" s="171"/>
      <c r="J466" s="171"/>
      <c r="K466" s="171"/>
      <c r="L466" s="171"/>
      <c r="M466" s="171"/>
      <c r="N466" s="171"/>
      <c r="O466" s="171"/>
      <c r="P466" s="171"/>
      <c r="Q466" s="171"/>
      <c r="R466" s="171"/>
      <c r="S466" s="171"/>
      <c r="T466" s="171"/>
      <c r="U466" s="171"/>
      <c r="V466" s="171"/>
      <c r="W466" s="171"/>
      <c r="X466" s="171"/>
    </row>
    <row r="467" spans="1:24" ht="13.5" x14ac:dyDescent="0.25">
      <c r="A467" s="578" t="s">
        <v>3194</v>
      </c>
      <c r="B467" s="582"/>
      <c r="C467" s="582"/>
      <c r="D467" s="582"/>
      <c r="E467" s="582"/>
      <c r="F467" s="582"/>
      <c r="G467" s="582"/>
      <c r="H467" s="582"/>
      <c r="I467" s="574"/>
      <c r="J467" s="171"/>
      <c r="K467" s="171"/>
      <c r="L467" s="171"/>
      <c r="M467" s="171"/>
      <c r="N467" s="171"/>
      <c r="O467" s="171"/>
      <c r="P467" s="171"/>
      <c r="Q467" s="171"/>
      <c r="R467" s="171"/>
      <c r="S467" s="171"/>
      <c r="T467" s="171"/>
      <c r="U467" s="171"/>
      <c r="V467" s="171"/>
      <c r="W467" s="171"/>
      <c r="X467" s="171"/>
    </row>
    <row r="468" spans="1:24" ht="13.5" x14ac:dyDescent="0.25">
      <c r="A468" s="188"/>
      <c r="B468" s="593" t="s">
        <v>2739</v>
      </c>
      <c r="C468" s="582"/>
      <c r="D468" s="582"/>
      <c r="E468" s="574"/>
      <c r="F468" s="593" t="s">
        <v>2740</v>
      </c>
      <c r="G468" s="582"/>
      <c r="H468" s="582"/>
      <c r="I468" s="574"/>
      <c r="J468" s="171"/>
      <c r="K468" s="171"/>
      <c r="L468" s="171"/>
      <c r="M468" s="171"/>
      <c r="N468" s="171"/>
      <c r="O468" s="171"/>
      <c r="P468" s="171"/>
      <c r="Q468" s="171"/>
      <c r="R468" s="171"/>
      <c r="S468" s="171"/>
      <c r="T468" s="171"/>
      <c r="U468" s="171"/>
      <c r="V468" s="171"/>
      <c r="W468" s="171"/>
      <c r="X468" s="171"/>
    </row>
    <row r="469" spans="1:24" ht="13.5" x14ac:dyDescent="0.25">
      <c r="A469" s="188"/>
      <c r="B469" s="597" t="s">
        <v>2741</v>
      </c>
      <c r="C469" s="574"/>
      <c r="D469" s="597" t="s">
        <v>2742</v>
      </c>
      <c r="E469" s="574"/>
      <c r="F469" s="597" t="s">
        <v>2741</v>
      </c>
      <c r="G469" s="574"/>
      <c r="H469" s="597" t="s">
        <v>2780</v>
      </c>
      <c r="I469" s="574"/>
      <c r="J469" s="171"/>
      <c r="K469" s="171"/>
      <c r="L469" s="171"/>
      <c r="M469" s="171"/>
      <c r="N469" s="171"/>
      <c r="O469" s="171"/>
      <c r="P469" s="171"/>
      <c r="Q469" s="171"/>
      <c r="R469" s="171"/>
      <c r="S469" s="171"/>
      <c r="T469" s="171"/>
      <c r="U469" s="171"/>
      <c r="V469" s="171"/>
      <c r="W469" s="171"/>
      <c r="X469" s="171"/>
    </row>
    <row r="470" spans="1:24" ht="13.5" x14ac:dyDescent="0.25">
      <c r="A470" s="188" t="s">
        <v>2743</v>
      </c>
      <c r="B470" s="598">
        <v>0.2</v>
      </c>
      <c r="C470" s="574"/>
      <c r="D470" s="598">
        <v>0.2</v>
      </c>
      <c r="E470" s="574"/>
      <c r="F470" s="598">
        <v>0.2</v>
      </c>
      <c r="G470" s="574"/>
      <c r="H470" s="598">
        <v>0.2</v>
      </c>
      <c r="I470" s="574"/>
      <c r="J470" s="171"/>
      <c r="K470" s="171"/>
      <c r="L470" s="171"/>
      <c r="M470" s="171"/>
      <c r="N470" s="171"/>
      <c r="O470" s="171"/>
      <c r="P470" s="171"/>
      <c r="Q470" s="171"/>
      <c r="R470" s="171"/>
      <c r="S470" s="171"/>
      <c r="T470" s="171"/>
      <c r="U470" s="171"/>
      <c r="V470" s="171"/>
      <c r="W470" s="171"/>
      <c r="X470" s="171"/>
    </row>
    <row r="471" spans="1:24" ht="13.5" x14ac:dyDescent="0.25">
      <c r="A471" s="188" t="s">
        <v>2744</v>
      </c>
      <c r="B471" s="598">
        <v>5.6</v>
      </c>
      <c r="C471" s="574"/>
      <c r="D471" s="598">
        <v>8.3000000000000007</v>
      </c>
      <c r="E471" s="574"/>
      <c r="F471" s="598">
        <v>5.6</v>
      </c>
      <c r="G471" s="574"/>
      <c r="H471" s="598">
        <v>8.6</v>
      </c>
      <c r="I471" s="574"/>
      <c r="J471" s="171"/>
      <c r="K471" s="171"/>
      <c r="L471" s="171"/>
      <c r="M471" s="171"/>
      <c r="N471" s="171"/>
      <c r="O471" s="171"/>
      <c r="P471" s="171"/>
      <c r="Q471" s="171"/>
      <c r="R471" s="171"/>
      <c r="S471" s="171"/>
      <c r="T471" s="171"/>
      <c r="U471" s="171"/>
      <c r="V471" s="171"/>
      <c r="W471" s="171"/>
      <c r="X471" s="171"/>
    </row>
    <row r="472" spans="1:24" ht="13.5" x14ac:dyDescent="0.25">
      <c r="A472" s="188" t="s">
        <v>2745</v>
      </c>
      <c r="B472" s="598">
        <f>+(B471/B470)+1</f>
        <v>28.999999999999996</v>
      </c>
      <c r="C472" s="574"/>
      <c r="D472" s="598">
        <f>+(D471/D470)+1</f>
        <v>42.5</v>
      </c>
      <c r="E472" s="574"/>
      <c r="F472" s="598">
        <f>+(F471/F470)+1</f>
        <v>28.999999999999996</v>
      </c>
      <c r="G472" s="574"/>
      <c r="H472" s="598">
        <f>+(H471/H470)+1</f>
        <v>43.999999999999993</v>
      </c>
      <c r="I472" s="574"/>
      <c r="J472" s="171"/>
      <c r="K472" s="171"/>
      <c r="L472" s="171"/>
      <c r="M472" s="171"/>
      <c r="N472" s="171"/>
      <c r="O472" s="171"/>
      <c r="P472" s="171"/>
      <c r="Q472" s="171"/>
      <c r="R472" s="171"/>
      <c r="S472" s="171"/>
      <c r="T472" s="171"/>
      <c r="U472" s="171"/>
      <c r="V472" s="171"/>
      <c r="W472" s="171"/>
      <c r="X472" s="171"/>
    </row>
    <row r="473" spans="1:24" ht="13.5" x14ac:dyDescent="0.25">
      <c r="A473" s="188" t="s">
        <v>2746</v>
      </c>
      <c r="B473" s="598">
        <v>10.88</v>
      </c>
      <c r="C473" s="574"/>
      <c r="D473" s="598">
        <v>5.8</v>
      </c>
      <c r="E473" s="574"/>
      <c r="F473" s="598">
        <v>8.4</v>
      </c>
      <c r="G473" s="574"/>
      <c r="H473" s="598">
        <v>5.5</v>
      </c>
      <c r="I473" s="574"/>
      <c r="J473" s="171"/>
      <c r="K473" s="171"/>
      <c r="L473" s="171"/>
      <c r="M473" s="171"/>
      <c r="N473" s="171"/>
      <c r="O473" s="171"/>
      <c r="P473" s="171"/>
      <c r="Q473" s="171"/>
      <c r="R473" s="171"/>
      <c r="S473" s="171"/>
      <c r="T473" s="171"/>
      <c r="U473" s="171"/>
      <c r="V473" s="171"/>
      <c r="W473" s="171"/>
      <c r="X473" s="171"/>
    </row>
    <row r="474" spans="1:24" ht="13.5" x14ac:dyDescent="0.25">
      <c r="A474" s="188" t="s">
        <v>2747</v>
      </c>
      <c r="B474" s="598">
        <v>1.55</v>
      </c>
      <c r="C474" s="574"/>
      <c r="D474" s="598">
        <v>1.55</v>
      </c>
      <c r="E474" s="574"/>
      <c r="F474" s="598">
        <v>1.55</v>
      </c>
      <c r="G474" s="574"/>
      <c r="H474" s="598">
        <v>0.996</v>
      </c>
      <c r="I474" s="574"/>
      <c r="J474" s="171"/>
      <c r="K474" s="171"/>
      <c r="L474" s="171"/>
      <c r="M474" s="171"/>
      <c r="N474" s="171"/>
      <c r="O474" s="171"/>
      <c r="P474" s="171"/>
      <c r="Q474" s="171"/>
      <c r="R474" s="171"/>
      <c r="S474" s="171"/>
      <c r="T474" s="171"/>
      <c r="U474" s="171"/>
      <c r="V474" s="171"/>
      <c r="W474" s="171"/>
      <c r="X474" s="171"/>
    </row>
    <row r="475" spans="1:24" ht="13.5" x14ac:dyDescent="0.25">
      <c r="A475" s="188" t="s">
        <v>2748</v>
      </c>
      <c r="B475" s="598">
        <v>2</v>
      </c>
      <c r="C475" s="574"/>
      <c r="D475" s="598">
        <v>2</v>
      </c>
      <c r="E475" s="574"/>
      <c r="F475" s="598">
        <v>2</v>
      </c>
      <c r="G475" s="574"/>
      <c r="H475" s="598">
        <v>2</v>
      </c>
      <c r="I475" s="574"/>
      <c r="J475" s="171"/>
      <c r="K475" s="171"/>
      <c r="L475" s="171"/>
      <c r="M475" s="171"/>
      <c r="N475" s="171"/>
      <c r="O475" s="171"/>
      <c r="P475" s="171"/>
      <c r="Q475" s="171"/>
      <c r="R475" s="171"/>
      <c r="S475" s="171"/>
      <c r="T475" s="171"/>
      <c r="U475" s="171"/>
      <c r="V475" s="171"/>
      <c r="W475" s="171"/>
      <c r="X475" s="171"/>
    </row>
    <row r="476" spans="1:24" ht="13.5" x14ac:dyDescent="0.25">
      <c r="A476" s="188" t="s">
        <v>453</v>
      </c>
      <c r="B476" s="598">
        <v>1</v>
      </c>
      <c r="C476" s="574"/>
      <c r="D476" s="598">
        <v>1</v>
      </c>
      <c r="E476" s="574"/>
      <c r="F476" s="598">
        <v>1</v>
      </c>
      <c r="G476" s="574"/>
      <c r="H476" s="598">
        <v>1</v>
      </c>
      <c r="I476" s="574"/>
      <c r="J476" s="171"/>
      <c r="K476" s="171"/>
      <c r="L476" s="171"/>
      <c r="M476" s="171"/>
      <c r="N476" s="171"/>
      <c r="O476" s="171"/>
      <c r="P476" s="171"/>
      <c r="Q476" s="171"/>
      <c r="R476" s="171"/>
      <c r="S476" s="171"/>
      <c r="T476" s="171"/>
      <c r="U476" s="171"/>
      <c r="V476" s="171"/>
      <c r="W476" s="171"/>
      <c r="X476" s="171"/>
    </row>
    <row r="477" spans="1:24" ht="13.5" x14ac:dyDescent="0.25">
      <c r="A477" s="191" t="s">
        <v>2694</v>
      </c>
      <c r="B477" s="598">
        <f>+B472*B473*B474*B475*B476</f>
        <v>978.11199999999997</v>
      </c>
      <c r="C477" s="574"/>
      <c r="D477" s="598">
        <f>+D472*D473*D474*D475*D476</f>
        <v>764.15</v>
      </c>
      <c r="E477" s="574"/>
      <c r="F477" s="598">
        <f>+F472*F473*F474*F475*F476</f>
        <v>755.16</v>
      </c>
      <c r="G477" s="574"/>
      <c r="H477" s="598">
        <f>+H472*H473*H474*H475*H476</f>
        <v>482.06399999999996</v>
      </c>
      <c r="I477" s="574"/>
      <c r="J477" s="171"/>
      <c r="K477" s="171"/>
      <c r="L477" s="171"/>
      <c r="M477" s="171"/>
      <c r="N477" s="171"/>
      <c r="O477" s="171"/>
      <c r="P477" s="171"/>
      <c r="Q477" s="171"/>
      <c r="R477" s="171"/>
      <c r="S477" s="171"/>
      <c r="T477" s="171"/>
      <c r="U477" s="171"/>
      <c r="V477" s="171"/>
      <c r="W477" s="171"/>
      <c r="X477" s="171"/>
    </row>
    <row r="478" spans="1:24" ht="13.5" x14ac:dyDescent="0.25">
      <c r="A478" s="171"/>
      <c r="B478" s="171"/>
      <c r="C478" s="171"/>
      <c r="D478" s="171"/>
      <c r="E478" s="171"/>
      <c r="F478" s="171"/>
      <c r="G478" s="171"/>
      <c r="H478" s="171"/>
      <c r="I478" s="171"/>
      <c r="J478" s="171"/>
      <c r="K478" s="195"/>
      <c r="L478" s="171"/>
      <c r="M478" s="171"/>
      <c r="N478" s="171"/>
      <c r="O478" s="171"/>
      <c r="P478" s="171"/>
      <c r="Q478" s="171"/>
      <c r="R478" s="171"/>
      <c r="S478" s="171"/>
      <c r="T478" s="171"/>
      <c r="U478" s="171"/>
      <c r="V478" s="171"/>
      <c r="W478" s="171"/>
      <c r="X478" s="171"/>
    </row>
    <row r="479" spans="1:24" ht="13.5" x14ac:dyDescent="0.25">
      <c r="A479" s="171"/>
      <c r="B479" s="171"/>
      <c r="C479" s="171"/>
      <c r="D479" s="171"/>
      <c r="E479" s="171"/>
      <c r="F479" s="171"/>
      <c r="G479" s="171"/>
      <c r="H479" s="171"/>
      <c r="I479" s="171"/>
      <c r="J479" s="171"/>
      <c r="K479" s="171"/>
      <c r="L479" s="171"/>
      <c r="M479" s="171"/>
      <c r="N479" s="171"/>
      <c r="O479" s="171"/>
      <c r="P479" s="171"/>
      <c r="Q479" s="171"/>
      <c r="R479" s="171"/>
      <c r="S479" s="171"/>
      <c r="T479" s="171"/>
      <c r="U479" s="171"/>
      <c r="V479" s="171"/>
      <c r="W479" s="171"/>
      <c r="X479" s="171"/>
    </row>
    <row r="480" spans="1:24" ht="13.5" x14ac:dyDescent="0.25">
      <c r="A480" s="593" t="s">
        <v>2781</v>
      </c>
      <c r="B480" s="582"/>
      <c r="C480" s="582"/>
      <c r="D480" s="574"/>
      <c r="E480" s="171"/>
      <c r="F480" s="171"/>
      <c r="G480" s="171"/>
      <c r="H480" s="171"/>
      <c r="I480" s="171"/>
      <c r="J480" s="171"/>
      <c r="K480" s="171"/>
      <c r="L480" s="171"/>
      <c r="M480" s="171"/>
      <c r="N480" s="171"/>
      <c r="O480" s="171"/>
      <c r="P480" s="171"/>
      <c r="Q480" s="171"/>
      <c r="R480" s="171"/>
      <c r="S480" s="171"/>
      <c r="T480" s="171"/>
      <c r="U480" s="171"/>
      <c r="V480" s="171"/>
      <c r="W480" s="171"/>
      <c r="X480" s="171"/>
    </row>
    <row r="481" spans="1:24" ht="13.5" x14ac:dyDescent="0.25">
      <c r="A481" s="594" t="s">
        <v>2757</v>
      </c>
      <c r="B481" s="574"/>
      <c r="C481" s="187">
        <f>+SUM(B495:I495)</f>
        <v>2263.9919999999997</v>
      </c>
      <c r="D481" s="595">
        <f>+SUM(C481:C482)</f>
        <v>4436.0418799999989</v>
      </c>
      <c r="E481" s="171"/>
      <c r="F481" s="171"/>
      <c r="G481" s="171"/>
      <c r="H481" s="171"/>
      <c r="I481" s="171"/>
      <c r="J481" s="171"/>
      <c r="K481" s="171"/>
      <c r="L481" s="171"/>
      <c r="M481" s="171"/>
      <c r="N481" s="171"/>
      <c r="O481" s="171"/>
      <c r="P481" s="171"/>
      <c r="Q481" s="171"/>
      <c r="R481" s="171"/>
      <c r="S481" s="171"/>
      <c r="T481" s="171"/>
      <c r="U481" s="171"/>
      <c r="V481" s="171"/>
      <c r="W481" s="171"/>
      <c r="X481" s="171"/>
    </row>
    <row r="482" spans="1:24" ht="13.5" x14ac:dyDescent="0.25">
      <c r="A482" s="594" t="s">
        <v>2758</v>
      </c>
      <c r="B482" s="574"/>
      <c r="C482" s="187">
        <f>+SUM(L495:T495)</f>
        <v>2172.0498799999996</v>
      </c>
      <c r="D482" s="563"/>
      <c r="E482" s="171"/>
      <c r="F482" s="171"/>
      <c r="G482" s="171"/>
      <c r="H482" s="171"/>
      <c r="I482" s="171"/>
      <c r="J482" s="171"/>
      <c r="K482" s="171"/>
      <c r="L482" s="171"/>
      <c r="M482" s="171"/>
      <c r="N482" s="171"/>
      <c r="O482" s="171"/>
      <c r="P482" s="171"/>
      <c r="Q482" s="171"/>
      <c r="R482" s="171"/>
      <c r="S482" s="171"/>
      <c r="T482" s="171"/>
      <c r="U482" s="171"/>
      <c r="V482" s="171"/>
      <c r="W482" s="171"/>
      <c r="X482" s="171"/>
    </row>
    <row r="483" spans="1:24" ht="13.5" x14ac:dyDescent="0.25">
      <c r="A483" s="171"/>
      <c r="B483" s="171"/>
      <c r="C483" s="171"/>
      <c r="D483" s="171"/>
      <c r="E483" s="171"/>
      <c r="F483" s="171"/>
      <c r="G483" s="171"/>
      <c r="H483" s="171"/>
      <c r="I483" s="171"/>
      <c r="J483" s="171"/>
      <c r="K483" s="171"/>
      <c r="L483" s="171"/>
      <c r="M483" s="171"/>
      <c r="N483" s="171"/>
      <c r="O483" s="171"/>
      <c r="P483" s="171"/>
      <c r="Q483" s="171"/>
      <c r="R483" s="171"/>
      <c r="S483" s="171"/>
      <c r="T483" s="171"/>
      <c r="U483" s="171"/>
      <c r="V483" s="171"/>
      <c r="W483" s="171"/>
      <c r="X483" s="171"/>
    </row>
    <row r="484" spans="1:24" ht="13.5" x14ac:dyDescent="0.25">
      <c r="A484" s="171"/>
      <c r="B484" s="171"/>
      <c r="C484" s="171"/>
      <c r="D484" s="171"/>
      <c r="E484" s="171"/>
      <c r="F484" s="171"/>
      <c r="G484" s="171"/>
      <c r="H484" s="171"/>
      <c r="I484" s="171"/>
      <c r="J484" s="171"/>
      <c r="K484" s="171"/>
      <c r="L484" s="171"/>
      <c r="M484" s="171"/>
      <c r="N484" s="171"/>
      <c r="O484" s="171"/>
      <c r="P484" s="171"/>
      <c r="Q484" s="171"/>
      <c r="R484" s="171"/>
      <c r="S484" s="171"/>
      <c r="T484" s="171"/>
      <c r="U484" s="171"/>
      <c r="V484" s="171"/>
      <c r="W484" s="171"/>
      <c r="X484" s="171"/>
    </row>
    <row r="485" spans="1:24" ht="13.5" x14ac:dyDescent="0.25">
      <c r="A485" s="578" t="s">
        <v>2782</v>
      </c>
      <c r="B485" s="582"/>
      <c r="C485" s="582"/>
      <c r="D485" s="582"/>
      <c r="E485" s="582"/>
      <c r="F485" s="582"/>
      <c r="G485" s="582"/>
      <c r="H485" s="582"/>
      <c r="I485" s="574"/>
      <c r="J485" s="171"/>
      <c r="K485" s="578" t="s">
        <v>2783</v>
      </c>
      <c r="L485" s="582"/>
      <c r="M485" s="582"/>
      <c r="N485" s="582"/>
      <c r="O485" s="582"/>
      <c r="P485" s="582"/>
      <c r="Q485" s="582"/>
      <c r="R485" s="582"/>
      <c r="S485" s="582"/>
      <c r="T485" s="574"/>
      <c r="U485" s="171"/>
      <c r="V485" s="171"/>
      <c r="W485" s="171"/>
      <c r="X485" s="171"/>
    </row>
    <row r="486" spans="1:24" ht="13.5" x14ac:dyDescent="0.25">
      <c r="A486" s="188"/>
      <c r="B486" s="593" t="s">
        <v>2761</v>
      </c>
      <c r="C486" s="574"/>
      <c r="D486" s="593" t="s">
        <v>2739</v>
      </c>
      <c r="E486" s="574"/>
      <c r="F486" s="593" t="s">
        <v>2762</v>
      </c>
      <c r="G486" s="574"/>
      <c r="H486" s="593" t="s">
        <v>2718</v>
      </c>
      <c r="I486" s="574"/>
      <c r="J486" s="171"/>
      <c r="K486" s="188"/>
      <c r="L486" s="593" t="s">
        <v>2784</v>
      </c>
      <c r="M486" s="582"/>
      <c r="N486" s="582"/>
      <c r="O486" s="582"/>
      <c r="P486" s="574"/>
      <c r="Q486" s="593" t="s">
        <v>2740</v>
      </c>
      <c r="R486" s="582"/>
      <c r="S486" s="582"/>
      <c r="T486" s="574"/>
      <c r="U486" s="171"/>
      <c r="V486" s="171"/>
      <c r="W486" s="171"/>
      <c r="X486" s="171"/>
    </row>
    <row r="487" spans="1:24" ht="13.5" x14ac:dyDescent="0.25">
      <c r="A487" s="188"/>
      <c r="B487" s="189" t="s">
        <v>2785</v>
      </c>
      <c r="C487" s="189" t="s">
        <v>2719</v>
      </c>
      <c r="D487" s="189" t="s">
        <v>2741</v>
      </c>
      <c r="E487" s="189" t="s">
        <v>2742</v>
      </c>
      <c r="F487" s="597" t="s">
        <v>2786</v>
      </c>
      <c r="G487" s="574"/>
      <c r="H487" s="597" t="s">
        <v>2787</v>
      </c>
      <c r="I487" s="574"/>
      <c r="J487" s="171"/>
      <c r="K487" s="188"/>
      <c r="L487" s="189" t="s">
        <v>2788</v>
      </c>
      <c r="M487" s="189" t="s">
        <v>2789</v>
      </c>
      <c r="N487" s="189" t="s">
        <v>2790</v>
      </c>
      <c r="O487" s="189" t="s">
        <v>2791</v>
      </c>
      <c r="P487" s="189" t="s">
        <v>476</v>
      </c>
      <c r="Q487" s="191" t="s">
        <v>2792</v>
      </c>
      <c r="R487" s="191" t="s">
        <v>2793</v>
      </c>
      <c r="S487" s="597" t="s">
        <v>2794</v>
      </c>
      <c r="T487" s="574"/>
      <c r="U487" s="171"/>
      <c r="V487" s="171"/>
      <c r="W487" s="171"/>
      <c r="X487" s="171"/>
    </row>
    <row r="488" spans="1:24" ht="13.5" x14ac:dyDescent="0.25">
      <c r="A488" s="188" t="s">
        <v>2743</v>
      </c>
      <c r="B488" s="190">
        <v>0.2</v>
      </c>
      <c r="C488" s="190">
        <v>0.2</v>
      </c>
      <c r="D488" s="190">
        <v>0.2</v>
      </c>
      <c r="E488" s="190">
        <v>0.2</v>
      </c>
      <c r="F488" s="598">
        <v>0.2</v>
      </c>
      <c r="G488" s="574"/>
      <c r="H488" s="598">
        <v>0.2</v>
      </c>
      <c r="I488" s="574"/>
      <c r="J488" s="171"/>
      <c r="K488" s="188" t="s">
        <v>2743</v>
      </c>
      <c r="L488" s="190">
        <v>0.2</v>
      </c>
      <c r="M488" s="190">
        <v>0.2</v>
      </c>
      <c r="N488" s="190">
        <v>0.2</v>
      </c>
      <c r="O488" s="190">
        <v>0.2</v>
      </c>
      <c r="P488" s="196">
        <v>0.2</v>
      </c>
      <c r="Q488" s="196">
        <v>0.2</v>
      </c>
      <c r="R488" s="196">
        <v>0.2</v>
      </c>
      <c r="S488" s="598">
        <v>0.2</v>
      </c>
      <c r="T488" s="574"/>
      <c r="U488" s="171"/>
      <c r="V488" s="171"/>
      <c r="W488" s="171"/>
      <c r="X488" s="171"/>
    </row>
    <row r="489" spans="1:24" ht="13.5" x14ac:dyDescent="0.25">
      <c r="A489" s="188" t="s">
        <v>2744</v>
      </c>
      <c r="B489" s="190">
        <v>2.9</v>
      </c>
      <c r="C489" s="190">
        <v>2.9</v>
      </c>
      <c r="D489" s="190">
        <v>5</v>
      </c>
      <c r="E489" s="190">
        <v>5</v>
      </c>
      <c r="F489" s="598">
        <v>2.9</v>
      </c>
      <c r="G489" s="574"/>
      <c r="H489" s="598">
        <v>2.9</v>
      </c>
      <c r="I489" s="574"/>
      <c r="J489" s="171"/>
      <c r="K489" s="188" t="s">
        <v>2744</v>
      </c>
      <c r="L489" s="190">
        <v>5.6</v>
      </c>
      <c r="M489" s="190">
        <v>5.6</v>
      </c>
      <c r="N489" s="190">
        <v>5.6</v>
      </c>
      <c r="O489" s="190">
        <v>5.6</v>
      </c>
      <c r="P489" s="196">
        <v>3.8</v>
      </c>
      <c r="Q489" s="196">
        <v>5.6</v>
      </c>
      <c r="R489" s="196">
        <v>5.6</v>
      </c>
      <c r="S489" s="598">
        <v>5.6</v>
      </c>
      <c r="T489" s="574"/>
      <c r="U489" s="171"/>
      <c r="V489" s="171"/>
      <c r="W489" s="171"/>
      <c r="X489" s="171"/>
    </row>
    <row r="490" spans="1:24" ht="13.5" x14ac:dyDescent="0.25">
      <c r="A490" s="188" t="s">
        <v>2745</v>
      </c>
      <c r="B490" s="190">
        <f>+(B489/B488)+1</f>
        <v>15.499999999999998</v>
      </c>
      <c r="C490" s="190">
        <f>+(C489/C488)+1</f>
        <v>15.499999999999998</v>
      </c>
      <c r="D490" s="190">
        <f>+(D489/D488)+1</f>
        <v>26</v>
      </c>
      <c r="E490" s="190">
        <f>+(E489/E488)+1</f>
        <v>26</v>
      </c>
      <c r="F490" s="598">
        <f>+(F489/F488)+1</f>
        <v>15.499999999999998</v>
      </c>
      <c r="G490" s="574"/>
      <c r="H490" s="598">
        <f>+(H489/H488)+1</f>
        <v>15.499999999999998</v>
      </c>
      <c r="I490" s="574"/>
      <c r="J490" s="171"/>
      <c r="K490" s="188" t="s">
        <v>2745</v>
      </c>
      <c r="L490" s="190">
        <f t="shared" ref="L490:S490" si="12">+(L489/L488)+1</f>
        <v>28.999999999999996</v>
      </c>
      <c r="M490" s="190">
        <f t="shared" si="12"/>
        <v>28.999999999999996</v>
      </c>
      <c r="N490" s="190">
        <f t="shared" si="12"/>
        <v>28.999999999999996</v>
      </c>
      <c r="O490" s="190">
        <f t="shared" si="12"/>
        <v>28.999999999999996</v>
      </c>
      <c r="P490" s="196">
        <f t="shared" si="12"/>
        <v>19.999999999999996</v>
      </c>
      <c r="Q490" s="196">
        <f t="shared" si="12"/>
        <v>28.999999999999996</v>
      </c>
      <c r="R490" s="196">
        <f t="shared" si="12"/>
        <v>28.999999999999996</v>
      </c>
      <c r="S490" s="598">
        <f t="shared" si="12"/>
        <v>28.999999999999996</v>
      </c>
      <c r="T490" s="574"/>
      <c r="U490" s="171"/>
      <c r="V490" s="171"/>
      <c r="W490" s="171"/>
      <c r="X490" s="171"/>
    </row>
    <row r="491" spans="1:24" ht="13.5" x14ac:dyDescent="0.25">
      <c r="A491" s="188" t="s">
        <v>2746</v>
      </c>
      <c r="B491" s="190">
        <v>4.84</v>
      </c>
      <c r="C491" s="190">
        <v>5.2</v>
      </c>
      <c r="D491" s="190">
        <v>4.84</v>
      </c>
      <c r="E491" s="190">
        <v>4.84</v>
      </c>
      <c r="F491" s="598">
        <v>3.3</v>
      </c>
      <c r="G491" s="574"/>
      <c r="H491" s="598">
        <v>4.2</v>
      </c>
      <c r="I491" s="574"/>
      <c r="J491" s="171"/>
      <c r="K491" s="188" t="s">
        <v>2746</v>
      </c>
      <c r="L491" s="190">
        <v>4.37</v>
      </c>
      <c r="M491" s="190">
        <v>4.46</v>
      </c>
      <c r="N491" s="190">
        <v>4.37</v>
      </c>
      <c r="O491" s="190">
        <v>4.46</v>
      </c>
      <c r="P491" s="196">
        <v>3.6</v>
      </c>
      <c r="Q491" s="196">
        <v>4.8499999999999996</v>
      </c>
      <c r="R491" s="196">
        <v>2.9</v>
      </c>
      <c r="S491" s="598">
        <v>2.58</v>
      </c>
      <c r="T491" s="574"/>
      <c r="U491" s="171"/>
      <c r="V491" s="171"/>
      <c r="W491" s="171"/>
      <c r="X491" s="171"/>
    </row>
    <row r="492" spans="1:24" ht="13.5" x14ac:dyDescent="0.25">
      <c r="A492" s="188" t="s">
        <v>2747</v>
      </c>
      <c r="B492" s="190">
        <v>1.55</v>
      </c>
      <c r="C492" s="190">
        <v>1.55</v>
      </c>
      <c r="D492" s="190">
        <v>1.55</v>
      </c>
      <c r="E492" s="190">
        <v>1.55</v>
      </c>
      <c r="F492" s="598">
        <v>1.55</v>
      </c>
      <c r="G492" s="574"/>
      <c r="H492" s="598">
        <v>1.55</v>
      </c>
      <c r="I492" s="574"/>
      <c r="J492" s="171"/>
      <c r="K492" s="188" t="s">
        <v>2747</v>
      </c>
      <c r="L492" s="190">
        <v>0.996</v>
      </c>
      <c r="M492" s="190">
        <v>0.996</v>
      </c>
      <c r="N492" s="190">
        <v>0.996</v>
      </c>
      <c r="O492" s="190">
        <v>0.996</v>
      </c>
      <c r="P492" s="196">
        <v>1.55</v>
      </c>
      <c r="Q492" s="196">
        <v>1.55</v>
      </c>
      <c r="R492" s="196">
        <v>1.55</v>
      </c>
      <c r="S492" s="598">
        <v>1.55</v>
      </c>
      <c r="T492" s="574"/>
      <c r="U492" s="171"/>
      <c r="V492" s="171"/>
      <c r="W492" s="171"/>
      <c r="X492" s="171"/>
    </row>
    <row r="493" spans="1:24" ht="13.5" x14ac:dyDescent="0.25">
      <c r="A493" s="188" t="s">
        <v>2748</v>
      </c>
      <c r="B493" s="190">
        <v>1</v>
      </c>
      <c r="C493" s="190">
        <v>1</v>
      </c>
      <c r="D493" s="190">
        <v>2</v>
      </c>
      <c r="E493" s="190">
        <v>2</v>
      </c>
      <c r="F493" s="598">
        <v>2</v>
      </c>
      <c r="G493" s="574"/>
      <c r="H493" s="598">
        <v>2</v>
      </c>
      <c r="I493" s="574"/>
      <c r="J493" s="171"/>
      <c r="K493" s="188" t="s">
        <v>2748</v>
      </c>
      <c r="L493" s="190">
        <v>1</v>
      </c>
      <c r="M493" s="190">
        <v>1</v>
      </c>
      <c r="N493" s="190">
        <v>1</v>
      </c>
      <c r="O493" s="190">
        <v>1</v>
      </c>
      <c r="P493" s="196">
        <v>2</v>
      </c>
      <c r="Q493" s="196">
        <v>2</v>
      </c>
      <c r="R493" s="196">
        <v>2</v>
      </c>
      <c r="S493" s="598">
        <v>2</v>
      </c>
      <c r="T493" s="574"/>
      <c r="U493" s="171"/>
      <c r="V493" s="171"/>
      <c r="W493" s="171"/>
      <c r="X493" s="171"/>
    </row>
    <row r="494" spans="1:24" ht="13.5" x14ac:dyDescent="0.25">
      <c r="A494" s="188" t="s">
        <v>453</v>
      </c>
      <c r="B494" s="190">
        <v>4</v>
      </c>
      <c r="C494" s="190">
        <v>4</v>
      </c>
      <c r="D494" s="190">
        <v>1</v>
      </c>
      <c r="E494" s="190">
        <v>1</v>
      </c>
      <c r="F494" s="598">
        <v>2</v>
      </c>
      <c r="G494" s="574"/>
      <c r="H494" s="598">
        <v>1</v>
      </c>
      <c r="I494" s="574"/>
      <c r="J494" s="171"/>
      <c r="K494" s="188" t="s">
        <v>453</v>
      </c>
      <c r="L494" s="190">
        <v>2</v>
      </c>
      <c r="M494" s="190">
        <v>2</v>
      </c>
      <c r="N494" s="190">
        <v>2</v>
      </c>
      <c r="O494" s="190">
        <v>2</v>
      </c>
      <c r="P494" s="196">
        <v>1</v>
      </c>
      <c r="Q494" s="196">
        <v>1</v>
      </c>
      <c r="R494" s="196">
        <v>1</v>
      </c>
      <c r="S494" s="598">
        <v>1</v>
      </c>
      <c r="T494" s="574"/>
      <c r="U494" s="171"/>
      <c r="V494" s="171"/>
      <c r="W494" s="171"/>
      <c r="X494" s="171"/>
    </row>
    <row r="495" spans="1:24" ht="13.5" x14ac:dyDescent="0.25">
      <c r="A495" s="191" t="s">
        <v>2694</v>
      </c>
      <c r="B495" s="190">
        <f>+B490*B491*B492*B493*B494</f>
        <v>465.12399999999997</v>
      </c>
      <c r="C495" s="190">
        <f>+C490*C491*C492*C493*C494</f>
        <v>499.71999999999997</v>
      </c>
      <c r="D495" s="190">
        <f>+D490*D491*D492*D493*D494</f>
        <v>390.10400000000004</v>
      </c>
      <c r="E495" s="190">
        <f>+E490*E491*E492*E493*E494</f>
        <v>390.10400000000004</v>
      </c>
      <c r="F495" s="598">
        <f>+F490*F491*F492*F493*F494</f>
        <v>317.12999999999994</v>
      </c>
      <c r="G495" s="574"/>
      <c r="H495" s="598">
        <f>+H490*H491*H492*H493*H494</f>
        <v>201.81</v>
      </c>
      <c r="I495" s="574"/>
      <c r="J495" s="171"/>
      <c r="K495" s="191" t="s">
        <v>2694</v>
      </c>
      <c r="L495" s="190">
        <f t="shared" ref="L495:S495" si="13">+L490*L491*L492*L493*L494</f>
        <v>252.44615999999999</v>
      </c>
      <c r="M495" s="190">
        <f t="shared" si="13"/>
        <v>257.64527999999996</v>
      </c>
      <c r="N495" s="190">
        <f t="shared" si="13"/>
        <v>252.44615999999999</v>
      </c>
      <c r="O495" s="190">
        <f t="shared" si="13"/>
        <v>257.64527999999996</v>
      </c>
      <c r="P495" s="196">
        <f t="shared" si="13"/>
        <v>223.19999999999996</v>
      </c>
      <c r="Q495" s="196">
        <f t="shared" si="13"/>
        <v>436.01499999999993</v>
      </c>
      <c r="R495" s="196">
        <f t="shared" si="13"/>
        <v>260.70999999999992</v>
      </c>
      <c r="S495" s="598">
        <f t="shared" si="13"/>
        <v>231.94199999999998</v>
      </c>
      <c r="T495" s="574"/>
      <c r="U495" s="171"/>
      <c r="V495" s="171"/>
      <c r="W495" s="171"/>
      <c r="X495" s="171"/>
    </row>
    <row r="496" spans="1:24" ht="13.5" x14ac:dyDescent="0.25">
      <c r="A496" s="171"/>
      <c r="B496" s="171"/>
      <c r="C496" s="171"/>
      <c r="D496" s="171"/>
      <c r="E496" s="171"/>
      <c r="F496" s="171"/>
      <c r="G496" s="171"/>
      <c r="H496" s="171"/>
      <c r="I496" s="171"/>
      <c r="J496" s="171"/>
      <c r="K496" s="171"/>
      <c r="L496" s="171"/>
      <c r="M496" s="171"/>
      <c r="N496" s="171"/>
      <c r="O496" s="171"/>
      <c r="P496" s="171"/>
      <c r="Q496" s="171"/>
      <c r="R496" s="171"/>
      <c r="S496" s="171"/>
      <c r="T496" s="171"/>
      <c r="U496" s="171"/>
      <c r="V496" s="171"/>
      <c r="W496" s="171"/>
      <c r="X496" s="171"/>
    </row>
    <row r="497" spans="1:24" ht="13.5" x14ac:dyDescent="0.25">
      <c r="A497" s="171"/>
      <c r="B497" s="171"/>
      <c r="C497" s="171"/>
      <c r="D497" s="171"/>
      <c r="E497" s="171"/>
      <c r="F497" s="171"/>
      <c r="G497" s="171"/>
      <c r="H497" s="171"/>
      <c r="I497" s="171"/>
      <c r="J497" s="171"/>
      <c r="K497" s="171"/>
      <c r="L497" s="171"/>
      <c r="M497" s="171"/>
      <c r="N497" s="171"/>
      <c r="O497" s="171"/>
      <c r="P497" s="171"/>
      <c r="Q497" s="171"/>
      <c r="R497" s="171"/>
      <c r="S497" s="171"/>
      <c r="T497" s="171"/>
      <c r="U497" s="171"/>
      <c r="V497" s="171"/>
      <c r="W497" s="171"/>
      <c r="X497" s="171"/>
    </row>
    <row r="498" spans="1:24" ht="13.5" x14ac:dyDescent="0.25">
      <c r="A498" s="171"/>
      <c r="B498" s="171"/>
      <c r="C498" s="171"/>
      <c r="D498" s="171"/>
      <c r="E498" s="171"/>
      <c r="F498" s="171"/>
      <c r="G498" s="171"/>
      <c r="H498" s="171"/>
      <c r="I498" s="171"/>
      <c r="J498" s="171"/>
      <c r="K498" s="171"/>
      <c r="L498" s="171"/>
      <c r="M498" s="171"/>
      <c r="N498" s="171"/>
      <c r="O498" s="171"/>
      <c r="P498" s="171"/>
      <c r="Q498" s="171"/>
      <c r="R498" s="171"/>
      <c r="S498" s="171"/>
      <c r="T498" s="171"/>
      <c r="U498" s="171"/>
      <c r="V498" s="171"/>
      <c r="W498" s="171"/>
      <c r="X498" s="171"/>
    </row>
    <row r="499" spans="1:24" ht="13.5" x14ac:dyDescent="0.25">
      <c r="A499" s="171"/>
      <c r="B499" s="171"/>
      <c r="C499" s="171"/>
      <c r="D499" s="171"/>
      <c r="E499" s="171"/>
      <c r="F499" s="171"/>
      <c r="G499" s="171"/>
      <c r="H499" s="171"/>
      <c r="I499" s="171"/>
      <c r="J499" s="171"/>
      <c r="K499" s="171"/>
      <c r="L499" s="171"/>
      <c r="M499" s="171"/>
      <c r="N499" s="171"/>
      <c r="O499" s="171"/>
      <c r="P499" s="171"/>
      <c r="Q499" s="171"/>
      <c r="R499" s="171"/>
      <c r="S499" s="171"/>
      <c r="T499" s="171"/>
      <c r="U499" s="171"/>
      <c r="V499" s="171"/>
      <c r="W499" s="171"/>
      <c r="X499" s="171"/>
    </row>
    <row r="500" spans="1:24" ht="13.5" x14ac:dyDescent="0.25">
      <c r="A500" s="171"/>
      <c r="B500" s="171"/>
      <c r="C500" s="171"/>
      <c r="D500" s="171"/>
      <c r="E500" s="171"/>
      <c r="F500" s="171"/>
      <c r="G500" s="171"/>
      <c r="H500" s="171"/>
      <c r="I500" s="171"/>
      <c r="J500" s="171"/>
      <c r="K500" s="171"/>
      <c r="L500" s="171"/>
      <c r="M500" s="171"/>
      <c r="N500" s="171"/>
      <c r="O500" s="171"/>
      <c r="P500" s="171"/>
      <c r="Q500" s="171"/>
      <c r="R500" s="171"/>
      <c r="S500" s="171"/>
      <c r="T500" s="171"/>
      <c r="U500" s="171"/>
      <c r="V500" s="171"/>
      <c r="W500" s="171"/>
      <c r="X500" s="171"/>
    </row>
    <row r="501" spans="1:24" ht="13.5" x14ac:dyDescent="0.25">
      <c r="A501" s="171"/>
      <c r="B501" s="171"/>
      <c r="C501" s="171"/>
      <c r="D501" s="171"/>
      <c r="E501" s="171"/>
      <c r="F501" s="171"/>
      <c r="G501" s="171"/>
      <c r="H501" s="171"/>
      <c r="I501" s="171"/>
      <c r="J501" s="171"/>
      <c r="K501" s="171"/>
      <c r="L501" s="171"/>
      <c r="M501" s="171"/>
      <c r="N501" s="171"/>
      <c r="O501" s="171"/>
      <c r="P501" s="171"/>
      <c r="Q501" s="171"/>
      <c r="R501" s="171"/>
      <c r="S501" s="171"/>
      <c r="T501" s="171"/>
      <c r="U501" s="171"/>
      <c r="V501" s="171"/>
      <c r="W501" s="171"/>
      <c r="X501" s="171"/>
    </row>
    <row r="502" spans="1:24" ht="13.5" x14ac:dyDescent="0.25">
      <c r="A502" s="171"/>
      <c r="B502" s="171"/>
      <c r="C502" s="171"/>
      <c r="D502" s="171"/>
      <c r="E502" s="171"/>
      <c r="F502" s="171"/>
      <c r="G502" s="171"/>
      <c r="H502" s="171"/>
      <c r="I502" s="171"/>
      <c r="J502" s="171"/>
      <c r="K502" s="171"/>
      <c r="L502" s="171"/>
      <c r="M502" s="171"/>
      <c r="N502" s="171"/>
      <c r="O502" s="171"/>
      <c r="P502" s="171"/>
      <c r="Q502" s="171"/>
      <c r="R502" s="171"/>
      <c r="S502" s="171"/>
      <c r="T502" s="171"/>
      <c r="U502" s="171"/>
      <c r="V502" s="171"/>
      <c r="W502" s="171"/>
      <c r="X502" s="171"/>
    </row>
    <row r="503" spans="1:24" ht="13.5" x14ac:dyDescent="0.25">
      <c r="A503" s="171"/>
      <c r="B503" s="171"/>
      <c r="C503" s="171"/>
      <c r="D503" s="171"/>
      <c r="E503" s="171"/>
      <c r="F503" s="171"/>
      <c r="G503" s="171"/>
      <c r="H503" s="171"/>
      <c r="I503" s="171"/>
      <c r="J503" s="171"/>
      <c r="K503" s="171"/>
      <c r="L503" s="171"/>
      <c r="M503" s="171"/>
      <c r="N503" s="171"/>
      <c r="O503" s="171"/>
      <c r="P503" s="171"/>
      <c r="Q503" s="171"/>
      <c r="R503" s="171"/>
      <c r="S503" s="171"/>
      <c r="T503" s="171"/>
      <c r="U503" s="171"/>
      <c r="V503" s="171"/>
      <c r="W503" s="171"/>
      <c r="X503" s="171"/>
    </row>
    <row r="504" spans="1:24" ht="13.5" x14ac:dyDescent="0.25">
      <c r="A504" s="171"/>
      <c r="B504" s="171"/>
      <c r="C504" s="171"/>
      <c r="D504" s="171"/>
      <c r="E504" s="171"/>
      <c r="F504" s="171"/>
      <c r="G504" s="171"/>
      <c r="H504" s="171"/>
      <c r="I504" s="171"/>
      <c r="J504" s="171"/>
      <c r="K504" s="171"/>
      <c r="L504" s="171"/>
      <c r="M504" s="171"/>
      <c r="N504" s="171"/>
      <c r="O504" s="171"/>
      <c r="P504" s="171"/>
      <c r="Q504" s="171"/>
      <c r="R504" s="171"/>
      <c r="S504" s="171"/>
      <c r="T504" s="171"/>
      <c r="U504" s="171"/>
      <c r="V504" s="171"/>
      <c r="W504" s="171"/>
      <c r="X504" s="171"/>
    </row>
    <row r="505" spans="1:24" ht="13.5" x14ac:dyDescent="0.25">
      <c r="A505" s="171"/>
      <c r="B505" s="171"/>
      <c r="C505" s="171"/>
      <c r="D505" s="171"/>
      <c r="E505" s="171"/>
      <c r="F505" s="171"/>
      <c r="G505" s="171"/>
      <c r="H505" s="171"/>
      <c r="I505" s="171"/>
      <c r="J505" s="171"/>
      <c r="K505" s="171"/>
      <c r="L505" s="171"/>
      <c r="M505" s="171"/>
      <c r="N505" s="171"/>
      <c r="O505" s="171"/>
      <c r="P505" s="171"/>
      <c r="Q505" s="171"/>
      <c r="R505" s="171"/>
      <c r="S505" s="171"/>
      <c r="T505" s="171"/>
      <c r="U505" s="171"/>
      <c r="V505" s="171"/>
      <c r="W505" s="171"/>
      <c r="X505" s="171"/>
    </row>
  </sheetData>
  <mergeCells count="991">
    <mergeCell ref="F491:G491"/>
    <mergeCell ref="H491:I491"/>
    <mergeCell ref="S491:T491"/>
    <mergeCell ref="F492:G492"/>
    <mergeCell ref="H492:I492"/>
    <mergeCell ref="S492:T492"/>
    <mergeCell ref="F495:G495"/>
    <mergeCell ref="H495:I495"/>
    <mergeCell ref="S495:T495"/>
    <mergeCell ref="F493:G493"/>
    <mergeCell ref="H493:I493"/>
    <mergeCell ref="S493:T493"/>
    <mergeCell ref="F494:G494"/>
    <mergeCell ref="H494:I494"/>
    <mergeCell ref="S494:T494"/>
    <mergeCell ref="F488:G488"/>
    <mergeCell ref="H488:I488"/>
    <mergeCell ref="S488:T488"/>
    <mergeCell ref="F489:G489"/>
    <mergeCell ref="H489:I489"/>
    <mergeCell ref="S489:T489"/>
    <mergeCell ref="F490:G490"/>
    <mergeCell ref="H490:I490"/>
    <mergeCell ref="S490:T490"/>
    <mergeCell ref="K485:T485"/>
    <mergeCell ref="B486:C486"/>
    <mergeCell ref="D486:E486"/>
    <mergeCell ref="F486:G486"/>
    <mergeCell ref="H486:I486"/>
    <mergeCell ref="L486:P486"/>
    <mergeCell ref="Q486:T486"/>
    <mergeCell ref="F487:G487"/>
    <mergeCell ref="H487:I487"/>
    <mergeCell ref="S487:T487"/>
    <mergeCell ref="B477:C477"/>
    <mergeCell ref="D477:E477"/>
    <mergeCell ref="F477:G477"/>
    <mergeCell ref="H477:I477"/>
    <mergeCell ref="A480:D480"/>
    <mergeCell ref="A481:B481"/>
    <mergeCell ref="D481:D482"/>
    <mergeCell ref="A482:B482"/>
    <mergeCell ref="A485:I485"/>
    <mergeCell ref="B474:C474"/>
    <mergeCell ref="D474:E474"/>
    <mergeCell ref="F474:G474"/>
    <mergeCell ref="H474:I474"/>
    <mergeCell ref="B475:C475"/>
    <mergeCell ref="D475:E475"/>
    <mergeCell ref="F475:G475"/>
    <mergeCell ref="H475:I475"/>
    <mergeCell ref="B476:C476"/>
    <mergeCell ref="D476:E476"/>
    <mergeCell ref="F476:G476"/>
    <mergeCell ref="H476:I476"/>
    <mergeCell ref="B471:C471"/>
    <mergeCell ref="D471:E471"/>
    <mergeCell ref="F471:G471"/>
    <mergeCell ref="H471:I471"/>
    <mergeCell ref="B472:C472"/>
    <mergeCell ref="D472:E472"/>
    <mergeCell ref="F472:G472"/>
    <mergeCell ref="H472:I472"/>
    <mergeCell ref="B473:C473"/>
    <mergeCell ref="D473:E473"/>
    <mergeCell ref="F473:G473"/>
    <mergeCell ref="H473:I473"/>
    <mergeCell ref="A467:I467"/>
    <mergeCell ref="B468:E468"/>
    <mergeCell ref="F468:I468"/>
    <mergeCell ref="B469:C469"/>
    <mergeCell ref="D469:E469"/>
    <mergeCell ref="F469:G469"/>
    <mergeCell ref="H469:I469"/>
    <mergeCell ref="B470:C470"/>
    <mergeCell ref="D470:E470"/>
    <mergeCell ref="F470:G470"/>
    <mergeCell ref="H470:I470"/>
    <mergeCell ref="S456:T456"/>
    <mergeCell ref="S457:T457"/>
    <mergeCell ref="S458:T458"/>
    <mergeCell ref="S459:T459"/>
    <mergeCell ref="S460:T460"/>
    <mergeCell ref="S461:T461"/>
    <mergeCell ref="S462:T462"/>
    <mergeCell ref="S463:T463"/>
    <mergeCell ref="S464:T464"/>
    <mergeCell ref="A448:D448"/>
    <mergeCell ref="A449:B449"/>
    <mergeCell ref="D449:D451"/>
    <mergeCell ref="A450:B450"/>
    <mergeCell ref="A451:B451"/>
    <mergeCell ref="A454:I454"/>
    <mergeCell ref="K454:T454"/>
    <mergeCell ref="B455:E455"/>
    <mergeCell ref="F455:G455"/>
    <mergeCell ref="H455:I455"/>
    <mergeCell ref="L455:T455"/>
    <mergeCell ref="S437:T437"/>
    <mergeCell ref="S438:T438"/>
    <mergeCell ref="S439:T439"/>
    <mergeCell ref="S440:T440"/>
    <mergeCell ref="S441:T441"/>
    <mergeCell ref="S442:T442"/>
    <mergeCell ref="S443:T443"/>
    <mergeCell ref="S444:T444"/>
    <mergeCell ref="S445:T445"/>
    <mergeCell ref="A435:I435"/>
    <mergeCell ref="K435:T435"/>
    <mergeCell ref="B436:D436"/>
    <mergeCell ref="E436:G436"/>
    <mergeCell ref="H436:I436"/>
    <mergeCell ref="L436:M436"/>
    <mergeCell ref="N436:O436"/>
    <mergeCell ref="Q436:R436"/>
    <mergeCell ref="S436:T436"/>
    <mergeCell ref="A415:D415"/>
    <mergeCell ref="A416:B416"/>
    <mergeCell ref="D416:D419"/>
    <mergeCell ref="A417:B417"/>
    <mergeCell ref="A418:B418"/>
    <mergeCell ref="A419:B419"/>
    <mergeCell ref="A422:I422"/>
    <mergeCell ref="K422:T422"/>
    <mergeCell ref="B423:C423"/>
    <mergeCell ref="D423:E423"/>
    <mergeCell ref="F423:G423"/>
    <mergeCell ref="H423:I423"/>
    <mergeCell ref="L423:M423"/>
    <mergeCell ref="N423:P423"/>
    <mergeCell ref="Q423:R423"/>
    <mergeCell ref="S423:T423"/>
    <mergeCell ref="D411:D412"/>
    <mergeCell ref="E411:E412"/>
    <mergeCell ref="J411:J412"/>
    <mergeCell ref="K411:L412"/>
    <mergeCell ref="Q411:Q412"/>
    <mergeCell ref="R411:R412"/>
    <mergeCell ref="S411:T412"/>
    <mergeCell ref="D409:D410"/>
    <mergeCell ref="E409:E410"/>
    <mergeCell ref="R405:R406"/>
    <mergeCell ref="S405:T406"/>
    <mergeCell ref="D407:D408"/>
    <mergeCell ref="E407:E408"/>
    <mergeCell ref="J409:J410"/>
    <mergeCell ref="K409:L410"/>
    <mergeCell ref="Q409:Q410"/>
    <mergeCell ref="R409:R410"/>
    <mergeCell ref="Q407:Q408"/>
    <mergeCell ref="R407:R408"/>
    <mergeCell ref="J407:J408"/>
    <mergeCell ref="K407:L408"/>
    <mergeCell ref="S409:T410"/>
    <mergeCell ref="A397:D397"/>
    <mergeCell ref="A398:D399"/>
    <mergeCell ref="A401:E401"/>
    <mergeCell ref="G401:L401"/>
    <mergeCell ref="N401:T401"/>
    <mergeCell ref="A402:C412"/>
    <mergeCell ref="D402:E402"/>
    <mergeCell ref="G402:I412"/>
    <mergeCell ref="J402:L402"/>
    <mergeCell ref="N402:P412"/>
    <mergeCell ref="S402:T402"/>
    <mergeCell ref="D403:D404"/>
    <mergeCell ref="E403:E404"/>
    <mergeCell ref="J403:J404"/>
    <mergeCell ref="K403:L404"/>
    <mergeCell ref="Q403:Q404"/>
    <mergeCell ref="R403:R404"/>
    <mergeCell ref="S403:T404"/>
    <mergeCell ref="S407:T408"/>
    <mergeCell ref="D405:D406"/>
    <mergeCell ref="E405:E406"/>
    <mergeCell ref="J405:J406"/>
    <mergeCell ref="K405:L406"/>
    <mergeCell ref="Q405:Q406"/>
    <mergeCell ref="D393:D394"/>
    <mergeCell ref="E393:E394"/>
    <mergeCell ref="J393:J394"/>
    <mergeCell ref="K393:L394"/>
    <mergeCell ref="Q393:Q394"/>
    <mergeCell ref="R393:R394"/>
    <mergeCell ref="S393:S394"/>
    <mergeCell ref="T393:T394"/>
    <mergeCell ref="E391:E392"/>
    <mergeCell ref="J391:J392"/>
    <mergeCell ref="K391:L392"/>
    <mergeCell ref="Q391:Q392"/>
    <mergeCell ref="R391:R392"/>
    <mergeCell ref="S391:S392"/>
    <mergeCell ref="R385:R386"/>
    <mergeCell ref="D385:D386"/>
    <mergeCell ref="D391:D392"/>
    <mergeCell ref="A383:E383"/>
    <mergeCell ref="G383:L383"/>
    <mergeCell ref="S385:S386"/>
    <mergeCell ref="N383:T383"/>
    <mergeCell ref="T391:T392"/>
    <mergeCell ref="E385:E386"/>
    <mergeCell ref="J385:J386"/>
    <mergeCell ref="K385:L386"/>
    <mergeCell ref="A380:D381"/>
    <mergeCell ref="T385:T386"/>
    <mergeCell ref="D387:D388"/>
    <mergeCell ref="E387:E388"/>
    <mergeCell ref="J387:J388"/>
    <mergeCell ref="K387:L388"/>
    <mergeCell ref="Q387:Q388"/>
    <mergeCell ref="R387:R388"/>
    <mergeCell ref="G384:I394"/>
    <mergeCell ref="J384:L384"/>
    <mergeCell ref="T387:T388"/>
    <mergeCell ref="D389:D390"/>
    <mergeCell ref="E389:E390"/>
    <mergeCell ref="J389:J390"/>
    <mergeCell ref="K389:L390"/>
    <mergeCell ref="Q389:Q390"/>
    <mergeCell ref="R389:R390"/>
    <mergeCell ref="S389:S390"/>
    <mergeCell ref="T389:T390"/>
    <mergeCell ref="N384:P394"/>
    <mergeCell ref="A384:C394"/>
    <mergeCell ref="D384:E384"/>
    <mergeCell ref="S387:S388"/>
    <mergeCell ref="Q385:Q386"/>
    <mergeCell ref="D373:D374"/>
    <mergeCell ref="E373:E374"/>
    <mergeCell ref="J373:J374"/>
    <mergeCell ref="J371:J372"/>
    <mergeCell ref="T373:T374"/>
    <mergeCell ref="D375:D376"/>
    <mergeCell ref="E375:E376"/>
    <mergeCell ref="J375:J376"/>
    <mergeCell ref="K375:K376"/>
    <mergeCell ref="L375:L376"/>
    <mergeCell ref="Q375:Q376"/>
    <mergeCell ref="K371:K372"/>
    <mergeCell ref="L371:L372"/>
    <mergeCell ref="Q371:Q372"/>
    <mergeCell ref="Q367:Q368"/>
    <mergeCell ref="R367:R368"/>
    <mergeCell ref="E369:E370"/>
    <mergeCell ref="J369:J370"/>
    <mergeCell ref="K369:K370"/>
    <mergeCell ref="L369:L370"/>
    <mergeCell ref="Q369:Q370"/>
    <mergeCell ref="R369:R370"/>
    <mergeCell ref="R375:R376"/>
    <mergeCell ref="U350:W358"/>
    <mergeCell ref="F351:G351"/>
    <mergeCell ref="F352:G352"/>
    <mergeCell ref="F353:G353"/>
    <mergeCell ref="F354:G354"/>
    <mergeCell ref="F355:G355"/>
    <mergeCell ref="S375:S376"/>
    <mergeCell ref="T375:T376"/>
    <mergeCell ref="A379:D379"/>
    <mergeCell ref="K373:K374"/>
    <mergeCell ref="L373:L374"/>
    <mergeCell ref="Q373:Q374"/>
    <mergeCell ref="R371:R372"/>
    <mergeCell ref="S371:S372"/>
    <mergeCell ref="T371:T372"/>
    <mergeCell ref="S367:S368"/>
    <mergeCell ref="T367:T368"/>
    <mergeCell ref="D369:D370"/>
    <mergeCell ref="F356:G356"/>
    <mergeCell ref="F357:G357"/>
    <mergeCell ref="F358:G358"/>
    <mergeCell ref="T369:T370"/>
    <mergeCell ref="D371:D372"/>
    <mergeCell ref="E371:E372"/>
    <mergeCell ref="Q350:S358"/>
    <mergeCell ref="R373:R374"/>
    <mergeCell ref="S373:S374"/>
    <mergeCell ref="A361:D361"/>
    <mergeCell ref="A362:D363"/>
    <mergeCell ref="A365:E365"/>
    <mergeCell ref="G365:L365"/>
    <mergeCell ref="N365:T365"/>
    <mergeCell ref="A366:C376"/>
    <mergeCell ref="S369:S370"/>
    <mergeCell ref="E367:E368"/>
    <mergeCell ref="D366:E366"/>
    <mergeCell ref="G366:I376"/>
    <mergeCell ref="N366:P376"/>
    <mergeCell ref="D367:D368"/>
    <mergeCell ref="A350:A358"/>
    <mergeCell ref="B350:D358"/>
    <mergeCell ref="E350:E358"/>
    <mergeCell ref="F350:G350"/>
    <mergeCell ref="I350:K358"/>
    <mergeCell ref="M350:O358"/>
    <mergeCell ref="J367:J368"/>
    <mergeCell ref="K367:K368"/>
    <mergeCell ref="L367:L368"/>
    <mergeCell ref="A349:D349"/>
    <mergeCell ref="F349:G349"/>
    <mergeCell ref="H349:K349"/>
    <mergeCell ref="L349:O349"/>
    <mergeCell ref="P349:S349"/>
    <mergeCell ref="U339:W347"/>
    <mergeCell ref="F340:G340"/>
    <mergeCell ref="F341:G341"/>
    <mergeCell ref="F342:G342"/>
    <mergeCell ref="F343:G343"/>
    <mergeCell ref="F344:G344"/>
    <mergeCell ref="F345:G345"/>
    <mergeCell ref="T349:W349"/>
    <mergeCell ref="F346:G346"/>
    <mergeCell ref="F347:G347"/>
    <mergeCell ref="T338:W338"/>
    <mergeCell ref="A339:A347"/>
    <mergeCell ref="B339:D347"/>
    <mergeCell ref="E339:E347"/>
    <mergeCell ref="F339:G339"/>
    <mergeCell ref="I339:K347"/>
    <mergeCell ref="M339:O347"/>
    <mergeCell ref="Q339:S347"/>
    <mergeCell ref="T327:W327"/>
    <mergeCell ref="A328:A336"/>
    <mergeCell ref="B328:D336"/>
    <mergeCell ref="E328:E336"/>
    <mergeCell ref="F328:G328"/>
    <mergeCell ref="I328:K336"/>
    <mergeCell ref="A338:D338"/>
    <mergeCell ref="F338:G338"/>
    <mergeCell ref="H338:K338"/>
    <mergeCell ref="L338:O338"/>
    <mergeCell ref="P338:S338"/>
    <mergeCell ref="U328:W336"/>
    <mergeCell ref="F329:G329"/>
    <mergeCell ref="F330:G330"/>
    <mergeCell ref="F331:G331"/>
    <mergeCell ref="F332:G332"/>
    <mergeCell ref="M328:O336"/>
    <mergeCell ref="Q328:S336"/>
    <mergeCell ref="A327:D327"/>
    <mergeCell ref="F327:G327"/>
    <mergeCell ref="H327:K327"/>
    <mergeCell ref="L327:O327"/>
    <mergeCell ref="P327:S327"/>
    <mergeCell ref="F333:G333"/>
    <mergeCell ref="F334:G334"/>
    <mergeCell ref="F335:G335"/>
    <mergeCell ref="F336:G336"/>
    <mergeCell ref="U317:W325"/>
    <mergeCell ref="F318:G318"/>
    <mergeCell ref="F319:G319"/>
    <mergeCell ref="F320:G320"/>
    <mergeCell ref="F321:G321"/>
    <mergeCell ref="F322:G322"/>
    <mergeCell ref="F323:G323"/>
    <mergeCell ref="F324:G324"/>
    <mergeCell ref="F325:G325"/>
    <mergeCell ref="A317:A325"/>
    <mergeCell ref="B317:D325"/>
    <mergeCell ref="E317:E325"/>
    <mergeCell ref="F317:G317"/>
    <mergeCell ref="I317:K325"/>
    <mergeCell ref="M317:O325"/>
    <mergeCell ref="Q317:S325"/>
    <mergeCell ref="A316:D316"/>
    <mergeCell ref="F316:G316"/>
    <mergeCell ref="H316:K316"/>
    <mergeCell ref="L316:O316"/>
    <mergeCell ref="P316:S316"/>
    <mergeCell ref="U306:W314"/>
    <mergeCell ref="F307:G307"/>
    <mergeCell ref="F308:G308"/>
    <mergeCell ref="F309:G309"/>
    <mergeCell ref="F310:G310"/>
    <mergeCell ref="F311:G311"/>
    <mergeCell ref="F312:G312"/>
    <mergeCell ref="T316:W316"/>
    <mergeCell ref="F313:G313"/>
    <mergeCell ref="F314:G314"/>
    <mergeCell ref="T305:W305"/>
    <mergeCell ref="A306:A314"/>
    <mergeCell ref="B306:D314"/>
    <mergeCell ref="E306:E314"/>
    <mergeCell ref="F306:G306"/>
    <mergeCell ref="I306:K314"/>
    <mergeCell ref="M306:O314"/>
    <mergeCell ref="Q306:S314"/>
    <mergeCell ref="T294:W294"/>
    <mergeCell ref="A295:A303"/>
    <mergeCell ref="B295:D303"/>
    <mergeCell ref="E295:E303"/>
    <mergeCell ref="F295:G295"/>
    <mergeCell ref="I295:K303"/>
    <mergeCell ref="A305:D305"/>
    <mergeCell ref="F305:G305"/>
    <mergeCell ref="H305:K305"/>
    <mergeCell ref="L305:O305"/>
    <mergeCell ref="P305:S305"/>
    <mergeCell ref="U295:W303"/>
    <mergeCell ref="F296:G296"/>
    <mergeCell ref="F297:G297"/>
    <mergeCell ref="F298:G298"/>
    <mergeCell ref="F299:G299"/>
    <mergeCell ref="M295:O303"/>
    <mergeCell ref="Q295:S303"/>
    <mergeCell ref="A294:D294"/>
    <mergeCell ref="F294:G294"/>
    <mergeCell ref="H294:K294"/>
    <mergeCell ref="L294:O294"/>
    <mergeCell ref="P294:S294"/>
    <mergeCell ref="F300:G300"/>
    <mergeCell ref="F301:G301"/>
    <mergeCell ref="F302:G302"/>
    <mergeCell ref="F303:G303"/>
    <mergeCell ref="U284:W292"/>
    <mergeCell ref="F285:G285"/>
    <mergeCell ref="F286:G286"/>
    <mergeCell ref="F287:G287"/>
    <mergeCell ref="F288:G288"/>
    <mergeCell ref="F289:G289"/>
    <mergeCell ref="F290:G290"/>
    <mergeCell ref="F291:G291"/>
    <mergeCell ref="F292:G292"/>
    <mergeCell ref="A284:A292"/>
    <mergeCell ref="B284:D292"/>
    <mergeCell ref="E284:E292"/>
    <mergeCell ref="F284:G284"/>
    <mergeCell ref="I284:K292"/>
    <mergeCell ref="M284:O292"/>
    <mergeCell ref="Q284:S292"/>
    <mergeCell ref="A283:D283"/>
    <mergeCell ref="F283:G283"/>
    <mergeCell ref="H283:K283"/>
    <mergeCell ref="L283:O283"/>
    <mergeCell ref="P283:S283"/>
    <mergeCell ref="U273:W281"/>
    <mergeCell ref="F274:G274"/>
    <mergeCell ref="F275:G275"/>
    <mergeCell ref="F276:G276"/>
    <mergeCell ref="F277:G277"/>
    <mergeCell ref="F278:G278"/>
    <mergeCell ref="F279:G279"/>
    <mergeCell ref="T283:W283"/>
    <mergeCell ref="F280:G280"/>
    <mergeCell ref="F281:G281"/>
    <mergeCell ref="T272:W272"/>
    <mergeCell ref="A273:A281"/>
    <mergeCell ref="B273:D281"/>
    <mergeCell ref="E273:E281"/>
    <mergeCell ref="F273:G273"/>
    <mergeCell ref="I273:K281"/>
    <mergeCell ref="M273:O281"/>
    <mergeCell ref="Q273:S281"/>
    <mergeCell ref="T261:W261"/>
    <mergeCell ref="A262:A270"/>
    <mergeCell ref="B262:D270"/>
    <mergeCell ref="E262:E270"/>
    <mergeCell ref="F262:G262"/>
    <mergeCell ref="I262:K270"/>
    <mergeCell ref="A272:D272"/>
    <mergeCell ref="F272:G272"/>
    <mergeCell ref="H272:K272"/>
    <mergeCell ref="L272:O272"/>
    <mergeCell ref="P272:S272"/>
    <mergeCell ref="U262:W270"/>
    <mergeCell ref="F263:G263"/>
    <mergeCell ref="F264:G264"/>
    <mergeCell ref="F265:G265"/>
    <mergeCell ref="F266:G266"/>
    <mergeCell ref="M262:O270"/>
    <mergeCell ref="Q262:S270"/>
    <mergeCell ref="A261:D261"/>
    <mergeCell ref="F261:G261"/>
    <mergeCell ref="H261:K261"/>
    <mergeCell ref="L261:O261"/>
    <mergeCell ref="P261:S261"/>
    <mergeCell ref="F267:G267"/>
    <mergeCell ref="F268:G268"/>
    <mergeCell ref="F269:G269"/>
    <mergeCell ref="F270:G270"/>
    <mergeCell ref="U251:W259"/>
    <mergeCell ref="F252:G252"/>
    <mergeCell ref="F253:G253"/>
    <mergeCell ref="F254:G254"/>
    <mergeCell ref="F255:G255"/>
    <mergeCell ref="F256:G256"/>
    <mergeCell ref="F257:G257"/>
    <mergeCell ref="F258:G258"/>
    <mergeCell ref="F259:G259"/>
    <mergeCell ref="A251:A259"/>
    <mergeCell ref="B251:D259"/>
    <mergeCell ref="E251:E259"/>
    <mergeCell ref="F251:G251"/>
    <mergeCell ref="I251:K259"/>
    <mergeCell ref="M251:O259"/>
    <mergeCell ref="Q251:S259"/>
    <mergeCell ref="A250:D250"/>
    <mergeCell ref="F250:G250"/>
    <mergeCell ref="H250:K250"/>
    <mergeCell ref="L250:O250"/>
    <mergeCell ref="P250:S250"/>
    <mergeCell ref="U240:W248"/>
    <mergeCell ref="F241:G241"/>
    <mergeCell ref="F242:G242"/>
    <mergeCell ref="F243:G243"/>
    <mergeCell ref="F244:G244"/>
    <mergeCell ref="F245:G245"/>
    <mergeCell ref="F246:G246"/>
    <mergeCell ref="T250:W250"/>
    <mergeCell ref="F247:G247"/>
    <mergeCell ref="F248:G248"/>
    <mergeCell ref="T239:W239"/>
    <mergeCell ref="A240:A248"/>
    <mergeCell ref="B240:D248"/>
    <mergeCell ref="E240:E248"/>
    <mergeCell ref="F240:G240"/>
    <mergeCell ref="I240:K248"/>
    <mergeCell ref="M240:O248"/>
    <mergeCell ref="Q240:S248"/>
    <mergeCell ref="T228:W228"/>
    <mergeCell ref="A229:A237"/>
    <mergeCell ref="B229:D237"/>
    <mergeCell ref="E229:E237"/>
    <mergeCell ref="F229:G229"/>
    <mergeCell ref="I229:K237"/>
    <mergeCell ref="A239:D239"/>
    <mergeCell ref="F239:G239"/>
    <mergeCell ref="H239:K239"/>
    <mergeCell ref="L239:O239"/>
    <mergeCell ref="P239:S239"/>
    <mergeCell ref="U229:W237"/>
    <mergeCell ref="F230:G230"/>
    <mergeCell ref="F231:G231"/>
    <mergeCell ref="F232:G232"/>
    <mergeCell ref="F233:G233"/>
    <mergeCell ref="M229:O237"/>
    <mergeCell ref="Q229:S237"/>
    <mergeCell ref="A228:D228"/>
    <mergeCell ref="F228:G228"/>
    <mergeCell ref="H228:K228"/>
    <mergeCell ref="L228:O228"/>
    <mergeCell ref="P228:S228"/>
    <mergeCell ref="F234:G234"/>
    <mergeCell ref="F235:G235"/>
    <mergeCell ref="F236:G236"/>
    <mergeCell ref="F237:G237"/>
    <mergeCell ref="U218:W226"/>
    <mergeCell ref="F219:G219"/>
    <mergeCell ref="F220:G220"/>
    <mergeCell ref="F221:G221"/>
    <mergeCell ref="F222:G222"/>
    <mergeCell ref="F223:G223"/>
    <mergeCell ref="F224:G224"/>
    <mergeCell ref="F225:G225"/>
    <mergeCell ref="F226:G226"/>
    <mergeCell ref="A218:A226"/>
    <mergeCell ref="B218:D226"/>
    <mergeCell ref="E218:E226"/>
    <mergeCell ref="F218:G218"/>
    <mergeCell ref="I218:K226"/>
    <mergeCell ref="M218:O226"/>
    <mergeCell ref="Q218:S226"/>
    <mergeCell ref="A217:D217"/>
    <mergeCell ref="F217:G217"/>
    <mergeCell ref="H217:K217"/>
    <mergeCell ref="L217:O217"/>
    <mergeCell ref="P217:S217"/>
    <mergeCell ref="U207:W215"/>
    <mergeCell ref="F208:G208"/>
    <mergeCell ref="F209:G209"/>
    <mergeCell ref="F210:G210"/>
    <mergeCell ref="F211:G211"/>
    <mergeCell ref="F212:G212"/>
    <mergeCell ref="F213:G213"/>
    <mergeCell ref="T217:W217"/>
    <mergeCell ref="F214:G214"/>
    <mergeCell ref="F215:G215"/>
    <mergeCell ref="T206:W206"/>
    <mergeCell ref="A207:A215"/>
    <mergeCell ref="B207:D215"/>
    <mergeCell ref="E207:E215"/>
    <mergeCell ref="F207:G207"/>
    <mergeCell ref="I207:K215"/>
    <mergeCell ref="M207:O215"/>
    <mergeCell ref="Q207:S215"/>
    <mergeCell ref="T195:W195"/>
    <mergeCell ref="A196:A204"/>
    <mergeCell ref="B196:D204"/>
    <mergeCell ref="E196:E204"/>
    <mergeCell ref="F196:G196"/>
    <mergeCell ref="I196:K204"/>
    <mergeCell ref="A206:D206"/>
    <mergeCell ref="F206:G206"/>
    <mergeCell ref="H206:K206"/>
    <mergeCell ref="L206:O206"/>
    <mergeCell ref="P206:S206"/>
    <mergeCell ref="U196:W204"/>
    <mergeCell ref="F197:G197"/>
    <mergeCell ref="F198:G198"/>
    <mergeCell ref="F199:G199"/>
    <mergeCell ref="F200:G200"/>
    <mergeCell ref="M196:O204"/>
    <mergeCell ref="Q196:S204"/>
    <mergeCell ref="A195:D195"/>
    <mergeCell ref="F195:G195"/>
    <mergeCell ref="H195:K195"/>
    <mergeCell ref="L195:O195"/>
    <mergeCell ref="P195:S195"/>
    <mergeCell ref="F201:G201"/>
    <mergeCell ref="F202:G202"/>
    <mergeCell ref="F203:G203"/>
    <mergeCell ref="F204:G204"/>
    <mergeCell ref="U185:W193"/>
    <mergeCell ref="F186:G186"/>
    <mergeCell ref="F187:G187"/>
    <mergeCell ref="F188:G188"/>
    <mergeCell ref="F189:G189"/>
    <mergeCell ref="F190:G190"/>
    <mergeCell ref="F191:G191"/>
    <mergeCell ref="F192:G192"/>
    <mergeCell ref="F193:G193"/>
    <mergeCell ref="A185:A193"/>
    <mergeCell ref="B185:D193"/>
    <mergeCell ref="E185:E193"/>
    <mergeCell ref="F185:G185"/>
    <mergeCell ref="I185:K193"/>
    <mergeCell ref="M185:O193"/>
    <mergeCell ref="Q185:S193"/>
    <mergeCell ref="A184:D184"/>
    <mergeCell ref="F184:G184"/>
    <mergeCell ref="H184:K184"/>
    <mergeCell ref="L184:O184"/>
    <mergeCell ref="P184:S184"/>
    <mergeCell ref="U174:W182"/>
    <mergeCell ref="F175:G175"/>
    <mergeCell ref="F176:G176"/>
    <mergeCell ref="F177:G177"/>
    <mergeCell ref="F178:G178"/>
    <mergeCell ref="F179:G179"/>
    <mergeCell ref="F180:G180"/>
    <mergeCell ref="T184:W184"/>
    <mergeCell ref="F181:G181"/>
    <mergeCell ref="F182:G182"/>
    <mergeCell ref="T173:W173"/>
    <mergeCell ref="A174:A182"/>
    <mergeCell ref="B174:D182"/>
    <mergeCell ref="E174:E182"/>
    <mergeCell ref="F174:G174"/>
    <mergeCell ref="I174:K182"/>
    <mergeCell ref="M174:O182"/>
    <mergeCell ref="Q174:S182"/>
    <mergeCell ref="T162:W162"/>
    <mergeCell ref="A163:A171"/>
    <mergeCell ref="B163:D171"/>
    <mergeCell ref="E163:E171"/>
    <mergeCell ref="F163:G163"/>
    <mergeCell ref="I163:K171"/>
    <mergeCell ref="A173:D173"/>
    <mergeCell ref="F173:G173"/>
    <mergeCell ref="H173:K173"/>
    <mergeCell ref="L173:O173"/>
    <mergeCell ref="P173:S173"/>
    <mergeCell ref="U163:W171"/>
    <mergeCell ref="F164:G164"/>
    <mergeCell ref="F165:G165"/>
    <mergeCell ref="F166:G166"/>
    <mergeCell ref="F167:G167"/>
    <mergeCell ref="M163:O171"/>
    <mergeCell ref="Q163:S171"/>
    <mergeCell ref="A162:D162"/>
    <mergeCell ref="F162:G162"/>
    <mergeCell ref="H162:K162"/>
    <mergeCell ref="L162:O162"/>
    <mergeCell ref="P162:S162"/>
    <mergeCell ref="F168:G168"/>
    <mergeCell ref="F169:G169"/>
    <mergeCell ref="F170:G170"/>
    <mergeCell ref="F171:G171"/>
    <mergeCell ref="U152:W160"/>
    <mergeCell ref="F153:G153"/>
    <mergeCell ref="F154:G154"/>
    <mergeCell ref="F155:G155"/>
    <mergeCell ref="F156:G156"/>
    <mergeCell ref="F157:G157"/>
    <mergeCell ref="F158:G158"/>
    <mergeCell ref="F159:G159"/>
    <mergeCell ref="F160:G160"/>
    <mergeCell ref="A152:A160"/>
    <mergeCell ref="B152:D160"/>
    <mergeCell ref="E152:E160"/>
    <mergeCell ref="F152:G152"/>
    <mergeCell ref="I152:K160"/>
    <mergeCell ref="M152:O160"/>
    <mergeCell ref="Q152:S160"/>
    <mergeCell ref="A151:D151"/>
    <mergeCell ref="F151:G151"/>
    <mergeCell ref="H151:K151"/>
    <mergeCell ref="L151:O151"/>
    <mergeCell ref="P151:S151"/>
    <mergeCell ref="U141:W149"/>
    <mergeCell ref="F142:G142"/>
    <mergeCell ref="F143:G143"/>
    <mergeCell ref="F144:G144"/>
    <mergeCell ref="F145:G145"/>
    <mergeCell ref="F146:G146"/>
    <mergeCell ref="F147:G147"/>
    <mergeCell ref="T151:W151"/>
    <mergeCell ref="F148:G148"/>
    <mergeCell ref="F149:G149"/>
    <mergeCell ref="T140:W140"/>
    <mergeCell ref="A141:A149"/>
    <mergeCell ref="B141:D149"/>
    <mergeCell ref="E141:E149"/>
    <mergeCell ref="F141:G141"/>
    <mergeCell ref="I141:K149"/>
    <mergeCell ref="M141:O149"/>
    <mergeCell ref="Q141:S149"/>
    <mergeCell ref="T129:W129"/>
    <mergeCell ref="A130:A138"/>
    <mergeCell ref="B130:D138"/>
    <mergeCell ref="E130:E138"/>
    <mergeCell ref="F130:G130"/>
    <mergeCell ref="I130:K138"/>
    <mergeCell ref="A140:D140"/>
    <mergeCell ref="F140:G140"/>
    <mergeCell ref="H140:K140"/>
    <mergeCell ref="L140:O140"/>
    <mergeCell ref="P140:S140"/>
    <mergeCell ref="U130:W138"/>
    <mergeCell ref="F131:G131"/>
    <mergeCell ref="F132:G132"/>
    <mergeCell ref="F133:G133"/>
    <mergeCell ref="F134:G134"/>
    <mergeCell ref="M130:O138"/>
    <mergeCell ref="Q130:S138"/>
    <mergeCell ref="A129:D129"/>
    <mergeCell ref="F129:G129"/>
    <mergeCell ref="H129:K129"/>
    <mergeCell ref="L129:O129"/>
    <mergeCell ref="P129:S129"/>
    <mergeCell ref="F135:G135"/>
    <mergeCell ref="F136:G136"/>
    <mergeCell ref="F137:G137"/>
    <mergeCell ref="F138:G138"/>
    <mergeCell ref="U119:W127"/>
    <mergeCell ref="F120:G120"/>
    <mergeCell ref="F121:G121"/>
    <mergeCell ref="F122:G122"/>
    <mergeCell ref="F123:G123"/>
    <mergeCell ref="F124:G124"/>
    <mergeCell ref="F125:G125"/>
    <mergeCell ref="F126:G126"/>
    <mergeCell ref="F127:G127"/>
    <mergeCell ref="A119:A127"/>
    <mergeCell ref="B119:D127"/>
    <mergeCell ref="E119:E127"/>
    <mergeCell ref="F119:G119"/>
    <mergeCell ref="I119:K127"/>
    <mergeCell ref="M119:O127"/>
    <mergeCell ref="Q119:S127"/>
    <mergeCell ref="A118:D118"/>
    <mergeCell ref="F118:G118"/>
    <mergeCell ref="H118:K118"/>
    <mergeCell ref="L118:O118"/>
    <mergeCell ref="P118:S118"/>
    <mergeCell ref="U108:W116"/>
    <mergeCell ref="F109:G109"/>
    <mergeCell ref="F110:G110"/>
    <mergeCell ref="F111:G111"/>
    <mergeCell ref="F112:G112"/>
    <mergeCell ref="F113:G113"/>
    <mergeCell ref="F114:G114"/>
    <mergeCell ref="T118:W118"/>
    <mergeCell ref="F115:G115"/>
    <mergeCell ref="F116:G116"/>
    <mergeCell ref="T107:W107"/>
    <mergeCell ref="A108:A116"/>
    <mergeCell ref="B108:D116"/>
    <mergeCell ref="E108:E116"/>
    <mergeCell ref="F108:G108"/>
    <mergeCell ref="I108:K116"/>
    <mergeCell ref="M108:O116"/>
    <mergeCell ref="Q108:S116"/>
    <mergeCell ref="T96:W96"/>
    <mergeCell ref="A97:A105"/>
    <mergeCell ref="B97:D105"/>
    <mergeCell ref="E97:E105"/>
    <mergeCell ref="F97:G97"/>
    <mergeCell ref="I97:K105"/>
    <mergeCell ref="A107:D107"/>
    <mergeCell ref="F107:G107"/>
    <mergeCell ref="H107:K107"/>
    <mergeCell ref="L107:O107"/>
    <mergeCell ref="P107:S107"/>
    <mergeCell ref="U97:W105"/>
    <mergeCell ref="F98:G98"/>
    <mergeCell ref="F99:G99"/>
    <mergeCell ref="F100:G100"/>
    <mergeCell ref="F101:G101"/>
    <mergeCell ref="M97:O105"/>
    <mergeCell ref="Q97:S105"/>
    <mergeCell ref="A96:D96"/>
    <mergeCell ref="F96:G96"/>
    <mergeCell ref="H96:K96"/>
    <mergeCell ref="L96:O96"/>
    <mergeCell ref="P96:S96"/>
    <mergeCell ref="F102:G102"/>
    <mergeCell ref="F103:G103"/>
    <mergeCell ref="F104:G104"/>
    <mergeCell ref="F105:G105"/>
    <mergeCell ref="U86:W94"/>
    <mergeCell ref="F87:G87"/>
    <mergeCell ref="F88:G88"/>
    <mergeCell ref="F89:G89"/>
    <mergeCell ref="F90:G90"/>
    <mergeCell ref="F91:G91"/>
    <mergeCell ref="F92:G92"/>
    <mergeCell ref="F93:G93"/>
    <mergeCell ref="F94:G94"/>
    <mergeCell ref="A86:A94"/>
    <mergeCell ref="B86:D94"/>
    <mergeCell ref="E86:E94"/>
    <mergeCell ref="F86:G86"/>
    <mergeCell ref="I86:K94"/>
    <mergeCell ref="M86:O94"/>
    <mergeCell ref="Q86:S94"/>
    <mergeCell ref="A85:D85"/>
    <mergeCell ref="F85:G85"/>
    <mergeCell ref="H85:K85"/>
    <mergeCell ref="L85:O85"/>
    <mergeCell ref="P85:S85"/>
    <mergeCell ref="U75:W83"/>
    <mergeCell ref="F76:G76"/>
    <mergeCell ref="F77:G77"/>
    <mergeCell ref="F78:G78"/>
    <mergeCell ref="F79:G79"/>
    <mergeCell ref="F80:G80"/>
    <mergeCell ref="F81:G81"/>
    <mergeCell ref="T85:W85"/>
    <mergeCell ref="F82:G82"/>
    <mergeCell ref="F83:G83"/>
    <mergeCell ref="T74:W74"/>
    <mergeCell ref="A75:A83"/>
    <mergeCell ref="B75:D83"/>
    <mergeCell ref="E75:E83"/>
    <mergeCell ref="F75:G75"/>
    <mergeCell ref="I75:K83"/>
    <mergeCell ref="M75:O83"/>
    <mergeCell ref="Q75:S83"/>
    <mergeCell ref="T63:W63"/>
    <mergeCell ref="A64:A72"/>
    <mergeCell ref="B64:D72"/>
    <mergeCell ref="E64:E72"/>
    <mergeCell ref="F64:G64"/>
    <mergeCell ref="I64:K72"/>
    <mergeCell ref="A74:D74"/>
    <mergeCell ref="F74:G74"/>
    <mergeCell ref="H74:K74"/>
    <mergeCell ref="L74:O74"/>
    <mergeCell ref="P74:S74"/>
    <mergeCell ref="U64:W72"/>
    <mergeCell ref="F65:G65"/>
    <mergeCell ref="F66:G66"/>
    <mergeCell ref="F67:G67"/>
    <mergeCell ref="F68:G68"/>
    <mergeCell ref="M64:O72"/>
    <mergeCell ref="Q64:S72"/>
    <mergeCell ref="A63:D63"/>
    <mergeCell ref="F63:G63"/>
    <mergeCell ref="H63:K63"/>
    <mergeCell ref="L63:O63"/>
    <mergeCell ref="P63:S63"/>
    <mergeCell ref="F69:G69"/>
    <mergeCell ref="F70:G70"/>
    <mergeCell ref="F71:G71"/>
    <mergeCell ref="F72:G72"/>
    <mergeCell ref="U53:W61"/>
    <mergeCell ref="F54:G54"/>
    <mergeCell ref="F55:G55"/>
    <mergeCell ref="F56:G56"/>
    <mergeCell ref="F57:G57"/>
    <mergeCell ref="F58:G58"/>
    <mergeCell ref="F59:G59"/>
    <mergeCell ref="F60:G60"/>
    <mergeCell ref="F61:G61"/>
    <mergeCell ref="A53:A61"/>
    <mergeCell ref="B53:D61"/>
    <mergeCell ref="E53:E61"/>
    <mergeCell ref="F53:G53"/>
    <mergeCell ref="I53:K61"/>
    <mergeCell ref="M53:O61"/>
    <mergeCell ref="Q53:S61"/>
    <mergeCell ref="A52:D52"/>
    <mergeCell ref="F52:G52"/>
    <mergeCell ref="H52:K52"/>
    <mergeCell ref="L52:O52"/>
    <mergeCell ref="P52:S52"/>
    <mergeCell ref="U42:W50"/>
    <mergeCell ref="F43:G43"/>
    <mergeCell ref="F44:G44"/>
    <mergeCell ref="F45:G45"/>
    <mergeCell ref="F46:G46"/>
    <mergeCell ref="F47:G47"/>
    <mergeCell ref="F48:G48"/>
    <mergeCell ref="T52:W52"/>
    <mergeCell ref="F49:G49"/>
    <mergeCell ref="F50:G50"/>
    <mergeCell ref="T41:W41"/>
    <mergeCell ref="A42:A50"/>
    <mergeCell ref="B42:D50"/>
    <mergeCell ref="E42:E50"/>
    <mergeCell ref="F42:G42"/>
    <mergeCell ref="I42:K50"/>
    <mergeCell ref="M42:O50"/>
    <mergeCell ref="Q42:S50"/>
    <mergeCell ref="T30:W30"/>
    <mergeCell ref="A31:A39"/>
    <mergeCell ref="B31:D39"/>
    <mergeCell ref="E31:E39"/>
    <mergeCell ref="F31:G31"/>
    <mergeCell ref="I31:K39"/>
    <mergeCell ref="A41:D41"/>
    <mergeCell ref="F41:G41"/>
    <mergeCell ref="H41:K41"/>
    <mergeCell ref="L41:O41"/>
    <mergeCell ref="P41:S41"/>
    <mergeCell ref="U31:W39"/>
    <mergeCell ref="F32:G32"/>
    <mergeCell ref="F33:G33"/>
    <mergeCell ref="F34:G34"/>
    <mergeCell ref="F35:G35"/>
    <mergeCell ref="F27:G27"/>
    <mergeCell ref="F28:G28"/>
    <mergeCell ref="M31:O39"/>
    <mergeCell ref="Q31:S39"/>
    <mergeCell ref="A30:D30"/>
    <mergeCell ref="F30:G30"/>
    <mergeCell ref="H30:K30"/>
    <mergeCell ref="L30:O30"/>
    <mergeCell ref="P30:S30"/>
    <mergeCell ref="F36:G36"/>
    <mergeCell ref="F37:G37"/>
    <mergeCell ref="F38:G38"/>
    <mergeCell ref="F39:G39"/>
    <mergeCell ref="T19:W19"/>
    <mergeCell ref="M9:O17"/>
    <mergeCell ref="F15:G15"/>
    <mergeCell ref="F16:G16"/>
    <mergeCell ref="F17:G17"/>
    <mergeCell ref="A20:A28"/>
    <mergeCell ref="B20:D28"/>
    <mergeCell ref="E20:E28"/>
    <mergeCell ref="F20:G20"/>
    <mergeCell ref="I20:K28"/>
    <mergeCell ref="M20:O28"/>
    <mergeCell ref="Q20:S28"/>
    <mergeCell ref="A19:D19"/>
    <mergeCell ref="F19:G19"/>
    <mergeCell ref="H19:K19"/>
    <mergeCell ref="L19:O19"/>
    <mergeCell ref="P19:S19"/>
    <mergeCell ref="U20:W28"/>
    <mergeCell ref="F21:G21"/>
    <mergeCell ref="F22:G22"/>
    <mergeCell ref="F23:G23"/>
    <mergeCell ref="F24:G24"/>
    <mergeCell ref="F25:G25"/>
    <mergeCell ref="F26:G26"/>
    <mergeCell ref="A9:A17"/>
    <mergeCell ref="B9:D17"/>
    <mergeCell ref="E9:E17"/>
    <mergeCell ref="F9:G9"/>
    <mergeCell ref="I9:K17"/>
    <mergeCell ref="A1:U3"/>
    <mergeCell ref="V1:W1"/>
    <mergeCell ref="V2:W3"/>
    <mergeCell ref="A5:W6"/>
    <mergeCell ref="I7:J7"/>
    <mergeCell ref="A8:D8"/>
    <mergeCell ref="F8:G8"/>
    <mergeCell ref="H8:K8"/>
    <mergeCell ref="L8:O8"/>
    <mergeCell ref="P8:S8"/>
    <mergeCell ref="T8:W8"/>
    <mergeCell ref="Q9:S17"/>
    <mergeCell ref="U9:W17"/>
    <mergeCell ref="F10:G10"/>
    <mergeCell ref="F11:G11"/>
    <mergeCell ref="F12:G12"/>
    <mergeCell ref="F13:G13"/>
    <mergeCell ref="F14:G14"/>
  </mergeCells>
  <conditionalFormatting sqref="H10:H17">
    <cfRule type="cellIs" dxfId="330" priority="11" operator="lessThan">
      <formula>0.1</formula>
    </cfRule>
  </conditionalFormatting>
  <conditionalFormatting sqref="L9:L17">
    <cfRule type="cellIs" dxfId="329" priority="12" operator="lessThan">
      <formula>0.1</formula>
    </cfRule>
  </conditionalFormatting>
  <conditionalFormatting sqref="T9:T17">
    <cfRule type="cellIs" dxfId="328" priority="13" operator="lessThan">
      <formula>0.1</formula>
    </cfRule>
  </conditionalFormatting>
  <conditionalFormatting sqref="G24:G28">
    <cfRule type="cellIs" dxfId="327" priority="14" operator="lessThan">
      <formula>0.1</formula>
    </cfRule>
  </conditionalFormatting>
  <conditionalFormatting sqref="H21:H24 H26:H27">
    <cfRule type="cellIs" dxfId="326" priority="15" operator="lessThan">
      <formula>0.1</formula>
    </cfRule>
  </conditionalFormatting>
  <conditionalFormatting sqref="G46:G50">
    <cfRule type="cellIs" dxfId="325" priority="16" operator="lessThan">
      <formula>0.1</formula>
    </cfRule>
  </conditionalFormatting>
  <conditionalFormatting sqref="H54:H61">
    <cfRule type="cellIs" dxfId="324" priority="17" operator="lessThan">
      <formula>0.1</formula>
    </cfRule>
  </conditionalFormatting>
  <conditionalFormatting sqref="L53:L61">
    <cfRule type="cellIs" dxfId="323" priority="18" operator="lessThan">
      <formula>0.1</formula>
    </cfRule>
  </conditionalFormatting>
  <conditionalFormatting sqref="G68:G72">
    <cfRule type="cellIs" dxfId="322" priority="19" operator="lessThan">
      <formula>0.1</formula>
    </cfRule>
  </conditionalFormatting>
  <conditionalFormatting sqref="H65:H72">
    <cfRule type="cellIs" dxfId="321" priority="20" operator="lessThan">
      <formula>0.1</formula>
    </cfRule>
  </conditionalFormatting>
  <conditionalFormatting sqref="L64:L72">
    <cfRule type="cellIs" dxfId="320" priority="21" operator="lessThan">
      <formula>0.1</formula>
    </cfRule>
  </conditionalFormatting>
  <conditionalFormatting sqref="P64:P72">
    <cfRule type="cellIs" dxfId="319" priority="22" operator="lessThan">
      <formula>0.1</formula>
    </cfRule>
  </conditionalFormatting>
  <conditionalFormatting sqref="G35:G39">
    <cfRule type="cellIs" dxfId="318" priority="23" operator="lessThan">
      <formula>0.1</formula>
    </cfRule>
  </conditionalFormatting>
  <conditionalFormatting sqref="H25">
    <cfRule type="cellIs" dxfId="317" priority="24" operator="lessThan">
      <formula>0.1</formula>
    </cfRule>
  </conditionalFormatting>
  <conditionalFormatting sqref="L21:L24 L26:L27">
    <cfRule type="cellIs" dxfId="316" priority="25" operator="lessThan">
      <formula>0.1</formula>
    </cfRule>
  </conditionalFormatting>
  <conditionalFormatting sqref="L25">
    <cfRule type="cellIs" dxfId="315" priority="26" operator="lessThan">
      <formula>0.1</formula>
    </cfRule>
  </conditionalFormatting>
  <conditionalFormatting sqref="G13:G17">
    <cfRule type="cellIs" dxfId="314" priority="27" operator="lessThan">
      <formula>0.1</formula>
    </cfRule>
  </conditionalFormatting>
  <conditionalFormatting sqref="L42:L50">
    <cfRule type="cellIs" dxfId="313" priority="28" operator="lessThan">
      <formula>0.1</formula>
    </cfRule>
  </conditionalFormatting>
  <conditionalFormatting sqref="H43:H50">
    <cfRule type="cellIs" dxfId="312" priority="29" operator="lessThan">
      <formula>0.1</formula>
    </cfRule>
  </conditionalFormatting>
  <conditionalFormatting sqref="G57:G61">
    <cfRule type="cellIs" dxfId="311" priority="30" operator="lessThan">
      <formula>0.1</formula>
    </cfRule>
  </conditionalFormatting>
  <conditionalFormatting sqref="T25">
    <cfRule type="cellIs" dxfId="310" priority="31" operator="lessThan">
      <formula>0.1</formula>
    </cfRule>
  </conditionalFormatting>
  <conditionalFormatting sqref="H32:H35 H37:H38">
    <cfRule type="cellIs" dxfId="309" priority="32" operator="lessThan">
      <formula>0.1</formula>
    </cfRule>
  </conditionalFormatting>
  <conditionalFormatting sqref="H36">
    <cfRule type="cellIs" dxfId="308" priority="33" operator="lessThan">
      <formula>0.1</formula>
    </cfRule>
  </conditionalFormatting>
  <conditionalFormatting sqref="P61">
    <cfRule type="cellIs" dxfId="307" priority="34" operator="lessThan">
      <formula>0.1</formula>
    </cfRule>
  </conditionalFormatting>
  <conditionalFormatting sqref="P25">
    <cfRule type="cellIs" dxfId="306" priority="35" operator="lessThan">
      <formula>0.1</formula>
    </cfRule>
  </conditionalFormatting>
  <conditionalFormatting sqref="T64:T72">
    <cfRule type="cellIs" dxfId="305" priority="36" operator="lessThan">
      <formula>0.1</formula>
    </cfRule>
  </conditionalFormatting>
  <conditionalFormatting sqref="P36">
    <cfRule type="cellIs" dxfId="304" priority="37" operator="lessThan">
      <formula>0.1</formula>
    </cfRule>
  </conditionalFormatting>
  <conditionalFormatting sqref="P32:P35 P37:P38">
    <cfRule type="cellIs" dxfId="303" priority="38" operator="lessThan">
      <formula>0.1</formula>
    </cfRule>
  </conditionalFormatting>
  <conditionalFormatting sqref="T36">
    <cfRule type="cellIs" dxfId="302" priority="39" operator="lessThan">
      <formula>0.1</formula>
    </cfRule>
  </conditionalFormatting>
  <conditionalFormatting sqref="T21:T24 T26:T27">
    <cfRule type="cellIs" dxfId="301" priority="40" operator="lessThan">
      <formula>0.1</formula>
    </cfRule>
  </conditionalFormatting>
  <conditionalFormatting sqref="T53:T61">
    <cfRule type="cellIs" dxfId="300" priority="41" operator="lessThan">
      <formula>0.1</formula>
    </cfRule>
  </conditionalFormatting>
  <conditionalFormatting sqref="P21:P24 P26:P27">
    <cfRule type="cellIs" dxfId="299" priority="42" operator="lessThan">
      <formula>0.1</formula>
    </cfRule>
  </conditionalFormatting>
  <conditionalFormatting sqref="L36">
    <cfRule type="cellIs" dxfId="298" priority="43" operator="lessThan">
      <formula>0.1</formula>
    </cfRule>
  </conditionalFormatting>
  <conditionalFormatting sqref="T32:T35 T37:T38">
    <cfRule type="cellIs" dxfId="297" priority="44" operator="lessThan">
      <formula>0.1</formula>
    </cfRule>
  </conditionalFormatting>
  <conditionalFormatting sqref="P43:P50">
    <cfRule type="cellIs" dxfId="296" priority="45" operator="lessThan">
      <formula>0.1</formula>
    </cfRule>
  </conditionalFormatting>
  <conditionalFormatting sqref="P10:P17">
    <cfRule type="cellIs" dxfId="295" priority="46" operator="lessThan">
      <formula>0.1</formula>
    </cfRule>
  </conditionalFormatting>
  <conditionalFormatting sqref="L32:L35 L37:L38">
    <cfRule type="cellIs" dxfId="294" priority="47" operator="lessThan">
      <formula>0.1</formula>
    </cfRule>
  </conditionalFormatting>
  <conditionalFormatting sqref="L130:L138">
    <cfRule type="cellIs" dxfId="293" priority="48" operator="lessThan">
      <formula>0.1</formula>
    </cfRule>
  </conditionalFormatting>
  <conditionalFormatting sqref="G134:G138">
    <cfRule type="cellIs" dxfId="292" priority="49" operator="lessThan">
      <formula>0.1</formula>
    </cfRule>
  </conditionalFormatting>
  <conditionalFormatting sqref="P54:P60">
    <cfRule type="cellIs" dxfId="291" priority="50" operator="lessThan">
      <formula>0.1</formula>
    </cfRule>
  </conditionalFormatting>
  <conditionalFormatting sqref="G101:G105">
    <cfRule type="cellIs" dxfId="290" priority="51" operator="lessThan">
      <formula>0.1</formula>
    </cfRule>
  </conditionalFormatting>
  <conditionalFormatting sqref="H131:H138">
    <cfRule type="cellIs" dxfId="289" priority="52" operator="lessThan">
      <formula>0.1</formula>
    </cfRule>
  </conditionalFormatting>
  <conditionalFormatting sqref="L97:L105">
    <cfRule type="cellIs" dxfId="288" priority="53" operator="lessThan">
      <formula>0.1</formula>
    </cfRule>
  </conditionalFormatting>
  <conditionalFormatting sqref="P130:P138">
    <cfRule type="cellIs" dxfId="287" priority="54" operator="lessThan">
      <formula>0.1</formula>
    </cfRule>
  </conditionalFormatting>
  <conditionalFormatting sqref="T97:T105">
    <cfRule type="cellIs" dxfId="286" priority="55" operator="lessThan">
      <formula>0.1</formula>
    </cfRule>
  </conditionalFormatting>
  <conditionalFormatting sqref="H98:H105">
    <cfRule type="cellIs" dxfId="285" priority="56" operator="lessThan">
      <formula>0.1</formula>
    </cfRule>
  </conditionalFormatting>
  <conditionalFormatting sqref="T42:T50">
    <cfRule type="cellIs" dxfId="284" priority="57" operator="lessThan">
      <formula>0.1</formula>
    </cfRule>
  </conditionalFormatting>
  <conditionalFormatting sqref="L141:L149">
    <cfRule type="cellIs" dxfId="283" priority="58" operator="lessThan">
      <formula>0.1</formula>
    </cfRule>
  </conditionalFormatting>
  <conditionalFormatting sqref="G145:G149">
    <cfRule type="cellIs" dxfId="282" priority="59" operator="lessThan">
      <formula>0.1</formula>
    </cfRule>
  </conditionalFormatting>
  <conditionalFormatting sqref="G156:G160">
    <cfRule type="cellIs" dxfId="281" priority="60" operator="lessThan">
      <formula>0.1</formula>
    </cfRule>
  </conditionalFormatting>
  <conditionalFormatting sqref="T141:T149">
    <cfRule type="cellIs" dxfId="280" priority="61" operator="lessThan">
      <formula>0.1</formula>
    </cfRule>
  </conditionalFormatting>
  <conditionalFormatting sqref="H142:H149">
    <cfRule type="cellIs" dxfId="279" priority="62" operator="lessThan">
      <formula>0.1</formula>
    </cfRule>
  </conditionalFormatting>
  <conditionalFormatting sqref="L152:L160">
    <cfRule type="cellIs" dxfId="278" priority="63" operator="lessThan">
      <formula>0.1</formula>
    </cfRule>
  </conditionalFormatting>
  <conditionalFormatting sqref="G167:G171">
    <cfRule type="cellIs" dxfId="277" priority="64" operator="lessThan">
      <formula>0.1</formula>
    </cfRule>
  </conditionalFormatting>
  <conditionalFormatting sqref="T163:T171">
    <cfRule type="cellIs" dxfId="276" priority="65" operator="lessThan">
      <formula>0.1</formula>
    </cfRule>
  </conditionalFormatting>
  <conditionalFormatting sqref="H164:H171">
    <cfRule type="cellIs" dxfId="275" priority="66" operator="lessThan">
      <formula>0.1</formula>
    </cfRule>
  </conditionalFormatting>
  <conditionalFormatting sqref="H153:H160">
    <cfRule type="cellIs" dxfId="274" priority="67" operator="lessThan">
      <formula>0.1</formula>
    </cfRule>
  </conditionalFormatting>
  <conditionalFormatting sqref="L163:L171">
    <cfRule type="cellIs" dxfId="273" priority="68" operator="lessThan">
      <formula>0.1</formula>
    </cfRule>
  </conditionalFormatting>
  <conditionalFormatting sqref="T174:T182">
    <cfRule type="cellIs" dxfId="272" priority="69" operator="lessThan">
      <formula>0.1</formula>
    </cfRule>
  </conditionalFormatting>
  <conditionalFormatting sqref="P163:P167 P169:P171">
    <cfRule type="cellIs" dxfId="271" priority="70" operator="lessThan">
      <formula>0.1</formula>
    </cfRule>
  </conditionalFormatting>
  <conditionalFormatting sqref="T188:T193">
    <cfRule type="cellIs" dxfId="270" priority="71" operator="lessThan">
      <formula>0.1</formula>
    </cfRule>
  </conditionalFormatting>
  <conditionalFormatting sqref="G178:G182">
    <cfRule type="cellIs" dxfId="269" priority="72" operator="lessThan">
      <formula>0.1</formula>
    </cfRule>
  </conditionalFormatting>
  <conditionalFormatting sqref="H175:H182">
    <cfRule type="cellIs" dxfId="268" priority="73" operator="lessThan">
      <formula>0.1</formula>
    </cfRule>
  </conditionalFormatting>
  <conditionalFormatting sqref="L174:L182">
    <cfRule type="cellIs" dxfId="267" priority="74" operator="lessThan">
      <formula>0.1</formula>
    </cfRule>
  </conditionalFormatting>
  <conditionalFormatting sqref="P174:P182">
    <cfRule type="cellIs" dxfId="266" priority="75" operator="lessThan">
      <formula>0.1</formula>
    </cfRule>
  </conditionalFormatting>
  <conditionalFormatting sqref="G189:G193">
    <cfRule type="cellIs" dxfId="265" priority="76" operator="lessThan">
      <formula>0.1</formula>
    </cfRule>
  </conditionalFormatting>
  <conditionalFormatting sqref="H186:H193">
    <cfRule type="cellIs" dxfId="264" priority="77" operator="lessThan">
      <formula>0.1</formula>
    </cfRule>
  </conditionalFormatting>
  <conditionalFormatting sqref="L188:L193">
    <cfRule type="cellIs" dxfId="263" priority="78" operator="lessThan">
      <formula>0.1</formula>
    </cfRule>
  </conditionalFormatting>
  <conditionalFormatting sqref="P188:P193">
    <cfRule type="cellIs" dxfId="262" priority="79" operator="lessThan">
      <formula>0.1</formula>
    </cfRule>
  </conditionalFormatting>
  <conditionalFormatting sqref="T196:T204">
    <cfRule type="cellIs" dxfId="261" priority="80" operator="lessThan">
      <formula>0.1</formula>
    </cfRule>
  </conditionalFormatting>
  <conditionalFormatting sqref="T209:T215">
    <cfRule type="cellIs" dxfId="260" priority="81" operator="lessThan">
      <formula>0.1</formula>
    </cfRule>
  </conditionalFormatting>
  <conditionalFormatting sqref="G200:G204">
    <cfRule type="cellIs" dxfId="259" priority="82" operator="lessThan">
      <formula>0.1</formula>
    </cfRule>
  </conditionalFormatting>
  <conditionalFormatting sqref="H197:H204">
    <cfRule type="cellIs" dxfId="258" priority="83" operator="lessThan">
      <formula>0.1</formula>
    </cfRule>
  </conditionalFormatting>
  <conditionalFormatting sqref="L196:L204">
    <cfRule type="cellIs" dxfId="257" priority="84" operator="lessThan">
      <formula>0.1</formula>
    </cfRule>
  </conditionalFormatting>
  <conditionalFormatting sqref="P196:P204">
    <cfRule type="cellIs" dxfId="256" priority="85" operator="lessThan">
      <formula>0.1</formula>
    </cfRule>
  </conditionalFormatting>
  <conditionalFormatting sqref="G211:G215">
    <cfRule type="cellIs" dxfId="255" priority="86" operator="lessThan">
      <formula>0.1</formula>
    </cfRule>
  </conditionalFormatting>
  <conditionalFormatting sqref="H208:H215">
    <cfRule type="cellIs" dxfId="254" priority="87" operator="lessThan">
      <formula>0.1</formula>
    </cfRule>
  </conditionalFormatting>
  <conditionalFormatting sqref="L207:L215">
    <cfRule type="cellIs" dxfId="253" priority="88" operator="lessThan">
      <formula>0.1</formula>
    </cfRule>
  </conditionalFormatting>
  <conditionalFormatting sqref="P207:P215">
    <cfRule type="cellIs" dxfId="252" priority="89" operator="lessThan">
      <formula>0.1</formula>
    </cfRule>
  </conditionalFormatting>
  <conditionalFormatting sqref="T218:T226">
    <cfRule type="cellIs" dxfId="251" priority="90" operator="lessThan">
      <formula>0.1</formula>
    </cfRule>
  </conditionalFormatting>
  <conditionalFormatting sqref="G222:G226">
    <cfRule type="cellIs" dxfId="250" priority="91" operator="lessThan">
      <formula>0.1</formula>
    </cfRule>
  </conditionalFormatting>
  <conditionalFormatting sqref="H219:H226">
    <cfRule type="cellIs" dxfId="249" priority="92" operator="lessThan">
      <formula>0.1</formula>
    </cfRule>
  </conditionalFormatting>
  <conditionalFormatting sqref="L218:L226">
    <cfRule type="cellIs" dxfId="248" priority="93" operator="lessThan">
      <formula>0.1</formula>
    </cfRule>
  </conditionalFormatting>
  <conditionalFormatting sqref="P218:P226">
    <cfRule type="cellIs" dxfId="247" priority="94" operator="lessThan">
      <formula>0.1</formula>
    </cfRule>
  </conditionalFormatting>
  <conditionalFormatting sqref="T231:T237">
    <cfRule type="cellIs" dxfId="246" priority="95" operator="lessThan">
      <formula>0.1</formula>
    </cfRule>
  </conditionalFormatting>
  <conditionalFormatting sqref="T242:T248">
    <cfRule type="cellIs" dxfId="245" priority="96" operator="lessThan">
      <formula>0.1</formula>
    </cfRule>
  </conditionalFormatting>
  <conditionalFormatting sqref="G233:G237">
    <cfRule type="cellIs" dxfId="244" priority="97" operator="lessThan">
      <formula>0.1</formula>
    </cfRule>
  </conditionalFormatting>
  <conditionalFormatting sqref="H230:H237">
    <cfRule type="cellIs" dxfId="243" priority="98" operator="lessThan">
      <formula>0.1</formula>
    </cfRule>
  </conditionalFormatting>
  <conditionalFormatting sqref="L229:L237">
    <cfRule type="cellIs" dxfId="242" priority="99" operator="lessThan">
      <formula>0.1</formula>
    </cfRule>
  </conditionalFormatting>
  <conditionalFormatting sqref="P229:P237">
    <cfRule type="cellIs" dxfId="241" priority="100" operator="lessThan">
      <formula>0.1</formula>
    </cfRule>
  </conditionalFormatting>
  <conditionalFormatting sqref="G244:G248">
    <cfRule type="cellIs" dxfId="240" priority="101" operator="lessThan">
      <formula>0.1</formula>
    </cfRule>
  </conditionalFormatting>
  <conditionalFormatting sqref="H241:H248">
    <cfRule type="cellIs" dxfId="239" priority="102" operator="lessThan">
      <formula>0.1</formula>
    </cfRule>
  </conditionalFormatting>
  <conditionalFormatting sqref="L240:L248">
    <cfRule type="cellIs" dxfId="238" priority="103" operator="lessThan">
      <formula>0.1</formula>
    </cfRule>
  </conditionalFormatting>
  <conditionalFormatting sqref="P240:P248">
    <cfRule type="cellIs" dxfId="237" priority="104" operator="lessThan">
      <formula>0.1</formula>
    </cfRule>
  </conditionalFormatting>
  <conditionalFormatting sqref="T251:T259">
    <cfRule type="cellIs" dxfId="236" priority="105" operator="lessThan">
      <formula>0.1</formula>
    </cfRule>
  </conditionalFormatting>
  <conditionalFormatting sqref="G255:G259">
    <cfRule type="cellIs" dxfId="235" priority="106" operator="lessThan">
      <formula>0.1</formula>
    </cfRule>
  </conditionalFormatting>
  <conditionalFormatting sqref="H252:H259">
    <cfRule type="cellIs" dxfId="234" priority="107" operator="lessThan">
      <formula>0.1</formula>
    </cfRule>
  </conditionalFormatting>
  <conditionalFormatting sqref="L251:L259">
    <cfRule type="cellIs" dxfId="233" priority="108" operator="lessThan">
      <formula>0.1</formula>
    </cfRule>
  </conditionalFormatting>
  <conditionalFormatting sqref="P251:P259">
    <cfRule type="cellIs" dxfId="232" priority="109" operator="lessThan">
      <formula>0.1</formula>
    </cfRule>
  </conditionalFormatting>
  <conditionalFormatting sqref="T262:T270">
    <cfRule type="cellIs" dxfId="231" priority="110" operator="lessThan">
      <formula>0.1</formula>
    </cfRule>
  </conditionalFormatting>
  <conditionalFormatting sqref="G266:G270">
    <cfRule type="cellIs" dxfId="230" priority="111" operator="lessThan">
      <formula>0.1</formula>
    </cfRule>
  </conditionalFormatting>
  <conditionalFormatting sqref="H263:H270">
    <cfRule type="cellIs" dxfId="229" priority="112" operator="lessThan">
      <formula>0.1</formula>
    </cfRule>
  </conditionalFormatting>
  <conditionalFormatting sqref="L262:L270">
    <cfRule type="cellIs" dxfId="228" priority="113" operator="lessThan">
      <formula>0.1</formula>
    </cfRule>
  </conditionalFormatting>
  <conditionalFormatting sqref="P262:P270">
    <cfRule type="cellIs" dxfId="227" priority="114" operator="lessThan">
      <formula>0.1</formula>
    </cfRule>
  </conditionalFormatting>
  <conditionalFormatting sqref="T273:T281">
    <cfRule type="cellIs" dxfId="226" priority="115" operator="lessThan">
      <formula>0.1</formula>
    </cfRule>
  </conditionalFormatting>
  <conditionalFormatting sqref="G277:G281">
    <cfRule type="cellIs" dxfId="225" priority="116" operator="lessThan">
      <formula>0.1</formula>
    </cfRule>
  </conditionalFormatting>
  <conditionalFormatting sqref="H274:H281">
    <cfRule type="cellIs" dxfId="224" priority="117" operator="lessThan">
      <formula>0.1</formula>
    </cfRule>
  </conditionalFormatting>
  <conditionalFormatting sqref="L273:L281">
    <cfRule type="cellIs" dxfId="223" priority="118" operator="lessThan">
      <formula>0.1</formula>
    </cfRule>
  </conditionalFormatting>
  <conditionalFormatting sqref="P273:P281">
    <cfRule type="cellIs" dxfId="222" priority="119" operator="lessThan">
      <formula>0.1</formula>
    </cfRule>
  </conditionalFormatting>
  <conditionalFormatting sqref="P98:P105">
    <cfRule type="cellIs" dxfId="221" priority="120" operator="lessThan">
      <formula>0.1</formula>
    </cfRule>
  </conditionalFormatting>
  <conditionalFormatting sqref="T130:T138">
    <cfRule type="cellIs" dxfId="220" priority="121" operator="lessThan">
      <formula>0.1</formula>
    </cfRule>
  </conditionalFormatting>
  <conditionalFormatting sqref="P153:P160">
    <cfRule type="cellIs" dxfId="219" priority="122" operator="lessThan">
      <formula>0.1</formula>
    </cfRule>
  </conditionalFormatting>
  <conditionalFormatting sqref="T152:T160">
    <cfRule type="cellIs" dxfId="218" priority="123" operator="lessThan">
      <formula>0.1</formula>
    </cfRule>
  </conditionalFormatting>
  <conditionalFormatting sqref="G88:G94">
    <cfRule type="cellIs" dxfId="217" priority="124" operator="lessThan">
      <formula>0.1</formula>
    </cfRule>
  </conditionalFormatting>
  <conditionalFormatting sqref="P142:P149">
    <cfRule type="cellIs" dxfId="216" priority="125" operator="lessThan">
      <formula>0.1</formula>
    </cfRule>
  </conditionalFormatting>
  <conditionalFormatting sqref="G79:G83">
    <cfRule type="cellIs" dxfId="215" priority="126" operator="lessThan">
      <formula>0.1</formula>
    </cfRule>
  </conditionalFormatting>
  <conditionalFormatting sqref="T229:T230">
    <cfRule type="cellIs" dxfId="214" priority="127" operator="lessThan">
      <formula>0.1</formula>
    </cfRule>
  </conditionalFormatting>
  <conditionalFormatting sqref="H76:H83">
    <cfRule type="cellIs" dxfId="213" priority="128" operator="lessThan">
      <formula>0.1</formula>
    </cfRule>
  </conditionalFormatting>
  <conditionalFormatting sqref="L75:L83">
    <cfRule type="cellIs" dxfId="212" priority="129" operator="lessThan">
      <formula>0.1</formula>
    </cfRule>
  </conditionalFormatting>
  <conditionalFormatting sqref="L186:L187">
    <cfRule type="cellIs" dxfId="211" priority="130" operator="lessThan">
      <formula>0.1</formula>
    </cfRule>
  </conditionalFormatting>
  <conditionalFormatting sqref="P76:P83">
    <cfRule type="cellIs" dxfId="210" priority="131" operator="lessThan">
      <formula>0.1</formula>
    </cfRule>
  </conditionalFormatting>
  <conditionalFormatting sqref="H87:H94">
    <cfRule type="cellIs" dxfId="209" priority="132" operator="lessThan">
      <formula>0.1</formula>
    </cfRule>
  </conditionalFormatting>
  <conditionalFormatting sqref="P87:P94">
    <cfRule type="cellIs" dxfId="208" priority="133" operator="lessThan">
      <formula>0.1</formula>
    </cfRule>
  </conditionalFormatting>
  <conditionalFormatting sqref="P186:P187">
    <cfRule type="cellIs" dxfId="207" priority="134" operator="lessThan">
      <formula>0.1</formula>
    </cfRule>
  </conditionalFormatting>
  <conditionalFormatting sqref="T75:T83">
    <cfRule type="cellIs" dxfId="206" priority="135" operator="lessThan">
      <formula>0.1</formula>
    </cfRule>
  </conditionalFormatting>
  <conditionalFormatting sqref="L87:L94">
    <cfRule type="cellIs" dxfId="205" priority="136" operator="lessThan">
      <formula>0.1</formula>
    </cfRule>
  </conditionalFormatting>
  <conditionalFormatting sqref="T87:T94">
    <cfRule type="cellIs" dxfId="204" priority="137" operator="lessThan">
      <formula>0.1</formula>
    </cfRule>
  </conditionalFormatting>
  <conditionalFormatting sqref="T186:T187">
    <cfRule type="cellIs" dxfId="203" priority="138" operator="lessThan">
      <formula>0.1</formula>
    </cfRule>
  </conditionalFormatting>
  <conditionalFormatting sqref="T207:T208">
    <cfRule type="cellIs" dxfId="202" priority="139" operator="lessThan">
      <formula>0.1</formula>
    </cfRule>
  </conditionalFormatting>
  <conditionalFormatting sqref="T240:T241">
    <cfRule type="cellIs" dxfId="201" priority="140" operator="lessThan">
      <formula>0.1</formula>
    </cfRule>
  </conditionalFormatting>
  <conditionalFormatting sqref="T284:T292">
    <cfRule type="cellIs" dxfId="200" priority="141" operator="lessThan">
      <formula>0.1</formula>
    </cfRule>
  </conditionalFormatting>
  <conditionalFormatting sqref="G288:G292">
    <cfRule type="cellIs" dxfId="199" priority="142" operator="lessThan">
      <formula>0.1</formula>
    </cfRule>
  </conditionalFormatting>
  <conditionalFormatting sqref="H285:H292">
    <cfRule type="cellIs" dxfId="198" priority="143" operator="lessThan">
      <formula>0.1</formula>
    </cfRule>
  </conditionalFormatting>
  <conditionalFormatting sqref="L284:L292">
    <cfRule type="cellIs" dxfId="197" priority="144" operator="lessThan">
      <formula>0.1</formula>
    </cfRule>
  </conditionalFormatting>
  <conditionalFormatting sqref="P284:P292">
    <cfRule type="cellIs" dxfId="196" priority="145" operator="lessThan">
      <formula>0.1</formula>
    </cfRule>
  </conditionalFormatting>
  <conditionalFormatting sqref="P296:P303">
    <cfRule type="cellIs" dxfId="195" priority="146" operator="lessThan">
      <formula>0.1</formula>
    </cfRule>
  </conditionalFormatting>
  <conditionalFormatting sqref="G299:G303">
    <cfRule type="cellIs" dxfId="194" priority="147" operator="lessThan">
      <formula>0.1</formula>
    </cfRule>
  </conditionalFormatting>
  <conditionalFormatting sqref="H296:H303">
    <cfRule type="cellIs" dxfId="193" priority="148" operator="lessThan">
      <formula>0.1</formula>
    </cfRule>
  </conditionalFormatting>
  <conditionalFormatting sqref="L295:L303">
    <cfRule type="cellIs" dxfId="192" priority="149" operator="lessThan">
      <formula>0.1</formula>
    </cfRule>
  </conditionalFormatting>
  <conditionalFormatting sqref="T295:T303">
    <cfRule type="cellIs" dxfId="191" priority="150" operator="lessThan">
      <formula>0.1</formula>
    </cfRule>
  </conditionalFormatting>
  <conditionalFormatting sqref="G321:G325">
    <cfRule type="cellIs" dxfId="190" priority="151" operator="lessThan">
      <formula>0.1</formula>
    </cfRule>
  </conditionalFormatting>
  <conditionalFormatting sqref="H318:H325">
    <cfRule type="cellIs" dxfId="189" priority="152" operator="lessThan">
      <formula>0.1</formula>
    </cfRule>
  </conditionalFormatting>
  <conditionalFormatting sqref="L319:L325">
    <cfRule type="cellIs" dxfId="188" priority="153" operator="lessThan">
      <formula>0.1</formula>
    </cfRule>
  </conditionalFormatting>
  <conditionalFormatting sqref="P319:P325">
    <cfRule type="cellIs" dxfId="187" priority="154" operator="lessThan">
      <formula>0.1</formula>
    </cfRule>
  </conditionalFormatting>
  <conditionalFormatting sqref="T319:T325">
    <cfRule type="cellIs" dxfId="186" priority="155" operator="lessThan">
      <formula>0.1</formula>
    </cfRule>
  </conditionalFormatting>
  <conditionalFormatting sqref="L318">
    <cfRule type="cellIs" dxfId="185" priority="156" operator="lessThan">
      <formula>0.1</formula>
    </cfRule>
  </conditionalFormatting>
  <conditionalFormatting sqref="P318">
    <cfRule type="cellIs" dxfId="184" priority="157" operator="lessThan">
      <formula>0.1</formula>
    </cfRule>
  </conditionalFormatting>
  <conditionalFormatting sqref="T318">
    <cfRule type="cellIs" dxfId="183" priority="158" operator="lessThan">
      <formula>0.1</formula>
    </cfRule>
  </conditionalFormatting>
  <conditionalFormatting sqref="L351">
    <cfRule type="cellIs" dxfId="182" priority="159" operator="lessThan">
      <formula>0.1</formula>
    </cfRule>
  </conditionalFormatting>
  <conditionalFormatting sqref="G354:G358">
    <cfRule type="cellIs" dxfId="181" priority="160" operator="lessThan">
      <formula>0.1</formula>
    </cfRule>
  </conditionalFormatting>
  <conditionalFormatting sqref="H351:H358">
    <cfRule type="cellIs" dxfId="180" priority="161" operator="lessThan">
      <formula>0.1</formula>
    </cfRule>
  </conditionalFormatting>
  <conditionalFormatting sqref="L352:L358">
    <cfRule type="cellIs" dxfId="179" priority="162" operator="lessThan">
      <formula>0.1</formula>
    </cfRule>
  </conditionalFormatting>
  <conditionalFormatting sqref="P352:P358">
    <cfRule type="cellIs" dxfId="178" priority="163" operator="lessThan">
      <formula>0.1</formula>
    </cfRule>
  </conditionalFormatting>
  <conditionalFormatting sqref="T352:T358">
    <cfRule type="cellIs" dxfId="177" priority="164" operator="lessThan">
      <formula>0.1</formula>
    </cfRule>
  </conditionalFormatting>
  <conditionalFormatting sqref="P351">
    <cfRule type="cellIs" dxfId="176" priority="165" operator="lessThan">
      <formula>0.1</formula>
    </cfRule>
  </conditionalFormatting>
  <conditionalFormatting sqref="T351">
    <cfRule type="cellIs" dxfId="175" priority="166" operator="lessThan">
      <formula>0.1</formula>
    </cfRule>
  </conditionalFormatting>
  <conditionalFormatting sqref="L329">
    <cfRule type="cellIs" dxfId="174" priority="167" operator="lessThan">
      <formula>0.1</formula>
    </cfRule>
  </conditionalFormatting>
  <conditionalFormatting sqref="G332:G336">
    <cfRule type="cellIs" dxfId="173" priority="168" operator="lessThan">
      <formula>0.1</formula>
    </cfRule>
  </conditionalFormatting>
  <conditionalFormatting sqref="H329:H336">
    <cfRule type="cellIs" dxfId="172" priority="169" operator="lessThan">
      <formula>0.1</formula>
    </cfRule>
  </conditionalFormatting>
  <conditionalFormatting sqref="L330:L336">
    <cfRule type="cellIs" dxfId="171" priority="170" operator="lessThan">
      <formula>0.1</formula>
    </cfRule>
  </conditionalFormatting>
  <conditionalFormatting sqref="P330:P336">
    <cfRule type="cellIs" dxfId="170" priority="171" operator="lessThan">
      <formula>0.1</formula>
    </cfRule>
  </conditionalFormatting>
  <conditionalFormatting sqref="T330:T336">
    <cfRule type="cellIs" dxfId="169" priority="172" operator="lessThan">
      <formula>0.1</formula>
    </cfRule>
  </conditionalFormatting>
  <conditionalFormatting sqref="P329">
    <cfRule type="cellIs" dxfId="168" priority="173" operator="lessThan">
      <formula>0.1</formula>
    </cfRule>
  </conditionalFormatting>
  <conditionalFormatting sqref="T329">
    <cfRule type="cellIs" dxfId="167" priority="174" operator="lessThan">
      <formula>0.1</formula>
    </cfRule>
  </conditionalFormatting>
  <conditionalFormatting sqref="L340">
    <cfRule type="cellIs" dxfId="166" priority="175" operator="lessThan">
      <formula>0.1</formula>
    </cfRule>
  </conditionalFormatting>
  <conditionalFormatting sqref="G343:G347">
    <cfRule type="cellIs" dxfId="165" priority="176" operator="lessThan">
      <formula>0.1</formula>
    </cfRule>
  </conditionalFormatting>
  <conditionalFormatting sqref="H340:H347">
    <cfRule type="cellIs" dxfId="164" priority="177" operator="lessThan">
      <formula>0.1</formula>
    </cfRule>
  </conditionalFormatting>
  <conditionalFormatting sqref="L341:L347">
    <cfRule type="cellIs" dxfId="163" priority="178" operator="lessThan">
      <formula>0.1</formula>
    </cfRule>
  </conditionalFormatting>
  <conditionalFormatting sqref="P341:P347">
    <cfRule type="cellIs" dxfId="162" priority="179" operator="lessThan">
      <formula>0.1</formula>
    </cfRule>
  </conditionalFormatting>
  <conditionalFormatting sqref="T341:T347">
    <cfRule type="cellIs" dxfId="161" priority="180" operator="lessThan">
      <formula>0.1</formula>
    </cfRule>
  </conditionalFormatting>
  <conditionalFormatting sqref="P340">
    <cfRule type="cellIs" dxfId="160" priority="181" operator="lessThan">
      <formula>0.1</formula>
    </cfRule>
  </conditionalFormatting>
  <conditionalFormatting sqref="T340">
    <cfRule type="cellIs" dxfId="159" priority="182" operator="lessThan">
      <formula>0.1</formula>
    </cfRule>
  </conditionalFormatting>
  <conditionalFormatting sqref="G112:G116">
    <cfRule type="cellIs" dxfId="158" priority="183" operator="lessThan">
      <formula>0.1</formula>
    </cfRule>
  </conditionalFormatting>
  <conditionalFormatting sqref="G123:G127">
    <cfRule type="cellIs" dxfId="157" priority="184" operator="lessThan">
      <formula>0.1</formula>
    </cfRule>
  </conditionalFormatting>
  <conditionalFormatting sqref="H120:H127">
    <cfRule type="cellIs" dxfId="156" priority="185" operator="lessThan">
      <formula>0.1</formula>
    </cfRule>
  </conditionalFormatting>
  <conditionalFormatting sqref="P120:P127">
    <cfRule type="cellIs" dxfId="155" priority="186" operator="lessThan">
      <formula>0.1</formula>
    </cfRule>
  </conditionalFormatting>
  <conditionalFormatting sqref="H109:H116">
    <cfRule type="cellIs" dxfId="154" priority="187" operator="lessThan">
      <formula>0.1</formula>
    </cfRule>
  </conditionalFormatting>
  <conditionalFormatting sqref="P109:P116">
    <cfRule type="cellIs" dxfId="153" priority="188" operator="lessThan">
      <formula>0.1</formula>
    </cfRule>
  </conditionalFormatting>
  <conditionalFormatting sqref="L109:L116">
    <cfRule type="cellIs" dxfId="152" priority="189" operator="lessThan">
      <formula>0.1</formula>
    </cfRule>
  </conditionalFormatting>
  <conditionalFormatting sqref="T109:T116">
    <cfRule type="cellIs" dxfId="151" priority="190" operator="lessThan">
      <formula>0.1</formula>
    </cfRule>
  </conditionalFormatting>
  <conditionalFormatting sqref="L120:L127">
    <cfRule type="cellIs" dxfId="150" priority="191" operator="lessThan">
      <formula>0.1</formula>
    </cfRule>
  </conditionalFormatting>
  <conditionalFormatting sqref="T120:T127">
    <cfRule type="cellIs" dxfId="149" priority="192" operator="lessThan">
      <formula>0.1</formula>
    </cfRule>
  </conditionalFormatting>
  <conditionalFormatting sqref="E366">
    <cfRule type="cellIs" dxfId="148" priority="193" operator="lessThan">
      <formula>0.1</formula>
    </cfRule>
  </conditionalFormatting>
  <conditionalFormatting sqref="E384">
    <cfRule type="cellIs" dxfId="147" priority="194" operator="lessThan">
      <formula>0.1</formula>
    </cfRule>
  </conditionalFormatting>
  <conditionalFormatting sqref="E402">
    <cfRule type="cellIs" dxfId="146" priority="195" operator="lessThan">
      <formula>0.1</formula>
    </cfRule>
  </conditionalFormatting>
  <conditionalFormatting sqref="P168">
    <cfRule type="cellIs" dxfId="145" priority="196" operator="lessThan">
      <formula>0.1</formula>
    </cfRule>
  </conditionalFormatting>
  <conditionalFormatting sqref="P307:P314">
    <cfRule type="cellIs" dxfId="144" priority="197" operator="lessThan">
      <formula>0.1</formula>
    </cfRule>
  </conditionalFormatting>
  <conditionalFormatting sqref="G310:G314">
    <cfRule type="cellIs" dxfId="143" priority="198" operator="lessThan">
      <formula>0.1</formula>
    </cfRule>
  </conditionalFormatting>
  <conditionalFormatting sqref="H307:H314">
    <cfRule type="cellIs" dxfId="142" priority="199" operator="lessThan">
      <formula>0.1</formula>
    </cfRule>
  </conditionalFormatting>
  <conditionalFormatting sqref="L306:L314">
    <cfRule type="cellIs" dxfId="141" priority="200" operator="lessThan">
      <formula>0.1</formula>
    </cfRule>
  </conditionalFormatting>
  <conditionalFormatting sqref="T306:T314">
    <cfRule type="cellIs" dxfId="140" priority="201" operator="lessThan">
      <formula>0.1</formula>
    </cfRule>
  </conditionalFormatting>
  <conditionalFormatting sqref="H64">
    <cfRule type="cellIs" dxfId="139" priority="10" operator="lessThan">
      <formula>0.1</formula>
    </cfRule>
  </conditionalFormatting>
  <conditionalFormatting sqref="H174">
    <cfRule type="cellIs" dxfId="138" priority="9" operator="lessThan">
      <formula>0.1</formula>
    </cfRule>
  </conditionalFormatting>
  <conditionalFormatting sqref="H229">
    <cfRule type="cellIs" dxfId="137" priority="8" operator="lessThan">
      <formula>0.1</formula>
    </cfRule>
  </conditionalFormatting>
  <conditionalFormatting sqref="H240">
    <cfRule type="cellIs" dxfId="136" priority="7" operator="lessThan">
      <formula>0.1</formula>
    </cfRule>
  </conditionalFormatting>
  <conditionalFormatting sqref="H251">
    <cfRule type="cellIs" dxfId="135" priority="6" operator="lessThan">
      <formula>0.1</formula>
    </cfRule>
  </conditionalFormatting>
  <conditionalFormatting sqref="H262">
    <cfRule type="cellIs" dxfId="134" priority="5" operator="lessThan">
      <formula>0.1</formula>
    </cfRule>
  </conditionalFormatting>
  <conditionalFormatting sqref="L328">
    <cfRule type="cellIs" dxfId="133" priority="4" operator="lessThan">
      <formula>0.1</formula>
    </cfRule>
  </conditionalFormatting>
  <conditionalFormatting sqref="T328">
    <cfRule type="cellIs" dxfId="132" priority="3" operator="lessThan">
      <formula>0.1</formula>
    </cfRule>
  </conditionalFormatting>
  <conditionalFormatting sqref="L339">
    <cfRule type="cellIs" dxfId="131" priority="2" operator="lessThan">
      <formula>0.1</formula>
    </cfRule>
  </conditionalFormatting>
  <conditionalFormatting sqref="T339">
    <cfRule type="cellIs" dxfId="130" priority="1" operator="lessThan">
      <formula>0.1</formula>
    </cfRule>
  </conditionalFormatting>
  <pageMargins left="0.7" right="0.7" top="0.75" bottom="0.75" header="0.3" footer="0.3"/>
  <pageSetup scale="44" orientation="landscape" r:id="rId1"/>
  <rowBreaks count="2" manualBreakCount="2">
    <brk id="85" max="22" man="1"/>
    <brk id="171" max="22"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1AD63-4540-4D62-BE7E-8A23088405BF}">
  <dimension ref="A1:L499"/>
  <sheetViews>
    <sheetView view="pageBreakPreview" zoomScale="60" zoomScaleNormal="100" workbookViewId="0">
      <selection activeCell="V20" sqref="V20"/>
    </sheetView>
  </sheetViews>
  <sheetFormatPr baseColWidth="10" defaultRowHeight="12.75" x14ac:dyDescent="0.2"/>
  <sheetData>
    <row r="1" spans="1:12" x14ac:dyDescent="0.2">
      <c r="A1" s="545" t="s">
        <v>2795</v>
      </c>
      <c r="B1" s="315"/>
      <c r="C1" s="315"/>
      <c r="D1" s="315"/>
      <c r="E1" s="315"/>
      <c r="F1" s="315"/>
      <c r="G1" s="315"/>
      <c r="H1" s="315"/>
      <c r="I1" s="315"/>
      <c r="J1" s="315"/>
      <c r="K1" s="315"/>
      <c r="L1" s="316"/>
    </row>
    <row r="2" spans="1:12" x14ac:dyDescent="0.2">
      <c r="A2" s="501"/>
      <c r="B2" s="318"/>
      <c r="C2" s="318"/>
      <c r="D2" s="318"/>
      <c r="E2" s="318"/>
      <c r="F2" s="318"/>
      <c r="G2" s="318"/>
      <c r="H2" s="318"/>
      <c r="I2" s="318"/>
      <c r="J2" s="318"/>
      <c r="K2" s="318"/>
      <c r="L2" s="319"/>
    </row>
    <row r="3" spans="1:12" ht="16.5" x14ac:dyDescent="0.3">
      <c r="A3" s="32"/>
      <c r="B3" s="32"/>
      <c r="C3" s="32"/>
      <c r="D3" s="32"/>
      <c r="E3" s="32"/>
      <c r="F3" s="32"/>
      <c r="G3" s="32"/>
      <c r="H3" s="122"/>
      <c r="I3" s="122"/>
      <c r="J3" s="122"/>
      <c r="K3" s="122"/>
      <c r="L3" s="122"/>
    </row>
    <row r="4" spans="1:12" ht="13.5" x14ac:dyDescent="0.25">
      <c r="A4" s="18"/>
      <c r="B4" s="18"/>
      <c r="C4" s="487" t="s">
        <v>2796</v>
      </c>
      <c r="D4" s="276"/>
      <c r="E4" s="488" t="s">
        <v>445</v>
      </c>
      <c r="F4" s="325" t="s">
        <v>2577</v>
      </c>
      <c r="G4" s="325" t="s">
        <v>2579</v>
      </c>
      <c r="H4" s="325" t="s">
        <v>2580</v>
      </c>
      <c r="I4" s="325" t="s">
        <v>2578</v>
      </c>
      <c r="J4" s="325" t="s">
        <v>2581</v>
      </c>
      <c r="K4" s="18"/>
      <c r="L4" s="18"/>
    </row>
    <row r="5" spans="1:12" ht="13.5" x14ac:dyDescent="0.25">
      <c r="A5" s="18"/>
      <c r="B5" s="18"/>
      <c r="C5" s="277"/>
      <c r="D5" s="279"/>
      <c r="E5" s="281"/>
      <c r="F5" s="281"/>
      <c r="G5" s="281"/>
      <c r="H5" s="281"/>
      <c r="I5" s="281"/>
      <c r="J5" s="281"/>
      <c r="K5" s="18"/>
      <c r="L5" s="18"/>
    </row>
    <row r="6" spans="1:12" ht="13.5" x14ac:dyDescent="0.25">
      <c r="A6" s="18"/>
      <c r="B6" s="18"/>
      <c r="C6" s="639" t="s">
        <v>2797</v>
      </c>
      <c r="D6" s="273"/>
      <c r="E6" s="126">
        <f>SUM(F6:J6)</f>
        <v>5</v>
      </c>
      <c r="F6" s="126">
        <v>0</v>
      </c>
      <c r="G6" s="127">
        <v>2</v>
      </c>
      <c r="H6" s="127">
        <v>1</v>
      </c>
      <c r="I6" s="127">
        <v>1</v>
      </c>
      <c r="J6" s="127">
        <v>1</v>
      </c>
      <c r="K6" s="18"/>
      <c r="L6" s="18"/>
    </row>
    <row r="7" spans="1:12" ht="13.5" x14ac:dyDescent="0.25">
      <c r="A7" s="18"/>
      <c r="B7" s="18"/>
      <c r="C7" s="639" t="s">
        <v>2798</v>
      </c>
      <c r="D7" s="273"/>
      <c r="E7" s="126">
        <f>SUM(F7:J7)</f>
        <v>4</v>
      </c>
      <c r="F7" s="126">
        <v>0</v>
      </c>
      <c r="G7" s="127">
        <v>1</v>
      </c>
      <c r="H7" s="127">
        <v>1</v>
      </c>
      <c r="I7" s="127">
        <v>1</v>
      </c>
      <c r="J7" s="127">
        <v>1</v>
      </c>
      <c r="K7" s="18"/>
      <c r="L7" s="18"/>
    </row>
    <row r="9" spans="1:12" x14ac:dyDescent="0.2">
      <c r="A9" s="545" t="s">
        <v>2799</v>
      </c>
      <c r="B9" s="545"/>
      <c r="C9" s="545"/>
      <c r="D9" s="545"/>
      <c r="E9" s="545"/>
      <c r="F9" s="545"/>
      <c r="G9" s="545"/>
      <c r="H9" s="545"/>
      <c r="I9" s="545"/>
      <c r="J9" s="545"/>
      <c r="K9" s="545"/>
      <c r="L9" s="545"/>
    </row>
    <row r="10" spans="1:12" x14ac:dyDescent="0.2">
      <c r="A10" s="545"/>
      <c r="B10" s="545"/>
      <c r="C10" s="545"/>
      <c r="D10" s="545"/>
      <c r="E10" s="545"/>
      <c r="F10" s="545"/>
      <c r="G10" s="545"/>
      <c r="H10" s="545"/>
      <c r="I10" s="545"/>
      <c r="J10" s="545"/>
      <c r="K10" s="545"/>
      <c r="L10" s="545"/>
    </row>
    <row r="11" spans="1:12" ht="13.5" x14ac:dyDescent="0.25">
      <c r="A11" s="32"/>
      <c r="B11" s="32"/>
      <c r="C11" s="32"/>
      <c r="D11" s="32"/>
      <c r="E11" s="32"/>
      <c r="F11" s="32"/>
      <c r="G11" s="32"/>
      <c r="H11" s="18"/>
      <c r="I11" s="18"/>
      <c r="J11" s="18"/>
      <c r="K11" s="18"/>
      <c r="L11" s="18"/>
    </row>
    <row r="12" spans="1:12" x14ac:dyDescent="0.2">
      <c r="A12" s="390" t="s">
        <v>76</v>
      </c>
      <c r="B12" s="611"/>
      <c r="C12" s="611"/>
      <c r="D12" s="612"/>
      <c r="E12" s="16" t="s">
        <v>77</v>
      </c>
      <c r="F12" s="16" t="s">
        <v>78</v>
      </c>
      <c r="G12" s="532" t="s">
        <v>2576</v>
      </c>
      <c r="H12" s="628"/>
      <c r="I12" s="390" t="s">
        <v>2579</v>
      </c>
      <c r="J12" s="611"/>
      <c r="K12" s="611"/>
      <c r="L12" s="612"/>
    </row>
    <row r="13" spans="1:12" ht="13.5" x14ac:dyDescent="0.2">
      <c r="A13" s="613" t="s">
        <v>2800</v>
      </c>
      <c r="B13" s="602" t="s">
        <v>1307</v>
      </c>
      <c r="C13" s="603"/>
      <c r="D13" s="604"/>
      <c r="E13" s="613" t="s">
        <v>934</v>
      </c>
      <c r="F13" s="616">
        <f>+I13</f>
        <v>3.7800000000000002</v>
      </c>
      <c r="G13" s="600" t="s">
        <v>444</v>
      </c>
      <c r="H13" s="601"/>
      <c r="I13" s="9">
        <f>I14*I15*I16</f>
        <v>3.7800000000000002</v>
      </c>
      <c r="J13" s="619"/>
      <c r="K13" s="620"/>
      <c r="L13" s="621"/>
    </row>
    <row r="14" spans="1:12" ht="13.5" x14ac:dyDescent="0.2">
      <c r="A14" s="614"/>
      <c r="B14" s="605"/>
      <c r="C14" s="606"/>
      <c r="D14" s="607"/>
      <c r="E14" s="614"/>
      <c r="F14" s="617"/>
      <c r="G14" s="600" t="s">
        <v>453</v>
      </c>
      <c r="H14" s="601"/>
      <c r="I14" s="28">
        <v>1</v>
      </c>
      <c r="J14" s="622"/>
      <c r="K14" s="623"/>
      <c r="L14" s="624"/>
    </row>
    <row r="15" spans="1:12" ht="13.5" x14ac:dyDescent="0.2">
      <c r="A15" s="614"/>
      <c r="B15" s="605"/>
      <c r="C15" s="606"/>
      <c r="D15" s="607"/>
      <c r="E15" s="614"/>
      <c r="F15" s="617"/>
      <c r="G15" s="600" t="s">
        <v>2583</v>
      </c>
      <c r="H15" s="601"/>
      <c r="I15" s="28">
        <v>2.1</v>
      </c>
      <c r="J15" s="622"/>
      <c r="K15" s="623"/>
      <c r="L15" s="624"/>
    </row>
    <row r="16" spans="1:12" ht="13.5" x14ac:dyDescent="0.2">
      <c r="A16" s="614"/>
      <c r="B16" s="605"/>
      <c r="C16" s="606"/>
      <c r="D16" s="607"/>
      <c r="E16" s="614"/>
      <c r="F16" s="617"/>
      <c r="G16" s="600" t="s">
        <v>2584</v>
      </c>
      <c r="H16" s="601"/>
      <c r="I16" s="28">
        <v>1.8</v>
      </c>
      <c r="J16" s="622"/>
      <c r="K16" s="623"/>
      <c r="L16" s="624"/>
    </row>
    <row r="17" spans="1:12" ht="13.5" x14ac:dyDescent="0.2">
      <c r="A17" s="614"/>
      <c r="B17" s="605"/>
      <c r="C17" s="606"/>
      <c r="D17" s="607"/>
      <c r="E17" s="614"/>
      <c r="F17" s="617"/>
      <c r="G17" s="600" t="s">
        <v>2585</v>
      </c>
      <c r="H17" s="601"/>
      <c r="I17" s="28"/>
      <c r="J17" s="622"/>
      <c r="K17" s="623"/>
      <c r="L17" s="624"/>
    </row>
    <row r="18" spans="1:12" ht="13.5" x14ac:dyDescent="0.2">
      <c r="A18" s="614"/>
      <c r="B18" s="605"/>
      <c r="C18" s="606"/>
      <c r="D18" s="607"/>
      <c r="E18" s="614"/>
      <c r="F18" s="617"/>
      <c r="G18" s="600" t="s">
        <v>2586</v>
      </c>
      <c r="H18" s="601"/>
      <c r="I18" s="28"/>
      <c r="J18" s="622"/>
      <c r="K18" s="623"/>
      <c r="L18" s="624"/>
    </row>
    <row r="19" spans="1:12" ht="13.5" x14ac:dyDescent="0.2">
      <c r="A19" s="614"/>
      <c r="B19" s="605"/>
      <c r="C19" s="606"/>
      <c r="D19" s="607"/>
      <c r="E19" s="614"/>
      <c r="F19" s="617"/>
      <c r="G19" s="600" t="s">
        <v>2587</v>
      </c>
      <c r="H19" s="601"/>
      <c r="I19" s="28"/>
      <c r="J19" s="622"/>
      <c r="K19" s="623"/>
      <c r="L19" s="624"/>
    </row>
    <row r="20" spans="1:12" ht="13.5" x14ac:dyDescent="0.2">
      <c r="A20" s="614"/>
      <c r="B20" s="605"/>
      <c r="C20" s="606"/>
      <c r="D20" s="607"/>
      <c r="E20" s="614"/>
      <c r="F20" s="617"/>
      <c r="G20" s="600" t="s">
        <v>2801</v>
      </c>
      <c r="H20" s="601"/>
      <c r="I20" s="28"/>
      <c r="J20" s="622"/>
      <c r="K20" s="623"/>
      <c r="L20" s="624"/>
    </row>
    <row r="21" spans="1:12" ht="13.5" x14ac:dyDescent="0.2">
      <c r="A21" s="615"/>
      <c r="B21" s="608"/>
      <c r="C21" s="609"/>
      <c r="D21" s="610"/>
      <c r="E21" s="615"/>
      <c r="F21" s="618"/>
      <c r="G21" s="600" t="s">
        <v>2802</v>
      </c>
      <c r="H21" s="601"/>
      <c r="I21" s="28"/>
      <c r="J21" s="625"/>
      <c r="K21" s="626"/>
      <c r="L21" s="627"/>
    </row>
    <row r="22" spans="1:12" ht="13.5" x14ac:dyDescent="0.25">
      <c r="A22" s="18"/>
      <c r="B22" s="18"/>
      <c r="C22" s="18"/>
      <c r="D22" s="18"/>
      <c r="E22" s="18"/>
      <c r="F22" s="18"/>
      <c r="G22" s="18"/>
      <c r="H22" s="18"/>
      <c r="I22" s="18"/>
      <c r="J22" s="18"/>
      <c r="K22" s="18"/>
      <c r="L22" s="18"/>
    </row>
    <row r="23" spans="1:12" x14ac:dyDescent="0.2">
      <c r="A23" s="390" t="s">
        <v>76</v>
      </c>
      <c r="B23" s="611"/>
      <c r="C23" s="611"/>
      <c r="D23" s="612"/>
      <c r="E23" s="16" t="s">
        <v>77</v>
      </c>
      <c r="F23" s="16" t="s">
        <v>78</v>
      </c>
      <c r="G23" s="532" t="s">
        <v>2576</v>
      </c>
      <c r="H23" s="628"/>
      <c r="I23" s="390" t="s">
        <v>2579</v>
      </c>
      <c r="J23" s="611"/>
      <c r="K23" s="611"/>
      <c r="L23" s="612"/>
    </row>
    <row r="24" spans="1:12" ht="13.5" x14ac:dyDescent="0.2">
      <c r="A24" s="613" t="s">
        <v>2803</v>
      </c>
      <c r="B24" s="602" t="s">
        <v>1308</v>
      </c>
      <c r="C24" s="603"/>
      <c r="D24" s="604"/>
      <c r="E24" s="613" t="s">
        <v>258</v>
      </c>
      <c r="F24" s="616">
        <f>+I24</f>
        <v>6.6150000000000002</v>
      </c>
      <c r="G24" s="600" t="s">
        <v>444</v>
      </c>
      <c r="H24" s="601"/>
      <c r="I24" s="9">
        <f>I25*I26*I27*I28</f>
        <v>6.6150000000000002</v>
      </c>
      <c r="J24" s="619"/>
      <c r="K24" s="620"/>
      <c r="L24" s="621"/>
    </row>
    <row r="25" spans="1:12" ht="13.5" x14ac:dyDescent="0.2">
      <c r="A25" s="614"/>
      <c r="B25" s="605"/>
      <c r="C25" s="606"/>
      <c r="D25" s="607"/>
      <c r="E25" s="614"/>
      <c r="F25" s="617"/>
      <c r="G25" s="600" t="s">
        <v>453</v>
      </c>
      <c r="H25" s="601"/>
      <c r="I25" s="28">
        <v>1</v>
      </c>
      <c r="J25" s="622"/>
      <c r="K25" s="623"/>
      <c r="L25" s="624"/>
    </row>
    <row r="26" spans="1:12" ht="13.5" x14ac:dyDescent="0.2">
      <c r="A26" s="614"/>
      <c r="B26" s="605"/>
      <c r="C26" s="606"/>
      <c r="D26" s="607"/>
      <c r="E26" s="614"/>
      <c r="F26" s="617"/>
      <c r="G26" s="600" t="s">
        <v>2583</v>
      </c>
      <c r="H26" s="601"/>
      <c r="I26" s="28">
        <v>2.1</v>
      </c>
      <c r="J26" s="622"/>
      <c r="K26" s="623"/>
      <c r="L26" s="624"/>
    </row>
    <row r="27" spans="1:12" ht="13.5" x14ac:dyDescent="0.2">
      <c r="A27" s="614"/>
      <c r="B27" s="605"/>
      <c r="C27" s="606"/>
      <c r="D27" s="607"/>
      <c r="E27" s="614"/>
      <c r="F27" s="617"/>
      <c r="G27" s="600" t="s">
        <v>2584</v>
      </c>
      <c r="H27" s="601"/>
      <c r="I27" s="28">
        <v>1.8</v>
      </c>
      <c r="J27" s="622"/>
      <c r="K27" s="623"/>
      <c r="L27" s="624"/>
    </row>
    <row r="28" spans="1:12" ht="13.5" x14ac:dyDescent="0.2">
      <c r="A28" s="614"/>
      <c r="B28" s="605"/>
      <c r="C28" s="606"/>
      <c r="D28" s="607"/>
      <c r="E28" s="614"/>
      <c r="F28" s="617"/>
      <c r="G28" s="600" t="s">
        <v>2585</v>
      </c>
      <c r="H28" s="601"/>
      <c r="I28" s="28">
        <v>1.75</v>
      </c>
      <c r="J28" s="622"/>
      <c r="K28" s="623"/>
      <c r="L28" s="624"/>
    </row>
    <row r="29" spans="1:12" ht="13.5" x14ac:dyDescent="0.2">
      <c r="A29" s="614"/>
      <c r="B29" s="605"/>
      <c r="C29" s="606"/>
      <c r="D29" s="607"/>
      <c r="E29" s="614"/>
      <c r="F29" s="617"/>
      <c r="G29" s="600" t="s">
        <v>2586</v>
      </c>
      <c r="H29" s="601"/>
      <c r="I29" s="28"/>
      <c r="J29" s="622"/>
      <c r="K29" s="623"/>
      <c r="L29" s="624"/>
    </row>
    <row r="30" spans="1:12" ht="13.5" x14ac:dyDescent="0.2">
      <c r="A30" s="614"/>
      <c r="B30" s="605"/>
      <c r="C30" s="606"/>
      <c r="D30" s="607"/>
      <c r="E30" s="614"/>
      <c r="F30" s="617"/>
      <c r="G30" s="600" t="s">
        <v>2587</v>
      </c>
      <c r="H30" s="601"/>
      <c r="I30" s="28"/>
      <c r="J30" s="622"/>
      <c r="K30" s="623"/>
      <c r="L30" s="624"/>
    </row>
    <row r="31" spans="1:12" ht="13.5" x14ac:dyDescent="0.2">
      <c r="A31" s="614"/>
      <c r="B31" s="605"/>
      <c r="C31" s="606"/>
      <c r="D31" s="607"/>
      <c r="E31" s="614"/>
      <c r="F31" s="617"/>
      <c r="G31" s="600" t="s">
        <v>2804</v>
      </c>
      <c r="H31" s="601"/>
      <c r="I31" s="28"/>
      <c r="J31" s="622"/>
      <c r="K31" s="623"/>
      <c r="L31" s="624"/>
    </row>
    <row r="32" spans="1:12" ht="13.5" x14ac:dyDescent="0.2">
      <c r="A32" s="615"/>
      <c r="B32" s="608"/>
      <c r="C32" s="609"/>
      <c r="D32" s="610"/>
      <c r="E32" s="615"/>
      <c r="F32" s="618"/>
      <c r="G32" s="600" t="s">
        <v>2805</v>
      </c>
      <c r="H32" s="601"/>
      <c r="I32" s="28"/>
      <c r="J32" s="625"/>
      <c r="K32" s="626"/>
      <c r="L32" s="627"/>
    </row>
    <row r="33" spans="1:12" ht="13.5" x14ac:dyDescent="0.25">
      <c r="A33" s="18"/>
      <c r="B33" s="18"/>
      <c r="C33" s="18"/>
      <c r="D33" s="18"/>
      <c r="E33" s="18"/>
      <c r="F33" s="18"/>
      <c r="G33" s="18"/>
      <c r="H33" s="18"/>
      <c r="I33" s="18"/>
      <c r="J33" s="18"/>
      <c r="K33" s="18"/>
      <c r="L33" s="18"/>
    </row>
    <row r="34" spans="1:12" x14ac:dyDescent="0.2">
      <c r="A34" s="390" t="s">
        <v>76</v>
      </c>
      <c r="B34" s="611"/>
      <c r="C34" s="611"/>
      <c r="D34" s="612"/>
      <c r="E34" s="16" t="s">
        <v>77</v>
      </c>
      <c r="F34" s="16" t="s">
        <v>78</v>
      </c>
      <c r="G34" s="532" t="s">
        <v>2576</v>
      </c>
      <c r="H34" s="628"/>
      <c r="I34" s="390" t="s">
        <v>2579</v>
      </c>
      <c r="J34" s="611"/>
      <c r="K34" s="611"/>
      <c r="L34" s="612"/>
    </row>
    <row r="35" spans="1:12" ht="13.5" x14ac:dyDescent="0.2">
      <c r="A35" s="613" t="s">
        <v>2806</v>
      </c>
      <c r="B35" s="602" t="s">
        <v>1310</v>
      </c>
      <c r="C35" s="603"/>
      <c r="D35" s="604"/>
      <c r="E35" s="613" t="s">
        <v>258</v>
      </c>
      <c r="F35" s="616">
        <f>+I35</f>
        <v>0.18900000000000003</v>
      </c>
      <c r="G35" s="600" t="s">
        <v>444</v>
      </c>
      <c r="H35" s="601"/>
      <c r="I35" s="9">
        <f>I36*I37*I38*I39</f>
        <v>0.18900000000000003</v>
      </c>
      <c r="J35" s="619"/>
      <c r="K35" s="620"/>
      <c r="L35" s="621"/>
    </row>
    <row r="36" spans="1:12" ht="13.5" x14ac:dyDescent="0.2">
      <c r="A36" s="614"/>
      <c r="B36" s="605"/>
      <c r="C36" s="606"/>
      <c r="D36" s="607"/>
      <c r="E36" s="614"/>
      <c r="F36" s="617"/>
      <c r="G36" s="600" t="s">
        <v>453</v>
      </c>
      <c r="H36" s="601"/>
      <c r="I36" s="28">
        <v>1</v>
      </c>
      <c r="J36" s="622"/>
      <c r="K36" s="623"/>
      <c r="L36" s="624"/>
    </row>
    <row r="37" spans="1:12" ht="13.5" x14ac:dyDescent="0.2">
      <c r="A37" s="614"/>
      <c r="B37" s="605"/>
      <c r="C37" s="606"/>
      <c r="D37" s="607"/>
      <c r="E37" s="614"/>
      <c r="F37" s="617"/>
      <c r="G37" s="600" t="s">
        <v>2583</v>
      </c>
      <c r="H37" s="601"/>
      <c r="I37" s="28">
        <v>2.1</v>
      </c>
      <c r="J37" s="622"/>
      <c r="K37" s="623"/>
      <c r="L37" s="624"/>
    </row>
    <row r="38" spans="1:12" ht="13.5" x14ac:dyDescent="0.2">
      <c r="A38" s="614"/>
      <c r="B38" s="605"/>
      <c r="C38" s="606"/>
      <c r="D38" s="607"/>
      <c r="E38" s="614"/>
      <c r="F38" s="617"/>
      <c r="G38" s="600" t="s">
        <v>2584</v>
      </c>
      <c r="H38" s="601"/>
      <c r="I38" s="28">
        <v>1.8</v>
      </c>
      <c r="J38" s="622"/>
      <c r="K38" s="623"/>
      <c r="L38" s="624"/>
    </row>
    <row r="39" spans="1:12" ht="13.5" x14ac:dyDescent="0.2">
      <c r="A39" s="614"/>
      <c r="B39" s="605"/>
      <c r="C39" s="606"/>
      <c r="D39" s="607"/>
      <c r="E39" s="614"/>
      <c r="F39" s="617"/>
      <c r="G39" s="600" t="s">
        <v>2585</v>
      </c>
      <c r="H39" s="601"/>
      <c r="I39" s="28">
        <v>0.05</v>
      </c>
      <c r="J39" s="622"/>
      <c r="K39" s="623"/>
      <c r="L39" s="624"/>
    </row>
    <row r="40" spans="1:12" ht="13.5" x14ac:dyDescent="0.2">
      <c r="A40" s="614"/>
      <c r="B40" s="605"/>
      <c r="C40" s="606"/>
      <c r="D40" s="607"/>
      <c r="E40" s="614"/>
      <c r="F40" s="617"/>
      <c r="G40" s="600" t="s">
        <v>2586</v>
      </c>
      <c r="H40" s="601"/>
      <c r="I40" s="28"/>
      <c r="J40" s="622"/>
      <c r="K40" s="623"/>
      <c r="L40" s="624"/>
    </row>
    <row r="41" spans="1:12" ht="13.5" x14ac:dyDescent="0.2">
      <c r="A41" s="614"/>
      <c r="B41" s="605"/>
      <c r="C41" s="606"/>
      <c r="D41" s="607"/>
      <c r="E41" s="614"/>
      <c r="F41" s="617"/>
      <c r="G41" s="600" t="s">
        <v>2587</v>
      </c>
      <c r="H41" s="601"/>
      <c r="I41" s="28"/>
      <c r="J41" s="622"/>
      <c r="K41" s="623"/>
      <c r="L41" s="624"/>
    </row>
    <row r="42" spans="1:12" ht="13.5" x14ac:dyDescent="0.2">
      <c r="A42" s="614"/>
      <c r="B42" s="605"/>
      <c r="C42" s="606"/>
      <c r="D42" s="607"/>
      <c r="E42" s="614"/>
      <c r="F42" s="617"/>
      <c r="G42" s="600" t="s">
        <v>2807</v>
      </c>
      <c r="H42" s="601"/>
      <c r="I42" s="28"/>
      <c r="J42" s="622"/>
      <c r="K42" s="623"/>
      <c r="L42" s="624"/>
    </row>
    <row r="43" spans="1:12" ht="13.5" x14ac:dyDescent="0.2">
      <c r="A43" s="615"/>
      <c r="B43" s="608"/>
      <c r="C43" s="609"/>
      <c r="D43" s="610"/>
      <c r="E43" s="615"/>
      <c r="F43" s="618"/>
      <c r="G43" s="600" t="s">
        <v>2808</v>
      </c>
      <c r="H43" s="601"/>
      <c r="I43" s="28"/>
      <c r="J43" s="625"/>
      <c r="K43" s="626"/>
      <c r="L43" s="627"/>
    </row>
    <row r="44" spans="1:12" ht="13.5" x14ac:dyDescent="0.25">
      <c r="A44" s="18"/>
      <c r="B44" s="18"/>
      <c r="C44" s="18"/>
      <c r="D44" s="18"/>
      <c r="E44" s="18"/>
      <c r="F44" s="18"/>
      <c r="G44" s="18"/>
      <c r="H44" s="18"/>
      <c r="I44" s="18"/>
      <c r="J44" s="18"/>
      <c r="K44" s="18"/>
      <c r="L44" s="18"/>
    </row>
    <row r="45" spans="1:12" x14ac:dyDescent="0.2">
      <c r="A45" s="390" t="s">
        <v>76</v>
      </c>
      <c r="B45" s="611"/>
      <c r="C45" s="611"/>
      <c r="D45" s="612"/>
      <c r="E45" s="16" t="s">
        <v>77</v>
      </c>
      <c r="F45" s="16" t="s">
        <v>78</v>
      </c>
      <c r="G45" s="532" t="s">
        <v>2576</v>
      </c>
      <c r="H45" s="628"/>
      <c r="I45" s="390" t="s">
        <v>2579</v>
      </c>
      <c r="J45" s="611"/>
      <c r="K45" s="611"/>
      <c r="L45" s="612"/>
    </row>
    <row r="46" spans="1:12" ht="13.5" x14ac:dyDescent="0.2">
      <c r="A46" s="613" t="s">
        <v>2809</v>
      </c>
      <c r="B46" s="602" t="s">
        <v>1309</v>
      </c>
      <c r="C46" s="603"/>
      <c r="D46" s="604"/>
      <c r="E46" s="613" t="s">
        <v>258</v>
      </c>
      <c r="F46" s="616">
        <f>+I46</f>
        <v>0.75600000000000012</v>
      </c>
      <c r="G46" s="600" t="s">
        <v>444</v>
      </c>
      <c r="H46" s="601"/>
      <c r="I46" s="9">
        <f>I47*I48*I49*I50</f>
        <v>0.75600000000000012</v>
      </c>
      <c r="J46" s="619"/>
      <c r="K46" s="620"/>
      <c r="L46" s="621"/>
    </row>
    <row r="47" spans="1:12" ht="13.5" x14ac:dyDescent="0.2">
      <c r="A47" s="614"/>
      <c r="B47" s="605"/>
      <c r="C47" s="606"/>
      <c r="D47" s="607"/>
      <c r="E47" s="614"/>
      <c r="F47" s="617"/>
      <c r="G47" s="600" t="s">
        <v>453</v>
      </c>
      <c r="H47" s="601"/>
      <c r="I47" s="28">
        <v>1</v>
      </c>
      <c r="J47" s="622"/>
      <c r="K47" s="623"/>
      <c r="L47" s="624"/>
    </row>
    <row r="48" spans="1:12" ht="13.5" x14ac:dyDescent="0.2">
      <c r="A48" s="614"/>
      <c r="B48" s="605"/>
      <c r="C48" s="606"/>
      <c r="D48" s="607"/>
      <c r="E48" s="614"/>
      <c r="F48" s="617"/>
      <c r="G48" s="600" t="s">
        <v>2583</v>
      </c>
      <c r="H48" s="601"/>
      <c r="I48" s="28">
        <v>2.1</v>
      </c>
      <c r="J48" s="622"/>
      <c r="K48" s="623"/>
      <c r="L48" s="624"/>
    </row>
    <row r="49" spans="1:12" ht="13.5" x14ac:dyDescent="0.2">
      <c r="A49" s="614"/>
      <c r="B49" s="605"/>
      <c r="C49" s="606"/>
      <c r="D49" s="607"/>
      <c r="E49" s="614"/>
      <c r="F49" s="617"/>
      <c r="G49" s="600" t="s">
        <v>2584</v>
      </c>
      <c r="H49" s="601"/>
      <c r="I49" s="28">
        <v>1.8</v>
      </c>
      <c r="J49" s="622"/>
      <c r="K49" s="623"/>
      <c r="L49" s="624"/>
    </row>
    <row r="50" spans="1:12" ht="13.5" x14ac:dyDescent="0.2">
      <c r="A50" s="614"/>
      <c r="B50" s="605"/>
      <c r="C50" s="606"/>
      <c r="D50" s="607"/>
      <c r="E50" s="614"/>
      <c r="F50" s="617"/>
      <c r="G50" s="600" t="s">
        <v>2585</v>
      </c>
      <c r="H50" s="601"/>
      <c r="I50" s="28">
        <v>0.2</v>
      </c>
      <c r="J50" s="622"/>
      <c r="K50" s="623"/>
      <c r="L50" s="624"/>
    </row>
    <row r="51" spans="1:12" ht="13.5" x14ac:dyDescent="0.2">
      <c r="A51" s="614"/>
      <c r="B51" s="605"/>
      <c r="C51" s="606"/>
      <c r="D51" s="607"/>
      <c r="E51" s="614"/>
      <c r="F51" s="617"/>
      <c r="G51" s="600" t="s">
        <v>2586</v>
      </c>
      <c r="H51" s="601"/>
      <c r="I51" s="28"/>
      <c r="J51" s="622"/>
      <c r="K51" s="623"/>
      <c r="L51" s="624"/>
    </row>
    <row r="52" spans="1:12" ht="13.5" x14ac:dyDescent="0.2">
      <c r="A52" s="614"/>
      <c r="B52" s="605"/>
      <c r="C52" s="606"/>
      <c r="D52" s="607"/>
      <c r="E52" s="614"/>
      <c r="F52" s="617"/>
      <c r="G52" s="600" t="s">
        <v>2587</v>
      </c>
      <c r="H52" s="601"/>
      <c r="I52" s="28"/>
      <c r="J52" s="622"/>
      <c r="K52" s="623"/>
      <c r="L52" s="624"/>
    </row>
    <row r="53" spans="1:12" ht="13.5" x14ac:dyDescent="0.2">
      <c r="A53" s="614"/>
      <c r="B53" s="605"/>
      <c r="C53" s="606"/>
      <c r="D53" s="607"/>
      <c r="E53" s="614"/>
      <c r="F53" s="617"/>
      <c r="G53" s="600" t="s">
        <v>2810</v>
      </c>
      <c r="H53" s="601"/>
      <c r="I53" s="28"/>
      <c r="J53" s="622"/>
      <c r="K53" s="623"/>
      <c r="L53" s="624"/>
    </row>
    <row r="54" spans="1:12" ht="13.5" x14ac:dyDescent="0.2">
      <c r="A54" s="615"/>
      <c r="B54" s="608"/>
      <c r="C54" s="609"/>
      <c r="D54" s="610"/>
      <c r="E54" s="615"/>
      <c r="F54" s="618"/>
      <c r="G54" s="600" t="s">
        <v>2811</v>
      </c>
      <c r="H54" s="601"/>
      <c r="I54" s="28"/>
      <c r="J54" s="625"/>
      <c r="K54" s="626"/>
      <c r="L54" s="627"/>
    </row>
    <row r="55" spans="1:12" ht="13.5" x14ac:dyDescent="0.2">
      <c r="A55" s="32"/>
      <c r="B55" s="32"/>
      <c r="C55" s="32"/>
      <c r="D55" s="32"/>
      <c r="E55" s="32"/>
      <c r="F55" s="32"/>
      <c r="G55" s="32"/>
      <c r="H55" s="32"/>
      <c r="I55" s="32"/>
      <c r="J55" s="130"/>
      <c r="K55" s="130"/>
      <c r="L55" s="32"/>
    </row>
    <row r="56" spans="1:12" x14ac:dyDescent="0.2">
      <c r="A56" s="390" t="s">
        <v>76</v>
      </c>
      <c r="B56" s="611"/>
      <c r="C56" s="611"/>
      <c r="D56" s="612"/>
      <c r="E56" s="16" t="s">
        <v>77</v>
      </c>
      <c r="F56" s="16" t="s">
        <v>78</v>
      </c>
      <c r="G56" s="532" t="s">
        <v>2576</v>
      </c>
      <c r="H56" s="628"/>
      <c r="I56" s="390" t="s">
        <v>2579</v>
      </c>
      <c r="J56" s="611"/>
      <c r="K56" s="611"/>
      <c r="L56" s="612"/>
    </row>
    <row r="57" spans="1:12" ht="13.5" x14ac:dyDescent="0.2">
      <c r="A57" s="613" t="s">
        <v>2812</v>
      </c>
      <c r="B57" s="629" t="s">
        <v>1311</v>
      </c>
      <c r="C57" s="630"/>
      <c r="D57" s="631"/>
      <c r="E57" s="613" t="s">
        <v>969</v>
      </c>
      <c r="F57" s="616">
        <f>+I57</f>
        <v>146.30000000000001</v>
      </c>
      <c r="G57" s="600" t="s">
        <v>444</v>
      </c>
      <c r="H57" s="601"/>
      <c r="I57" s="9">
        <f>I58*I62</f>
        <v>146.30000000000001</v>
      </c>
      <c r="J57" s="619"/>
      <c r="K57" s="620"/>
      <c r="L57" s="621"/>
    </row>
    <row r="58" spans="1:12" ht="13.5" x14ac:dyDescent="0.2">
      <c r="A58" s="614"/>
      <c r="B58" s="632"/>
      <c r="C58" s="633"/>
      <c r="D58" s="634"/>
      <c r="E58" s="614"/>
      <c r="F58" s="617"/>
      <c r="G58" s="600" t="s">
        <v>453</v>
      </c>
      <c r="H58" s="601"/>
      <c r="I58" s="28">
        <v>1</v>
      </c>
      <c r="J58" s="622"/>
      <c r="K58" s="623"/>
      <c r="L58" s="624"/>
    </row>
    <row r="59" spans="1:12" ht="13.5" x14ac:dyDescent="0.2">
      <c r="A59" s="614"/>
      <c r="B59" s="632"/>
      <c r="C59" s="633"/>
      <c r="D59" s="634"/>
      <c r="E59" s="614"/>
      <c r="F59" s="617"/>
      <c r="G59" s="600" t="s">
        <v>2583</v>
      </c>
      <c r="H59" s="601"/>
      <c r="I59" s="28"/>
      <c r="J59" s="622"/>
      <c r="K59" s="623"/>
      <c r="L59" s="624"/>
    </row>
    <row r="60" spans="1:12" ht="13.5" x14ac:dyDescent="0.2">
      <c r="A60" s="614"/>
      <c r="B60" s="632"/>
      <c r="C60" s="633"/>
      <c r="D60" s="634"/>
      <c r="E60" s="614"/>
      <c r="F60" s="617"/>
      <c r="G60" s="600" t="s">
        <v>2584</v>
      </c>
      <c r="H60" s="601"/>
      <c r="I60" s="28"/>
      <c r="J60" s="622"/>
      <c r="K60" s="623"/>
      <c r="L60" s="624"/>
    </row>
    <row r="61" spans="1:12" ht="13.5" x14ac:dyDescent="0.2">
      <c r="A61" s="614"/>
      <c r="B61" s="632"/>
      <c r="C61" s="633"/>
      <c r="D61" s="634"/>
      <c r="E61" s="614"/>
      <c r="F61" s="617"/>
      <c r="G61" s="600" t="s">
        <v>2585</v>
      </c>
      <c r="H61" s="601"/>
      <c r="I61" s="28"/>
      <c r="J61" s="622"/>
      <c r="K61" s="623"/>
      <c r="L61" s="624"/>
    </row>
    <row r="62" spans="1:12" ht="13.5" x14ac:dyDescent="0.2">
      <c r="A62" s="614"/>
      <c r="B62" s="632"/>
      <c r="C62" s="633"/>
      <c r="D62" s="634"/>
      <c r="E62" s="614"/>
      <c r="F62" s="617"/>
      <c r="G62" s="600" t="s">
        <v>2586</v>
      </c>
      <c r="H62" s="601"/>
      <c r="I62" s="28">
        <v>146.30000000000001</v>
      </c>
      <c r="J62" s="622"/>
      <c r="K62" s="623"/>
      <c r="L62" s="624"/>
    </row>
    <row r="63" spans="1:12" ht="13.5" x14ac:dyDescent="0.2">
      <c r="A63" s="614"/>
      <c r="B63" s="632"/>
      <c r="C63" s="633"/>
      <c r="D63" s="634"/>
      <c r="E63" s="614"/>
      <c r="F63" s="617"/>
      <c r="G63" s="600" t="s">
        <v>2587</v>
      </c>
      <c r="H63" s="601"/>
      <c r="I63" s="28"/>
      <c r="J63" s="622"/>
      <c r="K63" s="623"/>
      <c r="L63" s="624"/>
    </row>
    <row r="64" spans="1:12" ht="13.5" x14ac:dyDescent="0.2">
      <c r="A64" s="614"/>
      <c r="B64" s="632"/>
      <c r="C64" s="633"/>
      <c r="D64" s="634"/>
      <c r="E64" s="614"/>
      <c r="F64" s="617"/>
      <c r="G64" s="600" t="s">
        <v>2813</v>
      </c>
      <c r="H64" s="601"/>
      <c r="I64" s="28"/>
      <c r="J64" s="622"/>
      <c r="K64" s="623"/>
      <c r="L64" s="624"/>
    </row>
    <row r="65" spans="1:12" ht="13.5" x14ac:dyDescent="0.2">
      <c r="A65" s="615"/>
      <c r="B65" s="635"/>
      <c r="C65" s="636"/>
      <c r="D65" s="637"/>
      <c r="E65" s="615"/>
      <c r="F65" s="618"/>
      <c r="G65" s="600" t="s">
        <v>2814</v>
      </c>
      <c r="H65" s="601"/>
      <c r="I65" s="28"/>
      <c r="J65" s="625"/>
      <c r="K65" s="626"/>
      <c r="L65" s="627"/>
    </row>
    <row r="66" spans="1:12" ht="13.5" x14ac:dyDescent="0.25">
      <c r="A66" s="18"/>
      <c r="B66" s="18"/>
      <c r="C66" s="18"/>
      <c r="D66" s="18"/>
      <c r="E66" s="18"/>
      <c r="F66" s="18"/>
      <c r="G66" s="18"/>
      <c r="H66" s="18"/>
      <c r="I66" s="18"/>
      <c r="J66" s="18"/>
      <c r="K66" s="18"/>
      <c r="L66" s="18"/>
    </row>
    <row r="67" spans="1:12" x14ac:dyDescent="0.2">
      <c r="A67" s="390" t="s">
        <v>76</v>
      </c>
      <c r="B67" s="611"/>
      <c r="C67" s="611"/>
      <c r="D67" s="612"/>
      <c r="E67" s="16" t="s">
        <v>77</v>
      </c>
      <c r="F67" s="16" t="s">
        <v>78</v>
      </c>
      <c r="G67" s="532" t="s">
        <v>2576</v>
      </c>
      <c r="H67" s="628"/>
      <c r="I67" s="390" t="s">
        <v>2579</v>
      </c>
      <c r="J67" s="611"/>
      <c r="K67" s="611"/>
      <c r="L67" s="612"/>
    </row>
    <row r="68" spans="1:12" ht="13.5" x14ac:dyDescent="0.2">
      <c r="A68" s="613" t="s">
        <v>2815</v>
      </c>
      <c r="B68" s="602" t="s">
        <v>1312</v>
      </c>
      <c r="C68" s="603"/>
      <c r="D68" s="604"/>
      <c r="E68" s="613" t="s">
        <v>1382</v>
      </c>
      <c r="F68" s="616">
        <f>+I68</f>
        <v>2.0099999999999998</v>
      </c>
      <c r="G68" s="600" t="s">
        <v>444</v>
      </c>
      <c r="H68" s="601"/>
      <c r="I68" s="9">
        <f>I69*I76</f>
        <v>2.0099999999999998</v>
      </c>
      <c r="J68" s="619"/>
      <c r="K68" s="620"/>
      <c r="L68" s="621"/>
    </row>
    <row r="69" spans="1:12" ht="13.5" x14ac:dyDescent="0.2">
      <c r="A69" s="614"/>
      <c r="B69" s="605"/>
      <c r="C69" s="606"/>
      <c r="D69" s="607"/>
      <c r="E69" s="614"/>
      <c r="F69" s="617"/>
      <c r="G69" s="600" t="s">
        <v>453</v>
      </c>
      <c r="H69" s="601"/>
      <c r="I69" s="28">
        <v>1</v>
      </c>
      <c r="J69" s="622"/>
      <c r="K69" s="623"/>
      <c r="L69" s="624"/>
    </row>
    <row r="70" spans="1:12" ht="13.5" x14ac:dyDescent="0.2">
      <c r="A70" s="614"/>
      <c r="B70" s="605"/>
      <c r="C70" s="606"/>
      <c r="D70" s="607"/>
      <c r="E70" s="614"/>
      <c r="F70" s="617"/>
      <c r="G70" s="600" t="s">
        <v>2583</v>
      </c>
      <c r="H70" s="601"/>
      <c r="I70" s="28"/>
      <c r="J70" s="622"/>
      <c r="K70" s="623"/>
      <c r="L70" s="624"/>
    </row>
    <row r="71" spans="1:12" ht="13.5" x14ac:dyDescent="0.2">
      <c r="A71" s="614"/>
      <c r="B71" s="605"/>
      <c r="C71" s="606"/>
      <c r="D71" s="607"/>
      <c r="E71" s="614"/>
      <c r="F71" s="617"/>
      <c r="G71" s="600" t="s">
        <v>2584</v>
      </c>
      <c r="H71" s="601"/>
      <c r="I71" s="28"/>
      <c r="J71" s="622"/>
      <c r="K71" s="623"/>
      <c r="L71" s="624"/>
    </row>
    <row r="72" spans="1:12" ht="13.5" x14ac:dyDescent="0.2">
      <c r="A72" s="614"/>
      <c r="B72" s="605"/>
      <c r="C72" s="606"/>
      <c r="D72" s="607"/>
      <c r="E72" s="614"/>
      <c r="F72" s="617"/>
      <c r="G72" s="600" t="s">
        <v>2585</v>
      </c>
      <c r="H72" s="601"/>
      <c r="I72" s="28"/>
      <c r="J72" s="622"/>
      <c r="K72" s="623"/>
      <c r="L72" s="624"/>
    </row>
    <row r="73" spans="1:12" ht="13.5" x14ac:dyDescent="0.2">
      <c r="A73" s="614"/>
      <c r="B73" s="605"/>
      <c r="C73" s="606"/>
      <c r="D73" s="607"/>
      <c r="E73" s="614"/>
      <c r="F73" s="617"/>
      <c r="G73" s="600" t="s">
        <v>2586</v>
      </c>
      <c r="H73" s="601"/>
      <c r="I73" s="28"/>
      <c r="J73" s="622"/>
      <c r="K73" s="623"/>
      <c r="L73" s="624"/>
    </row>
    <row r="74" spans="1:12" ht="13.5" x14ac:dyDescent="0.2">
      <c r="A74" s="614"/>
      <c r="B74" s="605"/>
      <c r="C74" s="606"/>
      <c r="D74" s="607"/>
      <c r="E74" s="614"/>
      <c r="F74" s="617"/>
      <c r="G74" s="600" t="s">
        <v>2587</v>
      </c>
      <c r="H74" s="601"/>
      <c r="I74" s="28"/>
      <c r="J74" s="622"/>
      <c r="K74" s="623"/>
      <c r="L74" s="624"/>
    </row>
    <row r="75" spans="1:12" ht="13.5" x14ac:dyDescent="0.2">
      <c r="A75" s="614"/>
      <c r="B75" s="605"/>
      <c r="C75" s="606"/>
      <c r="D75" s="607"/>
      <c r="E75" s="614"/>
      <c r="F75" s="617"/>
      <c r="G75" s="600" t="s">
        <v>2816</v>
      </c>
      <c r="H75" s="601"/>
      <c r="I75" s="28"/>
      <c r="J75" s="622"/>
      <c r="K75" s="623"/>
      <c r="L75" s="624"/>
    </row>
    <row r="76" spans="1:12" ht="13.5" x14ac:dyDescent="0.2">
      <c r="A76" s="615"/>
      <c r="B76" s="608"/>
      <c r="C76" s="609"/>
      <c r="D76" s="610"/>
      <c r="E76" s="615"/>
      <c r="F76" s="618"/>
      <c r="G76" s="600" t="s">
        <v>2817</v>
      </c>
      <c r="H76" s="601"/>
      <c r="I76" s="28">
        <v>2.0099999999999998</v>
      </c>
      <c r="J76" s="625"/>
      <c r="K76" s="626"/>
      <c r="L76" s="627"/>
    </row>
    <row r="77" spans="1:12" ht="13.5" x14ac:dyDescent="0.25">
      <c r="A77" s="18"/>
      <c r="B77" s="18"/>
      <c r="C77" s="18"/>
      <c r="D77" s="18"/>
      <c r="E77" s="18"/>
      <c r="F77" s="18"/>
      <c r="G77" s="18"/>
      <c r="H77" s="18"/>
      <c r="I77" s="18"/>
      <c r="J77" s="18"/>
      <c r="K77" s="18"/>
      <c r="L77" s="18"/>
    </row>
    <row r="78" spans="1:12" x14ac:dyDescent="0.2">
      <c r="A78" s="390" t="s">
        <v>76</v>
      </c>
      <c r="B78" s="611"/>
      <c r="C78" s="611"/>
      <c r="D78" s="612"/>
      <c r="E78" s="16" t="s">
        <v>77</v>
      </c>
      <c r="F78" s="16" t="s">
        <v>78</v>
      </c>
      <c r="G78" s="532" t="s">
        <v>2576</v>
      </c>
      <c r="H78" s="628"/>
      <c r="I78" s="390" t="s">
        <v>2579</v>
      </c>
      <c r="J78" s="611"/>
      <c r="K78" s="611"/>
      <c r="L78" s="612"/>
    </row>
    <row r="79" spans="1:12" ht="13.5" x14ac:dyDescent="0.2">
      <c r="A79" s="613" t="s">
        <v>2818</v>
      </c>
      <c r="B79" s="602" t="s">
        <v>2819</v>
      </c>
      <c r="C79" s="603"/>
      <c r="D79" s="604"/>
      <c r="E79" s="613" t="s">
        <v>934</v>
      </c>
      <c r="F79" s="616">
        <f>+I79</f>
        <v>18.199999999999996</v>
      </c>
      <c r="G79" s="600" t="s">
        <v>444</v>
      </c>
      <c r="H79" s="601"/>
      <c r="I79" s="9">
        <f>I80*I83*I85</f>
        <v>18.199999999999996</v>
      </c>
      <c r="J79" s="619"/>
      <c r="K79" s="620"/>
      <c r="L79" s="621"/>
    </row>
    <row r="80" spans="1:12" ht="13.5" x14ac:dyDescent="0.2">
      <c r="A80" s="614"/>
      <c r="B80" s="605"/>
      <c r="C80" s="606"/>
      <c r="D80" s="607"/>
      <c r="E80" s="614"/>
      <c r="F80" s="617"/>
      <c r="G80" s="600" t="s">
        <v>453</v>
      </c>
      <c r="H80" s="601"/>
      <c r="I80" s="28">
        <v>1</v>
      </c>
      <c r="J80" s="622"/>
      <c r="K80" s="623"/>
      <c r="L80" s="624"/>
    </row>
    <row r="81" spans="1:12" ht="13.5" x14ac:dyDescent="0.2">
      <c r="A81" s="614"/>
      <c r="B81" s="605"/>
      <c r="C81" s="606"/>
      <c r="D81" s="607"/>
      <c r="E81" s="614"/>
      <c r="F81" s="617"/>
      <c r="G81" s="600" t="s">
        <v>2583</v>
      </c>
      <c r="H81" s="601"/>
      <c r="I81" s="28"/>
      <c r="J81" s="622"/>
      <c r="K81" s="623"/>
      <c r="L81" s="624"/>
    </row>
    <row r="82" spans="1:12" ht="13.5" x14ac:dyDescent="0.2">
      <c r="A82" s="614"/>
      <c r="B82" s="605"/>
      <c r="C82" s="606"/>
      <c r="D82" s="607"/>
      <c r="E82" s="614"/>
      <c r="F82" s="617"/>
      <c r="G82" s="600" t="s">
        <v>2584</v>
      </c>
      <c r="H82" s="601"/>
      <c r="I82" s="28"/>
      <c r="J82" s="622"/>
      <c r="K82" s="623"/>
      <c r="L82" s="624"/>
    </row>
    <row r="83" spans="1:12" ht="13.5" x14ac:dyDescent="0.2">
      <c r="A83" s="614"/>
      <c r="B83" s="605"/>
      <c r="C83" s="606"/>
      <c r="D83" s="607"/>
      <c r="E83" s="614"/>
      <c r="F83" s="617"/>
      <c r="G83" s="600" t="s">
        <v>2585</v>
      </c>
      <c r="H83" s="601"/>
      <c r="I83" s="28">
        <v>1.75</v>
      </c>
      <c r="J83" s="622"/>
      <c r="K83" s="623"/>
      <c r="L83" s="624"/>
    </row>
    <row r="84" spans="1:12" ht="13.5" x14ac:dyDescent="0.2">
      <c r="A84" s="614"/>
      <c r="B84" s="605"/>
      <c r="C84" s="606"/>
      <c r="D84" s="607"/>
      <c r="E84" s="614"/>
      <c r="F84" s="617"/>
      <c r="G84" s="600" t="s">
        <v>2586</v>
      </c>
      <c r="H84" s="601"/>
      <c r="I84" s="28"/>
      <c r="J84" s="622"/>
      <c r="K84" s="623"/>
      <c r="L84" s="624"/>
    </row>
    <row r="85" spans="1:12" ht="13.5" x14ac:dyDescent="0.2">
      <c r="A85" s="614"/>
      <c r="B85" s="605"/>
      <c r="C85" s="606"/>
      <c r="D85" s="607"/>
      <c r="E85" s="614"/>
      <c r="F85" s="617"/>
      <c r="G85" s="600" t="s">
        <v>2587</v>
      </c>
      <c r="H85" s="601"/>
      <c r="I85" s="28">
        <f>5.8+4.6</f>
        <v>10.399999999999999</v>
      </c>
      <c r="J85" s="622"/>
      <c r="K85" s="623"/>
      <c r="L85" s="624"/>
    </row>
    <row r="86" spans="1:12" ht="13.5" x14ac:dyDescent="0.2">
      <c r="A86" s="614"/>
      <c r="B86" s="605"/>
      <c r="C86" s="606"/>
      <c r="D86" s="607"/>
      <c r="E86" s="614"/>
      <c r="F86" s="617"/>
      <c r="G86" s="600" t="s">
        <v>2820</v>
      </c>
      <c r="H86" s="601"/>
      <c r="I86" s="28"/>
      <c r="J86" s="622"/>
      <c r="K86" s="623"/>
      <c r="L86" s="624"/>
    </row>
    <row r="87" spans="1:12" ht="13.5" x14ac:dyDescent="0.2">
      <c r="A87" s="615"/>
      <c r="B87" s="608"/>
      <c r="C87" s="609"/>
      <c r="D87" s="610"/>
      <c r="E87" s="615"/>
      <c r="F87" s="618"/>
      <c r="G87" s="600" t="s">
        <v>2821</v>
      </c>
      <c r="H87" s="601"/>
      <c r="I87" s="28"/>
      <c r="J87" s="625"/>
      <c r="K87" s="626"/>
      <c r="L87" s="627"/>
    </row>
    <row r="88" spans="1:12" ht="13.5" x14ac:dyDescent="0.25">
      <c r="A88" s="18"/>
      <c r="B88" s="18"/>
      <c r="C88" s="18"/>
      <c r="D88" s="18"/>
      <c r="E88" s="18"/>
      <c r="F88" s="18"/>
      <c r="G88" s="18"/>
      <c r="H88" s="18"/>
      <c r="I88" s="18"/>
      <c r="J88" s="18"/>
      <c r="K88" s="18"/>
      <c r="L88" s="18"/>
    </row>
    <row r="89" spans="1:12" x14ac:dyDescent="0.2">
      <c r="A89" s="390" t="s">
        <v>76</v>
      </c>
      <c r="B89" s="611"/>
      <c r="C89" s="611"/>
      <c r="D89" s="612"/>
      <c r="E89" s="16" t="s">
        <v>77</v>
      </c>
      <c r="F89" s="16" t="s">
        <v>78</v>
      </c>
      <c r="G89" s="532" t="s">
        <v>2576</v>
      </c>
      <c r="H89" s="628"/>
      <c r="I89" s="390" t="s">
        <v>2579</v>
      </c>
      <c r="J89" s="611"/>
      <c r="K89" s="611"/>
      <c r="L89" s="612"/>
    </row>
    <row r="90" spans="1:12" ht="13.5" x14ac:dyDescent="0.2">
      <c r="A90" s="613" t="s">
        <v>2822</v>
      </c>
      <c r="B90" s="602" t="s">
        <v>2823</v>
      </c>
      <c r="C90" s="603"/>
      <c r="D90" s="604"/>
      <c r="E90" s="613" t="s">
        <v>934</v>
      </c>
      <c r="F90" s="616">
        <f>+I90</f>
        <v>2.08</v>
      </c>
      <c r="G90" s="600" t="s">
        <v>444</v>
      </c>
      <c r="H90" s="601"/>
      <c r="I90" s="9">
        <f>I91*I92*I93</f>
        <v>2.08</v>
      </c>
      <c r="J90" s="619"/>
      <c r="K90" s="620"/>
      <c r="L90" s="621"/>
    </row>
    <row r="91" spans="1:12" ht="13.5" x14ac:dyDescent="0.2">
      <c r="A91" s="614"/>
      <c r="B91" s="605"/>
      <c r="C91" s="606"/>
      <c r="D91" s="607"/>
      <c r="E91" s="614"/>
      <c r="F91" s="617"/>
      <c r="G91" s="600" t="s">
        <v>453</v>
      </c>
      <c r="H91" s="601"/>
      <c r="I91" s="28">
        <v>1</v>
      </c>
      <c r="J91" s="622"/>
      <c r="K91" s="623"/>
      <c r="L91" s="624"/>
    </row>
    <row r="92" spans="1:12" ht="13.5" x14ac:dyDescent="0.2">
      <c r="A92" s="614"/>
      <c r="B92" s="605"/>
      <c r="C92" s="606"/>
      <c r="D92" s="607"/>
      <c r="E92" s="614"/>
      <c r="F92" s="617"/>
      <c r="G92" s="600" t="s">
        <v>2583</v>
      </c>
      <c r="H92" s="601"/>
      <c r="I92" s="28">
        <v>1.3</v>
      </c>
      <c r="J92" s="622"/>
      <c r="K92" s="623"/>
      <c r="L92" s="624"/>
    </row>
    <row r="93" spans="1:12" ht="13.5" x14ac:dyDescent="0.2">
      <c r="A93" s="614"/>
      <c r="B93" s="605"/>
      <c r="C93" s="606"/>
      <c r="D93" s="607"/>
      <c r="E93" s="614"/>
      <c r="F93" s="617"/>
      <c r="G93" s="600" t="s">
        <v>2584</v>
      </c>
      <c r="H93" s="601"/>
      <c r="I93" s="28">
        <v>1.6</v>
      </c>
      <c r="J93" s="622"/>
      <c r="K93" s="623"/>
      <c r="L93" s="624"/>
    </row>
    <row r="94" spans="1:12" ht="13.5" x14ac:dyDescent="0.2">
      <c r="A94" s="614"/>
      <c r="B94" s="605"/>
      <c r="C94" s="606"/>
      <c r="D94" s="607"/>
      <c r="E94" s="614"/>
      <c r="F94" s="617"/>
      <c r="G94" s="600" t="s">
        <v>2585</v>
      </c>
      <c r="H94" s="601"/>
      <c r="I94" s="28"/>
      <c r="J94" s="622"/>
      <c r="K94" s="623"/>
      <c r="L94" s="624"/>
    </row>
    <row r="95" spans="1:12" ht="13.5" x14ac:dyDescent="0.2">
      <c r="A95" s="614"/>
      <c r="B95" s="605"/>
      <c r="C95" s="606"/>
      <c r="D95" s="607"/>
      <c r="E95" s="614"/>
      <c r="F95" s="617"/>
      <c r="G95" s="600" t="s">
        <v>2586</v>
      </c>
      <c r="H95" s="601"/>
      <c r="I95" s="28"/>
      <c r="J95" s="622"/>
      <c r="K95" s="623"/>
      <c r="L95" s="624"/>
    </row>
    <row r="96" spans="1:12" ht="13.5" x14ac:dyDescent="0.2">
      <c r="A96" s="614"/>
      <c r="B96" s="605"/>
      <c r="C96" s="606"/>
      <c r="D96" s="607"/>
      <c r="E96" s="614"/>
      <c r="F96" s="617"/>
      <c r="G96" s="600" t="s">
        <v>2587</v>
      </c>
      <c r="H96" s="601"/>
      <c r="I96" s="28"/>
      <c r="J96" s="622"/>
      <c r="K96" s="623"/>
      <c r="L96" s="624"/>
    </row>
    <row r="97" spans="1:12" ht="13.5" x14ac:dyDescent="0.2">
      <c r="A97" s="614"/>
      <c r="B97" s="605"/>
      <c r="C97" s="606"/>
      <c r="D97" s="607"/>
      <c r="E97" s="614"/>
      <c r="F97" s="617"/>
      <c r="G97" s="600" t="s">
        <v>2824</v>
      </c>
      <c r="H97" s="601"/>
      <c r="I97" s="28"/>
      <c r="J97" s="622"/>
      <c r="K97" s="623"/>
      <c r="L97" s="624"/>
    </row>
    <row r="98" spans="1:12" ht="13.5" x14ac:dyDescent="0.2">
      <c r="A98" s="615"/>
      <c r="B98" s="608"/>
      <c r="C98" s="609"/>
      <c r="D98" s="610"/>
      <c r="E98" s="615"/>
      <c r="F98" s="618"/>
      <c r="G98" s="600" t="s">
        <v>2825</v>
      </c>
      <c r="H98" s="601"/>
      <c r="I98" s="28"/>
      <c r="J98" s="625"/>
      <c r="K98" s="626"/>
      <c r="L98" s="627"/>
    </row>
    <row r="99" spans="1:12" ht="13.5" x14ac:dyDescent="0.25">
      <c r="A99" s="18"/>
      <c r="B99" s="18"/>
      <c r="C99" s="18"/>
      <c r="D99" s="18"/>
      <c r="E99" s="18"/>
      <c r="F99" s="18"/>
      <c r="G99" s="18"/>
      <c r="H99" s="18"/>
      <c r="I99" s="18"/>
      <c r="J99" s="18"/>
      <c r="K99" s="18"/>
      <c r="L99" s="18"/>
    </row>
    <row r="100" spans="1:12" x14ac:dyDescent="0.2">
      <c r="A100" s="390" t="s">
        <v>76</v>
      </c>
      <c r="B100" s="611"/>
      <c r="C100" s="611"/>
      <c r="D100" s="612"/>
      <c r="E100" s="16" t="s">
        <v>77</v>
      </c>
      <c r="F100" s="16" t="s">
        <v>78</v>
      </c>
      <c r="G100" s="532" t="s">
        <v>2576</v>
      </c>
      <c r="H100" s="628"/>
      <c r="I100" s="390" t="s">
        <v>2579</v>
      </c>
      <c r="J100" s="611"/>
      <c r="K100" s="611"/>
      <c r="L100" s="612"/>
    </row>
    <row r="101" spans="1:12" ht="13.5" x14ac:dyDescent="0.2">
      <c r="A101" s="613" t="s">
        <v>2826</v>
      </c>
      <c r="B101" s="602" t="s">
        <v>1322</v>
      </c>
      <c r="C101" s="603"/>
      <c r="D101" s="604"/>
      <c r="E101" s="613" t="s">
        <v>917</v>
      </c>
      <c r="F101" s="616">
        <f>+I101</f>
        <v>5.8000000000000007</v>
      </c>
      <c r="G101" s="600" t="s">
        <v>444</v>
      </c>
      <c r="H101" s="601"/>
      <c r="I101" s="9">
        <f>I102*I107</f>
        <v>5.8000000000000007</v>
      </c>
      <c r="J101" s="619"/>
      <c r="K101" s="620"/>
      <c r="L101" s="621"/>
    </row>
    <row r="102" spans="1:12" ht="13.5" x14ac:dyDescent="0.2">
      <c r="A102" s="614"/>
      <c r="B102" s="605"/>
      <c r="C102" s="606"/>
      <c r="D102" s="607"/>
      <c r="E102" s="614"/>
      <c r="F102" s="617"/>
      <c r="G102" s="600" t="s">
        <v>453</v>
      </c>
      <c r="H102" s="601"/>
      <c r="I102" s="28">
        <v>1</v>
      </c>
      <c r="J102" s="622"/>
      <c r="K102" s="623"/>
      <c r="L102" s="624"/>
    </row>
    <row r="103" spans="1:12" ht="13.5" x14ac:dyDescent="0.2">
      <c r="A103" s="614"/>
      <c r="B103" s="605"/>
      <c r="C103" s="606"/>
      <c r="D103" s="607"/>
      <c r="E103" s="614"/>
      <c r="F103" s="617"/>
      <c r="G103" s="600" t="s">
        <v>2583</v>
      </c>
      <c r="H103" s="601"/>
      <c r="I103" s="28"/>
      <c r="J103" s="622"/>
      <c r="K103" s="623"/>
      <c r="L103" s="624"/>
    </row>
    <row r="104" spans="1:12" ht="13.5" x14ac:dyDescent="0.2">
      <c r="A104" s="614"/>
      <c r="B104" s="605"/>
      <c r="C104" s="606"/>
      <c r="D104" s="607"/>
      <c r="E104" s="614"/>
      <c r="F104" s="617"/>
      <c r="G104" s="600" t="s">
        <v>2584</v>
      </c>
      <c r="H104" s="601"/>
      <c r="I104" s="28"/>
      <c r="J104" s="622"/>
      <c r="K104" s="623"/>
      <c r="L104" s="624"/>
    </row>
    <row r="105" spans="1:12" ht="13.5" x14ac:dyDescent="0.2">
      <c r="A105" s="614"/>
      <c r="B105" s="605"/>
      <c r="C105" s="606"/>
      <c r="D105" s="607"/>
      <c r="E105" s="614"/>
      <c r="F105" s="617"/>
      <c r="G105" s="600" t="s">
        <v>2585</v>
      </c>
      <c r="H105" s="601"/>
      <c r="I105" s="28"/>
      <c r="J105" s="622"/>
      <c r="K105" s="623"/>
      <c r="L105" s="624"/>
    </row>
    <row r="106" spans="1:12" ht="13.5" x14ac:dyDescent="0.2">
      <c r="A106" s="614"/>
      <c r="B106" s="605"/>
      <c r="C106" s="606"/>
      <c r="D106" s="607"/>
      <c r="E106" s="614"/>
      <c r="F106" s="617"/>
      <c r="G106" s="600" t="s">
        <v>2586</v>
      </c>
      <c r="H106" s="601"/>
      <c r="I106" s="28"/>
      <c r="J106" s="622"/>
      <c r="K106" s="623"/>
      <c r="L106" s="624"/>
    </row>
    <row r="107" spans="1:12" ht="13.5" x14ac:dyDescent="0.2">
      <c r="A107" s="614"/>
      <c r="B107" s="605"/>
      <c r="C107" s="606"/>
      <c r="D107" s="607"/>
      <c r="E107" s="614"/>
      <c r="F107" s="617"/>
      <c r="G107" s="600" t="s">
        <v>2587</v>
      </c>
      <c r="H107" s="601"/>
      <c r="I107" s="28">
        <f>(1.3+1.6)*2</f>
        <v>5.8000000000000007</v>
      </c>
      <c r="J107" s="622"/>
      <c r="K107" s="623"/>
      <c r="L107" s="624"/>
    </row>
    <row r="108" spans="1:12" ht="13.5" x14ac:dyDescent="0.2">
      <c r="A108" s="614"/>
      <c r="B108" s="605"/>
      <c r="C108" s="606"/>
      <c r="D108" s="607"/>
      <c r="E108" s="614"/>
      <c r="F108" s="617"/>
      <c r="G108" s="600" t="s">
        <v>2827</v>
      </c>
      <c r="H108" s="601"/>
      <c r="I108" s="28">
        <f>(0.26*I109)</f>
        <v>0</v>
      </c>
      <c r="J108" s="622"/>
      <c r="K108" s="623"/>
      <c r="L108" s="624"/>
    </row>
    <row r="109" spans="1:12" ht="13.5" x14ac:dyDescent="0.2">
      <c r="A109" s="615"/>
      <c r="B109" s="608"/>
      <c r="C109" s="609"/>
      <c r="D109" s="610"/>
      <c r="E109" s="615"/>
      <c r="F109" s="618"/>
      <c r="G109" s="600" t="s">
        <v>2828</v>
      </c>
      <c r="H109" s="601"/>
      <c r="I109" s="28"/>
      <c r="J109" s="625"/>
      <c r="K109" s="626"/>
      <c r="L109" s="627"/>
    </row>
    <row r="110" spans="1:12" ht="13.5" x14ac:dyDescent="0.2">
      <c r="A110" s="32"/>
      <c r="B110" s="32"/>
      <c r="C110" s="32"/>
      <c r="D110" s="32"/>
      <c r="E110" s="32"/>
      <c r="F110" s="32"/>
      <c r="G110" s="32"/>
      <c r="H110" s="32"/>
      <c r="I110" s="32"/>
      <c r="J110" s="130"/>
      <c r="K110" s="130"/>
      <c r="L110" s="32"/>
    </row>
    <row r="111" spans="1:12" x14ac:dyDescent="0.2">
      <c r="A111" s="390" t="s">
        <v>76</v>
      </c>
      <c r="B111" s="611"/>
      <c r="C111" s="611"/>
      <c r="D111" s="612"/>
      <c r="E111" s="16" t="s">
        <v>77</v>
      </c>
      <c r="F111" s="16" t="s">
        <v>78</v>
      </c>
      <c r="G111" s="532" t="s">
        <v>2576</v>
      </c>
      <c r="H111" s="628"/>
      <c r="I111" s="390" t="s">
        <v>2579</v>
      </c>
      <c r="J111" s="611"/>
      <c r="K111" s="611"/>
      <c r="L111" s="612"/>
    </row>
    <row r="112" spans="1:12" ht="13.5" x14ac:dyDescent="0.2">
      <c r="A112" s="613" t="s">
        <v>2829</v>
      </c>
      <c r="B112" s="602" t="s">
        <v>1315</v>
      </c>
      <c r="C112" s="603"/>
      <c r="D112" s="604"/>
      <c r="E112" s="613" t="s">
        <v>999</v>
      </c>
      <c r="F112" s="616">
        <f>+I112</f>
        <v>4</v>
      </c>
      <c r="G112" s="600" t="s">
        <v>444</v>
      </c>
      <c r="H112" s="601"/>
      <c r="I112" s="9">
        <f>I113</f>
        <v>4</v>
      </c>
      <c r="J112" s="619"/>
      <c r="K112" s="620"/>
      <c r="L112" s="621"/>
    </row>
    <row r="113" spans="1:12" ht="13.5" x14ac:dyDescent="0.2">
      <c r="A113" s="614"/>
      <c r="B113" s="605"/>
      <c r="C113" s="606"/>
      <c r="D113" s="607"/>
      <c r="E113" s="614"/>
      <c r="F113" s="617"/>
      <c r="G113" s="600" t="s">
        <v>453</v>
      </c>
      <c r="H113" s="601"/>
      <c r="I113" s="28">
        <v>4</v>
      </c>
      <c r="J113" s="622"/>
      <c r="K113" s="623"/>
      <c r="L113" s="624"/>
    </row>
    <row r="114" spans="1:12" ht="13.5" x14ac:dyDescent="0.2">
      <c r="A114" s="614"/>
      <c r="B114" s="605"/>
      <c r="C114" s="606"/>
      <c r="D114" s="607"/>
      <c r="E114" s="614"/>
      <c r="F114" s="617"/>
      <c r="G114" s="600" t="s">
        <v>2583</v>
      </c>
      <c r="H114" s="601"/>
      <c r="I114" s="28"/>
      <c r="J114" s="622"/>
      <c r="K114" s="623"/>
      <c r="L114" s="624"/>
    </row>
    <row r="115" spans="1:12" ht="13.5" x14ac:dyDescent="0.2">
      <c r="A115" s="614"/>
      <c r="B115" s="605"/>
      <c r="C115" s="606"/>
      <c r="D115" s="607"/>
      <c r="E115" s="614"/>
      <c r="F115" s="617"/>
      <c r="G115" s="600" t="s">
        <v>2584</v>
      </c>
      <c r="H115" s="601"/>
      <c r="I115" s="28"/>
      <c r="J115" s="622"/>
      <c r="K115" s="623"/>
      <c r="L115" s="624"/>
    </row>
    <row r="116" spans="1:12" ht="13.5" x14ac:dyDescent="0.2">
      <c r="A116" s="614"/>
      <c r="B116" s="605"/>
      <c r="C116" s="606"/>
      <c r="D116" s="607"/>
      <c r="E116" s="614"/>
      <c r="F116" s="617"/>
      <c r="G116" s="600" t="s">
        <v>2585</v>
      </c>
      <c r="H116" s="601"/>
      <c r="I116" s="28"/>
      <c r="J116" s="622"/>
      <c r="K116" s="623"/>
      <c r="L116" s="624"/>
    </row>
    <row r="117" spans="1:12" ht="13.5" x14ac:dyDescent="0.2">
      <c r="A117" s="614"/>
      <c r="B117" s="605"/>
      <c r="C117" s="606"/>
      <c r="D117" s="607"/>
      <c r="E117" s="614"/>
      <c r="F117" s="617"/>
      <c r="G117" s="600" t="s">
        <v>2586</v>
      </c>
      <c r="H117" s="601"/>
      <c r="I117" s="28"/>
      <c r="J117" s="622"/>
      <c r="K117" s="623"/>
      <c r="L117" s="624"/>
    </row>
    <row r="118" spans="1:12" ht="13.5" x14ac:dyDescent="0.2">
      <c r="A118" s="614"/>
      <c r="B118" s="605"/>
      <c r="C118" s="606"/>
      <c r="D118" s="607"/>
      <c r="E118" s="614"/>
      <c r="F118" s="617"/>
      <c r="G118" s="600" t="s">
        <v>2587</v>
      </c>
      <c r="H118" s="601"/>
      <c r="I118" s="28"/>
      <c r="J118" s="622"/>
      <c r="K118" s="623"/>
      <c r="L118" s="624"/>
    </row>
    <row r="119" spans="1:12" ht="13.5" x14ac:dyDescent="0.2">
      <c r="A119" s="614"/>
      <c r="B119" s="605"/>
      <c r="C119" s="606"/>
      <c r="D119" s="607"/>
      <c r="E119" s="614"/>
      <c r="F119" s="617"/>
      <c r="G119" s="600" t="s">
        <v>2830</v>
      </c>
      <c r="H119" s="601"/>
      <c r="I119" s="28"/>
      <c r="J119" s="622"/>
      <c r="K119" s="623"/>
      <c r="L119" s="624"/>
    </row>
    <row r="120" spans="1:12" ht="13.5" x14ac:dyDescent="0.2">
      <c r="A120" s="615"/>
      <c r="B120" s="608"/>
      <c r="C120" s="609"/>
      <c r="D120" s="610"/>
      <c r="E120" s="615"/>
      <c r="F120" s="618"/>
      <c r="G120" s="600" t="s">
        <v>2831</v>
      </c>
      <c r="H120" s="601"/>
      <c r="I120" s="28"/>
      <c r="J120" s="625"/>
      <c r="K120" s="626"/>
      <c r="L120" s="627"/>
    </row>
    <row r="121" spans="1:12" ht="13.5" x14ac:dyDescent="0.2">
      <c r="A121" s="32"/>
      <c r="B121" s="32"/>
      <c r="C121" s="32"/>
      <c r="D121" s="32"/>
      <c r="E121" s="32"/>
      <c r="F121" s="32"/>
      <c r="G121" s="32"/>
      <c r="H121" s="32"/>
      <c r="I121" s="32"/>
      <c r="J121" s="130"/>
      <c r="K121" s="130"/>
      <c r="L121" s="32"/>
    </row>
    <row r="122" spans="1:12" x14ac:dyDescent="0.2">
      <c r="A122" s="390" t="s">
        <v>76</v>
      </c>
      <c r="B122" s="611"/>
      <c r="C122" s="611"/>
      <c r="D122" s="612"/>
      <c r="E122" s="16" t="s">
        <v>77</v>
      </c>
      <c r="F122" s="16" t="s">
        <v>78</v>
      </c>
      <c r="G122" s="532" t="s">
        <v>2576</v>
      </c>
      <c r="H122" s="628"/>
      <c r="I122" s="390" t="s">
        <v>2579</v>
      </c>
      <c r="J122" s="611"/>
      <c r="K122" s="611"/>
      <c r="L122" s="612"/>
    </row>
    <row r="123" spans="1:12" ht="13.5" x14ac:dyDescent="0.2">
      <c r="A123" s="613" t="s">
        <v>2832</v>
      </c>
      <c r="B123" s="602" t="s">
        <v>1317</v>
      </c>
      <c r="C123" s="603"/>
      <c r="D123" s="604"/>
      <c r="E123" s="613" t="s">
        <v>999</v>
      </c>
      <c r="F123" s="616">
        <f>+I123</f>
        <v>1</v>
      </c>
      <c r="G123" s="600" t="s">
        <v>444</v>
      </c>
      <c r="H123" s="601"/>
      <c r="I123" s="9">
        <f>I124</f>
        <v>1</v>
      </c>
      <c r="J123" s="619"/>
      <c r="K123" s="620"/>
      <c r="L123" s="621"/>
    </row>
    <row r="124" spans="1:12" ht="13.5" x14ac:dyDescent="0.2">
      <c r="A124" s="614"/>
      <c r="B124" s="605"/>
      <c r="C124" s="606"/>
      <c r="D124" s="607"/>
      <c r="E124" s="614"/>
      <c r="F124" s="617"/>
      <c r="G124" s="600" t="s">
        <v>453</v>
      </c>
      <c r="H124" s="601"/>
      <c r="I124" s="28">
        <v>1</v>
      </c>
      <c r="J124" s="622"/>
      <c r="K124" s="623"/>
      <c r="L124" s="624"/>
    </row>
    <row r="125" spans="1:12" ht="13.5" x14ac:dyDescent="0.2">
      <c r="A125" s="614"/>
      <c r="B125" s="605"/>
      <c r="C125" s="606"/>
      <c r="D125" s="607"/>
      <c r="E125" s="614"/>
      <c r="F125" s="617"/>
      <c r="G125" s="600" t="s">
        <v>2583</v>
      </c>
      <c r="H125" s="601"/>
      <c r="I125" s="28"/>
      <c r="J125" s="622"/>
      <c r="K125" s="623"/>
      <c r="L125" s="624"/>
    </row>
    <row r="126" spans="1:12" ht="13.5" x14ac:dyDescent="0.2">
      <c r="A126" s="614"/>
      <c r="B126" s="605"/>
      <c r="C126" s="606"/>
      <c r="D126" s="607"/>
      <c r="E126" s="614"/>
      <c r="F126" s="617"/>
      <c r="G126" s="600" t="s">
        <v>2584</v>
      </c>
      <c r="H126" s="601"/>
      <c r="I126" s="28"/>
      <c r="J126" s="622"/>
      <c r="K126" s="623"/>
      <c r="L126" s="624"/>
    </row>
    <row r="127" spans="1:12" ht="13.5" x14ac:dyDescent="0.2">
      <c r="A127" s="614"/>
      <c r="B127" s="605"/>
      <c r="C127" s="606"/>
      <c r="D127" s="607"/>
      <c r="E127" s="614"/>
      <c r="F127" s="617"/>
      <c r="G127" s="600" t="s">
        <v>2585</v>
      </c>
      <c r="H127" s="601"/>
      <c r="I127" s="28"/>
      <c r="J127" s="622"/>
      <c r="K127" s="623"/>
      <c r="L127" s="624"/>
    </row>
    <row r="128" spans="1:12" ht="13.5" x14ac:dyDescent="0.2">
      <c r="A128" s="614"/>
      <c r="B128" s="605"/>
      <c r="C128" s="606"/>
      <c r="D128" s="607"/>
      <c r="E128" s="614"/>
      <c r="F128" s="617"/>
      <c r="G128" s="600" t="s">
        <v>2586</v>
      </c>
      <c r="H128" s="601"/>
      <c r="I128" s="28"/>
      <c r="J128" s="622"/>
      <c r="K128" s="623"/>
      <c r="L128" s="624"/>
    </row>
    <row r="129" spans="1:12" ht="13.5" x14ac:dyDescent="0.2">
      <c r="A129" s="614"/>
      <c r="B129" s="605"/>
      <c r="C129" s="606"/>
      <c r="D129" s="607"/>
      <c r="E129" s="614"/>
      <c r="F129" s="617"/>
      <c r="G129" s="600" t="s">
        <v>2587</v>
      </c>
      <c r="H129" s="601"/>
      <c r="I129" s="28"/>
      <c r="J129" s="622"/>
      <c r="K129" s="623"/>
      <c r="L129" s="624"/>
    </row>
    <row r="130" spans="1:12" ht="13.5" x14ac:dyDescent="0.2">
      <c r="A130" s="614"/>
      <c r="B130" s="605"/>
      <c r="C130" s="606"/>
      <c r="D130" s="607"/>
      <c r="E130" s="614"/>
      <c r="F130" s="617"/>
      <c r="G130" s="600" t="s">
        <v>2833</v>
      </c>
      <c r="H130" s="601"/>
      <c r="I130" s="28"/>
      <c r="J130" s="622"/>
      <c r="K130" s="623"/>
      <c r="L130" s="624"/>
    </row>
    <row r="131" spans="1:12" ht="13.5" x14ac:dyDescent="0.2">
      <c r="A131" s="615"/>
      <c r="B131" s="608"/>
      <c r="C131" s="609"/>
      <c r="D131" s="610"/>
      <c r="E131" s="615"/>
      <c r="F131" s="618"/>
      <c r="G131" s="600" t="s">
        <v>2834</v>
      </c>
      <c r="H131" s="601"/>
      <c r="I131" s="28"/>
      <c r="J131" s="625"/>
      <c r="K131" s="626"/>
      <c r="L131" s="627"/>
    </row>
    <row r="132" spans="1:12" ht="13.5" x14ac:dyDescent="0.2">
      <c r="A132" s="32"/>
      <c r="B132" s="32"/>
      <c r="C132" s="32"/>
      <c r="D132" s="32"/>
      <c r="E132" s="32"/>
      <c r="F132" s="32"/>
      <c r="G132" s="32"/>
      <c r="H132" s="32"/>
      <c r="I132" s="32"/>
      <c r="J132" s="130"/>
      <c r="K132" s="130"/>
      <c r="L132" s="32"/>
    </row>
    <row r="133" spans="1:12" x14ac:dyDescent="0.2">
      <c r="A133" s="390" t="s">
        <v>76</v>
      </c>
      <c r="B133" s="611"/>
      <c r="C133" s="611"/>
      <c r="D133" s="612"/>
      <c r="E133" s="16" t="s">
        <v>77</v>
      </c>
      <c r="F133" s="16" t="s">
        <v>78</v>
      </c>
      <c r="G133" s="532" t="s">
        <v>2576</v>
      </c>
      <c r="H133" s="628"/>
      <c r="I133" s="390" t="s">
        <v>2579</v>
      </c>
      <c r="J133" s="611"/>
      <c r="K133" s="611"/>
      <c r="L133" s="612"/>
    </row>
    <row r="134" spans="1:12" ht="13.5" x14ac:dyDescent="0.2">
      <c r="A134" s="613" t="s">
        <v>2835</v>
      </c>
      <c r="B134" s="602" t="s">
        <v>1318</v>
      </c>
      <c r="C134" s="603"/>
      <c r="D134" s="604"/>
      <c r="E134" s="613" t="s">
        <v>999</v>
      </c>
      <c r="F134" s="616">
        <f>+I134</f>
        <v>2</v>
      </c>
      <c r="G134" s="600" t="s">
        <v>444</v>
      </c>
      <c r="H134" s="601"/>
      <c r="I134" s="9">
        <v>2</v>
      </c>
      <c r="J134" s="619"/>
      <c r="K134" s="620"/>
      <c r="L134" s="621"/>
    </row>
    <row r="135" spans="1:12" ht="13.5" x14ac:dyDescent="0.2">
      <c r="A135" s="614"/>
      <c r="B135" s="605"/>
      <c r="C135" s="606"/>
      <c r="D135" s="607"/>
      <c r="E135" s="614"/>
      <c r="F135" s="617"/>
      <c r="G135" s="600" t="s">
        <v>453</v>
      </c>
      <c r="H135" s="601"/>
      <c r="I135" s="28">
        <v>3</v>
      </c>
      <c r="J135" s="622"/>
      <c r="K135" s="623"/>
      <c r="L135" s="624"/>
    </row>
    <row r="136" spans="1:12" ht="13.5" x14ac:dyDescent="0.2">
      <c r="A136" s="614"/>
      <c r="B136" s="605"/>
      <c r="C136" s="606"/>
      <c r="D136" s="607"/>
      <c r="E136" s="614"/>
      <c r="F136" s="617"/>
      <c r="G136" s="600" t="s">
        <v>2583</v>
      </c>
      <c r="H136" s="601"/>
      <c r="I136" s="28"/>
      <c r="J136" s="622"/>
      <c r="K136" s="623"/>
      <c r="L136" s="624"/>
    </row>
    <row r="137" spans="1:12" ht="13.5" x14ac:dyDescent="0.2">
      <c r="A137" s="614"/>
      <c r="B137" s="605"/>
      <c r="C137" s="606"/>
      <c r="D137" s="607"/>
      <c r="E137" s="614"/>
      <c r="F137" s="617"/>
      <c r="G137" s="600" t="s">
        <v>2584</v>
      </c>
      <c r="H137" s="601"/>
      <c r="I137" s="28"/>
      <c r="J137" s="622"/>
      <c r="K137" s="623"/>
      <c r="L137" s="624"/>
    </row>
    <row r="138" spans="1:12" ht="13.5" x14ac:dyDescent="0.2">
      <c r="A138" s="614"/>
      <c r="B138" s="605"/>
      <c r="C138" s="606"/>
      <c r="D138" s="607"/>
      <c r="E138" s="614"/>
      <c r="F138" s="617"/>
      <c r="G138" s="600" t="s">
        <v>2585</v>
      </c>
      <c r="H138" s="601"/>
      <c r="I138" s="28"/>
      <c r="J138" s="622"/>
      <c r="K138" s="623"/>
      <c r="L138" s="624"/>
    </row>
    <row r="139" spans="1:12" ht="13.5" x14ac:dyDescent="0.2">
      <c r="A139" s="614"/>
      <c r="B139" s="605"/>
      <c r="C139" s="606"/>
      <c r="D139" s="607"/>
      <c r="E139" s="614"/>
      <c r="F139" s="617"/>
      <c r="G139" s="600" t="s">
        <v>2586</v>
      </c>
      <c r="H139" s="601"/>
      <c r="I139" s="28"/>
      <c r="J139" s="622"/>
      <c r="K139" s="623"/>
      <c r="L139" s="624"/>
    </row>
    <row r="140" spans="1:12" ht="13.5" x14ac:dyDescent="0.2">
      <c r="A140" s="614"/>
      <c r="B140" s="605"/>
      <c r="C140" s="606"/>
      <c r="D140" s="607"/>
      <c r="E140" s="614"/>
      <c r="F140" s="617"/>
      <c r="G140" s="600" t="s">
        <v>2587</v>
      </c>
      <c r="H140" s="601"/>
      <c r="I140" s="28"/>
      <c r="J140" s="622"/>
      <c r="K140" s="623"/>
      <c r="L140" s="624"/>
    </row>
    <row r="141" spans="1:12" ht="13.5" x14ac:dyDescent="0.2">
      <c r="A141" s="614"/>
      <c r="B141" s="605"/>
      <c r="C141" s="606"/>
      <c r="D141" s="607"/>
      <c r="E141" s="614"/>
      <c r="F141" s="617"/>
      <c r="G141" s="600" t="s">
        <v>2836</v>
      </c>
      <c r="H141" s="601"/>
      <c r="I141" s="28"/>
      <c r="J141" s="622"/>
      <c r="K141" s="623"/>
      <c r="L141" s="624"/>
    </row>
    <row r="142" spans="1:12" ht="13.5" x14ac:dyDescent="0.2">
      <c r="A142" s="615"/>
      <c r="B142" s="608"/>
      <c r="C142" s="609"/>
      <c r="D142" s="610"/>
      <c r="E142" s="615"/>
      <c r="F142" s="618"/>
      <c r="G142" s="600" t="s">
        <v>2837</v>
      </c>
      <c r="H142" s="601"/>
      <c r="I142" s="28"/>
      <c r="J142" s="625"/>
      <c r="K142" s="626"/>
      <c r="L142" s="627"/>
    </row>
    <row r="143" spans="1:12" ht="13.5" x14ac:dyDescent="0.2">
      <c r="A143" s="32"/>
      <c r="B143" s="32"/>
      <c r="C143" s="32"/>
      <c r="D143" s="32"/>
      <c r="E143" s="32"/>
      <c r="F143" s="32"/>
      <c r="G143" s="32"/>
      <c r="H143" s="32"/>
      <c r="I143" s="32"/>
      <c r="J143" s="130"/>
      <c r="K143" s="130"/>
      <c r="L143" s="32"/>
    </row>
    <row r="144" spans="1:12" x14ac:dyDescent="0.2">
      <c r="A144" s="390" t="s">
        <v>76</v>
      </c>
      <c r="B144" s="611"/>
      <c r="C144" s="611"/>
      <c r="D144" s="612"/>
      <c r="E144" s="16" t="s">
        <v>77</v>
      </c>
      <c r="F144" s="16" t="s">
        <v>78</v>
      </c>
      <c r="G144" s="532" t="s">
        <v>2576</v>
      </c>
      <c r="H144" s="628"/>
      <c r="I144" s="390" t="s">
        <v>2579</v>
      </c>
      <c r="J144" s="611"/>
      <c r="K144" s="611"/>
      <c r="L144" s="612"/>
    </row>
    <row r="145" spans="1:12" ht="13.5" x14ac:dyDescent="0.2">
      <c r="A145" s="613" t="s">
        <v>2838</v>
      </c>
      <c r="B145" s="602" t="s">
        <v>2839</v>
      </c>
      <c r="C145" s="603"/>
      <c r="D145" s="604"/>
      <c r="E145" s="613" t="s">
        <v>999</v>
      </c>
      <c r="F145" s="616">
        <f>+I145</f>
        <v>1</v>
      </c>
      <c r="G145" s="600" t="s">
        <v>444</v>
      </c>
      <c r="H145" s="601"/>
      <c r="I145" s="9">
        <f>I146</f>
        <v>1</v>
      </c>
      <c r="J145" s="619"/>
      <c r="K145" s="620"/>
      <c r="L145" s="621"/>
    </row>
    <row r="146" spans="1:12" ht="13.5" x14ac:dyDescent="0.2">
      <c r="A146" s="614"/>
      <c r="B146" s="605"/>
      <c r="C146" s="606"/>
      <c r="D146" s="607"/>
      <c r="E146" s="614"/>
      <c r="F146" s="617"/>
      <c r="G146" s="600" t="s">
        <v>453</v>
      </c>
      <c r="H146" s="601"/>
      <c r="I146" s="28">
        <v>1</v>
      </c>
      <c r="J146" s="622"/>
      <c r="K146" s="623"/>
      <c r="L146" s="624"/>
    </row>
    <row r="147" spans="1:12" ht="13.5" x14ac:dyDescent="0.2">
      <c r="A147" s="614"/>
      <c r="B147" s="605"/>
      <c r="C147" s="606"/>
      <c r="D147" s="607"/>
      <c r="E147" s="614"/>
      <c r="F147" s="617"/>
      <c r="G147" s="600" t="s">
        <v>2583</v>
      </c>
      <c r="H147" s="601"/>
      <c r="I147" s="28"/>
      <c r="J147" s="622"/>
      <c r="K147" s="623"/>
      <c r="L147" s="624"/>
    </row>
    <row r="148" spans="1:12" ht="13.5" x14ac:dyDescent="0.2">
      <c r="A148" s="614"/>
      <c r="B148" s="605"/>
      <c r="C148" s="606"/>
      <c r="D148" s="607"/>
      <c r="E148" s="614"/>
      <c r="F148" s="617"/>
      <c r="G148" s="600" t="s">
        <v>2584</v>
      </c>
      <c r="H148" s="601"/>
      <c r="I148" s="28"/>
      <c r="J148" s="622"/>
      <c r="K148" s="623"/>
      <c r="L148" s="624"/>
    </row>
    <row r="149" spans="1:12" ht="13.5" x14ac:dyDescent="0.2">
      <c r="A149" s="614"/>
      <c r="B149" s="605"/>
      <c r="C149" s="606"/>
      <c r="D149" s="607"/>
      <c r="E149" s="614"/>
      <c r="F149" s="617"/>
      <c r="G149" s="600" t="s">
        <v>2585</v>
      </c>
      <c r="H149" s="601"/>
      <c r="I149" s="28"/>
      <c r="J149" s="622"/>
      <c r="K149" s="623"/>
      <c r="L149" s="624"/>
    </row>
    <row r="150" spans="1:12" ht="13.5" x14ac:dyDescent="0.2">
      <c r="A150" s="614"/>
      <c r="B150" s="605"/>
      <c r="C150" s="606"/>
      <c r="D150" s="607"/>
      <c r="E150" s="614"/>
      <c r="F150" s="617"/>
      <c r="G150" s="600" t="s">
        <v>2586</v>
      </c>
      <c r="H150" s="601"/>
      <c r="I150" s="28"/>
      <c r="J150" s="622"/>
      <c r="K150" s="623"/>
      <c r="L150" s="624"/>
    </row>
    <row r="151" spans="1:12" ht="13.5" x14ac:dyDescent="0.2">
      <c r="A151" s="614"/>
      <c r="B151" s="605"/>
      <c r="C151" s="606"/>
      <c r="D151" s="607"/>
      <c r="E151" s="614"/>
      <c r="F151" s="617"/>
      <c r="G151" s="600" t="s">
        <v>2587</v>
      </c>
      <c r="H151" s="601"/>
      <c r="I151" s="28"/>
      <c r="J151" s="622"/>
      <c r="K151" s="623"/>
      <c r="L151" s="624"/>
    </row>
    <row r="152" spans="1:12" ht="13.5" x14ac:dyDescent="0.2">
      <c r="A152" s="614"/>
      <c r="B152" s="605"/>
      <c r="C152" s="606"/>
      <c r="D152" s="607"/>
      <c r="E152" s="614"/>
      <c r="F152" s="617"/>
      <c r="G152" s="600" t="s">
        <v>2840</v>
      </c>
      <c r="H152" s="601"/>
      <c r="I152" s="28"/>
      <c r="J152" s="622"/>
      <c r="K152" s="623"/>
      <c r="L152" s="624"/>
    </row>
    <row r="153" spans="1:12" ht="13.5" x14ac:dyDescent="0.2">
      <c r="A153" s="615"/>
      <c r="B153" s="608"/>
      <c r="C153" s="609"/>
      <c r="D153" s="610"/>
      <c r="E153" s="615"/>
      <c r="F153" s="618"/>
      <c r="G153" s="600" t="s">
        <v>2841</v>
      </c>
      <c r="H153" s="601"/>
      <c r="I153" s="28"/>
      <c r="J153" s="625"/>
      <c r="K153" s="626"/>
      <c r="L153" s="627"/>
    </row>
    <row r="154" spans="1:12" ht="13.5" x14ac:dyDescent="0.2">
      <c r="A154" s="32"/>
      <c r="B154" s="32"/>
      <c r="C154" s="32"/>
      <c r="D154" s="32"/>
      <c r="E154" s="32"/>
      <c r="F154" s="32"/>
      <c r="G154" s="32"/>
      <c r="H154" s="32"/>
      <c r="I154" s="32"/>
      <c r="J154" s="130"/>
      <c r="K154" s="130"/>
      <c r="L154" s="32"/>
    </row>
    <row r="155" spans="1:12" x14ac:dyDescent="0.2">
      <c r="A155" s="390" t="s">
        <v>76</v>
      </c>
      <c r="B155" s="611"/>
      <c r="C155" s="611"/>
      <c r="D155" s="612"/>
      <c r="E155" s="16" t="s">
        <v>77</v>
      </c>
      <c r="F155" s="16" t="s">
        <v>78</v>
      </c>
      <c r="G155" s="532" t="s">
        <v>2576</v>
      </c>
      <c r="H155" s="628"/>
      <c r="I155" s="390" t="s">
        <v>2579</v>
      </c>
      <c r="J155" s="611"/>
      <c r="K155" s="611"/>
      <c r="L155" s="612"/>
    </row>
    <row r="156" spans="1:12" ht="13.5" x14ac:dyDescent="0.2">
      <c r="A156" s="613" t="s">
        <v>2842</v>
      </c>
      <c r="B156" s="602" t="s">
        <v>2071</v>
      </c>
      <c r="C156" s="603"/>
      <c r="D156" s="604"/>
      <c r="E156" s="613" t="s">
        <v>999</v>
      </c>
      <c r="F156" s="616">
        <f>+I156</f>
        <v>1</v>
      </c>
      <c r="G156" s="600" t="s">
        <v>444</v>
      </c>
      <c r="H156" s="601"/>
      <c r="I156" s="9">
        <f>I157</f>
        <v>1</v>
      </c>
      <c r="J156" s="619"/>
      <c r="K156" s="620"/>
      <c r="L156" s="621"/>
    </row>
    <row r="157" spans="1:12" ht="13.5" x14ac:dyDescent="0.2">
      <c r="A157" s="614"/>
      <c r="B157" s="605"/>
      <c r="C157" s="606"/>
      <c r="D157" s="607"/>
      <c r="E157" s="614"/>
      <c r="F157" s="617"/>
      <c r="G157" s="600" t="s">
        <v>453</v>
      </c>
      <c r="H157" s="601"/>
      <c r="I157" s="28">
        <v>1</v>
      </c>
      <c r="J157" s="622"/>
      <c r="K157" s="623"/>
      <c r="L157" s="624"/>
    </row>
    <row r="158" spans="1:12" ht="13.5" x14ac:dyDescent="0.2">
      <c r="A158" s="614"/>
      <c r="B158" s="605"/>
      <c r="C158" s="606"/>
      <c r="D158" s="607"/>
      <c r="E158" s="614"/>
      <c r="F158" s="617"/>
      <c r="G158" s="600" t="s">
        <v>2583</v>
      </c>
      <c r="H158" s="601"/>
      <c r="I158" s="28"/>
      <c r="J158" s="622"/>
      <c r="K158" s="623"/>
      <c r="L158" s="624"/>
    </row>
    <row r="159" spans="1:12" ht="13.5" x14ac:dyDescent="0.2">
      <c r="A159" s="614"/>
      <c r="B159" s="605"/>
      <c r="C159" s="606"/>
      <c r="D159" s="607"/>
      <c r="E159" s="614"/>
      <c r="F159" s="617"/>
      <c r="G159" s="600" t="s">
        <v>2584</v>
      </c>
      <c r="H159" s="601"/>
      <c r="I159" s="28"/>
      <c r="J159" s="622"/>
      <c r="K159" s="623"/>
      <c r="L159" s="624"/>
    </row>
    <row r="160" spans="1:12" ht="13.5" x14ac:dyDescent="0.2">
      <c r="A160" s="614"/>
      <c r="B160" s="605"/>
      <c r="C160" s="606"/>
      <c r="D160" s="607"/>
      <c r="E160" s="614"/>
      <c r="F160" s="617"/>
      <c r="G160" s="600" t="s">
        <v>2585</v>
      </c>
      <c r="H160" s="601"/>
      <c r="I160" s="28"/>
      <c r="J160" s="622"/>
      <c r="K160" s="623"/>
      <c r="L160" s="624"/>
    </row>
    <row r="161" spans="1:12" ht="13.5" x14ac:dyDescent="0.2">
      <c r="A161" s="614"/>
      <c r="B161" s="605"/>
      <c r="C161" s="606"/>
      <c r="D161" s="607"/>
      <c r="E161" s="614"/>
      <c r="F161" s="617"/>
      <c r="G161" s="600" t="s">
        <v>2586</v>
      </c>
      <c r="H161" s="601"/>
      <c r="I161" s="28"/>
      <c r="J161" s="622"/>
      <c r="K161" s="623"/>
      <c r="L161" s="624"/>
    </row>
    <row r="162" spans="1:12" ht="13.5" x14ac:dyDescent="0.2">
      <c r="A162" s="614"/>
      <c r="B162" s="605"/>
      <c r="C162" s="606"/>
      <c r="D162" s="607"/>
      <c r="E162" s="614"/>
      <c r="F162" s="617"/>
      <c r="G162" s="600" t="s">
        <v>2587</v>
      </c>
      <c r="H162" s="601"/>
      <c r="I162" s="28"/>
      <c r="J162" s="622"/>
      <c r="K162" s="623"/>
      <c r="L162" s="624"/>
    </row>
    <row r="163" spans="1:12" ht="13.5" x14ac:dyDescent="0.2">
      <c r="A163" s="614"/>
      <c r="B163" s="605"/>
      <c r="C163" s="606"/>
      <c r="D163" s="607"/>
      <c r="E163" s="614"/>
      <c r="F163" s="617"/>
      <c r="G163" s="600" t="s">
        <v>2843</v>
      </c>
      <c r="H163" s="601"/>
      <c r="I163" s="28"/>
      <c r="J163" s="622"/>
      <c r="K163" s="623"/>
      <c r="L163" s="624"/>
    </row>
    <row r="164" spans="1:12" ht="13.5" x14ac:dyDescent="0.2">
      <c r="A164" s="615"/>
      <c r="B164" s="608"/>
      <c r="C164" s="609"/>
      <c r="D164" s="610"/>
      <c r="E164" s="615"/>
      <c r="F164" s="618"/>
      <c r="G164" s="600" t="s">
        <v>2844</v>
      </c>
      <c r="H164" s="601"/>
      <c r="I164" s="28"/>
      <c r="J164" s="625"/>
      <c r="K164" s="626"/>
      <c r="L164" s="627"/>
    </row>
    <row r="165" spans="1:12" ht="13.5" x14ac:dyDescent="0.2">
      <c r="A165" s="32"/>
      <c r="B165" s="32"/>
      <c r="C165" s="32"/>
      <c r="D165" s="32"/>
      <c r="E165" s="32"/>
      <c r="F165" s="32"/>
      <c r="G165" s="32"/>
      <c r="H165" s="32"/>
      <c r="I165" s="32"/>
      <c r="J165" s="130"/>
      <c r="K165" s="130"/>
      <c r="L165" s="32"/>
    </row>
    <row r="166" spans="1:12" x14ac:dyDescent="0.2">
      <c r="A166" s="390" t="s">
        <v>76</v>
      </c>
      <c r="B166" s="611"/>
      <c r="C166" s="611"/>
      <c r="D166" s="612"/>
      <c r="E166" s="16" t="s">
        <v>77</v>
      </c>
      <c r="F166" s="16" t="s">
        <v>78</v>
      </c>
      <c r="G166" s="532" t="s">
        <v>2576</v>
      </c>
      <c r="H166" s="628"/>
      <c r="I166" s="390" t="s">
        <v>2579</v>
      </c>
      <c r="J166" s="611"/>
      <c r="K166" s="611"/>
      <c r="L166" s="612"/>
    </row>
    <row r="167" spans="1:12" ht="13.5" x14ac:dyDescent="0.2">
      <c r="A167" s="613" t="s">
        <v>2845</v>
      </c>
      <c r="B167" s="602" t="s">
        <v>1319</v>
      </c>
      <c r="C167" s="603"/>
      <c r="D167" s="604"/>
      <c r="E167" s="613" t="s">
        <v>999</v>
      </c>
      <c r="F167" s="616">
        <f>+I167</f>
        <v>1</v>
      </c>
      <c r="G167" s="600" t="s">
        <v>444</v>
      </c>
      <c r="H167" s="601"/>
      <c r="I167" s="9">
        <f>I168</f>
        <v>1</v>
      </c>
      <c r="J167" s="619"/>
      <c r="K167" s="620"/>
      <c r="L167" s="621"/>
    </row>
    <row r="168" spans="1:12" ht="13.5" x14ac:dyDescent="0.2">
      <c r="A168" s="614"/>
      <c r="B168" s="605"/>
      <c r="C168" s="606"/>
      <c r="D168" s="607"/>
      <c r="E168" s="614"/>
      <c r="F168" s="617"/>
      <c r="G168" s="600" t="s">
        <v>453</v>
      </c>
      <c r="H168" s="601"/>
      <c r="I168" s="28">
        <v>1</v>
      </c>
      <c r="J168" s="622"/>
      <c r="K168" s="623"/>
      <c r="L168" s="624"/>
    </row>
    <row r="169" spans="1:12" ht="13.5" x14ac:dyDescent="0.2">
      <c r="A169" s="614"/>
      <c r="B169" s="605"/>
      <c r="C169" s="606"/>
      <c r="D169" s="607"/>
      <c r="E169" s="614"/>
      <c r="F169" s="617"/>
      <c r="G169" s="600" t="s">
        <v>2583</v>
      </c>
      <c r="H169" s="601"/>
      <c r="I169" s="28"/>
      <c r="J169" s="622"/>
      <c r="K169" s="623"/>
      <c r="L169" s="624"/>
    </row>
    <row r="170" spans="1:12" ht="13.5" x14ac:dyDescent="0.2">
      <c r="A170" s="614"/>
      <c r="B170" s="605"/>
      <c r="C170" s="606"/>
      <c r="D170" s="607"/>
      <c r="E170" s="614"/>
      <c r="F170" s="617"/>
      <c r="G170" s="600" t="s">
        <v>2584</v>
      </c>
      <c r="H170" s="601"/>
      <c r="I170" s="28"/>
      <c r="J170" s="622"/>
      <c r="K170" s="623"/>
      <c r="L170" s="624"/>
    </row>
    <row r="171" spans="1:12" ht="13.5" x14ac:dyDescent="0.2">
      <c r="A171" s="614"/>
      <c r="B171" s="605"/>
      <c r="C171" s="606"/>
      <c r="D171" s="607"/>
      <c r="E171" s="614"/>
      <c r="F171" s="617"/>
      <c r="G171" s="600" t="s">
        <v>2585</v>
      </c>
      <c r="H171" s="601"/>
      <c r="I171" s="28"/>
      <c r="J171" s="622"/>
      <c r="K171" s="623"/>
      <c r="L171" s="624"/>
    </row>
    <row r="172" spans="1:12" ht="13.5" x14ac:dyDescent="0.2">
      <c r="A172" s="614"/>
      <c r="B172" s="605"/>
      <c r="C172" s="606"/>
      <c r="D172" s="607"/>
      <c r="E172" s="614"/>
      <c r="F172" s="617"/>
      <c r="G172" s="600" t="s">
        <v>2586</v>
      </c>
      <c r="H172" s="601"/>
      <c r="I172" s="28"/>
      <c r="J172" s="622"/>
      <c r="K172" s="623"/>
      <c r="L172" s="624"/>
    </row>
    <row r="173" spans="1:12" ht="13.5" x14ac:dyDescent="0.2">
      <c r="A173" s="614"/>
      <c r="B173" s="605"/>
      <c r="C173" s="606"/>
      <c r="D173" s="607"/>
      <c r="E173" s="614"/>
      <c r="F173" s="617"/>
      <c r="G173" s="600" t="s">
        <v>2587</v>
      </c>
      <c r="H173" s="601"/>
      <c r="I173" s="28"/>
      <c r="J173" s="622"/>
      <c r="K173" s="623"/>
      <c r="L173" s="624"/>
    </row>
    <row r="174" spans="1:12" ht="13.5" x14ac:dyDescent="0.2">
      <c r="A174" s="614"/>
      <c r="B174" s="605"/>
      <c r="C174" s="606"/>
      <c r="D174" s="607"/>
      <c r="E174" s="614"/>
      <c r="F174" s="617"/>
      <c r="G174" s="600" t="s">
        <v>2846</v>
      </c>
      <c r="H174" s="601"/>
      <c r="I174" s="28"/>
      <c r="J174" s="622"/>
      <c r="K174" s="623"/>
      <c r="L174" s="624"/>
    </row>
    <row r="175" spans="1:12" ht="13.5" x14ac:dyDescent="0.2">
      <c r="A175" s="615"/>
      <c r="B175" s="608"/>
      <c r="C175" s="609"/>
      <c r="D175" s="610"/>
      <c r="E175" s="615"/>
      <c r="F175" s="618"/>
      <c r="G175" s="600" t="s">
        <v>2847</v>
      </c>
      <c r="H175" s="601"/>
      <c r="I175" s="28"/>
      <c r="J175" s="625"/>
      <c r="K175" s="626"/>
      <c r="L175" s="627"/>
    </row>
    <row r="176" spans="1:12" ht="13.5" x14ac:dyDescent="0.2">
      <c r="A176" s="32"/>
      <c r="B176" s="32"/>
      <c r="C176" s="32"/>
      <c r="D176" s="32"/>
      <c r="E176" s="32"/>
      <c r="F176" s="32"/>
      <c r="G176" s="32"/>
      <c r="H176" s="32"/>
      <c r="I176" s="32"/>
      <c r="J176" s="130"/>
      <c r="K176" s="130"/>
      <c r="L176" s="32"/>
    </row>
    <row r="177" spans="1:12" x14ac:dyDescent="0.2">
      <c r="A177" s="390" t="s">
        <v>76</v>
      </c>
      <c r="B177" s="611"/>
      <c r="C177" s="611"/>
      <c r="D177" s="612"/>
      <c r="E177" s="16" t="s">
        <v>77</v>
      </c>
      <c r="F177" s="16" t="s">
        <v>78</v>
      </c>
      <c r="G177" s="532" t="s">
        <v>2576</v>
      </c>
      <c r="H177" s="628"/>
      <c r="I177" s="390" t="s">
        <v>2579</v>
      </c>
      <c r="J177" s="611"/>
      <c r="K177" s="611"/>
      <c r="L177" s="612"/>
    </row>
    <row r="178" spans="1:12" ht="13.5" x14ac:dyDescent="0.2">
      <c r="A178" s="613" t="s">
        <v>2848</v>
      </c>
      <c r="B178" s="602" t="s">
        <v>2101</v>
      </c>
      <c r="C178" s="603"/>
      <c r="D178" s="604"/>
      <c r="E178" s="613" t="s">
        <v>999</v>
      </c>
      <c r="F178" s="616">
        <f>+I178</f>
        <v>1</v>
      </c>
      <c r="G178" s="600" t="s">
        <v>444</v>
      </c>
      <c r="H178" s="601"/>
      <c r="I178" s="9">
        <f>I179</f>
        <v>1</v>
      </c>
      <c r="J178" s="619"/>
      <c r="K178" s="620"/>
      <c r="L178" s="621"/>
    </row>
    <row r="179" spans="1:12" ht="13.5" x14ac:dyDescent="0.2">
      <c r="A179" s="614"/>
      <c r="B179" s="605"/>
      <c r="C179" s="606"/>
      <c r="D179" s="607"/>
      <c r="E179" s="614"/>
      <c r="F179" s="617"/>
      <c r="G179" s="600" t="s">
        <v>453</v>
      </c>
      <c r="H179" s="601"/>
      <c r="I179" s="28">
        <v>1</v>
      </c>
      <c r="J179" s="622"/>
      <c r="K179" s="623"/>
      <c r="L179" s="624"/>
    </row>
    <row r="180" spans="1:12" ht="13.5" x14ac:dyDescent="0.2">
      <c r="A180" s="614"/>
      <c r="B180" s="605"/>
      <c r="C180" s="606"/>
      <c r="D180" s="607"/>
      <c r="E180" s="614"/>
      <c r="F180" s="617"/>
      <c r="G180" s="600" t="s">
        <v>2583</v>
      </c>
      <c r="H180" s="601"/>
      <c r="I180" s="28"/>
      <c r="J180" s="622"/>
      <c r="K180" s="623"/>
      <c r="L180" s="624"/>
    </row>
    <row r="181" spans="1:12" ht="13.5" x14ac:dyDescent="0.2">
      <c r="A181" s="614"/>
      <c r="B181" s="605"/>
      <c r="C181" s="606"/>
      <c r="D181" s="607"/>
      <c r="E181" s="614"/>
      <c r="F181" s="617"/>
      <c r="G181" s="600" t="s">
        <v>2584</v>
      </c>
      <c r="H181" s="601"/>
      <c r="I181" s="28"/>
      <c r="J181" s="622"/>
      <c r="K181" s="623"/>
      <c r="L181" s="624"/>
    </row>
    <row r="182" spans="1:12" ht="13.5" x14ac:dyDescent="0.2">
      <c r="A182" s="614"/>
      <c r="B182" s="605"/>
      <c r="C182" s="606"/>
      <c r="D182" s="607"/>
      <c r="E182" s="614"/>
      <c r="F182" s="617"/>
      <c r="G182" s="600" t="s">
        <v>2585</v>
      </c>
      <c r="H182" s="601"/>
      <c r="I182" s="28"/>
      <c r="J182" s="622"/>
      <c r="K182" s="623"/>
      <c r="L182" s="624"/>
    </row>
    <row r="183" spans="1:12" ht="13.5" x14ac:dyDescent="0.2">
      <c r="A183" s="614"/>
      <c r="B183" s="605"/>
      <c r="C183" s="606"/>
      <c r="D183" s="607"/>
      <c r="E183" s="614"/>
      <c r="F183" s="617"/>
      <c r="G183" s="600" t="s">
        <v>2586</v>
      </c>
      <c r="H183" s="601"/>
      <c r="I183" s="28"/>
      <c r="J183" s="622"/>
      <c r="K183" s="623"/>
      <c r="L183" s="624"/>
    </row>
    <row r="184" spans="1:12" ht="13.5" x14ac:dyDescent="0.2">
      <c r="A184" s="614"/>
      <c r="B184" s="605"/>
      <c r="C184" s="606"/>
      <c r="D184" s="607"/>
      <c r="E184" s="614"/>
      <c r="F184" s="617"/>
      <c r="G184" s="600" t="s">
        <v>2587</v>
      </c>
      <c r="H184" s="601"/>
      <c r="I184" s="28"/>
      <c r="J184" s="622"/>
      <c r="K184" s="623"/>
      <c r="L184" s="624"/>
    </row>
    <row r="185" spans="1:12" ht="13.5" x14ac:dyDescent="0.2">
      <c r="A185" s="614"/>
      <c r="B185" s="605"/>
      <c r="C185" s="606"/>
      <c r="D185" s="607"/>
      <c r="E185" s="614"/>
      <c r="F185" s="617"/>
      <c r="G185" s="600" t="s">
        <v>2849</v>
      </c>
      <c r="H185" s="601"/>
      <c r="I185" s="28"/>
      <c r="J185" s="622"/>
      <c r="K185" s="623"/>
      <c r="L185" s="624"/>
    </row>
    <row r="186" spans="1:12" ht="13.5" x14ac:dyDescent="0.2">
      <c r="A186" s="615"/>
      <c r="B186" s="608"/>
      <c r="C186" s="609"/>
      <c r="D186" s="610"/>
      <c r="E186" s="615"/>
      <c r="F186" s="618"/>
      <c r="G186" s="600" t="s">
        <v>2850</v>
      </c>
      <c r="H186" s="601"/>
      <c r="I186" s="28"/>
      <c r="J186" s="625"/>
      <c r="K186" s="626"/>
      <c r="L186" s="627"/>
    </row>
    <row r="187" spans="1:12" ht="13.5" x14ac:dyDescent="0.2">
      <c r="A187" s="32"/>
      <c r="B187" s="32"/>
      <c r="C187" s="32"/>
      <c r="D187" s="32"/>
      <c r="E187" s="32"/>
      <c r="F187" s="32"/>
      <c r="G187" s="32"/>
      <c r="H187" s="32"/>
      <c r="I187" s="32"/>
      <c r="J187" s="130"/>
      <c r="K187" s="130"/>
      <c r="L187" s="32"/>
    </row>
    <row r="188" spans="1:12" x14ac:dyDescent="0.2">
      <c r="A188" s="390" t="s">
        <v>76</v>
      </c>
      <c r="B188" s="611"/>
      <c r="C188" s="611"/>
      <c r="D188" s="612"/>
      <c r="E188" s="16" t="s">
        <v>77</v>
      </c>
      <c r="F188" s="16" t="s">
        <v>78</v>
      </c>
      <c r="G188" s="532" t="s">
        <v>2576</v>
      </c>
      <c r="H188" s="628"/>
      <c r="I188" s="390" t="s">
        <v>2579</v>
      </c>
      <c r="J188" s="611"/>
      <c r="K188" s="611"/>
      <c r="L188" s="612"/>
    </row>
    <row r="189" spans="1:12" ht="13.5" x14ac:dyDescent="0.2">
      <c r="A189" s="613" t="s">
        <v>2851</v>
      </c>
      <c r="B189" s="602" t="s">
        <v>1316</v>
      </c>
      <c r="C189" s="603"/>
      <c r="D189" s="604"/>
      <c r="E189" s="613" t="s">
        <v>999</v>
      </c>
      <c r="F189" s="616">
        <f>+I189</f>
        <v>1</v>
      </c>
      <c r="G189" s="600" t="s">
        <v>444</v>
      </c>
      <c r="H189" s="601"/>
      <c r="I189" s="9">
        <f>I190</f>
        <v>1</v>
      </c>
      <c r="J189" s="619"/>
      <c r="K189" s="620"/>
      <c r="L189" s="621"/>
    </row>
    <row r="190" spans="1:12" ht="13.5" x14ac:dyDescent="0.2">
      <c r="A190" s="614"/>
      <c r="B190" s="605"/>
      <c r="C190" s="606"/>
      <c r="D190" s="607"/>
      <c r="E190" s="614"/>
      <c r="F190" s="617"/>
      <c r="G190" s="600" t="s">
        <v>453</v>
      </c>
      <c r="H190" s="601"/>
      <c r="I190" s="28">
        <v>1</v>
      </c>
      <c r="J190" s="622"/>
      <c r="K190" s="623"/>
      <c r="L190" s="624"/>
    </row>
    <row r="191" spans="1:12" ht="13.5" x14ac:dyDescent="0.2">
      <c r="A191" s="614"/>
      <c r="B191" s="605"/>
      <c r="C191" s="606"/>
      <c r="D191" s="607"/>
      <c r="E191" s="614"/>
      <c r="F191" s="617"/>
      <c r="G191" s="600" t="s">
        <v>2583</v>
      </c>
      <c r="H191" s="601"/>
      <c r="I191" s="28"/>
      <c r="J191" s="622"/>
      <c r="K191" s="623"/>
      <c r="L191" s="624"/>
    </row>
    <row r="192" spans="1:12" ht="13.5" x14ac:dyDescent="0.2">
      <c r="A192" s="614"/>
      <c r="B192" s="605"/>
      <c r="C192" s="606"/>
      <c r="D192" s="607"/>
      <c r="E192" s="614"/>
      <c r="F192" s="617"/>
      <c r="G192" s="600" t="s">
        <v>2584</v>
      </c>
      <c r="H192" s="601"/>
      <c r="I192" s="28"/>
      <c r="J192" s="622"/>
      <c r="K192" s="623"/>
      <c r="L192" s="624"/>
    </row>
    <row r="193" spans="1:12" ht="13.5" x14ac:dyDescent="0.2">
      <c r="A193" s="614"/>
      <c r="B193" s="605"/>
      <c r="C193" s="606"/>
      <c r="D193" s="607"/>
      <c r="E193" s="614"/>
      <c r="F193" s="617"/>
      <c r="G193" s="600" t="s">
        <v>2585</v>
      </c>
      <c r="H193" s="601"/>
      <c r="I193" s="28"/>
      <c r="J193" s="622"/>
      <c r="K193" s="623"/>
      <c r="L193" s="624"/>
    </row>
    <row r="194" spans="1:12" ht="13.5" x14ac:dyDescent="0.2">
      <c r="A194" s="614"/>
      <c r="B194" s="605"/>
      <c r="C194" s="606"/>
      <c r="D194" s="607"/>
      <c r="E194" s="614"/>
      <c r="F194" s="617"/>
      <c r="G194" s="600" t="s">
        <v>2586</v>
      </c>
      <c r="H194" s="601"/>
      <c r="I194" s="28"/>
      <c r="J194" s="622"/>
      <c r="K194" s="623"/>
      <c r="L194" s="624"/>
    </row>
    <row r="195" spans="1:12" ht="13.5" x14ac:dyDescent="0.2">
      <c r="A195" s="614"/>
      <c r="B195" s="605"/>
      <c r="C195" s="606"/>
      <c r="D195" s="607"/>
      <c r="E195" s="614"/>
      <c r="F195" s="617"/>
      <c r="G195" s="600" t="s">
        <v>2587</v>
      </c>
      <c r="H195" s="601"/>
      <c r="I195" s="28"/>
      <c r="J195" s="622"/>
      <c r="K195" s="623"/>
      <c r="L195" s="624"/>
    </row>
    <row r="196" spans="1:12" ht="13.5" x14ac:dyDescent="0.2">
      <c r="A196" s="614"/>
      <c r="B196" s="605"/>
      <c r="C196" s="606"/>
      <c r="D196" s="607"/>
      <c r="E196" s="614"/>
      <c r="F196" s="617"/>
      <c r="G196" s="600" t="s">
        <v>2852</v>
      </c>
      <c r="H196" s="601"/>
      <c r="I196" s="28"/>
      <c r="J196" s="622"/>
      <c r="K196" s="623"/>
      <c r="L196" s="624"/>
    </row>
    <row r="197" spans="1:12" ht="13.5" x14ac:dyDescent="0.2">
      <c r="A197" s="615"/>
      <c r="B197" s="608"/>
      <c r="C197" s="609"/>
      <c r="D197" s="610"/>
      <c r="E197" s="615"/>
      <c r="F197" s="618"/>
      <c r="G197" s="600" t="s">
        <v>2853</v>
      </c>
      <c r="H197" s="601"/>
      <c r="I197" s="28"/>
      <c r="J197" s="625"/>
      <c r="K197" s="626"/>
      <c r="L197" s="627"/>
    </row>
    <row r="198" spans="1:12" ht="13.5" x14ac:dyDescent="0.25">
      <c r="A198" s="18"/>
      <c r="B198" s="18"/>
      <c r="C198" s="18"/>
      <c r="D198" s="18"/>
      <c r="E198" s="18"/>
      <c r="F198" s="18"/>
      <c r="G198" s="18"/>
      <c r="H198" s="18"/>
      <c r="I198" s="18"/>
      <c r="J198" s="18"/>
      <c r="K198" s="18"/>
      <c r="L198" s="18"/>
    </row>
    <row r="199" spans="1:12" x14ac:dyDescent="0.2">
      <c r="A199" s="545" t="s">
        <v>2854</v>
      </c>
      <c r="B199" s="315"/>
      <c r="C199" s="315"/>
      <c r="D199" s="315"/>
      <c r="E199" s="315"/>
      <c r="F199" s="315"/>
      <c r="G199" s="315"/>
      <c r="H199" s="315"/>
      <c r="I199" s="315"/>
      <c r="J199" s="315"/>
      <c r="K199" s="315"/>
      <c r="L199" s="316"/>
    </row>
    <row r="200" spans="1:12" x14ac:dyDescent="0.2">
      <c r="A200" s="501"/>
      <c r="B200" s="318"/>
      <c r="C200" s="318"/>
      <c r="D200" s="318"/>
      <c r="E200" s="318"/>
      <c r="F200" s="318"/>
      <c r="G200" s="318"/>
      <c r="H200" s="318"/>
      <c r="I200" s="318"/>
      <c r="J200" s="318"/>
      <c r="K200" s="318"/>
      <c r="L200" s="319"/>
    </row>
    <row r="201" spans="1:12" ht="13.5" x14ac:dyDescent="0.25">
      <c r="A201" s="18"/>
      <c r="B201" s="18"/>
      <c r="C201" s="18"/>
      <c r="D201" s="18"/>
      <c r="E201" s="18"/>
      <c r="F201" s="18"/>
      <c r="G201" s="18"/>
      <c r="H201" s="18"/>
      <c r="I201" s="18"/>
      <c r="J201" s="18"/>
      <c r="K201" s="18"/>
      <c r="L201" s="18"/>
    </row>
    <row r="202" spans="1:12" x14ac:dyDescent="0.2">
      <c r="A202" s="287" t="s">
        <v>76</v>
      </c>
      <c r="B202" s="271"/>
      <c r="C202" s="271"/>
      <c r="D202" s="311"/>
      <c r="E202" s="16" t="s">
        <v>77</v>
      </c>
      <c r="F202" s="16" t="s">
        <v>78</v>
      </c>
      <c r="G202" s="532" t="s">
        <v>2576</v>
      </c>
      <c r="H202" s="482"/>
      <c r="I202" s="390" t="s">
        <v>2579</v>
      </c>
      <c r="J202" s="611"/>
      <c r="K202" s="611"/>
      <c r="L202" s="612"/>
    </row>
    <row r="203" spans="1:12" ht="13.5" x14ac:dyDescent="0.2">
      <c r="A203" s="542" t="s">
        <v>2855</v>
      </c>
      <c r="B203" s="535" t="s">
        <v>1307</v>
      </c>
      <c r="C203" s="275"/>
      <c r="D203" s="276"/>
      <c r="E203" s="542" t="s">
        <v>934</v>
      </c>
      <c r="F203" s="536">
        <f>+I203</f>
        <v>2.9250000000000003</v>
      </c>
      <c r="G203" s="295" t="s">
        <v>444</v>
      </c>
      <c r="H203" s="273"/>
      <c r="I203" s="9">
        <f>I204*I205*I206</f>
        <v>2.9250000000000003</v>
      </c>
      <c r="J203" s="546"/>
      <c r="K203" s="275"/>
      <c r="L203" s="276"/>
    </row>
    <row r="204" spans="1:12" ht="13.5" x14ac:dyDescent="0.2">
      <c r="A204" s="534"/>
      <c r="B204" s="284"/>
      <c r="C204" s="285"/>
      <c r="D204" s="286"/>
      <c r="E204" s="534"/>
      <c r="F204" s="534"/>
      <c r="G204" s="295" t="s">
        <v>453</v>
      </c>
      <c r="H204" s="273"/>
      <c r="I204" s="28">
        <v>1</v>
      </c>
      <c r="J204" s="284"/>
      <c r="K204" s="285"/>
      <c r="L204" s="286"/>
    </row>
    <row r="205" spans="1:12" ht="13.5" x14ac:dyDescent="0.2">
      <c r="A205" s="534"/>
      <c r="B205" s="284"/>
      <c r="C205" s="285"/>
      <c r="D205" s="286"/>
      <c r="E205" s="534"/>
      <c r="F205" s="534"/>
      <c r="G205" s="295" t="s">
        <v>2583</v>
      </c>
      <c r="H205" s="273"/>
      <c r="I205" s="28">
        <v>2.25</v>
      </c>
      <c r="J205" s="284"/>
      <c r="K205" s="285"/>
      <c r="L205" s="286"/>
    </row>
    <row r="206" spans="1:12" ht="13.5" x14ac:dyDescent="0.2">
      <c r="A206" s="534"/>
      <c r="B206" s="284"/>
      <c r="C206" s="285"/>
      <c r="D206" s="286"/>
      <c r="E206" s="534"/>
      <c r="F206" s="534"/>
      <c r="G206" s="295" t="s">
        <v>2584</v>
      </c>
      <c r="H206" s="273"/>
      <c r="I206" s="28">
        <v>1.3</v>
      </c>
      <c r="J206" s="284"/>
      <c r="K206" s="285"/>
      <c r="L206" s="286"/>
    </row>
    <row r="207" spans="1:12" ht="13.5" x14ac:dyDescent="0.2">
      <c r="A207" s="534"/>
      <c r="B207" s="284"/>
      <c r="C207" s="285"/>
      <c r="D207" s="286"/>
      <c r="E207" s="534"/>
      <c r="F207" s="534"/>
      <c r="G207" s="295" t="s">
        <v>2585</v>
      </c>
      <c r="H207" s="273"/>
      <c r="I207" s="28"/>
      <c r="J207" s="284"/>
      <c r="K207" s="285"/>
      <c r="L207" s="286"/>
    </row>
    <row r="208" spans="1:12" ht="13.5" x14ac:dyDescent="0.2">
      <c r="A208" s="534"/>
      <c r="B208" s="284"/>
      <c r="C208" s="285"/>
      <c r="D208" s="286"/>
      <c r="E208" s="534"/>
      <c r="F208" s="534"/>
      <c r="G208" s="295" t="s">
        <v>2586</v>
      </c>
      <c r="H208" s="273"/>
      <c r="I208" s="28"/>
      <c r="J208" s="284"/>
      <c r="K208" s="285"/>
      <c r="L208" s="286"/>
    </row>
    <row r="209" spans="1:12" ht="13.5" x14ac:dyDescent="0.2">
      <c r="A209" s="534"/>
      <c r="B209" s="284"/>
      <c r="C209" s="285"/>
      <c r="D209" s="286"/>
      <c r="E209" s="534"/>
      <c r="F209" s="534"/>
      <c r="G209" s="295" t="s">
        <v>2587</v>
      </c>
      <c r="H209" s="273"/>
      <c r="I209" s="28"/>
      <c r="J209" s="284"/>
      <c r="K209" s="285"/>
      <c r="L209" s="286"/>
    </row>
    <row r="210" spans="1:12" ht="13.5" x14ac:dyDescent="0.2">
      <c r="A210" s="534"/>
      <c r="B210" s="284"/>
      <c r="C210" s="285"/>
      <c r="D210" s="286"/>
      <c r="E210" s="534"/>
      <c r="F210" s="534"/>
      <c r="G210" s="295" t="s">
        <v>2856</v>
      </c>
      <c r="H210" s="273"/>
      <c r="I210" s="28"/>
      <c r="J210" s="284"/>
      <c r="K210" s="285"/>
      <c r="L210" s="286"/>
    </row>
    <row r="211" spans="1:12" ht="13.5" x14ac:dyDescent="0.2">
      <c r="A211" s="281"/>
      <c r="B211" s="277"/>
      <c r="C211" s="278"/>
      <c r="D211" s="279"/>
      <c r="E211" s="281"/>
      <c r="F211" s="281"/>
      <c r="G211" s="295" t="s">
        <v>2857</v>
      </c>
      <c r="H211" s="273"/>
      <c r="I211" s="28"/>
      <c r="J211" s="277"/>
      <c r="K211" s="278"/>
      <c r="L211" s="279"/>
    </row>
    <row r="212" spans="1:12" ht="13.5" x14ac:dyDescent="0.25">
      <c r="A212" s="18"/>
      <c r="B212" s="18"/>
      <c r="C212" s="18"/>
      <c r="D212" s="18"/>
      <c r="E212" s="18"/>
      <c r="F212" s="18"/>
      <c r="G212" s="18"/>
      <c r="H212" s="18"/>
      <c r="I212" s="18"/>
      <c r="J212" s="18"/>
      <c r="K212" s="18"/>
      <c r="L212" s="18"/>
    </row>
    <row r="213" spans="1:12" x14ac:dyDescent="0.2">
      <c r="A213" s="287" t="s">
        <v>76</v>
      </c>
      <c r="B213" s="271"/>
      <c r="C213" s="271"/>
      <c r="D213" s="311"/>
      <c r="E213" s="16" t="s">
        <v>77</v>
      </c>
      <c r="F213" s="16" t="s">
        <v>78</v>
      </c>
      <c r="G213" s="532" t="s">
        <v>2576</v>
      </c>
      <c r="H213" s="482"/>
      <c r="I213" s="390" t="s">
        <v>2579</v>
      </c>
      <c r="J213" s="611"/>
      <c r="K213" s="611"/>
      <c r="L213" s="612"/>
    </row>
    <row r="214" spans="1:12" ht="13.5" x14ac:dyDescent="0.2">
      <c r="A214" s="542" t="s">
        <v>7</v>
      </c>
      <c r="B214" s="535" t="s">
        <v>1308</v>
      </c>
      <c r="C214" s="275"/>
      <c r="D214" s="276"/>
      <c r="E214" s="542" t="s">
        <v>258</v>
      </c>
      <c r="F214" s="536">
        <f>+I214</f>
        <v>6.2009999999999996</v>
      </c>
      <c r="G214" s="295" t="s">
        <v>444</v>
      </c>
      <c r="H214" s="273"/>
      <c r="I214" s="9">
        <f>I215*I216*I217*I218</f>
        <v>6.2009999999999996</v>
      </c>
      <c r="J214" s="546"/>
      <c r="K214" s="275"/>
      <c r="L214" s="276"/>
    </row>
    <row r="215" spans="1:12" ht="13.5" x14ac:dyDescent="0.2">
      <c r="A215" s="534"/>
      <c r="B215" s="284"/>
      <c r="C215" s="285"/>
      <c r="D215" s="286"/>
      <c r="E215" s="534"/>
      <c r="F215" s="534"/>
      <c r="G215" s="295" t="s">
        <v>453</v>
      </c>
      <c r="H215" s="273"/>
      <c r="I215" s="28">
        <v>1</v>
      </c>
      <c r="J215" s="284"/>
      <c r="K215" s="285"/>
      <c r="L215" s="286"/>
    </row>
    <row r="216" spans="1:12" ht="13.5" x14ac:dyDescent="0.2">
      <c r="A216" s="534"/>
      <c r="B216" s="284"/>
      <c r="C216" s="285"/>
      <c r="D216" s="286"/>
      <c r="E216" s="534"/>
      <c r="F216" s="534"/>
      <c r="G216" s="295" t="s">
        <v>2583</v>
      </c>
      <c r="H216" s="273"/>
      <c r="I216" s="28">
        <v>2.65</v>
      </c>
      <c r="J216" s="284"/>
      <c r="K216" s="285"/>
      <c r="L216" s="286"/>
    </row>
    <row r="217" spans="1:12" ht="13.5" x14ac:dyDescent="0.2">
      <c r="A217" s="534"/>
      <c r="B217" s="284"/>
      <c r="C217" s="285"/>
      <c r="D217" s="286"/>
      <c r="E217" s="534"/>
      <c r="F217" s="534"/>
      <c r="G217" s="295" t="s">
        <v>2584</v>
      </c>
      <c r="H217" s="273"/>
      <c r="I217" s="28">
        <v>1.3</v>
      </c>
      <c r="J217" s="284"/>
      <c r="K217" s="285"/>
      <c r="L217" s="286"/>
    </row>
    <row r="218" spans="1:12" ht="13.5" x14ac:dyDescent="0.2">
      <c r="A218" s="534"/>
      <c r="B218" s="284"/>
      <c r="C218" s="285"/>
      <c r="D218" s="286"/>
      <c r="E218" s="534"/>
      <c r="F218" s="534"/>
      <c r="G218" s="295" t="s">
        <v>2585</v>
      </c>
      <c r="H218" s="273"/>
      <c r="I218" s="28">
        <v>1.8</v>
      </c>
      <c r="J218" s="284"/>
      <c r="K218" s="285"/>
      <c r="L218" s="286"/>
    </row>
    <row r="219" spans="1:12" ht="13.5" x14ac:dyDescent="0.2">
      <c r="A219" s="534"/>
      <c r="B219" s="284"/>
      <c r="C219" s="285"/>
      <c r="D219" s="286"/>
      <c r="E219" s="534"/>
      <c r="F219" s="534"/>
      <c r="G219" s="295" t="s">
        <v>2586</v>
      </c>
      <c r="H219" s="273"/>
      <c r="I219" s="28"/>
      <c r="J219" s="284"/>
      <c r="K219" s="285"/>
      <c r="L219" s="286"/>
    </row>
    <row r="220" spans="1:12" ht="13.5" x14ac:dyDescent="0.2">
      <c r="A220" s="534"/>
      <c r="B220" s="284"/>
      <c r="C220" s="285"/>
      <c r="D220" s="286"/>
      <c r="E220" s="534"/>
      <c r="F220" s="534"/>
      <c r="G220" s="295" t="s">
        <v>2587</v>
      </c>
      <c r="H220" s="273"/>
      <c r="I220" s="28"/>
      <c r="J220" s="284"/>
      <c r="K220" s="285"/>
      <c r="L220" s="286"/>
    </row>
    <row r="221" spans="1:12" ht="13.5" x14ac:dyDescent="0.2">
      <c r="A221" s="534"/>
      <c r="B221" s="284"/>
      <c r="C221" s="285"/>
      <c r="D221" s="286"/>
      <c r="E221" s="534"/>
      <c r="F221" s="534"/>
      <c r="G221" s="295" t="s">
        <v>2858</v>
      </c>
      <c r="H221" s="273"/>
      <c r="I221" s="28"/>
      <c r="J221" s="284"/>
      <c r="K221" s="285"/>
      <c r="L221" s="286"/>
    </row>
    <row r="222" spans="1:12" ht="13.5" x14ac:dyDescent="0.2">
      <c r="A222" s="281"/>
      <c r="B222" s="277"/>
      <c r="C222" s="278"/>
      <c r="D222" s="279"/>
      <c r="E222" s="281"/>
      <c r="F222" s="281"/>
      <c r="G222" s="295" t="s">
        <v>2859</v>
      </c>
      <c r="H222" s="273"/>
      <c r="I222" s="28"/>
      <c r="J222" s="277"/>
      <c r="K222" s="278"/>
      <c r="L222" s="279"/>
    </row>
    <row r="223" spans="1:12" ht="13.5" x14ac:dyDescent="0.25">
      <c r="A223" s="18"/>
      <c r="B223" s="18"/>
      <c r="C223" s="18"/>
      <c r="D223" s="18"/>
      <c r="E223" s="18"/>
      <c r="F223" s="18"/>
      <c r="G223" s="18"/>
      <c r="H223" s="18"/>
      <c r="I223" s="18"/>
      <c r="J223" s="18"/>
      <c r="K223" s="18"/>
      <c r="L223" s="18"/>
    </row>
    <row r="224" spans="1:12" x14ac:dyDescent="0.2">
      <c r="A224" s="287" t="s">
        <v>76</v>
      </c>
      <c r="B224" s="271"/>
      <c r="C224" s="271"/>
      <c r="D224" s="311"/>
      <c r="E224" s="16" t="s">
        <v>77</v>
      </c>
      <c r="F224" s="16" t="s">
        <v>78</v>
      </c>
      <c r="G224" s="532" t="s">
        <v>2576</v>
      </c>
      <c r="H224" s="482"/>
      <c r="I224" s="390" t="s">
        <v>2579</v>
      </c>
      <c r="J224" s="611"/>
      <c r="K224" s="611"/>
      <c r="L224" s="612"/>
    </row>
    <row r="225" spans="1:12" ht="13.5" x14ac:dyDescent="0.2">
      <c r="A225" s="542" t="s">
        <v>2860</v>
      </c>
      <c r="B225" s="535" t="s">
        <v>1310</v>
      </c>
      <c r="C225" s="275"/>
      <c r="D225" s="276"/>
      <c r="E225" s="542" t="s">
        <v>258</v>
      </c>
      <c r="F225" s="536">
        <f>+I225</f>
        <v>0.14625000000000002</v>
      </c>
      <c r="G225" s="295" t="s">
        <v>444</v>
      </c>
      <c r="H225" s="273"/>
      <c r="I225" s="9">
        <f>I226*I227*I228*I229</f>
        <v>0.14625000000000002</v>
      </c>
      <c r="J225" s="546"/>
      <c r="K225" s="275"/>
      <c r="L225" s="276"/>
    </row>
    <row r="226" spans="1:12" ht="13.5" x14ac:dyDescent="0.2">
      <c r="A226" s="534"/>
      <c r="B226" s="284"/>
      <c r="C226" s="285"/>
      <c r="D226" s="286"/>
      <c r="E226" s="534"/>
      <c r="F226" s="534"/>
      <c r="G226" s="295" t="s">
        <v>453</v>
      </c>
      <c r="H226" s="273"/>
      <c r="I226" s="28">
        <v>1</v>
      </c>
      <c r="J226" s="284"/>
      <c r="K226" s="285"/>
      <c r="L226" s="286"/>
    </row>
    <row r="227" spans="1:12" ht="13.5" x14ac:dyDescent="0.2">
      <c r="A227" s="534"/>
      <c r="B227" s="284"/>
      <c r="C227" s="285"/>
      <c r="D227" s="286"/>
      <c r="E227" s="534"/>
      <c r="F227" s="534"/>
      <c r="G227" s="295" t="s">
        <v>2583</v>
      </c>
      <c r="H227" s="273"/>
      <c r="I227" s="28">
        <v>2.25</v>
      </c>
      <c r="J227" s="284"/>
      <c r="K227" s="285"/>
      <c r="L227" s="286"/>
    </row>
    <row r="228" spans="1:12" ht="13.5" x14ac:dyDescent="0.2">
      <c r="A228" s="534"/>
      <c r="B228" s="284"/>
      <c r="C228" s="285"/>
      <c r="D228" s="286"/>
      <c r="E228" s="534"/>
      <c r="F228" s="534"/>
      <c r="G228" s="295" t="s">
        <v>2584</v>
      </c>
      <c r="H228" s="273"/>
      <c r="I228" s="28">
        <v>1.3</v>
      </c>
      <c r="J228" s="284"/>
      <c r="K228" s="285"/>
      <c r="L228" s="286"/>
    </row>
    <row r="229" spans="1:12" ht="13.5" x14ac:dyDescent="0.2">
      <c r="A229" s="534"/>
      <c r="B229" s="284"/>
      <c r="C229" s="285"/>
      <c r="D229" s="286"/>
      <c r="E229" s="534"/>
      <c r="F229" s="534"/>
      <c r="G229" s="295" t="s">
        <v>2585</v>
      </c>
      <c r="H229" s="273"/>
      <c r="I229" s="28">
        <v>0.05</v>
      </c>
      <c r="J229" s="284"/>
      <c r="K229" s="285"/>
      <c r="L229" s="286"/>
    </row>
    <row r="230" spans="1:12" ht="13.5" x14ac:dyDescent="0.2">
      <c r="A230" s="534"/>
      <c r="B230" s="284"/>
      <c r="C230" s="285"/>
      <c r="D230" s="286"/>
      <c r="E230" s="534"/>
      <c r="F230" s="534"/>
      <c r="G230" s="295" t="s">
        <v>2586</v>
      </c>
      <c r="H230" s="273"/>
      <c r="I230" s="28"/>
      <c r="J230" s="284"/>
      <c r="K230" s="285"/>
      <c r="L230" s="286"/>
    </row>
    <row r="231" spans="1:12" ht="13.5" x14ac:dyDescent="0.2">
      <c r="A231" s="534"/>
      <c r="B231" s="284"/>
      <c r="C231" s="285"/>
      <c r="D231" s="286"/>
      <c r="E231" s="534"/>
      <c r="F231" s="534"/>
      <c r="G231" s="295" t="s">
        <v>2587</v>
      </c>
      <c r="H231" s="273"/>
      <c r="I231" s="28"/>
      <c r="J231" s="284"/>
      <c r="K231" s="285"/>
      <c r="L231" s="286"/>
    </row>
    <row r="232" spans="1:12" ht="13.5" x14ac:dyDescent="0.2">
      <c r="A232" s="534"/>
      <c r="B232" s="284"/>
      <c r="C232" s="285"/>
      <c r="D232" s="286"/>
      <c r="E232" s="534"/>
      <c r="F232" s="534"/>
      <c r="G232" s="295" t="s">
        <v>2861</v>
      </c>
      <c r="H232" s="273"/>
      <c r="I232" s="28"/>
      <c r="J232" s="284"/>
      <c r="K232" s="285"/>
      <c r="L232" s="286"/>
    </row>
    <row r="233" spans="1:12" ht="13.5" x14ac:dyDescent="0.2">
      <c r="A233" s="281"/>
      <c r="B233" s="277"/>
      <c r="C233" s="278"/>
      <c r="D233" s="279"/>
      <c r="E233" s="281"/>
      <c r="F233" s="281"/>
      <c r="G233" s="295" t="s">
        <v>2862</v>
      </c>
      <c r="H233" s="273"/>
      <c r="I233" s="28"/>
      <c r="J233" s="277"/>
      <c r="K233" s="278"/>
      <c r="L233" s="279"/>
    </row>
    <row r="234" spans="1:12" ht="13.5" x14ac:dyDescent="0.25">
      <c r="A234" s="18"/>
      <c r="B234" s="18"/>
      <c r="C234" s="18"/>
      <c r="D234" s="18"/>
      <c r="E234" s="18"/>
      <c r="F234" s="18"/>
      <c r="G234" s="18"/>
      <c r="H234" s="18"/>
      <c r="I234" s="18"/>
      <c r="J234" s="18"/>
      <c r="K234" s="18"/>
      <c r="L234" s="18"/>
    </row>
    <row r="235" spans="1:12" x14ac:dyDescent="0.2">
      <c r="A235" s="287" t="s">
        <v>76</v>
      </c>
      <c r="B235" s="271"/>
      <c r="C235" s="271"/>
      <c r="D235" s="311"/>
      <c r="E235" s="16" t="s">
        <v>77</v>
      </c>
      <c r="F235" s="16" t="s">
        <v>78</v>
      </c>
      <c r="G235" s="532" t="s">
        <v>2576</v>
      </c>
      <c r="H235" s="482"/>
      <c r="I235" s="390" t="s">
        <v>2579</v>
      </c>
      <c r="J235" s="611"/>
      <c r="K235" s="611"/>
      <c r="L235" s="612"/>
    </row>
    <row r="236" spans="1:12" ht="13.5" x14ac:dyDescent="0.2">
      <c r="A236" s="542" t="s">
        <v>2863</v>
      </c>
      <c r="B236" s="535" t="s">
        <v>1309</v>
      </c>
      <c r="C236" s="275"/>
      <c r="D236" s="276"/>
      <c r="E236" s="542" t="s">
        <v>258</v>
      </c>
      <c r="F236" s="536">
        <f>+I236</f>
        <v>0.58500000000000008</v>
      </c>
      <c r="G236" s="295" t="s">
        <v>444</v>
      </c>
      <c r="H236" s="273"/>
      <c r="I236" s="9">
        <f>I237*I238*I239*I240</f>
        <v>0.58500000000000008</v>
      </c>
      <c r="J236" s="546"/>
      <c r="K236" s="275"/>
      <c r="L236" s="276"/>
    </row>
    <row r="237" spans="1:12" ht="13.5" x14ac:dyDescent="0.2">
      <c r="A237" s="534"/>
      <c r="B237" s="284"/>
      <c r="C237" s="285"/>
      <c r="D237" s="286"/>
      <c r="E237" s="534"/>
      <c r="F237" s="534"/>
      <c r="G237" s="295" t="s">
        <v>453</v>
      </c>
      <c r="H237" s="273"/>
      <c r="I237" s="28">
        <v>1</v>
      </c>
      <c r="J237" s="284"/>
      <c r="K237" s="285"/>
      <c r="L237" s="286"/>
    </row>
    <row r="238" spans="1:12" ht="13.5" x14ac:dyDescent="0.2">
      <c r="A238" s="534"/>
      <c r="B238" s="284"/>
      <c r="C238" s="285"/>
      <c r="D238" s="286"/>
      <c r="E238" s="534"/>
      <c r="F238" s="534"/>
      <c r="G238" s="295" t="s">
        <v>2583</v>
      </c>
      <c r="H238" s="273"/>
      <c r="I238" s="28">
        <v>2.25</v>
      </c>
      <c r="J238" s="284"/>
      <c r="K238" s="285"/>
      <c r="L238" s="286"/>
    </row>
    <row r="239" spans="1:12" ht="13.5" x14ac:dyDescent="0.2">
      <c r="A239" s="534"/>
      <c r="B239" s="284"/>
      <c r="C239" s="285"/>
      <c r="D239" s="286"/>
      <c r="E239" s="534"/>
      <c r="F239" s="534"/>
      <c r="G239" s="295" t="s">
        <v>2584</v>
      </c>
      <c r="H239" s="273"/>
      <c r="I239" s="28">
        <v>1.3</v>
      </c>
      <c r="J239" s="284"/>
      <c r="K239" s="285"/>
      <c r="L239" s="286"/>
    </row>
    <row r="240" spans="1:12" ht="13.5" x14ac:dyDescent="0.2">
      <c r="A240" s="534"/>
      <c r="B240" s="284"/>
      <c r="C240" s="285"/>
      <c r="D240" s="286"/>
      <c r="E240" s="534"/>
      <c r="F240" s="534"/>
      <c r="G240" s="295" t="s">
        <v>2585</v>
      </c>
      <c r="H240" s="273"/>
      <c r="I240" s="28">
        <v>0.2</v>
      </c>
      <c r="J240" s="284"/>
      <c r="K240" s="285"/>
      <c r="L240" s="286"/>
    </row>
    <row r="241" spans="1:12" ht="13.5" x14ac:dyDescent="0.2">
      <c r="A241" s="534"/>
      <c r="B241" s="284"/>
      <c r="C241" s="285"/>
      <c r="D241" s="286"/>
      <c r="E241" s="534"/>
      <c r="F241" s="534"/>
      <c r="G241" s="295" t="s">
        <v>2586</v>
      </c>
      <c r="H241" s="273"/>
      <c r="I241" s="28"/>
      <c r="J241" s="284"/>
      <c r="K241" s="285"/>
      <c r="L241" s="286"/>
    </row>
    <row r="242" spans="1:12" ht="13.5" x14ac:dyDescent="0.2">
      <c r="A242" s="534"/>
      <c r="B242" s="284"/>
      <c r="C242" s="285"/>
      <c r="D242" s="286"/>
      <c r="E242" s="534"/>
      <c r="F242" s="534"/>
      <c r="G242" s="295" t="s">
        <v>2587</v>
      </c>
      <c r="H242" s="273"/>
      <c r="I242" s="28"/>
      <c r="J242" s="284"/>
      <c r="K242" s="285"/>
      <c r="L242" s="286"/>
    </row>
    <row r="243" spans="1:12" ht="13.5" x14ac:dyDescent="0.2">
      <c r="A243" s="534"/>
      <c r="B243" s="284"/>
      <c r="C243" s="285"/>
      <c r="D243" s="286"/>
      <c r="E243" s="534"/>
      <c r="F243" s="534"/>
      <c r="G243" s="295" t="s">
        <v>2864</v>
      </c>
      <c r="H243" s="273"/>
      <c r="I243" s="28"/>
      <c r="J243" s="284"/>
      <c r="K243" s="285"/>
      <c r="L243" s="286"/>
    </row>
    <row r="244" spans="1:12" ht="13.5" x14ac:dyDescent="0.2">
      <c r="A244" s="281"/>
      <c r="B244" s="277"/>
      <c r="C244" s="278"/>
      <c r="D244" s="279"/>
      <c r="E244" s="281"/>
      <c r="F244" s="281"/>
      <c r="G244" s="295" t="s">
        <v>2865</v>
      </c>
      <c r="H244" s="273"/>
      <c r="I244" s="28"/>
      <c r="J244" s="277"/>
      <c r="K244" s="278"/>
      <c r="L244" s="279"/>
    </row>
    <row r="245" spans="1:12" ht="13.5" x14ac:dyDescent="0.25">
      <c r="A245" s="18"/>
      <c r="B245" s="18"/>
      <c r="C245" s="18"/>
      <c r="D245" s="18"/>
      <c r="E245" s="18"/>
      <c r="F245" s="18"/>
      <c r="G245" s="18"/>
      <c r="H245" s="18"/>
      <c r="I245" s="18"/>
      <c r="J245" s="18"/>
      <c r="K245" s="18"/>
      <c r="L245" s="18"/>
    </row>
    <row r="246" spans="1:12" x14ac:dyDescent="0.2">
      <c r="A246" s="287" t="s">
        <v>76</v>
      </c>
      <c r="B246" s="271"/>
      <c r="C246" s="271"/>
      <c r="D246" s="311"/>
      <c r="E246" s="16" t="s">
        <v>77</v>
      </c>
      <c r="F246" s="16" t="s">
        <v>78</v>
      </c>
      <c r="G246" s="532" t="s">
        <v>2576</v>
      </c>
      <c r="H246" s="482"/>
      <c r="I246" s="390" t="s">
        <v>2579</v>
      </c>
      <c r="J246" s="611"/>
      <c r="K246" s="611"/>
      <c r="L246" s="612"/>
    </row>
    <row r="247" spans="1:12" ht="13.5" x14ac:dyDescent="0.2">
      <c r="A247" s="542" t="s">
        <v>2866</v>
      </c>
      <c r="B247" s="535" t="s">
        <v>1332</v>
      </c>
      <c r="C247" s="275"/>
      <c r="D247" s="276"/>
      <c r="E247" s="542" t="s">
        <v>258</v>
      </c>
      <c r="F247" s="536">
        <f>+F214-I247</f>
        <v>0.93599999999999905</v>
      </c>
      <c r="G247" s="295" t="s">
        <v>444</v>
      </c>
      <c r="H247" s="273"/>
      <c r="I247" s="9">
        <f>I248*I249*I250*I251</f>
        <v>5.2650000000000006</v>
      </c>
      <c r="J247" s="546"/>
      <c r="K247" s="275"/>
      <c r="L247" s="276"/>
    </row>
    <row r="248" spans="1:12" ht="13.5" x14ac:dyDescent="0.2">
      <c r="A248" s="534"/>
      <c r="B248" s="284"/>
      <c r="C248" s="285"/>
      <c r="D248" s="286"/>
      <c r="E248" s="534"/>
      <c r="F248" s="534"/>
      <c r="G248" s="295" t="s">
        <v>453</v>
      </c>
      <c r="H248" s="273"/>
      <c r="I248" s="28">
        <v>1</v>
      </c>
      <c r="J248" s="284"/>
      <c r="K248" s="285"/>
      <c r="L248" s="286"/>
    </row>
    <row r="249" spans="1:12" ht="13.5" x14ac:dyDescent="0.2">
      <c r="A249" s="534"/>
      <c r="B249" s="284"/>
      <c r="C249" s="285"/>
      <c r="D249" s="286"/>
      <c r="E249" s="534"/>
      <c r="F249" s="534"/>
      <c r="G249" s="295" t="s">
        <v>2583</v>
      </c>
      <c r="H249" s="273"/>
      <c r="I249" s="28">
        <v>2.25</v>
      </c>
      <c r="J249" s="284"/>
      <c r="K249" s="285"/>
      <c r="L249" s="286"/>
    </row>
    <row r="250" spans="1:12" ht="13.5" x14ac:dyDescent="0.2">
      <c r="A250" s="534"/>
      <c r="B250" s="284"/>
      <c r="C250" s="285"/>
      <c r="D250" s="286"/>
      <c r="E250" s="534"/>
      <c r="F250" s="534"/>
      <c r="G250" s="295" t="s">
        <v>2584</v>
      </c>
      <c r="H250" s="273"/>
      <c r="I250" s="28">
        <v>1.3</v>
      </c>
      <c r="J250" s="284"/>
      <c r="K250" s="285"/>
      <c r="L250" s="286"/>
    </row>
    <row r="251" spans="1:12" ht="13.5" x14ac:dyDescent="0.2">
      <c r="A251" s="534"/>
      <c r="B251" s="284"/>
      <c r="C251" s="285"/>
      <c r="D251" s="286"/>
      <c r="E251" s="534"/>
      <c r="F251" s="534"/>
      <c r="G251" s="295" t="s">
        <v>2585</v>
      </c>
      <c r="H251" s="273"/>
      <c r="I251" s="28">
        <v>1.8</v>
      </c>
      <c r="J251" s="284"/>
      <c r="K251" s="285"/>
      <c r="L251" s="286"/>
    </row>
    <row r="252" spans="1:12" ht="13.5" x14ac:dyDescent="0.2">
      <c r="A252" s="534"/>
      <c r="B252" s="284"/>
      <c r="C252" s="285"/>
      <c r="D252" s="286"/>
      <c r="E252" s="534"/>
      <c r="F252" s="534"/>
      <c r="G252" s="295" t="s">
        <v>2586</v>
      </c>
      <c r="H252" s="273"/>
      <c r="I252" s="28"/>
      <c r="J252" s="284"/>
      <c r="K252" s="285"/>
      <c r="L252" s="286"/>
    </row>
    <row r="253" spans="1:12" ht="13.5" x14ac:dyDescent="0.2">
      <c r="A253" s="534"/>
      <c r="B253" s="284"/>
      <c r="C253" s="285"/>
      <c r="D253" s="286"/>
      <c r="E253" s="534"/>
      <c r="F253" s="534"/>
      <c r="G253" s="295" t="s">
        <v>2587</v>
      </c>
      <c r="H253" s="273"/>
      <c r="I253" s="28"/>
      <c r="J253" s="284"/>
      <c r="K253" s="285"/>
      <c r="L253" s="286"/>
    </row>
    <row r="254" spans="1:12" ht="13.5" x14ac:dyDescent="0.2">
      <c r="A254" s="534"/>
      <c r="B254" s="284"/>
      <c r="C254" s="285"/>
      <c r="D254" s="286"/>
      <c r="E254" s="534"/>
      <c r="F254" s="534"/>
      <c r="G254" s="295" t="s">
        <v>2867</v>
      </c>
      <c r="H254" s="273"/>
      <c r="I254" s="28"/>
      <c r="J254" s="284"/>
      <c r="K254" s="285"/>
      <c r="L254" s="286"/>
    </row>
    <row r="255" spans="1:12" ht="13.5" x14ac:dyDescent="0.2">
      <c r="A255" s="281"/>
      <c r="B255" s="277"/>
      <c r="C255" s="278"/>
      <c r="D255" s="279"/>
      <c r="E255" s="281"/>
      <c r="F255" s="281"/>
      <c r="G255" s="295" t="s">
        <v>2868</v>
      </c>
      <c r="H255" s="273"/>
      <c r="I255" s="28"/>
      <c r="J255" s="277"/>
      <c r="K255" s="278"/>
      <c r="L255" s="279"/>
    </row>
    <row r="256" spans="1:12" ht="13.5" x14ac:dyDescent="0.25">
      <c r="A256" s="18"/>
      <c r="B256" s="18"/>
      <c r="C256" s="18"/>
      <c r="D256" s="18"/>
      <c r="E256" s="18"/>
      <c r="F256" s="18"/>
      <c r="G256" s="18"/>
      <c r="H256" s="18"/>
      <c r="I256" s="18"/>
      <c r="J256" s="18"/>
      <c r="K256" s="18"/>
      <c r="L256" s="131"/>
    </row>
    <row r="257" spans="1:12" x14ac:dyDescent="0.2">
      <c r="A257" s="287" t="s">
        <v>76</v>
      </c>
      <c r="B257" s="271"/>
      <c r="C257" s="271"/>
      <c r="D257" s="311"/>
      <c r="E257" s="16" t="s">
        <v>77</v>
      </c>
      <c r="F257" s="16" t="s">
        <v>78</v>
      </c>
      <c r="G257" s="532" t="s">
        <v>2576</v>
      </c>
      <c r="H257" s="482"/>
      <c r="I257" s="390" t="s">
        <v>2579</v>
      </c>
      <c r="J257" s="611"/>
      <c r="K257" s="611"/>
      <c r="L257" s="612"/>
    </row>
    <row r="258" spans="1:12" ht="13.5" x14ac:dyDescent="0.2">
      <c r="A258" s="542" t="s">
        <v>2869</v>
      </c>
      <c r="B258" s="535" t="s">
        <v>1312</v>
      </c>
      <c r="C258" s="275"/>
      <c r="D258" s="276"/>
      <c r="E258" s="542" t="s">
        <v>934</v>
      </c>
      <c r="F258" s="536">
        <f>+I258</f>
        <v>2.19</v>
      </c>
      <c r="G258" s="295" t="s">
        <v>444</v>
      </c>
      <c r="H258" s="273"/>
      <c r="I258" s="9">
        <f>I259*I266</f>
        <v>2.19</v>
      </c>
      <c r="J258" s="546"/>
      <c r="K258" s="275"/>
      <c r="L258" s="276"/>
    </row>
    <row r="259" spans="1:12" ht="13.5" x14ac:dyDescent="0.2">
      <c r="A259" s="534"/>
      <c r="B259" s="284"/>
      <c r="C259" s="285"/>
      <c r="D259" s="286"/>
      <c r="E259" s="534"/>
      <c r="F259" s="534"/>
      <c r="G259" s="295" t="s">
        <v>453</v>
      </c>
      <c r="H259" s="273"/>
      <c r="I259" s="28">
        <v>1</v>
      </c>
      <c r="J259" s="284"/>
      <c r="K259" s="285"/>
      <c r="L259" s="286"/>
    </row>
    <row r="260" spans="1:12" ht="13.5" x14ac:dyDescent="0.2">
      <c r="A260" s="534"/>
      <c r="B260" s="284"/>
      <c r="C260" s="285"/>
      <c r="D260" s="286"/>
      <c r="E260" s="534"/>
      <c r="F260" s="534"/>
      <c r="G260" s="295" t="s">
        <v>2583</v>
      </c>
      <c r="H260" s="273"/>
      <c r="I260" s="28"/>
      <c r="J260" s="284"/>
      <c r="K260" s="285"/>
      <c r="L260" s="286"/>
    </row>
    <row r="261" spans="1:12" ht="13.5" x14ac:dyDescent="0.2">
      <c r="A261" s="534"/>
      <c r="B261" s="284"/>
      <c r="C261" s="285"/>
      <c r="D261" s="286"/>
      <c r="E261" s="534"/>
      <c r="F261" s="534"/>
      <c r="G261" s="295" t="s">
        <v>2584</v>
      </c>
      <c r="H261" s="273"/>
      <c r="I261" s="28"/>
      <c r="J261" s="284"/>
      <c r="K261" s="285"/>
      <c r="L261" s="286"/>
    </row>
    <row r="262" spans="1:12" ht="13.5" x14ac:dyDescent="0.2">
      <c r="A262" s="534"/>
      <c r="B262" s="284"/>
      <c r="C262" s="285"/>
      <c r="D262" s="286"/>
      <c r="E262" s="534"/>
      <c r="F262" s="534"/>
      <c r="G262" s="295" t="s">
        <v>2585</v>
      </c>
      <c r="H262" s="273"/>
      <c r="I262" s="28"/>
      <c r="J262" s="284"/>
      <c r="K262" s="285"/>
      <c r="L262" s="286"/>
    </row>
    <row r="263" spans="1:12" ht="13.5" x14ac:dyDescent="0.2">
      <c r="A263" s="534"/>
      <c r="B263" s="284"/>
      <c r="C263" s="285"/>
      <c r="D263" s="286"/>
      <c r="E263" s="534"/>
      <c r="F263" s="534"/>
      <c r="G263" s="295" t="s">
        <v>2586</v>
      </c>
      <c r="H263" s="273"/>
      <c r="I263" s="28"/>
      <c r="J263" s="284"/>
      <c r="K263" s="285"/>
      <c r="L263" s="286"/>
    </row>
    <row r="264" spans="1:12" ht="13.5" x14ac:dyDescent="0.2">
      <c r="A264" s="534"/>
      <c r="B264" s="284"/>
      <c r="C264" s="285"/>
      <c r="D264" s="286"/>
      <c r="E264" s="534"/>
      <c r="F264" s="534"/>
      <c r="G264" s="295" t="s">
        <v>2587</v>
      </c>
      <c r="H264" s="273"/>
      <c r="I264" s="28"/>
      <c r="J264" s="284"/>
      <c r="K264" s="285"/>
      <c r="L264" s="286"/>
    </row>
    <row r="265" spans="1:12" ht="13.5" x14ac:dyDescent="0.2">
      <c r="A265" s="534"/>
      <c r="B265" s="284"/>
      <c r="C265" s="285"/>
      <c r="D265" s="286"/>
      <c r="E265" s="534"/>
      <c r="F265" s="534"/>
      <c r="G265" s="295" t="s">
        <v>2870</v>
      </c>
      <c r="H265" s="273"/>
      <c r="I265" s="28"/>
      <c r="J265" s="284"/>
      <c r="K265" s="285"/>
      <c r="L265" s="286"/>
    </row>
    <row r="266" spans="1:12" ht="13.5" x14ac:dyDescent="0.2">
      <c r="A266" s="281"/>
      <c r="B266" s="277"/>
      <c r="C266" s="278"/>
      <c r="D266" s="279"/>
      <c r="E266" s="281"/>
      <c r="F266" s="281"/>
      <c r="G266" s="295" t="s">
        <v>2871</v>
      </c>
      <c r="H266" s="273"/>
      <c r="I266" s="28">
        <v>2.19</v>
      </c>
      <c r="J266" s="277"/>
      <c r="K266" s="278"/>
      <c r="L266" s="279"/>
    </row>
    <row r="267" spans="1:12" ht="13.5" x14ac:dyDescent="0.25">
      <c r="A267" s="18"/>
      <c r="B267" s="18"/>
      <c r="C267" s="18"/>
      <c r="D267" s="18"/>
      <c r="E267" s="18"/>
      <c r="F267" s="18"/>
      <c r="G267" s="18"/>
      <c r="H267" s="18"/>
      <c r="I267" s="18"/>
      <c r="J267" s="18"/>
      <c r="K267" s="18"/>
      <c r="L267" s="18"/>
    </row>
    <row r="268" spans="1:12" x14ac:dyDescent="0.2">
      <c r="A268" s="287" t="s">
        <v>76</v>
      </c>
      <c r="B268" s="271"/>
      <c r="C268" s="271"/>
      <c r="D268" s="311"/>
      <c r="E268" s="16" t="s">
        <v>77</v>
      </c>
      <c r="F268" s="16" t="s">
        <v>78</v>
      </c>
      <c r="G268" s="532" t="s">
        <v>2576</v>
      </c>
      <c r="H268" s="482"/>
      <c r="I268" s="390" t="s">
        <v>2579</v>
      </c>
      <c r="J268" s="611"/>
      <c r="K268" s="611"/>
      <c r="L268" s="612"/>
    </row>
    <row r="269" spans="1:12" ht="13.5" x14ac:dyDescent="0.2">
      <c r="A269" s="542" t="s">
        <v>2872</v>
      </c>
      <c r="B269" s="535" t="s">
        <v>2819</v>
      </c>
      <c r="C269" s="275"/>
      <c r="D269" s="276"/>
      <c r="E269" s="542" t="s">
        <v>934</v>
      </c>
      <c r="F269" s="536">
        <f>+I269</f>
        <v>23.584000000000003</v>
      </c>
      <c r="G269" s="295" t="s">
        <v>444</v>
      </c>
      <c r="H269" s="273"/>
      <c r="I269" s="9">
        <f>I270*I273*I275</f>
        <v>23.584000000000003</v>
      </c>
      <c r="J269" s="546"/>
      <c r="K269" s="275"/>
      <c r="L269" s="276"/>
    </row>
    <row r="270" spans="1:12" ht="13.5" x14ac:dyDescent="0.2">
      <c r="A270" s="534"/>
      <c r="B270" s="284"/>
      <c r="C270" s="285"/>
      <c r="D270" s="286"/>
      <c r="E270" s="534"/>
      <c r="F270" s="534"/>
      <c r="G270" s="295" t="s">
        <v>453</v>
      </c>
      <c r="H270" s="273"/>
      <c r="I270" s="28">
        <v>1</v>
      </c>
      <c r="J270" s="284"/>
      <c r="K270" s="285"/>
      <c r="L270" s="286"/>
    </row>
    <row r="271" spans="1:12" ht="13.5" x14ac:dyDescent="0.2">
      <c r="A271" s="534"/>
      <c r="B271" s="284"/>
      <c r="C271" s="285"/>
      <c r="D271" s="286"/>
      <c r="E271" s="534"/>
      <c r="F271" s="534"/>
      <c r="G271" s="295" t="s">
        <v>2583</v>
      </c>
      <c r="H271" s="273"/>
      <c r="I271" s="28"/>
      <c r="J271" s="284"/>
      <c r="K271" s="285"/>
      <c r="L271" s="286"/>
    </row>
    <row r="272" spans="1:12" ht="13.5" x14ac:dyDescent="0.2">
      <c r="A272" s="534"/>
      <c r="B272" s="284"/>
      <c r="C272" s="285"/>
      <c r="D272" s="286"/>
      <c r="E272" s="534"/>
      <c r="F272" s="534"/>
      <c r="G272" s="295" t="s">
        <v>2584</v>
      </c>
      <c r="H272" s="273"/>
      <c r="I272" s="28"/>
      <c r="J272" s="284"/>
      <c r="K272" s="285"/>
      <c r="L272" s="286"/>
    </row>
    <row r="273" spans="1:12" ht="13.5" x14ac:dyDescent="0.2">
      <c r="A273" s="534"/>
      <c r="B273" s="284"/>
      <c r="C273" s="285"/>
      <c r="D273" s="286"/>
      <c r="E273" s="534"/>
      <c r="F273" s="534"/>
      <c r="G273" s="295" t="s">
        <v>2585</v>
      </c>
      <c r="H273" s="273"/>
      <c r="I273" s="28">
        <v>1.6</v>
      </c>
      <c r="J273" s="284"/>
      <c r="K273" s="285"/>
      <c r="L273" s="286"/>
    </row>
    <row r="274" spans="1:12" ht="13.5" x14ac:dyDescent="0.2">
      <c r="A274" s="534"/>
      <c r="B274" s="284"/>
      <c r="C274" s="285"/>
      <c r="D274" s="286"/>
      <c r="E274" s="534"/>
      <c r="F274" s="534"/>
      <c r="G274" s="295" t="s">
        <v>2586</v>
      </c>
      <c r="H274" s="273"/>
      <c r="I274" s="28"/>
      <c r="J274" s="284"/>
      <c r="K274" s="285"/>
      <c r="L274" s="286"/>
    </row>
    <row r="275" spans="1:12" ht="13.5" x14ac:dyDescent="0.2">
      <c r="A275" s="534"/>
      <c r="B275" s="284"/>
      <c r="C275" s="285"/>
      <c r="D275" s="286"/>
      <c r="E275" s="534"/>
      <c r="F275" s="534"/>
      <c r="G275" s="295" t="s">
        <v>2587</v>
      </c>
      <c r="H275" s="273"/>
      <c r="I275" s="28">
        <f>7.14+4+3.6</f>
        <v>14.74</v>
      </c>
      <c r="J275" s="284"/>
      <c r="K275" s="285"/>
      <c r="L275" s="286"/>
    </row>
    <row r="276" spans="1:12" ht="13.5" x14ac:dyDescent="0.2">
      <c r="A276" s="534"/>
      <c r="B276" s="284"/>
      <c r="C276" s="285"/>
      <c r="D276" s="286"/>
      <c r="E276" s="534"/>
      <c r="F276" s="534"/>
      <c r="G276" s="295" t="s">
        <v>2873</v>
      </c>
      <c r="H276" s="273"/>
      <c r="I276" s="28"/>
      <c r="J276" s="284"/>
      <c r="K276" s="285"/>
      <c r="L276" s="286"/>
    </row>
    <row r="277" spans="1:12" ht="13.5" x14ac:dyDescent="0.2">
      <c r="A277" s="281"/>
      <c r="B277" s="277"/>
      <c r="C277" s="278"/>
      <c r="D277" s="279"/>
      <c r="E277" s="281"/>
      <c r="F277" s="281"/>
      <c r="G277" s="295" t="s">
        <v>2874</v>
      </c>
      <c r="H277" s="273"/>
      <c r="I277" s="28"/>
      <c r="J277" s="277"/>
      <c r="K277" s="278"/>
      <c r="L277" s="279"/>
    </row>
    <row r="278" spans="1:12" ht="13.5" x14ac:dyDescent="0.2">
      <c r="A278" s="32"/>
      <c r="B278" s="32"/>
      <c r="C278" s="32"/>
      <c r="D278" s="32"/>
      <c r="E278" s="32"/>
      <c r="F278" s="32"/>
      <c r="G278" s="32"/>
      <c r="H278" s="32"/>
      <c r="I278" s="32"/>
      <c r="J278" s="130"/>
      <c r="K278" s="130"/>
      <c r="L278" s="32"/>
    </row>
    <row r="279" spans="1:12" x14ac:dyDescent="0.2">
      <c r="A279" s="287" t="s">
        <v>76</v>
      </c>
      <c r="B279" s="271"/>
      <c r="C279" s="271"/>
      <c r="D279" s="311"/>
      <c r="E279" s="16" t="s">
        <v>77</v>
      </c>
      <c r="F279" s="16" t="s">
        <v>78</v>
      </c>
      <c r="G279" s="532" t="s">
        <v>2576</v>
      </c>
      <c r="H279" s="482"/>
      <c r="I279" s="390" t="s">
        <v>2579</v>
      </c>
      <c r="J279" s="611"/>
      <c r="K279" s="611"/>
      <c r="L279" s="612"/>
    </row>
    <row r="280" spans="1:12" ht="13.5" x14ac:dyDescent="0.2">
      <c r="A280" s="542" t="s">
        <v>2875</v>
      </c>
      <c r="B280" s="638" t="s">
        <v>2876</v>
      </c>
      <c r="C280" s="275"/>
      <c r="D280" s="276"/>
      <c r="E280" s="542" t="s">
        <v>934</v>
      </c>
      <c r="F280" s="536">
        <f>+I280</f>
        <v>2.9250000000000003</v>
      </c>
      <c r="G280" s="295" t="s">
        <v>444</v>
      </c>
      <c r="H280" s="273"/>
      <c r="I280" s="9">
        <f>I281*I282*I283</f>
        <v>2.9250000000000003</v>
      </c>
      <c r="J280" s="546"/>
      <c r="K280" s="275"/>
      <c r="L280" s="276"/>
    </row>
    <row r="281" spans="1:12" ht="13.5" x14ac:dyDescent="0.2">
      <c r="A281" s="534"/>
      <c r="B281" s="284"/>
      <c r="C281" s="285"/>
      <c r="D281" s="286"/>
      <c r="E281" s="534"/>
      <c r="F281" s="534"/>
      <c r="G281" s="295" t="s">
        <v>453</v>
      </c>
      <c r="H281" s="273"/>
      <c r="I281" s="28">
        <v>1</v>
      </c>
      <c r="J281" s="284"/>
      <c r="K281" s="285"/>
      <c r="L281" s="286"/>
    </row>
    <row r="282" spans="1:12" ht="13.5" x14ac:dyDescent="0.2">
      <c r="A282" s="534"/>
      <c r="B282" s="284"/>
      <c r="C282" s="285"/>
      <c r="D282" s="286"/>
      <c r="E282" s="534"/>
      <c r="F282" s="534"/>
      <c r="G282" s="295" t="s">
        <v>2583</v>
      </c>
      <c r="H282" s="273"/>
      <c r="I282" s="28">
        <v>2.25</v>
      </c>
      <c r="J282" s="284"/>
      <c r="K282" s="285"/>
      <c r="L282" s="286"/>
    </row>
    <row r="283" spans="1:12" ht="13.5" x14ac:dyDescent="0.2">
      <c r="A283" s="534"/>
      <c r="B283" s="284"/>
      <c r="C283" s="285"/>
      <c r="D283" s="286"/>
      <c r="E283" s="534"/>
      <c r="F283" s="534"/>
      <c r="G283" s="295" t="s">
        <v>2584</v>
      </c>
      <c r="H283" s="273"/>
      <c r="I283" s="28">
        <v>1.3</v>
      </c>
      <c r="J283" s="284"/>
      <c r="K283" s="285"/>
      <c r="L283" s="286"/>
    </row>
    <row r="284" spans="1:12" ht="13.5" x14ac:dyDescent="0.2">
      <c r="A284" s="534"/>
      <c r="B284" s="284"/>
      <c r="C284" s="285"/>
      <c r="D284" s="286"/>
      <c r="E284" s="534"/>
      <c r="F284" s="534"/>
      <c r="G284" s="295" t="s">
        <v>2585</v>
      </c>
      <c r="H284" s="273"/>
      <c r="I284" s="28"/>
      <c r="J284" s="284"/>
      <c r="K284" s="285"/>
      <c r="L284" s="286"/>
    </row>
    <row r="285" spans="1:12" ht="13.5" x14ac:dyDescent="0.2">
      <c r="A285" s="534"/>
      <c r="B285" s="284"/>
      <c r="C285" s="285"/>
      <c r="D285" s="286"/>
      <c r="E285" s="534"/>
      <c r="F285" s="534"/>
      <c r="G285" s="295" t="s">
        <v>2586</v>
      </c>
      <c r="H285" s="273"/>
      <c r="I285" s="28"/>
      <c r="J285" s="284"/>
      <c r="K285" s="285"/>
      <c r="L285" s="286"/>
    </row>
    <row r="286" spans="1:12" ht="13.5" x14ac:dyDescent="0.2">
      <c r="A286" s="534"/>
      <c r="B286" s="284"/>
      <c r="C286" s="285"/>
      <c r="D286" s="286"/>
      <c r="E286" s="534"/>
      <c r="F286" s="534"/>
      <c r="G286" s="295" t="s">
        <v>2587</v>
      </c>
      <c r="H286" s="273"/>
      <c r="I286" s="28"/>
      <c r="J286" s="284"/>
      <c r="K286" s="285"/>
      <c r="L286" s="286"/>
    </row>
    <row r="287" spans="1:12" ht="13.5" x14ac:dyDescent="0.2">
      <c r="A287" s="534"/>
      <c r="B287" s="284"/>
      <c r="C287" s="285"/>
      <c r="D287" s="286"/>
      <c r="E287" s="534"/>
      <c r="F287" s="534"/>
      <c r="G287" s="295" t="s">
        <v>2877</v>
      </c>
      <c r="H287" s="273"/>
      <c r="I287" s="28"/>
      <c r="J287" s="284"/>
      <c r="K287" s="285"/>
      <c r="L287" s="286"/>
    </row>
    <row r="288" spans="1:12" ht="13.5" x14ac:dyDescent="0.2">
      <c r="A288" s="281"/>
      <c r="B288" s="277"/>
      <c r="C288" s="278"/>
      <c r="D288" s="279"/>
      <c r="E288" s="281"/>
      <c r="F288" s="281"/>
      <c r="G288" s="295" t="s">
        <v>2878</v>
      </c>
      <c r="H288" s="273"/>
      <c r="I288" s="28"/>
      <c r="J288" s="277"/>
      <c r="K288" s="278"/>
      <c r="L288" s="279"/>
    </row>
    <row r="289" spans="1:12" ht="13.5" x14ac:dyDescent="0.25">
      <c r="A289" s="32"/>
      <c r="B289" s="18"/>
      <c r="C289" s="132"/>
      <c r="D289" s="132"/>
      <c r="E289" s="132"/>
      <c r="F289" s="132"/>
      <c r="G289" s="133"/>
      <c r="H289" s="32"/>
      <c r="I289" s="32"/>
      <c r="J289" s="130"/>
      <c r="K289" s="130"/>
      <c r="L289" s="32"/>
    </row>
    <row r="290" spans="1:12" x14ac:dyDescent="0.2">
      <c r="A290" s="287" t="s">
        <v>76</v>
      </c>
      <c r="B290" s="271"/>
      <c r="C290" s="271"/>
      <c r="D290" s="311"/>
      <c r="E290" s="16" t="s">
        <v>77</v>
      </c>
      <c r="F290" s="16" t="s">
        <v>78</v>
      </c>
      <c r="G290" s="532" t="s">
        <v>2576</v>
      </c>
      <c r="H290" s="482"/>
      <c r="I290" s="390" t="s">
        <v>2579</v>
      </c>
      <c r="J290" s="611"/>
      <c r="K290" s="611"/>
      <c r="L290" s="612"/>
    </row>
    <row r="291" spans="1:12" ht="13.5" x14ac:dyDescent="0.2">
      <c r="A291" s="542" t="s">
        <v>2879</v>
      </c>
      <c r="B291" s="535" t="s">
        <v>1311</v>
      </c>
      <c r="C291" s="275"/>
      <c r="D291" s="276"/>
      <c r="E291" s="542" t="s">
        <v>969</v>
      </c>
      <c r="F291" s="536">
        <f>+I291</f>
        <v>165.46</v>
      </c>
      <c r="G291" s="295" t="s">
        <v>444</v>
      </c>
      <c r="H291" s="273"/>
      <c r="I291" s="9">
        <f>I292*I296</f>
        <v>165.46</v>
      </c>
      <c r="J291" s="546"/>
      <c r="K291" s="275"/>
      <c r="L291" s="276"/>
    </row>
    <row r="292" spans="1:12" ht="13.5" x14ac:dyDescent="0.2">
      <c r="A292" s="534"/>
      <c r="B292" s="284"/>
      <c r="C292" s="285"/>
      <c r="D292" s="286"/>
      <c r="E292" s="534"/>
      <c r="F292" s="534"/>
      <c r="G292" s="295" t="s">
        <v>453</v>
      </c>
      <c r="H292" s="273"/>
      <c r="I292" s="28">
        <v>1</v>
      </c>
      <c r="J292" s="284"/>
      <c r="K292" s="285"/>
      <c r="L292" s="286"/>
    </row>
    <row r="293" spans="1:12" ht="13.5" x14ac:dyDescent="0.2">
      <c r="A293" s="534"/>
      <c r="B293" s="284"/>
      <c r="C293" s="285"/>
      <c r="D293" s="286"/>
      <c r="E293" s="534"/>
      <c r="F293" s="534"/>
      <c r="G293" s="295" t="s">
        <v>2583</v>
      </c>
      <c r="H293" s="273"/>
      <c r="I293" s="28"/>
      <c r="J293" s="284"/>
      <c r="K293" s="285"/>
      <c r="L293" s="286"/>
    </row>
    <row r="294" spans="1:12" ht="13.5" x14ac:dyDescent="0.2">
      <c r="A294" s="534"/>
      <c r="B294" s="284"/>
      <c r="C294" s="285"/>
      <c r="D294" s="286"/>
      <c r="E294" s="534"/>
      <c r="F294" s="534"/>
      <c r="G294" s="295" t="s">
        <v>2584</v>
      </c>
      <c r="H294" s="273"/>
      <c r="I294" s="28"/>
      <c r="J294" s="284"/>
      <c r="K294" s="285"/>
      <c r="L294" s="286"/>
    </row>
    <row r="295" spans="1:12" ht="13.5" x14ac:dyDescent="0.2">
      <c r="A295" s="534"/>
      <c r="B295" s="284"/>
      <c r="C295" s="285"/>
      <c r="D295" s="286"/>
      <c r="E295" s="534"/>
      <c r="F295" s="534"/>
      <c r="G295" s="295" t="s">
        <v>2585</v>
      </c>
      <c r="H295" s="273"/>
      <c r="I295" s="28"/>
      <c r="J295" s="284"/>
      <c r="K295" s="285"/>
      <c r="L295" s="286"/>
    </row>
    <row r="296" spans="1:12" ht="13.5" x14ac:dyDescent="0.2">
      <c r="A296" s="534"/>
      <c r="B296" s="284"/>
      <c r="C296" s="285"/>
      <c r="D296" s="286"/>
      <c r="E296" s="534"/>
      <c r="F296" s="534"/>
      <c r="G296" s="295" t="s">
        <v>2586</v>
      </c>
      <c r="H296" s="273"/>
      <c r="I296" s="28">
        <v>165.46</v>
      </c>
      <c r="J296" s="284"/>
      <c r="K296" s="285"/>
      <c r="L296" s="286"/>
    </row>
    <row r="297" spans="1:12" ht="13.5" x14ac:dyDescent="0.2">
      <c r="A297" s="534"/>
      <c r="B297" s="284"/>
      <c r="C297" s="285"/>
      <c r="D297" s="286"/>
      <c r="E297" s="534"/>
      <c r="F297" s="534"/>
      <c r="G297" s="295" t="s">
        <v>2587</v>
      </c>
      <c r="H297" s="273"/>
      <c r="I297" s="28"/>
      <c r="J297" s="284"/>
      <c r="K297" s="285"/>
      <c r="L297" s="286"/>
    </row>
    <row r="298" spans="1:12" ht="13.5" x14ac:dyDescent="0.2">
      <c r="A298" s="534"/>
      <c r="B298" s="284"/>
      <c r="C298" s="285"/>
      <c r="D298" s="286"/>
      <c r="E298" s="534"/>
      <c r="F298" s="534"/>
      <c r="G298" s="295" t="s">
        <v>2880</v>
      </c>
      <c r="H298" s="273"/>
      <c r="I298" s="28"/>
      <c r="J298" s="284"/>
      <c r="K298" s="285"/>
      <c r="L298" s="286"/>
    </row>
    <row r="299" spans="1:12" ht="13.5" x14ac:dyDescent="0.2">
      <c r="A299" s="281"/>
      <c r="B299" s="277"/>
      <c r="C299" s="278"/>
      <c r="D299" s="279"/>
      <c r="E299" s="281"/>
      <c r="F299" s="281"/>
      <c r="G299" s="295" t="s">
        <v>2881</v>
      </c>
      <c r="H299" s="273"/>
      <c r="I299" s="28"/>
      <c r="J299" s="277"/>
      <c r="K299" s="278"/>
      <c r="L299" s="279"/>
    </row>
    <row r="300" spans="1:12" ht="13.5" x14ac:dyDescent="0.2">
      <c r="A300" s="32"/>
      <c r="B300" s="32"/>
      <c r="C300" s="32"/>
      <c r="D300" s="32"/>
      <c r="E300" s="32"/>
      <c r="F300" s="32"/>
      <c r="G300" s="32"/>
      <c r="H300" s="32"/>
      <c r="I300" s="32"/>
      <c r="J300" s="130"/>
      <c r="K300" s="130"/>
      <c r="L300" s="32"/>
    </row>
    <row r="301" spans="1:12" x14ac:dyDescent="0.2">
      <c r="A301" s="287" t="s">
        <v>76</v>
      </c>
      <c r="B301" s="271"/>
      <c r="C301" s="271"/>
      <c r="D301" s="311"/>
      <c r="E301" s="16" t="s">
        <v>77</v>
      </c>
      <c r="F301" s="16" t="s">
        <v>78</v>
      </c>
      <c r="G301" s="532" t="s">
        <v>2576</v>
      </c>
      <c r="H301" s="482"/>
      <c r="I301" s="390" t="s">
        <v>2579</v>
      </c>
      <c r="J301" s="611"/>
      <c r="K301" s="611"/>
      <c r="L301" s="612"/>
    </row>
    <row r="302" spans="1:12" ht="13.5" x14ac:dyDescent="0.2">
      <c r="A302" s="542" t="s">
        <v>2882</v>
      </c>
      <c r="B302" s="535" t="s">
        <v>1322</v>
      </c>
      <c r="C302" s="275"/>
      <c r="D302" s="276"/>
      <c r="E302" s="542" t="s">
        <v>999</v>
      </c>
      <c r="F302" s="536">
        <f>+I302</f>
        <v>9.7000000000000011</v>
      </c>
      <c r="G302" s="295" t="s">
        <v>444</v>
      </c>
      <c r="H302" s="273"/>
      <c r="I302" s="9">
        <f>I303*I308</f>
        <v>9.7000000000000011</v>
      </c>
      <c r="J302" s="546"/>
      <c r="K302" s="275"/>
      <c r="L302" s="276"/>
    </row>
    <row r="303" spans="1:12" ht="13.5" x14ac:dyDescent="0.2">
      <c r="A303" s="534"/>
      <c r="B303" s="284"/>
      <c r="C303" s="285"/>
      <c r="D303" s="286"/>
      <c r="E303" s="534"/>
      <c r="F303" s="534"/>
      <c r="G303" s="295" t="s">
        <v>453</v>
      </c>
      <c r="H303" s="273"/>
      <c r="I303" s="28">
        <v>1</v>
      </c>
      <c r="J303" s="284"/>
      <c r="K303" s="285"/>
      <c r="L303" s="286"/>
    </row>
    <row r="304" spans="1:12" ht="13.5" x14ac:dyDescent="0.2">
      <c r="A304" s="534"/>
      <c r="B304" s="284"/>
      <c r="C304" s="285"/>
      <c r="D304" s="286"/>
      <c r="E304" s="534"/>
      <c r="F304" s="534"/>
      <c r="G304" s="295" t="s">
        <v>2583</v>
      </c>
      <c r="H304" s="273"/>
      <c r="I304" s="28">
        <f>1.3+1.1</f>
        <v>2.4000000000000004</v>
      </c>
      <c r="J304" s="284"/>
      <c r="K304" s="285"/>
      <c r="L304" s="286"/>
    </row>
    <row r="305" spans="1:12" ht="13.5" x14ac:dyDescent="0.2">
      <c r="A305" s="534"/>
      <c r="B305" s="284"/>
      <c r="C305" s="285"/>
      <c r="D305" s="286"/>
      <c r="E305" s="534"/>
      <c r="F305" s="534"/>
      <c r="G305" s="295" t="s">
        <v>2584</v>
      </c>
      <c r="H305" s="273"/>
      <c r="I305" s="28">
        <f>1.3+1.15</f>
        <v>2.4500000000000002</v>
      </c>
      <c r="J305" s="284"/>
      <c r="K305" s="285"/>
      <c r="L305" s="286"/>
    </row>
    <row r="306" spans="1:12" ht="13.5" x14ac:dyDescent="0.2">
      <c r="A306" s="534"/>
      <c r="B306" s="284"/>
      <c r="C306" s="285"/>
      <c r="D306" s="286"/>
      <c r="E306" s="534"/>
      <c r="F306" s="534"/>
      <c r="G306" s="295" t="s">
        <v>2585</v>
      </c>
      <c r="H306" s="273"/>
      <c r="I306" s="28"/>
      <c r="J306" s="284"/>
      <c r="K306" s="285"/>
      <c r="L306" s="286"/>
    </row>
    <row r="307" spans="1:12" ht="13.5" x14ac:dyDescent="0.2">
      <c r="A307" s="534"/>
      <c r="B307" s="284"/>
      <c r="C307" s="285"/>
      <c r="D307" s="286"/>
      <c r="E307" s="534"/>
      <c r="F307" s="534"/>
      <c r="G307" s="295" t="s">
        <v>2586</v>
      </c>
      <c r="H307" s="273"/>
      <c r="I307" s="28"/>
      <c r="J307" s="284"/>
      <c r="K307" s="285"/>
      <c r="L307" s="286"/>
    </row>
    <row r="308" spans="1:12" ht="13.5" x14ac:dyDescent="0.2">
      <c r="A308" s="534"/>
      <c r="B308" s="284"/>
      <c r="C308" s="285"/>
      <c r="D308" s="286"/>
      <c r="E308" s="534"/>
      <c r="F308" s="534"/>
      <c r="G308" s="295" t="s">
        <v>2587</v>
      </c>
      <c r="H308" s="273"/>
      <c r="I308" s="28">
        <f>(+I304+I305)*2</f>
        <v>9.7000000000000011</v>
      </c>
      <c r="J308" s="284"/>
      <c r="K308" s="285"/>
      <c r="L308" s="286"/>
    </row>
    <row r="309" spans="1:12" ht="13.5" x14ac:dyDescent="0.2">
      <c r="A309" s="534"/>
      <c r="B309" s="284"/>
      <c r="C309" s="285"/>
      <c r="D309" s="286"/>
      <c r="E309" s="534"/>
      <c r="F309" s="534"/>
      <c r="G309" s="295" t="s">
        <v>2883</v>
      </c>
      <c r="H309" s="273"/>
      <c r="I309" s="28"/>
      <c r="J309" s="284"/>
      <c r="K309" s="285"/>
      <c r="L309" s="286"/>
    </row>
    <row r="310" spans="1:12" ht="13.5" x14ac:dyDescent="0.2">
      <c r="A310" s="281"/>
      <c r="B310" s="277"/>
      <c r="C310" s="278"/>
      <c r="D310" s="279"/>
      <c r="E310" s="281"/>
      <c r="F310" s="281"/>
      <c r="G310" s="295" t="s">
        <v>2884</v>
      </c>
      <c r="H310" s="273"/>
      <c r="I310" s="28"/>
      <c r="J310" s="277"/>
      <c r="K310" s="278"/>
      <c r="L310" s="279"/>
    </row>
    <row r="311" spans="1:12" ht="13.5" x14ac:dyDescent="0.2">
      <c r="A311" s="32"/>
      <c r="B311" s="32"/>
      <c r="C311" s="32"/>
      <c r="D311" s="32"/>
      <c r="E311" s="32"/>
      <c r="F311" s="32"/>
      <c r="G311" s="32"/>
      <c r="H311" s="32"/>
      <c r="I311" s="32"/>
      <c r="J311" s="130"/>
      <c r="K311" s="130"/>
      <c r="L311" s="32"/>
    </row>
    <row r="312" spans="1:12" x14ac:dyDescent="0.2">
      <c r="A312" s="287" t="s">
        <v>76</v>
      </c>
      <c r="B312" s="271"/>
      <c r="C312" s="271"/>
      <c r="D312" s="311"/>
      <c r="E312" s="16" t="s">
        <v>77</v>
      </c>
      <c r="F312" s="16" t="s">
        <v>78</v>
      </c>
      <c r="G312" s="532" t="s">
        <v>2576</v>
      </c>
      <c r="H312" s="482"/>
      <c r="I312" s="390" t="s">
        <v>2579</v>
      </c>
      <c r="J312" s="611"/>
      <c r="K312" s="611"/>
      <c r="L312" s="612"/>
    </row>
    <row r="313" spans="1:12" ht="13.5" x14ac:dyDescent="0.2">
      <c r="A313" s="542" t="s">
        <v>2885</v>
      </c>
      <c r="B313" s="535" t="s">
        <v>1315</v>
      </c>
      <c r="C313" s="275"/>
      <c r="D313" s="276"/>
      <c r="E313" s="542" t="s">
        <v>999</v>
      </c>
      <c r="F313" s="536">
        <f>+I313</f>
        <v>4</v>
      </c>
      <c r="G313" s="295" t="s">
        <v>444</v>
      </c>
      <c r="H313" s="273"/>
      <c r="I313" s="9">
        <v>4</v>
      </c>
      <c r="J313" s="546"/>
      <c r="K313" s="275"/>
      <c r="L313" s="276"/>
    </row>
    <row r="314" spans="1:12" ht="13.5" x14ac:dyDescent="0.2">
      <c r="A314" s="534"/>
      <c r="B314" s="284"/>
      <c r="C314" s="285"/>
      <c r="D314" s="286"/>
      <c r="E314" s="534"/>
      <c r="F314" s="534"/>
      <c r="G314" s="295" t="s">
        <v>453</v>
      </c>
      <c r="H314" s="273"/>
      <c r="I314" s="28">
        <v>3</v>
      </c>
      <c r="J314" s="284"/>
      <c r="K314" s="285"/>
      <c r="L314" s="286"/>
    </row>
    <row r="315" spans="1:12" ht="13.5" x14ac:dyDescent="0.2">
      <c r="A315" s="534"/>
      <c r="B315" s="284"/>
      <c r="C315" s="285"/>
      <c r="D315" s="286"/>
      <c r="E315" s="534"/>
      <c r="F315" s="534"/>
      <c r="G315" s="295" t="s">
        <v>2886</v>
      </c>
      <c r="H315" s="273"/>
      <c r="I315" s="28"/>
      <c r="J315" s="284"/>
      <c r="K315" s="285"/>
      <c r="L315" s="286"/>
    </row>
    <row r="316" spans="1:12" ht="13.5" x14ac:dyDescent="0.2">
      <c r="A316" s="534"/>
      <c r="B316" s="284"/>
      <c r="C316" s="285"/>
      <c r="D316" s="286"/>
      <c r="E316" s="534"/>
      <c r="F316" s="534"/>
      <c r="G316" s="295" t="s">
        <v>2584</v>
      </c>
      <c r="H316" s="273"/>
      <c r="I316" s="28"/>
      <c r="J316" s="284"/>
      <c r="K316" s="285"/>
      <c r="L316" s="286"/>
    </row>
    <row r="317" spans="1:12" ht="13.5" x14ac:dyDescent="0.2">
      <c r="A317" s="534"/>
      <c r="B317" s="284"/>
      <c r="C317" s="285"/>
      <c r="D317" s="286"/>
      <c r="E317" s="534"/>
      <c r="F317" s="534"/>
      <c r="G317" s="295" t="s">
        <v>2585</v>
      </c>
      <c r="H317" s="273"/>
      <c r="I317" s="28"/>
      <c r="J317" s="284"/>
      <c r="K317" s="285"/>
      <c r="L317" s="286"/>
    </row>
    <row r="318" spans="1:12" ht="13.5" x14ac:dyDescent="0.2">
      <c r="A318" s="534"/>
      <c r="B318" s="284"/>
      <c r="C318" s="285"/>
      <c r="D318" s="286"/>
      <c r="E318" s="534"/>
      <c r="F318" s="534"/>
      <c r="G318" s="295" t="s">
        <v>2586</v>
      </c>
      <c r="H318" s="273"/>
      <c r="I318" s="28"/>
      <c r="J318" s="284"/>
      <c r="K318" s="285"/>
      <c r="L318" s="286"/>
    </row>
    <row r="319" spans="1:12" ht="13.5" x14ac:dyDescent="0.2">
      <c r="A319" s="534"/>
      <c r="B319" s="284"/>
      <c r="C319" s="285"/>
      <c r="D319" s="286"/>
      <c r="E319" s="534"/>
      <c r="F319" s="534"/>
      <c r="G319" s="295" t="s">
        <v>2587</v>
      </c>
      <c r="H319" s="273"/>
      <c r="I319" s="28"/>
      <c r="J319" s="284"/>
      <c r="K319" s="285"/>
      <c r="L319" s="286"/>
    </row>
    <row r="320" spans="1:12" ht="13.5" x14ac:dyDescent="0.2">
      <c r="A320" s="534"/>
      <c r="B320" s="284"/>
      <c r="C320" s="285"/>
      <c r="D320" s="286"/>
      <c r="E320" s="534"/>
      <c r="F320" s="534"/>
      <c r="G320" s="295" t="s">
        <v>2887</v>
      </c>
      <c r="H320" s="273"/>
      <c r="I320" s="28"/>
      <c r="J320" s="284"/>
      <c r="K320" s="285"/>
      <c r="L320" s="286"/>
    </row>
    <row r="321" spans="1:12" ht="13.5" x14ac:dyDescent="0.2">
      <c r="A321" s="281"/>
      <c r="B321" s="277"/>
      <c r="C321" s="278"/>
      <c r="D321" s="279"/>
      <c r="E321" s="281"/>
      <c r="F321" s="281"/>
      <c r="G321" s="295" t="s">
        <v>2888</v>
      </c>
      <c r="H321" s="273"/>
      <c r="I321" s="28"/>
      <c r="J321" s="277"/>
      <c r="K321" s="278"/>
      <c r="L321" s="279"/>
    </row>
    <row r="322" spans="1:12" ht="13.5" x14ac:dyDescent="0.2">
      <c r="A322" s="32"/>
      <c r="B322" s="32"/>
      <c r="C322" s="32"/>
      <c r="D322" s="32"/>
      <c r="E322" s="32"/>
      <c r="F322" s="32"/>
      <c r="G322" s="32"/>
      <c r="H322" s="32"/>
      <c r="I322" s="32"/>
      <c r="J322" s="130"/>
      <c r="K322" s="130"/>
      <c r="L322" s="32"/>
    </row>
    <row r="323" spans="1:12" x14ac:dyDescent="0.2">
      <c r="A323" s="287" t="s">
        <v>76</v>
      </c>
      <c r="B323" s="271"/>
      <c r="C323" s="271"/>
      <c r="D323" s="311"/>
      <c r="E323" s="16" t="s">
        <v>77</v>
      </c>
      <c r="F323" s="16" t="s">
        <v>78</v>
      </c>
      <c r="G323" s="532" t="s">
        <v>2576</v>
      </c>
      <c r="H323" s="482"/>
      <c r="I323" s="390" t="s">
        <v>2579</v>
      </c>
      <c r="J323" s="611"/>
      <c r="K323" s="611"/>
      <c r="L323" s="612"/>
    </row>
    <row r="324" spans="1:12" ht="13.5" x14ac:dyDescent="0.2">
      <c r="A324" s="542" t="s">
        <v>2889</v>
      </c>
      <c r="B324" s="535" t="s">
        <v>1154</v>
      </c>
      <c r="C324" s="275"/>
      <c r="D324" s="276"/>
      <c r="E324" s="542" t="s">
        <v>999</v>
      </c>
      <c r="F324" s="536">
        <f>+I324</f>
        <v>1</v>
      </c>
      <c r="G324" s="295" t="s">
        <v>444</v>
      </c>
      <c r="H324" s="273"/>
      <c r="I324" s="9">
        <f>I325</f>
        <v>1</v>
      </c>
      <c r="J324" s="546"/>
      <c r="K324" s="275"/>
      <c r="L324" s="276"/>
    </row>
    <row r="325" spans="1:12" ht="13.5" x14ac:dyDescent="0.2">
      <c r="A325" s="534"/>
      <c r="B325" s="284"/>
      <c r="C325" s="285"/>
      <c r="D325" s="286"/>
      <c r="E325" s="534"/>
      <c r="F325" s="534"/>
      <c r="G325" s="295" t="s">
        <v>453</v>
      </c>
      <c r="H325" s="273"/>
      <c r="I325" s="28">
        <v>1</v>
      </c>
      <c r="J325" s="284"/>
      <c r="K325" s="285"/>
      <c r="L325" s="286"/>
    </row>
    <row r="326" spans="1:12" ht="13.5" x14ac:dyDescent="0.2">
      <c r="A326" s="534"/>
      <c r="B326" s="284"/>
      <c r="C326" s="285"/>
      <c r="D326" s="286"/>
      <c r="E326" s="534"/>
      <c r="F326" s="534"/>
      <c r="G326" s="295" t="s">
        <v>2583</v>
      </c>
      <c r="H326" s="273"/>
      <c r="I326" s="28"/>
      <c r="J326" s="284"/>
      <c r="K326" s="285"/>
      <c r="L326" s="286"/>
    </row>
    <row r="327" spans="1:12" ht="13.5" x14ac:dyDescent="0.2">
      <c r="A327" s="534"/>
      <c r="B327" s="284"/>
      <c r="C327" s="285"/>
      <c r="D327" s="286"/>
      <c r="E327" s="534"/>
      <c r="F327" s="534"/>
      <c r="G327" s="295" t="s">
        <v>2584</v>
      </c>
      <c r="H327" s="273"/>
      <c r="I327" s="28"/>
      <c r="J327" s="284"/>
      <c r="K327" s="285"/>
      <c r="L327" s="286"/>
    </row>
    <row r="328" spans="1:12" ht="13.5" x14ac:dyDescent="0.2">
      <c r="A328" s="534"/>
      <c r="B328" s="284"/>
      <c r="C328" s="285"/>
      <c r="D328" s="286"/>
      <c r="E328" s="534"/>
      <c r="F328" s="534"/>
      <c r="G328" s="295" t="s">
        <v>2585</v>
      </c>
      <c r="H328" s="273"/>
      <c r="I328" s="28"/>
      <c r="J328" s="284"/>
      <c r="K328" s="285"/>
      <c r="L328" s="286"/>
    </row>
    <row r="329" spans="1:12" ht="13.5" x14ac:dyDescent="0.2">
      <c r="A329" s="534"/>
      <c r="B329" s="284"/>
      <c r="C329" s="285"/>
      <c r="D329" s="286"/>
      <c r="E329" s="534"/>
      <c r="F329" s="534"/>
      <c r="G329" s="295" t="s">
        <v>2586</v>
      </c>
      <c r="H329" s="273"/>
      <c r="I329" s="28"/>
      <c r="J329" s="284"/>
      <c r="K329" s="285"/>
      <c r="L329" s="286"/>
    </row>
    <row r="330" spans="1:12" ht="13.5" x14ac:dyDescent="0.2">
      <c r="A330" s="534"/>
      <c r="B330" s="284"/>
      <c r="C330" s="285"/>
      <c r="D330" s="286"/>
      <c r="E330" s="534"/>
      <c r="F330" s="534"/>
      <c r="G330" s="295" t="s">
        <v>2587</v>
      </c>
      <c r="H330" s="273"/>
      <c r="I330" s="28"/>
      <c r="J330" s="284"/>
      <c r="K330" s="285"/>
      <c r="L330" s="286"/>
    </row>
    <row r="331" spans="1:12" ht="13.5" x14ac:dyDescent="0.2">
      <c r="A331" s="534"/>
      <c r="B331" s="284"/>
      <c r="C331" s="285"/>
      <c r="D331" s="286"/>
      <c r="E331" s="534"/>
      <c r="F331" s="534"/>
      <c r="G331" s="295" t="s">
        <v>2890</v>
      </c>
      <c r="H331" s="273"/>
      <c r="I331" s="28"/>
      <c r="J331" s="284"/>
      <c r="K331" s="285"/>
      <c r="L331" s="286"/>
    </row>
    <row r="332" spans="1:12" ht="13.5" x14ac:dyDescent="0.2">
      <c r="A332" s="281"/>
      <c r="B332" s="277"/>
      <c r="C332" s="278"/>
      <c r="D332" s="279"/>
      <c r="E332" s="281"/>
      <c r="F332" s="281"/>
      <c r="G332" s="295" t="s">
        <v>2891</v>
      </c>
      <c r="H332" s="273"/>
      <c r="I332" s="28"/>
      <c r="J332" s="277"/>
      <c r="K332" s="278"/>
      <c r="L332" s="279"/>
    </row>
    <row r="333" spans="1:12" ht="13.5" x14ac:dyDescent="0.2">
      <c r="A333" s="32"/>
      <c r="B333" s="32"/>
      <c r="C333" s="32"/>
      <c r="D333" s="32"/>
      <c r="E333" s="32"/>
      <c r="F333" s="32"/>
      <c r="G333" s="32"/>
      <c r="H333" s="32"/>
      <c r="I333" s="32"/>
      <c r="J333" s="130"/>
      <c r="K333" s="130"/>
      <c r="L333" s="32"/>
    </row>
    <row r="334" spans="1:12" x14ac:dyDescent="0.2">
      <c r="A334" s="287" t="s">
        <v>76</v>
      </c>
      <c r="B334" s="271"/>
      <c r="C334" s="271"/>
      <c r="D334" s="311"/>
      <c r="E334" s="16" t="s">
        <v>77</v>
      </c>
      <c r="F334" s="16" t="s">
        <v>78</v>
      </c>
      <c r="G334" s="532" t="s">
        <v>2576</v>
      </c>
      <c r="H334" s="482"/>
      <c r="I334" s="390" t="s">
        <v>2579</v>
      </c>
      <c r="J334" s="611"/>
      <c r="K334" s="611"/>
      <c r="L334" s="612"/>
    </row>
    <row r="335" spans="1:12" ht="13.5" x14ac:dyDescent="0.2">
      <c r="A335" s="542" t="s">
        <v>2892</v>
      </c>
      <c r="B335" s="535" t="s">
        <v>1335</v>
      </c>
      <c r="C335" s="275"/>
      <c r="D335" s="276"/>
      <c r="E335" s="542" t="s">
        <v>999</v>
      </c>
      <c r="F335" s="536">
        <f>+I324</f>
        <v>1</v>
      </c>
      <c r="G335" s="295" t="s">
        <v>444</v>
      </c>
      <c r="H335" s="273"/>
      <c r="I335" s="9">
        <f>I336</f>
        <v>1</v>
      </c>
      <c r="J335" s="546"/>
      <c r="K335" s="275"/>
      <c r="L335" s="276"/>
    </row>
    <row r="336" spans="1:12" ht="13.5" x14ac:dyDescent="0.2">
      <c r="A336" s="534"/>
      <c r="B336" s="284"/>
      <c r="C336" s="285"/>
      <c r="D336" s="286"/>
      <c r="E336" s="534"/>
      <c r="F336" s="534"/>
      <c r="G336" s="295" t="s">
        <v>453</v>
      </c>
      <c r="H336" s="273"/>
      <c r="I336" s="28">
        <v>1</v>
      </c>
      <c r="J336" s="284"/>
      <c r="K336" s="285"/>
      <c r="L336" s="286"/>
    </row>
    <row r="337" spans="1:12" ht="13.5" x14ac:dyDescent="0.2">
      <c r="A337" s="534"/>
      <c r="B337" s="284"/>
      <c r="C337" s="285"/>
      <c r="D337" s="286"/>
      <c r="E337" s="534"/>
      <c r="F337" s="534"/>
      <c r="G337" s="295" t="s">
        <v>2583</v>
      </c>
      <c r="H337" s="273"/>
      <c r="I337" s="28"/>
      <c r="J337" s="284"/>
      <c r="K337" s="285"/>
      <c r="L337" s="286"/>
    </row>
    <row r="338" spans="1:12" ht="13.5" x14ac:dyDescent="0.2">
      <c r="A338" s="534"/>
      <c r="B338" s="284"/>
      <c r="C338" s="285"/>
      <c r="D338" s="286"/>
      <c r="E338" s="534"/>
      <c r="F338" s="534"/>
      <c r="G338" s="295" t="s">
        <v>2584</v>
      </c>
      <c r="H338" s="273"/>
      <c r="I338" s="28"/>
      <c r="J338" s="284"/>
      <c r="K338" s="285"/>
      <c r="L338" s="286"/>
    </row>
    <row r="339" spans="1:12" ht="13.5" x14ac:dyDescent="0.2">
      <c r="A339" s="534"/>
      <c r="B339" s="284"/>
      <c r="C339" s="285"/>
      <c r="D339" s="286"/>
      <c r="E339" s="534"/>
      <c r="F339" s="534"/>
      <c r="G339" s="295" t="s">
        <v>2585</v>
      </c>
      <c r="H339" s="273"/>
      <c r="I339" s="28"/>
      <c r="J339" s="284"/>
      <c r="K339" s="285"/>
      <c r="L339" s="286"/>
    </row>
    <row r="340" spans="1:12" ht="13.5" x14ac:dyDescent="0.2">
      <c r="A340" s="534"/>
      <c r="B340" s="284"/>
      <c r="C340" s="285"/>
      <c r="D340" s="286"/>
      <c r="E340" s="534"/>
      <c r="F340" s="534"/>
      <c r="G340" s="295" t="s">
        <v>2586</v>
      </c>
      <c r="H340" s="273"/>
      <c r="I340" s="28"/>
      <c r="J340" s="284"/>
      <c r="K340" s="285"/>
      <c r="L340" s="286"/>
    </row>
    <row r="341" spans="1:12" ht="13.5" x14ac:dyDescent="0.2">
      <c r="A341" s="534"/>
      <c r="B341" s="284"/>
      <c r="C341" s="285"/>
      <c r="D341" s="286"/>
      <c r="E341" s="534"/>
      <c r="F341" s="534"/>
      <c r="G341" s="295" t="s">
        <v>2587</v>
      </c>
      <c r="H341" s="273"/>
      <c r="I341" s="28"/>
      <c r="J341" s="284"/>
      <c r="K341" s="285"/>
      <c r="L341" s="286"/>
    </row>
    <row r="342" spans="1:12" ht="13.5" x14ac:dyDescent="0.2">
      <c r="A342" s="534"/>
      <c r="B342" s="284"/>
      <c r="C342" s="285"/>
      <c r="D342" s="286"/>
      <c r="E342" s="534"/>
      <c r="F342" s="534"/>
      <c r="G342" s="295" t="s">
        <v>2893</v>
      </c>
      <c r="H342" s="273"/>
      <c r="I342" s="28"/>
      <c r="J342" s="284"/>
      <c r="K342" s="285"/>
      <c r="L342" s="286"/>
    </row>
    <row r="343" spans="1:12" ht="13.5" x14ac:dyDescent="0.2">
      <c r="A343" s="281"/>
      <c r="B343" s="277"/>
      <c r="C343" s="278"/>
      <c r="D343" s="279"/>
      <c r="E343" s="281"/>
      <c r="F343" s="281"/>
      <c r="G343" s="295" t="s">
        <v>2894</v>
      </c>
      <c r="H343" s="273"/>
      <c r="I343" s="28"/>
      <c r="J343" s="277"/>
      <c r="K343" s="278"/>
      <c r="L343" s="279"/>
    </row>
    <row r="344" spans="1:12" ht="13.5" x14ac:dyDescent="0.2">
      <c r="A344" s="32"/>
      <c r="B344" s="32"/>
      <c r="C344" s="32"/>
      <c r="D344" s="32"/>
      <c r="E344" s="32"/>
      <c r="F344" s="32"/>
      <c r="G344" s="32"/>
      <c r="H344" s="32"/>
      <c r="I344" s="32"/>
      <c r="J344" s="130"/>
      <c r="K344" s="130"/>
      <c r="L344" s="32"/>
    </row>
    <row r="345" spans="1:12" x14ac:dyDescent="0.2">
      <c r="A345" s="287" t="s">
        <v>76</v>
      </c>
      <c r="B345" s="271"/>
      <c r="C345" s="271"/>
      <c r="D345" s="311"/>
      <c r="E345" s="16" t="s">
        <v>77</v>
      </c>
      <c r="F345" s="16" t="s">
        <v>78</v>
      </c>
      <c r="G345" s="532" t="s">
        <v>2576</v>
      </c>
      <c r="H345" s="482"/>
      <c r="I345" s="390" t="s">
        <v>2579</v>
      </c>
      <c r="J345" s="611"/>
      <c r="K345" s="611"/>
      <c r="L345" s="612"/>
    </row>
    <row r="346" spans="1:12" ht="13.5" x14ac:dyDescent="0.2">
      <c r="A346" s="542" t="s">
        <v>2895</v>
      </c>
      <c r="B346" s="535" t="s">
        <v>1336</v>
      </c>
      <c r="C346" s="275"/>
      <c r="D346" s="276"/>
      <c r="E346" s="542" t="s">
        <v>999</v>
      </c>
      <c r="F346" s="536">
        <f>+I346</f>
        <v>1</v>
      </c>
      <c r="G346" s="295" t="s">
        <v>444</v>
      </c>
      <c r="H346" s="273"/>
      <c r="I346" s="9">
        <f>I347</f>
        <v>1</v>
      </c>
      <c r="J346" s="546"/>
      <c r="K346" s="275"/>
      <c r="L346" s="276"/>
    </row>
    <row r="347" spans="1:12" ht="13.5" x14ac:dyDescent="0.2">
      <c r="A347" s="534"/>
      <c r="B347" s="284"/>
      <c r="C347" s="285"/>
      <c r="D347" s="286"/>
      <c r="E347" s="534"/>
      <c r="F347" s="534"/>
      <c r="G347" s="295" t="s">
        <v>453</v>
      </c>
      <c r="H347" s="273"/>
      <c r="I347" s="28">
        <v>1</v>
      </c>
      <c r="J347" s="284"/>
      <c r="K347" s="285"/>
      <c r="L347" s="286"/>
    </row>
    <row r="348" spans="1:12" ht="13.5" x14ac:dyDescent="0.2">
      <c r="A348" s="534"/>
      <c r="B348" s="284"/>
      <c r="C348" s="285"/>
      <c r="D348" s="286"/>
      <c r="E348" s="534"/>
      <c r="F348" s="534"/>
      <c r="G348" s="295" t="s">
        <v>2583</v>
      </c>
      <c r="H348" s="273"/>
      <c r="I348" s="28"/>
      <c r="J348" s="284"/>
      <c r="K348" s="285"/>
      <c r="L348" s="286"/>
    </row>
    <row r="349" spans="1:12" ht="13.5" x14ac:dyDescent="0.2">
      <c r="A349" s="534"/>
      <c r="B349" s="284"/>
      <c r="C349" s="285"/>
      <c r="D349" s="286"/>
      <c r="E349" s="534"/>
      <c r="F349" s="534"/>
      <c r="G349" s="295" t="s">
        <v>2584</v>
      </c>
      <c r="H349" s="273"/>
      <c r="I349" s="28"/>
      <c r="J349" s="284"/>
      <c r="K349" s="285"/>
      <c r="L349" s="286"/>
    </row>
    <row r="350" spans="1:12" ht="13.5" x14ac:dyDescent="0.2">
      <c r="A350" s="534"/>
      <c r="B350" s="284"/>
      <c r="C350" s="285"/>
      <c r="D350" s="286"/>
      <c r="E350" s="534"/>
      <c r="F350" s="534"/>
      <c r="G350" s="295" t="s">
        <v>2585</v>
      </c>
      <c r="H350" s="273"/>
      <c r="I350" s="28"/>
      <c r="J350" s="284"/>
      <c r="K350" s="285"/>
      <c r="L350" s="286"/>
    </row>
    <row r="351" spans="1:12" ht="13.5" x14ac:dyDescent="0.2">
      <c r="A351" s="534"/>
      <c r="B351" s="284"/>
      <c r="C351" s="285"/>
      <c r="D351" s="286"/>
      <c r="E351" s="534"/>
      <c r="F351" s="534"/>
      <c r="G351" s="295" t="s">
        <v>2586</v>
      </c>
      <c r="H351" s="273"/>
      <c r="I351" s="28"/>
      <c r="J351" s="284"/>
      <c r="K351" s="285"/>
      <c r="L351" s="286"/>
    </row>
    <row r="352" spans="1:12" ht="13.5" x14ac:dyDescent="0.2">
      <c r="A352" s="534"/>
      <c r="B352" s="284"/>
      <c r="C352" s="285"/>
      <c r="D352" s="286"/>
      <c r="E352" s="534"/>
      <c r="F352" s="534"/>
      <c r="G352" s="295" t="s">
        <v>2587</v>
      </c>
      <c r="H352" s="273"/>
      <c r="I352" s="28"/>
      <c r="J352" s="284"/>
      <c r="K352" s="285"/>
      <c r="L352" s="286"/>
    </row>
    <row r="353" spans="1:12" ht="13.5" x14ac:dyDescent="0.2">
      <c r="A353" s="534"/>
      <c r="B353" s="284"/>
      <c r="C353" s="285"/>
      <c r="D353" s="286"/>
      <c r="E353" s="534"/>
      <c r="F353" s="534"/>
      <c r="G353" s="295" t="s">
        <v>2896</v>
      </c>
      <c r="H353" s="273"/>
      <c r="I353" s="28"/>
      <c r="J353" s="284"/>
      <c r="K353" s="285"/>
      <c r="L353" s="286"/>
    </row>
    <row r="354" spans="1:12" ht="13.5" x14ac:dyDescent="0.2">
      <c r="A354" s="281"/>
      <c r="B354" s="277"/>
      <c r="C354" s="278"/>
      <c r="D354" s="279"/>
      <c r="E354" s="281"/>
      <c r="F354" s="281"/>
      <c r="G354" s="295" t="s">
        <v>2897</v>
      </c>
      <c r="H354" s="273"/>
      <c r="I354" s="28"/>
      <c r="J354" s="277"/>
      <c r="K354" s="278"/>
      <c r="L354" s="279"/>
    </row>
    <row r="355" spans="1:12" ht="13.5" x14ac:dyDescent="0.2">
      <c r="A355" s="32"/>
      <c r="B355" s="32"/>
      <c r="C355" s="32"/>
      <c r="D355" s="32"/>
      <c r="E355" s="32"/>
      <c r="F355" s="32"/>
      <c r="G355" s="32"/>
      <c r="H355" s="32"/>
      <c r="I355" s="32"/>
      <c r="J355" s="130"/>
      <c r="K355" s="130"/>
      <c r="L355" s="32"/>
    </row>
    <row r="356" spans="1:12" x14ac:dyDescent="0.2">
      <c r="A356" s="287" t="s">
        <v>76</v>
      </c>
      <c r="B356" s="271"/>
      <c r="C356" s="271"/>
      <c r="D356" s="311"/>
      <c r="E356" s="16" t="s">
        <v>77</v>
      </c>
      <c r="F356" s="16" t="s">
        <v>78</v>
      </c>
      <c r="G356" s="532" t="s">
        <v>2576</v>
      </c>
      <c r="H356" s="482"/>
      <c r="I356" s="390" t="s">
        <v>2579</v>
      </c>
      <c r="J356" s="611"/>
      <c r="K356" s="611"/>
      <c r="L356" s="612"/>
    </row>
    <row r="357" spans="1:12" ht="13.5" x14ac:dyDescent="0.2">
      <c r="A357" s="542" t="s">
        <v>2898</v>
      </c>
      <c r="B357" s="535" t="s">
        <v>1337</v>
      </c>
      <c r="C357" s="275"/>
      <c r="D357" s="276"/>
      <c r="E357" s="542" t="s">
        <v>999</v>
      </c>
      <c r="F357" s="536">
        <f>+I357</f>
        <v>1</v>
      </c>
      <c r="G357" s="295" t="s">
        <v>444</v>
      </c>
      <c r="H357" s="273"/>
      <c r="I357" s="9">
        <f>I358</f>
        <v>1</v>
      </c>
      <c r="J357" s="546"/>
      <c r="K357" s="275"/>
      <c r="L357" s="276"/>
    </row>
    <row r="358" spans="1:12" ht="13.5" x14ac:dyDescent="0.2">
      <c r="A358" s="534"/>
      <c r="B358" s="284"/>
      <c r="C358" s="285"/>
      <c r="D358" s="286"/>
      <c r="E358" s="534"/>
      <c r="F358" s="534"/>
      <c r="G358" s="295" t="s">
        <v>453</v>
      </c>
      <c r="H358" s="273"/>
      <c r="I358" s="28">
        <v>1</v>
      </c>
      <c r="J358" s="284"/>
      <c r="K358" s="285"/>
      <c r="L358" s="286"/>
    </row>
    <row r="359" spans="1:12" ht="13.5" x14ac:dyDescent="0.2">
      <c r="A359" s="534"/>
      <c r="B359" s="284"/>
      <c r="C359" s="285"/>
      <c r="D359" s="286"/>
      <c r="E359" s="534"/>
      <c r="F359" s="534"/>
      <c r="G359" s="295" t="s">
        <v>2583</v>
      </c>
      <c r="H359" s="273"/>
      <c r="I359" s="28"/>
      <c r="J359" s="284"/>
      <c r="K359" s="285"/>
      <c r="L359" s="286"/>
    </row>
    <row r="360" spans="1:12" ht="13.5" x14ac:dyDescent="0.2">
      <c r="A360" s="534"/>
      <c r="B360" s="284"/>
      <c r="C360" s="285"/>
      <c r="D360" s="286"/>
      <c r="E360" s="534"/>
      <c r="F360" s="534"/>
      <c r="G360" s="295" t="s">
        <v>2584</v>
      </c>
      <c r="H360" s="273"/>
      <c r="I360" s="28"/>
      <c r="J360" s="284"/>
      <c r="K360" s="285"/>
      <c r="L360" s="286"/>
    </row>
    <row r="361" spans="1:12" ht="13.5" x14ac:dyDescent="0.2">
      <c r="A361" s="534"/>
      <c r="B361" s="284"/>
      <c r="C361" s="285"/>
      <c r="D361" s="286"/>
      <c r="E361" s="534"/>
      <c r="F361" s="534"/>
      <c r="G361" s="295" t="s">
        <v>2585</v>
      </c>
      <c r="H361" s="273"/>
      <c r="I361" s="28"/>
      <c r="J361" s="284"/>
      <c r="K361" s="285"/>
      <c r="L361" s="286"/>
    </row>
    <row r="362" spans="1:12" ht="13.5" x14ac:dyDescent="0.2">
      <c r="A362" s="534"/>
      <c r="B362" s="284"/>
      <c r="C362" s="285"/>
      <c r="D362" s="286"/>
      <c r="E362" s="534"/>
      <c r="F362" s="534"/>
      <c r="G362" s="295" t="s">
        <v>2586</v>
      </c>
      <c r="H362" s="273"/>
      <c r="I362" s="28"/>
      <c r="J362" s="284"/>
      <c r="K362" s="285"/>
      <c r="L362" s="286"/>
    </row>
    <row r="363" spans="1:12" ht="13.5" x14ac:dyDescent="0.2">
      <c r="A363" s="534"/>
      <c r="B363" s="284"/>
      <c r="C363" s="285"/>
      <c r="D363" s="286"/>
      <c r="E363" s="534"/>
      <c r="F363" s="534"/>
      <c r="G363" s="295" t="s">
        <v>2587</v>
      </c>
      <c r="H363" s="273"/>
      <c r="I363" s="28"/>
      <c r="J363" s="284"/>
      <c r="K363" s="285"/>
      <c r="L363" s="286"/>
    </row>
    <row r="364" spans="1:12" ht="13.5" x14ac:dyDescent="0.2">
      <c r="A364" s="534"/>
      <c r="B364" s="284"/>
      <c r="C364" s="285"/>
      <c r="D364" s="286"/>
      <c r="E364" s="534"/>
      <c r="F364" s="534"/>
      <c r="G364" s="295" t="s">
        <v>2899</v>
      </c>
      <c r="H364" s="273"/>
      <c r="I364" s="28"/>
      <c r="J364" s="284"/>
      <c r="K364" s="285"/>
      <c r="L364" s="286"/>
    </row>
    <row r="365" spans="1:12" ht="13.5" x14ac:dyDescent="0.2">
      <c r="A365" s="281"/>
      <c r="B365" s="277"/>
      <c r="C365" s="278"/>
      <c r="D365" s="279"/>
      <c r="E365" s="281"/>
      <c r="F365" s="281"/>
      <c r="G365" s="295" t="s">
        <v>2900</v>
      </c>
      <c r="H365" s="273"/>
      <c r="I365" s="28"/>
      <c r="J365" s="277"/>
      <c r="K365" s="278"/>
      <c r="L365" s="279"/>
    </row>
    <row r="366" spans="1:12" ht="13.5" x14ac:dyDescent="0.2">
      <c r="A366" s="32"/>
      <c r="B366" s="32"/>
      <c r="C366" s="32"/>
      <c r="D366" s="32"/>
      <c r="E366" s="32"/>
      <c r="F366" s="32"/>
      <c r="G366" s="32"/>
      <c r="H366" s="32"/>
      <c r="I366" s="32"/>
      <c r="J366" s="130"/>
      <c r="K366" s="130"/>
      <c r="L366" s="32"/>
    </row>
    <row r="367" spans="1:12" x14ac:dyDescent="0.2">
      <c r="A367" s="287" t="s">
        <v>76</v>
      </c>
      <c r="B367" s="271"/>
      <c r="C367" s="271"/>
      <c r="D367" s="311"/>
      <c r="E367" s="16" t="s">
        <v>77</v>
      </c>
      <c r="F367" s="16" t="s">
        <v>78</v>
      </c>
      <c r="G367" s="532" t="s">
        <v>2576</v>
      </c>
      <c r="H367" s="482"/>
      <c r="I367" s="390" t="s">
        <v>2579</v>
      </c>
      <c r="J367" s="611"/>
      <c r="K367" s="611"/>
      <c r="L367" s="612"/>
    </row>
    <row r="368" spans="1:12" ht="13.5" x14ac:dyDescent="0.2">
      <c r="A368" s="542" t="s">
        <v>2901</v>
      </c>
      <c r="B368" s="535" t="s">
        <v>2902</v>
      </c>
      <c r="C368" s="275"/>
      <c r="D368" s="276"/>
      <c r="E368" s="542" t="s">
        <v>999</v>
      </c>
      <c r="F368" s="536">
        <f>+I368</f>
        <v>1</v>
      </c>
      <c r="G368" s="295" t="s">
        <v>444</v>
      </c>
      <c r="H368" s="273"/>
      <c r="I368" s="9">
        <f>I369</f>
        <v>1</v>
      </c>
      <c r="J368" s="546"/>
      <c r="K368" s="275"/>
      <c r="L368" s="276"/>
    </row>
    <row r="369" spans="1:12" ht="13.5" x14ac:dyDescent="0.2">
      <c r="A369" s="534"/>
      <c r="B369" s="284"/>
      <c r="C369" s="285"/>
      <c r="D369" s="286"/>
      <c r="E369" s="534"/>
      <c r="F369" s="534"/>
      <c r="G369" s="295" t="s">
        <v>453</v>
      </c>
      <c r="H369" s="273"/>
      <c r="I369" s="28">
        <v>1</v>
      </c>
      <c r="J369" s="284"/>
      <c r="K369" s="285"/>
      <c r="L369" s="286"/>
    </row>
    <row r="370" spans="1:12" ht="13.5" x14ac:dyDescent="0.2">
      <c r="A370" s="534"/>
      <c r="B370" s="284"/>
      <c r="C370" s="285"/>
      <c r="D370" s="286"/>
      <c r="E370" s="534"/>
      <c r="F370" s="534"/>
      <c r="G370" s="295" t="s">
        <v>2583</v>
      </c>
      <c r="H370" s="273"/>
      <c r="I370" s="28"/>
      <c r="J370" s="284"/>
      <c r="K370" s="285"/>
      <c r="L370" s="286"/>
    </row>
    <row r="371" spans="1:12" ht="13.5" x14ac:dyDescent="0.2">
      <c r="A371" s="534"/>
      <c r="B371" s="284"/>
      <c r="C371" s="285"/>
      <c r="D371" s="286"/>
      <c r="E371" s="534"/>
      <c r="F371" s="534"/>
      <c r="G371" s="295" t="s">
        <v>2584</v>
      </c>
      <c r="H371" s="273"/>
      <c r="I371" s="28"/>
      <c r="J371" s="284"/>
      <c r="K371" s="285"/>
      <c r="L371" s="286"/>
    </row>
    <row r="372" spans="1:12" ht="13.5" x14ac:dyDescent="0.2">
      <c r="A372" s="534"/>
      <c r="B372" s="284"/>
      <c r="C372" s="285"/>
      <c r="D372" s="286"/>
      <c r="E372" s="534"/>
      <c r="F372" s="534"/>
      <c r="G372" s="295" t="s">
        <v>2585</v>
      </c>
      <c r="H372" s="273"/>
      <c r="I372" s="28"/>
      <c r="J372" s="284"/>
      <c r="K372" s="285"/>
      <c r="L372" s="286"/>
    </row>
    <row r="373" spans="1:12" ht="13.5" x14ac:dyDescent="0.2">
      <c r="A373" s="534"/>
      <c r="B373" s="284"/>
      <c r="C373" s="285"/>
      <c r="D373" s="286"/>
      <c r="E373" s="534"/>
      <c r="F373" s="534"/>
      <c r="G373" s="295" t="s">
        <v>2586</v>
      </c>
      <c r="H373" s="273"/>
      <c r="I373" s="28"/>
      <c r="J373" s="284"/>
      <c r="K373" s="285"/>
      <c r="L373" s="286"/>
    </row>
    <row r="374" spans="1:12" ht="13.5" x14ac:dyDescent="0.2">
      <c r="A374" s="534"/>
      <c r="B374" s="284"/>
      <c r="C374" s="285"/>
      <c r="D374" s="286"/>
      <c r="E374" s="534"/>
      <c r="F374" s="534"/>
      <c r="G374" s="295" t="s">
        <v>2587</v>
      </c>
      <c r="H374" s="273"/>
      <c r="I374" s="28"/>
      <c r="J374" s="284"/>
      <c r="K374" s="285"/>
      <c r="L374" s="286"/>
    </row>
    <row r="375" spans="1:12" ht="13.5" x14ac:dyDescent="0.2">
      <c r="A375" s="534"/>
      <c r="B375" s="284"/>
      <c r="C375" s="285"/>
      <c r="D375" s="286"/>
      <c r="E375" s="534"/>
      <c r="F375" s="534"/>
      <c r="G375" s="295" t="s">
        <v>2903</v>
      </c>
      <c r="H375" s="273"/>
      <c r="I375" s="28"/>
      <c r="J375" s="284"/>
      <c r="K375" s="285"/>
      <c r="L375" s="286"/>
    </row>
    <row r="376" spans="1:12" ht="13.5" x14ac:dyDescent="0.2">
      <c r="A376" s="281"/>
      <c r="B376" s="277"/>
      <c r="C376" s="278"/>
      <c r="D376" s="279"/>
      <c r="E376" s="281"/>
      <c r="F376" s="281"/>
      <c r="G376" s="295" t="s">
        <v>2904</v>
      </c>
      <c r="H376" s="273"/>
      <c r="I376" s="28"/>
      <c r="J376" s="277"/>
      <c r="K376" s="278"/>
      <c r="L376" s="279"/>
    </row>
    <row r="377" spans="1:12" ht="13.5" x14ac:dyDescent="0.2">
      <c r="A377" s="32"/>
      <c r="B377" s="32"/>
      <c r="C377" s="32"/>
      <c r="D377" s="32"/>
      <c r="E377" s="32"/>
      <c r="F377" s="32"/>
      <c r="G377" s="32"/>
      <c r="H377" s="32"/>
      <c r="I377" s="32"/>
      <c r="J377" s="130"/>
      <c r="K377" s="130"/>
      <c r="L377" s="32"/>
    </row>
    <row r="378" spans="1:12" x14ac:dyDescent="0.2">
      <c r="A378" s="287" t="s">
        <v>76</v>
      </c>
      <c r="B378" s="271"/>
      <c r="C378" s="271"/>
      <c r="D378" s="311"/>
      <c r="E378" s="16" t="s">
        <v>77</v>
      </c>
      <c r="F378" s="16" t="s">
        <v>78</v>
      </c>
      <c r="G378" s="532" t="s">
        <v>2576</v>
      </c>
      <c r="H378" s="482"/>
      <c r="I378" s="390" t="s">
        <v>2579</v>
      </c>
      <c r="J378" s="611"/>
      <c r="K378" s="611"/>
      <c r="L378" s="612"/>
    </row>
    <row r="379" spans="1:12" ht="13.5" x14ac:dyDescent="0.2">
      <c r="A379" s="542" t="s">
        <v>2905</v>
      </c>
      <c r="B379" s="535" t="s">
        <v>1339</v>
      </c>
      <c r="C379" s="275"/>
      <c r="D379" s="276"/>
      <c r="E379" s="542" t="s">
        <v>999</v>
      </c>
      <c r="F379" s="536">
        <f>+I379</f>
        <v>1</v>
      </c>
      <c r="G379" s="295" t="s">
        <v>444</v>
      </c>
      <c r="H379" s="273"/>
      <c r="I379" s="9">
        <f>I380</f>
        <v>1</v>
      </c>
      <c r="J379" s="546"/>
      <c r="K379" s="275"/>
      <c r="L379" s="276"/>
    </row>
    <row r="380" spans="1:12" ht="13.5" x14ac:dyDescent="0.2">
      <c r="A380" s="534"/>
      <c r="B380" s="284"/>
      <c r="C380" s="285"/>
      <c r="D380" s="286"/>
      <c r="E380" s="534"/>
      <c r="F380" s="534"/>
      <c r="G380" s="295" t="s">
        <v>453</v>
      </c>
      <c r="H380" s="273"/>
      <c r="I380" s="28">
        <v>1</v>
      </c>
      <c r="J380" s="284"/>
      <c r="K380" s="285"/>
      <c r="L380" s="286"/>
    </row>
    <row r="381" spans="1:12" ht="13.5" x14ac:dyDescent="0.2">
      <c r="A381" s="534"/>
      <c r="B381" s="284"/>
      <c r="C381" s="285"/>
      <c r="D381" s="286"/>
      <c r="E381" s="534"/>
      <c r="F381" s="534"/>
      <c r="G381" s="295" t="s">
        <v>2583</v>
      </c>
      <c r="H381" s="273"/>
      <c r="I381" s="28"/>
      <c r="J381" s="284"/>
      <c r="K381" s="285"/>
      <c r="L381" s="286"/>
    </row>
    <row r="382" spans="1:12" ht="13.5" x14ac:dyDescent="0.2">
      <c r="A382" s="534"/>
      <c r="B382" s="284"/>
      <c r="C382" s="285"/>
      <c r="D382" s="286"/>
      <c r="E382" s="534"/>
      <c r="F382" s="534"/>
      <c r="G382" s="295" t="s">
        <v>2584</v>
      </c>
      <c r="H382" s="273"/>
      <c r="I382" s="28"/>
      <c r="J382" s="284"/>
      <c r="K382" s="285"/>
      <c r="L382" s="286"/>
    </row>
    <row r="383" spans="1:12" ht="13.5" x14ac:dyDescent="0.2">
      <c r="A383" s="534"/>
      <c r="B383" s="284"/>
      <c r="C383" s="285"/>
      <c r="D383" s="286"/>
      <c r="E383" s="534"/>
      <c r="F383" s="534"/>
      <c r="G383" s="295" t="s">
        <v>2585</v>
      </c>
      <c r="H383" s="273"/>
      <c r="I383" s="28"/>
      <c r="J383" s="284"/>
      <c r="K383" s="285"/>
      <c r="L383" s="286"/>
    </row>
    <row r="384" spans="1:12" ht="13.5" x14ac:dyDescent="0.2">
      <c r="A384" s="534"/>
      <c r="B384" s="284"/>
      <c r="C384" s="285"/>
      <c r="D384" s="286"/>
      <c r="E384" s="534"/>
      <c r="F384" s="534"/>
      <c r="G384" s="295" t="s">
        <v>2586</v>
      </c>
      <c r="H384" s="273"/>
      <c r="I384" s="28"/>
      <c r="J384" s="284"/>
      <c r="K384" s="285"/>
      <c r="L384" s="286"/>
    </row>
    <row r="385" spans="1:12" ht="13.5" x14ac:dyDescent="0.2">
      <c r="A385" s="534"/>
      <c r="B385" s="284"/>
      <c r="C385" s="285"/>
      <c r="D385" s="286"/>
      <c r="E385" s="534"/>
      <c r="F385" s="534"/>
      <c r="G385" s="295" t="s">
        <v>2587</v>
      </c>
      <c r="H385" s="273"/>
      <c r="I385" s="28"/>
      <c r="J385" s="284"/>
      <c r="K385" s="285"/>
      <c r="L385" s="286"/>
    </row>
    <row r="386" spans="1:12" ht="13.5" x14ac:dyDescent="0.2">
      <c r="A386" s="534"/>
      <c r="B386" s="284"/>
      <c r="C386" s="285"/>
      <c r="D386" s="286"/>
      <c r="E386" s="534"/>
      <c r="F386" s="534"/>
      <c r="G386" s="295" t="s">
        <v>2906</v>
      </c>
      <c r="H386" s="273"/>
      <c r="I386" s="28"/>
      <c r="J386" s="284"/>
      <c r="K386" s="285"/>
      <c r="L386" s="286"/>
    </row>
    <row r="387" spans="1:12" ht="13.5" x14ac:dyDescent="0.2">
      <c r="A387" s="281"/>
      <c r="B387" s="277"/>
      <c r="C387" s="278"/>
      <c r="D387" s="279"/>
      <c r="E387" s="281"/>
      <c r="F387" s="281"/>
      <c r="G387" s="295" t="s">
        <v>2907</v>
      </c>
      <c r="H387" s="273"/>
      <c r="I387" s="28"/>
      <c r="J387" s="277"/>
      <c r="K387" s="278"/>
      <c r="L387" s="279"/>
    </row>
    <row r="388" spans="1:12" ht="13.5" x14ac:dyDescent="0.2">
      <c r="A388" s="32"/>
      <c r="B388" s="32"/>
      <c r="C388" s="32"/>
      <c r="D388" s="32"/>
      <c r="E388" s="32"/>
      <c r="F388" s="32"/>
      <c r="G388" s="32"/>
      <c r="H388" s="32"/>
      <c r="I388" s="32"/>
      <c r="J388" s="130"/>
      <c r="K388" s="130"/>
      <c r="L388" s="32"/>
    </row>
    <row r="389" spans="1:12" x14ac:dyDescent="0.2">
      <c r="A389" s="287" t="s">
        <v>76</v>
      </c>
      <c r="B389" s="271"/>
      <c r="C389" s="271"/>
      <c r="D389" s="311"/>
      <c r="E389" s="16" t="s">
        <v>77</v>
      </c>
      <c r="F389" s="16" t="s">
        <v>78</v>
      </c>
      <c r="G389" s="532" t="s">
        <v>2576</v>
      </c>
      <c r="H389" s="482"/>
      <c r="I389" s="390" t="s">
        <v>2579</v>
      </c>
      <c r="J389" s="611"/>
      <c r="K389" s="611"/>
      <c r="L389" s="612"/>
    </row>
    <row r="390" spans="1:12" ht="13.5" x14ac:dyDescent="0.2">
      <c r="A390" s="542" t="s">
        <v>2908</v>
      </c>
      <c r="B390" s="535" t="s">
        <v>1341</v>
      </c>
      <c r="C390" s="275"/>
      <c r="D390" s="276"/>
      <c r="E390" s="542" t="s">
        <v>999</v>
      </c>
      <c r="F390" s="536">
        <f>+I390</f>
        <v>1</v>
      </c>
      <c r="G390" s="295" t="s">
        <v>444</v>
      </c>
      <c r="H390" s="273"/>
      <c r="I390" s="9">
        <f>+I391</f>
        <v>1</v>
      </c>
      <c r="J390" s="546"/>
      <c r="K390" s="275"/>
      <c r="L390" s="276"/>
    </row>
    <row r="391" spans="1:12" ht="13.5" x14ac:dyDescent="0.2">
      <c r="A391" s="534"/>
      <c r="B391" s="284"/>
      <c r="C391" s="285"/>
      <c r="D391" s="286"/>
      <c r="E391" s="534"/>
      <c r="F391" s="534"/>
      <c r="G391" s="295" t="s">
        <v>453</v>
      </c>
      <c r="H391" s="273"/>
      <c r="I391" s="28">
        <v>1</v>
      </c>
      <c r="J391" s="284"/>
      <c r="K391" s="285"/>
      <c r="L391" s="286"/>
    </row>
    <row r="392" spans="1:12" ht="13.5" x14ac:dyDescent="0.2">
      <c r="A392" s="534"/>
      <c r="B392" s="284"/>
      <c r="C392" s="285"/>
      <c r="D392" s="286"/>
      <c r="E392" s="534"/>
      <c r="F392" s="534"/>
      <c r="G392" s="295" t="s">
        <v>2583</v>
      </c>
      <c r="H392" s="273"/>
      <c r="I392" s="28"/>
      <c r="J392" s="284"/>
      <c r="K392" s="285"/>
      <c r="L392" s="286"/>
    </row>
    <row r="393" spans="1:12" ht="13.5" x14ac:dyDescent="0.2">
      <c r="A393" s="534"/>
      <c r="B393" s="284"/>
      <c r="C393" s="285"/>
      <c r="D393" s="286"/>
      <c r="E393" s="534"/>
      <c r="F393" s="534"/>
      <c r="G393" s="295" t="s">
        <v>2584</v>
      </c>
      <c r="H393" s="273"/>
      <c r="I393" s="28"/>
      <c r="J393" s="284"/>
      <c r="K393" s="285"/>
      <c r="L393" s="286"/>
    </row>
    <row r="394" spans="1:12" ht="13.5" x14ac:dyDescent="0.2">
      <c r="A394" s="534"/>
      <c r="B394" s="284"/>
      <c r="C394" s="285"/>
      <c r="D394" s="286"/>
      <c r="E394" s="534"/>
      <c r="F394" s="534"/>
      <c r="G394" s="295" t="s">
        <v>2585</v>
      </c>
      <c r="H394" s="273"/>
      <c r="I394" s="28"/>
      <c r="J394" s="284"/>
      <c r="K394" s="285"/>
      <c r="L394" s="286"/>
    </row>
    <row r="395" spans="1:12" ht="13.5" x14ac:dyDescent="0.2">
      <c r="A395" s="534"/>
      <c r="B395" s="284"/>
      <c r="C395" s="285"/>
      <c r="D395" s="286"/>
      <c r="E395" s="534"/>
      <c r="F395" s="534"/>
      <c r="G395" s="295" t="s">
        <v>2586</v>
      </c>
      <c r="H395" s="273"/>
      <c r="I395" s="28"/>
      <c r="J395" s="284"/>
      <c r="K395" s="285"/>
      <c r="L395" s="286"/>
    </row>
    <row r="396" spans="1:12" ht="13.5" x14ac:dyDescent="0.2">
      <c r="A396" s="534"/>
      <c r="B396" s="284"/>
      <c r="C396" s="285"/>
      <c r="D396" s="286"/>
      <c r="E396" s="534"/>
      <c r="F396" s="534"/>
      <c r="G396" s="295" t="s">
        <v>2587</v>
      </c>
      <c r="H396" s="273"/>
      <c r="I396" s="28"/>
      <c r="J396" s="284"/>
      <c r="K396" s="285"/>
      <c r="L396" s="286"/>
    </row>
    <row r="397" spans="1:12" ht="13.5" x14ac:dyDescent="0.2">
      <c r="A397" s="534"/>
      <c r="B397" s="284"/>
      <c r="C397" s="285"/>
      <c r="D397" s="286"/>
      <c r="E397" s="534"/>
      <c r="F397" s="534"/>
      <c r="G397" s="295" t="s">
        <v>2909</v>
      </c>
      <c r="H397" s="273"/>
      <c r="I397" s="28"/>
      <c r="J397" s="284"/>
      <c r="K397" s="285"/>
      <c r="L397" s="286"/>
    </row>
    <row r="398" spans="1:12" ht="13.5" x14ac:dyDescent="0.2">
      <c r="A398" s="281"/>
      <c r="B398" s="277"/>
      <c r="C398" s="278"/>
      <c r="D398" s="279"/>
      <c r="E398" s="281"/>
      <c r="F398" s="281"/>
      <c r="G398" s="295" t="s">
        <v>2910</v>
      </c>
      <c r="H398" s="273"/>
      <c r="I398" s="28"/>
      <c r="J398" s="277"/>
      <c r="K398" s="278"/>
      <c r="L398" s="279"/>
    </row>
    <row r="399" spans="1:12" ht="13.5" x14ac:dyDescent="0.2">
      <c r="A399" s="32"/>
      <c r="B399" s="32"/>
      <c r="C399" s="32"/>
      <c r="D399" s="32"/>
      <c r="E399" s="32"/>
      <c r="F399" s="32"/>
      <c r="G399" s="32"/>
      <c r="H399" s="32"/>
      <c r="I399" s="32"/>
      <c r="J399" s="130"/>
      <c r="K399" s="130"/>
      <c r="L399" s="32"/>
    </row>
    <row r="400" spans="1:12" x14ac:dyDescent="0.2">
      <c r="A400" s="287" t="s">
        <v>76</v>
      </c>
      <c r="B400" s="271"/>
      <c r="C400" s="271"/>
      <c r="D400" s="311"/>
      <c r="E400" s="16" t="s">
        <v>77</v>
      </c>
      <c r="F400" s="16" t="s">
        <v>78</v>
      </c>
      <c r="G400" s="532" t="s">
        <v>2576</v>
      </c>
      <c r="H400" s="482"/>
      <c r="I400" s="390" t="s">
        <v>2579</v>
      </c>
      <c r="J400" s="611"/>
      <c r="K400" s="611"/>
      <c r="L400" s="612"/>
    </row>
    <row r="401" spans="1:12" ht="13.5" x14ac:dyDescent="0.2">
      <c r="A401" s="542" t="s">
        <v>2911</v>
      </c>
      <c r="B401" s="535" t="s">
        <v>1316</v>
      </c>
      <c r="C401" s="275"/>
      <c r="D401" s="276"/>
      <c r="E401" s="542" t="s">
        <v>999</v>
      </c>
      <c r="F401" s="536">
        <f>+I401</f>
        <v>1</v>
      </c>
      <c r="G401" s="295" t="s">
        <v>444</v>
      </c>
      <c r="H401" s="273"/>
      <c r="I401" s="9">
        <f>I402</f>
        <v>1</v>
      </c>
      <c r="J401" s="546"/>
      <c r="K401" s="275"/>
      <c r="L401" s="276"/>
    </row>
    <row r="402" spans="1:12" ht="13.5" x14ac:dyDescent="0.2">
      <c r="A402" s="534"/>
      <c r="B402" s="284"/>
      <c r="C402" s="285"/>
      <c r="D402" s="286"/>
      <c r="E402" s="534"/>
      <c r="F402" s="534"/>
      <c r="G402" s="295" t="s">
        <v>453</v>
      </c>
      <c r="H402" s="273"/>
      <c r="I402" s="28">
        <v>1</v>
      </c>
      <c r="J402" s="284"/>
      <c r="K402" s="285"/>
      <c r="L402" s="286"/>
    </row>
    <row r="403" spans="1:12" ht="13.5" x14ac:dyDescent="0.2">
      <c r="A403" s="534"/>
      <c r="B403" s="284"/>
      <c r="C403" s="285"/>
      <c r="D403" s="286"/>
      <c r="E403" s="534"/>
      <c r="F403" s="534"/>
      <c r="G403" s="295" t="s">
        <v>2583</v>
      </c>
      <c r="H403" s="273"/>
      <c r="I403" s="28"/>
      <c r="J403" s="284"/>
      <c r="K403" s="285"/>
      <c r="L403" s="286"/>
    </row>
    <row r="404" spans="1:12" ht="13.5" x14ac:dyDescent="0.2">
      <c r="A404" s="534"/>
      <c r="B404" s="284"/>
      <c r="C404" s="285"/>
      <c r="D404" s="286"/>
      <c r="E404" s="534"/>
      <c r="F404" s="534"/>
      <c r="G404" s="295" t="s">
        <v>2584</v>
      </c>
      <c r="H404" s="273"/>
      <c r="I404" s="28"/>
      <c r="J404" s="284"/>
      <c r="K404" s="285"/>
      <c r="L404" s="286"/>
    </row>
    <row r="405" spans="1:12" ht="13.5" x14ac:dyDescent="0.2">
      <c r="A405" s="534"/>
      <c r="B405" s="284"/>
      <c r="C405" s="285"/>
      <c r="D405" s="286"/>
      <c r="E405" s="534"/>
      <c r="F405" s="534"/>
      <c r="G405" s="295" t="s">
        <v>2585</v>
      </c>
      <c r="H405" s="273"/>
      <c r="I405" s="28"/>
      <c r="J405" s="284"/>
      <c r="K405" s="285"/>
      <c r="L405" s="286"/>
    </row>
    <row r="406" spans="1:12" ht="13.5" x14ac:dyDescent="0.2">
      <c r="A406" s="534"/>
      <c r="B406" s="284"/>
      <c r="C406" s="285"/>
      <c r="D406" s="286"/>
      <c r="E406" s="534"/>
      <c r="F406" s="534"/>
      <c r="G406" s="295" t="s">
        <v>2586</v>
      </c>
      <c r="H406" s="273"/>
      <c r="I406" s="28"/>
      <c r="J406" s="284"/>
      <c r="K406" s="285"/>
      <c r="L406" s="286"/>
    </row>
    <row r="407" spans="1:12" ht="13.5" x14ac:dyDescent="0.2">
      <c r="A407" s="534"/>
      <c r="B407" s="284"/>
      <c r="C407" s="285"/>
      <c r="D407" s="286"/>
      <c r="E407" s="534"/>
      <c r="F407" s="534"/>
      <c r="G407" s="295" t="s">
        <v>2587</v>
      </c>
      <c r="H407" s="273"/>
      <c r="I407" s="28"/>
      <c r="J407" s="284"/>
      <c r="K407" s="285"/>
      <c r="L407" s="286"/>
    </row>
    <row r="408" spans="1:12" ht="13.5" x14ac:dyDescent="0.2">
      <c r="A408" s="534"/>
      <c r="B408" s="284"/>
      <c r="C408" s="285"/>
      <c r="D408" s="286"/>
      <c r="E408" s="534"/>
      <c r="F408" s="534"/>
      <c r="G408" s="295" t="s">
        <v>2912</v>
      </c>
      <c r="H408" s="273"/>
      <c r="I408" s="28"/>
      <c r="J408" s="284"/>
      <c r="K408" s="285"/>
      <c r="L408" s="286"/>
    </row>
    <row r="409" spans="1:12" ht="13.5" x14ac:dyDescent="0.2">
      <c r="A409" s="281"/>
      <c r="B409" s="277"/>
      <c r="C409" s="278"/>
      <c r="D409" s="279"/>
      <c r="E409" s="281"/>
      <c r="F409" s="281"/>
      <c r="G409" s="295" t="s">
        <v>2913</v>
      </c>
      <c r="H409" s="273"/>
      <c r="I409" s="28"/>
      <c r="J409" s="277"/>
      <c r="K409" s="278"/>
      <c r="L409" s="279"/>
    </row>
    <row r="411" spans="1:12" x14ac:dyDescent="0.2">
      <c r="A411" s="545" t="s">
        <v>2914</v>
      </c>
      <c r="B411" s="545"/>
      <c r="C411" s="545"/>
      <c r="D411" s="545"/>
      <c r="E411" s="545"/>
      <c r="F411" s="545"/>
      <c r="G411" s="545"/>
      <c r="H411" s="545"/>
      <c r="I411" s="545"/>
      <c r="J411" s="545"/>
      <c r="K411" s="545"/>
      <c r="L411" s="545"/>
    </row>
    <row r="412" spans="1:12" x14ac:dyDescent="0.2">
      <c r="A412" s="545"/>
      <c r="B412" s="545"/>
      <c r="C412" s="545"/>
      <c r="D412" s="545"/>
      <c r="E412" s="545"/>
      <c r="F412" s="545"/>
      <c r="G412" s="545"/>
      <c r="H412" s="545"/>
      <c r="I412" s="545"/>
      <c r="J412" s="545"/>
      <c r="K412" s="545"/>
      <c r="L412" s="545"/>
    </row>
    <row r="413" spans="1:12" ht="13.5" x14ac:dyDescent="0.25">
      <c r="A413" s="18"/>
      <c r="B413" s="18"/>
      <c r="C413" s="18"/>
      <c r="D413" s="18"/>
      <c r="E413" s="18"/>
      <c r="F413" s="18"/>
      <c r="G413" s="18"/>
      <c r="H413" s="18"/>
      <c r="I413" s="18"/>
      <c r="J413" s="18"/>
      <c r="K413" s="18"/>
      <c r="L413" s="18"/>
    </row>
    <row r="414" spans="1:12" x14ac:dyDescent="0.2">
      <c r="A414" s="390" t="s">
        <v>76</v>
      </c>
      <c r="B414" s="611"/>
      <c r="C414" s="611"/>
      <c r="D414" s="612"/>
      <c r="E414" s="16" t="s">
        <v>77</v>
      </c>
      <c r="F414" s="16" t="s">
        <v>78</v>
      </c>
      <c r="G414" s="532" t="s">
        <v>2576</v>
      </c>
      <c r="H414" s="628"/>
      <c r="I414" s="390" t="s">
        <v>2579</v>
      </c>
      <c r="J414" s="611"/>
      <c r="K414" s="611"/>
      <c r="L414" s="612"/>
    </row>
    <row r="415" spans="1:12" ht="13.5" x14ac:dyDescent="0.2">
      <c r="A415" s="613" t="s">
        <v>2915</v>
      </c>
      <c r="B415" s="602" t="s">
        <v>1348</v>
      </c>
      <c r="C415" s="603"/>
      <c r="D415" s="604"/>
      <c r="E415" s="613" t="s">
        <v>934</v>
      </c>
      <c r="F415" s="616">
        <f>I415</f>
        <v>0.71624999999999983</v>
      </c>
      <c r="G415" s="600" t="s">
        <v>444</v>
      </c>
      <c r="H415" s="601"/>
      <c r="I415" s="9">
        <f>I422</f>
        <v>0.71624999999999983</v>
      </c>
      <c r="J415" s="619"/>
      <c r="K415" s="620"/>
      <c r="L415" s="621"/>
    </row>
    <row r="416" spans="1:12" ht="13.5" x14ac:dyDescent="0.2">
      <c r="A416" s="614"/>
      <c r="B416" s="605"/>
      <c r="C416" s="606"/>
      <c r="D416" s="607"/>
      <c r="E416" s="614"/>
      <c r="F416" s="617"/>
      <c r="G416" s="600" t="s">
        <v>453</v>
      </c>
      <c r="H416" s="601"/>
      <c r="I416" s="28">
        <v>1</v>
      </c>
      <c r="J416" s="622"/>
      <c r="K416" s="623"/>
      <c r="L416" s="624"/>
    </row>
    <row r="417" spans="1:12" ht="13.5" x14ac:dyDescent="0.2">
      <c r="A417" s="614"/>
      <c r="B417" s="605"/>
      <c r="C417" s="606"/>
      <c r="D417" s="607"/>
      <c r="E417" s="614"/>
      <c r="F417" s="617"/>
      <c r="G417" s="600" t="s">
        <v>2916</v>
      </c>
      <c r="H417" s="601"/>
      <c r="I417" s="28">
        <f>1+0.15+0.15</f>
        <v>1.2999999999999998</v>
      </c>
      <c r="J417" s="622"/>
      <c r="K417" s="623"/>
      <c r="L417" s="624"/>
    </row>
    <row r="418" spans="1:12" ht="13.5" x14ac:dyDescent="0.2">
      <c r="A418" s="614"/>
      <c r="B418" s="605"/>
      <c r="C418" s="606"/>
      <c r="D418" s="607"/>
      <c r="E418" s="614"/>
      <c r="F418" s="617"/>
      <c r="G418" s="600" t="s">
        <v>2917</v>
      </c>
      <c r="H418" s="601"/>
      <c r="I418" s="28">
        <f>0.61</f>
        <v>0.61</v>
      </c>
      <c r="J418" s="622"/>
      <c r="K418" s="623"/>
      <c r="L418" s="624"/>
    </row>
    <row r="419" spans="1:12" ht="13.5" x14ac:dyDescent="0.2">
      <c r="A419" s="614"/>
      <c r="B419" s="605"/>
      <c r="C419" s="606"/>
      <c r="D419" s="607"/>
      <c r="E419" s="614"/>
      <c r="F419" s="617"/>
      <c r="G419" s="600" t="s">
        <v>2583</v>
      </c>
      <c r="H419" s="601"/>
      <c r="I419" s="28">
        <f>0.6+0.15</f>
        <v>0.75</v>
      </c>
      <c r="J419" s="622"/>
      <c r="K419" s="623"/>
      <c r="L419" s="624"/>
    </row>
    <row r="420" spans="1:12" ht="13.5" x14ac:dyDescent="0.2">
      <c r="A420" s="614"/>
      <c r="B420" s="605"/>
      <c r="C420" s="606"/>
      <c r="D420" s="607"/>
      <c r="E420" s="614"/>
      <c r="F420" s="617"/>
      <c r="G420" s="600" t="s">
        <v>2586</v>
      </c>
      <c r="H420" s="601"/>
      <c r="I420" s="28"/>
      <c r="J420" s="622"/>
      <c r="K420" s="623"/>
      <c r="L420" s="624"/>
    </row>
    <row r="421" spans="1:12" ht="13.5" x14ac:dyDescent="0.2">
      <c r="A421" s="614"/>
      <c r="B421" s="605"/>
      <c r="C421" s="606"/>
      <c r="D421" s="607"/>
      <c r="E421" s="614"/>
      <c r="F421" s="617"/>
      <c r="G421" s="600" t="s">
        <v>2587</v>
      </c>
      <c r="H421" s="601"/>
      <c r="I421" s="28"/>
      <c r="J421" s="622"/>
      <c r="K421" s="623"/>
      <c r="L421" s="624"/>
    </row>
    <row r="422" spans="1:12" ht="13.5" x14ac:dyDescent="0.2">
      <c r="A422" s="614"/>
      <c r="B422" s="605"/>
      <c r="C422" s="606"/>
      <c r="D422" s="607"/>
      <c r="E422" s="614"/>
      <c r="F422" s="617"/>
      <c r="G422" s="600" t="s">
        <v>2918</v>
      </c>
      <c r="H422" s="601"/>
      <c r="I422" s="28">
        <f>((I417+I418)*I419)/2</f>
        <v>0.71624999999999983</v>
      </c>
      <c r="J422" s="622"/>
      <c r="K422" s="623"/>
      <c r="L422" s="624"/>
    </row>
    <row r="423" spans="1:12" ht="13.5" x14ac:dyDescent="0.2">
      <c r="A423" s="615"/>
      <c r="B423" s="608"/>
      <c r="C423" s="609"/>
      <c r="D423" s="610"/>
      <c r="E423" s="615"/>
      <c r="F423" s="618"/>
      <c r="G423" s="600" t="s">
        <v>2919</v>
      </c>
      <c r="H423" s="601"/>
      <c r="I423" s="28"/>
      <c r="J423" s="625"/>
      <c r="K423" s="626"/>
      <c r="L423" s="627"/>
    </row>
    <row r="424" spans="1:12" ht="13.5" x14ac:dyDescent="0.25">
      <c r="A424" s="18"/>
      <c r="B424" s="18"/>
      <c r="C424" s="18"/>
      <c r="D424" s="18"/>
      <c r="E424" s="18"/>
      <c r="F424" s="18"/>
      <c r="G424" s="18"/>
      <c r="H424" s="18"/>
      <c r="I424" s="18"/>
      <c r="J424" s="18"/>
      <c r="K424" s="18"/>
      <c r="L424" s="18"/>
    </row>
    <row r="425" spans="1:12" x14ac:dyDescent="0.2">
      <c r="A425" s="390" t="s">
        <v>76</v>
      </c>
      <c r="B425" s="611"/>
      <c r="C425" s="611"/>
      <c r="D425" s="612"/>
      <c r="E425" s="16" t="s">
        <v>77</v>
      </c>
      <c r="F425" s="16" t="s">
        <v>78</v>
      </c>
      <c r="G425" s="532" t="s">
        <v>2576</v>
      </c>
      <c r="H425" s="628"/>
      <c r="I425" s="390" t="s">
        <v>2579</v>
      </c>
      <c r="J425" s="611"/>
      <c r="K425" s="611"/>
      <c r="L425" s="612"/>
    </row>
    <row r="426" spans="1:12" ht="13.5" x14ac:dyDescent="0.2">
      <c r="A426" s="613" t="s">
        <v>2920</v>
      </c>
      <c r="B426" s="602" t="s">
        <v>1308</v>
      </c>
      <c r="C426" s="603"/>
      <c r="D426" s="604"/>
      <c r="E426" s="613" t="s">
        <v>258</v>
      </c>
      <c r="F426" s="616">
        <f>I426</f>
        <v>0.14324999999999996</v>
      </c>
      <c r="G426" s="600" t="s">
        <v>444</v>
      </c>
      <c r="H426" s="601"/>
      <c r="I426" s="9">
        <f>I434*I431*I427</f>
        <v>0.14324999999999996</v>
      </c>
      <c r="J426" s="619"/>
      <c r="K426" s="620"/>
      <c r="L426" s="621"/>
    </row>
    <row r="427" spans="1:12" ht="13.5" x14ac:dyDescent="0.2">
      <c r="A427" s="614"/>
      <c r="B427" s="605"/>
      <c r="C427" s="606"/>
      <c r="D427" s="607"/>
      <c r="E427" s="614"/>
      <c r="F427" s="617"/>
      <c r="G427" s="600" t="s">
        <v>453</v>
      </c>
      <c r="H427" s="601"/>
      <c r="I427" s="28">
        <v>1</v>
      </c>
      <c r="J427" s="622"/>
      <c r="K427" s="623"/>
      <c r="L427" s="624"/>
    </row>
    <row r="428" spans="1:12" ht="13.5" x14ac:dyDescent="0.2">
      <c r="A428" s="614"/>
      <c r="B428" s="605"/>
      <c r="C428" s="606"/>
      <c r="D428" s="607"/>
      <c r="E428" s="614"/>
      <c r="F428" s="617"/>
      <c r="G428" s="600" t="s">
        <v>2916</v>
      </c>
      <c r="H428" s="601"/>
      <c r="I428" s="28">
        <f>1+0.15+0.15</f>
        <v>1.2999999999999998</v>
      </c>
      <c r="J428" s="622"/>
      <c r="K428" s="623"/>
      <c r="L428" s="624"/>
    </row>
    <row r="429" spans="1:12" ht="13.5" x14ac:dyDescent="0.2">
      <c r="A429" s="614"/>
      <c r="B429" s="605"/>
      <c r="C429" s="606"/>
      <c r="D429" s="607"/>
      <c r="E429" s="614"/>
      <c r="F429" s="617"/>
      <c r="G429" s="600" t="s">
        <v>2917</v>
      </c>
      <c r="H429" s="601"/>
      <c r="I429" s="28">
        <f>0.61</f>
        <v>0.61</v>
      </c>
      <c r="J429" s="622"/>
      <c r="K429" s="623"/>
      <c r="L429" s="624"/>
    </row>
    <row r="430" spans="1:12" ht="13.5" x14ac:dyDescent="0.2">
      <c r="A430" s="614"/>
      <c r="B430" s="605"/>
      <c r="C430" s="606"/>
      <c r="D430" s="607"/>
      <c r="E430" s="614"/>
      <c r="F430" s="617"/>
      <c r="G430" s="600" t="s">
        <v>2583</v>
      </c>
      <c r="H430" s="601"/>
      <c r="I430" s="28">
        <f>0.6+0.15</f>
        <v>0.75</v>
      </c>
      <c r="J430" s="622"/>
      <c r="K430" s="623"/>
      <c r="L430" s="624"/>
    </row>
    <row r="431" spans="1:12" ht="13.5" x14ac:dyDescent="0.2">
      <c r="A431" s="614"/>
      <c r="B431" s="605"/>
      <c r="C431" s="606"/>
      <c r="D431" s="607"/>
      <c r="E431" s="614"/>
      <c r="F431" s="617"/>
      <c r="G431" s="600" t="s">
        <v>2585</v>
      </c>
      <c r="H431" s="601"/>
      <c r="I431" s="28">
        <v>0.2</v>
      </c>
      <c r="J431" s="622"/>
      <c r="K431" s="623"/>
      <c r="L431" s="624"/>
    </row>
    <row r="432" spans="1:12" ht="13.5" x14ac:dyDescent="0.2">
      <c r="A432" s="614"/>
      <c r="B432" s="605"/>
      <c r="C432" s="606"/>
      <c r="D432" s="607"/>
      <c r="E432" s="614"/>
      <c r="F432" s="617"/>
      <c r="G432" s="600" t="s">
        <v>2586</v>
      </c>
      <c r="H432" s="601"/>
      <c r="I432" s="28"/>
      <c r="J432" s="622"/>
      <c r="K432" s="623"/>
      <c r="L432" s="624"/>
    </row>
    <row r="433" spans="1:12" ht="13.5" x14ac:dyDescent="0.25">
      <c r="A433" s="614"/>
      <c r="B433" s="605"/>
      <c r="C433" s="606"/>
      <c r="D433" s="607"/>
      <c r="E433" s="614"/>
      <c r="F433" s="617"/>
      <c r="G433" s="600" t="s">
        <v>2587</v>
      </c>
      <c r="H433" s="601"/>
      <c r="I433" s="18"/>
      <c r="J433" s="622"/>
      <c r="K433" s="623"/>
      <c r="L433" s="624"/>
    </row>
    <row r="434" spans="1:12" ht="13.5" x14ac:dyDescent="0.2">
      <c r="A434" s="614"/>
      <c r="B434" s="605"/>
      <c r="C434" s="606"/>
      <c r="D434" s="607"/>
      <c r="E434" s="614"/>
      <c r="F434" s="617"/>
      <c r="G434" s="600" t="s">
        <v>2921</v>
      </c>
      <c r="H434" s="601"/>
      <c r="I434" s="28">
        <f>((I428+I429)*I430)/2</f>
        <v>0.71624999999999983</v>
      </c>
      <c r="J434" s="622"/>
      <c r="K434" s="623"/>
      <c r="L434" s="624"/>
    </row>
    <row r="435" spans="1:12" ht="13.5" x14ac:dyDescent="0.2">
      <c r="A435" s="615"/>
      <c r="B435" s="608"/>
      <c r="C435" s="609"/>
      <c r="D435" s="610"/>
      <c r="E435" s="615"/>
      <c r="F435" s="618"/>
      <c r="G435" s="600" t="s">
        <v>2922</v>
      </c>
      <c r="H435" s="601"/>
      <c r="I435" s="28"/>
      <c r="J435" s="625"/>
      <c r="K435" s="626"/>
      <c r="L435" s="627"/>
    </row>
    <row r="436" spans="1:12" ht="13.5" x14ac:dyDescent="0.2">
      <c r="A436" s="134"/>
      <c r="B436" s="22"/>
      <c r="C436" s="22"/>
      <c r="D436" s="22"/>
      <c r="E436" s="22"/>
      <c r="F436" s="22"/>
      <c r="G436" s="22"/>
      <c r="H436" s="22"/>
      <c r="I436" s="22"/>
      <c r="J436" s="22"/>
      <c r="K436" s="22"/>
      <c r="L436" s="22"/>
    </row>
    <row r="437" spans="1:12" x14ac:dyDescent="0.2">
      <c r="A437" s="390" t="s">
        <v>76</v>
      </c>
      <c r="B437" s="611"/>
      <c r="C437" s="611"/>
      <c r="D437" s="612"/>
      <c r="E437" s="16" t="s">
        <v>77</v>
      </c>
      <c r="F437" s="16" t="s">
        <v>78</v>
      </c>
      <c r="G437" s="532" t="s">
        <v>2576</v>
      </c>
      <c r="H437" s="628"/>
      <c r="I437" s="390" t="s">
        <v>2579</v>
      </c>
      <c r="J437" s="611"/>
      <c r="K437" s="611"/>
      <c r="L437" s="612"/>
    </row>
    <row r="438" spans="1:12" ht="13.5" x14ac:dyDescent="0.2">
      <c r="A438" s="613" t="s">
        <v>2923</v>
      </c>
      <c r="B438" s="602" t="s">
        <v>1309</v>
      </c>
      <c r="C438" s="603"/>
      <c r="D438" s="604"/>
      <c r="E438" s="613" t="s">
        <v>258</v>
      </c>
      <c r="F438" s="616">
        <f>I438</f>
        <v>0.14324999999999996</v>
      </c>
      <c r="G438" s="600" t="s">
        <v>444</v>
      </c>
      <c r="H438" s="601"/>
      <c r="I438" s="9">
        <f>I439*I442*I445</f>
        <v>0.14324999999999996</v>
      </c>
      <c r="J438" s="619"/>
      <c r="K438" s="620"/>
      <c r="L438" s="621"/>
    </row>
    <row r="439" spans="1:12" ht="13.5" x14ac:dyDescent="0.2">
      <c r="A439" s="614"/>
      <c r="B439" s="605"/>
      <c r="C439" s="606"/>
      <c r="D439" s="607"/>
      <c r="E439" s="614"/>
      <c r="F439" s="617"/>
      <c r="G439" s="600" t="s">
        <v>453</v>
      </c>
      <c r="H439" s="601"/>
      <c r="I439" s="28">
        <v>1</v>
      </c>
      <c r="J439" s="622"/>
      <c r="K439" s="623"/>
      <c r="L439" s="624"/>
    </row>
    <row r="440" spans="1:12" ht="13.5" x14ac:dyDescent="0.2">
      <c r="A440" s="614"/>
      <c r="B440" s="605"/>
      <c r="C440" s="606"/>
      <c r="D440" s="607"/>
      <c r="E440" s="614"/>
      <c r="F440" s="617"/>
      <c r="G440" s="600" t="s">
        <v>2583</v>
      </c>
      <c r="H440" s="601"/>
      <c r="I440" s="28"/>
      <c r="J440" s="622"/>
      <c r="K440" s="623"/>
      <c r="L440" s="624"/>
    </row>
    <row r="441" spans="1:12" ht="13.5" x14ac:dyDescent="0.2">
      <c r="A441" s="614"/>
      <c r="B441" s="605"/>
      <c r="C441" s="606"/>
      <c r="D441" s="607"/>
      <c r="E441" s="614"/>
      <c r="F441" s="617"/>
      <c r="G441" s="600" t="s">
        <v>2584</v>
      </c>
      <c r="H441" s="601"/>
      <c r="I441" s="28"/>
      <c r="J441" s="622"/>
      <c r="K441" s="623"/>
      <c r="L441" s="624"/>
    </row>
    <row r="442" spans="1:12" ht="13.5" x14ac:dyDescent="0.2">
      <c r="A442" s="614"/>
      <c r="B442" s="605"/>
      <c r="C442" s="606"/>
      <c r="D442" s="607"/>
      <c r="E442" s="614"/>
      <c r="F442" s="617"/>
      <c r="G442" s="600" t="s">
        <v>2585</v>
      </c>
      <c r="H442" s="601"/>
      <c r="I442" s="28">
        <v>0.2</v>
      </c>
      <c r="J442" s="622"/>
      <c r="K442" s="623"/>
      <c r="L442" s="624"/>
    </row>
    <row r="443" spans="1:12" ht="13.5" x14ac:dyDescent="0.2">
      <c r="A443" s="614"/>
      <c r="B443" s="605"/>
      <c r="C443" s="606"/>
      <c r="D443" s="607"/>
      <c r="E443" s="614"/>
      <c r="F443" s="617"/>
      <c r="G443" s="600" t="s">
        <v>2586</v>
      </c>
      <c r="H443" s="601"/>
      <c r="I443" s="28"/>
      <c r="J443" s="622"/>
      <c r="K443" s="623"/>
      <c r="L443" s="624"/>
    </row>
    <row r="444" spans="1:12" ht="13.5" x14ac:dyDescent="0.2">
      <c r="A444" s="614"/>
      <c r="B444" s="605"/>
      <c r="C444" s="606"/>
      <c r="D444" s="607"/>
      <c r="E444" s="614"/>
      <c r="F444" s="617"/>
      <c r="G444" s="600" t="s">
        <v>2587</v>
      </c>
      <c r="H444" s="601"/>
      <c r="I444" s="28"/>
      <c r="J444" s="622"/>
      <c r="K444" s="623"/>
      <c r="L444" s="624"/>
    </row>
    <row r="445" spans="1:12" ht="13.5" x14ac:dyDescent="0.2">
      <c r="A445" s="614"/>
      <c r="B445" s="605"/>
      <c r="C445" s="606"/>
      <c r="D445" s="607"/>
      <c r="E445" s="614"/>
      <c r="F445" s="617"/>
      <c r="G445" s="600" t="s">
        <v>2924</v>
      </c>
      <c r="H445" s="601"/>
      <c r="I445" s="28">
        <v>0.71624999999999983</v>
      </c>
      <c r="J445" s="622"/>
      <c r="K445" s="623"/>
      <c r="L445" s="624"/>
    </row>
    <row r="446" spans="1:12" ht="13.5" x14ac:dyDescent="0.2">
      <c r="A446" s="615"/>
      <c r="B446" s="608"/>
      <c r="C446" s="609"/>
      <c r="D446" s="610"/>
      <c r="E446" s="615"/>
      <c r="F446" s="618"/>
      <c r="G446" s="600" t="s">
        <v>2925</v>
      </c>
      <c r="H446" s="601"/>
      <c r="I446" s="28"/>
      <c r="J446" s="625"/>
      <c r="K446" s="626"/>
      <c r="L446" s="627"/>
    </row>
    <row r="447" spans="1:12" ht="13.5" x14ac:dyDescent="0.2">
      <c r="A447" s="134"/>
      <c r="B447" s="22"/>
      <c r="C447" s="22"/>
      <c r="D447" s="22"/>
      <c r="E447" s="22"/>
      <c r="F447" s="22"/>
      <c r="G447" s="22"/>
      <c r="H447" s="22"/>
      <c r="I447" s="22"/>
      <c r="J447" s="22"/>
      <c r="K447" s="22"/>
      <c r="L447" s="22"/>
    </row>
    <row r="448" spans="1:12" x14ac:dyDescent="0.2">
      <c r="A448" s="390" t="s">
        <v>76</v>
      </c>
      <c r="B448" s="611"/>
      <c r="C448" s="611"/>
      <c r="D448" s="612"/>
      <c r="E448" s="16" t="s">
        <v>77</v>
      </c>
      <c r="F448" s="16" t="s">
        <v>78</v>
      </c>
      <c r="G448" s="532" t="s">
        <v>2576</v>
      </c>
      <c r="H448" s="628"/>
      <c r="I448" s="390" t="s">
        <v>2579</v>
      </c>
      <c r="J448" s="611"/>
      <c r="K448" s="611"/>
      <c r="L448" s="612"/>
    </row>
    <row r="449" spans="1:12" ht="13.5" x14ac:dyDescent="0.2">
      <c r="A449" s="613" t="s">
        <v>2926</v>
      </c>
      <c r="B449" s="602" t="s">
        <v>1310</v>
      </c>
      <c r="C449" s="603"/>
      <c r="D449" s="604"/>
      <c r="E449" s="613" t="s">
        <v>258</v>
      </c>
      <c r="F449" s="616">
        <f>I449</f>
        <v>3.581249999999999E-2</v>
      </c>
      <c r="G449" s="600" t="s">
        <v>444</v>
      </c>
      <c r="H449" s="601"/>
      <c r="I449" s="9">
        <f>I450*I453*I456</f>
        <v>3.581249999999999E-2</v>
      </c>
      <c r="J449" s="619"/>
      <c r="K449" s="620"/>
      <c r="L449" s="621"/>
    </row>
    <row r="450" spans="1:12" ht="13.5" x14ac:dyDescent="0.2">
      <c r="A450" s="614"/>
      <c r="B450" s="605"/>
      <c r="C450" s="606"/>
      <c r="D450" s="607"/>
      <c r="E450" s="614"/>
      <c r="F450" s="617"/>
      <c r="G450" s="600" t="s">
        <v>453</v>
      </c>
      <c r="H450" s="601"/>
      <c r="I450" s="28">
        <v>1</v>
      </c>
      <c r="J450" s="622"/>
      <c r="K450" s="623"/>
      <c r="L450" s="624"/>
    </row>
    <row r="451" spans="1:12" ht="13.5" x14ac:dyDescent="0.2">
      <c r="A451" s="614"/>
      <c r="B451" s="605"/>
      <c r="C451" s="606"/>
      <c r="D451" s="607"/>
      <c r="E451" s="614"/>
      <c r="F451" s="617"/>
      <c r="G451" s="600" t="s">
        <v>2583</v>
      </c>
      <c r="H451" s="601"/>
      <c r="I451" s="28"/>
      <c r="J451" s="622"/>
      <c r="K451" s="623"/>
      <c r="L451" s="624"/>
    </row>
    <row r="452" spans="1:12" ht="13.5" x14ac:dyDescent="0.2">
      <c r="A452" s="614"/>
      <c r="B452" s="605"/>
      <c r="C452" s="606"/>
      <c r="D452" s="607"/>
      <c r="E452" s="614"/>
      <c r="F452" s="617"/>
      <c r="G452" s="600" t="s">
        <v>2584</v>
      </c>
      <c r="H452" s="601"/>
      <c r="I452" s="28"/>
      <c r="J452" s="622"/>
      <c r="K452" s="623"/>
      <c r="L452" s="624"/>
    </row>
    <row r="453" spans="1:12" ht="13.5" x14ac:dyDescent="0.2">
      <c r="A453" s="614"/>
      <c r="B453" s="605"/>
      <c r="C453" s="606"/>
      <c r="D453" s="607"/>
      <c r="E453" s="614"/>
      <c r="F453" s="617"/>
      <c r="G453" s="600" t="s">
        <v>2585</v>
      </c>
      <c r="H453" s="601"/>
      <c r="I453" s="28">
        <v>0.05</v>
      </c>
      <c r="J453" s="622"/>
      <c r="K453" s="623"/>
      <c r="L453" s="624"/>
    </row>
    <row r="454" spans="1:12" ht="13.5" x14ac:dyDescent="0.2">
      <c r="A454" s="614"/>
      <c r="B454" s="605"/>
      <c r="C454" s="606"/>
      <c r="D454" s="607"/>
      <c r="E454" s="614"/>
      <c r="F454" s="617"/>
      <c r="G454" s="600" t="s">
        <v>2586</v>
      </c>
      <c r="H454" s="601"/>
      <c r="I454" s="28"/>
      <c r="J454" s="622"/>
      <c r="K454" s="623"/>
      <c r="L454" s="624"/>
    </row>
    <row r="455" spans="1:12" ht="13.5" x14ac:dyDescent="0.2">
      <c r="A455" s="614"/>
      <c r="B455" s="605"/>
      <c r="C455" s="606"/>
      <c r="D455" s="607"/>
      <c r="E455" s="614"/>
      <c r="F455" s="617"/>
      <c r="G455" s="600" t="s">
        <v>2587</v>
      </c>
      <c r="H455" s="601"/>
      <c r="I455" s="28"/>
      <c r="J455" s="622"/>
      <c r="K455" s="623"/>
      <c r="L455" s="624"/>
    </row>
    <row r="456" spans="1:12" ht="13.5" x14ac:dyDescent="0.2">
      <c r="A456" s="614"/>
      <c r="B456" s="605"/>
      <c r="C456" s="606"/>
      <c r="D456" s="607"/>
      <c r="E456" s="614"/>
      <c r="F456" s="617"/>
      <c r="G456" s="600" t="s">
        <v>2927</v>
      </c>
      <c r="H456" s="601"/>
      <c r="I456" s="28">
        <v>0.71624999999999983</v>
      </c>
      <c r="J456" s="622"/>
      <c r="K456" s="623"/>
      <c r="L456" s="624"/>
    </row>
    <row r="457" spans="1:12" ht="13.5" x14ac:dyDescent="0.2">
      <c r="A457" s="615"/>
      <c r="B457" s="608"/>
      <c r="C457" s="609"/>
      <c r="D457" s="610"/>
      <c r="E457" s="615"/>
      <c r="F457" s="618"/>
      <c r="G457" s="600" t="s">
        <v>2928</v>
      </c>
      <c r="H457" s="601"/>
      <c r="I457" s="28"/>
      <c r="J457" s="625"/>
      <c r="K457" s="626"/>
      <c r="L457" s="627"/>
    </row>
    <row r="458" spans="1:12" ht="13.5" x14ac:dyDescent="0.25">
      <c r="A458" s="18"/>
      <c r="B458" s="18"/>
      <c r="C458" s="18"/>
      <c r="D458" s="18"/>
      <c r="E458" s="18"/>
      <c r="F458" s="18"/>
      <c r="G458" s="18"/>
      <c r="H458" s="18"/>
      <c r="I458" s="18"/>
      <c r="J458" s="18"/>
      <c r="K458" s="18"/>
      <c r="L458" s="18"/>
    </row>
    <row r="459" spans="1:12" x14ac:dyDescent="0.2">
      <c r="A459" s="390" t="s">
        <v>76</v>
      </c>
      <c r="B459" s="611"/>
      <c r="C459" s="611"/>
      <c r="D459" s="612"/>
      <c r="E459" s="16" t="s">
        <v>77</v>
      </c>
      <c r="F459" s="16" t="s">
        <v>78</v>
      </c>
      <c r="G459" s="532" t="s">
        <v>2576</v>
      </c>
      <c r="H459" s="628"/>
      <c r="I459" s="390" t="s">
        <v>2579</v>
      </c>
      <c r="J459" s="611"/>
      <c r="K459" s="611"/>
      <c r="L459" s="612"/>
    </row>
    <row r="460" spans="1:12" ht="13.5" x14ac:dyDescent="0.2">
      <c r="A460" s="613" t="s">
        <v>2929</v>
      </c>
      <c r="B460" s="602" t="s">
        <v>1311</v>
      </c>
      <c r="C460" s="603"/>
      <c r="D460" s="604"/>
      <c r="E460" s="613" t="s">
        <v>969</v>
      </c>
      <c r="F460" s="616">
        <f>I460</f>
        <v>22</v>
      </c>
      <c r="G460" s="600" t="s">
        <v>444</v>
      </c>
      <c r="H460" s="601"/>
      <c r="I460" s="9">
        <f>I461*I465</f>
        <v>22</v>
      </c>
      <c r="J460" s="619"/>
      <c r="K460" s="620"/>
      <c r="L460" s="621"/>
    </row>
    <row r="461" spans="1:12" ht="13.5" x14ac:dyDescent="0.2">
      <c r="A461" s="614"/>
      <c r="B461" s="605"/>
      <c r="C461" s="606"/>
      <c r="D461" s="607"/>
      <c r="E461" s="614"/>
      <c r="F461" s="617"/>
      <c r="G461" s="600" t="s">
        <v>453</v>
      </c>
      <c r="H461" s="601"/>
      <c r="I461" s="28">
        <v>1</v>
      </c>
      <c r="J461" s="622"/>
      <c r="K461" s="623"/>
      <c r="L461" s="624"/>
    </row>
    <row r="462" spans="1:12" ht="13.5" x14ac:dyDescent="0.2">
      <c r="A462" s="614"/>
      <c r="B462" s="605"/>
      <c r="C462" s="606"/>
      <c r="D462" s="607"/>
      <c r="E462" s="614"/>
      <c r="F462" s="617"/>
      <c r="G462" s="600" t="s">
        <v>2583</v>
      </c>
      <c r="H462" s="601"/>
      <c r="I462" s="28"/>
      <c r="J462" s="622"/>
      <c r="K462" s="623"/>
      <c r="L462" s="624"/>
    </row>
    <row r="463" spans="1:12" ht="13.5" x14ac:dyDescent="0.2">
      <c r="A463" s="614"/>
      <c r="B463" s="605"/>
      <c r="C463" s="606"/>
      <c r="D463" s="607"/>
      <c r="E463" s="614"/>
      <c r="F463" s="617"/>
      <c r="G463" s="600" t="s">
        <v>2584</v>
      </c>
      <c r="H463" s="601"/>
      <c r="I463" s="28"/>
      <c r="J463" s="622"/>
      <c r="K463" s="623"/>
      <c r="L463" s="624"/>
    </row>
    <row r="464" spans="1:12" ht="13.5" x14ac:dyDescent="0.2">
      <c r="A464" s="614"/>
      <c r="B464" s="605"/>
      <c r="C464" s="606"/>
      <c r="D464" s="607"/>
      <c r="E464" s="614"/>
      <c r="F464" s="617"/>
      <c r="G464" s="600" t="s">
        <v>2585</v>
      </c>
      <c r="H464" s="601"/>
      <c r="I464" s="28"/>
      <c r="J464" s="622"/>
      <c r="K464" s="623"/>
      <c r="L464" s="624"/>
    </row>
    <row r="465" spans="1:12" ht="13.5" x14ac:dyDescent="0.2">
      <c r="A465" s="614"/>
      <c r="B465" s="605"/>
      <c r="C465" s="606"/>
      <c r="D465" s="607"/>
      <c r="E465" s="614"/>
      <c r="F465" s="617"/>
      <c r="G465" s="600" t="s">
        <v>2586</v>
      </c>
      <c r="H465" s="601"/>
      <c r="I465" s="28">
        <v>22</v>
      </c>
      <c r="J465" s="622"/>
      <c r="K465" s="623"/>
      <c r="L465" s="624"/>
    </row>
    <row r="466" spans="1:12" ht="13.5" x14ac:dyDescent="0.2">
      <c r="A466" s="614"/>
      <c r="B466" s="605"/>
      <c r="C466" s="606"/>
      <c r="D466" s="607"/>
      <c r="E466" s="614"/>
      <c r="F466" s="617"/>
      <c r="G466" s="600" t="s">
        <v>2587</v>
      </c>
      <c r="H466" s="601"/>
      <c r="I466" s="28"/>
      <c r="J466" s="622"/>
      <c r="K466" s="623"/>
      <c r="L466" s="624"/>
    </row>
    <row r="467" spans="1:12" ht="13.5" x14ac:dyDescent="0.2">
      <c r="A467" s="614"/>
      <c r="B467" s="605"/>
      <c r="C467" s="606"/>
      <c r="D467" s="607"/>
      <c r="E467" s="614"/>
      <c r="F467" s="617"/>
      <c r="G467" s="600" t="s">
        <v>2930</v>
      </c>
      <c r="H467" s="601"/>
      <c r="I467" s="28"/>
      <c r="J467" s="622"/>
      <c r="K467" s="623"/>
      <c r="L467" s="624"/>
    </row>
    <row r="468" spans="1:12" ht="13.5" x14ac:dyDescent="0.2">
      <c r="A468" s="615"/>
      <c r="B468" s="608"/>
      <c r="C468" s="609"/>
      <c r="D468" s="610"/>
      <c r="E468" s="615"/>
      <c r="F468" s="618"/>
      <c r="G468" s="600" t="s">
        <v>2931</v>
      </c>
      <c r="H468" s="601"/>
      <c r="I468" s="124"/>
      <c r="J468" s="625"/>
      <c r="K468" s="626"/>
      <c r="L468" s="627"/>
    </row>
    <row r="469" spans="1:12" ht="13.5" x14ac:dyDescent="0.25">
      <c r="A469" s="18"/>
      <c r="B469" s="18"/>
      <c r="C469" s="18"/>
      <c r="D469" s="18"/>
      <c r="E469" s="18"/>
      <c r="F469" s="18"/>
      <c r="G469" s="18"/>
      <c r="H469" s="18"/>
      <c r="I469" s="18"/>
      <c r="J469" s="18"/>
      <c r="K469" s="18"/>
      <c r="L469" s="18"/>
    </row>
    <row r="470" spans="1:12" x14ac:dyDescent="0.2">
      <c r="A470" s="390" t="s">
        <v>76</v>
      </c>
      <c r="B470" s="611"/>
      <c r="C470" s="611"/>
      <c r="D470" s="612"/>
      <c r="E470" s="16" t="s">
        <v>77</v>
      </c>
      <c r="F470" s="16" t="s">
        <v>78</v>
      </c>
      <c r="G470" s="532" t="s">
        <v>2576</v>
      </c>
      <c r="H470" s="628"/>
      <c r="I470" s="390" t="s">
        <v>2579</v>
      </c>
      <c r="J470" s="611"/>
      <c r="K470" s="611"/>
      <c r="L470" s="612"/>
    </row>
    <row r="471" spans="1:12" ht="13.5" x14ac:dyDescent="0.2">
      <c r="A471" s="613" t="s">
        <v>2932</v>
      </c>
      <c r="B471" s="602" t="s">
        <v>1313</v>
      </c>
      <c r="C471" s="603"/>
      <c r="D471" s="604"/>
      <c r="E471" s="613" t="s">
        <v>934</v>
      </c>
      <c r="F471" s="616">
        <f>I471</f>
        <v>3.1500000000000004</v>
      </c>
      <c r="G471" s="600" t="s">
        <v>444</v>
      </c>
      <c r="H471" s="601"/>
      <c r="I471" s="9">
        <f>I472*I473*I475</f>
        <v>3.1500000000000004</v>
      </c>
      <c r="J471" s="619"/>
      <c r="K471" s="620"/>
      <c r="L471" s="621"/>
    </row>
    <row r="472" spans="1:12" ht="13.5" x14ac:dyDescent="0.2">
      <c r="A472" s="614"/>
      <c r="B472" s="605"/>
      <c r="C472" s="606"/>
      <c r="D472" s="607"/>
      <c r="E472" s="614"/>
      <c r="F472" s="617"/>
      <c r="G472" s="600" t="s">
        <v>453</v>
      </c>
      <c r="H472" s="601"/>
      <c r="I472" s="28">
        <v>4</v>
      </c>
      <c r="J472" s="622"/>
      <c r="K472" s="623"/>
      <c r="L472" s="624"/>
    </row>
    <row r="473" spans="1:12" ht="13.5" x14ac:dyDescent="0.2">
      <c r="A473" s="614"/>
      <c r="B473" s="605"/>
      <c r="C473" s="606"/>
      <c r="D473" s="607"/>
      <c r="E473" s="614"/>
      <c r="F473" s="617"/>
      <c r="G473" s="600" t="s">
        <v>2583</v>
      </c>
      <c r="H473" s="601"/>
      <c r="I473" s="28">
        <v>0.75</v>
      </c>
      <c r="J473" s="622"/>
      <c r="K473" s="623"/>
      <c r="L473" s="624"/>
    </row>
    <row r="474" spans="1:12" ht="13.5" x14ac:dyDescent="0.2">
      <c r="A474" s="614"/>
      <c r="B474" s="605"/>
      <c r="C474" s="606"/>
      <c r="D474" s="607"/>
      <c r="E474" s="614"/>
      <c r="F474" s="617"/>
      <c r="G474" s="600" t="s">
        <v>2584</v>
      </c>
      <c r="H474" s="601"/>
      <c r="I474" s="28"/>
      <c r="J474" s="622"/>
      <c r="K474" s="623"/>
      <c r="L474" s="624"/>
    </row>
    <row r="475" spans="1:12" ht="13.5" x14ac:dyDescent="0.2">
      <c r="A475" s="614"/>
      <c r="B475" s="605"/>
      <c r="C475" s="606"/>
      <c r="D475" s="607"/>
      <c r="E475" s="614"/>
      <c r="F475" s="617"/>
      <c r="G475" s="600" t="s">
        <v>2585</v>
      </c>
      <c r="H475" s="601"/>
      <c r="I475" s="28">
        <v>1.05</v>
      </c>
      <c r="J475" s="622"/>
      <c r="K475" s="623"/>
      <c r="L475" s="624"/>
    </row>
    <row r="476" spans="1:12" ht="13.5" x14ac:dyDescent="0.2">
      <c r="A476" s="614"/>
      <c r="B476" s="605"/>
      <c r="C476" s="606"/>
      <c r="D476" s="607"/>
      <c r="E476" s="614"/>
      <c r="F476" s="617"/>
      <c r="G476" s="600" t="s">
        <v>2586</v>
      </c>
      <c r="H476" s="601"/>
      <c r="I476" s="28"/>
      <c r="J476" s="622"/>
      <c r="K476" s="623"/>
      <c r="L476" s="624"/>
    </row>
    <row r="477" spans="1:12" ht="13.5" x14ac:dyDescent="0.2">
      <c r="A477" s="614"/>
      <c r="B477" s="605"/>
      <c r="C477" s="606"/>
      <c r="D477" s="607"/>
      <c r="E477" s="614"/>
      <c r="F477" s="617"/>
      <c r="G477" s="600" t="s">
        <v>2587</v>
      </c>
      <c r="H477" s="601"/>
      <c r="I477" s="28"/>
      <c r="J477" s="622"/>
      <c r="K477" s="623"/>
      <c r="L477" s="624"/>
    </row>
    <row r="478" spans="1:12" ht="13.5" x14ac:dyDescent="0.2">
      <c r="A478" s="614"/>
      <c r="B478" s="605"/>
      <c r="C478" s="606"/>
      <c r="D478" s="607"/>
      <c r="E478" s="614"/>
      <c r="F478" s="617"/>
      <c r="G478" s="600" t="s">
        <v>2933</v>
      </c>
      <c r="H478" s="601"/>
      <c r="I478" s="28"/>
      <c r="J478" s="622"/>
      <c r="K478" s="623"/>
      <c r="L478" s="624"/>
    </row>
    <row r="479" spans="1:12" ht="13.5" x14ac:dyDescent="0.2">
      <c r="A479" s="615"/>
      <c r="B479" s="608"/>
      <c r="C479" s="609"/>
      <c r="D479" s="610"/>
      <c r="E479" s="615"/>
      <c r="F479" s="618"/>
      <c r="G479" s="600" t="s">
        <v>2934</v>
      </c>
      <c r="H479" s="601"/>
      <c r="I479" s="28"/>
      <c r="J479" s="625"/>
      <c r="K479" s="626"/>
      <c r="L479" s="627"/>
    </row>
    <row r="480" spans="1:12" ht="13.5" x14ac:dyDescent="0.25">
      <c r="A480" s="18"/>
      <c r="B480" s="18"/>
      <c r="C480" s="18"/>
      <c r="D480" s="18"/>
      <c r="E480" s="18"/>
      <c r="F480" s="18"/>
      <c r="G480" s="18"/>
      <c r="H480" s="18"/>
      <c r="I480" s="18"/>
      <c r="J480" s="18"/>
      <c r="K480" s="18"/>
      <c r="L480" s="18"/>
    </row>
    <row r="481" spans="1:12" x14ac:dyDescent="0.2">
      <c r="A481" s="390" t="s">
        <v>76</v>
      </c>
      <c r="B481" s="611"/>
      <c r="C481" s="611"/>
      <c r="D481" s="612"/>
      <c r="E481" s="16" t="s">
        <v>77</v>
      </c>
      <c r="F481" s="16" t="s">
        <v>78</v>
      </c>
      <c r="G481" s="532" t="s">
        <v>2576</v>
      </c>
      <c r="H481" s="628"/>
      <c r="I481" s="390" t="s">
        <v>2579</v>
      </c>
      <c r="J481" s="611"/>
      <c r="K481" s="611"/>
      <c r="L481" s="612"/>
    </row>
    <row r="482" spans="1:12" ht="13.5" x14ac:dyDescent="0.2">
      <c r="A482" s="613" t="s">
        <v>2935</v>
      </c>
      <c r="B482" s="602" t="s">
        <v>1371</v>
      </c>
      <c r="C482" s="603"/>
      <c r="D482" s="604"/>
      <c r="E482" s="613" t="s">
        <v>258</v>
      </c>
      <c r="F482" s="616">
        <f>I482</f>
        <v>0.26</v>
      </c>
      <c r="G482" s="600" t="s">
        <v>444</v>
      </c>
      <c r="H482" s="601"/>
      <c r="I482" s="9">
        <f>I483*I490</f>
        <v>0.26</v>
      </c>
      <c r="J482" s="619"/>
      <c r="K482" s="620"/>
      <c r="L482" s="621"/>
    </row>
    <row r="483" spans="1:12" ht="13.5" x14ac:dyDescent="0.2">
      <c r="A483" s="614"/>
      <c r="B483" s="605"/>
      <c r="C483" s="606"/>
      <c r="D483" s="607"/>
      <c r="E483" s="614"/>
      <c r="F483" s="617"/>
      <c r="G483" s="600" t="s">
        <v>453</v>
      </c>
      <c r="H483" s="601"/>
      <c r="I483" s="28">
        <v>1</v>
      </c>
      <c r="J483" s="622"/>
      <c r="K483" s="623"/>
      <c r="L483" s="624"/>
    </row>
    <row r="484" spans="1:12" ht="13.5" x14ac:dyDescent="0.2">
      <c r="A484" s="614"/>
      <c r="B484" s="605"/>
      <c r="C484" s="606"/>
      <c r="D484" s="607"/>
      <c r="E484" s="614"/>
      <c r="F484" s="617"/>
      <c r="G484" s="600" t="s">
        <v>2583</v>
      </c>
      <c r="H484" s="601"/>
      <c r="I484" s="28"/>
      <c r="J484" s="622"/>
      <c r="K484" s="623"/>
      <c r="L484" s="624"/>
    </row>
    <row r="485" spans="1:12" ht="13.5" x14ac:dyDescent="0.2">
      <c r="A485" s="614"/>
      <c r="B485" s="605"/>
      <c r="C485" s="606"/>
      <c r="D485" s="607"/>
      <c r="E485" s="614"/>
      <c r="F485" s="617"/>
      <c r="G485" s="600" t="s">
        <v>2584</v>
      </c>
      <c r="H485" s="601"/>
      <c r="I485" s="28"/>
      <c r="J485" s="622"/>
      <c r="K485" s="623"/>
      <c r="L485" s="624"/>
    </row>
    <row r="486" spans="1:12" ht="13.5" x14ac:dyDescent="0.2">
      <c r="A486" s="614"/>
      <c r="B486" s="605"/>
      <c r="C486" s="606"/>
      <c r="D486" s="607"/>
      <c r="E486" s="614"/>
      <c r="F486" s="617"/>
      <c r="G486" s="600" t="s">
        <v>2585</v>
      </c>
      <c r="H486" s="601"/>
      <c r="I486" s="28"/>
      <c r="J486" s="622"/>
      <c r="K486" s="623"/>
      <c r="L486" s="624"/>
    </row>
    <row r="487" spans="1:12" ht="13.5" x14ac:dyDescent="0.2">
      <c r="A487" s="614"/>
      <c r="B487" s="605"/>
      <c r="C487" s="606"/>
      <c r="D487" s="607"/>
      <c r="E487" s="614"/>
      <c r="F487" s="617"/>
      <c r="G487" s="600" t="s">
        <v>2586</v>
      </c>
      <c r="H487" s="601"/>
      <c r="I487" s="28"/>
      <c r="J487" s="622"/>
      <c r="K487" s="623"/>
      <c r="L487" s="624"/>
    </row>
    <row r="488" spans="1:12" ht="13.5" x14ac:dyDescent="0.2">
      <c r="A488" s="614"/>
      <c r="B488" s="605"/>
      <c r="C488" s="606"/>
      <c r="D488" s="607"/>
      <c r="E488" s="614"/>
      <c r="F488" s="617"/>
      <c r="G488" s="600" t="s">
        <v>2587</v>
      </c>
      <c r="H488" s="601"/>
      <c r="I488" s="28"/>
      <c r="J488" s="622"/>
      <c r="K488" s="623"/>
      <c r="L488" s="624"/>
    </row>
    <row r="489" spans="1:12" ht="13.5" x14ac:dyDescent="0.2">
      <c r="A489" s="614"/>
      <c r="B489" s="605"/>
      <c r="C489" s="606"/>
      <c r="D489" s="607"/>
      <c r="E489" s="614"/>
      <c r="F489" s="617"/>
      <c r="G489" s="600" t="s">
        <v>2936</v>
      </c>
      <c r="H489" s="601"/>
      <c r="I489" s="28"/>
      <c r="J489" s="622"/>
      <c r="K489" s="623"/>
      <c r="L489" s="624"/>
    </row>
    <row r="490" spans="1:12" ht="13.5" x14ac:dyDescent="0.2">
      <c r="A490" s="615"/>
      <c r="B490" s="608"/>
      <c r="C490" s="609"/>
      <c r="D490" s="610"/>
      <c r="E490" s="615"/>
      <c r="F490" s="618"/>
      <c r="G490" s="600" t="s">
        <v>2937</v>
      </c>
      <c r="H490" s="601"/>
      <c r="I490" s="28">
        <v>0.26</v>
      </c>
      <c r="J490" s="625"/>
      <c r="K490" s="626"/>
      <c r="L490" s="627"/>
    </row>
    <row r="491" spans="1:12" ht="13.5" x14ac:dyDescent="0.25">
      <c r="A491" s="18"/>
      <c r="B491" s="18"/>
      <c r="C491" s="18"/>
      <c r="D491" s="18"/>
      <c r="E491" s="18"/>
      <c r="F491" s="18"/>
      <c r="G491" s="18"/>
      <c r="H491" s="18"/>
      <c r="I491" s="18"/>
      <c r="J491" s="18"/>
      <c r="K491" s="18"/>
      <c r="L491" s="18"/>
    </row>
    <row r="492" spans="1:12" ht="13.5" x14ac:dyDescent="0.25">
      <c r="A492" s="18"/>
      <c r="B492" s="18"/>
      <c r="C492" s="1"/>
      <c r="D492" s="1"/>
      <c r="E492" s="1"/>
      <c r="F492" s="1"/>
      <c r="G492" s="18"/>
      <c r="H492" s="18"/>
      <c r="I492" s="18"/>
      <c r="J492" s="18"/>
      <c r="K492" s="18"/>
      <c r="L492" s="18"/>
    </row>
    <row r="494" spans="1:12" ht="14.25" thickBot="1" x14ac:dyDescent="0.3">
      <c r="F494" s="18"/>
      <c r="G494" s="18"/>
      <c r="H494" s="18"/>
      <c r="I494" s="1"/>
    </row>
    <row r="495" spans="1:12" ht="14.25" thickTop="1" x14ac:dyDescent="0.2">
      <c r="F495" s="302" t="s">
        <v>71</v>
      </c>
      <c r="G495" s="302"/>
      <c r="H495" s="302"/>
      <c r="I495" s="1"/>
    </row>
    <row r="496" spans="1:12" ht="13.5" x14ac:dyDescent="0.25">
      <c r="F496" s="503" t="s">
        <v>72</v>
      </c>
      <c r="G496" s="503"/>
      <c r="H496" s="503"/>
      <c r="I496" s="1"/>
    </row>
    <row r="497" spans="1:12" ht="13.5" x14ac:dyDescent="0.25">
      <c r="F497" s="503" t="s">
        <v>73</v>
      </c>
      <c r="G497" s="503"/>
      <c r="H497" s="503"/>
      <c r="I497" s="1"/>
    </row>
    <row r="498" spans="1:12" ht="13.5" x14ac:dyDescent="0.25">
      <c r="A498" s="18"/>
      <c r="B498" s="18"/>
      <c r="C498" s="18"/>
      <c r="D498" s="18"/>
      <c r="E498" s="18"/>
      <c r="F498" s="18"/>
      <c r="G498" s="18"/>
      <c r="H498" s="18"/>
      <c r="I498" s="18"/>
      <c r="J498" s="18"/>
      <c r="K498" s="18"/>
      <c r="L498" s="18"/>
    </row>
    <row r="499" spans="1:12" ht="13.5" x14ac:dyDescent="0.25">
      <c r="A499" s="18"/>
      <c r="B499" s="18"/>
      <c r="C499" s="18"/>
      <c r="D499" s="18"/>
      <c r="E499" s="18"/>
      <c r="F499" s="18"/>
      <c r="G499" s="18"/>
      <c r="H499" s="18"/>
      <c r="I499" s="18"/>
      <c r="J499" s="18"/>
      <c r="K499" s="18"/>
      <c r="L499" s="18"/>
    </row>
  </sheetData>
  <mergeCells count="748">
    <mergeCell ref="A1:L2"/>
    <mergeCell ref="E4:E5"/>
    <mergeCell ref="F4:F5"/>
    <mergeCell ref="G4:G5"/>
    <mergeCell ref="H4:H5"/>
    <mergeCell ref="I4:I5"/>
    <mergeCell ref="J4:J5"/>
    <mergeCell ref="C4:D5"/>
    <mergeCell ref="C6:D6"/>
    <mergeCell ref="C7:D7"/>
    <mergeCell ref="G156:H156"/>
    <mergeCell ref="G155:H155"/>
    <mergeCell ref="A155:D155"/>
    <mergeCell ref="G177:H177"/>
    <mergeCell ref="A177:D177"/>
    <mergeCell ref="B167:D175"/>
    <mergeCell ref="F167:F175"/>
    <mergeCell ref="E167:E175"/>
    <mergeCell ref="A167:A175"/>
    <mergeCell ref="G168:H168"/>
    <mergeCell ref="G167:H167"/>
    <mergeCell ref="A166:D166"/>
    <mergeCell ref="G152:H152"/>
    <mergeCell ref="G153:H153"/>
    <mergeCell ref="A145:A153"/>
    <mergeCell ref="A156:A164"/>
    <mergeCell ref="A112:A120"/>
    <mergeCell ref="B112:D120"/>
    <mergeCell ref="E112:E120"/>
    <mergeCell ref="F112:F120"/>
    <mergeCell ref="A122:D122"/>
    <mergeCell ref="G145:H145"/>
    <mergeCell ref="G146:H146"/>
    <mergeCell ref="F178:F186"/>
    <mergeCell ref="E178:E186"/>
    <mergeCell ref="B178:D186"/>
    <mergeCell ref="A178:A186"/>
    <mergeCell ref="G186:H186"/>
    <mergeCell ref="G185:H185"/>
    <mergeCell ref="G194:H194"/>
    <mergeCell ref="G193:H193"/>
    <mergeCell ref="G192:H192"/>
    <mergeCell ref="G191:H191"/>
    <mergeCell ref="A188:D188"/>
    <mergeCell ref="G178:H178"/>
    <mergeCell ref="F189:F197"/>
    <mergeCell ref="E189:E197"/>
    <mergeCell ref="B189:D197"/>
    <mergeCell ref="A189:A197"/>
    <mergeCell ref="G190:H190"/>
    <mergeCell ref="G189:H189"/>
    <mergeCell ref="G188:H188"/>
    <mergeCell ref="G197:H197"/>
    <mergeCell ref="G196:H196"/>
    <mergeCell ref="G184:H184"/>
    <mergeCell ref="G183:H183"/>
    <mergeCell ref="G182:H182"/>
    <mergeCell ref="G181:H181"/>
    <mergeCell ref="G180:H180"/>
    <mergeCell ref="G179:H179"/>
    <mergeCell ref="G401:H401"/>
    <mergeCell ref="G398:H398"/>
    <mergeCell ref="A389:D389"/>
    <mergeCell ref="A390:A398"/>
    <mergeCell ref="B390:D398"/>
    <mergeCell ref="E390:E398"/>
    <mergeCell ref="F390:F398"/>
    <mergeCell ref="A400:D400"/>
    <mergeCell ref="G195:H195"/>
    <mergeCell ref="G373:H373"/>
    <mergeCell ref="G361:H361"/>
    <mergeCell ref="G362:H362"/>
    <mergeCell ref="G363:H363"/>
    <mergeCell ref="G364:H364"/>
    <mergeCell ref="G367:H367"/>
    <mergeCell ref="G368:H368"/>
    <mergeCell ref="G365:H365"/>
    <mergeCell ref="A356:D356"/>
    <mergeCell ref="A357:A365"/>
    <mergeCell ref="B357:D365"/>
    <mergeCell ref="E357:E365"/>
    <mergeCell ref="I400:L400"/>
    <mergeCell ref="G389:H389"/>
    <mergeCell ref="I389:L389"/>
    <mergeCell ref="G390:H390"/>
    <mergeCell ref="J390:L398"/>
    <mergeCell ref="G391:H391"/>
    <mergeCell ref="G392:H392"/>
    <mergeCell ref="G393:H393"/>
    <mergeCell ref="G394:H394"/>
    <mergeCell ref="G395:H395"/>
    <mergeCell ref="G396:H396"/>
    <mergeCell ref="G397:H397"/>
    <mergeCell ref="G400:H400"/>
    <mergeCell ref="J379:L387"/>
    <mergeCell ref="G387:H387"/>
    <mergeCell ref="B379:D387"/>
    <mergeCell ref="G374:H374"/>
    <mergeCell ref="A378:D378"/>
    <mergeCell ref="G378:H378"/>
    <mergeCell ref="I378:L378"/>
    <mergeCell ref="G379:H379"/>
    <mergeCell ref="G380:H380"/>
    <mergeCell ref="G381:H381"/>
    <mergeCell ref="G384:H384"/>
    <mergeCell ref="G385:H385"/>
    <mergeCell ref="G386:H386"/>
    <mergeCell ref="A379:A387"/>
    <mergeCell ref="E379:E387"/>
    <mergeCell ref="F379:F387"/>
    <mergeCell ref="G382:H382"/>
    <mergeCell ref="G383:H383"/>
    <mergeCell ref="F357:F365"/>
    <mergeCell ref="A367:D367"/>
    <mergeCell ref="A368:A376"/>
    <mergeCell ref="B368:D376"/>
    <mergeCell ref="E368:E376"/>
    <mergeCell ref="F368:F376"/>
    <mergeCell ref="G369:H369"/>
    <mergeCell ref="G370:H370"/>
    <mergeCell ref="G375:H375"/>
    <mergeCell ref="G376:H376"/>
    <mergeCell ref="G371:H371"/>
    <mergeCell ref="I367:L367"/>
    <mergeCell ref="G356:H356"/>
    <mergeCell ref="I356:L356"/>
    <mergeCell ref="G357:H357"/>
    <mergeCell ref="J357:L365"/>
    <mergeCell ref="G358:H358"/>
    <mergeCell ref="G359:H359"/>
    <mergeCell ref="G360:H360"/>
    <mergeCell ref="G372:H372"/>
    <mergeCell ref="J368:L376"/>
    <mergeCell ref="J346:L354"/>
    <mergeCell ref="G354:H354"/>
    <mergeCell ref="B346:D354"/>
    <mergeCell ref="G341:H341"/>
    <mergeCell ref="A345:D345"/>
    <mergeCell ref="G345:H345"/>
    <mergeCell ref="I345:L345"/>
    <mergeCell ref="G346:H346"/>
    <mergeCell ref="G347:H347"/>
    <mergeCell ref="G348:H348"/>
    <mergeCell ref="G351:H351"/>
    <mergeCell ref="G352:H352"/>
    <mergeCell ref="G353:H353"/>
    <mergeCell ref="A346:A354"/>
    <mergeCell ref="E346:E354"/>
    <mergeCell ref="F346:F354"/>
    <mergeCell ref="G349:H349"/>
    <mergeCell ref="G350:H350"/>
    <mergeCell ref="J324:L332"/>
    <mergeCell ref="G325:H325"/>
    <mergeCell ref="G326:H326"/>
    <mergeCell ref="G327:H327"/>
    <mergeCell ref="G330:H330"/>
    <mergeCell ref="G339:H339"/>
    <mergeCell ref="G340:H340"/>
    <mergeCell ref="G331:H331"/>
    <mergeCell ref="G334:H334"/>
    <mergeCell ref="G335:H335"/>
    <mergeCell ref="G332:H332"/>
    <mergeCell ref="J335:L343"/>
    <mergeCell ref="G336:H336"/>
    <mergeCell ref="G337:H337"/>
    <mergeCell ref="G342:H342"/>
    <mergeCell ref="G343:H343"/>
    <mergeCell ref="G338:H338"/>
    <mergeCell ref="I312:L312"/>
    <mergeCell ref="G313:H313"/>
    <mergeCell ref="G314:H314"/>
    <mergeCell ref="A302:A310"/>
    <mergeCell ref="B302:D310"/>
    <mergeCell ref="E302:E310"/>
    <mergeCell ref="F302:F310"/>
    <mergeCell ref="J302:L310"/>
    <mergeCell ref="I301:L301"/>
    <mergeCell ref="G302:H302"/>
    <mergeCell ref="G307:H307"/>
    <mergeCell ref="G308:H308"/>
    <mergeCell ref="G303:H303"/>
    <mergeCell ref="G304:H304"/>
    <mergeCell ref="G309:H309"/>
    <mergeCell ref="G310:H310"/>
    <mergeCell ref="J401:L409"/>
    <mergeCell ref="G402:H402"/>
    <mergeCell ref="G403:H403"/>
    <mergeCell ref="G405:H405"/>
    <mergeCell ref="G406:H406"/>
    <mergeCell ref="G407:H407"/>
    <mergeCell ref="G408:H408"/>
    <mergeCell ref="G409:H409"/>
    <mergeCell ref="A313:A321"/>
    <mergeCell ref="E313:E321"/>
    <mergeCell ref="F313:F321"/>
    <mergeCell ref="J313:L321"/>
    <mergeCell ref="G321:H321"/>
    <mergeCell ref="B313:D321"/>
    <mergeCell ref="G318:H318"/>
    <mergeCell ref="G319:H319"/>
    <mergeCell ref="G320:H320"/>
    <mergeCell ref="G316:H316"/>
    <mergeCell ref="G328:H328"/>
    <mergeCell ref="G329:H329"/>
    <mergeCell ref="I334:L334"/>
    <mergeCell ref="G323:H323"/>
    <mergeCell ref="I323:L323"/>
    <mergeCell ref="G324:H324"/>
    <mergeCell ref="G404:H404"/>
    <mergeCell ref="A291:A299"/>
    <mergeCell ref="B291:D299"/>
    <mergeCell ref="E291:E299"/>
    <mergeCell ref="F291:F299"/>
    <mergeCell ref="A301:D301"/>
    <mergeCell ref="G301:H301"/>
    <mergeCell ref="G315:H315"/>
    <mergeCell ref="A401:A409"/>
    <mergeCell ref="B401:D409"/>
    <mergeCell ref="E401:E409"/>
    <mergeCell ref="F401:F409"/>
    <mergeCell ref="A312:D312"/>
    <mergeCell ref="G312:H312"/>
    <mergeCell ref="A323:D323"/>
    <mergeCell ref="A324:A332"/>
    <mergeCell ref="B324:D332"/>
    <mergeCell ref="E324:E332"/>
    <mergeCell ref="F324:F332"/>
    <mergeCell ref="A334:D334"/>
    <mergeCell ref="A335:A343"/>
    <mergeCell ref="B335:D343"/>
    <mergeCell ref="E335:E343"/>
    <mergeCell ref="F335:F343"/>
    <mergeCell ref="G317:H317"/>
    <mergeCell ref="B269:D277"/>
    <mergeCell ref="E269:E277"/>
    <mergeCell ref="A247:A255"/>
    <mergeCell ref="A258:A266"/>
    <mergeCell ref="B258:D266"/>
    <mergeCell ref="E258:E266"/>
    <mergeCell ref="F258:F266"/>
    <mergeCell ref="A268:D268"/>
    <mergeCell ref="F269:F277"/>
    <mergeCell ref="G305:H305"/>
    <mergeCell ref="G306:H306"/>
    <mergeCell ref="A279:D279"/>
    <mergeCell ref="A280:A288"/>
    <mergeCell ref="B280:D288"/>
    <mergeCell ref="E280:E288"/>
    <mergeCell ref="F280:F288"/>
    <mergeCell ref="A290:D290"/>
    <mergeCell ref="A269:A277"/>
    <mergeCell ref="G261:H261"/>
    <mergeCell ref="G262:H262"/>
    <mergeCell ref="G263:H263"/>
    <mergeCell ref="G264:H264"/>
    <mergeCell ref="G268:H268"/>
    <mergeCell ref="A257:D257"/>
    <mergeCell ref="G257:H257"/>
    <mergeCell ref="A246:D246"/>
    <mergeCell ref="I290:L290"/>
    <mergeCell ref="G291:H291"/>
    <mergeCell ref="J291:L299"/>
    <mergeCell ref="G292:H292"/>
    <mergeCell ref="G299:H299"/>
    <mergeCell ref="I279:L279"/>
    <mergeCell ref="G280:H280"/>
    <mergeCell ref="J280:L288"/>
    <mergeCell ref="G281:H281"/>
    <mergeCell ref="G288:H288"/>
    <mergeCell ref="G297:H297"/>
    <mergeCell ref="G298:H298"/>
    <mergeCell ref="G290:H290"/>
    <mergeCell ref="G293:H293"/>
    <mergeCell ref="G279:H279"/>
    <mergeCell ref="G275:H275"/>
    <mergeCell ref="G276:H276"/>
    <mergeCell ref="G265:H265"/>
    <mergeCell ref="G266:H266"/>
    <mergeCell ref="G294:H294"/>
    <mergeCell ref="G295:H295"/>
    <mergeCell ref="G296:H296"/>
    <mergeCell ref="G282:H282"/>
    <mergeCell ref="G283:H283"/>
    <mergeCell ref="G284:H284"/>
    <mergeCell ref="G285:H285"/>
    <mergeCell ref="G286:H286"/>
    <mergeCell ref="G287:H287"/>
    <mergeCell ref="G271:H271"/>
    <mergeCell ref="G272:H272"/>
    <mergeCell ref="I268:L268"/>
    <mergeCell ref="G269:H269"/>
    <mergeCell ref="J269:L277"/>
    <mergeCell ref="G270:H270"/>
    <mergeCell ref="G277:H277"/>
    <mergeCell ref="A203:A211"/>
    <mergeCell ref="A214:A222"/>
    <mergeCell ref="A225:A233"/>
    <mergeCell ref="A236:A244"/>
    <mergeCell ref="G259:H259"/>
    <mergeCell ref="G273:H273"/>
    <mergeCell ref="G274:H274"/>
    <mergeCell ref="B247:D255"/>
    <mergeCell ref="E247:E255"/>
    <mergeCell ref="F247:F255"/>
    <mergeCell ref="G255:H255"/>
    <mergeCell ref="I257:L257"/>
    <mergeCell ref="G258:H258"/>
    <mergeCell ref="J258:L266"/>
    <mergeCell ref="G251:H251"/>
    <mergeCell ref="G252:H252"/>
    <mergeCell ref="G253:H253"/>
    <mergeCell ref="G254:H254"/>
    <mergeCell ref="G260:H260"/>
    <mergeCell ref="G248:H248"/>
    <mergeCell ref="G249:H249"/>
    <mergeCell ref="J247:L255"/>
    <mergeCell ref="I235:L235"/>
    <mergeCell ref="G237:H237"/>
    <mergeCell ref="G238:H238"/>
    <mergeCell ref="G239:H239"/>
    <mergeCell ref="G240:H240"/>
    <mergeCell ref="G241:H241"/>
    <mergeCell ref="G242:H242"/>
    <mergeCell ref="G250:H250"/>
    <mergeCell ref="J236:L244"/>
    <mergeCell ref="G244:H244"/>
    <mergeCell ref="I246:L246"/>
    <mergeCell ref="G246:H246"/>
    <mergeCell ref="G247:H247"/>
    <mergeCell ref="A213:D213"/>
    <mergeCell ref="B214:D222"/>
    <mergeCell ref="E214:E222"/>
    <mergeCell ref="F214:F222"/>
    <mergeCell ref="G224:H224"/>
    <mergeCell ref="G225:H225"/>
    <mergeCell ref="G243:H243"/>
    <mergeCell ref="G235:H235"/>
    <mergeCell ref="G236:H236"/>
    <mergeCell ref="A224:D224"/>
    <mergeCell ref="B225:D233"/>
    <mergeCell ref="E225:E233"/>
    <mergeCell ref="F225:F233"/>
    <mergeCell ref="G233:H233"/>
    <mergeCell ref="G228:H228"/>
    <mergeCell ref="G229:H229"/>
    <mergeCell ref="A235:D235"/>
    <mergeCell ref="B236:D244"/>
    <mergeCell ref="E236:E244"/>
    <mergeCell ref="F236:F244"/>
    <mergeCell ref="J225:L233"/>
    <mergeCell ref="I213:L213"/>
    <mergeCell ref="G215:H215"/>
    <mergeCell ref="G216:H216"/>
    <mergeCell ref="G217:H217"/>
    <mergeCell ref="G218:H218"/>
    <mergeCell ref="G219:H219"/>
    <mergeCell ref="G220:H220"/>
    <mergeCell ref="G221:H221"/>
    <mergeCell ref="G230:H230"/>
    <mergeCell ref="G231:H231"/>
    <mergeCell ref="G232:H232"/>
    <mergeCell ref="G213:H213"/>
    <mergeCell ref="G214:H214"/>
    <mergeCell ref="J214:L222"/>
    <mergeCell ref="G222:H222"/>
    <mergeCell ref="I224:L224"/>
    <mergeCell ref="G226:H226"/>
    <mergeCell ref="G227:H227"/>
    <mergeCell ref="J203:L211"/>
    <mergeCell ref="G204:H204"/>
    <mergeCell ref="G205:H205"/>
    <mergeCell ref="G206:H206"/>
    <mergeCell ref="G211:H211"/>
    <mergeCell ref="A199:L200"/>
    <mergeCell ref="A202:D202"/>
    <mergeCell ref="G202:H202"/>
    <mergeCell ref="G207:H207"/>
    <mergeCell ref="G208:H208"/>
    <mergeCell ref="G209:H209"/>
    <mergeCell ref="G210:H210"/>
    <mergeCell ref="B203:D211"/>
    <mergeCell ref="E203:E211"/>
    <mergeCell ref="F203:F211"/>
    <mergeCell ref="I202:L202"/>
    <mergeCell ref="G203:H203"/>
    <mergeCell ref="G147:H147"/>
    <mergeCell ref="G148:H148"/>
    <mergeCell ref="G149:H149"/>
    <mergeCell ref="G150:H150"/>
    <mergeCell ref="A111:D111"/>
    <mergeCell ref="G111:H111"/>
    <mergeCell ref="F156:F164"/>
    <mergeCell ref="E156:E164"/>
    <mergeCell ref="B156:D164"/>
    <mergeCell ref="G151:H151"/>
    <mergeCell ref="G141:H141"/>
    <mergeCell ref="G142:H142"/>
    <mergeCell ref="G135:H135"/>
    <mergeCell ref="G136:H136"/>
    <mergeCell ref="G137:H137"/>
    <mergeCell ref="G138:H138"/>
    <mergeCell ref="G139:H139"/>
    <mergeCell ref="G114:H114"/>
    <mergeCell ref="G144:H144"/>
    <mergeCell ref="G120:H120"/>
    <mergeCell ref="G122:H122"/>
    <mergeCell ref="G123:H123"/>
    <mergeCell ref="G124:H124"/>
    <mergeCell ref="G125:H125"/>
    <mergeCell ref="A100:D100"/>
    <mergeCell ref="A101:A109"/>
    <mergeCell ref="B101:D109"/>
    <mergeCell ref="E101:E109"/>
    <mergeCell ref="F101:F109"/>
    <mergeCell ref="E145:E153"/>
    <mergeCell ref="F145:F153"/>
    <mergeCell ref="B145:D153"/>
    <mergeCell ref="E123:E131"/>
    <mergeCell ref="F123:F131"/>
    <mergeCell ref="A123:A131"/>
    <mergeCell ref="A134:A142"/>
    <mergeCell ref="B123:D131"/>
    <mergeCell ref="A133:D133"/>
    <mergeCell ref="B134:D142"/>
    <mergeCell ref="E134:E142"/>
    <mergeCell ref="F134:F142"/>
    <mergeCell ref="A144:D144"/>
    <mergeCell ref="G171:H171"/>
    <mergeCell ref="G172:H172"/>
    <mergeCell ref="G173:H173"/>
    <mergeCell ref="G174:H174"/>
    <mergeCell ref="G175:H175"/>
    <mergeCell ref="G157:H157"/>
    <mergeCell ref="G158:H158"/>
    <mergeCell ref="G159:H159"/>
    <mergeCell ref="G160:H160"/>
    <mergeCell ref="G161:H161"/>
    <mergeCell ref="G169:H169"/>
    <mergeCell ref="G170:H170"/>
    <mergeCell ref="G162:H162"/>
    <mergeCell ref="G163:H163"/>
    <mergeCell ref="G164:H164"/>
    <mergeCell ref="G166:H166"/>
    <mergeCell ref="J178:L186"/>
    <mergeCell ref="I188:L188"/>
    <mergeCell ref="J189:L197"/>
    <mergeCell ref="J134:L142"/>
    <mergeCell ref="J145:L153"/>
    <mergeCell ref="I155:L155"/>
    <mergeCell ref="J156:L164"/>
    <mergeCell ref="I166:L166"/>
    <mergeCell ref="J167:L175"/>
    <mergeCell ref="I177:L177"/>
    <mergeCell ref="I144:L144"/>
    <mergeCell ref="I122:L122"/>
    <mergeCell ref="J123:L131"/>
    <mergeCell ref="I133:L133"/>
    <mergeCell ref="G133:H133"/>
    <mergeCell ref="G134:H134"/>
    <mergeCell ref="G130:H130"/>
    <mergeCell ref="G131:H131"/>
    <mergeCell ref="G126:H126"/>
    <mergeCell ref="G127:H127"/>
    <mergeCell ref="G129:H129"/>
    <mergeCell ref="I111:L111"/>
    <mergeCell ref="G140:H140"/>
    <mergeCell ref="G112:H112"/>
    <mergeCell ref="G113:H113"/>
    <mergeCell ref="G128:H128"/>
    <mergeCell ref="G119:H119"/>
    <mergeCell ref="I89:L89"/>
    <mergeCell ref="G97:H97"/>
    <mergeCell ref="G98:H98"/>
    <mergeCell ref="J90:L98"/>
    <mergeCell ref="J101:L109"/>
    <mergeCell ref="J112:L120"/>
    <mergeCell ref="G90:H90"/>
    <mergeCell ref="G91:H91"/>
    <mergeCell ref="I100:L100"/>
    <mergeCell ref="G102:H102"/>
    <mergeCell ref="G115:H115"/>
    <mergeCell ref="G116:H116"/>
    <mergeCell ref="G100:H100"/>
    <mergeCell ref="G101:H101"/>
    <mergeCell ref="G106:H106"/>
    <mergeCell ref="G107:H107"/>
    <mergeCell ref="G108:H108"/>
    <mergeCell ref="G109:H109"/>
    <mergeCell ref="G51:H51"/>
    <mergeCell ref="G80:H80"/>
    <mergeCell ref="G87:H87"/>
    <mergeCell ref="G62:H62"/>
    <mergeCell ref="G63:H63"/>
    <mergeCell ref="G78:H78"/>
    <mergeCell ref="G117:H117"/>
    <mergeCell ref="G118:H118"/>
    <mergeCell ref="G94:H94"/>
    <mergeCell ref="G95:H95"/>
    <mergeCell ref="G96:H96"/>
    <mergeCell ref="G83:H83"/>
    <mergeCell ref="G84:H84"/>
    <mergeCell ref="G85:H85"/>
    <mergeCell ref="G103:H103"/>
    <mergeCell ref="G104:H104"/>
    <mergeCell ref="G105:H105"/>
    <mergeCell ref="G92:H92"/>
    <mergeCell ref="G93:H93"/>
    <mergeCell ref="G89:H89"/>
    <mergeCell ref="E13:E21"/>
    <mergeCell ref="F13:F21"/>
    <mergeCell ref="G19:H19"/>
    <mergeCell ref="G20:H20"/>
    <mergeCell ref="G15:H15"/>
    <mergeCell ref="G16:H16"/>
    <mergeCell ref="A9:L10"/>
    <mergeCell ref="A12:D12"/>
    <mergeCell ref="G12:H12"/>
    <mergeCell ref="I12:L12"/>
    <mergeCell ref="G13:H13"/>
    <mergeCell ref="A13:A21"/>
    <mergeCell ref="J13:L21"/>
    <mergeCell ref="G14:H14"/>
    <mergeCell ref="G21:H21"/>
    <mergeCell ref="B13:D21"/>
    <mergeCell ref="G17:H17"/>
    <mergeCell ref="G18:H18"/>
    <mergeCell ref="I34:L34"/>
    <mergeCell ref="J35:L43"/>
    <mergeCell ref="G43:H43"/>
    <mergeCell ref="G48:H48"/>
    <mergeCell ref="G49:H49"/>
    <mergeCell ref="G50:H50"/>
    <mergeCell ref="I23:L23"/>
    <mergeCell ref="G24:H24"/>
    <mergeCell ref="J24:L32"/>
    <mergeCell ref="G25:H25"/>
    <mergeCell ref="G32:H32"/>
    <mergeCell ref="G23:H23"/>
    <mergeCell ref="E90:E98"/>
    <mergeCell ref="F90:F98"/>
    <mergeCell ref="A68:A76"/>
    <mergeCell ref="I56:L56"/>
    <mergeCell ref="G41:H41"/>
    <mergeCell ref="G42:H42"/>
    <mergeCell ref="G45:H45"/>
    <mergeCell ref="I45:L45"/>
    <mergeCell ref="G46:H46"/>
    <mergeCell ref="J46:L54"/>
    <mergeCell ref="A90:A98"/>
    <mergeCell ref="B68:D76"/>
    <mergeCell ref="E68:E76"/>
    <mergeCell ref="F68:F76"/>
    <mergeCell ref="A78:D78"/>
    <mergeCell ref="E79:E87"/>
    <mergeCell ref="F79:F87"/>
    <mergeCell ref="A89:D89"/>
    <mergeCell ref="B79:D87"/>
    <mergeCell ref="B90:D98"/>
    <mergeCell ref="I67:L67"/>
    <mergeCell ref="J68:L76"/>
    <mergeCell ref="G76:H76"/>
    <mergeCell ref="G68:H68"/>
    <mergeCell ref="I78:L78"/>
    <mergeCell ref="G79:H79"/>
    <mergeCell ref="J79:L87"/>
    <mergeCell ref="G69:H69"/>
    <mergeCell ref="G47:H47"/>
    <mergeCell ref="A79:A87"/>
    <mergeCell ref="J57:L65"/>
    <mergeCell ref="G58:H58"/>
    <mergeCell ref="G59:H59"/>
    <mergeCell ref="G60:H60"/>
    <mergeCell ref="G61:H61"/>
    <mergeCell ref="G70:H70"/>
    <mergeCell ref="G71:H71"/>
    <mergeCell ref="G72:H72"/>
    <mergeCell ref="G74:H74"/>
    <mergeCell ref="G52:H52"/>
    <mergeCell ref="G53:H53"/>
    <mergeCell ref="G56:H56"/>
    <mergeCell ref="G57:H57"/>
    <mergeCell ref="G86:H86"/>
    <mergeCell ref="G81:H81"/>
    <mergeCell ref="G82:H82"/>
    <mergeCell ref="G75:H75"/>
    <mergeCell ref="G67:H67"/>
    <mergeCell ref="J438:L446"/>
    <mergeCell ref="B438:D446"/>
    <mergeCell ref="F438:F446"/>
    <mergeCell ref="E438:E446"/>
    <mergeCell ref="A438:A446"/>
    <mergeCell ref="A24:A32"/>
    <mergeCell ref="A57:A65"/>
    <mergeCell ref="A23:D23"/>
    <mergeCell ref="A56:D56"/>
    <mergeCell ref="B57:D65"/>
    <mergeCell ref="A35:A43"/>
    <mergeCell ref="B35:D43"/>
    <mergeCell ref="A45:D45"/>
    <mergeCell ref="A46:A54"/>
    <mergeCell ref="B46:D54"/>
    <mergeCell ref="G26:H26"/>
    <mergeCell ref="G27:H27"/>
    <mergeCell ref="G28:H28"/>
    <mergeCell ref="G29:H29"/>
    <mergeCell ref="G30:H30"/>
    <mergeCell ref="G31:H31"/>
    <mergeCell ref="G34:H34"/>
    <mergeCell ref="G35:H35"/>
    <mergeCell ref="G36:H36"/>
    <mergeCell ref="G439:H439"/>
    <mergeCell ref="G438:H438"/>
    <mergeCell ref="G442:H442"/>
    <mergeCell ref="G441:H441"/>
    <mergeCell ref="G440:H440"/>
    <mergeCell ref="F46:F54"/>
    <mergeCell ref="B24:D32"/>
    <mergeCell ref="E24:E32"/>
    <mergeCell ref="F24:F32"/>
    <mergeCell ref="A34:D34"/>
    <mergeCell ref="G37:H37"/>
    <mergeCell ref="G38:H38"/>
    <mergeCell ref="G54:H54"/>
    <mergeCell ref="A67:D67"/>
    <mergeCell ref="G39:H39"/>
    <mergeCell ref="G40:H40"/>
    <mergeCell ref="G64:H64"/>
    <mergeCell ref="G65:H65"/>
    <mergeCell ref="E57:E65"/>
    <mergeCell ref="F57:F65"/>
    <mergeCell ref="E35:E43"/>
    <mergeCell ref="F35:F43"/>
    <mergeCell ref="E46:E54"/>
    <mergeCell ref="G73:H73"/>
    <mergeCell ref="I425:L425"/>
    <mergeCell ref="G431:H431"/>
    <mergeCell ref="G430:H430"/>
    <mergeCell ref="G429:H429"/>
    <mergeCell ref="G428:H428"/>
    <mergeCell ref="G427:H427"/>
    <mergeCell ref="G426:H426"/>
    <mergeCell ref="G425:H425"/>
    <mergeCell ref="I437:L437"/>
    <mergeCell ref="G437:H437"/>
    <mergeCell ref="I470:L470"/>
    <mergeCell ref="G471:H471"/>
    <mergeCell ref="A448:D448"/>
    <mergeCell ref="A449:A457"/>
    <mergeCell ref="B449:D457"/>
    <mergeCell ref="E449:E457"/>
    <mergeCell ref="A482:A490"/>
    <mergeCell ref="B482:D490"/>
    <mergeCell ref="E482:E490"/>
    <mergeCell ref="G455:H455"/>
    <mergeCell ref="G456:H456"/>
    <mergeCell ref="G448:H448"/>
    <mergeCell ref="G449:H449"/>
    <mergeCell ref="G450:H450"/>
    <mergeCell ref="J471:L479"/>
    <mergeCell ref="G472:H472"/>
    <mergeCell ref="G473:H473"/>
    <mergeCell ref="G476:H476"/>
    <mergeCell ref="G477:H477"/>
    <mergeCell ref="A481:D481"/>
    <mergeCell ref="G481:H481"/>
    <mergeCell ref="I481:L481"/>
    <mergeCell ref="G482:H482"/>
    <mergeCell ref="F482:F490"/>
    <mergeCell ref="J482:L490"/>
    <mergeCell ref="G490:H490"/>
    <mergeCell ref="F495:H495"/>
    <mergeCell ref="F496:H496"/>
    <mergeCell ref="F497:H497"/>
    <mergeCell ref="G478:H478"/>
    <mergeCell ref="G479:H479"/>
    <mergeCell ref="G488:H488"/>
    <mergeCell ref="G489:H489"/>
    <mergeCell ref="G483:H483"/>
    <mergeCell ref="G484:H484"/>
    <mergeCell ref="G485:H485"/>
    <mergeCell ref="G486:H486"/>
    <mergeCell ref="G487:H487"/>
    <mergeCell ref="A425:D425"/>
    <mergeCell ref="A426:A435"/>
    <mergeCell ref="B426:D435"/>
    <mergeCell ref="E426:E435"/>
    <mergeCell ref="F426:F435"/>
    <mergeCell ref="F449:F457"/>
    <mergeCell ref="A459:D459"/>
    <mergeCell ref="G474:H474"/>
    <mergeCell ref="G475:H475"/>
    <mergeCell ref="A471:A479"/>
    <mergeCell ref="B471:D479"/>
    <mergeCell ref="E471:E479"/>
    <mergeCell ref="F471:F479"/>
    <mergeCell ref="G457:H457"/>
    <mergeCell ref="G465:H465"/>
    <mergeCell ref="A460:A468"/>
    <mergeCell ref="B460:D468"/>
    <mergeCell ref="E460:E468"/>
    <mergeCell ref="F460:F468"/>
    <mergeCell ref="A470:D470"/>
    <mergeCell ref="G470:H470"/>
    <mergeCell ref="G444:H444"/>
    <mergeCell ref="G445:H445"/>
    <mergeCell ref="A437:D437"/>
    <mergeCell ref="G462:H462"/>
    <mergeCell ref="G463:H463"/>
    <mergeCell ref="G464:H464"/>
    <mergeCell ref="G451:H451"/>
    <mergeCell ref="G452:H452"/>
    <mergeCell ref="I448:L448"/>
    <mergeCell ref="G432:H432"/>
    <mergeCell ref="G433:H433"/>
    <mergeCell ref="G434:H434"/>
    <mergeCell ref="G435:H435"/>
    <mergeCell ref="I459:L459"/>
    <mergeCell ref="G460:H460"/>
    <mergeCell ref="J460:L468"/>
    <mergeCell ref="G461:H461"/>
    <mergeCell ref="G468:H468"/>
    <mergeCell ref="J449:L457"/>
    <mergeCell ref="G466:H466"/>
    <mergeCell ref="G467:H467"/>
    <mergeCell ref="G453:H453"/>
    <mergeCell ref="G454:H454"/>
    <mergeCell ref="G459:H459"/>
    <mergeCell ref="J426:L435"/>
    <mergeCell ref="G443:H443"/>
    <mergeCell ref="G446:H446"/>
    <mergeCell ref="G422:H422"/>
    <mergeCell ref="B415:D423"/>
    <mergeCell ref="I414:L414"/>
    <mergeCell ref="G416:H416"/>
    <mergeCell ref="A411:L412"/>
    <mergeCell ref="A414:D414"/>
    <mergeCell ref="A415:A423"/>
    <mergeCell ref="E415:E423"/>
    <mergeCell ref="F415:F423"/>
    <mergeCell ref="J415:L423"/>
    <mergeCell ref="G423:H423"/>
    <mergeCell ref="G421:H421"/>
    <mergeCell ref="G414:H414"/>
    <mergeCell ref="G415:H415"/>
    <mergeCell ref="G417:H417"/>
    <mergeCell ref="G418:H418"/>
    <mergeCell ref="G419:H419"/>
    <mergeCell ref="G420:H420"/>
  </mergeCells>
  <conditionalFormatting sqref="H229:H233">
    <cfRule type="cellIs" dxfId="129" priority="25" operator="lessThan">
      <formula>0.1</formula>
    </cfRule>
  </conditionalFormatting>
  <conditionalFormatting sqref="I232:I233">
    <cfRule type="cellIs" dxfId="128" priority="26" operator="lessThan">
      <formula>0.1</formula>
    </cfRule>
  </conditionalFormatting>
  <conditionalFormatting sqref="H207:H211">
    <cfRule type="cellIs" dxfId="127" priority="27" operator="lessThan">
      <formula>0.1</formula>
    </cfRule>
  </conditionalFormatting>
  <conditionalFormatting sqref="I207:I211">
    <cfRule type="cellIs" dxfId="126" priority="28" operator="lessThan">
      <formula>0.1</formula>
    </cfRule>
  </conditionalFormatting>
  <conditionalFormatting sqref="I230:I231">
    <cfRule type="cellIs" dxfId="125" priority="29" operator="lessThan">
      <formula>0.1</formula>
    </cfRule>
  </conditionalFormatting>
  <conditionalFormatting sqref="H218:H222">
    <cfRule type="cellIs" dxfId="124" priority="30" operator="lessThan">
      <formula>0.1</formula>
    </cfRule>
  </conditionalFormatting>
  <conditionalFormatting sqref="I219:I222">
    <cfRule type="cellIs" dxfId="123" priority="31" operator="lessThan">
      <formula>0.1</formula>
    </cfRule>
  </conditionalFormatting>
  <conditionalFormatting sqref="I276:I277">
    <cfRule type="cellIs" dxfId="122" priority="32" operator="lessThan">
      <formula>0.1</formula>
    </cfRule>
  </conditionalFormatting>
  <conditionalFormatting sqref="I298:I299">
    <cfRule type="cellIs" dxfId="121" priority="33" operator="lessThan">
      <formula>0.1</formula>
    </cfRule>
  </conditionalFormatting>
  <conditionalFormatting sqref="H306:H310">
    <cfRule type="cellIs" dxfId="120" priority="34" operator="lessThan">
      <formula>0.1</formula>
    </cfRule>
  </conditionalFormatting>
  <conditionalFormatting sqref="H262:H266">
    <cfRule type="cellIs" dxfId="119" priority="35" operator="lessThan">
      <formula>0.1</formula>
    </cfRule>
  </conditionalFormatting>
  <conditionalFormatting sqref="H273:H277">
    <cfRule type="cellIs" dxfId="118" priority="36" operator="lessThan">
      <formula>0.1</formula>
    </cfRule>
  </conditionalFormatting>
  <conditionalFormatting sqref="H284:H288">
    <cfRule type="cellIs" dxfId="117" priority="37" operator="lessThan">
      <formula>0.1</formula>
    </cfRule>
  </conditionalFormatting>
  <conditionalFormatting sqref="I287:I288">
    <cfRule type="cellIs" dxfId="116" priority="38" operator="lessThan">
      <formula>0.1</formula>
    </cfRule>
  </conditionalFormatting>
  <conditionalFormatting sqref="H295:H299">
    <cfRule type="cellIs" dxfId="115" priority="39" operator="lessThan">
      <formula>0.1</formula>
    </cfRule>
  </conditionalFormatting>
  <conditionalFormatting sqref="I309:I310">
    <cfRule type="cellIs" dxfId="114" priority="40" operator="lessThan">
      <formula>0.1</formula>
    </cfRule>
  </conditionalFormatting>
  <conditionalFormatting sqref="H317:H321">
    <cfRule type="cellIs" dxfId="113" priority="41" operator="lessThan">
      <formula>0.1</formula>
    </cfRule>
  </conditionalFormatting>
  <conditionalFormatting sqref="I314:I321">
    <cfRule type="cellIs" dxfId="112" priority="42" operator="lessThan">
      <formula>0.1</formula>
    </cfRule>
  </conditionalFormatting>
  <conditionalFormatting sqref="I204:I206">
    <cfRule type="cellIs" dxfId="111" priority="43" operator="lessThan">
      <formula>0.1</formula>
    </cfRule>
  </conditionalFormatting>
  <conditionalFormatting sqref="I292:I296">
    <cfRule type="cellIs" dxfId="110" priority="44" operator="lessThan">
      <formula>0.1</formula>
    </cfRule>
  </conditionalFormatting>
  <conditionalFormatting sqref="I297">
    <cfRule type="cellIs" dxfId="109" priority="45" operator="lessThan">
      <formula>0.1</formula>
    </cfRule>
  </conditionalFormatting>
  <conditionalFormatting sqref="I284:I286">
    <cfRule type="cellIs" dxfId="108" priority="46" operator="lessThan">
      <formula>0.1</formula>
    </cfRule>
  </conditionalFormatting>
  <conditionalFormatting sqref="I215:I218">
    <cfRule type="cellIs" dxfId="107" priority="47" operator="lessThan">
      <formula>0.1</formula>
    </cfRule>
  </conditionalFormatting>
  <conditionalFormatting sqref="I303:I308">
    <cfRule type="cellIs" dxfId="106" priority="48" operator="lessThan">
      <formula>0.1</formula>
    </cfRule>
  </conditionalFormatting>
  <conditionalFormatting sqref="I259:I266">
    <cfRule type="cellIs" dxfId="105" priority="49" operator="lessThan">
      <formula>0.1</formula>
    </cfRule>
  </conditionalFormatting>
  <conditionalFormatting sqref="I226:I229">
    <cfRule type="cellIs" dxfId="104" priority="50" operator="lessThan">
      <formula>0.1</formula>
    </cfRule>
  </conditionalFormatting>
  <conditionalFormatting sqref="I270:I275">
    <cfRule type="cellIs" dxfId="103" priority="51" operator="lessThan">
      <formula>0.1</formula>
    </cfRule>
  </conditionalFormatting>
  <conditionalFormatting sqref="I281:I283">
    <cfRule type="cellIs" dxfId="102" priority="52" operator="lessThan">
      <formula>0.1</formula>
    </cfRule>
  </conditionalFormatting>
  <conditionalFormatting sqref="I392:I398">
    <cfRule type="cellIs" dxfId="101" priority="53" operator="lessThan">
      <formula>0.1</formula>
    </cfRule>
  </conditionalFormatting>
  <conditionalFormatting sqref="I391">
    <cfRule type="cellIs" dxfId="100" priority="54" operator="lessThan">
      <formula>0.1</formula>
    </cfRule>
  </conditionalFormatting>
  <conditionalFormatting sqref="I359:I365">
    <cfRule type="cellIs" dxfId="99" priority="55" operator="lessThan">
      <formula>0.1</formula>
    </cfRule>
  </conditionalFormatting>
  <conditionalFormatting sqref="H361:H365">
    <cfRule type="cellIs" dxfId="98" priority="56" operator="lessThan">
      <formula>0.1</formula>
    </cfRule>
  </conditionalFormatting>
  <conditionalFormatting sqref="I358">
    <cfRule type="cellIs" dxfId="97" priority="57" operator="lessThan">
      <formula>0.1</formula>
    </cfRule>
  </conditionalFormatting>
  <conditionalFormatting sqref="I380">
    <cfRule type="cellIs" dxfId="96" priority="58" operator="lessThan">
      <formula>0.1</formula>
    </cfRule>
  </conditionalFormatting>
  <conditionalFormatting sqref="I381:I387">
    <cfRule type="cellIs" dxfId="95" priority="59" operator="lessThan">
      <formula>0.1</formula>
    </cfRule>
  </conditionalFormatting>
  <conditionalFormatting sqref="H394:H398">
    <cfRule type="cellIs" dxfId="94" priority="60" operator="lessThan">
      <formula>0.1</formula>
    </cfRule>
  </conditionalFormatting>
  <conditionalFormatting sqref="H372:H376">
    <cfRule type="cellIs" dxfId="93" priority="61" operator="lessThan">
      <formula>0.1</formula>
    </cfRule>
  </conditionalFormatting>
  <conditionalFormatting sqref="I370:I376">
    <cfRule type="cellIs" dxfId="92" priority="62" operator="lessThan">
      <formula>0.1</formula>
    </cfRule>
  </conditionalFormatting>
  <conditionalFormatting sqref="I369">
    <cfRule type="cellIs" dxfId="91" priority="63" operator="lessThan">
      <formula>0.1</formula>
    </cfRule>
  </conditionalFormatting>
  <conditionalFormatting sqref="H383:H387">
    <cfRule type="cellIs" dxfId="90" priority="64" operator="lessThan">
      <formula>0.1</formula>
    </cfRule>
  </conditionalFormatting>
  <conditionalFormatting sqref="I337:I343">
    <cfRule type="cellIs" dxfId="89" priority="65" operator="lessThan">
      <formula>0.1</formula>
    </cfRule>
  </conditionalFormatting>
  <conditionalFormatting sqref="I336 I347">
    <cfRule type="cellIs" dxfId="88" priority="66" operator="lessThan">
      <formula>0.1</formula>
    </cfRule>
  </conditionalFormatting>
  <conditionalFormatting sqref="I325:I332">
    <cfRule type="cellIs" dxfId="87" priority="67" operator="lessThan">
      <formula>0.1</formula>
    </cfRule>
  </conditionalFormatting>
  <conditionalFormatting sqref="H339:H343">
    <cfRule type="cellIs" dxfId="86" priority="68" operator="lessThan">
      <formula>0.1</formula>
    </cfRule>
  </conditionalFormatting>
  <conditionalFormatting sqref="I348:I354">
    <cfRule type="cellIs" dxfId="85" priority="69" operator="lessThan">
      <formula>0.1</formula>
    </cfRule>
  </conditionalFormatting>
  <conditionalFormatting sqref="H240:H244">
    <cfRule type="cellIs" dxfId="84" priority="70" operator="lessThan">
      <formula>0.1</formula>
    </cfRule>
  </conditionalFormatting>
  <conditionalFormatting sqref="I243:I244">
    <cfRule type="cellIs" dxfId="83" priority="71" operator="lessThan">
      <formula>0.1</formula>
    </cfRule>
  </conditionalFormatting>
  <conditionalFormatting sqref="I241:I242">
    <cfRule type="cellIs" dxfId="82" priority="72" operator="lessThan">
      <formula>0.1</formula>
    </cfRule>
  </conditionalFormatting>
  <conditionalFormatting sqref="I237:I240">
    <cfRule type="cellIs" dxfId="81" priority="73" operator="lessThan">
      <formula>0.1</formula>
    </cfRule>
  </conditionalFormatting>
  <conditionalFormatting sqref="H328:H332">
    <cfRule type="cellIs" dxfId="80" priority="74" operator="lessThan">
      <formula>0.1</formula>
    </cfRule>
  </conditionalFormatting>
  <conditionalFormatting sqref="H350:H354">
    <cfRule type="cellIs" dxfId="79" priority="75" operator="lessThan">
      <formula>0.1</formula>
    </cfRule>
  </conditionalFormatting>
  <conditionalFormatting sqref="I403:I409">
    <cfRule type="cellIs" dxfId="78" priority="76" operator="lessThan">
      <formula>0.1</formula>
    </cfRule>
  </conditionalFormatting>
  <conditionalFormatting sqref="H405:H409">
    <cfRule type="cellIs" dxfId="77" priority="77" operator="lessThan">
      <formula>0.1</formula>
    </cfRule>
  </conditionalFormatting>
  <conditionalFormatting sqref="I402">
    <cfRule type="cellIs" dxfId="76" priority="78" operator="lessThan">
      <formula>0.1</formula>
    </cfRule>
  </conditionalFormatting>
  <conditionalFormatting sqref="H72:H76">
    <cfRule type="cellIs" dxfId="75" priority="79" operator="lessThan">
      <formula>0.1</formula>
    </cfRule>
  </conditionalFormatting>
  <conditionalFormatting sqref="I69:I75">
    <cfRule type="cellIs" dxfId="74" priority="80" operator="lessThan">
      <formula>0.1</formula>
    </cfRule>
  </conditionalFormatting>
  <conditionalFormatting sqref="H39:H43">
    <cfRule type="cellIs" dxfId="73" priority="81" operator="lessThan">
      <formula>0.1</formula>
    </cfRule>
  </conditionalFormatting>
  <conditionalFormatting sqref="I40:I43">
    <cfRule type="cellIs" dxfId="72" priority="82" operator="lessThan">
      <formula>0.1</formula>
    </cfRule>
  </conditionalFormatting>
  <conditionalFormatting sqref="I25:I28">
    <cfRule type="cellIs" dxfId="71" priority="83" operator="lessThan">
      <formula>0.1</formula>
    </cfRule>
  </conditionalFormatting>
  <conditionalFormatting sqref="I14:I16">
    <cfRule type="cellIs" dxfId="70" priority="84" operator="lessThan">
      <formula>0.1</formula>
    </cfRule>
  </conditionalFormatting>
  <conditionalFormatting sqref="H28:H32">
    <cfRule type="cellIs" dxfId="69" priority="85" operator="lessThan">
      <formula>0.1</formula>
    </cfRule>
  </conditionalFormatting>
  <conditionalFormatting sqref="I29:I32">
    <cfRule type="cellIs" dxfId="68" priority="86" operator="lessThan">
      <formula>0.1</formula>
    </cfRule>
  </conditionalFormatting>
  <conditionalFormatting sqref="I94:I98">
    <cfRule type="cellIs" dxfId="67" priority="87" operator="lessThan">
      <formula>0.1</formula>
    </cfRule>
  </conditionalFormatting>
  <conditionalFormatting sqref="H17:H21">
    <cfRule type="cellIs" dxfId="66" priority="88" operator="lessThan">
      <formula>0.1</formula>
    </cfRule>
  </conditionalFormatting>
  <conditionalFormatting sqref="I17:I21">
    <cfRule type="cellIs" dxfId="65" priority="89" operator="lessThan">
      <formula>0.1</formula>
    </cfRule>
  </conditionalFormatting>
  <conditionalFormatting sqref="I86">
    <cfRule type="cellIs" dxfId="64" priority="90" operator="lessThan">
      <formula>0.1</formula>
    </cfRule>
  </conditionalFormatting>
  <conditionalFormatting sqref="I80:I85">
    <cfRule type="cellIs" dxfId="63" priority="91" operator="lessThan">
      <formula>0.1</formula>
    </cfRule>
  </conditionalFormatting>
  <conditionalFormatting sqref="I76">
    <cfRule type="cellIs" dxfId="62" priority="92" operator="lessThan">
      <formula>0.1</formula>
    </cfRule>
  </conditionalFormatting>
  <conditionalFormatting sqref="H182:H186">
    <cfRule type="cellIs" dxfId="61" priority="93" operator="lessThan">
      <formula>0.1</formula>
    </cfRule>
  </conditionalFormatting>
  <conditionalFormatting sqref="I36:I39">
    <cfRule type="cellIs" dxfId="60" priority="94" operator="lessThan">
      <formula>0.1</formula>
    </cfRule>
  </conditionalFormatting>
  <conditionalFormatting sqref="H83:H87">
    <cfRule type="cellIs" dxfId="59" priority="95" operator="lessThan">
      <formula>0.1</formula>
    </cfRule>
  </conditionalFormatting>
  <conditionalFormatting sqref="I87">
    <cfRule type="cellIs" dxfId="58" priority="96" operator="lessThan">
      <formula>0.1</formula>
    </cfRule>
  </conditionalFormatting>
  <conditionalFormatting sqref="I191:I197">
    <cfRule type="cellIs" dxfId="57" priority="97" operator="lessThan">
      <formula>0.1</formula>
    </cfRule>
  </conditionalFormatting>
  <conditionalFormatting sqref="H94:H98">
    <cfRule type="cellIs" dxfId="56" priority="98" operator="lessThan">
      <formula>0.1</formula>
    </cfRule>
  </conditionalFormatting>
  <conditionalFormatting sqref="I146 I157 I179">
    <cfRule type="cellIs" dxfId="55" priority="99" operator="lessThan">
      <formula>0.1</formula>
    </cfRule>
  </conditionalFormatting>
  <conditionalFormatting sqref="I91:I93">
    <cfRule type="cellIs" dxfId="54" priority="100" operator="lessThan">
      <formula>0.1</formula>
    </cfRule>
  </conditionalFormatting>
  <conditionalFormatting sqref="H105:H109">
    <cfRule type="cellIs" dxfId="53" priority="101" operator="lessThan">
      <formula>0.1</formula>
    </cfRule>
  </conditionalFormatting>
  <conditionalFormatting sqref="I108:I109">
    <cfRule type="cellIs" dxfId="52" priority="102" operator="lessThan">
      <formula>0.1</formula>
    </cfRule>
  </conditionalFormatting>
  <conditionalFormatting sqref="H116:H120">
    <cfRule type="cellIs" dxfId="51" priority="103" operator="lessThan">
      <formula>0.1</formula>
    </cfRule>
  </conditionalFormatting>
  <conditionalFormatting sqref="I113:I120">
    <cfRule type="cellIs" dxfId="50" priority="104" operator="lessThan">
      <formula>0.1</formula>
    </cfRule>
  </conditionalFormatting>
  <conditionalFormatting sqref="H127:H131">
    <cfRule type="cellIs" dxfId="49" priority="105" operator="lessThan">
      <formula>0.1</formula>
    </cfRule>
  </conditionalFormatting>
  <conditionalFormatting sqref="I124:I131">
    <cfRule type="cellIs" dxfId="48" priority="106" operator="lessThan">
      <formula>0.1</formula>
    </cfRule>
  </conditionalFormatting>
  <conditionalFormatting sqref="H149:H153">
    <cfRule type="cellIs" dxfId="47" priority="107" operator="lessThan">
      <formula>0.1</formula>
    </cfRule>
  </conditionalFormatting>
  <conditionalFormatting sqref="I147:I153">
    <cfRule type="cellIs" dxfId="46" priority="108" operator="lessThan">
      <formula>0.1</formula>
    </cfRule>
  </conditionalFormatting>
  <conditionalFormatting sqref="H160:H164 H171:H175">
    <cfRule type="cellIs" dxfId="45" priority="109" operator="lessThan">
      <formula>0.1</formula>
    </cfRule>
  </conditionalFormatting>
  <conditionalFormatting sqref="I158:I164 I169:I175">
    <cfRule type="cellIs" dxfId="44" priority="110" operator="lessThan">
      <formula>0.1</formula>
    </cfRule>
  </conditionalFormatting>
  <conditionalFormatting sqref="I102:I107">
    <cfRule type="cellIs" dxfId="43" priority="111" operator="lessThan">
      <formula>0.1</formula>
    </cfRule>
  </conditionalFormatting>
  <conditionalFormatting sqref="I180:I186">
    <cfRule type="cellIs" dxfId="42" priority="112" operator="lessThan">
      <formula>0.1</formula>
    </cfRule>
  </conditionalFormatting>
  <conditionalFormatting sqref="H193:H197">
    <cfRule type="cellIs" dxfId="41" priority="113" operator="lessThan">
      <formula>0.1</formula>
    </cfRule>
  </conditionalFormatting>
  <conditionalFormatting sqref="I190">
    <cfRule type="cellIs" dxfId="40" priority="114" operator="lessThan">
      <formula>0.1</formula>
    </cfRule>
  </conditionalFormatting>
  <conditionalFormatting sqref="H50:H54">
    <cfRule type="cellIs" dxfId="39" priority="115" operator="lessThan">
      <formula>0.1</formula>
    </cfRule>
  </conditionalFormatting>
  <conditionalFormatting sqref="I51:I54">
    <cfRule type="cellIs" dxfId="38" priority="116" operator="lessThan">
      <formula>0.1</formula>
    </cfRule>
  </conditionalFormatting>
  <conditionalFormatting sqref="I47:I50">
    <cfRule type="cellIs" dxfId="37" priority="117" operator="lessThan">
      <formula>0.1</formula>
    </cfRule>
  </conditionalFormatting>
  <conditionalFormatting sqref="H61:H65">
    <cfRule type="cellIs" dxfId="36" priority="118" operator="lessThan">
      <formula>0.1</formula>
    </cfRule>
  </conditionalFormatting>
  <conditionalFormatting sqref="I64:I65">
    <cfRule type="cellIs" dxfId="35" priority="119" operator="lessThan">
      <formula>0.1</formula>
    </cfRule>
  </conditionalFormatting>
  <conditionalFormatting sqref="I58:I63">
    <cfRule type="cellIs" dxfId="34" priority="120" operator="lessThan">
      <formula>0.1</formula>
    </cfRule>
  </conditionalFormatting>
  <conditionalFormatting sqref="H138:H143">
    <cfRule type="cellIs" dxfId="33" priority="121" operator="lessThan">
      <formula>0.1</formula>
    </cfRule>
  </conditionalFormatting>
  <conditionalFormatting sqref="I135:I143">
    <cfRule type="cellIs" dxfId="32" priority="122" operator="lessThan">
      <formula>0.1</formula>
    </cfRule>
  </conditionalFormatting>
  <conditionalFormatting sqref="I168">
    <cfRule type="cellIs" dxfId="31" priority="123" operator="lessThan">
      <formula>0.1</formula>
    </cfRule>
  </conditionalFormatting>
  <conditionalFormatting sqref="H251:H255">
    <cfRule type="cellIs" dxfId="30" priority="124" operator="lessThan">
      <formula>0.1</formula>
    </cfRule>
  </conditionalFormatting>
  <conditionalFormatting sqref="I254:I255">
    <cfRule type="cellIs" dxfId="29" priority="125" operator="lessThan">
      <formula>0.1</formula>
    </cfRule>
  </conditionalFormatting>
  <conditionalFormatting sqref="I252:I253">
    <cfRule type="cellIs" dxfId="28" priority="126" operator="lessThan">
      <formula>0.1</formula>
    </cfRule>
  </conditionalFormatting>
  <conditionalFormatting sqref="I248:I251">
    <cfRule type="cellIs" dxfId="27" priority="127" operator="lessThan">
      <formula>0.1</formula>
    </cfRule>
  </conditionalFormatting>
  <conditionalFormatting sqref="H486:H490 I416:I420 I422">
    <cfRule type="cellIs" dxfId="26" priority="1" operator="lessThan">
      <formula>0.1</formula>
    </cfRule>
  </conditionalFormatting>
  <conditionalFormatting sqref="H419:H423">
    <cfRule type="cellIs" dxfId="25" priority="2" operator="lessThan">
      <formula>0.1</formula>
    </cfRule>
  </conditionalFormatting>
  <conditionalFormatting sqref="H453:H457">
    <cfRule type="cellIs" dxfId="24" priority="3" operator="lessThan">
      <formula>0.1</formula>
    </cfRule>
  </conditionalFormatting>
  <conditionalFormatting sqref="I423">
    <cfRule type="cellIs" dxfId="23" priority="4" operator="lessThan">
      <formula>0.1</formula>
    </cfRule>
  </conditionalFormatting>
  <conditionalFormatting sqref="I435">
    <cfRule type="cellIs" dxfId="22" priority="5" operator="lessThan">
      <formula>0.1</formula>
    </cfRule>
  </conditionalFormatting>
  <conditionalFormatting sqref="I457">
    <cfRule type="cellIs" dxfId="21" priority="6" operator="lessThan">
      <formula>0.1</formula>
    </cfRule>
  </conditionalFormatting>
  <conditionalFormatting sqref="H464:H468">
    <cfRule type="cellIs" dxfId="20" priority="7" operator="lessThan">
      <formula>0.1</formula>
    </cfRule>
  </conditionalFormatting>
  <conditionalFormatting sqref="I467">
    <cfRule type="cellIs" dxfId="19" priority="8" operator="lessThan">
      <formula>0.1</formula>
    </cfRule>
  </conditionalFormatting>
  <conditionalFormatting sqref="H475:H479">
    <cfRule type="cellIs" dxfId="18" priority="9" operator="lessThan">
      <formula>0.1</formula>
    </cfRule>
  </conditionalFormatting>
  <conditionalFormatting sqref="I476:I478">
    <cfRule type="cellIs" dxfId="17" priority="10" operator="lessThan">
      <formula>0.1</formula>
    </cfRule>
  </conditionalFormatting>
  <conditionalFormatting sqref="I479">
    <cfRule type="cellIs" dxfId="16" priority="11" operator="lessThan">
      <formula>0.1</formula>
    </cfRule>
  </conditionalFormatting>
  <conditionalFormatting sqref="I466">
    <cfRule type="cellIs" dxfId="15" priority="12" operator="lessThan">
      <formula>0.1</formula>
    </cfRule>
  </conditionalFormatting>
  <conditionalFormatting sqref="I450:I456">
    <cfRule type="cellIs" dxfId="14" priority="13" operator="lessThan">
      <formula>0.1</formula>
    </cfRule>
  </conditionalFormatting>
  <conditionalFormatting sqref="I427:I430 I432 I434">
    <cfRule type="cellIs" dxfId="13" priority="14" operator="lessThan">
      <formula>0.1</formula>
    </cfRule>
  </conditionalFormatting>
  <conditionalFormatting sqref="I483:I490">
    <cfRule type="cellIs" dxfId="12" priority="15" operator="lessThan">
      <formula>0.1</formula>
    </cfRule>
  </conditionalFormatting>
  <conditionalFormatting sqref="I472:I475">
    <cfRule type="cellIs" dxfId="11" priority="16" operator="lessThan">
      <formula>0.1</formula>
    </cfRule>
  </conditionalFormatting>
  <conditionalFormatting sqref="I461:I465">
    <cfRule type="cellIs" dxfId="10" priority="17" operator="lessThan">
      <formula>0.1</formula>
    </cfRule>
  </conditionalFormatting>
  <conditionalFormatting sqref="H430 H432:H435">
    <cfRule type="cellIs" dxfId="9" priority="18" operator="lessThan">
      <formula>0.1</formula>
    </cfRule>
  </conditionalFormatting>
  <conditionalFormatting sqref="H431">
    <cfRule type="cellIs" dxfId="8" priority="19" operator="lessThan">
      <formula>0.1</formula>
    </cfRule>
  </conditionalFormatting>
  <conditionalFormatting sqref="I431">
    <cfRule type="cellIs" dxfId="7" priority="20" operator="lessThan">
      <formula>0.1</formula>
    </cfRule>
  </conditionalFormatting>
  <conditionalFormatting sqref="H442:H446">
    <cfRule type="cellIs" dxfId="6" priority="21" operator="lessThan">
      <formula>0.1</formula>
    </cfRule>
  </conditionalFormatting>
  <conditionalFormatting sqref="I446">
    <cfRule type="cellIs" dxfId="5" priority="22" operator="lessThan">
      <formula>0.1</formula>
    </cfRule>
  </conditionalFormatting>
  <conditionalFormatting sqref="I439:I445">
    <cfRule type="cellIs" dxfId="4" priority="23" operator="lessThan">
      <formula>0.1</formula>
    </cfRule>
  </conditionalFormatting>
  <conditionalFormatting sqref="I421">
    <cfRule type="cellIs" dxfId="3" priority="24" operator="lessThan">
      <formula>0.1</formula>
    </cfRule>
  </conditionalFormatting>
  <pageMargins left="0.7" right="0.7" top="0.75" bottom="0.75" header="0.3" footer="0.3"/>
  <pageSetup scale="6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30B33-96B5-42B7-ADC2-E755D881E0B4}">
  <dimension ref="A1:W67"/>
  <sheetViews>
    <sheetView view="pageBreakPreview" topLeftCell="A23" zoomScale="85" zoomScaleNormal="100" zoomScaleSheetLayoutView="85" workbookViewId="0">
      <selection activeCell="AC28" sqref="AC28"/>
    </sheetView>
  </sheetViews>
  <sheetFormatPr baseColWidth="10" defaultRowHeight="12.75" x14ac:dyDescent="0.2"/>
  <sheetData>
    <row r="1" spans="1:23" ht="13.5" x14ac:dyDescent="0.25">
      <c r="A1" s="640" t="s">
        <v>2961</v>
      </c>
      <c r="B1" s="275"/>
      <c r="C1" s="275"/>
      <c r="D1" s="275"/>
      <c r="E1" s="275"/>
      <c r="F1" s="275"/>
      <c r="G1" s="275"/>
      <c r="H1" s="275"/>
      <c r="I1" s="275"/>
      <c r="J1" s="275"/>
      <c r="K1" s="275"/>
      <c r="L1" s="275"/>
      <c r="M1" s="275"/>
      <c r="N1" s="275"/>
      <c r="O1" s="275"/>
      <c r="P1" s="275"/>
      <c r="Q1" s="275"/>
      <c r="R1" s="275"/>
      <c r="S1" s="275"/>
      <c r="T1" s="275"/>
      <c r="U1" s="275"/>
      <c r="V1" s="276"/>
      <c r="W1" s="18"/>
    </row>
    <row r="2" spans="1:23" ht="13.5" x14ac:dyDescent="0.25">
      <c r="A2" s="501"/>
      <c r="B2" s="318"/>
      <c r="C2" s="318"/>
      <c r="D2" s="318"/>
      <c r="E2" s="318"/>
      <c r="F2" s="318"/>
      <c r="G2" s="318"/>
      <c r="H2" s="318"/>
      <c r="I2" s="318"/>
      <c r="J2" s="318"/>
      <c r="K2" s="318"/>
      <c r="L2" s="318"/>
      <c r="M2" s="318"/>
      <c r="N2" s="318"/>
      <c r="O2" s="318"/>
      <c r="P2" s="318"/>
      <c r="Q2" s="318"/>
      <c r="R2" s="318"/>
      <c r="S2" s="318"/>
      <c r="T2" s="318"/>
      <c r="U2" s="318"/>
      <c r="V2" s="322"/>
      <c r="W2" s="18"/>
    </row>
    <row r="3" spans="1:23" ht="13.5" x14ac:dyDescent="0.25">
      <c r="A3" s="4"/>
      <c r="B3" s="4"/>
      <c r="C3" s="4"/>
      <c r="D3" s="4"/>
      <c r="E3" s="4"/>
      <c r="F3" s="4"/>
      <c r="G3" s="4"/>
      <c r="H3" s="4"/>
      <c r="I3" s="4"/>
      <c r="J3" s="4"/>
      <c r="K3" s="4"/>
      <c r="L3" s="4"/>
      <c r="M3" s="4"/>
      <c r="N3" s="4"/>
      <c r="O3" s="4"/>
      <c r="P3" s="4"/>
      <c r="Q3" s="4"/>
      <c r="R3" s="4"/>
      <c r="S3" s="4"/>
      <c r="T3" s="4"/>
      <c r="U3" s="4"/>
      <c r="V3" s="4"/>
      <c r="W3" s="18"/>
    </row>
    <row r="4" spans="1:23" ht="16.5" x14ac:dyDescent="0.3">
      <c r="A4" s="287" t="s">
        <v>76</v>
      </c>
      <c r="B4" s="271"/>
      <c r="C4" s="271"/>
      <c r="D4" s="273"/>
      <c r="E4" s="16" t="s">
        <v>77</v>
      </c>
      <c r="F4" s="16" t="s">
        <v>445</v>
      </c>
      <c r="G4" s="16" t="s">
        <v>2962</v>
      </c>
      <c r="H4" s="122"/>
      <c r="I4" s="122"/>
      <c r="J4" s="122"/>
      <c r="K4" s="122"/>
      <c r="L4" s="122"/>
      <c r="M4" s="122"/>
      <c r="N4" s="122"/>
      <c r="O4" s="18"/>
      <c r="P4" s="18"/>
      <c r="Q4" s="18"/>
      <c r="R4" s="18"/>
      <c r="S4" s="18"/>
    </row>
    <row r="5" spans="1:23" ht="16.5" x14ac:dyDescent="0.3">
      <c r="A5" s="641" t="s">
        <v>2963</v>
      </c>
      <c r="B5" s="271"/>
      <c r="C5" s="271"/>
      <c r="D5" s="273"/>
      <c r="E5" s="29" t="s">
        <v>1815</v>
      </c>
      <c r="F5" s="9">
        <f>SUM(G5:G5)</f>
        <v>1470.3100000000002</v>
      </c>
      <c r="G5" s="141">
        <f>SUM(G21:G22)</f>
        <v>1470.3100000000002</v>
      </c>
      <c r="H5" s="122"/>
      <c r="I5" s="122"/>
      <c r="J5" s="122"/>
      <c r="K5" s="122"/>
      <c r="L5" s="122"/>
      <c r="M5" s="122"/>
      <c r="N5" s="122"/>
      <c r="O5" s="18"/>
      <c r="P5" s="18"/>
      <c r="Q5" s="18"/>
      <c r="R5" s="18"/>
      <c r="S5" s="18"/>
    </row>
    <row r="6" spans="1:23" ht="16.5" x14ac:dyDescent="0.3">
      <c r="A6" s="142"/>
      <c r="B6" s="122"/>
      <c r="C6" s="122"/>
      <c r="D6" s="122"/>
      <c r="E6" s="122"/>
      <c r="F6" s="122"/>
      <c r="G6" s="122"/>
      <c r="H6" s="122"/>
      <c r="I6" s="122"/>
      <c r="J6" s="122"/>
      <c r="K6" s="122"/>
      <c r="L6" s="122"/>
      <c r="M6" s="122"/>
      <c r="N6" s="122"/>
      <c r="O6" s="18"/>
      <c r="P6" s="18"/>
      <c r="Q6" s="18"/>
      <c r="R6" s="18"/>
      <c r="S6" s="18"/>
    </row>
    <row r="7" spans="1:23" ht="16.5" x14ac:dyDescent="0.3">
      <c r="A7" s="641" t="s">
        <v>2964</v>
      </c>
      <c r="B7" s="271"/>
      <c r="C7" s="271"/>
      <c r="D7" s="273"/>
      <c r="E7" s="29" t="s">
        <v>1815</v>
      </c>
      <c r="F7" s="9">
        <f>SUM(G7:G7)</f>
        <v>735.74</v>
      </c>
      <c r="G7" s="141">
        <f>+T26</f>
        <v>735.74</v>
      </c>
      <c r="H7" s="122"/>
      <c r="I7" s="122"/>
      <c r="J7" s="122"/>
      <c r="K7" s="122"/>
      <c r="L7" s="122"/>
      <c r="M7" s="122"/>
      <c r="N7" s="122"/>
      <c r="O7" s="18"/>
      <c r="P7" s="18"/>
      <c r="Q7" s="18"/>
      <c r="R7" s="18"/>
      <c r="S7" s="18"/>
    </row>
    <row r="8" spans="1:23" ht="16.5" x14ac:dyDescent="0.3">
      <c r="A8" s="641" t="s">
        <v>2965</v>
      </c>
      <c r="B8" s="271"/>
      <c r="C8" s="271"/>
      <c r="D8" s="273"/>
      <c r="E8" s="29" t="s">
        <v>1382</v>
      </c>
      <c r="F8" s="9">
        <f>SUM(G8:G8)</f>
        <v>80.931400000000025</v>
      </c>
      <c r="G8" s="141">
        <f>+S26</f>
        <v>80.931400000000025</v>
      </c>
      <c r="H8" s="122"/>
      <c r="I8" s="122"/>
      <c r="J8" s="122"/>
      <c r="K8" s="122"/>
      <c r="L8" s="122"/>
      <c r="M8" s="122"/>
      <c r="N8" s="122"/>
      <c r="O8" s="18"/>
      <c r="P8" s="18"/>
      <c r="Q8" s="18"/>
      <c r="R8" s="18"/>
      <c r="S8" s="18"/>
    </row>
    <row r="9" spans="1:23" ht="16.5" x14ac:dyDescent="0.3">
      <c r="A9" s="641" t="s">
        <v>2966</v>
      </c>
      <c r="B9" s="271"/>
      <c r="C9" s="271"/>
      <c r="D9" s="273"/>
      <c r="E9" s="29" t="s">
        <v>1382</v>
      </c>
      <c r="F9" s="9">
        <f>SUM(G9:G9)</f>
        <v>182.28583207999998</v>
      </c>
      <c r="G9" s="141">
        <f>+K26</f>
        <v>182.28583207999998</v>
      </c>
      <c r="H9" s="122"/>
      <c r="I9" s="122"/>
      <c r="J9" s="122"/>
      <c r="K9" s="122"/>
      <c r="L9" s="122"/>
      <c r="M9" s="122"/>
      <c r="N9" s="122"/>
      <c r="O9" s="18"/>
      <c r="P9" s="18"/>
      <c r="Q9" s="18"/>
      <c r="R9" s="18"/>
      <c r="S9" s="18"/>
    </row>
    <row r="10" spans="1:23" ht="16.5" x14ac:dyDescent="0.3">
      <c r="A10" s="641" t="s">
        <v>1308</v>
      </c>
      <c r="B10" s="271"/>
      <c r="C10" s="271"/>
      <c r="D10" s="273"/>
      <c r="E10" s="29" t="s">
        <v>1382</v>
      </c>
      <c r="F10" s="9">
        <f>SUM(G10:G10)</f>
        <v>2440.4458342000003</v>
      </c>
      <c r="G10" s="141">
        <f>J26</f>
        <v>2440.4458342000003</v>
      </c>
      <c r="H10" s="122"/>
      <c r="I10" s="122"/>
      <c r="J10" s="122"/>
      <c r="K10" s="122"/>
      <c r="L10" s="122"/>
      <c r="M10" s="122"/>
      <c r="N10" s="122"/>
      <c r="O10" s="18"/>
      <c r="P10" s="18"/>
      <c r="Q10" s="18"/>
      <c r="R10" s="18"/>
      <c r="S10" s="18"/>
    </row>
    <row r="11" spans="1:23" ht="16.5" x14ac:dyDescent="0.3">
      <c r="A11" s="641" t="s">
        <v>2967</v>
      </c>
      <c r="B11" s="271"/>
      <c r="C11" s="271"/>
      <c r="D11" s="273"/>
      <c r="E11" s="29" t="s">
        <v>1382</v>
      </c>
      <c r="F11" s="9">
        <f>SUM(G11:G11)</f>
        <v>611.60666951999997</v>
      </c>
      <c r="G11" s="141">
        <f>+M26</f>
        <v>611.60666951999997</v>
      </c>
      <c r="H11" s="122"/>
      <c r="I11" s="122"/>
      <c r="J11" s="122"/>
      <c r="K11" s="122"/>
      <c r="L11" s="122"/>
      <c r="M11" s="122"/>
      <c r="N11" s="122"/>
      <c r="O11" s="18"/>
      <c r="P11" s="18"/>
      <c r="Q11" s="18"/>
      <c r="R11" s="18"/>
      <c r="S11" s="18"/>
    </row>
    <row r="12" spans="1:23" ht="16.5" x14ac:dyDescent="0.3">
      <c r="A12" s="122"/>
      <c r="B12" s="122"/>
      <c r="C12" s="122"/>
      <c r="D12" s="122"/>
      <c r="E12" s="122"/>
      <c r="F12" s="122"/>
      <c r="G12" s="122"/>
      <c r="H12" s="122"/>
      <c r="I12" s="122"/>
      <c r="J12" s="122"/>
      <c r="K12" s="122"/>
      <c r="L12" s="122"/>
      <c r="M12" s="122"/>
      <c r="N12" s="122"/>
      <c r="O12" s="18"/>
      <c r="P12" s="18"/>
      <c r="Q12" s="18"/>
      <c r="R12" s="18"/>
      <c r="S12" s="18"/>
    </row>
    <row r="13" spans="1:23" ht="16.5" x14ac:dyDescent="0.3">
      <c r="A13" s="641" t="s">
        <v>2968</v>
      </c>
      <c r="B13" s="271"/>
      <c r="C13" s="271"/>
      <c r="D13" s="273"/>
      <c r="E13" s="29" t="s">
        <v>1382</v>
      </c>
      <c r="F13" s="9">
        <f>SUM(G13:G13)</f>
        <v>323.46820000000002</v>
      </c>
      <c r="G13" s="141">
        <f>+N26</f>
        <v>323.46820000000002</v>
      </c>
      <c r="H13" s="122"/>
      <c r="I13" s="122"/>
      <c r="J13" s="122"/>
      <c r="K13" s="122"/>
      <c r="L13" s="122"/>
      <c r="M13" s="122"/>
      <c r="N13" s="122"/>
      <c r="O13" s="18"/>
      <c r="P13" s="18"/>
      <c r="Q13" s="18"/>
      <c r="R13" s="18"/>
      <c r="S13" s="18"/>
    </row>
    <row r="14" spans="1:23" ht="16.5" x14ac:dyDescent="0.3">
      <c r="A14" s="641" t="s">
        <v>2969</v>
      </c>
      <c r="B14" s="271"/>
      <c r="C14" s="271"/>
      <c r="D14" s="273"/>
      <c r="E14" s="29" t="s">
        <v>1382</v>
      </c>
      <c r="F14" s="9">
        <f>SUM(G14:G14)</f>
        <v>808.67050000000017</v>
      </c>
      <c r="G14" s="141">
        <f>+O26</f>
        <v>808.67050000000017</v>
      </c>
      <c r="H14" s="122"/>
      <c r="I14" s="122"/>
      <c r="J14" s="122"/>
      <c r="K14" s="122"/>
      <c r="L14" s="122"/>
      <c r="M14" s="122"/>
      <c r="N14" s="122"/>
      <c r="O14" s="18"/>
      <c r="P14" s="18"/>
      <c r="Q14" s="18"/>
      <c r="R14" s="18"/>
      <c r="S14" s="18"/>
    </row>
    <row r="15" spans="1:23" ht="16.5" x14ac:dyDescent="0.3">
      <c r="A15" s="641" t="s">
        <v>2970</v>
      </c>
      <c r="B15" s="271"/>
      <c r="C15" s="271"/>
      <c r="D15" s="273"/>
      <c r="E15" s="29" t="s">
        <v>1382</v>
      </c>
      <c r="F15" s="9">
        <f>SUM(G15:G15)</f>
        <v>1454.6620857999997</v>
      </c>
      <c r="G15" s="141">
        <f>(G9+G10+G11)-(G13+G14+G16+G17)</f>
        <v>1454.6620857999997</v>
      </c>
      <c r="H15" s="122"/>
      <c r="I15" s="122"/>
      <c r="J15" s="122"/>
      <c r="K15" s="122"/>
      <c r="L15" s="122"/>
      <c r="M15" s="122"/>
      <c r="N15" s="122"/>
      <c r="O15" s="18"/>
      <c r="P15" s="18"/>
      <c r="Q15" s="18"/>
      <c r="R15" s="18"/>
      <c r="S15" s="18"/>
    </row>
    <row r="16" spans="1:23" ht="16.5" x14ac:dyDescent="0.3">
      <c r="A16" s="641" t="s">
        <v>2971</v>
      </c>
      <c r="B16" s="271"/>
      <c r="C16" s="271"/>
      <c r="D16" s="273"/>
      <c r="E16" s="29" t="s">
        <v>1382</v>
      </c>
      <c r="F16" s="9">
        <f>SUM(G16:G16)</f>
        <v>294.33525000000003</v>
      </c>
      <c r="G16" s="141">
        <f>+Q26</f>
        <v>294.33525000000003</v>
      </c>
      <c r="H16" s="122"/>
      <c r="I16" s="122"/>
      <c r="J16" s="122"/>
      <c r="K16" s="122"/>
      <c r="L16" s="122"/>
      <c r="M16" s="122"/>
      <c r="N16" s="122"/>
      <c r="O16" s="18"/>
      <c r="P16" s="18"/>
      <c r="Q16" s="18"/>
      <c r="R16" s="18"/>
      <c r="S16" s="18"/>
    </row>
    <row r="17" spans="1:23" ht="16.5" x14ac:dyDescent="0.3">
      <c r="A17" s="641" t="s">
        <v>33</v>
      </c>
      <c r="B17" s="271"/>
      <c r="C17" s="271"/>
      <c r="D17" s="273"/>
      <c r="E17" s="29" t="s">
        <v>1382</v>
      </c>
      <c r="F17" s="9">
        <f>SUM(G17:G17)</f>
        <v>353.20230000000009</v>
      </c>
      <c r="G17" s="141">
        <f>+P26</f>
        <v>353.20230000000009</v>
      </c>
      <c r="H17" s="122"/>
      <c r="I17" s="122"/>
      <c r="J17" s="122"/>
      <c r="K17" s="122"/>
      <c r="L17" s="122"/>
      <c r="M17" s="122"/>
      <c r="N17" s="122"/>
      <c r="O17" s="18"/>
      <c r="P17" s="18"/>
      <c r="Q17" s="18"/>
      <c r="R17" s="18"/>
      <c r="S17" s="18"/>
    </row>
    <row r="18" spans="1:23" ht="16.5" x14ac:dyDescent="0.3">
      <c r="A18" s="122"/>
      <c r="B18" s="122"/>
      <c r="C18" s="122"/>
      <c r="D18" s="122"/>
      <c r="E18" s="122"/>
      <c r="F18" s="122"/>
      <c r="G18" s="122"/>
      <c r="H18" s="122"/>
      <c r="I18" s="122"/>
      <c r="J18" s="122"/>
      <c r="K18" s="122"/>
      <c r="L18" s="122"/>
      <c r="M18" s="122"/>
      <c r="N18" s="122"/>
      <c r="O18" s="18"/>
      <c r="P18" s="18"/>
      <c r="Q18" s="18"/>
      <c r="R18" s="18"/>
      <c r="S18" s="18"/>
    </row>
    <row r="19" spans="1:23" ht="16.5" x14ac:dyDescent="0.3">
      <c r="A19" s="641" t="s">
        <v>2972</v>
      </c>
      <c r="B19" s="271"/>
      <c r="C19" s="271"/>
      <c r="D19" s="273"/>
      <c r="E19" s="29" t="s">
        <v>1827</v>
      </c>
      <c r="F19" s="9">
        <f>+SUM(G19:G19)*1</f>
        <v>367.87</v>
      </c>
      <c r="G19" s="141">
        <f>SUM(C51:C58)</f>
        <v>367.87</v>
      </c>
      <c r="H19" s="122"/>
      <c r="I19" s="122"/>
      <c r="J19" s="122"/>
      <c r="K19" s="122"/>
      <c r="L19" s="122"/>
      <c r="M19" s="122"/>
      <c r="N19" s="122"/>
      <c r="O19" s="18"/>
      <c r="P19" s="18"/>
      <c r="Q19" s="18"/>
      <c r="R19" s="18"/>
      <c r="S19" s="18"/>
    </row>
    <row r="20" spans="1:23" ht="16.5" x14ac:dyDescent="0.3">
      <c r="A20" s="142"/>
      <c r="B20" s="122"/>
      <c r="C20" s="122"/>
      <c r="D20" s="122"/>
      <c r="E20" s="122"/>
      <c r="F20" s="122"/>
      <c r="G20" s="122"/>
      <c r="H20" s="122"/>
      <c r="I20" s="122"/>
      <c r="J20" s="122"/>
      <c r="K20" s="122"/>
      <c r="L20" s="122"/>
      <c r="M20" s="122"/>
      <c r="N20" s="122"/>
      <c r="O20" s="18"/>
      <c r="P20" s="18"/>
      <c r="Q20" s="18"/>
      <c r="R20" s="18"/>
      <c r="S20" s="18"/>
    </row>
    <row r="21" spans="1:23" ht="16.5" x14ac:dyDescent="0.3">
      <c r="A21" s="641" t="s">
        <v>2973</v>
      </c>
      <c r="B21" s="271"/>
      <c r="C21" s="271"/>
      <c r="D21" s="273"/>
      <c r="E21" s="29" t="s">
        <v>1815</v>
      </c>
      <c r="F21" s="9">
        <f>SUM(G21:G21)</f>
        <v>400</v>
      </c>
      <c r="G21" s="141">
        <f>C28</f>
        <v>400</v>
      </c>
      <c r="H21" s="122"/>
      <c r="I21" s="122"/>
      <c r="J21" s="122"/>
      <c r="K21" s="122"/>
      <c r="L21" s="122"/>
      <c r="M21" s="122"/>
      <c r="N21" s="122"/>
      <c r="O21" s="18"/>
      <c r="P21" s="18"/>
      <c r="Q21" s="18"/>
      <c r="R21" s="18"/>
      <c r="S21" s="18"/>
    </row>
    <row r="22" spans="1:23" ht="16.5" x14ac:dyDescent="0.3">
      <c r="A22" s="641" t="s">
        <v>2975</v>
      </c>
      <c r="B22" s="271"/>
      <c r="C22" s="271"/>
      <c r="D22" s="273"/>
      <c r="E22" s="29" t="s">
        <v>2974</v>
      </c>
      <c r="F22" s="9">
        <f>SUM(G22:G22)</f>
        <v>1070.3100000000002</v>
      </c>
      <c r="G22" s="141">
        <f>SUM(C30:C58)</f>
        <v>1070.3100000000002</v>
      </c>
      <c r="H22" s="122"/>
      <c r="I22" s="122"/>
      <c r="J22" s="122"/>
      <c r="K22" s="122"/>
      <c r="L22" s="122"/>
      <c r="M22" s="122"/>
      <c r="N22" s="122"/>
      <c r="O22" s="18"/>
      <c r="P22" s="18"/>
      <c r="Q22" s="18"/>
      <c r="R22" s="18"/>
      <c r="S22" s="18"/>
    </row>
    <row r="23" spans="1:23" ht="13.5" x14ac:dyDescent="0.25">
      <c r="A23" s="18"/>
      <c r="B23" s="4"/>
      <c r="C23" s="4"/>
      <c r="D23" s="4"/>
      <c r="E23" s="4"/>
      <c r="F23" s="4"/>
      <c r="G23" s="4"/>
      <c r="H23" s="4"/>
      <c r="I23" s="4"/>
      <c r="J23" s="4"/>
      <c r="K23" s="4"/>
      <c r="L23" s="4"/>
      <c r="M23" s="4"/>
      <c r="N23" s="4"/>
      <c r="O23" s="4"/>
      <c r="P23" s="4"/>
      <c r="Q23" s="4"/>
      <c r="R23" s="4"/>
      <c r="S23" s="4"/>
      <c r="T23" s="4"/>
      <c r="U23" s="4"/>
      <c r="V23" s="4"/>
      <c r="W23" s="18"/>
    </row>
    <row r="24" spans="1:23" ht="13.5" x14ac:dyDescent="0.25">
      <c r="A24" s="4"/>
      <c r="B24" s="4"/>
      <c r="C24" s="4"/>
      <c r="D24" s="4"/>
      <c r="E24" s="4"/>
      <c r="F24" s="4"/>
      <c r="G24" s="4"/>
      <c r="H24" s="4"/>
      <c r="I24" s="4"/>
      <c r="J24" s="4"/>
      <c r="K24" s="4"/>
      <c r="L24" s="4"/>
      <c r="M24" s="4"/>
      <c r="N24" s="4"/>
      <c r="O24" s="4"/>
      <c r="P24" s="4"/>
      <c r="Q24" s="4"/>
      <c r="R24" s="4"/>
      <c r="S24" s="4"/>
      <c r="T24" s="4"/>
      <c r="U24" s="4"/>
      <c r="V24" s="4"/>
      <c r="W24" s="4"/>
    </row>
    <row r="25" spans="1:23" ht="13.5" x14ac:dyDescent="0.25">
      <c r="A25" s="642" t="s">
        <v>2982</v>
      </c>
      <c r="B25" s="275"/>
      <c r="C25" s="275"/>
      <c r="D25" s="275"/>
      <c r="E25" s="275"/>
      <c r="F25" s="275"/>
      <c r="G25" s="275"/>
      <c r="H25" s="275"/>
      <c r="I25" s="276"/>
      <c r="J25" s="144" t="s">
        <v>2939</v>
      </c>
      <c r="K25" s="135" t="s">
        <v>2940</v>
      </c>
      <c r="L25" s="135" t="s">
        <v>2941</v>
      </c>
      <c r="M25" s="135" t="s">
        <v>2942</v>
      </c>
      <c r="N25" s="136" t="s">
        <v>2943</v>
      </c>
      <c r="O25" s="136" t="s">
        <v>2944</v>
      </c>
      <c r="P25" s="136" t="s">
        <v>33</v>
      </c>
      <c r="Q25" s="136" t="s">
        <v>2945</v>
      </c>
      <c r="R25" s="136" t="s">
        <v>2946</v>
      </c>
      <c r="S25" s="136" t="s">
        <v>2947</v>
      </c>
      <c r="T25" s="136" t="s">
        <v>2948</v>
      </c>
      <c r="U25" s="136" t="s">
        <v>2949</v>
      </c>
      <c r="V25" s="136" t="s">
        <v>2950</v>
      </c>
      <c r="W25" s="4"/>
    </row>
    <row r="26" spans="1:23" ht="13.5" x14ac:dyDescent="0.25">
      <c r="A26" s="330"/>
      <c r="B26" s="278"/>
      <c r="C26" s="278"/>
      <c r="D26" s="278"/>
      <c r="E26" s="278"/>
      <c r="F26" s="278"/>
      <c r="G26" s="278"/>
      <c r="H26" s="278"/>
      <c r="I26" s="279"/>
      <c r="J26" s="170">
        <f t="shared" ref="J26:V26" si="0">SUM(J28:J58)</f>
        <v>2440.4458342000003</v>
      </c>
      <c r="K26" s="170">
        <f t="shared" si="0"/>
        <v>182.28583207999998</v>
      </c>
      <c r="L26" s="170">
        <f t="shared" si="0"/>
        <v>1646.5533326</v>
      </c>
      <c r="M26" s="170">
        <f t="shared" si="0"/>
        <v>611.60666951999997</v>
      </c>
      <c r="N26" s="170">
        <f t="shared" si="0"/>
        <v>323.46820000000002</v>
      </c>
      <c r="O26" s="170">
        <f t="shared" si="0"/>
        <v>808.67050000000017</v>
      </c>
      <c r="P26" s="170">
        <f t="shared" si="0"/>
        <v>353.20230000000009</v>
      </c>
      <c r="Q26" s="170">
        <f t="shared" si="0"/>
        <v>294.33525000000003</v>
      </c>
      <c r="R26" s="170">
        <f t="shared" si="0"/>
        <v>579.83818419999989</v>
      </c>
      <c r="S26" s="170">
        <f t="shared" si="0"/>
        <v>80.931400000000025</v>
      </c>
      <c r="T26" s="170">
        <f t="shared" si="0"/>
        <v>735.74</v>
      </c>
      <c r="U26" s="170">
        <f t="shared" si="0"/>
        <v>2418.7899450000004</v>
      </c>
      <c r="V26" s="170">
        <f t="shared" si="0"/>
        <v>80.931400000000025</v>
      </c>
      <c r="W26" s="4"/>
    </row>
    <row r="27" spans="1:23" x14ac:dyDescent="0.2">
      <c r="A27" s="145" t="s">
        <v>2951</v>
      </c>
      <c r="B27" s="145" t="s">
        <v>2976</v>
      </c>
      <c r="C27" s="145" t="s">
        <v>2953</v>
      </c>
      <c r="D27" s="145" t="s">
        <v>2954</v>
      </c>
      <c r="E27" s="145" t="s">
        <v>2955</v>
      </c>
      <c r="F27" s="145" t="s">
        <v>2956</v>
      </c>
      <c r="G27" s="145" t="s">
        <v>2957</v>
      </c>
      <c r="H27" s="146" t="s">
        <v>2584</v>
      </c>
      <c r="I27" s="146" t="s">
        <v>2958</v>
      </c>
      <c r="J27" s="135" t="s">
        <v>2939</v>
      </c>
      <c r="K27" s="135" t="s">
        <v>2940</v>
      </c>
      <c r="L27" s="135" t="s">
        <v>2941</v>
      </c>
      <c r="M27" s="135" t="s">
        <v>2942</v>
      </c>
      <c r="N27" s="136" t="s">
        <v>2943</v>
      </c>
      <c r="O27" s="136" t="s">
        <v>2944</v>
      </c>
      <c r="P27" s="136" t="s">
        <v>33</v>
      </c>
      <c r="Q27" s="136" t="s">
        <v>2945</v>
      </c>
      <c r="R27" s="136" t="s">
        <v>2946</v>
      </c>
      <c r="S27" s="136" t="s">
        <v>2947</v>
      </c>
      <c r="T27" s="136" t="s">
        <v>2948</v>
      </c>
      <c r="U27" s="136" t="s">
        <v>2949</v>
      </c>
      <c r="V27" s="136" t="s">
        <v>2950</v>
      </c>
      <c r="W27" s="145" t="s">
        <v>2980</v>
      </c>
    </row>
    <row r="28" spans="1:23" ht="13.5" x14ac:dyDescent="0.25">
      <c r="A28" s="5" t="s">
        <v>16</v>
      </c>
      <c r="B28" s="19" t="s">
        <v>2977</v>
      </c>
      <c r="C28" s="7">
        <f>'MICRO Y MACRO'!D6*10</f>
        <v>400</v>
      </c>
      <c r="D28" s="20">
        <f>2.54*0.5*10</f>
        <v>12.7</v>
      </c>
      <c r="E28" s="143" t="s">
        <v>2978</v>
      </c>
      <c r="F28" s="20" t="s">
        <v>2979</v>
      </c>
      <c r="G28" s="20">
        <v>9</v>
      </c>
      <c r="H28" s="139">
        <v>1.1000000000000001</v>
      </c>
      <c r="I28" s="139">
        <f>HLOOKUP(A28,AA_Cimentacion,Indice!$H$14,FALSE)+(D28/1000)+HLOOKUP(A28,AA_Cimentacion,Indice!$H$18,FALSE)</f>
        <v>1.4626999999999999</v>
      </c>
      <c r="J28" s="139">
        <f>H28*I28*C28</f>
        <v>643.58799999999997</v>
      </c>
      <c r="K28" s="139">
        <f>+HLOOKUP(A28,AA_Cimentacion,Indice!$H$15,FALSE)*J28</f>
        <v>64.358800000000002</v>
      </c>
      <c r="L28" s="139">
        <f>HLOOKUP(A28,AA_Cimentacion,Indice!$H$16,FALSE)*J28</f>
        <v>450.51159999999993</v>
      </c>
      <c r="M28" s="139">
        <f>HLOOKUP(A28,AA_Cimentacion,Indice!$H$17,FALSE)*J28</f>
        <v>128.7176</v>
      </c>
      <c r="N28" s="139">
        <f>HLOOKUP(A28,AA_Cimentacion,Indice!$H$18,FALSE)*H28*C28</f>
        <v>88.000000000000014</v>
      </c>
      <c r="O28" s="139">
        <f>HLOOKUP(A28,AA_Cimentacion,Indice!$H$19,FALSE)*C28*H28</f>
        <v>220.00000000000003</v>
      </c>
      <c r="P28" s="139">
        <v>0</v>
      </c>
      <c r="Q28" s="139">
        <v>0</v>
      </c>
      <c r="R28" s="139">
        <f>(J28-N28-O28-P28-Q28-S28)</f>
        <v>335.58799999999997</v>
      </c>
      <c r="S28" s="139">
        <f>HLOOKUP(A28,AA_Cimentacion,Indice!$H$22,FALSE)*H28*C28</f>
        <v>0</v>
      </c>
      <c r="T28" s="139">
        <f>IF(A28=Indice!$G$12,C28*2,0)</f>
        <v>0</v>
      </c>
      <c r="U28" s="139">
        <f>(J28-R28)*(1+Indice!$L$14)</f>
        <v>400.40000000000003</v>
      </c>
      <c r="V28" s="139">
        <f>S28</f>
        <v>0</v>
      </c>
      <c r="W28" s="29" t="s">
        <v>2981</v>
      </c>
    </row>
    <row r="29" spans="1:23" ht="13.5" x14ac:dyDescent="0.25">
      <c r="A29" s="18"/>
      <c r="B29" s="18"/>
      <c r="C29" s="18"/>
      <c r="D29" s="18"/>
      <c r="E29" s="18"/>
      <c r="F29" s="18"/>
      <c r="G29" s="18"/>
      <c r="H29" s="18"/>
      <c r="I29" s="18"/>
      <c r="J29" s="18"/>
      <c r="K29" s="18"/>
      <c r="L29" s="18"/>
      <c r="M29" s="18"/>
      <c r="N29" s="18"/>
      <c r="O29" s="18"/>
      <c r="P29" s="18"/>
      <c r="Q29" s="18"/>
      <c r="R29" s="18"/>
      <c r="S29" s="18"/>
      <c r="T29" s="18"/>
      <c r="U29" s="18"/>
      <c r="V29" s="18"/>
      <c r="W29" s="18"/>
    </row>
    <row r="30" spans="1:23" ht="14.25" x14ac:dyDescent="0.3">
      <c r="A30" s="20" t="s">
        <v>16</v>
      </c>
      <c r="B30" s="19" t="s">
        <v>2977</v>
      </c>
      <c r="C30" s="7">
        <v>27.37</v>
      </c>
      <c r="D30" s="20">
        <f t="shared" ref="D30:D58" si="1">+E30*0.0254*1000</f>
        <v>76.199999999999989</v>
      </c>
      <c r="E30" s="20">
        <v>3</v>
      </c>
      <c r="F30" s="20" t="s">
        <v>2959</v>
      </c>
      <c r="G30" s="20">
        <v>21</v>
      </c>
      <c r="H30" s="139">
        <v>1.1000000000000001</v>
      </c>
      <c r="I30" s="139">
        <f>HLOOKUP(A30,AA_Cimentacion,Indice!$H$14,FALSE)+(D30/1000)+HLOOKUP(A30,AA_Cimentacion,Indice!$H$18,FALSE)</f>
        <v>1.5262</v>
      </c>
      <c r="J30" s="139">
        <f t="shared" ref="J30:J58" si="2">H30*I30*C30</f>
        <v>45.949303400000005</v>
      </c>
      <c r="K30" s="139">
        <f>HLOOKUP(A30,AA_Cimentacion,Indice!$H$15,FALSE)*J30</f>
        <v>4.5949303400000003</v>
      </c>
      <c r="L30" s="139">
        <f>HLOOKUP(A30,AA_Cimentacion,Indice!$H$16,FALSE)*J30</f>
        <v>32.164512380000005</v>
      </c>
      <c r="M30" s="139">
        <f>HLOOKUP(A30,AA_Cimentacion,Indice!$H$17,FALSE)*J30</f>
        <v>9.1898606800000007</v>
      </c>
      <c r="N30" s="139">
        <f>HLOOKUP(A30,AA_Cimentacion,Indice!$H$18,FALSE)*H30*C30</f>
        <v>6.0214000000000008</v>
      </c>
      <c r="O30" s="139">
        <f>HLOOKUP(A30,AA_Cimentacion,Indice!$H$19,FALSE)*C30*H30</f>
        <v>15.053500000000001</v>
      </c>
      <c r="P30" s="139">
        <f>HLOOKUP(A30,AA_Cimentacion,Indice!$H$20,FALSE)*H30*C30</f>
        <v>9.0321000000000016</v>
      </c>
      <c r="Q30" s="139">
        <f>HLOOKUP(A30,AA_Cimentacion,Indice!$H$21,FALSE)*H30*C30</f>
        <v>7.5267500000000007</v>
      </c>
      <c r="R30" s="139">
        <f t="shared" ref="R30:R58" si="3">(J30-N30-O30-P30-Q30-S30)</f>
        <v>8.3155534000000024</v>
      </c>
      <c r="S30" s="139">
        <f>HLOOKUP(A30,AA_Cimentacion,Indice!$H$22,FALSE)*H30*C30</f>
        <v>0</v>
      </c>
      <c r="T30" s="139">
        <f>IF(A30=Indice!$G$12,C30*2,0)</f>
        <v>0</v>
      </c>
      <c r="U30" s="139">
        <f>(J30-R30)*(1+Indice!$L$14)</f>
        <v>48.92387500000001</v>
      </c>
      <c r="V30" s="139">
        <f t="shared" ref="V30:V58" si="4">S30</f>
        <v>0</v>
      </c>
      <c r="W30" s="147" t="s">
        <v>2983</v>
      </c>
    </row>
    <row r="31" spans="1:23" ht="14.25" x14ac:dyDescent="0.3">
      <c r="A31" s="20" t="s">
        <v>16</v>
      </c>
      <c r="B31" s="19" t="s">
        <v>2977</v>
      </c>
      <c r="C31" s="7">
        <v>20.079999999999998</v>
      </c>
      <c r="D31" s="20">
        <f t="shared" si="1"/>
        <v>76.199999999999989</v>
      </c>
      <c r="E31" s="20">
        <v>3</v>
      </c>
      <c r="F31" s="20" t="s">
        <v>2959</v>
      </c>
      <c r="G31" s="20">
        <v>21</v>
      </c>
      <c r="H31" s="139">
        <v>1.1000000000000001</v>
      </c>
      <c r="I31" s="139">
        <f>HLOOKUP(A31,AA_Cimentacion,Indice!$H$14,FALSE)+(D31/1000)+HLOOKUP(A31,AA_Cimentacion,Indice!$H$18,FALSE)</f>
        <v>1.5262</v>
      </c>
      <c r="J31" s="139">
        <f t="shared" si="2"/>
        <v>33.710705600000004</v>
      </c>
      <c r="K31" s="139">
        <f>HLOOKUP(A31,AA_Cimentacion,Indice!$H$15,FALSE)*J31</f>
        <v>3.3710705600000006</v>
      </c>
      <c r="L31" s="139">
        <f>HLOOKUP(A31,AA_Cimentacion,Indice!$H$16,FALSE)*J31</f>
        <v>23.597493920000002</v>
      </c>
      <c r="M31" s="139">
        <f>HLOOKUP(A31,AA_Cimentacion,Indice!$H$17,FALSE)*J31</f>
        <v>6.7421411200000012</v>
      </c>
      <c r="N31" s="139">
        <f>HLOOKUP(A31,AA_Cimentacion,Indice!$H$18,FALSE)*H31*C31</f>
        <v>4.4176000000000002</v>
      </c>
      <c r="O31" s="139">
        <f>HLOOKUP(A31,AA_Cimentacion,Indice!$H$19,FALSE)*C31*H31</f>
        <v>11.044</v>
      </c>
      <c r="P31" s="139">
        <f>HLOOKUP(A31,AA_Cimentacion,Indice!$H$20,FALSE)*H31*C31</f>
        <v>6.6263999999999994</v>
      </c>
      <c r="Q31" s="139">
        <f>HLOOKUP(A31,AA_Cimentacion,Indice!$H$21,FALSE)*H31*C31</f>
        <v>5.5220000000000002</v>
      </c>
      <c r="R31" s="139">
        <f t="shared" si="3"/>
        <v>6.1007056000000031</v>
      </c>
      <c r="S31" s="139">
        <f>HLOOKUP(A31,AA_Cimentacion,Indice!$H$22,FALSE)*H31*C31</f>
        <v>0</v>
      </c>
      <c r="T31" s="139">
        <f>IF(A31=Indice!$G$12,C31*2,0)</f>
        <v>0</v>
      </c>
      <c r="U31" s="139">
        <f>(J31-R31)*(1+Indice!$L$14)</f>
        <v>35.893000000000001</v>
      </c>
      <c r="V31" s="139">
        <f t="shared" si="4"/>
        <v>0</v>
      </c>
      <c r="W31" s="147" t="s">
        <v>2984</v>
      </c>
    </row>
    <row r="32" spans="1:23" ht="14.25" x14ac:dyDescent="0.3">
      <c r="A32" s="20" t="s">
        <v>16</v>
      </c>
      <c r="B32" s="19" t="s">
        <v>2977</v>
      </c>
      <c r="C32" s="7">
        <v>55.95</v>
      </c>
      <c r="D32" s="20">
        <f t="shared" si="1"/>
        <v>76.199999999999989</v>
      </c>
      <c r="E32" s="20">
        <v>3</v>
      </c>
      <c r="F32" s="20" t="s">
        <v>2959</v>
      </c>
      <c r="G32" s="20">
        <v>21</v>
      </c>
      <c r="H32" s="139">
        <v>1.1000000000000001</v>
      </c>
      <c r="I32" s="139">
        <f>HLOOKUP(A32,AA_Cimentacion,Indice!$H$14,FALSE)+(D32/1000)+HLOOKUP(A32,AA_Cimentacion,Indice!$H$18,FALSE)</f>
        <v>1.5262</v>
      </c>
      <c r="J32" s="139">
        <f t="shared" si="2"/>
        <v>93.929979000000017</v>
      </c>
      <c r="K32" s="139">
        <f>HLOOKUP(A32,AA_Cimentacion,Indice!$H$15,FALSE)*J32</f>
        <v>9.3929979000000028</v>
      </c>
      <c r="L32" s="139">
        <f>HLOOKUP(A32,AA_Cimentacion,Indice!$H$16,FALSE)*J32</f>
        <v>65.750985300000011</v>
      </c>
      <c r="M32" s="139">
        <f>HLOOKUP(A32,AA_Cimentacion,Indice!$H$17,FALSE)*J32</f>
        <v>18.785995800000006</v>
      </c>
      <c r="N32" s="139">
        <f>HLOOKUP(A32,AA_Cimentacion,Indice!$H$18,FALSE)*H32*C32</f>
        <v>12.309000000000003</v>
      </c>
      <c r="O32" s="139">
        <f>HLOOKUP(A32,AA_Cimentacion,Indice!$H$19,FALSE)*C32*H32</f>
        <v>30.772500000000004</v>
      </c>
      <c r="P32" s="139">
        <f>HLOOKUP(A32,AA_Cimentacion,Indice!$H$20,FALSE)*H32*C32</f>
        <v>18.463500000000003</v>
      </c>
      <c r="Q32" s="139">
        <f>HLOOKUP(A32,AA_Cimentacion,Indice!$H$21,FALSE)*H32*C32</f>
        <v>15.386250000000002</v>
      </c>
      <c r="R32" s="139">
        <f t="shared" si="3"/>
        <v>16.998729000000004</v>
      </c>
      <c r="S32" s="139">
        <f>HLOOKUP(A32,AA_Cimentacion,Indice!$H$22,FALSE)*H32*C32</f>
        <v>0</v>
      </c>
      <c r="T32" s="139">
        <f>IF(A32=Indice!$G$12,C32*2,0)</f>
        <v>0</v>
      </c>
      <c r="U32" s="139">
        <f>(J32-R32)*(1+Indice!$L$14)</f>
        <v>100.010625</v>
      </c>
      <c r="V32" s="139">
        <f t="shared" si="4"/>
        <v>0</v>
      </c>
      <c r="W32" s="147" t="s">
        <v>2985</v>
      </c>
    </row>
    <row r="33" spans="1:23" ht="14.25" x14ac:dyDescent="0.3">
      <c r="A33" s="20" t="s">
        <v>16</v>
      </c>
      <c r="B33" s="19" t="s">
        <v>2977</v>
      </c>
      <c r="C33" s="7">
        <v>30.96</v>
      </c>
      <c r="D33" s="20">
        <f t="shared" si="1"/>
        <v>76.199999999999989</v>
      </c>
      <c r="E33" s="20">
        <v>3</v>
      </c>
      <c r="F33" s="20" t="s">
        <v>2959</v>
      </c>
      <c r="G33" s="20">
        <v>21</v>
      </c>
      <c r="H33" s="139">
        <v>1.1000000000000001</v>
      </c>
      <c r="I33" s="139">
        <f>HLOOKUP(A33,AA_Cimentacion,Indice!$H$14,FALSE)+(D33/1000)+HLOOKUP(A33,AA_Cimentacion,Indice!$H$18,FALSE)</f>
        <v>1.5262</v>
      </c>
      <c r="J33" s="139">
        <f t="shared" si="2"/>
        <v>51.976267200000009</v>
      </c>
      <c r="K33" s="139">
        <f>HLOOKUP(A33,AA_Cimentacion,Indice!$H$15,FALSE)*J33</f>
        <v>5.1976267200000015</v>
      </c>
      <c r="L33" s="139">
        <f>HLOOKUP(A33,AA_Cimentacion,Indice!$H$16,FALSE)*J33</f>
        <v>36.383387040000002</v>
      </c>
      <c r="M33" s="139">
        <f>HLOOKUP(A33,AA_Cimentacion,Indice!$H$17,FALSE)*J33</f>
        <v>10.395253440000003</v>
      </c>
      <c r="N33" s="139">
        <f>HLOOKUP(A33,AA_Cimentacion,Indice!$H$18,FALSE)*H33*C33</f>
        <v>6.8112000000000013</v>
      </c>
      <c r="O33" s="139">
        <f>HLOOKUP(A33,AA_Cimentacion,Indice!$H$19,FALSE)*C33*H33</f>
        <v>17.028000000000002</v>
      </c>
      <c r="P33" s="139">
        <f>HLOOKUP(A33,AA_Cimentacion,Indice!$H$20,FALSE)*H33*C33</f>
        <v>10.216800000000001</v>
      </c>
      <c r="Q33" s="139">
        <f>HLOOKUP(A33,AA_Cimentacion,Indice!$H$21,FALSE)*H33*C33</f>
        <v>8.5140000000000011</v>
      </c>
      <c r="R33" s="139">
        <f t="shared" si="3"/>
        <v>9.4062672000000038</v>
      </c>
      <c r="S33" s="139">
        <f>HLOOKUP(A33,AA_Cimentacion,Indice!$H$22,FALSE)*H33*C33</f>
        <v>0</v>
      </c>
      <c r="T33" s="139">
        <f>IF(A33=Indice!$G$12,C33*2,0)</f>
        <v>0</v>
      </c>
      <c r="U33" s="139">
        <f>(J33-R33)*(1+Indice!$L$14)</f>
        <v>55.341000000000008</v>
      </c>
      <c r="V33" s="139">
        <f t="shared" si="4"/>
        <v>0</v>
      </c>
      <c r="W33" s="147" t="s">
        <v>2986</v>
      </c>
    </row>
    <row r="34" spans="1:23" ht="14.25" x14ac:dyDescent="0.3">
      <c r="A34" s="20" t="s">
        <v>16</v>
      </c>
      <c r="B34" s="19" t="s">
        <v>2977</v>
      </c>
      <c r="C34" s="7">
        <v>23.29</v>
      </c>
      <c r="D34" s="20">
        <f t="shared" si="1"/>
        <v>76.199999999999989</v>
      </c>
      <c r="E34" s="20">
        <v>3</v>
      </c>
      <c r="F34" s="20" t="s">
        <v>2959</v>
      </c>
      <c r="G34" s="20">
        <v>21</v>
      </c>
      <c r="H34" s="139">
        <v>1.1000000000000001</v>
      </c>
      <c r="I34" s="139">
        <f>HLOOKUP(A34,AA_Cimentacion,Indice!$H$14,FALSE)+(D34/1000)+HLOOKUP(A34,AA_Cimentacion,Indice!$H$18,FALSE)</f>
        <v>1.5262</v>
      </c>
      <c r="J34" s="139">
        <f t="shared" si="2"/>
        <v>39.099717800000001</v>
      </c>
      <c r="K34" s="139">
        <f>HLOOKUP(A34,AA_Cimentacion,Indice!$H$15,FALSE)*J34</f>
        <v>3.9099717800000002</v>
      </c>
      <c r="L34" s="139">
        <f>HLOOKUP(A34,AA_Cimentacion,Indice!$H$16,FALSE)*J34</f>
        <v>27.369802459999999</v>
      </c>
      <c r="M34" s="139">
        <f>HLOOKUP(A34,AA_Cimentacion,Indice!$H$17,FALSE)*J34</f>
        <v>7.8199435600000005</v>
      </c>
      <c r="N34" s="139">
        <f>HLOOKUP(A34,AA_Cimentacion,Indice!$H$18,FALSE)*H34*C34</f>
        <v>5.1238000000000001</v>
      </c>
      <c r="O34" s="139">
        <f>HLOOKUP(A34,AA_Cimentacion,Indice!$H$19,FALSE)*C34*H34</f>
        <v>12.8095</v>
      </c>
      <c r="P34" s="139">
        <f>HLOOKUP(A34,AA_Cimentacion,Indice!$H$20,FALSE)*H34*C34</f>
        <v>7.6856999999999998</v>
      </c>
      <c r="Q34" s="139">
        <f>HLOOKUP(A34,AA_Cimentacion,Indice!$H$21,FALSE)*H34*C34</f>
        <v>6.4047499999999999</v>
      </c>
      <c r="R34" s="139">
        <f t="shared" si="3"/>
        <v>7.0759677999999973</v>
      </c>
      <c r="S34" s="139">
        <f>HLOOKUP(A34,AA_Cimentacion,Indice!$H$22,FALSE)*H34*C34</f>
        <v>0</v>
      </c>
      <c r="T34" s="139">
        <f>IF(A34=Indice!$G$12,C34*2,0)</f>
        <v>0</v>
      </c>
      <c r="U34" s="139">
        <f>(J34-R34)*(1+Indice!$L$14)</f>
        <v>41.63087500000001</v>
      </c>
      <c r="V34" s="139">
        <f t="shared" si="4"/>
        <v>0</v>
      </c>
      <c r="W34" s="147" t="s">
        <v>2987</v>
      </c>
    </row>
    <row r="35" spans="1:23" ht="14.25" x14ac:dyDescent="0.3">
      <c r="A35" s="20" t="s">
        <v>16</v>
      </c>
      <c r="B35" s="19" t="s">
        <v>2977</v>
      </c>
      <c r="C35" s="7">
        <v>9.19</v>
      </c>
      <c r="D35" s="20">
        <f t="shared" si="1"/>
        <v>76.199999999999989</v>
      </c>
      <c r="E35" s="20">
        <v>3</v>
      </c>
      <c r="F35" s="20" t="s">
        <v>2959</v>
      </c>
      <c r="G35" s="20">
        <v>21</v>
      </c>
      <c r="H35" s="139">
        <v>1.1000000000000001</v>
      </c>
      <c r="I35" s="139">
        <f>HLOOKUP(A35,AA_Cimentacion,Indice!$H$14,FALSE)+(D35/1000)+HLOOKUP(A35,AA_Cimentacion,Indice!$H$18,FALSE)</f>
        <v>1.5262</v>
      </c>
      <c r="J35" s="139">
        <f t="shared" si="2"/>
        <v>15.4283558</v>
      </c>
      <c r="K35" s="139">
        <f>HLOOKUP(A35,AA_Cimentacion,Indice!$H$15,FALSE)*J35</f>
        <v>1.5428355800000002</v>
      </c>
      <c r="L35" s="139">
        <f>HLOOKUP(A35,AA_Cimentacion,Indice!$H$16,FALSE)*J35</f>
        <v>10.79984906</v>
      </c>
      <c r="M35" s="139">
        <f>HLOOKUP(A35,AA_Cimentacion,Indice!$H$17,FALSE)*J35</f>
        <v>3.0856711600000004</v>
      </c>
      <c r="N35" s="139">
        <f>HLOOKUP(A35,AA_Cimentacion,Indice!$H$18,FALSE)*H35*C35</f>
        <v>2.0218000000000003</v>
      </c>
      <c r="O35" s="139">
        <f>HLOOKUP(A35,AA_Cimentacion,Indice!$H$19,FALSE)*C35*H35</f>
        <v>5.0545</v>
      </c>
      <c r="P35" s="139">
        <f>HLOOKUP(A35,AA_Cimentacion,Indice!$H$20,FALSE)*H35*C35</f>
        <v>3.0327000000000002</v>
      </c>
      <c r="Q35" s="139">
        <f>HLOOKUP(A35,AA_Cimentacion,Indice!$H$21,FALSE)*H35*C35</f>
        <v>2.52725</v>
      </c>
      <c r="R35" s="139">
        <f t="shared" si="3"/>
        <v>2.7921057999999985</v>
      </c>
      <c r="S35" s="139">
        <f>HLOOKUP(A35,AA_Cimentacion,Indice!$H$22,FALSE)*H35*C35</f>
        <v>0</v>
      </c>
      <c r="T35" s="139">
        <f>IF(A35=Indice!$G$12,C35*2,0)</f>
        <v>0</v>
      </c>
      <c r="U35" s="139">
        <f>(J35-R35)*(1+Indice!$L$14)</f>
        <v>16.427125000000004</v>
      </c>
      <c r="V35" s="139">
        <f t="shared" si="4"/>
        <v>0</v>
      </c>
      <c r="W35" s="147" t="s">
        <v>2988</v>
      </c>
    </row>
    <row r="36" spans="1:23" ht="14.25" x14ac:dyDescent="0.3">
      <c r="A36" s="20" t="s">
        <v>16</v>
      </c>
      <c r="B36" s="19" t="s">
        <v>2977</v>
      </c>
      <c r="C36" s="7">
        <v>73.87</v>
      </c>
      <c r="D36" s="20">
        <f t="shared" si="1"/>
        <v>76.199999999999989</v>
      </c>
      <c r="E36" s="20">
        <v>3</v>
      </c>
      <c r="F36" s="20" t="s">
        <v>2959</v>
      </c>
      <c r="G36" s="20">
        <v>21</v>
      </c>
      <c r="H36" s="139">
        <v>1.1000000000000001</v>
      </c>
      <c r="I36" s="139">
        <f>HLOOKUP(A36,AA_Cimentacion,Indice!$H$14,FALSE)+(D36/1000)+HLOOKUP(A36,AA_Cimentacion,Indice!$H$18,FALSE)</f>
        <v>1.5262</v>
      </c>
      <c r="J36" s="139">
        <f t="shared" si="2"/>
        <v>124.01443340000002</v>
      </c>
      <c r="K36" s="139">
        <f>HLOOKUP(A36,AA_Cimentacion,Indice!$H$15,FALSE)*J36</f>
        <v>12.401443340000002</v>
      </c>
      <c r="L36" s="139">
        <f>HLOOKUP(A36,AA_Cimentacion,Indice!$H$16,FALSE)*J36</f>
        <v>86.810103380000001</v>
      </c>
      <c r="M36" s="139">
        <f>HLOOKUP(A36,AA_Cimentacion,Indice!$H$17,FALSE)*J36</f>
        <v>24.802886680000004</v>
      </c>
      <c r="N36" s="139">
        <f>HLOOKUP(A36,AA_Cimentacion,Indice!$H$18,FALSE)*H36*C36</f>
        <v>16.251400000000004</v>
      </c>
      <c r="O36" s="139">
        <f>HLOOKUP(A36,AA_Cimentacion,Indice!$H$19,FALSE)*C36*H36</f>
        <v>40.628500000000003</v>
      </c>
      <c r="P36" s="139">
        <f>HLOOKUP(A36,AA_Cimentacion,Indice!$H$20,FALSE)*H36*C36</f>
        <v>24.377100000000002</v>
      </c>
      <c r="Q36" s="139">
        <f>HLOOKUP(A36,AA_Cimentacion,Indice!$H$21,FALSE)*H36*C36</f>
        <v>20.314250000000001</v>
      </c>
      <c r="R36" s="139">
        <f t="shared" si="3"/>
        <v>22.443183400000009</v>
      </c>
      <c r="S36" s="139">
        <f>HLOOKUP(A36,AA_Cimentacion,Indice!$H$22,FALSE)*H36*C36</f>
        <v>0</v>
      </c>
      <c r="T36" s="139">
        <f>IF(A36=Indice!$G$12,C36*2,0)</f>
        <v>0</v>
      </c>
      <c r="U36" s="139">
        <f>(J36-R36)*(1+Indice!$L$14)</f>
        <v>132.04262500000002</v>
      </c>
      <c r="V36" s="139">
        <f t="shared" si="4"/>
        <v>0</v>
      </c>
      <c r="W36" s="147" t="s">
        <v>2989</v>
      </c>
    </row>
    <row r="37" spans="1:23" ht="14.25" x14ac:dyDescent="0.3">
      <c r="A37" s="20" t="s">
        <v>16</v>
      </c>
      <c r="B37" s="19" t="s">
        <v>2977</v>
      </c>
      <c r="C37" s="7">
        <v>45.13</v>
      </c>
      <c r="D37" s="20">
        <f t="shared" si="1"/>
        <v>76.199999999999989</v>
      </c>
      <c r="E37" s="20">
        <v>3</v>
      </c>
      <c r="F37" s="20" t="s">
        <v>2959</v>
      </c>
      <c r="G37" s="20">
        <v>21</v>
      </c>
      <c r="H37" s="139">
        <v>1.1000000000000001</v>
      </c>
      <c r="I37" s="139">
        <f>HLOOKUP(A37,AA_Cimentacion,Indice!$H$14,FALSE)+(D37/1000)+HLOOKUP(A37,AA_Cimentacion,Indice!$H$18,FALSE)</f>
        <v>1.5262</v>
      </c>
      <c r="J37" s="139">
        <f t="shared" si="2"/>
        <v>75.765146600000008</v>
      </c>
      <c r="K37" s="139">
        <f>HLOOKUP(A37,AA_Cimentacion,Indice!$H$15,FALSE)*J37</f>
        <v>7.5765146600000008</v>
      </c>
      <c r="L37" s="139">
        <f>HLOOKUP(A37,AA_Cimentacion,Indice!$H$16,FALSE)*J37</f>
        <v>53.035602620000006</v>
      </c>
      <c r="M37" s="139">
        <f>HLOOKUP(A37,AA_Cimentacion,Indice!$H$17,FALSE)*J37</f>
        <v>15.153029320000002</v>
      </c>
      <c r="N37" s="139">
        <f>HLOOKUP(A37,AA_Cimentacion,Indice!$H$18,FALSE)*H37*C37</f>
        <v>9.9286000000000012</v>
      </c>
      <c r="O37" s="139">
        <f>HLOOKUP(A37,AA_Cimentacion,Indice!$H$19,FALSE)*C37*H37</f>
        <v>24.821500000000004</v>
      </c>
      <c r="P37" s="139">
        <f>HLOOKUP(A37,AA_Cimentacion,Indice!$H$20,FALSE)*H37*C37</f>
        <v>14.892900000000001</v>
      </c>
      <c r="Q37" s="139">
        <f>HLOOKUP(A37,AA_Cimentacion,Indice!$H$21,FALSE)*H37*C37</f>
        <v>12.410750000000002</v>
      </c>
      <c r="R37" s="139">
        <f t="shared" si="3"/>
        <v>13.711396600000002</v>
      </c>
      <c r="S37" s="139">
        <f>HLOOKUP(A37,AA_Cimentacion,Indice!$H$22,FALSE)*H37*C37</f>
        <v>0</v>
      </c>
      <c r="T37" s="139">
        <f>IF(A37=Indice!$G$12,C37*2,0)</f>
        <v>0</v>
      </c>
      <c r="U37" s="139">
        <f>(J37-R37)*(1+Indice!$L$14)</f>
        <v>80.669875000000019</v>
      </c>
      <c r="V37" s="139">
        <f t="shared" si="4"/>
        <v>0</v>
      </c>
      <c r="W37" s="147" t="s">
        <v>2990</v>
      </c>
    </row>
    <row r="38" spans="1:23" ht="14.25" x14ac:dyDescent="0.3">
      <c r="A38" s="20" t="s">
        <v>16</v>
      </c>
      <c r="B38" s="19" t="s">
        <v>2977</v>
      </c>
      <c r="C38" s="7">
        <v>45.3</v>
      </c>
      <c r="D38" s="20">
        <f t="shared" si="1"/>
        <v>76.199999999999989</v>
      </c>
      <c r="E38" s="20">
        <v>3</v>
      </c>
      <c r="F38" s="20" t="s">
        <v>2959</v>
      </c>
      <c r="G38" s="20">
        <v>21</v>
      </c>
      <c r="H38" s="139">
        <v>1.1000000000000001</v>
      </c>
      <c r="I38" s="139">
        <f>HLOOKUP(A38,AA_Cimentacion,Indice!$H$14,FALSE)+(D38/1000)+HLOOKUP(A38,AA_Cimentacion,Indice!$H$18,FALSE)</f>
        <v>1.5262</v>
      </c>
      <c r="J38" s="139">
        <f t="shared" si="2"/>
        <v>76.050546000000011</v>
      </c>
      <c r="K38" s="139">
        <f>HLOOKUP(A38,AA_Cimentacion,Indice!$H$15,FALSE)*J38</f>
        <v>7.6050546000000017</v>
      </c>
      <c r="L38" s="139">
        <f>HLOOKUP(A38,AA_Cimentacion,Indice!$H$16,FALSE)*J38</f>
        <v>53.235382200000004</v>
      </c>
      <c r="M38" s="139">
        <f>HLOOKUP(A38,AA_Cimentacion,Indice!$H$17,FALSE)*J38</f>
        <v>15.210109200000003</v>
      </c>
      <c r="N38" s="139">
        <f>HLOOKUP(A38,AA_Cimentacion,Indice!$H$18,FALSE)*H38*C38</f>
        <v>9.9660000000000011</v>
      </c>
      <c r="O38" s="139">
        <f>HLOOKUP(A38,AA_Cimentacion,Indice!$H$19,FALSE)*C38*H38</f>
        <v>24.914999999999999</v>
      </c>
      <c r="P38" s="139">
        <f>HLOOKUP(A38,AA_Cimentacion,Indice!$H$20,FALSE)*H38*C38</f>
        <v>14.949</v>
      </c>
      <c r="Q38" s="139">
        <f>HLOOKUP(A38,AA_Cimentacion,Indice!$H$21,FALSE)*H38*C38</f>
        <v>12.4575</v>
      </c>
      <c r="R38" s="139">
        <f t="shared" si="3"/>
        <v>13.763046000000021</v>
      </c>
      <c r="S38" s="139">
        <f>HLOOKUP(A38,AA_Cimentacion,Indice!$H$22,FALSE)*H38*C38</f>
        <v>0</v>
      </c>
      <c r="T38" s="139">
        <f>IF(A38=Indice!$G$12,C38*2,0)</f>
        <v>0</v>
      </c>
      <c r="U38" s="139">
        <f>(J38-R38)*(1+Indice!$L$14)</f>
        <v>80.973749999999995</v>
      </c>
      <c r="V38" s="139">
        <f t="shared" si="4"/>
        <v>0</v>
      </c>
      <c r="W38" s="147" t="s">
        <v>2991</v>
      </c>
    </row>
    <row r="39" spans="1:23" ht="14.25" x14ac:dyDescent="0.3">
      <c r="A39" s="20" t="s">
        <v>16</v>
      </c>
      <c r="B39" s="19" t="s">
        <v>2977</v>
      </c>
      <c r="C39" s="7">
        <v>30.36</v>
      </c>
      <c r="D39" s="20">
        <f t="shared" si="1"/>
        <v>76.199999999999989</v>
      </c>
      <c r="E39" s="20">
        <v>3</v>
      </c>
      <c r="F39" s="20" t="s">
        <v>2959</v>
      </c>
      <c r="G39" s="20">
        <v>21</v>
      </c>
      <c r="H39" s="139">
        <v>1.1000000000000001</v>
      </c>
      <c r="I39" s="139">
        <f>HLOOKUP(A39,AA_Cimentacion,Indice!$H$14,FALSE)+(D39/1000)+HLOOKUP(A39,AA_Cimentacion,Indice!$H$18,FALSE)</f>
        <v>1.5262</v>
      </c>
      <c r="J39" s="139">
        <f t="shared" si="2"/>
        <v>50.968975200000003</v>
      </c>
      <c r="K39" s="139">
        <f>HLOOKUP(A39,AA_Cimentacion,Indice!$H$15,FALSE)*J39</f>
        <v>5.0968975200000006</v>
      </c>
      <c r="L39" s="139">
        <f>HLOOKUP(A39,AA_Cimentacion,Indice!$H$16,FALSE)*J39</f>
        <v>35.678282639999999</v>
      </c>
      <c r="M39" s="139">
        <f>HLOOKUP(A39,AA_Cimentacion,Indice!$H$17,FALSE)*J39</f>
        <v>10.193795040000001</v>
      </c>
      <c r="N39" s="139">
        <f>HLOOKUP(A39,AA_Cimentacion,Indice!$H$18,FALSE)*H39*C39</f>
        <v>6.6792000000000007</v>
      </c>
      <c r="O39" s="139">
        <f>HLOOKUP(A39,AA_Cimentacion,Indice!$H$19,FALSE)*C39*H39</f>
        <v>16.698</v>
      </c>
      <c r="P39" s="139">
        <f>HLOOKUP(A39,AA_Cimentacion,Indice!$H$20,FALSE)*H39*C39</f>
        <v>10.018800000000001</v>
      </c>
      <c r="Q39" s="139">
        <f>HLOOKUP(A39,AA_Cimentacion,Indice!$H$21,FALSE)*H39*C39</f>
        <v>8.3490000000000002</v>
      </c>
      <c r="R39" s="139">
        <f t="shared" si="3"/>
        <v>9.2239752000000017</v>
      </c>
      <c r="S39" s="139">
        <f>HLOOKUP(A39,AA_Cimentacion,Indice!$H$22,FALSE)*H39*C39</f>
        <v>0</v>
      </c>
      <c r="T39" s="139">
        <f>IF(A39=Indice!$G$12,C39*2,0)</f>
        <v>0</v>
      </c>
      <c r="U39" s="139">
        <f>(J39-R39)*(1+Indice!$L$14)</f>
        <v>54.26850000000001</v>
      </c>
      <c r="V39" s="139">
        <f t="shared" si="4"/>
        <v>0</v>
      </c>
      <c r="W39" s="147" t="s">
        <v>2992</v>
      </c>
    </row>
    <row r="40" spans="1:23" ht="14.25" x14ac:dyDescent="0.3">
      <c r="A40" s="20" t="s">
        <v>16</v>
      </c>
      <c r="B40" s="19" t="s">
        <v>2977</v>
      </c>
      <c r="C40" s="7">
        <v>44.74</v>
      </c>
      <c r="D40" s="20">
        <f t="shared" si="1"/>
        <v>76.199999999999989</v>
      </c>
      <c r="E40" s="20">
        <v>3</v>
      </c>
      <c r="F40" s="20" t="s">
        <v>2959</v>
      </c>
      <c r="G40" s="20">
        <v>21</v>
      </c>
      <c r="H40" s="139">
        <v>1.1000000000000001</v>
      </c>
      <c r="I40" s="139">
        <f>HLOOKUP(A40,AA_Cimentacion,Indice!$H$14,FALSE)+(D40/1000)+HLOOKUP(A40,AA_Cimentacion,Indice!$H$18,FALSE)</f>
        <v>1.5262</v>
      </c>
      <c r="J40" s="139">
        <f t="shared" si="2"/>
        <v>75.110406800000007</v>
      </c>
      <c r="K40" s="139">
        <f>HLOOKUP(A40,AA_Cimentacion,Indice!$H$15,FALSE)*J40</f>
        <v>7.5110406800000007</v>
      </c>
      <c r="L40" s="139">
        <f>HLOOKUP(A40,AA_Cimentacion,Indice!$H$16,FALSE)*J40</f>
        <v>52.577284760000005</v>
      </c>
      <c r="M40" s="139">
        <f>HLOOKUP(A40,AA_Cimentacion,Indice!$H$17,FALSE)*J40</f>
        <v>15.022081360000001</v>
      </c>
      <c r="N40" s="139">
        <f>HLOOKUP(A40,AA_Cimentacion,Indice!$H$18,FALSE)*H40*C40</f>
        <v>9.8428000000000022</v>
      </c>
      <c r="O40" s="139">
        <f>HLOOKUP(A40,AA_Cimentacion,Indice!$H$19,FALSE)*C40*H40</f>
        <v>24.607000000000003</v>
      </c>
      <c r="P40" s="139">
        <f>HLOOKUP(A40,AA_Cimentacion,Indice!$H$20,FALSE)*H40*C40</f>
        <v>14.764200000000001</v>
      </c>
      <c r="Q40" s="139">
        <f>HLOOKUP(A40,AA_Cimentacion,Indice!$H$21,FALSE)*H40*C40</f>
        <v>12.303500000000001</v>
      </c>
      <c r="R40" s="139">
        <f t="shared" si="3"/>
        <v>13.592906800000007</v>
      </c>
      <c r="S40" s="139">
        <f>HLOOKUP(A40,AA_Cimentacion,Indice!$H$22,FALSE)*H40*C40</f>
        <v>0</v>
      </c>
      <c r="T40" s="139">
        <f>IF(A40=Indice!$G$12,C40*2,0)</f>
        <v>0</v>
      </c>
      <c r="U40" s="139">
        <f>(J40-R40)*(1+Indice!$L$14)</f>
        <v>79.972750000000005</v>
      </c>
      <c r="V40" s="139">
        <f t="shared" si="4"/>
        <v>0</v>
      </c>
      <c r="W40" s="147" t="s">
        <v>2993</v>
      </c>
    </row>
    <row r="41" spans="1:23" ht="14.25" x14ac:dyDescent="0.3">
      <c r="A41" s="20" t="s">
        <v>16</v>
      </c>
      <c r="B41" s="19" t="s">
        <v>2977</v>
      </c>
      <c r="C41" s="7">
        <v>47.46</v>
      </c>
      <c r="D41" s="20">
        <f t="shared" si="1"/>
        <v>76.199999999999989</v>
      </c>
      <c r="E41" s="20">
        <v>3</v>
      </c>
      <c r="F41" s="20" t="s">
        <v>2959</v>
      </c>
      <c r="G41" s="20">
        <v>21</v>
      </c>
      <c r="H41" s="139">
        <v>1.1000000000000001</v>
      </c>
      <c r="I41" s="139">
        <f>HLOOKUP(A41,AA_Cimentacion,Indice!$H$14,FALSE)+(D41/1000)+HLOOKUP(A41,AA_Cimentacion,Indice!$H$18,FALSE)</f>
        <v>1.5262</v>
      </c>
      <c r="J41" s="139">
        <f t="shared" si="2"/>
        <v>79.67679720000001</v>
      </c>
      <c r="K41" s="139">
        <f>HLOOKUP(A41,AA_Cimentacion,Indice!$H$15,FALSE)*J41</f>
        <v>7.9676797200000014</v>
      </c>
      <c r="L41" s="139">
        <f>HLOOKUP(A41,AA_Cimentacion,Indice!$H$16,FALSE)*J41</f>
        <v>55.773758040000004</v>
      </c>
      <c r="M41" s="139">
        <f>HLOOKUP(A41,AA_Cimentacion,Indice!$H$17,FALSE)*J41</f>
        <v>15.935359440000003</v>
      </c>
      <c r="N41" s="139">
        <f>HLOOKUP(A41,AA_Cimentacion,Indice!$H$18,FALSE)*H41*C41</f>
        <v>10.441200000000002</v>
      </c>
      <c r="O41" s="139">
        <f>HLOOKUP(A41,AA_Cimentacion,Indice!$H$19,FALSE)*C41*H41</f>
        <v>26.103000000000002</v>
      </c>
      <c r="P41" s="139">
        <f>HLOOKUP(A41,AA_Cimentacion,Indice!$H$20,FALSE)*H41*C41</f>
        <v>15.661800000000001</v>
      </c>
      <c r="Q41" s="139">
        <f>HLOOKUP(A41,AA_Cimentacion,Indice!$H$21,FALSE)*H41*C41</f>
        <v>13.051500000000001</v>
      </c>
      <c r="R41" s="139">
        <f t="shared" si="3"/>
        <v>14.419297199999999</v>
      </c>
      <c r="S41" s="139">
        <f>HLOOKUP(A41,AA_Cimentacion,Indice!$H$22,FALSE)*H41*C41</f>
        <v>0</v>
      </c>
      <c r="T41" s="139">
        <f>IF(A41=Indice!$G$12,C41*2,0)</f>
        <v>0</v>
      </c>
      <c r="U41" s="139">
        <f>(J41-R41)*(1+Indice!$L$14)</f>
        <v>84.834750000000014</v>
      </c>
      <c r="V41" s="139">
        <f t="shared" si="4"/>
        <v>0</v>
      </c>
      <c r="W41" s="147" t="s">
        <v>2994</v>
      </c>
    </row>
    <row r="42" spans="1:23" ht="14.25" x14ac:dyDescent="0.3">
      <c r="A42" s="20" t="s">
        <v>16</v>
      </c>
      <c r="B42" s="19" t="s">
        <v>2977</v>
      </c>
      <c r="C42" s="7">
        <v>11.36</v>
      </c>
      <c r="D42" s="20">
        <f t="shared" si="1"/>
        <v>76.199999999999989</v>
      </c>
      <c r="E42" s="20">
        <v>3</v>
      </c>
      <c r="F42" s="20" t="s">
        <v>2959</v>
      </c>
      <c r="G42" s="20">
        <v>21</v>
      </c>
      <c r="H42" s="139">
        <v>1.1000000000000001</v>
      </c>
      <c r="I42" s="139">
        <f>HLOOKUP(A42,AA_Cimentacion,Indice!$H$14,FALSE)+(D42/1000)+HLOOKUP(A42,AA_Cimentacion,Indice!$H$18,FALSE)</f>
        <v>1.5262</v>
      </c>
      <c r="J42" s="139">
        <f t="shared" si="2"/>
        <v>19.071395200000001</v>
      </c>
      <c r="K42" s="139">
        <f>HLOOKUP(A42,AA_Cimentacion,Indice!$H$15,FALSE)*J42</f>
        <v>1.9071395200000003</v>
      </c>
      <c r="L42" s="139">
        <f>HLOOKUP(A42,AA_Cimentacion,Indice!$H$16,FALSE)*J42</f>
        <v>13.34997664</v>
      </c>
      <c r="M42" s="139">
        <f>HLOOKUP(A42,AA_Cimentacion,Indice!$H$17,FALSE)*J42</f>
        <v>3.8142790400000006</v>
      </c>
      <c r="N42" s="139">
        <f>HLOOKUP(A42,AA_Cimentacion,Indice!$H$18,FALSE)*H42*C42</f>
        <v>2.4992000000000001</v>
      </c>
      <c r="O42" s="139">
        <f>HLOOKUP(A42,AA_Cimentacion,Indice!$H$19,FALSE)*C42*H42</f>
        <v>6.2480000000000002</v>
      </c>
      <c r="P42" s="139">
        <f>HLOOKUP(A42,AA_Cimentacion,Indice!$H$20,FALSE)*H42*C42</f>
        <v>3.7488000000000001</v>
      </c>
      <c r="Q42" s="139">
        <f>HLOOKUP(A42,AA_Cimentacion,Indice!$H$21,FALSE)*H42*C42</f>
        <v>3.1240000000000001</v>
      </c>
      <c r="R42" s="139">
        <f t="shared" si="3"/>
        <v>3.4513952000000017</v>
      </c>
      <c r="S42" s="139">
        <f>HLOOKUP(A42,AA_Cimentacion,Indice!$H$22,FALSE)*H42*C42</f>
        <v>0</v>
      </c>
      <c r="T42" s="139">
        <f>IF(A42=Indice!$G$12,C42*2,0)</f>
        <v>0</v>
      </c>
      <c r="U42" s="139">
        <f>(J42-R42)*(1+Indice!$L$14)</f>
        <v>20.306000000000001</v>
      </c>
      <c r="V42" s="139">
        <f t="shared" si="4"/>
        <v>0</v>
      </c>
      <c r="W42" s="147" t="s">
        <v>2995</v>
      </c>
    </row>
    <row r="43" spans="1:23" ht="14.25" x14ac:dyDescent="0.3">
      <c r="A43" s="20" t="s">
        <v>16</v>
      </c>
      <c r="B43" s="19" t="s">
        <v>2977</v>
      </c>
      <c r="C43" s="7">
        <v>53.37</v>
      </c>
      <c r="D43" s="20">
        <f t="shared" si="1"/>
        <v>76.199999999999989</v>
      </c>
      <c r="E43" s="20">
        <v>3</v>
      </c>
      <c r="F43" s="20" t="s">
        <v>2959</v>
      </c>
      <c r="G43" s="20">
        <v>21</v>
      </c>
      <c r="H43" s="139">
        <v>1.1000000000000001</v>
      </c>
      <c r="I43" s="139">
        <f>HLOOKUP(A43,AA_Cimentacion,Indice!$H$14,FALSE)+(D43/1000)+HLOOKUP(A43,AA_Cimentacion,Indice!$H$18,FALSE)</f>
        <v>1.5262</v>
      </c>
      <c r="J43" s="139">
        <f t="shared" si="2"/>
        <v>89.598623400000008</v>
      </c>
      <c r="K43" s="139">
        <f>HLOOKUP(A43,AA_Cimentacion,Indice!$H$15,FALSE)*J43</f>
        <v>8.9598623400000008</v>
      </c>
      <c r="L43" s="139">
        <f>HLOOKUP(A43,AA_Cimentacion,Indice!$H$16,FALSE)*J43</f>
        <v>62.719036379999999</v>
      </c>
      <c r="M43" s="139">
        <f>HLOOKUP(A43,AA_Cimentacion,Indice!$H$17,FALSE)*J43</f>
        <v>17.919724680000002</v>
      </c>
      <c r="N43" s="139">
        <f>HLOOKUP(A43,AA_Cimentacion,Indice!$H$18,FALSE)*H43*C43</f>
        <v>11.741400000000001</v>
      </c>
      <c r="O43" s="139">
        <f>HLOOKUP(A43,AA_Cimentacion,Indice!$H$19,FALSE)*C43*H43</f>
        <v>29.3535</v>
      </c>
      <c r="P43" s="139">
        <f>HLOOKUP(A43,AA_Cimentacion,Indice!$H$20,FALSE)*H43*C43</f>
        <v>17.612100000000002</v>
      </c>
      <c r="Q43" s="139">
        <f>HLOOKUP(A43,AA_Cimentacion,Indice!$H$21,FALSE)*H43*C43</f>
        <v>14.67675</v>
      </c>
      <c r="R43" s="139">
        <f t="shared" si="3"/>
        <v>16.214873400000009</v>
      </c>
      <c r="S43" s="139">
        <f>HLOOKUP(A43,AA_Cimentacion,Indice!$H$22,FALSE)*H43*C43</f>
        <v>0</v>
      </c>
      <c r="T43" s="139">
        <f>IF(A43=Indice!$G$12,C43*2,0)</f>
        <v>0</v>
      </c>
      <c r="U43" s="139">
        <f>(J43-R43)*(1+Indice!$L$14)</f>
        <v>95.39887499999999</v>
      </c>
      <c r="V43" s="139">
        <f t="shared" si="4"/>
        <v>0</v>
      </c>
      <c r="W43" s="147" t="s">
        <v>2996</v>
      </c>
    </row>
    <row r="44" spans="1:23" ht="14.25" x14ac:dyDescent="0.3">
      <c r="A44" s="20" t="s">
        <v>16</v>
      </c>
      <c r="B44" s="19" t="s">
        <v>2977</v>
      </c>
      <c r="C44" s="7">
        <v>37.67</v>
      </c>
      <c r="D44" s="20">
        <f t="shared" si="1"/>
        <v>76.199999999999989</v>
      </c>
      <c r="E44" s="20">
        <v>3</v>
      </c>
      <c r="F44" s="20" t="s">
        <v>2959</v>
      </c>
      <c r="G44" s="20">
        <v>21</v>
      </c>
      <c r="H44" s="139">
        <v>1.1000000000000001</v>
      </c>
      <c r="I44" s="139">
        <f>HLOOKUP(A44,AA_Cimentacion,Indice!$H$14,FALSE)+(D44/1000)+HLOOKUP(A44,AA_Cimentacion,Indice!$H$18,FALSE)</f>
        <v>1.5262</v>
      </c>
      <c r="J44" s="139">
        <f t="shared" si="2"/>
        <v>63.241149400000012</v>
      </c>
      <c r="K44" s="139">
        <f>HLOOKUP(A44,AA_Cimentacion,Indice!$H$15,FALSE)*J44</f>
        <v>6.3241149400000012</v>
      </c>
      <c r="L44" s="139">
        <f>HLOOKUP(A44,AA_Cimentacion,Indice!$H$16,FALSE)*J44</f>
        <v>44.268804580000008</v>
      </c>
      <c r="M44" s="139">
        <f>HLOOKUP(A44,AA_Cimentacion,Indice!$H$17,FALSE)*J44</f>
        <v>12.648229880000002</v>
      </c>
      <c r="N44" s="139">
        <f>HLOOKUP(A44,AA_Cimentacion,Indice!$H$18,FALSE)*H44*C44</f>
        <v>8.2874000000000017</v>
      </c>
      <c r="O44" s="139">
        <f>HLOOKUP(A44,AA_Cimentacion,Indice!$H$19,FALSE)*C44*H44</f>
        <v>20.718500000000002</v>
      </c>
      <c r="P44" s="139">
        <f>HLOOKUP(A44,AA_Cimentacion,Indice!$H$20,FALSE)*H44*C44</f>
        <v>12.431100000000001</v>
      </c>
      <c r="Q44" s="139">
        <f>HLOOKUP(A44,AA_Cimentacion,Indice!$H$21,FALSE)*H44*C44</f>
        <v>10.359250000000001</v>
      </c>
      <c r="R44" s="139">
        <f t="shared" si="3"/>
        <v>11.444899399999999</v>
      </c>
      <c r="S44" s="139">
        <f>HLOOKUP(A44,AA_Cimentacion,Indice!$H$22,FALSE)*H44*C44</f>
        <v>0</v>
      </c>
      <c r="T44" s="139">
        <f>IF(A44=Indice!$G$12,C44*2,0)</f>
        <v>0</v>
      </c>
      <c r="U44" s="139">
        <f>(J44-R44)*(1+Indice!$L$14)</f>
        <v>67.335125000000019</v>
      </c>
      <c r="V44" s="139">
        <f t="shared" si="4"/>
        <v>0</v>
      </c>
      <c r="W44" s="147" t="s">
        <v>2997</v>
      </c>
    </row>
    <row r="45" spans="1:23" ht="14.25" x14ac:dyDescent="0.3">
      <c r="A45" s="20" t="s">
        <v>16</v>
      </c>
      <c r="B45" s="19" t="s">
        <v>2977</v>
      </c>
      <c r="C45" s="7">
        <v>25.69</v>
      </c>
      <c r="D45" s="20">
        <f t="shared" si="1"/>
        <v>76.199999999999989</v>
      </c>
      <c r="E45" s="20">
        <v>3</v>
      </c>
      <c r="F45" s="20" t="s">
        <v>2959</v>
      </c>
      <c r="G45" s="20">
        <v>21</v>
      </c>
      <c r="H45" s="139">
        <v>1.1000000000000001</v>
      </c>
      <c r="I45" s="139">
        <f>HLOOKUP(A45,AA_Cimentacion,Indice!$H$14,FALSE)+(D45/1000)+HLOOKUP(A45,AA_Cimentacion,Indice!$H$18,FALSE)</f>
        <v>1.5262</v>
      </c>
      <c r="J45" s="139">
        <f t="shared" si="2"/>
        <v>43.128885800000006</v>
      </c>
      <c r="K45" s="139">
        <f>HLOOKUP(A45,AA_Cimentacion,Indice!$H$15,FALSE)*J45</f>
        <v>4.312888580000001</v>
      </c>
      <c r="L45" s="139">
        <f>HLOOKUP(A45,AA_Cimentacion,Indice!$H$16,FALSE)*J45</f>
        <v>30.190220060000001</v>
      </c>
      <c r="M45" s="139">
        <f>HLOOKUP(A45,AA_Cimentacion,Indice!$H$17,FALSE)*J45</f>
        <v>8.6257771600000019</v>
      </c>
      <c r="N45" s="139">
        <f>HLOOKUP(A45,AA_Cimentacion,Indice!$H$18,FALSE)*H45*C45</f>
        <v>5.6518000000000006</v>
      </c>
      <c r="O45" s="139">
        <f>HLOOKUP(A45,AA_Cimentacion,Indice!$H$19,FALSE)*C45*H45</f>
        <v>14.129500000000002</v>
      </c>
      <c r="P45" s="139">
        <f>HLOOKUP(A45,AA_Cimentacion,Indice!$H$20,FALSE)*H45*C45</f>
        <v>8.4777000000000005</v>
      </c>
      <c r="Q45" s="139">
        <f>HLOOKUP(A45,AA_Cimentacion,Indice!$H$21,FALSE)*H45*C45</f>
        <v>7.064750000000001</v>
      </c>
      <c r="R45" s="139">
        <f t="shared" si="3"/>
        <v>7.8051358000000031</v>
      </c>
      <c r="S45" s="139">
        <f>HLOOKUP(A45,AA_Cimentacion,Indice!$H$22,FALSE)*H45*C45</f>
        <v>0</v>
      </c>
      <c r="T45" s="139">
        <f>IF(A45=Indice!$G$12,C45*2,0)</f>
        <v>0</v>
      </c>
      <c r="U45" s="139">
        <f>(J45-R45)*(1+Indice!$L$14)</f>
        <v>45.920875000000009</v>
      </c>
      <c r="V45" s="139">
        <f t="shared" si="4"/>
        <v>0</v>
      </c>
      <c r="W45" s="147" t="s">
        <v>2998</v>
      </c>
    </row>
    <row r="46" spans="1:23" ht="14.25" x14ac:dyDescent="0.3">
      <c r="A46" s="20" t="s">
        <v>16</v>
      </c>
      <c r="B46" s="19" t="s">
        <v>2977</v>
      </c>
      <c r="C46" s="7">
        <v>37.54</v>
      </c>
      <c r="D46" s="20">
        <f t="shared" si="1"/>
        <v>76.199999999999989</v>
      </c>
      <c r="E46" s="20">
        <v>3</v>
      </c>
      <c r="F46" s="20" t="s">
        <v>2959</v>
      </c>
      <c r="G46" s="20">
        <v>21</v>
      </c>
      <c r="H46" s="139">
        <v>1.1000000000000001</v>
      </c>
      <c r="I46" s="139">
        <f>HLOOKUP(A46,AA_Cimentacion,Indice!$H$14,FALSE)+(D46/1000)+HLOOKUP(A46,AA_Cimentacion,Indice!$H$18,FALSE)</f>
        <v>1.5262</v>
      </c>
      <c r="J46" s="139">
        <f t="shared" si="2"/>
        <v>63.022902800000004</v>
      </c>
      <c r="K46" s="139">
        <f>HLOOKUP(A46,AA_Cimentacion,Indice!$H$15,FALSE)*J46</f>
        <v>6.3022902800000011</v>
      </c>
      <c r="L46" s="139">
        <f>HLOOKUP(A46,AA_Cimentacion,Indice!$H$16,FALSE)*J46</f>
        <v>44.116031960000001</v>
      </c>
      <c r="M46" s="139">
        <f>HLOOKUP(A46,AA_Cimentacion,Indice!$H$17,FALSE)*J46</f>
        <v>12.604580560000002</v>
      </c>
      <c r="N46" s="139">
        <f>HLOOKUP(A46,AA_Cimentacion,Indice!$H$18,FALSE)*H46*C46</f>
        <v>8.2588000000000008</v>
      </c>
      <c r="O46" s="139">
        <f>HLOOKUP(A46,AA_Cimentacion,Indice!$H$19,FALSE)*C46*H46</f>
        <v>20.647000000000002</v>
      </c>
      <c r="P46" s="139">
        <f>HLOOKUP(A46,AA_Cimentacion,Indice!$H$20,FALSE)*H46*C46</f>
        <v>12.388199999999999</v>
      </c>
      <c r="Q46" s="139">
        <f>HLOOKUP(A46,AA_Cimentacion,Indice!$H$21,FALSE)*H46*C46</f>
        <v>10.323500000000001</v>
      </c>
      <c r="R46" s="139">
        <f t="shared" si="3"/>
        <v>11.405402799999999</v>
      </c>
      <c r="S46" s="139">
        <f>HLOOKUP(A46,AA_Cimentacion,Indice!$H$22,FALSE)*H46*C46</f>
        <v>0</v>
      </c>
      <c r="T46" s="139">
        <f>IF(A46=Indice!$G$12,C46*2,0)</f>
        <v>0</v>
      </c>
      <c r="U46" s="139">
        <f>(J46-R46)*(1+Indice!$L$14)</f>
        <v>67.102750000000015</v>
      </c>
      <c r="V46" s="139">
        <f t="shared" si="4"/>
        <v>0</v>
      </c>
      <c r="W46" s="147" t="s">
        <v>2999</v>
      </c>
    </row>
    <row r="47" spans="1:23" ht="14.25" x14ac:dyDescent="0.3">
      <c r="A47" s="20" t="s">
        <v>16</v>
      </c>
      <c r="B47" s="19" t="s">
        <v>2977</v>
      </c>
      <c r="C47" s="7">
        <v>11.53</v>
      </c>
      <c r="D47" s="20">
        <f t="shared" si="1"/>
        <v>76.199999999999989</v>
      </c>
      <c r="E47" s="20">
        <v>3</v>
      </c>
      <c r="F47" s="20" t="s">
        <v>2959</v>
      </c>
      <c r="G47" s="20">
        <v>21</v>
      </c>
      <c r="H47" s="139">
        <v>1.1000000000000001</v>
      </c>
      <c r="I47" s="139">
        <f>HLOOKUP(A47,AA_Cimentacion,Indice!$H$14,FALSE)+(D47/1000)+HLOOKUP(A47,AA_Cimentacion,Indice!$H$18,FALSE)</f>
        <v>1.5262</v>
      </c>
      <c r="J47" s="139">
        <f t="shared" si="2"/>
        <v>19.356794600000001</v>
      </c>
      <c r="K47" s="139">
        <f>HLOOKUP(A47,AA_Cimentacion,Indice!$H$15,FALSE)*J47</f>
        <v>1.9356794600000002</v>
      </c>
      <c r="L47" s="139">
        <f>HLOOKUP(A47,AA_Cimentacion,Indice!$H$16,FALSE)*J47</f>
        <v>13.549756219999999</v>
      </c>
      <c r="M47" s="139">
        <f>HLOOKUP(A47,AA_Cimentacion,Indice!$H$17,FALSE)*J47</f>
        <v>3.8713589200000005</v>
      </c>
      <c r="N47" s="139">
        <f>HLOOKUP(A47,AA_Cimentacion,Indice!$H$18,FALSE)*H47*C47</f>
        <v>2.5366000000000004</v>
      </c>
      <c r="O47" s="139">
        <f>HLOOKUP(A47,AA_Cimentacion,Indice!$H$19,FALSE)*C47*H47</f>
        <v>6.3414999999999999</v>
      </c>
      <c r="P47" s="139">
        <f>HLOOKUP(A47,AA_Cimentacion,Indice!$H$20,FALSE)*H47*C47</f>
        <v>3.8048999999999999</v>
      </c>
      <c r="Q47" s="139">
        <f>HLOOKUP(A47,AA_Cimentacion,Indice!$H$21,FALSE)*H47*C47</f>
        <v>3.17075</v>
      </c>
      <c r="R47" s="139">
        <f t="shared" si="3"/>
        <v>3.5030446000000008</v>
      </c>
      <c r="S47" s="139">
        <f>HLOOKUP(A47,AA_Cimentacion,Indice!$H$22,FALSE)*H47*C47</f>
        <v>0</v>
      </c>
      <c r="T47" s="139">
        <f>IF(A47=Indice!$G$12,C47*2,0)</f>
        <v>0</v>
      </c>
      <c r="U47" s="139">
        <f>(J47-R47)*(1+Indice!$L$14)</f>
        <v>20.609874999999999</v>
      </c>
      <c r="V47" s="139">
        <f t="shared" si="4"/>
        <v>0</v>
      </c>
      <c r="W47" s="147" t="s">
        <v>3000</v>
      </c>
    </row>
    <row r="48" spans="1:23" ht="14.25" x14ac:dyDescent="0.3">
      <c r="A48" s="20" t="s">
        <v>16</v>
      </c>
      <c r="B48" s="19" t="s">
        <v>2977</v>
      </c>
      <c r="C48" s="7">
        <v>24.85</v>
      </c>
      <c r="D48" s="20">
        <f t="shared" si="1"/>
        <v>76.199999999999989</v>
      </c>
      <c r="E48" s="20">
        <v>3</v>
      </c>
      <c r="F48" s="20" t="s">
        <v>2959</v>
      </c>
      <c r="G48" s="20">
        <v>21</v>
      </c>
      <c r="H48" s="139">
        <v>1.1000000000000001</v>
      </c>
      <c r="I48" s="139">
        <f>HLOOKUP(A48,AA_Cimentacion,Indice!$H$14,FALSE)+(D48/1000)+HLOOKUP(A48,AA_Cimentacion,Indice!$H$18,FALSE)</f>
        <v>1.5262</v>
      </c>
      <c r="J48" s="139">
        <f t="shared" si="2"/>
        <v>41.718677000000007</v>
      </c>
      <c r="K48" s="139">
        <f>HLOOKUP(A48,AA_Cimentacion,Indice!$H$15,FALSE)*J48</f>
        <v>4.1718677000000008</v>
      </c>
      <c r="L48" s="139">
        <f>HLOOKUP(A48,AA_Cimentacion,Indice!$H$16,FALSE)*J48</f>
        <v>29.203073900000003</v>
      </c>
      <c r="M48" s="139">
        <f>HLOOKUP(A48,AA_Cimentacion,Indice!$H$17,FALSE)*J48</f>
        <v>8.3437354000000017</v>
      </c>
      <c r="N48" s="139">
        <f>HLOOKUP(A48,AA_Cimentacion,Indice!$H$18,FALSE)*H48*C48</f>
        <v>5.4670000000000014</v>
      </c>
      <c r="O48" s="139">
        <f>HLOOKUP(A48,AA_Cimentacion,Indice!$H$19,FALSE)*C48*H48</f>
        <v>13.667500000000002</v>
      </c>
      <c r="P48" s="139">
        <f>HLOOKUP(A48,AA_Cimentacion,Indice!$H$20,FALSE)*H48*C48</f>
        <v>8.2005000000000017</v>
      </c>
      <c r="Q48" s="139">
        <f>HLOOKUP(A48,AA_Cimentacion,Indice!$H$21,FALSE)*H48*C48</f>
        <v>6.8337500000000011</v>
      </c>
      <c r="R48" s="139">
        <f t="shared" si="3"/>
        <v>7.5499270000000012</v>
      </c>
      <c r="S48" s="139">
        <f>HLOOKUP(A48,AA_Cimentacion,Indice!$H$22,FALSE)*H48*C48</f>
        <v>0</v>
      </c>
      <c r="T48" s="139">
        <f>IF(A48=Indice!$G$12,C48*2,0)</f>
        <v>0</v>
      </c>
      <c r="U48" s="139">
        <f>(J48-R48)*(1+Indice!$L$14)</f>
        <v>44.419375000000002</v>
      </c>
      <c r="V48" s="139">
        <f t="shared" si="4"/>
        <v>0</v>
      </c>
      <c r="W48" s="147" t="s">
        <v>3001</v>
      </c>
    </row>
    <row r="49" spans="1:23" ht="14.25" x14ac:dyDescent="0.3">
      <c r="A49" s="20" t="s">
        <v>16</v>
      </c>
      <c r="B49" s="19" t="s">
        <v>2977</v>
      </c>
      <c r="C49" s="7">
        <v>23.95</v>
      </c>
      <c r="D49" s="20">
        <f t="shared" si="1"/>
        <v>76.199999999999989</v>
      </c>
      <c r="E49" s="20">
        <v>3</v>
      </c>
      <c r="F49" s="20" t="s">
        <v>2959</v>
      </c>
      <c r="G49" s="20">
        <v>21</v>
      </c>
      <c r="H49" s="139">
        <v>1.1000000000000001</v>
      </c>
      <c r="I49" s="139">
        <f>HLOOKUP(A49,AA_Cimentacion,Indice!$H$14,FALSE)+(D49/1000)+HLOOKUP(A49,AA_Cimentacion,Indice!$H$18,FALSE)</f>
        <v>1.5262</v>
      </c>
      <c r="J49" s="139">
        <f t="shared" si="2"/>
        <v>40.207739000000004</v>
      </c>
      <c r="K49" s="139">
        <f>HLOOKUP(A49,AA_Cimentacion,Indice!$H$15,FALSE)*J49</f>
        <v>4.0207739000000009</v>
      </c>
      <c r="L49" s="139">
        <f>HLOOKUP(A49,AA_Cimentacion,Indice!$H$16,FALSE)*J49</f>
        <v>28.145417300000002</v>
      </c>
      <c r="M49" s="139">
        <f>HLOOKUP(A49,AA_Cimentacion,Indice!$H$17,FALSE)*J49</f>
        <v>8.0415478000000018</v>
      </c>
      <c r="N49" s="139">
        <f>HLOOKUP(A49,AA_Cimentacion,Indice!$H$18,FALSE)*H49*C49</f>
        <v>5.2690000000000001</v>
      </c>
      <c r="O49" s="139">
        <f>HLOOKUP(A49,AA_Cimentacion,Indice!$H$19,FALSE)*C49*H49</f>
        <v>13.172500000000001</v>
      </c>
      <c r="P49" s="139">
        <f>HLOOKUP(A49,AA_Cimentacion,Indice!$H$20,FALSE)*H49*C49</f>
        <v>7.9035000000000002</v>
      </c>
      <c r="Q49" s="139">
        <f>HLOOKUP(A49,AA_Cimentacion,Indice!$H$21,FALSE)*H49*C49</f>
        <v>6.5862500000000006</v>
      </c>
      <c r="R49" s="139">
        <f t="shared" si="3"/>
        <v>7.2764890000000042</v>
      </c>
      <c r="S49" s="139">
        <f>HLOOKUP(A49,AA_Cimentacion,Indice!$H$22,FALSE)*H49*C49</f>
        <v>0</v>
      </c>
      <c r="T49" s="139">
        <f>IF(A49=Indice!$G$12,C49*2,0)</f>
        <v>0</v>
      </c>
      <c r="U49" s="139">
        <f>(J49-R49)*(1+Indice!$L$14)</f>
        <v>42.810625000000002</v>
      </c>
      <c r="V49" s="139">
        <f t="shared" si="4"/>
        <v>0</v>
      </c>
      <c r="W49" s="147" t="s">
        <v>3002</v>
      </c>
    </row>
    <row r="50" spans="1:23" ht="14.25" x14ac:dyDescent="0.3">
      <c r="A50" s="20" t="s">
        <v>16</v>
      </c>
      <c r="B50" s="19" t="s">
        <v>2977</v>
      </c>
      <c r="C50" s="7">
        <v>22.78</v>
      </c>
      <c r="D50" s="20">
        <f t="shared" si="1"/>
        <v>76.199999999999989</v>
      </c>
      <c r="E50" s="20">
        <v>3</v>
      </c>
      <c r="F50" s="20" t="s">
        <v>2959</v>
      </c>
      <c r="G50" s="20">
        <v>21</v>
      </c>
      <c r="H50" s="139">
        <v>1.1000000000000001</v>
      </c>
      <c r="I50" s="139">
        <f>HLOOKUP(A50,AA_Cimentacion,Indice!$H$14,FALSE)+(D50/1000)+HLOOKUP(A50,AA_Cimentacion,Indice!$H$18,FALSE)</f>
        <v>1.5262</v>
      </c>
      <c r="J50" s="139">
        <f t="shared" si="2"/>
        <v>38.243519600000006</v>
      </c>
      <c r="K50" s="139">
        <f>HLOOKUP(A50,AA_Cimentacion,Indice!$H$15,FALSE)*J50</f>
        <v>3.8243519600000009</v>
      </c>
      <c r="L50" s="139">
        <f>HLOOKUP(A50,AA_Cimentacion,Indice!$H$16,FALSE)*J50</f>
        <v>26.770463720000002</v>
      </c>
      <c r="M50" s="139">
        <f>HLOOKUP(A50,AA_Cimentacion,Indice!$H$17,FALSE)*J50</f>
        <v>7.6487039200000018</v>
      </c>
      <c r="N50" s="139">
        <f>HLOOKUP(A50,AA_Cimentacion,Indice!$H$18,FALSE)*H50*C50</f>
        <v>5.0116000000000005</v>
      </c>
      <c r="O50" s="139">
        <f>HLOOKUP(A50,AA_Cimentacion,Indice!$H$19,FALSE)*C50*H50</f>
        <v>12.529000000000002</v>
      </c>
      <c r="P50" s="139">
        <f>HLOOKUP(A50,AA_Cimentacion,Indice!$H$20,FALSE)*H50*C50</f>
        <v>7.5174000000000003</v>
      </c>
      <c r="Q50" s="139">
        <f>HLOOKUP(A50,AA_Cimentacion,Indice!$H$21,FALSE)*H50*C50</f>
        <v>6.2645000000000008</v>
      </c>
      <c r="R50" s="139">
        <f t="shared" si="3"/>
        <v>6.9210196000000002</v>
      </c>
      <c r="S50" s="139">
        <f>HLOOKUP(A50,AA_Cimentacion,Indice!$H$22,FALSE)*H50*C50</f>
        <v>0</v>
      </c>
      <c r="T50" s="139">
        <f>IF(A50=Indice!$G$12,C50*2,0)</f>
        <v>0</v>
      </c>
      <c r="U50" s="139">
        <f>(J50-R50)*(1+Indice!$L$14)</f>
        <v>40.719250000000009</v>
      </c>
      <c r="V50" s="139">
        <f t="shared" si="4"/>
        <v>0</v>
      </c>
      <c r="W50" s="147" t="s">
        <v>3003</v>
      </c>
    </row>
    <row r="51" spans="1:23" ht="14.25" x14ac:dyDescent="0.3">
      <c r="A51" s="20" t="s">
        <v>17</v>
      </c>
      <c r="B51" s="19" t="s">
        <v>2977</v>
      </c>
      <c r="C51" s="7">
        <v>30.83</v>
      </c>
      <c r="D51" s="20">
        <f t="shared" si="1"/>
        <v>76.199999999999989</v>
      </c>
      <c r="E51" s="20">
        <v>3</v>
      </c>
      <c r="F51" s="20" t="s">
        <v>2959</v>
      </c>
      <c r="G51" s="20">
        <v>21</v>
      </c>
      <c r="H51" s="139">
        <v>1.1000000000000001</v>
      </c>
      <c r="I51" s="139">
        <f>HLOOKUP(A51,AA_Cimentacion,Indice!$H$14,FALSE)+(D51/1000)+HLOOKUP(A51,AA_Cimentacion,Indice!$H$18,FALSE)</f>
        <v>1.5262</v>
      </c>
      <c r="J51" s="139">
        <f t="shared" si="2"/>
        <v>51.758020600000002</v>
      </c>
      <c r="K51" s="139">
        <f>HLOOKUP(A51,AA_Cimentacion,Indice!$H$15,FALSE)*J51</f>
        <v>0</v>
      </c>
      <c r="L51" s="139">
        <f>HLOOKUP(A51,AA_Cimentacion,Indice!$H$16,FALSE)*J51</f>
        <v>31.05481236</v>
      </c>
      <c r="M51" s="139">
        <f>HLOOKUP(A51,AA_Cimentacion,Indice!$H$17,FALSE)*J51</f>
        <v>20.703208240000002</v>
      </c>
      <c r="N51" s="139">
        <f>HLOOKUP(A51,AA_Cimentacion,Indice!$H$18,FALSE)*H51*C51</f>
        <v>6.7826000000000004</v>
      </c>
      <c r="O51" s="139">
        <f>HLOOKUP(A51,AA_Cimentacion,Indice!$H$19,FALSE)*C51*H51</f>
        <v>16.956500000000002</v>
      </c>
      <c r="P51" s="139">
        <f>HLOOKUP(A51,AA_Cimentacion,Indice!$H$20,FALSE)*H51*C51</f>
        <v>10.1739</v>
      </c>
      <c r="Q51" s="139">
        <f>HLOOKUP(A51,AA_Cimentacion,Indice!$H$21,FALSE)*H51*C51</f>
        <v>8.478250000000001</v>
      </c>
      <c r="R51" s="139">
        <f t="shared" si="3"/>
        <v>2.5841705999999967</v>
      </c>
      <c r="S51" s="139">
        <f>HLOOKUP(A51,AA_Cimentacion,Indice!$H$22,FALSE)*H51*C51</f>
        <v>6.7826000000000004</v>
      </c>
      <c r="T51" s="139">
        <f>IF(A51=Indice!$G$12,C51*2,0)</f>
        <v>61.66</v>
      </c>
      <c r="U51" s="139">
        <f>(J51-R51)*(1+Indice!$L$14)</f>
        <v>63.926005000000004</v>
      </c>
      <c r="V51" s="139">
        <f t="shared" si="4"/>
        <v>6.7826000000000004</v>
      </c>
      <c r="W51" s="147" t="s">
        <v>3004</v>
      </c>
    </row>
    <row r="52" spans="1:23" ht="14.25" x14ac:dyDescent="0.3">
      <c r="A52" s="20" t="s">
        <v>17</v>
      </c>
      <c r="B52" s="19" t="s">
        <v>2977</v>
      </c>
      <c r="C52" s="7">
        <v>82.05</v>
      </c>
      <c r="D52" s="20">
        <f t="shared" si="1"/>
        <v>76.199999999999989</v>
      </c>
      <c r="E52" s="20">
        <v>3</v>
      </c>
      <c r="F52" s="20" t="s">
        <v>2959</v>
      </c>
      <c r="G52" s="20">
        <v>21</v>
      </c>
      <c r="H52" s="139">
        <v>1.1000000000000001</v>
      </c>
      <c r="I52" s="139">
        <f>HLOOKUP(A52,AA_Cimentacion,Indice!$H$14,FALSE)+(D52/1000)+HLOOKUP(A52,AA_Cimentacion,Indice!$H$18,FALSE)</f>
        <v>1.5262</v>
      </c>
      <c r="J52" s="139">
        <f t="shared" si="2"/>
        <v>137.74718100000001</v>
      </c>
      <c r="K52" s="139">
        <f>HLOOKUP(A52,AA_Cimentacion,Indice!$H$15,FALSE)*J52</f>
        <v>0</v>
      </c>
      <c r="L52" s="139">
        <f>HLOOKUP(A52,AA_Cimentacion,Indice!$H$16,FALSE)*J52</f>
        <v>82.648308600000007</v>
      </c>
      <c r="M52" s="139">
        <f>HLOOKUP(A52,AA_Cimentacion,Indice!$H$17,FALSE)*J52</f>
        <v>55.098872400000005</v>
      </c>
      <c r="N52" s="139">
        <f>HLOOKUP(A52,AA_Cimentacion,Indice!$H$18,FALSE)*H52*C52</f>
        <v>18.051000000000002</v>
      </c>
      <c r="O52" s="139">
        <f>HLOOKUP(A52,AA_Cimentacion,Indice!$H$19,FALSE)*C52*H52</f>
        <v>45.127500000000005</v>
      </c>
      <c r="P52" s="139">
        <f>HLOOKUP(A52,AA_Cimentacion,Indice!$H$20,FALSE)*H52*C52</f>
        <v>27.076499999999999</v>
      </c>
      <c r="Q52" s="139">
        <f>HLOOKUP(A52,AA_Cimentacion,Indice!$H$21,FALSE)*H52*C52</f>
        <v>22.563750000000002</v>
      </c>
      <c r="R52" s="139">
        <f t="shared" si="3"/>
        <v>6.8774309999999979</v>
      </c>
      <c r="S52" s="139">
        <f>HLOOKUP(A52,AA_Cimentacion,Indice!$H$22,FALSE)*H52*C52</f>
        <v>18.051000000000002</v>
      </c>
      <c r="T52" s="139">
        <f>IF(A52=Indice!$G$12,C52*2,0)</f>
        <v>164.1</v>
      </c>
      <c r="U52" s="139">
        <f>(J52-R52)*(1+Indice!$L$14)</f>
        <v>170.13067500000002</v>
      </c>
      <c r="V52" s="139">
        <f t="shared" si="4"/>
        <v>18.051000000000002</v>
      </c>
      <c r="W52" s="147" t="s">
        <v>3005</v>
      </c>
    </row>
    <row r="53" spans="1:23" ht="14.25" x14ac:dyDescent="0.3">
      <c r="A53" s="20" t="s">
        <v>17</v>
      </c>
      <c r="B53" s="19" t="s">
        <v>2977</v>
      </c>
      <c r="C53" s="7">
        <v>31.63</v>
      </c>
      <c r="D53" s="20">
        <f t="shared" si="1"/>
        <v>76.199999999999989</v>
      </c>
      <c r="E53" s="20">
        <v>3</v>
      </c>
      <c r="F53" s="20" t="s">
        <v>2959</v>
      </c>
      <c r="G53" s="20">
        <v>21</v>
      </c>
      <c r="H53" s="139">
        <v>1.1000000000000001</v>
      </c>
      <c r="I53" s="139">
        <f>HLOOKUP(A53,AA_Cimentacion,Indice!$H$14,FALSE)+(D53/1000)+HLOOKUP(A53,AA_Cimentacion,Indice!$H$18,FALSE)</f>
        <v>1.5262</v>
      </c>
      <c r="J53" s="139">
        <f t="shared" si="2"/>
        <v>53.101076600000006</v>
      </c>
      <c r="K53" s="139">
        <f>HLOOKUP(A53,AA_Cimentacion,Indice!$H$15,FALSE)*J53</f>
        <v>0</v>
      </c>
      <c r="L53" s="139">
        <f>HLOOKUP(A53,AA_Cimentacion,Indice!$H$16,FALSE)*J53</f>
        <v>31.860645960000003</v>
      </c>
      <c r="M53" s="139">
        <f>HLOOKUP(A53,AA_Cimentacion,Indice!$H$17,FALSE)*J53</f>
        <v>21.240430640000003</v>
      </c>
      <c r="N53" s="139">
        <f>HLOOKUP(A53,AA_Cimentacion,Indice!$H$18,FALSE)*H53*C53</f>
        <v>6.9586000000000006</v>
      </c>
      <c r="O53" s="139">
        <f>HLOOKUP(A53,AA_Cimentacion,Indice!$H$19,FALSE)*C53*H53</f>
        <v>17.3965</v>
      </c>
      <c r="P53" s="139">
        <f>HLOOKUP(A53,AA_Cimentacion,Indice!$H$20,FALSE)*H53*C53</f>
        <v>10.437900000000001</v>
      </c>
      <c r="Q53" s="139">
        <f>HLOOKUP(A53,AA_Cimentacion,Indice!$H$21,FALSE)*H53*C53</f>
        <v>8.6982499999999998</v>
      </c>
      <c r="R53" s="139">
        <f t="shared" si="3"/>
        <v>2.6512266000000064</v>
      </c>
      <c r="S53" s="139">
        <f>HLOOKUP(A53,AA_Cimentacion,Indice!$H$22,FALSE)*H53*C53</f>
        <v>6.9586000000000006</v>
      </c>
      <c r="T53" s="139">
        <f>IF(A53=Indice!$G$12,C53*2,0)</f>
        <v>63.26</v>
      </c>
      <c r="U53" s="139">
        <f>(J53-R53)*(1+Indice!$L$14)</f>
        <v>65.584805000000003</v>
      </c>
      <c r="V53" s="139">
        <f t="shared" si="4"/>
        <v>6.9586000000000006</v>
      </c>
      <c r="W53" s="147" t="s">
        <v>3006</v>
      </c>
    </row>
    <row r="54" spans="1:23" ht="14.25" x14ac:dyDescent="0.3">
      <c r="A54" s="20" t="s">
        <v>17</v>
      </c>
      <c r="B54" s="19" t="s">
        <v>2977</v>
      </c>
      <c r="C54" s="7">
        <v>43.35</v>
      </c>
      <c r="D54" s="20">
        <f t="shared" si="1"/>
        <v>76.199999999999989</v>
      </c>
      <c r="E54" s="20">
        <v>3</v>
      </c>
      <c r="F54" s="20" t="s">
        <v>2959</v>
      </c>
      <c r="G54" s="20">
        <v>21</v>
      </c>
      <c r="H54" s="139">
        <v>1.1000000000000001</v>
      </c>
      <c r="I54" s="139">
        <f>HLOOKUP(A54,AA_Cimentacion,Indice!$H$14,FALSE)+(D54/1000)+HLOOKUP(A54,AA_Cimentacion,Indice!$H$18,FALSE)</f>
        <v>1.5262</v>
      </c>
      <c r="J54" s="139">
        <f t="shared" si="2"/>
        <v>72.776847000000018</v>
      </c>
      <c r="K54" s="139">
        <f>HLOOKUP(A54,AA_Cimentacion,Indice!$H$15,FALSE)*J54</f>
        <v>0</v>
      </c>
      <c r="L54" s="139">
        <f>HLOOKUP(A54,AA_Cimentacion,Indice!$H$16,FALSE)*J54</f>
        <v>43.666108200000011</v>
      </c>
      <c r="M54" s="139">
        <f>HLOOKUP(A54,AA_Cimentacion,Indice!$H$17,FALSE)*J54</f>
        <v>29.110738800000007</v>
      </c>
      <c r="N54" s="139">
        <f>HLOOKUP(A54,AA_Cimentacion,Indice!$H$18,FALSE)*H54*C54</f>
        <v>9.5370000000000008</v>
      </c>
      <c r="O54" s="139">
        <f>HLOOKUP(A54,AA_Cimentacion,Indice!$H$19,FALSE)*C54*H54</f>
        <v>23.842500000000001</v>
      </c>
      <c r="P54" s="139">
        <f>HLOOKUP(A54,AA_Cimentacion,Indice!$H$20,FALSE)*H54*C54</f>
        <v>14.3055</v>
      </c>
      <c r="Q54" s="139">
        <f>HLOOKUP(A54,AA_Cimentacion,Indice!$H$21,FALSE)*H54*C54</f>
        <v>11.921250000000001</v>
      </c>
      <c r="R54" s="139">
        <f t="shared" si="3"/>
        <v>3.6335970000000142</v>
      </c>
      <c r="S54" s="139">
        <f>HLOOKUP(A54,AA_Cimentacion,Indice!$H$22,FALSE)*H54*C54</f>
        <v>9.5370000000000008</v>
      </c>
      <c r="T54" s="139">
        <f>IF(A54=Indice!$G$12,C54*2,0)</f>
        <v>86.7</v>
      </c>
      <c r="U54" s="139">
        <f>(J54-R54)*(1+Indice!$L$14)</f>
        <v>89.88622500000001</v>
      </c>
      <c r="V54" s="139">
        <f t="shared" si="4"/>
        <v>9.5370000000000008</v>
      </c>
      <c r="W54" s="147" t="s">
        <v>3007</v>
      </c>
    </row>
    <row r="55" spans="1:23" ht="14.25" x14ac:dyDescent="0.3">
      <c r="A55" s="20" t="s">
        <v>17</v>
      </c>
      <c r="B55" s="19" t="s">
        <v>2977</v>
      </c>
      <c r="C55" s="7">
        <v>53.71</v>
      </c>
      <c r="D55" s="20">
        <f t="shared" si="1"/>
        <v>76.199999999999989</v>
      </c>
      <c r="E55" s="20">
        <v>3</v>
      </c>
      <c r="F55" s="20" t="s">
        <v>2959</v>
      </c>
      <c r="G55" s="20">
        <v>21</v>
      </c>
      <c r="H55" s="139">
        <v>1.1000000000000001</v>
      </c>
      <c r="I55" s="139">
        <f>HLOOKUP(A55,AA_Cimentacion,Indice!$H$14,FALSE)+(D55/1000)+HLOOKUP(A55,AA_Cimentacion,Indice!$H$18,FALSE)</f>
        <v>1.5262</v>
      </c>
      <c r="J55" s="139">
        <f t="shared" si="2"/>
        <v>90.169422200000014</v>
      </c>
      <c r="K55" s="139">
        <f>HLOOKUP(A55,AA_Cimentacion,Indice!$H$15,FALSE)*J55</f>
        <v>0</v>
      </c>
      <c r="L55" s="139">
        <f>HLOOKUP(A55,AA_Cimentacion,Indice!$H$16,FALSE)*J55</f>
        <v>54.101653320000004</v>
      </c>
      <c r="M55" s="139">
        <f>HLOOKUP(A55,AA_Cimentacion,Indice!$H$17,FALSE)*J55</f>
        <v>36.06776888000001</v>
      </c>
      <c r="N55" s="139">
        <f>HLOOKUP(A55,AA_Cimentacion,Indice!$H$18,FALSE)*H55*C55</f>
        <v>11.816200000000002</v>
      </c>
      <c r="O55" s="139">
        <f>HLOOKUP(A55,AA_Cimentacion,Indice!$H$19,FALSE)*C55*H55</f>
        <v>29.540500000000002</v>
      </c>
      <c r="P55" s="139">
        <f>HLOOKUP(A55,AA_Cimentacion,Indice!$H$20,FALSE)*H55*C55</f>
        <v>17.724299999999999</v>
      </c>
      <c r="Q55" s="139">
        <f>HLOOKUP(A55,AA_Cimentacion,Indice!$H$21,FALSE)*H55*C55</f>
        <v>14.770250000000001</v>
      </c>
      <c r="R55" s="139">
        <f t="shared" si="3"/>
        <v>4.5019722000000009</v>
      </c>
      <c r="S55" s="139">
        <f>HLOOKUP(A55,AA_Cimentacion,Indice!$H$22,FALSE)*H55*C55</f>
        <v>11.816200000000002</v>
      </c>
      <c r="T55" s="139">
        <f>IF(A55=Indice!$G$12,C55*2,0)</f>
        <v>107.42</v>
      </c>
      <c r="U55" s="139">
        <f>(J55-R55)*(1+Indice!$L$14)</f>
        <v>111.36768500000002</v>
      </c>
      <c r="V55" s="139">
        <f t="shared" si="4"/>
        <v>11.816200000000002</v>
      </c>
      <c r="W55" s="147" t="s">
        <v>3008</v>
      </c>
    </row>
    <row r="56" spans="1:23" ht="14.25" x14ac:dyDescent="0.3">
      <c r="A56" s="20" t="s">
        <v>17</v>
      </c>
      <c r="B56" s="19" t="s">
        <v>2977</v>
      </c>
      <c r="C56" s="7">
        <v>45.41</v>
      </c>
      <c r="D56" s="20">
        <f t="shared" si="1"/>
        <v>76.199999999999989</v>
      </c>
      <c r="E56" s="20">
        <v>3</v>
      </c>
      <c r="F56" s="20" t="s">
        <v>2959</v>
      </c>
      <c r="G56" s="20">
        <v>21</v>
      </c>
      <c r="H56" s="139">
        <v>1.1000000000000001</v>
      </c>
      <c r="I56" s="139">
        <f>HLOOKUP(A56,AA_Cimentacion,Indice!$H$14,FALSE)+(D56/1000)+HLOOKUP(A56,AA_Cimentacion,Indice!$H$18,FALSE)</f>
        <v>1.5262</v>
      </c>
      <c r="J56" s="139">
        <f t="shared" si="2"/>
        <v>76.235216199999996</v>
      </c>
      <c r="K56" s="139">
        <f>HLOOKUP(A56,AA_Cimentacion,Indice!$H$15,FALSE)*J56</f>
        <v>0</v>
      </c>
      <c r="L56" s="139">
        <f>HLOOKUP(A56,AA_Cimentacion,Indice!$H$16,FALSE)*J56</f>
        <v>45.741129719999996</v>
      </c>
      <c r="M56" s="139">
        <f>HLOOKUP(A56,AA_Cimentacion,Indice!$H$17,FALSE)*J56</f>
        <v>30.49408648</v>
      </c>
      <c r="N56" s="139">
        <f>HLOOKUP(A56,AA_Cimentacion,Indice!$H$18,FALSE)*H56*C56</f>
        <v>9.9901999999999997</v>
      </c>
      <c r="O56" s="139">
        <f>HLOOKUP(A56,AA_Cimentacion,Indice!$H$19,FALSE)*C56*H56</f>
        <v>24.9755</v>
      </c>
      <c r="P56" s="139">
        <f>HLOOKUP(A56,AA_Cimentacion,Indice!$H$20,FALSE)*H56*C56</f>
        <v>14.985299999999999</v>
      </c>
      <c r="Q56" s="139">
        <f>HLOOKUP(A56,AA_Cimentacion,Indice!$H$21,FALSE)*H56*C56</f>
        <v>12.48775</v>
      </c>
      <c r="R56" s="139">
        <f t="shared" si="3"/>
        <v>3.8062661999999996</v>
      </c>
      <c r="S56" s="139">
        <f>HLOOKUP(A56,AA_Cimentacion,Indice!$H$22,FALSE)*H56*C56</f>
        <v>9.9901999999999997</v>
      </c>
      <c r="T56" s="139">
        <f>IF(A56=Indice!$G$12,C56*2,0)</f>
        <v>90.82</v>
      </c>
      <c r="U56" s="139">
        <f>(J56-R56)*(1+Indice!$L$14)</f>
        <v>94.157634999999999</v>
      </c>
      <c r="V56" s="139">
        <f t="shared" si="4"/>
        <v>9.9901999999999997</v>
      </c>
      <c r="W56" s="147" t="s">
        <v>3009</v>
      </c>
    </row>
    <row r="57" spans="1:23" ht="14.25" x14ac:dyDescent="0.3">
      <c r="A57" s="20" t="s">
        <v>17</v>
      </c>
      <c r="B57" s="19" t="s">
        <v>2977</v>
      </c>
      <c r="C57" s="7">
        <v>27.98</v>
      </c>
      <c r="D57" s="20">
        <f t="shared" si="1"/>
        <v>76.199999999999989</v>
      </c>
      <c r="E57" s="20">
        <v>3</v>
      </c>
      <c r="F57" s="20" t="s">
        <v>2959</v>
      </c>
      <c r="G57" s="20">
        <v>21</v>
      </c>
      <c r="H57" s="139">
        <v>1.1000000000000001</v>
      </c>
      <c r="I57" s="139">
        <f>HLOOKUP(A57,AA_Cimentacion,Indice!$H$14,FALSE)+(D57/1000)+HLOOKUP(A57,AA_Cimentacion,Indice!$H$18,FALSE)</f>
        <v>1.5262</v>
      </c>
      <c r="J57" s="139">
        <f t="shared" si="2"/>
        <v>46.973383600000005</v>
      </c>
      <c r="K57" s="139">
        <f>HLOOKUP(A57,AA_Cimentacion,Indice!$H$15,FALSE)*J57</f>
        <v>0</v>
      </c>
      <c r="L57" s="139">
        <f>HLOOKUP(A57,AA_Cimentacion,Indice!$H$16,FALSE)*J57</f>
        <v>28.184030160000002</v>
      </c>
      <c r="M57" s="139">
        <f>HLOOKUP(A57,AA_Cimentacion,Indice!$H$17,FALSE)*J57</f>
        <v>18.789353440000003</v>
      </c>
      <c r="N57" s="139">
        <f>HLOOKUP(A57,AA_Cimentacion,Indice!$H$18,FALSE)*H57*C57</f>
        <v>6.1556000000000006</v>
      </c>
      <c r="O57" s="139">
        <f>HLOOKUP(A57,AA_Cimentacion,Indice!$H$19,FALSE)*C57*H57</f>
        <v>15.389000000000001</v>
      </c>
      <c r="P57" s="139">
        <f>HLOOKUP(A57,AA_Cimentacion,Indice!$H$20,FALSE)*H57*C57</f>
        <v>9.2334000000000014</v>
      </c>
      <c r="Q57" s="139">
        <f>HLOOKUP(A57,AA_Cimentacion,Indice!$H$21,FALSE)*H57*C57</f>
        <v>7.6945000000000006</v>
      </c>
      <c r="R57" s="139">
        <f t="shared" si="3"/>
        <v>2.3452835999999975</v>
      </c>
      <c r="S57" s="139">
        <f>HLOOKUP(A57,AA_Cimentacion,Indice!$H$22,FALSE)*H57*C57</f>
        <v>6.1556000000000006</v>
      </c>
      <c r="T57" s="139">
        <f>IF(A57=Indice!$G$12,C57*2,0)</f>
        <v>55.96</v>
      </c>
      <c r="U57" s="139">
        <f>(J57-R57)*(1+Indice!$L$14)</f>
        <v>58.016530000000017</v>
      </c>
      <c r="V57" s="139">
        <f t="shared" si="4"/>
        <v>6.1556000000000006</v>
      </c>
      <c r="W57" s="147" t="s">
        <v>3010</v>
      </c>
    </row>
    <row r="58" spans="1:23" ht="14.25" x14ac:dyDescent="0.3">
      <c r="A58" s="20" t="s">
        <v>17</v>
      </c>
      <c r="B58" s="19" t="s">
        <v>2977</v>
      </c>
      <c r="C58" s="7">
        <v>52.91</v>
      </c>
      <c r="D58" s="20">
        <f t="shared" si="1"/>
        <v>76.199999999999989</v>
      </c>
      <c r="E58" s="20">
        <v>3</v>
      </c>
      <c r="F58" s="20" t="s">
        <v>2959</v>
      </c>
      <c r="G58" s="20">
        <v>21</v>
      </c>
      <c r="H58" s="139">
        <v>1.1000000000000001</v>
      </c>
      <c r="I58" s="139">
        <f>HLOOKUP(A58,AA_Cimentacion,Indice!$H$14,FALSE)+(D58/1000)+HLOOKUP(A58,AA_Cimentacion,Indice!$H$18,FALSE)</f>
        <v>1.5262</v>
      </c>
      <c r="J58" s="139">
        <f t="shared" si="2"/>
        <v>88.82636620000001</v>
      </c>
      <c r="K58" s="139">
        <f>HLOOKUP(A58,AA_Cimentacion,Indice!$H$15,FALSE)*J58</f>
        <v>0</v>
      </c>
      <c r="L58" s="139">
        <f>HLOOKUP(A58,AA_Cimentacion,Indice!$H$16,FALSE)*J58</f>
        <v>53.295819720000004</v>
      </c>
      <c r="M58" s="139">
        <f>HLOOKUP(A58,AA_Cimentacion,Indice!$H$17,FALSE)*J58</f>
        <v>35.530546480000005</v>
      </c>
      <c r="N58" s="139">
        <f>HLOOKUP(A58,AA_Cimentacion,Indice!$H$18,FALSE)*H58*C58</f>
        <v>11.6402</v>
      </c>
      <c r="O58" s="139">
        <f>HLOOKUP(A58,AA_Cimentacion,Indice!$H$19,FALSE)*C58*H58</f>
        <v>29.1005</v>
      </c>
      <c r="P58" s="139">
        <f>HLOOKUP(A58,AA_Cimentacion,Indice!$H$20,FALSE)*H58*C58</f>
        <v>17.4603</v>
      </c>
      <c r="Q58" s="139">
        <f>HLOOKUP(A58,AA_Cimentacion,Indice!$H$21,FALSE)*H58*C58</f>
        <v>14.55025</v>
      </c>
      <c r="R58" s="139">
        <f t="shared" si="3"/>
        <v>4.4349162000000035</v>
      </c>
      <c r="S58" s="139">
        <f>HLOOKUP(A58,AA_Cimentacion,Indice!$H$22,FALSE)*H58*C58</f>
        <v>11.6402</v>
      </c>
      <c r="T58" s="139">
        <f>IF(A58=Indice!$G$12,C58*2,0)</f>
        <v>105.82</v>
      </c>
      <c r="U58" s="139">
        <f>(J58-R58)*(1+Indice!$L$14)</f>
        <v>109.70888500000001</v>
      </c>
      <c r="V58" s="139">
        <f t="shared" si="4"/>
        <v>11.6402</v>
      </c>
      <c r="W58" s="147" t="s">
        <v>3011</v>
      </c>
    </row>
    <row r="59" spans="1:23" ht="13.5" x14ac:dyDescent="0.25">
      <c r="A59" s="18"/>
      <c r="B59" s="18"/>
      <c r="C59" s="18"/>
      <c r="D59" s="18"/>
      <c r="E59" s="18"/>
      <c r="F59" s="18"/>
      <c r="G59" s="18"/>
      <c r="H59" s="18"/>
      <c r="I59" s="18"/>
      <c r="J59" s="18"/>
      <c r="K59" s="18"/>
      <c r="L59" s="18"/>
      <c r="M59" s="18"/>
      <c r="N59" s="18"/>
      <c r="O59" s="18"/>
      <c r="P59" s="18"/>
      <c r="Q59" s="18"/>
      <c r="R59" s="18"/>
      <c r="S59" s="18"/>
      <c r="T59" s="18"/>
      <c r="U59" s="18"/>
      <c r="V59" s="18"/>
      <c r="W59" s="18"/>
    </row>
    <row r="60" spans="1:23" ht="13.5" x14ac:dyDescent="0.25">
      <c r="A60" s="18"/>
      <c r="B60" s="18"/>
      <c r="C60" s="1"/>
      <c r="D60" s="1"/>
      <c r="E60" s="1"/>
      <c r="F60" s="1"/>
      <c r="G60" s="18"/>
      <c r="H60" s="18"/>
      <c r="I60" s="18"/>
      <c r="J60" s="18"/>
      <c r="K60" s="18"/>
      <c r="L60" s="18"/>
      <c r="M60" s="18"/>
      <c r="N60" s="18"/>
      <c r="O60" s="18"/>
      <c r="P60" s="18"/>
      <c r="Q60" s="18"/>
      <c r="R60" s="18"/>
      <c r="S60" s="1"/>
      <c r="T60" s="1"/>
      <c r="U60" s="1"/>
      <c r="V60" s="1"/>
      <c r="W60" s="1"/>
    </row>
    <row r="61" spans="1:23" x14ac:dyDescent="0.2">
      <c r="Q61" s="1"/>
      <c r="R61" s="1"/>
    </row>
    <row r="62" spans="1:23" ht="14.25" thickBot="1" x14ac:dyDescent="0.3">
      <c r="F62" s="18"/>
      <c r="G62" s="18"/>
      <c r="H62" s="18"/>
      <c r="I62" s="1"/>
      <c r="Q62" s="1"/>
      <c r="R62" s="1"/>
    </row>
    <row r="63" spans="1:23" ht="14.25" thickTop="1" x14ac:dyDescent="0.2">
      <c r="F63" s="302" t="s">
        <v>71</v>
      </c>
      <c r="G63" s="505"/>
      <c r="H63" s="505"/>
      <c r="I63" s="1"/>
      <c r="Q63" s="1"/>
      <c r="R63" s="1"/>
    </row>
    <row r="64" spans="1:23" ht="13.5" x14ac:dyDescent="0.25">
      <c r="F64" s="503" t="s">
        <v>72</v>
      </c>
      <c r="G64" s="285"/>
      <c r="H64" s="285"/>
      <c r="I64" s="1"/>
      <c r="Q64" s="1"/>
      <c r="R64" s="1"/>
    </row>
    <row r="65" spans="1:23" ht="13.5" x14ac:dyDescent="0.25">
      <c r="F65" s="503" t="s">
        <v>73</v>
      </c>
      <c r="G65" s="285"/>
      <c r="H65" s="285"/>
      <c r="I65" s="1"/>
      <c r="Q65" s="1"/>
      <c r="R65" s="1"/>
    </row>
    <row r="66" spans="1:23" ht="13.5" x14ac:dyDescent="0.25">
      <c r="A66" s="18"/>
      <c r="B66" s="18"/>
      <c r="C66" s="18"/>
      <c r="D66" s="18"/>
      <c r="E66" s="18"/>
      <c r="F66" s="18"/>
      <c r="G66" s="18"/>
      <c r="H66" s="18"/>
      <c r="I66" s="18"/>
      <c r="J66" s="18"/>
      <c r="K66" s="18"/>
      <c r="L66" s="18"/>
      <c r="M66" s="18"/>
      <c r="N66" s="18"/>
      <c r="O66" s="18"/>
      <c r="P66" s="18"/>
      <c r="Q66" s="18"/>
      <c r="R66" s="18"/>
      <c r="S66" s="18"/>
      <c r="T66" s="18"/>
      <c r="U66" s="18"/>
      <c r="V66" s="18"/>
      <c r="W66" s="18"/>
    </row>
    <row r="67" spans="1:23" ht="13.5" x14ac:dyDescent="0.25">
      <c r="A67" s="18"/>
      <c r="B67" s="18"/>
      <c r="C67" s="18"/>
      <c r="D67" s="18"/>
      <c r="E67" s="18"/>
      <c r="F67" s="18"/>
      <c r="G67" s="18"/>
      <c r="H67" s="18"/>
      <c r="I67" s="18"/>
      <c r="J67" s="18"/>
      <c r="K67" s="18"/>
      <c r="L67" s="18"/>
      <c r="M67" s="18"/>
      <c r="N67" s="18"/>
      <c r="O67" s="18"/>
      <c r="P67" s="18"/>
      <c r="Q67" s="18"/>
      <c r="R67" s="18"/>
      <c r="S67" s="18"/>
      <c r="T67" s="18"/>
      <c r="U67" s="18"/>
      <c r="V67" s="18"/>
      <c r="W67" s="18"/>
    </row>
  </sheetData>
  <mergeCells count="20">
    <mergeCell ref="A21:D21"/>
    <mergeCell ref="F63:H63"/>
    <mergeCell ref="F64:H64"/>
    <mergeCell ref="F65:H65"/>
    <mergeCell ref="A22:D22"/>
    <mergeCell ref="A25:I26"/>
    <mergeCell ref="A16:D16"/>
    <mergeCell ref="A17:D17"/>
    <mergeCell ref="A19:D19"/>
    <mergeCell ref="A8:D8"/>
    <mergeCell ref="A9:D9"/>
    <mergeCell ref="A10:D10"/>
    <mergeCell ref="A11:D11"/>
    <mergeCell ref="A13:D13"/>
    <mergeCell ref="A14:D14"/>
    <mergeCell ref="A1:V2"/>
    <mergeCell ref="A4:D4"/>
    <mergeCell ref="A5:D5"/>
    <mergeCell ref="A7:D7"/>
    <mergeCell ref="A15:D15"/>
  </mergeCells>
  <pageMargins left="0.7" right="0.7" top="0.75" bottom="0.75" header="0.3" footer="0.3"/>
  <pageSetup paperSize="8" scale="7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00B6D-9E94-4C58-96DB-800A94ED4447}">
  <dimension ref="A1:V4"/>
  <sheetViews>
    <sheetView view="pageBreakPreview" zoomScale="85" zoomScaleNormal="70" zoomScaleSheetLayoutView="85" workbookViewId="0">
      <selection activeCell="L11" sqref="L11"/>
    </sheetView>
  </sheetViews>
  <sheetFormatPr baseColWidth="10" defaultRowHeight="12.75" x14ac:dyDescent="0.2"/>
  <sheetData>
    <row r="1" spans="1:22" x14ac:dyDescent="0.2">
      <c r="A1" s="642" t="s">
        <v>2938</v>
      </c>
      <c r="B1" s="275"/>
      <c r="C1" s="275"/>
      <c r="D1" s="275"/>
      <c r="E1" s="275"/>
      <c r="F1" s="275"/>
      <c r="G1" s="275"/>
      <c r="H1" s="275"/>
      <c r="I1" s="276"/>
      <c r="J1" s="135" t="s">
        <v>2939</v>
      </c>
      <c r="K1" s="135" t="s">
        <v>2940</v>
      </c>
      <c r="L1" s="135" t="s">
        <v>2941</v>
      </c>
      <c r="M1" s="135" t="s">
        <v>2942</v>
      </c>
      <c r="N1" s="136" t="s">
        <v>2943</v>
      </c>
      <c r="O1" s="136" t="s">
        <v>2944</v>
      </c>
      <c r="P1" s="136" t="s">
        <v>33</v>
      </c>
      <c r="Q1" s="136" t="s">
        <v>2945</v>
      </c>
      <c r="R1" s="136" t="s">
        <v>2946</v>
      </c>
      <c r="S1" s="136" t="s">
        <v>2947</v>
      </c>
      <c r="T1" s="136" t="s">
        <v>2948</v>
      </c>
      <c r="U1" s="136" t="s">
        <v>2949</v>
      </c>
      <c r="V1" s="136" t="s">
        <v>2950</v>
      </c>
    </row>
    <row r="2" spans="1:22" ht="13.5" x14ac:dyDescent="0.2">
      <c r="A2" s="330"/>
      <c r="B2" s="278"/>
      <c r="C2" s="278"/>
      <c r="D2" s="278"/>
      <c r="E2" s="278"/>
      <c r="F2" s="278"/>
      <c r="G2" s="278"/>
      <c r="H2" s="278"/>
      <c r="I2" s="279"/>
      <c r="J2" s="137">
        <f t="shared" ref="J2:V2" si="0">SUM(J4:J4)</f>
        <v>53.564699999999995</v>
      </c>
      <c r="K2" s="137">
        <f t="shared" si="0"/>
        <v>5.3564699999999998</v>
      </c>
      <c r="L2" s="137">
        <f t="shared" si="0"/>
        <v>37.495289999999997</v>
      </c>
      <c r="M2" s="137">
        <f t="shared" si="0"/>
        <v>10.71294</v>
      </c>
      <c r="N2" s="137">
        <f t="shared" si="0"/>
        <v>7</v>
      </c>
      <c r="O2" s="137">
        <f t="shared" si="0"/>
        <v>17.5</v>
      </c>
      <c r="P2" s="137">
        <f t="shared" si="0"/>
        <v>10.5</v>
      </c>
      <c r="Q2" s="137">
        <f t="shared" si="0"/>
        <v>8.75</v>
      </c>
      <c r="R2" s="137">
        <f t="shared" si="0"/>
        <v>9.8146999999999949</v>
      </c>
      <c r="S2" s="137">
        <f t="shared" si="0"/>
        <v>0</v>
      </c>
      <c r="T2" s="137">
        <f t="shared" si="0"/>
        <v>0</v>
      </c>
      <c r="U2" s="137">
        <f t="shared" si="0"/>
        <v>56.875</v>
      </c>
      <c r="V2" s="137">
        <f t="shared" si="0"/>
        <v>0</v>
      </c>
    </row>
    <row r="3" spans="1:22" x14ac:dyDescent="0.2">
      <c r="A3" s="125" t="s">
        <v>2951</v>
      </c>
      <c r="B3" s="125" t="s">
        <v>2952</v>
      </c>
      <c r="C3" s="125" t="s">
        <v>2953</v>
      </c>
      <c r="D3" s="125" t="s">
        <v>2954</v>
      </c>
      <c r="E3" s="125" t="s">
        <v>2955</v>
      </c>
      <c r="F3" s="125" t="s">
        <v>2956</v>
      </c>
      <c r="G3" s="125" t="s">
        <v>2957</v>
      </c>
      <c r="H3" s="138" t="s">
        <v>2584</v>
      </c>
      <c r="I3" s="138" t="s">
        <v>2958</v>
      </c>
      <c r="J3" s="135" t="s">
        <v>2939</v>
      </c>
      <c r="K3" s="135" t="s">
        <v>2940</v>
      </c>
      <c r="L3" s="135" t="s">
        <v>2941</v>
      </c>
      <c r="M3" s="135" t="s">
        <v>2942</v>
      </c>
      <c r="N3" s="136" t="s">
        <v>2943</v>
      </c>
      <c r="O3" s="136" t="s">
        <v>2944</v>
      </c>
      <c r="P3" s="136" t="s">
        <v>33</v>
      </c>
      <c r="Q3" s="136" t="s">
        <v>2945</v>
      </c>
      <c r="R3" s="136" t="s">
        <v>2946</v>
      </c>
      <c r="S3" s="136" t="s">
        <v>2947</v>
      </c>
      <c r="T3" s="136" t="s">
        <v>2948</v>
      </c>
      <c r="U3" s="136" t="s">
        <v>2949</v>
      </c>
      <c r="V3" s="136" t="s">
        <v>2950</v>
      </c>
    </row>
    <row r="4" spans="1:22" ht="13.5" x14ac:dyDescent="0.25">
      <c r="A4" s="20" t="s">
        <v>16</v>
      </c>
      <c r="B4" s="19" t="s">
        <v>2960</v>
      </c>
      <c r="C4" s="7">
        <v>35</v>
      </c>
      <c r="D4" s="20">
        <v>80.42</v>
      </c>
      <c r="E4" s="20">
        <v>4</v>
      </c>
      <c r="F4" s="20" t="s">
        <v>2959</v>
      </c>
      <c r="G4" s="20">
        <v>21</v>
      </c>
      <c r="H4" s="139">
        <v>1</v>
      </c>
      <c r="I4" s="139">
        <f>HLOOKUP(A4,AA_Cimentacion,Indice!$H$14,FALSE)+(D4/1000)+HLOOKUP(A4,AA_Cimentacion,Indice!$H$18,FALSE)</f>
        <v>1.5304199999999999</v>
      </c>
      <c r="J4" s="139">
        <f>H4*I4*C4</f>
        <v>53.564699999999995</v>
      </c>
      <c r="K4" s="139">
        <f>HLOOKUP(A4,AA_Cimentacion,Indice!$H$15,FALSE)*J4</f>
        <v>5.3564699999999998</v>
      </c>
      <c r="L4" s="139">
        <f>HLOOKUP(A4,AA_Cimentacion,Indice!$H$16,FALSE)*J4</f>
        <v>37.495289999999997</v>
      </c>
      <c r="M4" s="139">
        <f>HLOOKUP(A4,AA_Cimentacion,Indice!$H$17,FALSE)*J4</f>
        <v>10.71294</v>
      </c>
      <c r="N4" s="139">
        <f>HLOOKUP(A4,AA_Cimentacion,Indice!$H$18,FALSE)*H4*C4</f>
        <v>7</v>
      </c>
      <c r="O4" s="139">
        <f>HLOOKUP(A4,AA_Cimentacion,Indice!$H$19,FALSE)*C4</f>
        <v>17.5</v>
      </c>
      <c r="P4" s="139">
        <f>HLOOKUP(A4,AA_Cimentacion,Indice!$H$20,FALSE)*H4*C4</f>
        <v>10.5</v>
      </c>
      <c r="Q4" s="139">
        <f>HLOOKUP(A4,AA_Cimentacion,Indice!$H$21,FALSE)*H4*C4</f>
        <v>8.75</v>
      </c>
      <c r="R4" s="139">
        <f>(J4-N4-O4-P4-Q4-S4)</f>
        <v>9.8146999999999949</v>
      </c>
      <c r="S4" s="139">
        <f>HLOOKUP(A4,AA_Cimentacion,Indice!$H$22,FALSE)*H4*C4</f>
        <v>0</v>
      </c>
      <c r="T4" s="139">
        <f>IF(A4=Indice!$G$12,C4*2,0)</f>
        <v>0</v>
      </c>
      <c r="U4" s="139">
        <f>(J4-R4)*(1+Indice!$L$14)</f>
        <v>56.875</v>
      </c>
      <c r="V4" s="139">
        <f>S4</f>
        <v>0</v>
      </c>
    </row>
  </sheetData>
  <mergeCells count="1">
    <mergeCell ref="A1:I2"/>
  </mergeCells>
  <pageMargins left="0.7" right="0.7" top="0.75" bottom="0.75" header="0.3" footer="0.3"/>
  <pageSetup scale="4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7F2A7-AC87-4E6E-B0C6-9FCC182F54EA}">
  <dimension ref="A1:I144"/>
  <sheetViews>
    <sheetView view="pageBreakPreview" topLeftCell="A127" zoomScale="130" zoomScaleNormal="100" zoomScaleSheetLayoutView="130" workbookViewId="0">
      <selection activeCell="I137" sqref="I137"/>
    </sheetView>
  </sheetViews>
  <sheetFormatPr baseColWidth="10" defaultRowHeight="12.75" x14ac:dyDescent="0.2"/>
  <sheetData>
    <row r="1" spans="1:9" ht="14.25" x14ac:dyDescent="0.3">
      <c r="A1" s="650" t="s">
        <v>3012</v>
      </c>
      <c r="B1" s="275"/>
      <c r="C1" s="275"/>
      <c r="D1" s="275"/>
      <c r="E1" s="275"/>
      <c r="F1" s="275"/>
      <c r="G1" s="275"/>
      <c r="H1" s="276"/>
      <c r="I1" s="148"/>
    </row>
    <row r="2" spans="1:9" ht="14.25" x14ac:dyDescent="0.3">
      <c r="A2" s="277"/>
      <c r="B2" s="278"/>
      <c r="C2" s="278"/>
      <c r="D2" s="278"/>
      <c r="E2" s="278"/>
      <c r="F2" s="278"/>
      <c r="G2" s="278"/>
      <c r="H2" s="279"/>
      <c r="I2" s="148"/>
    </row>
    <row r="3" spans="1:9" ht="14.25" x14ac:dyDescent="0.3">
      <c r="A3" s="148"/>
      <c r="B3" s="148"/>
      <c r="C3" s="148"/>
      <c r="D3" s="148"/>
      <c r="E3" s="148"/>
      <c r="F3" s="148"/>
      <c r="G3" s="148"/>
      <c r="H3" s="148"/>
      <c r="I3" s="148"/>
    </row>
    <row r="4" spans="1:9" x14ac:dyDescent="0.2">
      <c r="A4" s="651"/>
      <c r="B4" s="276"/>
      <c r="C4" s="488" t="s">
        <v>445</v>
      </c>
      <c r="D4" s="325" t="s">
        <v>2579</v>
      </c>
    </row>
    <row r="5" spans="1:9" x14ac:dyDescent="0.2">
      <c r="A5" s="277"/>
      <c r="B5" s="279"/>
      <c r="C5" s="281"/>
      <c r="D5" s="281"/>
      <c r="E5" s="1"/>
      <c r="F5" s="1"/>
      <c r="G5" s="1"/>
      <c r="H5" s="1"/>
      <c r="I5" s="1"/>
    </row>
    <row r="6" spans="1:9" ht="13.5" x14ac:dyDescent="0.2">
      <c r="A6" s="652" t="s">
        <v>3013</v>
      </c>
      <c r="B6" s="653"/>
      <c r="C6" s="126">
        <f>SUM(D6:D6)</f>
        <v>40</v>
      </c>
      <c r="D6" s="126">
        <f>SUM(D7:D8)</f>
        <v>40</v>
      </c>
    </row>
    <row r="7" spans="1:9" ht="13.5" x14ac:dyDescent="0.2">
      <c r="A7" s="654" t="s">
        <v>3014</v>
      </c>
      <c r="B7" s="655"/>
      <c r="C7" s="126">
        <v>0</v>
      </c>
      <c r="D7" s="127">
        <v>0</v>
      </c>
      <c r="E7" s="1"/>
      <c r="F7" s="1"/>
      <c r="G7" s="1"/>
      <c r="H7" s="1"/>
      <c r="I7" s="1"/>
    </row>
    <row r="8" spans="1:9" ht="13.5" x14ac:dyDescent="0.2">
      <c r="A8" s="652" t="s">
        <v>3015</v>
      </c>
      <c r="B8" s="653"/>
      <c r="C8" s="126">
        <v>0</v>
      </c>
      <c r="D8" s="201">
        <v>40</v>
      </c>
      <c r="E8" s="1"/>
      <c r="F8" s="1"/>
      <c r="G8" s="1"/>
      <c r="H8" s="1"/>
      <c r="I8" s="1"/>
    </row>
    <row r="9" spans="1:9" ht="13.5" x14ac:dyDescent="0.2">
      <c r="A9" s="654" t="s">
        <v>3016</v>
      </c>
      <c r="B9" s="655"/>
      <c r="C9" s="126">
        <f t="shared" ref="C9:C29" si="0">SUM(D9:D9)</f>
        <v>0</v>
      </c>
      <c r="D9" s="3">
        <v>0</v>
      </c>
    </row>
    <row r="10" spans="1:9" ht="13.5" x14ac:dyDescent="0.2">
      <c r="A10" s="649" t="s">
        <v>3017</v>
      </c>
      <c r="B10" s="273"/>
      <c r="C10" s="126">
        <f t="shared" si="0"/>
        <v>3</v>
      </c>
      <c r="D10" s="3">
        <v>3</v>
      </c>
    </row>
    <row r="11" spans="1:9" ht="13.5" x14ac:dyDescent="0.2">
      <c r="A11" s="654" t="s">
        <v>3018</v>
      </c>
      <c r="B11" s="655"/>
      <c r="C11" s="126">
        <f t="shared" si="0"/>
        <v>0</v>
      </c>
      <c r="D11" s="3">
        <v>0</v>
      </c>
    </row>
    <row r="12" spans="1:9" ht="13.5" x14ac:dyDescent="0.2">
      <c r="A12" s="654" t="s">
        <v>3019</v>
      </c>
      <c r="B12" s="655"/>
      <c r="C12" s="126">
        <f t="shared" si="0"/>
        <v>0</v>
      </c>
      <c r="D12" s="3">
        <v>0</v>
      </c>
    </row>
    <row r="13" spans="1:9" ht="13.5" x14ac:dyDescent="0.2">
      <c r="A13" s="649" t="s">
        <v>3020</v>
      </c>
      <c r="B13" s="273"/>
      <c r="C13" s="126">
        <f t="shared" si="0"/>
        <v>3</v>
      </c>
      <c r="D13" s="3">
        <v>3</v>
      </c>
    </row>
    <row r="14" spans="1:9" ht="13.5" x14ac:dyDescent="0.2">
      <c r="A14" s="202" t="s">
        <v>3021</v>
      </c>
      <c r="B14" s="203"/>
      <c r="C14" s="126">
        <f t="shared" si="0"/>
        <v>0</v>
      </c>
      <c r="D14" s="3">
        <v>0</v>
      </c>
    </row>
    <row r="15" spans="1:9" ht="13.5" x14ac:dyDescent="0.2">
      <c r="A15" s="654" t="s">
        <v>3022</v>
      </c>
      <c r="B15" s="655"/>
      <c r="C15" s="126">
        <f t="shared" si="0"/>
        <v>0</v>
      </c>
      <c r="D15" s="3">
        <v>0</v>
      </c>
    </row>
    <row r="16" spans="1:9" ht="13.5" x14ac:dyDescent="0.2">
      <c r="A16" s="649" t="s">
        <v>3023</v>
      </c>
      <c r="B16" s="273"/>
      <c r="C16" s="126">
        <f t="shared" si="0"/>
        <v>7</v>
      </c>
      <c r="D16" s="3">
        <v>7</v>
      </c>
    </row>
    <row r="17" spans="1:9" ht="13.5" x14ac:dyDescent="0.2">
      <c r="A17" s="202" t="s">
        <v>3024</v>
      </c>
      <c r="B17" s="203"/>
      <c r="C17" s="126">
        <f t="shared" si="0"/>
        <v>0</v>
      </c>
      <c r="D17" s="3">
        <v>0</v>
      </c>
    </row>
    <row r="18" spans="1:9" ht="13.5" x14ac:dyDescent="0.2">
      <c r="A18" s="654" t="s">
        <v>3025</v>
      </c>
      <c r="B18" s="655"/>
      <c r="C18" s="126">
        <f t="shared" si="0"/>
        <v>0</v>
      </c>
      <c r="D18" s="3">
        <v>0</v>
      </c>
    </row>
    <row r="19" spans="1:9" ht="13.5" x14ac:dyDescent="0.2">
      <c r="A19" s="654" t="s">
        <v>3026</v>
      </c>
      <c r="B19" s="655"/>
      <c r="C19" s="126">
        <f t="shared" si="0"/>
        <v>0</v>
      </c>
      <c r="D19" s="3">
        <v>0</v>
      </c>
    </row>
    <row r="20" spans="1:9" ht="13.5" x14ac:dyDescent="0.2">
      <c r="A20" s="654" t="s">
        <v>3027</v>
      </c>
      <c r="B20" s="655"/>
      <c r="C20" s="126">
        <f t="shared" si="0"/>
        <v>0</v>
      </c>
      <c r="D20" s="3">
        <v>0</v>
      </c>
    </row>
    <row r="21" spans="1:9" ht="13.5" x14ac:dyDescent="0.2">
      <c r="A21" s="654" t="s">
        <v>3028</v>
      </c>
      <c r="B21" s="655"/>
      <c r="C21" s="126">
        <f t="shared" si="0"/>
        <v>0</v>
      </c>
      <c r="D21" s="3">
        <v>0</v>
      </c>
    </row>
    <row r="22" spans="1:9" ht="13.5" x14ac:dyDescent="0.2">
      <c r="A22" s="649" t="s">
        <v>3029</v>
      </c>
      <c r="B22" s="273"/>
      <c r="C22" s="126">
        <f t="shared" si="0"/>
        <v>4</v>
      </c>
      <c r="D22" s="3">
        <v>4</v>
      </c>
    </row>
    <row r="23" spans="1:9" ht="13.5" x14ac:dyDescent="0.2">
      <c r="A23" s="649" t="s">
        <v>3030</v>
      </c>
      <c r="B23" s="273"/>
      <c r="C23" s="126">
        <f t="shared" si="0"/>
        <v>0</v>
      </c>
      <c r="D23" s="3">
        <v>0</v>
      </c>
    </row>
    <row r="24" spans="1:9" ht="13.5" x14ac:dyDescent="0.2">
      <c r="A24" s="649" t="s">
        <v>3031</v>
      </c>
      <c r="B24" s="273"/>
      <c r="C24" s="126">
        <f t="shared" si="0"/>
        <v>0</v>
      </c>
      <c r="D24" s="3">
        <v>0</v>
      </c>
    </row>
    <row r="25" spans="1:9" ht="13.5" x14ac:dyDescent="0.2">
      <c r="A25" s="649" t="s">
        <v>3032</v>
      </c>
      <c r="B25" s="273"/>
      <c r="C25" s="126">
        <f t="shared" si="0"/>
        <v>0</v>
      </c>
      <c r="D25" s="3">
        <v>0</v>
      </c>
    </row>
    <row r="26" spans="1:9" ht="13.5" x14ac:dyDescent="0.2">
      <c r="A26" s="649" t="s">
        <v>3033</v>
      </c>
      <c r="B26" s="273"/>
      <c r="C26" s="126">
        <f t="shared" si="0"/>
        <v>0</v>
      </c>
      <c r="D26" s="3">
        <v>0</v>
      </c>
    </row>
    <row r="27" spans="1:9" ht="13.5" x14ac:dyDescent="0.2">
      <c r="A27" s="649" t="s">
        <v>3034</v>
      </c>
      <c r="B27" s="273"/>
      <c r="C27" s="126">
        <f t="shared" si="0"/>
        <v>0</v>
      </c>
      <c r="D27" s="3">
        <v>0</v>
      </c>
    </row>
    <row r="28" spans="1:9" ht="13.5" x14ac:dyDescent="0.2">
      <c r="A28" s="649" t="s">
        <v>3035</v>
      </c>
      <c r="B28" s="273"/>
      <c r="C28" s="126">
        <f t="shared" si="0"/>
        <v>5</v>
      </c>
      <c r="D28" s="3">
        <v>5</v>
      </c>
    </row>
    <row r="29" spans="1:9" ht="13.5" x14ac:dyDescent="0.2">
      <c r="A29" s="649" t="s">
        <v>3036</v>
      </c>
      <c r="B29" s="273"/>
      <c r="C29" s="126">
        <f t="shared" si="0"/>
        <v>0</v>
      </c>
      <c r="D29" s="3">
        <v>0</v>
      </c>
    </row>
    <row r="30" spans="1:9" ht="14.25" x14ac:dyDescent="0.3">
      <c r="A30" s="128"/>
      <c r="B30" s="128"/>
      <c r="C30" s="128"/>
      <c r="D30" s="128"/>
      <c r="E30" s="128"/>
      <c r="F30" s="128"/>
      <c r="G30" s="128"/>
      <c r="H30" s="128"/>
      <c r="I30" s="148"/>
    </row>
    <row r="31" spans="1:9" ht="14.25" x14ac:dyDescent="0.3">
      <c r="A31" s="128"/>
      <c r="B31" s="128"/>
      <c r="C31" s="128"/>
      <c r="D31" s="128"/>
      <c r="E31" s="128"/>
      <c r="F31" s="128"/>
      <c r="G31" s="128"/>
      <c r="H31" s="128"/>
      <c r="I31" s="148"/>
    </row>
    <row r="32" spans="1:9" ht="14.25" x14ac:dyDescent="0.3">
      <c r="A32" s="643" t="s">
        <v>3037</v>
      </c>
      <c r="B32" s="644"/>
      <c r="C32" s="644"/>
      <c r="D32" s="644"/>
      <c r="E32" s="644"/>
      <c r="F32" s="644"/>
      <c r="G32" s="644"/>
      <c r="H32" s="645"/>
      <c r="I32" s="148"/>
    </row>
    <row r="33" spans="1:9" ht="14.25" x14ac:dyDescent="0.3">
      <c r="A33" s="646"/>
      <c r="B33" s="647"/>
      <c r="C33" s="647"/>
      <c r="D33" s="647"/>
      <c r="E33" s="647"/>
      <c r="F33" s="647"/>
      <c r="G33" s="647"/>
      <c r="H33" s="648"/>
      <c r="I33" s="148"/>
    </row>
    <row r="34" spans="1:9" ht="14.25" x14ac:dyDescent="0.3">
      <c r="A34" s="148"/>
      <c r="B34" s="1"/>
      <c r="C34" s="148"/>
      <c r="D34" s="1"/>
      <c r="E34" s="148"/>
      <c r="F34" s="1"/>
      <c r="G34" s="148"/>
      <c r="H34" s="1"/>
      <c r="I34" s="148"/>
    </row>
    <row r="35" spans="1:9" ht="14.25" x14ac:dyDescent="0.3">
      <c r="A35" s="148"/>
      <c r="B35" s="1"/>
      <c r="C35" s="148"/>
      <c r="D35" s="1"/>
      <c r="E35" s="148"/>
      <c r="F35" s="1"/>
      <c r="G35" s="148"/>
      <c r="H35" s="1"/>
      <c r="I35" s="148"/>
    </row>
    <row r="36" spans="1:9" ht="14.25" x14ac:dyDescent="0.3">
      <c r="A36" s="148"/>
      <c r="B36" s="1"/>
      <c r="C36" s="148"/>
      <c r="D36" s="1"/>
      <c r="E36" s="148"/>
      <c r="F36" s="1"/>
      <c r="G36" s="148"/>
      <c r="H36" s="1"/>
      <c r="I36" s="148"/>
    </row>
    <row r="37" spans="1:9" ht="14.25" x14ac:dyDescent="0.3">
      <c r="A37" s="148"/>
      <c r="B37" s="1"/>
      <c r="C37" s="148"/>
      <c r="D37" s="1"/>
      <c r="E37" s="148"/>
      <c r="F37" s="1"/>
      <c r="G37" s="148"/>
      <c r="H37" s="1"/>
      <c r="I37" s="148"/>
    </row>
    <row r="38" spans="1:9" ht="14.25" x14ac:dyDescent="0.3">
      <c r="A38" s="148"/>
      <c r="B38" s="1"/>
      <c r="C38" s="148"/>
      <c r="D38" s="1"/>
      <c r="E38" s="148"/>
      <c r="F38" s="1"/>
      <c r="G38" s="148"/>
      <c r="H38" s="1"/>
      <c r="I38" s="148"/>
    </row>
    <row r="39" spans="1:9" ht="14.25" x14ac:dyDescent="0.3">
      <c r="A39" s="148"/>
      <c r="B39" s="1"/>
      <c r="C39" s="148"/>
      <c r="D39" s="1"/>
      <c r="E39" s="148"/>
      <c r="F39" s="1"/>
      <c r="G39" s="148"/>
      <c r="H39" s="1"/>
      <c r="I39" s="148"/>
    </row>
    <row r="40" spans="1:9" ht="14.25" x14ac:dyDescent="0.3">
      <c r="A40" s="148"/>
      <c r="B40" s="1"/>
      <c r="C40" s="148"/>
      <c r="D40" s="1"/>
      <c r="E40" s="148"/>
      <c r="F40" s="1"/>
      <c r="G40" s="148"/>
      <c r="H40" s="1"/>
      <c r="I40" s="148"/>
    </row>
    <row r="41" spans="1:9" ht="14.25" x14ac:dyDescent="0.3">
      <c r="A41" s="148"/>
      <c r="B41" s="1"/>
      <c r="C41" s="148"/>
      <c r="D41" s="1"/>
      <c r="E41" s="148"/>
      <c r="F41" s="1"/>
      <c r="G41" s="148"/>
      <c r="H41" s="1"/>
      <c r="I41" s="148"/>
    </row>
    <row r="42" spans="1:9" ht="14.25" x14ac:dyDescent="0.3">
      <c r="A42" s="148"/>
      <c r="B42" s="1"/>
      <c r="C42" s="148"/>
      <c r="D42" s="1"/>
      <c r="E42" s="148"/>
      <c r="F42" s="1"/>
      <c r="G42" s="148"/>
      <c r="H42" s="1"/>
      <c r="I42" s="148"/>
    </row>
    <row r="43" spans="1:9" ht="14.25" x14ac:dyDescent="0.3">
      <c r="A43" s="148"/>
      <c r="B43" s="1"/>
      <c r="C43" s="148"/>
      <c r="D43" s="1"/>
      <c r="E43" s="148"/>
      <c r="F43" s="1"/>
      <c r="G43" s="148"/>
      <c r="H43" s="1"/>
      <c r="I43" s="148"/>
    </row>
    <row r="44" spans="1:9" ht="14.25" x14ac:dyDescent="0.3">
      <c r="A44" s="148"/>
      <c r="B44" s="1"/>
      <c r="C44" s="148"/>
      <c r="D44" s="1"/>
      <c r="E44" s="148"/>
      <c r="F44" s="1"/>
      <c r="G44" s="148"/>
      <c r="H44" s="1"/>
      <c r="I44" s="148"/>
    </row>
    <row r="45" spans="1:9" ht="14.25" x14ac:dyDescent="0.3">
      <c r="A45" s="148"/>
      <c r="B45" s="1"/>
      <c r="C45" s="148"/>
      <c r="D45" s="1"/>
      <c r="E45" s="148"/>
      <c r="F45" s="1"/>
      <c r="G45" s="148"/>
      <c r="H45" s="1"/>
      <c r="I45" s="148"/>
    </row>
    <row r="46" spans="1:9" ht="14.25" x14ac:dyDescent="0.3">
      <c r="A46" s="148"/>
      <c r="B46" s="1"/>
      <c r="C46" s="148"/>
      <c r="D46" s="1"/>
      <c r="E46" s="148"/>
      <c r="F46" s="1"/>
      <c r="G46" s="148"/>
      <c r="H46" s="1"/>
      <c r="I46" s="148"/>
    </row>
    <row r="47" spans="1:9" ht="14.25" x14ac:dyDescent="0.3">
      <c r="A47" s="148"/>
      <c r="B47" s="1"/>
      <c r="C47" s="148"/>
      <c r="D47" s="1"/>
      <c r="E47" s="148"/>
      <c r="F47" s="1"/>
      <c r="G47" s="148"/>
      <c r="H47" s="1"/>
      <c r="I47" s="148"/>
    </row>
    <row r="48" spans="1:9" ht="14.25" x14ac:dyDescent="0.3">
      <c r="A48" s="148"/>
      <c r="B48" s="1"/>
      <c r="C48" s="148"/>
      <c r="D48" s="1"/>
      <c r="E48" s="148"/>
      <c r="F48" s="1"/>
      <c r="G48" s="148"/>
      <c r="H48" s="1"/>
      <c r="I48" s="148"/>
    </row>
    <row r="49" spans="1:9" ht="14.25" x14ac:dyDescent="0.3">
      <c r="A49" s="148"/>
      <c r="B49" s="1"/>
      <c r="C49" s="148"/>
      <c r="D49" s="1"/>
      <c r="E49" s="148"/>
      <c r="F49" s="1"/>
      <c r="G49" s="148"/>
      <c r="H49" s="1"/>
      <c r="I49" s="148"/>
    </row>
    <row r="50" spans="1:9" ht="14.25" x14ac:dyDescent="0.3">
      <c r="A50" s="148"/>
      <c r="B50" s="1"/>
      <c r="C50" s="148"/>
      <c r="D50" s="1"/>
      <c r="E50" s="148"/>
      <c r="F50" s="1"/>
      <c r="G50" s="148"/>
      <c r="H50" s="1"/>
      <c r="I50" s="148"/>
    </row>
    <row r="51" spans="1:9" ht="14.25" x14ac:dyDescent="0.3">
      <c r="A51" s="148"/>
      <c r="B51" s="1"/>
      <c r="C51" s="148"/>
      <c r="D51" s="1"/>
      <c r="E51" s="148"/>
      <c r="F51" s="1"/>
      <c r="G51" s="148"/>
      <c r="H51" s="1"/>
      <c r="I51" s="148"/>
    </row>
    <row r="52" spans="1:9" ht="14.25" x14ac:dyDescent="0.3">
      <c r="A52" s="148"/>
      <c r="B52" s="1"/>
      <c r="C52" s="148"/>
      <c r="D52" s="1"/>
      <c r="E52" s="148"/>
      <c r="F52" s="1"/>
      <c r="G52" s="148"/>
      <c r="H52" s="1"/>
      <c r="I52" s="148"/>
    </row>
    <row r="53" spans="1:9" ht="14.25" x14ac:dyDescent="0.3">
      <c r="A53" s="148"/>
      <c r="B53" s="1"/>
      <c r="C53" s="148"/>
      <c r="D53" s="1"/>
      <c r="E53" s="148"/>
      <c r="F53" s="1"/>
      <c r="G53" s="148"/>
      <c r="H53" s="1"/>
      <c r="I53" s="148"/>
    </row>
    <row r="54" spans="1:9" ht="14.25" x14ac:dyDescent="0.3">
      <c r="A54" s="148"/>
      <c r="B54" s="1"/>
      <c r="C54" s="148"/>
      <c r="D54" s="1"/>
      <c r="E54" s="148"/>
      <c r="F54" s="1"/>
      <c r="G54" s="148"/>
      <c r="H54" s="1"/>
      <c r="I54" s="148"/>
    </row>
    <row r="55" spans="1:9" ht="14.25" x14ac:dyDescent="0.3">
      <c r="A55" s="148"/>
      <c r="B55" s="1"/>
      <c r="C55" s="148"/>
      <c r="D55" s="1"/>
      <c r="E55" s="148"/>
      <c r="F55" s="1"/>
      <c r="G55" s="148"/>
      <c r="H55" s="1"/>
      <c r="I55" s="148"/>
    </row>
    <row r="56" spans="1:9" ht="14.25" x14ac:dyDescent="0.3">
      <c r="A56" s="148"/>
      <c r="B56" s="1"/>
      <c r="C56" s="148"/>
      <c r="D56" s="1"/>
      <c r="E56" s="148"/>
      <c r="F56" s="1"/>
      <c r="G56" s="148"/>
      <c r="H56" s="1"/>
      <c r="I56" s="148"/>
    </row>
    <row r="57" spans="1:9" ht="14.25" x14ac:dyDescent="0.3">
      <c r="A57" s="148"/>
      <c r="B57" s="1"/>
      <c r="C57" s="148"/>
      <c r="D57" s="1"/>
      <c r="E57" s="148"/>
      <c r="F57" s="1"/>
      <c r="G57" s="148"/>
      <c r="H57" s="1"/>
      <c r="I57" s="148"/>
    </row>
    <row r="58" spans="1:9" ht="14.25" x14ac:dyDescent="0.3">
      <c r="A58" s="148"/>
      <c r="B58" s="1"/>
      <c r="C58" s="148"/>
      <c r="D58" s="1"/>
      <c r="E58" s="148"/>
      <c r="F58" s="1"/>
      <c r="G58" s="148"/>
      <c r="H58" s="1"/>
      <c r="I58" s="148"/>
    </row>
    <row r="59" spans="1:9" ht="14.25" x14ac:dyDescent="0.3">
      <c r="A59" s="148"/>
      <c r="B59" s="1"/>
      <c r="C59" s="148"/>
      <c r="D59" s="1"/>
      <c r="E59" s="148"/>
      <c r="F59" s="1"/>
      <c r="G59" s="148"/>
      <c r="H59" s="1"/>
      <c r="I59" s="148"/>
    </row>
    <row r="60" spans="1:9" ht="14.25" x14ac:dyDescent="0.3">
      <c r="A60" s="643" t="s">
        <v>3038</v>
      </c>
      <c r="B60" s="644"/>
      <c r="C60" s="644"/>
      <c r="D60" s="644"/>
      <c r="E60" s="644"/>
      <c r="F60" s="644"/>
      <c r="G60" s="644"/>
      <c r="H60" s="645"/>
      <c r="I60" s="148"/>
    </row>
    <row r="61" spans="1:9" ht="14.25" x14ac:dyDescent="0.3">
      <c r="A61" s="646"/>
      <c r="B61" s="647"/>
      <c r="C61" s="647"/>
      <c r="D61" s="647"/>
      <c r="E61" s="647"/>
      <c r="F61" s="647"/>
      <c r="G61" s="647"/>
      <c r="H61" s="648"/>
      <c r="I61" s="148"/>
    </row>
    <row r="62" spans="1:9" ht="14.25" x14ac:dyDescent="0.3">
      <c r="A62" s="148"/>
      <c r="B62" s="658"/>
      <c r="C62" s="658"/>
      <c r="D62" s="658"/>
      <c r="E62" s="658"/>
      <c r="F62" s="658"/>
      <c r="G62" s="658"/>
      <c r="H62" s="148"/>
      <c r="I62" s="148"/>
    </row>
    <row r="63" spans="1:9" ht="14.25" x14ac:dyDescent="0.3">
      <c r="A63" s="148"/>
      <c r="B63" s="659"/>
      <c r="C63" s="659"/>
      <c r="D63" s="659"/>
      <c r="E63" s="659"/>
      <c r="F63" s="659"/>
      <c r="G63" s="659"/>
      <c r="I63" s="148"/>
    </row>
    <row r="64" spans="1:9" ht="14.25" x14ac:dyDescent="0.3">
      <c r="A64" s="148"/>
      <c r="B64" s="659"/>
      <c r="C64" s="659"/>
      <c r="D64" s="659"/>
      <c r="E64" s="659"/>
      <c r="F64" s="659"/>
      <c r="G64" s="659"/>
      <c r="I64" s="148"/>
    </row>
    <row r="65" spans="1:9" ht="14.25" x14ac:dyDescent="0.3">
      <c r="A65" s="148"/>
      <c r="B65" s="659"/>
      <c r="C65" s="659"/>
      <c r="D65" s="659"/>
      <c r="E65" s="659"/>
      <c r="F65" s="659"/>
      <c r="G65" s="659"/>
      <c r="I65" s="148"/>
    </row>
    <row r="66" spans="1:9" ht="14.25" x14ac:dyDescent="0.3">
      <c r="A66" s="148"/>
      <c r="B66" s="659"/>
      <c r="C66" s="659"/>
      <c r="D66" s="659"/>
      <c r="E66" s="659"/>
      <c r="F66" s="659"/>
      <c r="G66" s="659"/>
      <c r="I66" s="148"/>
    </row>
    <row r="67" spans="1:9" ht="14.25" x14ac:dyDescent="0.3">
      <c r="A67" s="148"/>
      <c r="B67" s="659"/>
      <c r="C67" s="659"/>
      <c r="D67" s="659"/>
      <c r="E67" s="659"/>
      <c r="F67" s="659"/>
      <c r="G67" s="659"/>
      <c r="I67" s="148"/>
    </row>
    <row r="68" spans="1:9" ht="14.25" x14ac:dyDescent="0.3">
      <c r="A68" s="148"/>
      <c r="B68" s="659"/>
      <c r="C68" s="659"/>
      <c r="D68" s="659"/>
      <c r="E68" s="659"/>
      <c r="F68" s="659"/>
      <c r="G68" s="659"/>
      <c r="I68" s="148"/>
    </row>
    <row r="69" spans="1:9" ht="14.25" x14ac:dyDescent="0.3">
      <c r="A69" s="148"/>
      <c r="B69" s="659"/>
      <c r="C69" s="659"/>
      <c r="D69" s="659"/>
      <c r="E69" s="659"/>
      <c r="F69" s="659"/>
      <c r="G69" s="659"/>
      <c r="I69" s="148"/>
    </row>
    <row r="70" spans="1:9" ht="14.25" x14ac:dyDescent="0.3">
      <c r="A70" s="148"/>
      <c r="B70" s="659"/>
      <c r="C70" s="659"/>
      <c r="D70" s="659"/>
      <c r="E70" s="659"/>
      <c r="F70" s="659"/>
      <c r="G70" s="659"/>
      <c r="I70" s="148"/>
    </row>
    <row r="71" spans="1:9" ht="14.25" x14ac:dyDescent="0.3">
      <c r="A71" s="148"/>
      <c r="B71" s="659"/>
      <c r="C71" s="659"/>
      <c r="D71" s="659"/>
      <c r="E71" s="659"/>
      <c r="F71" s="659"/>
      <c r="G71" s="659"/>
      <c r="I71" s="148"/>
    </row>
    <row r="72" spans="1:9" ht="14.25" x14ac:dyDescent="0.3">
      <c r="A72" s="148"/>
      <c r="B72" s="659"/>
      <c r="C72" s="659"/>
      <c r="D72" s="659"/>
      <c r="E72" s="659"/>
      <c r="F72" s="659"/>
      <c r="G72" s="659"/>
      <c r="I72" s="148"/>
    </row>
    <row r="73" spans="1:9" ht="14.25" x14ac:dyDescent="0.3">
      <c r="A73" s="148"/>
      <c r="B73" s="148"/>
      <c r="C73" s="148"/>
      <c r="D73" s="148"/>
      <c r="E73" s="148"/>
      <c r="F73" s="148"/>
      <c r="G73" s="148"/>
      <c r="I73" s="148"/>
    </row>
    <row r="74" spans="1:9" ht="14.25" x14ac:dyDescent="0.3">
      <c r="A74" s="148"/>
      <c r="B74" s="148"/>
      <c r="C74" s="662" t="s">
        <v>3039</v>
      </c>
      <c r="D74" s="663"/>
      <c r="E74" s="150" t="s">
        <v>502</v>
      </c>
      <c r="F74" s="150" t="s">
        <v>3040</v>
      </c>
      <c r="G74" s="151"/>
      <c r="H74" s="148"/>
      <c r="I74" s="148"/>
    </row>
    <row r="75" spans="1:9" ht="14.25" x14ac:dyDescent="0.3">
      <c r="A75" s="148"/>
      <c r="B75" s="148"/>
      <c r="C75" s="660" t="s">
        <v>3041</v>
      </c>
      <c r="D75" s="661"/>
      <c r="E75" s="152" t="s">
        <v>2974</v>
      </c>
      <c r="F75" s="152">
        <v>1</v>
      </c>
      <c r="G75" s="151"/>
      <c r="H75" s="148"/>
      <c r="I75" s="148"/>
    </row>
    <row r="76" spans="1:9" ht="14.25" x14ac:dyDescent="0.3">
      <c r="A76" s="148"/>
      <c r="B76" s="148"/>
      <c r="C76" s="660" t="s">
        <v>3042</v>
      </c>
      <c r="D76" s="661"/>
      <c r="E76" s="152" t="s">
        <v>2974</v>
      </c>
      <c r="F76" s="152">
        <v>1</v>
      </c>
      <c r="G76" s="151"/>
      <c r="H76" s="148"/>
      <c r="I76" s="148"/>
    </row>
    <row r="77" spans="1:9" ht="14.25" x14ac:dyDescent="0.3">
      <c r="A77" s="148"/>
      <c r="B77" s="148"/>
      <c r="C77" s="660" t="s">
        <v>3043</v>
      </c>
      <c r="D77" s="661"/>
      <c r="E77" s="152" t="s">
        <v>2974</v>
      </c>
      <c r="F77" s="152">
        <v>4</v>
      </c>
      <c r="G77" s="151"/>
      <c r="H77" s="148"/>
      <c r="I77" s="148"/>
    </row>
    <row r="78" spans="1:9" ht="14.25" x14ac:dyDescent="0.3">
      <c r="A78" s="148"/>
      <c r="B78" s="148"/>
      <c r="C78" s="660" t="s">
        <v>3044</v>
      </c>
      <c r="D78" s="661"/>
      <c r="E78" s="152" t="s">
        <v>2974</v>
      </c>
      <c r="F78" s="152">
        <v>1</v>
      </c>
      <c r="G78" s="151"/>
      <c r="H78" s="148"/>
      <c r="I78" s="148"/>
    </row>
    <row r="79" spans="1:9" ht="14.25" x14ac:dyDescent="0.3">
      <c r="A79" s="148"/>
      <c r="B79" s="148"/>
      <c r="C79" s="660" t="s">
        <v>3045</v>
      </c>
      <c r="D79" s="661"/>
      <c r="E79" s="152" t="s">
        <v>2974</v>
      </c>
      <c r="F79" s="152">
        <v>1</v>
      </c>
      <c r="G79" s="151"/>
      <c r="H79" s="148"/>
      <c r="I79" s="148"/>
    </row>
    <row r="80" spans="1:9" ht="14.25" x14ac:dyDescent="0.3">
      <c r="A80" s="148"/>
      <c r="B80" s="148"/>
      <c r="C80" s="660" t="s">
        <v>3046</v>
      </c>
      <c r="D80" s="661"/>
      <c r="E80" s="152" t="s">
        <v>2974</v>
      </c>
      <c r="F80" s="152">
        <v>2</v>
      </c>
      <c r="G80" s="151"/>
      <c r="H80" s="148"/>
      <c r="I80" s="148"/>
    </row>
    <row r="81" spans="1:9" ht="14.25" x14ac:dyDescent="0.3">
      <c r="A81" s="148"/>
      <c r="B81" s="148"/>
      <c r="C81" s="660" t="s">
        <v>3047</v>
      </c>
      <c r="D81" s="661"/>
      <c r="E81" s="152" t="s">
        <v>2974</v>
      </c>
      <c r="F81" s="152">
        <v>2</v>
      </c>
      <c r="G81" s="151"/>
      <c r="H81" s="148"/>
      <c r="I81" s="148"/>
    </row>
    <row r="82" spans="1:9" ht="14.25" x14ac:dyDescent="0.3">
      <c r="A82" s="148"/>
      <c r="B82" s="148"/>
      <c r="C82" s="660" t="s">
        <v>3048</v>
      </c>
      <c r="D82" s="661"/>
      <c r="E82" s="152" t="s">
        <v>2974</v>
      </c>
      <c r="F82" s="152">
        <v>1</v>
      </c>
      <c r="G82" s="151"/>
      <c r="H82" s="148"/>
      <c r="I82" s="148"/>
    </row>
    <row r="83" spans="1:9" ht="14.25" x14ac:dyDescent="0.3">
      <c r="A83" s="148"/>
      <c r="B83" s="148"/>
      <c r="C83" s="660" t="s">
        <v>3049</v>
      </c>
      <c r="D83" s="661"/>
      <c r="E83" s="152" t="s">
        <v>2974</v>
      </c>
      <c r="F83" s="152">
        <v>1</v>
      </c>
      <c r="G83" s="151"/>
      <c r="H83" s="148"/>
      <c r="I83" s="148"/>
    </row>
    <row r="84" spans="1:9" ht="14.25" x14ac:dyDescent="0.3">
      <c r="A84" s="148"/>
      <c r="B84" s="148"/>
      <c r="C84" s="660" t="s">
        <v>3050</v>
      </c>
      <c r="D84" s="661"/>
      <c r="E84" s="152" t="s">
        <v>2974</v>
      </c>
      <c r="F84" s="152">
        <v>1</v>
      </c>
      <c r="G84" s="151"/>
      <c r="H84" s="148"/>
      <c r="I84" s="148"/>
    </row>
    <row r="85" spans="1:9" ht="14.25" x14ac:dyDescent="0.3">
      <c r="A85" s="148"/>
      <c r="B85" s="148"/>
      <c r="C85" s="660" t="s">
        <v>3051</v>
      </c>
      <c r="D85" s="661"/>
      <c r="E85" s="152" t="s">
        <v>2974</v>
      </c>
      <c r="F85" s="152">
        <v>1</v>
      </c>
      <c r="G85" s="149"/>
      <c r="H85" s="1"/>
      <c r="I85" s="148"/>
    </row>
    <row r="86" spans="1:9" ht="14.25" x14ac:dyDescent="0.3">
      <c r="A86" s="148"/>
      <c r="B86" s="148"/>
      <c r="C86" s="660" t="s">
        <v>3052</v>
      </c>
      <c r="D86" s="661"/>
      <c r="E86" s="152" t="s">
        <v>2974</v>
      </c>
      <c r="F86" s="152">
        <v>1</v>
      </c>
      <c r="G86" s="149"/>
      <c r="H86" s="1"/>
      <c r="I86" s="148"/>
    </row>
    <row r="87" spans="1:9" ht="14.25" x14ac:dyDescent="0.3">
      <c r="A87" s="148"/>
      <c r="B87" s="148"/>
      <c r="C87" s="148"/>
      <c r="D87" s="148"/>
      <c r="E87" s="148"/>
      <c r="F87" s="148"/>
      <c r="G87" s="149"/>
      <c r="H87" s="1"/>
      <c r="I87" s="1"/>
    </row>
    <row r="88" spans="1:9" ht="14.25" x14ac:dyDescent="0.3">
      <c r="A88" s="148"/>
      <c r="B88" s="148"/>
      <c r="C88" s="148"/>
      <c r="D88" s="148"/>
      <c r="E88" s="148"/>
      <c r="F88" s="148"/>
      <c r="G88" s="149"/>
      <c r="H88" s="1"/>
      <c r="I88" s="1"/>
    </row>
    <row r="89" spans="1:9" x14ac:dyDescent="0.2">
      <c r="A89" s="643" t="s">
        <v>3053</v>
      </c>
      <c r="B89" s="644"/>
      <c r="C89" s="644"/>
      <c r="D89" s="644"/>
      <c r="E89" s="644"/>
      <c r="F89" s="644"/>
      <c r="G89" s="644"/>
      <c r="H89" s="645"/>
    </row>
    <row r="90" spans="1:9" x14ac:dyDescent="0.2">
      <c r="A90" s="646"/>
      <c r="B90" s="647"/>
      <c r="C90" s="647"/>
      <c r="D90" s="647"/>
      <c r="E90" s="647"/>
      <c r="F90" s="647"/>
      <c r="G90" s="647"/>
      <c r="H90" s="648"/>
    </row>
    <row r="91" spans="1:9" ht="14.25" x14ac:dyDescent="0.3">
      <c r="G91" s="153"/>
      <c r="H91" s="153"/>
    </row>
    <row r="92" spans="1:9" ht="14.25" x14ac:dyDescent="0.3">
      <c r="B92" s="664"/>
      <c r="C92" s="658"/>
      <c r="D92" s="658"/>
      <c r="E92" s="658"/>
      <c r="F92" s="658"/>
      <c r="G92" s="665"/>
      <c r="H92" s="148"/>
    </row>
    <row r="93" spans="1:9" ht="14.25" x14ac:dyDescent="0.3">
      <c r="B93" s="666"/>
      <c r="C93" s="659"/>
      <c r="D93" s="659"/>
      <c r="E93" s="659"/>
      <c r="F93" s="659"/>
      <c r="G93" s="667"/>
      <c r="H93" s="148"/>
    </row>
    <row r="94" spans="1:9" ht="14.25" x14ac:dyDescent="0.3">
      <c r="B94" s="666"/>
      <c r="C94" s="659"/>
      <c r="D94" s="659"/>
      <c r="E94" s="659"/>
      <c r="F94" s="659"/>
      <c r="G94" s="667"/>
      <c r="H94" s="148"/>
    </row>
    <row r="95" spans="1:9" ht="14.25" x14ac:dyDescent="0.3">
      <c r="B95" s="666"/>
      <c r="C95" s="659"/>
      <c r="D95" s="659"/>
      <c r="E95" s="659"/>
      <c r="F95" s="659"/>
      <c r="G95" s="667"/>
      <c r="H95" s="148"/>
    </row>
    <row r="96" spans="1:9" ht="14.25" x14ac:dyDescent="0.3">
      <c r="B96" s="666"/>
      <c r="C96" s="659"/>
      <c r="D96" s="659"/>
      <c r="E96" s="659"/>
      <c r="F96" s="659"/>
      <c r="G96" s="667"/>
      <c r="H96" s="148"/>
    </row>
    <row r="97" spans="1:8" ht="14.25" x14ac:dyDescent="0.3">
      <c r="B97" s="666"/>
      <c r="C97" s="659"/>
      <c r="D97" s="659"/>
      <c r="E97" s="659"/>
      <c r="F97" s="659"/>
      <c r="G97" s="667"/>
      <c r="H97" s="148"/>
    </row>
    <row r="98" spans="1:8" x14ac:dyDescent="0.2">
      <c r="B98" s="666"/>
      <c r="C98" s="659"/>
      <c r="D98" s="659"/>
      <c r="E98" s="659"/>
      <c r="F98" s="659"/>
      <c r="G98" s="667"/>
    </row>
    <row r="99" spans="1:8" x14ac:dyDescent="0.2">
      <c r="B99" s="666"/>
      <c r="C99" s="659"/>
      <c r="D99" s="659"/>
      <c r="E99" s="659"/>
      <c r="F99" s="659"/>
      <c r="G99" s="667"/>
    </row>
    <row r="100" spans="1:8" x14ac:dyDescent="0.2">
      <c r="B100" s="666"/>
      <c r="C100" s="659"/>
      <c r="D100" s="659"/>
      <c r="E100" s="659"/>
      <c r="F100" s="659"/>
      <c r="G100" s="667"/>
    </row>
    <row r="101" spans="1:8" x14ac:dyDescent="0.2">
      <c r="B101" s="666"/>
      <c r="C101" s="659"/>
      <c r="D101" s="659"/>
      <c r="E101" s="659"/>
      <c r="F101" s="659"/>
      <c r="G101" s="667"/>
    </row>
    <row r="102" spans="1:8" x14ac:dyDescent="0.2">
      <c r="B102" s="668"/>
      <c r="C102" s="669"/>
      <c r="D102" s="669"/>
      <c r="E102" s="669"/>
      <c r="F102" s="669"/>
      <c r="G102" s="670"/>
    </row>
    <row r="103" spans="1:8" x14ac:dyDescent="0.2">
      <c r="B103" s="664"/>
      <c r="C103" s="658"/>
      <c r="D103" s="658"/>
      <c r="E103" s="658"/>
      <c r="F103" s="658"/>
      <c r="G103" s="665"/>
    </row>
    <row r="104" spans="1:8" x14ac:dyDescent="0.2">
      <c r="B104" s="666"/>
      <c r="C104" s="659"/>
      <c r="D104" s="659"/>
      <c r="E104" s="659"/>
      <c r="F104" s="659"/>
      <c r="G104" s="667"/>
    </row>
    <row r="105" spans="1:8" x14ac:dyDescent="0.2">
      <c r="B105" s="666"/>
      <c r="C105" s="659"/>
      <c r="D105" s="659"/>
      <c r="E105" s="659"/>
      <c r="F105" s="659"/>
      <c r="G105" s="667"/>
    </row>
    <row r="106" spans="1:8" x14ac:dyDescent="0.2">
      <c r="B106" s="666"/>
      <c r="C106" s="659"/>
      <c r="D106" s="659"/>
      <c r="E106" s="659"/>
      <c r="F106" s="659"/>
      <c r="G106" s="667"/>
    </row>
    <row r="107" spans="1:8" x14ac:dyDescent="0.2">
      <c r="B107" s="666"/>
      <c r="C107" s="659"/>
      <c r="D107" s="659"/>
      <c r="E107" s="659"/>
      <c r="F107" s="659"/>
      <c r="G107" s="667"/>
    </row>
    <row r="108" spans="1:8" ht="14.25" x14ac:dyDescent="0.3">
      <c r="B108" s="666"/>
      <c r="C108" s="659"/>
      <c r="D108" s="659"/>
      <c r="E108" s="659"/>
      <c r="F108" s="659"/>
      <c r="G108" s="667"/>
      <c r="H108" s="148"/>
    </row>
    <row r="109" spans="1:8" ht="14.25" x14ac:dyDescent="0.3">
      <c r="B109" s="666"/>
      <c r="C109" s="659"/>
      <c r="D109" s="659"/>
      <c r="E109" s="659"/>
      <c r="F109" s="659"/>
      <c r="G109" s="667"/>
      <c r="H109" s="148"/>
    </row>
    <row r="110" spans="1:8" ht="14.25" x14ac:dyDescent="0.3">
      <c r="B110" s="666"/>
      <c r="C110" s="659"/>
      <c r="D110" s="659"/>
      <c r="E110" s="659"/>
      <c r="F110" s="659"/>
      <c r="G110" s="667"/>
      <c r="H110" s="148"/>
    </row>
    <row r="111" spans="1:8" ht="14.25" x14ac:dyDescent="0.3">
      <c r="B111" s="666"/>
      <c r="C111" s="659"/>
      <c r="D111" s="659"/>
      <c r="E111" s="659"/>
      <c r="F111" s="659"/>
      <c r="G111" s="667"/>
      <c r="H111" s="148"/>
    </row>
    <row r="112" spans="1:8" ht="14.25" x14ac:dyDescent="0.3">
      <c r="A112" s="148"/>
      <c r="B112" s="668"/>
      <c r="C112" s="669"/>
      <c r="D112" s="669"/>
      <c r="E112" s="669"/>
      <c r="F112" s="669"/>
      <c r="G112" s="670"/>
      <c r="H112" s="148"/>
    </row>
    <row r="113" spans="1:9" ht="14.25" x14ac:dyDescent="0.3">
      <c r="A113" s="148"/>
      <c r="B113" s="149"/>
      <c r="C113" s="149"/>
      <c r="D113" s="149"/>
      <c r="E113" s="149"/>
      <c r="F113" s="149"/>
      <c r="G113" s="149"/>
      <c r="H113" s="148"/>
      <c r="I113" s="1"/>
    </row>
    <row r="114" spans="1:9" ht="14.25" x14ac:dyDescent="0.3">
      <c r="A114" s="148"/>
      <c r="B114" s="656" t="s">
        <v>3054</v>
      </c>
      <c r="C114" s="657"/>
      <c r="D114" s="154" t="s">
        <v>502</v>
      </c>
      <c r="E114" s="154" t="s">
        <v>3040</v>
      </c>
      <c r="F114" s="148"/>
      <c r="G114" s="148"/>
      <c r="H114" s="148"/>
      <c r="I114" s="148"/>
    </row>
    <row r="115" spans="1:9" ht="14.25" x14ac:dyDescent="0.3">
      <c r="A115" s="148"/>
      <c r="B115" s="660" t="s">
        <v>3042</v>
      </c>
      <c r="C115" s="661"/>
      <c r="D115" s="152" t="s">
        <v>2974</v>
      </c>
      <c r="E115" s="152">
        <v>2</v>
      </c>
      <c r="F115" s="148"/>
      <c r="G115" s="148"/>
      <c r="H115" s="148"/>
      <c r="I115" s="148"/>
    </row>
    <row r="116" spans="1:9" ht="14.25" x14ac:dyDescent="0.3">
      <c r="A116" s="148"/>
      <c r="B116" s="660" t="s">
        <v>3055</v>
      </c>
      <c r="C116" s="661"/>
      <c r="D116" s="152" t="s">
        <v>2974</v>
      </c>
      <c r="E116" s="152">
        <v>2</v>
      </c>
      <c r="F116" s="148"/>
      <c r="G116" s="148"/>
      <c r="H116" s="148"/>
      <c r="I116" s="148"/>
    </row>
    <row r="117" spans="1:9" ht="14.25" x14ac:dyDescent="0.3">
      <c r="A117" s="148"/>
      <c r="B117" s="660" t="s">
        <v>3056</v>
      </c>
      <c r="C117" s="661"/>
      <c r="D117" s="152" t="s">
        <v>2974</v>
      </c>
      <c r="E117" s="152">
        <v>3</v>
      </c>
      <c r="F117" s="148"/>
      <c r="G117" s="148"/>
      <c r="H117" s="148"/>
      <c r="I117" s="148"/>
    </row>
    <row r="118" spans="1:9" ht="14.25" x14ac:dyDescent="0.3">
      <c r="A118" s="148"/>
      <c r="B118" s="660" t="s">
        <v>3057</v>
      </c>
      <c r="C118" s="661"/>
      <c r="D118" s="152" t="s">
        <v>1815</v>
      </c>
      <c r="E118" s="152">
        <v>11.6</v>
      </c>
      <c r="F118" s="148"/>
      <c r="G118" s="148"/>
      <c r="H118" s="148"/>
      <c r="I118" s="148"/>
    </row>
    <row r="119" spans="1:9" ht="14.25" x14ac:dyDescent="0.3">
      <c r="A119" s="148"/>
      <c r="B119" s="660" t="s">
        <v>3058</v>
      </c>
      <c r="C119" s="661"/>
      <c r="D119" s="152" t="s">
        <v>2974</v>
      </c>
      <c r="E119" s="152">
        <v>2</v>
      </c>
      <c r="F119" s="148"/>
      <c r="G119" s="148"/>
      <c r="H119" s="148"/>
      <c r="I119" s="148"/>
    </row>
    <row r="120" spans="1:9" ht="14.25" x14ac:dyDescent="0.3">
      <c r="A120" s="148"/>
      <c r="B120" s="660" t="s">
        <v>3059</v>
      </c>
      <c r="C120" s="661"/>
      <c r="D120" s="152" t="s">
        <v>2974</v>
      </c>
      <c r="E120" s="152">
        <v>1</v>
      </c>
      <c r="F120" s="148"/>
      <c r="G120" s="148"/>
      <c r="H120" s="148"/>
      <c r="I120" s="148"/>
    </row>
    <row r="121" spans="1:9" ht="14.25" x14ac:dyDescent="0.3">
      <c r="A121" s="148"/>
      <c r="B121" s="660" t="s">
        <v>3060</v>
      </c>
      <c r="C121" s="661"/>
      <c r="D121" s="155" t="s">
        <v>2974</v>
      </c>
      <c r="E121" s="155">
        <v>1</v>
      </c>
      <c r="F121" s="148"/>
      <c r="G121" s="148"/>
      <c r="H121" s="148"/>
      <c r="I121" s="148"/>
    </row>
    <row r="122" spans="1:9" ht="14.25" x14ac:dyDescent="0.3">
      <c r="A122" s="148"/>
      <c r="B122" s="660" t="s">
        <v>3061</v>
      </c>
      <c r="C122" s="661"/>
      <c r="D122" s="152" t="s">
        <v>2974</v>
      </c>
      <c r="E122" s="152">
        <v>2</v>
      </c>
      <c r="F122" s="148"/>
      <c r="G122" s="148"/>
      <c r="H122" s="148"/>
      <c r="I122" s="148"/>
    </row>
    <row r="123" spans="1:9" ht="14.25" x14ac:dyDescent="0.3">
      <c r="A123" s="148"/>
      <c r="B123" s="660" t="s">
        <v>3062</v>
      </c>
      <c r="C123" s="661"/>
      <c r="D123" s="152" t="s">
        <v>2974</v>
      </c>
      <c r="E123" s="152">
        <v>1</v>
      </c>
      <c r="F123" s="148"/>
      <c r="G123" s="148"/>
      <c r="H123" s="148"/>
      <c r="I123" s="148"/>
    </row>
    <row r="124" spans="1:9" ht="14.25" x14ac:dyDescent="0.3">
      <c r="A124" s="148"/>
      <c r="B124" s="148"/>
      <c r="C124" s="148"/>
      <c r="D124" s="148"/>
      <c r="E124" s="148"/>
      <c r="F124" s="148"/>
      <c r="G124" s="148"/>
      <c r="H124" s="148"/>
    </row>
    <row r="125" spans="1:9" x14ac:dyDescent="0.2">
      <c r="A125" s="671" t="s">
        <v>3063</v>
      </c>
      <c r="B125" s="672"/>
      <c r="C125" s="672"/>
      <c r="D125" s="672"/>
      <c r="E125" s="672"/>
      <c r="F125" s="672"/>
      <c r="G125" s="672"/>
      <c r="H125" s="673"/>
    </row>
    <row r="126" spans="1:9" x14ac:dyDescent="0.2">
      <c r="A126" s="675" t="s">
        <v>3064</v>
      </c>
      <c r="B126" s="676"/>
      <c r="C126" s="679" t="s">
        <v>453</v>
      </c>
      <c r="D126" s="679" t="s">
        <v>77</v>
      </c>
      <c r="E126" s="671" t="s">
        <v>3065</v>
      </c>
      <c r="F126" s="672"/>
      <c r="G126" s="672"/>
      <c r="H126" s="673"/>
    </row>
    <row r="127" spans="1:9" x14ac:dyDescent="0.2">
      <c r="A127" s="677"/>
      <c r="B127" s="678"/>
      <c r="C127" s="680"/>
      <c r="D127" s="680"/>
      <c r="E127" s="156" t="s">
        <v>3066</v>
      </c>
      <c r="F127" s="156" t="s">
        <v>3067</v>
      </c>
      <c r="G127" s="156" t="s">
        <v>3068</v>
      </c>
      <c r="H127" s="156" t="s">
        <v>3069</v>
      </c>
    </row>
    <row r="128" spans="1:9" ht="13.5" x14ac:dyDescent="0.2">
      <c r="A128" s="354" t="s">
        <v>3070</v>
      </c>
      <c r="B128" s="674"/>
      <c r="C128" s="157">
        <f>+E128*F128</f>
        <v>3.04</v>
      </c>
      <c r="D128" s="157" t="s">
        <v>1827</v>
      </c>
      <c r="E128" s="157">
        <v>1.9</v>
      </c>
      <c r="F128" s="157">
        <v>1.6</v>
      </c>
      <c r="G128" s="157"/>
      <c r="H128" s="157"/>
    </row>
    <row r="129" spans="1:9" ht="13.5" x14ac:dyDescent="0.2">
      <c r="A129" s="354" t="s">
        <v>3071</v>
      </c>
      <c r="B129" s="674"/>
      <c r="C129" s="157">
        <f>+E129*F129*G129</f>
        <v>5.4720000000000004</v>
      </c>
      <c r="D129" s="157" t="s">
        <v>1382</v>
      </c>
      <c r="E129" s="157">
        <v>1.9</v>
      </c>
      <c r="F129" s="157">
        <v>1.6</v>
      </c>
      <c r="G129" s="157">
        <v>1.8</v>
      </c>
      <c r="H129" s="157"/>
    </row>
    <row r="130" spans="1:9" ht="13.5" x14ac:dyDescent="0.2">
      <c r="A130" s="354" t="s">
        <v>3072</v>
      </c>
      <c r="B130" s="674"/>
      <c r="C130" s="157">
        <f>+E130*F130*G130</f>
        <v>0.6080000000000001</v>
      </c>
      <c r="D130" s="157" t="s">
        <v>1382</v>
      </c>
      <c r="E130" s="157">
        <v>1.9</v>
      </c>
      <c r="F130" s="157">
        <v>1.6</v>
      </c>
      <c r="G130" s="157">
        <v>0.2</v>
      </c>
      <c r="H130" s="157"/>
    </row>
    <row r="131" spans="1:9" ht="13.5" x14ac:dyDescent="0.2">
      <c r="A131" s="354" t="s">
        <v>3073</v>
      </c>
      <c r="B131" s="674"/>
      <c r="C131" s="157">
        <f>+C129-(E131*F131*G131)-C132-C130</f>
        <v>0</v>
      </c>
      <c r="D131" s="157" t="s">
        <v>1382</v>
      </c>
      <c r="E131" s="157">
        <v>1.9</v>
      </c>
      <c r="F131" s="157">
        <v>1.6</v>
      </c>
      <c r="G131" s="157">
        <v>1.55</v>
      </c>
      <c r="H131" s="157"/>
    </row>
    <row r="132" spans="1:9" ht="13.5" x14ac:dyDescent="0.2">
      <c r="A132" s="354" t="s">
        <v>3074</v>
      </c>
      <c r="B132" s="674"/>
      <c r="C132" s="157">
        <f>+E132*F132*G132</f>
        <v>0.15200000000000002</v>
      </c>
      <c r="D132" s="157" t="s">
        <v>1382</v>
      </c>
      <c r="E132" s="157">
        <v>1.9</v>
      </c>
      <c r="F132" s="157">
        <v>1.6</v>
      </c>
      <c r="G132" s="157">
        <v>0.05</v>
      </c>
      <c r="H132" s="157"/>
    </row>
    <row r="133" spans="1:9" ht="13.5" x14ac:dyDescent="0.2">
      <c r="A133" s="354" t="s">
        <v>3075</v>
      </c>
      <c r="B133" s="674"/>
      <c r="C133" s="157">
        <v>225.92</v>
      </c>
      <c r="D133" s="157" t="s">
        <v>21</v>
      </c>
      <c r="E133" s="157"/>
      <c r="F133" s="157"/>
      <c r="G133" s="157"/>
      <c r="H133" s="157"/>
    </row>
    <row r="134" spans="1:9" ht="13.5" x14ac:dyDescent="0.2">
      <c r="A134" s="354" t="s">
        <v>3076</v>
      </c>
      <c r="B134" s="674"/>
      <c r="C134" s="157">
        <f>+E134*F134*G134</f>
        <v>0.6080000000000001</v>
      </c>
      <c r="D134" s="157" t="s">
        <v>1382</v>
      </c>
      <c r="E134" s="157">
        <v>1.9</v>
      </c>
      <c r="F134" s="157">
        <v>1.6</v>
      </c>
      <c r="G134" s="157">
        <v>0.2</v>
      </c>
      <c r="H134" s="157"/>
    </row>
    <row r="135" spans="1:9" ht="13.5" x14ac:dyDescent="0.2">
      <c r="A135" s="354" t="s">
        <v>3077</v>
      </c>
      <c r="B135" s="674"/>
      <c r="C135" s="157">
        <f>+(E135+E135+F135+F135)*G135*H135</f>
        <v>1.2960000000000003</v>
      </c>
      <c r="D135" s="157" t="s">
        <v>1382</v>
      </c>
      <c r="E135" s="157">
        <v>1.5</v>
      </c>
      <c r="F135" s="157">
        <v>1.2</v>
      </c>
      <c r="G135" s="157">
        <v>1.2</v>
      </c>
      <c r="H135" s="157">
        <v>0.2</v>
      </c>
    </row>
    <row r="136" spans="1:9" ht="13.5" x14ac:dyDescent="0.2">
      <c r="A136" s="354" t="s">
        <v>3078</v>
      </c>
      <c r="B136" s="674"/>
      <c r="C136" s="158">
        <f>+E136*F136*G136</f>
        <v>0.45599999999999996</v>
      </c>
      <c r="D136" s="158" t="s">
        <v>1382</v>
      </c>
      <c r="E136" s="158">
        <v>1.9</v>
      </c>
      <c r="F136" s="158">
        <v>1.6</v>
      </c>
      <c r="G136" s="158">
        <v>0.15</v>
      </c>
      <c r="H136" s="158"/>
    </row>
    <row r="137" spans="1:9" ht="13.5" x14ac:dyDescent="0.2">
      <c r="A137" s="354" t="s">
        <v>3079</v>
      </c>
      <c r="B137" s="674"/>
      <c r="C137" s="157">
        <f>+ROUND(G137/0.3,0)</f>
        <v>4</v>
      </c>
      <c r="D137" s="157" t="s">
        <v>2974</v>
      </c>
      <c r="E137" s="157"/>
      <c r="F137" s="157"/>
      <c r="G137" s="157">
        <v>1.2</v>
      </c>
      <c r="H137" s="157"/>
    </row>
    <row r="138" spans="1:9" ht="13.5" x14ac:dyDescent="0.2">
      <c r="A138" s="354" t="s">
        <v>3080</v>
      </c>
      <c r="B138" s="674"/>
      <c r="C138" s="157">
        <v>1</v>
      </c>
      <c r="D138" s="157" t="s">
        <v>2974</v>
      </c>
      <c r="E138" s="157"/>
      <c r="F138" s="157"/>
      <c r="G138" s="157"/>
      <c r="H138" s="157"/>
    </row>
    <row r="139" spans="1:9" ht="13.5" x14ac:dyDescent="0.25">
      <c r="A139" s="140"/>
      <c r="B139" s="140"/>
      <c r="C139" s="140"/>
      <c r="D139" s="140"/>
      <c r="E139" s="140"/>
      <c r="F139" s="140"/>
      <c r="G139" s="140"/>
      <c r="H139" s="140"/>
    </row>
    <row r="141" spans="1:9" ht="14.25" thickBot="1" x14ac:dyDescent="0.3">
      <c r="F141" s="18"/>
      <c r="G141" s="18"/>
      <c r="H141" s="18"/>
      <c r="I141" s="1"/>
    </row>
    <row r="142" spans="1:9" ht="14.25" thickTop="1" x14ac:dyDescent="0.2">
      <c r="F142" s="302" t="s">
        <v>71</v>
      </c>
      <c r="G142" s="505"/>
      <c r="H142" s="505"/>
      <c r="I142" s="1"/>
    </row>
    <row r="143" spans="1:9" ht="13.5" x14ac:dyDescent="0.25">
      <c r="F143" s="503" t="s">
        <v>72</v>
      </c>
      <c r="G143" s="285"/>
      <c r="H143" s="285"/>
      <c r="I143" s="1"/>
    </row>
    <row r="144" spans="1:9" ht="13.5" x14ac:dyDescent="0.25">
      <c r="F144" s="503" t="s">
        <v>73</v>
      </c>
      <c r="G144" s="285"/>
      <c r="H144" s="285"/>
      <c r="I144" s="1"/>
    </row>
  </sheetData>
  <mergeCells count="74">
    <mergeCell ref="F144:H144"/>
    <mergeCell ref="B119:C119"/>
    <mergeCell ref="B120:C120"/>
    <mergeCell ref="B121:C121"/>
    <mergeCell ref="B122:C122"/>
    <mergeCell ref="B123:C123"/>
    <mergeCell ref="A125:H125"/>
    <mergeCell ref="A126:B127"/>
    <mergeCell ref="C126:C127"/>
    <mergeCell ref="D126:D127"/>
    <mergeCell ref="F143:H143"/>
    <mergeCell ref="A137:B137"/>
    <mergeCell ref="A138:B138"/>
    <mergeCell ref="A131:B131"/>
    <mergeCell ref="A132:B132"/>
    <mergeCell ref="A133:B133"/>
    <mergeCell ref="B116:C116"/>
    <mergeCell ref="B117:C117"/>
    <mergeCell ref="B118:C118"/>
    <mergeCell ref="F142:H142"/>
    <mergeCell ref="E126:H126"/>
    <mergeCell ref="A128:B128"/>
    <mergeCell ref="A129:B129"/>
    <mergeCell ref="A130:B130"/>
    <mergeCell ref="A134:B134"/>
    <mergeCell ref="A135:B135"/>
    <mergeCell ref="A136:B136"/>
    <mergeCell ref="C86:D86"/>
    <mergeCell ref="A89:H90"/>
    <mergeCell ref="B92:G102"/>
    <mergeCell ref="B103:G112"/>
    <mergeCell ref="B115:C115"/>
    <mergeCell ref="A28:B28"/>
    <mergeCell ref="B114:C114"/>
    <mergeCell ref="A60:H61"/>
    <mergeCell ref="B62:G72"/>
    <mergeCell ref="C81:D81"/>
    <mergeCell ref="C82:D82"/>
    <mergeCell ref="C83:D83"/>
    <mergeCell ref="C84:D84"/>
    <mergeCell ref="C80:D80"/>
    <mergeCell ref="C79:D79"/>
    <mergeCell ref="C78:D78"/>
    <mergeCell ref="C77:D77"/>
    <mergeCell ref="C76:D76"/>
    <mergeCell ref="C75:D75"/>
    <mergeCell ref="C74:D74"/>
    <mergeCell ref="C85:D85"/>
    <mergeCell ref="A23:B23"/>
    <mergeCell ref="A24:B24"/>
    <mergeCell ref="A25:B25"/>
    <mergeCell ref="A26:B26"/>
    <mergeCell ref="A27:B27"/>
    <mergeCell ref="A18:B18"/>
    <mergeCell ref="A19:B19"/>
    <mergeCell ref="A20:B20"/>
    <mergeCell ref="A21:B21"/>
    <mergeCell ref="A22:B22"/>
    <mergeCell ref="A32:H33"/>
    <mergeCell ref="A16:B16"/>
    <mergeCell ref="A1:H2"/>
    <mergeCell ref="C4:C5"/>
    <mergeCell ref="D4:D5"/>
    <mergeCell ref="A4:B5"/>
    <mergeCell ref="A6:B6"/>
    <mergeCell ref="A7:B7"/>
    <mergeCell ref="A15:B15"/>
    <mergeCell ref="A12:B12"/>
    <mergeCell ref="A8:B8"/>
    <mergeCell ref="A9:B9"/>
    <mergeCell ref="A10:B10"/>
    <mergeCell ref="A11:B11"/>
    <mergeCell ref="A13:B13"/>
    <mergeCell ref="A29:B29"/>
  </mergeCells>
  <conditionalFormatting sqref="C125:C126 C136:C138 E125:E126 E136:E138 G125:G126 G136:G138">
    <cfRule type="cellIs" dxfId="2" priority="1" operator="lessThan">
      <formula>0.1</formula>
    </cfRule>
  </conditionalFormatting>
  <conditionalFormatting sqref="C127:C135 E127:E135 G127:G135">
    <cfRule type="cellIs" dxfId="1" priority="2" operator="lessThan">
      <formula>0.1</formula>
    </cfRule>
  </conditionalFormatting>
  <conditionalFormatting sqref="C6:D29">
    <cfRule type="cellIs" dxfId="0" priority="3" operator="greaterThan">
      <formula>0</formula>
    </cfRule>
  </conditionalFormatting>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4B6A8-8A35-4856-BB92-C5D9611EABA9}">
  <dimension ref="A1:H10"/>
  <sheetViews>
    <sheetView view="pageBreakPreview" zoomScale="60" zoomScaleNormal="100" workbookViewId="0">
      <selection activeCell="V19" sqref="V19"/>
    </sheetView>
  </sheetViews>
  <sheetFormatPr baseColWidth="10" defaultRowHeight="12.75" x14ac:dyDescent="0.2"/>
  <sheetData>
    <row r="1" spans="1:8" x14ac:dyDescent="0.2">
      <c r="A1" s="545" t="s">
        <v>3081</v>
      </c>
      <c r="B1" s="315"/>
      <c r="C1" s="315"/>
      <c r="D1" s="315"/>
      <c r="E1" s="315"/>
      <c r="F1" s="315"/>
      <c r="G1" s="315"/>
      <c r="H1" s="316"/>
    </row>
    <row r="2" spans="1:8" x14ac:dyDescent="0.2">
      <c r="A2" s="501"/>
      <c r="B2" s="318"/>
      <c r="C2" s="318"/>
      <c r="D2" s="318"/>
      <c r="E2" s="318"/>
      <c r="F2" s="318"/>
      <c r="G2" s="318"/>
      <c r="H2" s="319"/>
    </row>
    <row r="3" spans="1:8" ht="16.5" x14ac:dyDescent="0.3">
      <c r="A3" s="32"/>
      <c r="B3" s="32"/>
      <c r="C3" s="32"/>
      <c r="D3" s="32"/>
      <c r="E3" s="32"/>
      <c r="F3" s="32"/>
      <c r="G3" s="122"/>
      <c r="H3" s="122"/>
    </row>
    <row r="4" spans="1:8" x14ac:dyDescent="0.2">
      <c r="A4" s="1"/>
      <c r="B4" s="1"/>
      <c r="C4" s="487" t="s">
        <v>2796</v>
      </c>
      <c r="D4" s="276"/>
      <c r="E4" s="488" t="s">
        <v>445</v>
      </c>
      <c r="F4" s="325" t="s">
        <v>2579</v>
      </c>
      <c r="G4" s="1"/>
      <c r="H4" s="1"/>
    </row>
    <row r="5" spans="1:8" x14ac:dyDescent="0.2">
      <c r="A5" s="1"/>
      <c r="B5" s="1"/>
      <c r="C5" s="277"/>
      <c r="D5" s="279"/>
      <c r="E5" s="281"/>
      <c r="F5" s="281"/>
      <c r="G5" s="1"/>
      <c r="H5" s="1"/>
    </row>
    <row r="6" spans="1:8" ht="13.5" x14ac:dyDescent="0.2">
      <c r="A6" s="1"/>
      <c r="B6" s="1"/>
      <c r="C6" s="681" t="s">
        <v>3082</v>
      </c>
      <c r="D6" s="682"/>
      <c r="E6" s="126">
        <f>SUM(F6:F6)</f>
        <v>0</v>
      </c>
      <c r="F6" s="127">
        <v>0</v>
      </c>
      <c r="G6" s="1"/>
      <c r="H6" s="1"/>
    </row>
    <row r="7" spans="1:8" ht="13.5" x14ac:dyDescent="0.2">
      <c r="A7" s="1"/>
      <c r="B7" s="1"/>
      <c r="C7" s="681" t="s">
        <v>3083</v>
      </c>
      <c r="D7" s="682"/>
      <c r="E7" s="126">
        <f>SUM(F7:F7)</f>
        <v>0</v>
      </c>
      <c r="F7" s="127">
        <v>0</v>
      </c>
      <c r="G7" s="1"/>
      <c r="H7" s="1"/>
    </row>
    <row r="8" spans="1:8" ht="13.5" x14ac:dyDescent="0.2">
      <c r="A8" s="1"/>
      <c r="B8" s="1"/>
      <c r="C8" s="681" t="s">
        <v>3084</v>
      </c>
      <c r="D8" s="682"/>
      <c r="E8" s="126">
        <f>SUM(F8:F8)</f>
        <v>0</v>
      </c>
      <c r="F8" s="127">
        <v>0</v>
      </c>
      <c r="G8" s="1"/>
      <c r="H8" s="1"/>
    </row>
    <row r="9" spans="1:8" ht="13.5" x14ac:dyDescent="0.2">
      <c r="A9" s="1"/>
      <c r="B9" s="1"/>
      <c r="C9" s="639" t="s">
        <v>3085</v>
      </c>
      <c r="D9" s="273"/>
      <c r="E9" s="126">
        <f>SUM(F9:F9)</f>
        <v>35</v>
      </c>
      <c r="F9" s="127">
        <v>35</v>
      </c>
      <c r="G9" s="1"/>
      <c r="H9" s="1"/>
    </row>
    <row r="10" spans="1:8" ht="13.5" x14ac:dyDescent="0.2">
      <c r="A10" s="128"/>
      <c r="B10" s="159"/>
      <c r="C10" s="129"/>
      <c r="D10" s="48"/>
      <c r="E10" s="48"/>
      <c r="F10" s="48"/>
      <c r="G10" s="1"/>
      <c r="H10" s="1"/>
    </row>
  </sheetData>
  <mergeCells count="8">
    <mergeCell ref="C6:D6"/>
    <mergeCell ref="C7:D7"/>
    <mergeCell ref="C8:D8"/>
    <mergeCell ref="C9:D9"/>
    <mergeCell ref="A1:H2"/>
    <mergeCell ref="E4:E5"/>
    <mergeCell ref="F4:F5"/>
    <mergeCell ref="C4:D5"/>
  </mergeCells>
  <pageMargins left="0.7" right="0.7" top="0.75" bottom="0.75" header="0.3" footer="0.3"/>
  <pageSetup scale="9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7FC59-E74F-49C2-88F9-B46918365312}">
  <dimension ref="A1:K52"/>
  <sheetViews>
    <sheetView view="pageBreakPreview" zoomScale="85" zoomScaleNormal="100" zoomScaleSheetLayoutView="85" workbookViewId="0">
      <selection activeCell="P15" sqref="P15"/>
    </sheetView>
  </sheetViews>
  <sheetFormatPr baseColWidth="10" defaultRowHeight="12.75" x14ac:dyDescent="0.2"/>
  <sheetData>
    <row r="1" spans="1:11" x14ac:dyDescent="0.2">
      <c r="A1" s="683" t="s">
        <v>3086</v>
      </c>
      <c r="B1" s="315"/>
      <c r="C1" s="315"/>
      <c r="D1" s="315"/>
      <c r="E1" s="315"/>
      <c r="F1" s="315"/>
      <c r="G1" s="315"/>
      <c r="H1" s="315"/>
      <c r="I1" s="315"/>
      <c r="J1" s="315"/>
      <c r="K1" s="315"/>
    </row>
    <row r="2" spans="1:11" x14ac:dyDescent="0.2">
      <c r="A2" s="317"/>
      <c r="B2" s="318"/>
      <c r="C2" s="318"/>
      <c r="D2" s="318"/>
      <c r="E2" s="318"/>
      <c r="F2" s="318"/>
      <c r="G2" s="318"/>
      <c r="H2" s="318"/>
      <c r="I2" s="318"/>
      <c r="J2" s="318"/>
      <c r="K2" s="318"/>
    </row>
    <row r="3" spans="1:11" ht="13.5" x14ac:dyDescent="0.25">
      <c r="A3" s="32"/>
      <c r="B3" s="4"/>
      <c r="C3" s="4"/>
      <c r="D3" s="4"/>
      <c r="E3" s="4"/>
      <c r="F3" s="4"/>
      <c r="G3" s="4"/>
      <c r="H3" s="4"/>
      <c r="I3" s="4"/>
      <c r="J3" s="4"/>
      <c r="K3" s="4"/>
    </row>
    <row r="4" spans="1:11" x14ac:dyDescent="0.2">
      <c r="A4" s="684" t="s">
        <v>76</v>
      </c>
      <c r="B4" s="315"/>
      <c r="C4" s="315"/>
      <c r="D4" s="315"/>
      <c r="E4" s="315"/>
      <c r="F4" s="315"/>
      <c r="G4" s="316"/>
      <c r="H4" s="685" t="s">
        <v>77</v>
      </c>
      <c r="I4" s="488" t="s">
        <v>445</v>
      </c>
      <c r="J4" s="287" t="s">
        <v>2579</v>
      </c>
      <c r="K4" s="273"/>
    </row>
    <row r="5" spans="1:11" x14ac:dyDescent="0.2">
      <c r="A5" s="330"/>
      <c r="B5" s="278"/>
      <c r="C5" s="278"/>
      <c r="D5" s="278"/>
      <c r="E5" s="278"/>
      <c r="F5" s="278"/>
      <c r="G5" s="455"/>
      <c r="H5" s="686"/>
      <c r="I5" s="281"/>
      <c r="J5" s="16" t="s">
        <v>3087</v>
      </c>
      <c r="K5" s="16" t="s">
        <v>3088</v>
      </c>
    </row>
    <row r="6" spans="1:11" ht="13.5" x14ac:dyDescent="0.2">
      <c r="A6" s="160" t="s">
        <v>3089</v>
      </c>
      <c r="B6" s="365" t="s">
        <v>3090</v>
      </c>
      <c r="C6" s="271"/>
      <c r="D6" s="271"/>
      <c r="E6" s="271"/>
      <c r="F6" s="271"/>
      <c r="G6" s="273"/>
      <c r="H6" s="161" t="s">
        <v>2312</v>
      </c>
      <c r="I6" s="162">
        <f t="shared" ref="I6:I45" si="0">SUM(J6:K6)</f>
        <v>2</v>
      </c>
      <c r="J6" s="29">
        <v>1</v>
      </c>
      <c r="K6" s="29">
        <v>1</v>
      </c>
    </row>
    <row r="7" spans="1:11" ht="13.5" x14ac:dyDescent="0.2">
      <c r="A7" s="160" t="s">
        <v>3091</v>
      </c>
      <c r="B7" s="365" t="s">
        <v>3092</v>
      </c>
      <c r="C7" s="271"/>
      <c r="D7" s="271"/>
      <c r="E7" s="271"/>
      <c r="F7" s="271"/>
      <c r="G7" s="273"/>
      <c r="H7" s="161" t="s">
        <v>2312</v>
      </c>
      <c r="I7" s="162">
        <f t="shared" si="0"/>
        <v>0</v>
      </c>
      <c r="J7" s="29"/>
      <c r="K7" s="29"/>
    </row>
    <row r="8" spans="1:11" ht="13.5" x14ac:dyDescent="0.2">
      <c r="A8" s="160" t="s">
        <v>3093</v>
      </c>
      <c r="B8" s="365" t="s">
        <v>3094</v>
      </c>
      <c r="C8" s="271"/>
      <c r="D8" s="271"/>
      <c r="E8" s="271"/>
      <c r="F8" s="271"/>
      <c r="G8" s="273"/>
      <c r="H8" s="161" t="s">
        <v>2312</v>
      </c>
      <c r="I8" s="162">
        <f t="shared" si="0"/>
        <v>6</v>
      </c>
      <c r="J8" s="29">
        <v>6</v>
      </c>
      <c r="K8" s="29"/>
    </row>
    <row r="9" spans="1:11" ht="13.5" x14ac:dyDescent="0.2">
      <c r="A9" s="160" t="s">
        <v>3095</v>
      </c>
      <c r="B9" s="365" t="s">
        <v>3096</v>
      </c>
      <c r="C9" s="271"/>
      <c r="D9" s="271"/>
      <c r="E9" s="271"/>
      <c r="F9" s="271"/>
      <c r="G9" s="273"/>
      <c r="H9" s="161" t="s">
        <v>2312</v>
      </c>
      <c r="I9" s="162">
        <f t="shared" si="0"/>
        <v>6</v>
      </c>
      <c r="J9" s="29"/>
      <c r="K9" s="29">
        <v>6</v>
      </c>
    </row>
    <row r="10" spans="1:11" ht="13.5" x14ac:dyDescent="0.2">
      <c r="A10" s="160" t="s">
        <v>3097</v>
      </c>
      <c r="B10" s="365" t="s">
        <v>3098</v>
      </c>
      <c r="C10" s="271"/>
      <c r="D10" s="271"/>
      <c r="E10" s="271"/>
      <c r="F10" s="271"/>
      <c r="G10" s="273"/>
      <c r="H10" s="161" t="s">
        <v>2312</v>
      </c>
      <c r="I10" s="162">
        <f t="shared" si="0"/>
        <v>2</v>
      </c>
      <c r="J10" s="29">
        <v>1</v>
      </c>
      <c r="K10" s="29">
        <v>1</v>
      </c>
    </row>
    <row r="11" spans="1:11" ht="13.5" x14ac:dyDescent="0.2">
      <c r="A11" s="160" t="s">
        <v>3099</v>
      </c>
      <c r="B11" s="365" t="s">
        <v>3100</v>
      </c>
      <c r="C11" s="271"/>
      <c r="D11" s="271"/>
      <c r="E11" s="271"/>
      <c r="F11" s="271"/>
      <c r="G11" s="273"/>
      <c r="H11" s="161" t="s">
        <v>2312</v>
      </c>
      <c r="I11" s="162">
        <f t="shared" si="0"/>
        <v>0</v>
      </c>
      <c r="J11" s="29"/>
      <c r="K11" s="29"/>
    </row>
    <row r="12" spans="1:11" ht="13.5" x14ac:dyDescent="0.2">
      <c r="A12" s="160" t="s">
        <v>3101</v>
      </c>
      <c r="B12" s="365" t="s">
        <v>3102</v>
      </c>
      <c r="C12" s="271"/>
      <c r="D12" s="271"/>
      <c r="E12" s="271"/>
      <c r="F12" s="271"/>
      <c r="G12" s="273"/>
      <c r="H12" s="161" t="s">
        <v>2312</v>
      </c>
      <c r="I12" s="162">
        <f t="shared" si="0"/>
        <v>2</v>
      </c>
      <c r="J12" s="29">
        <v>1</v>
      </c>
      <c r="K12" s="29">
        <v>1</v>
      </c>
    </row>
    <row r="13" spans="1:11" ht="13.5" x14ac:dyDescent="0.2">
      <c r="A13" s="160" t="s">
        <v>3103</v>
      </c>
      <c r="B13" s="365" t="s">
        <v>3104</v>
      </c>
      <c r="C13" s="271"/>
      <c r="D13" s="271"/>
      <c r="E13" s="271"/>
      <c r="F13" s="271"/>
      <c r="G13" s="273"/>
      <c r="H13" s="161" t="s">
        <v>2312</v>
      </c>
      <c r="I13" s="162">
        <f t="shared" si="0"/>
        <v>0</v>
      </c>
      <c r="J13" s="29"/>
      <c r="K13" s="29"/>
    </row>
    <row r="14" spans="1:11" ht="13.5" x14ac:dyDescent="0.2">
      <c r="A14" s="160" t="s">
        <v>3105</v>
      </c>
      <c r="B14" s="365" t="s">
        <v>3106</v>
      </c>
      <c r="C14" s="271"/>
      <c r="D14" s="271"/>
      <c r="E14" s="271"/>
      <c r="F14" s="271"/>
      <c r="G14" s="273"/>
      <c r="H14" s="161" t="s">
        <v>2312</v>
      </c>
      <c r="I14" s="162">
        <f t="shared" si="0"/>
        <v>1</v>
      </c>
      <c r="J14" s="29">
        <v>1</v>
      </c>
      <c r="K14" s="29"/>
    </row>
    <row r="15" spans="1:11" ht="13.5" x14ac:dyDescent="0.2">
      <c r="A15" s="160" t="s">
        <v>3107</v>
      </c>
      <c r="B15" s="365" t="s">
        <v>3108</v>
      </c>
      <c r="C15" s="271"/>
      <c r="D15" s="271"/>
      <c r="E15" s="271"/>
      <c r="F15" s="271"/>
      <c r="G15" s="273"/>
      <c r="H15" s="161" t="s">
        <v>2312</v>
      </c>
      <c r="I15" s="162">
        <f t="shared" si="0"/>
        <v>2</v>
      </c>
      <c r="J15" s="29"/>
      <c r="K15" s="29">
        <v>2</v>
      </c>
    </row>
    <row r="16" spans="1:11" ht="13.5" x14ac:dyDescent="0.2">
      <c r="A16" s="160" t="s">
        <v>3109</v>
      </c>
      <c r="B16" s="365" t="s">
        <v>3110</v>
      </c>
      <c r="C16" s="271"/>
      <c r="D16" s="271"/>
      <c r="E16" s="271"/>
      <c r="F16" s="271"/>
      <c r="G16" s="273"/>
      <c r="H16" s="161" t="s">
        <v>2312</v>
      </c>
      <c r="I16" s="162">
        <f t="shared" si="0"/>
        <v>1</v>
      </c>
      <c r="J16" s="29"/>
      <c r="K16" s="29">
        <v>1</v>
      </c>
    </row>
    <row r="17" spans="1:11" ht="13.5" x14ac:dyDescent="0.2">
      <c r="A17" s="160" t="s">
        <v>3111</v>
      </c>
      <c r="B17" s="365" t="s">
        <v>3112</v>
      </c>
      <c r="C17" s="271"/>
      <c r="D17" s="271"/>
      <c r="E17" s="271"/>
      <c r="F17" s="271"/>
      <c r="G17" s="273"/>
      <c r="H17" s="161" t="s">
        <v>2312</v>
      </c>
      <c r="I17" s="162">
        <f t="shared" si="0"/>
        <v>4</v>
      </c>
      <c r="J17" s="29">
        <v>1</v>
      </c>
      <c r="K17" s="29">
        <v>3</v>
      </c>
    </row>
    <row r="18" spans="1:11" ht="13.5" x14ac:dyDescent="0.2">
      <c r="A18" s="160" t="s">
        <v>3113</v>
      </c>
      <c r="B18" s="365" t="s">
        <v>3114</v>
      </c>
      <c r="C18" s="271"/>
      <c r="D18" s="271"/>
      <c r="E18" s="271"/>
      <c r="F18" s="271"/>
      <c r="G18" s="273"/>
      <c r="H18" s="161" t="s">
        <v>2312</v>
      </c>
      <c r="I18" s="162">
        <f t="shared" si="0"/>
        <v>4</v>
      </c>
      <c r="J18" s="29">
        <v>2</v>
      </c>
      <c r="K18" s="29">
        <v>2</v>
      </c>
    </row>
    <row r="19" spans="1:11" ht="13.5" x14ac:dyDescent="0.2">
      <c r="A19" s="160" t="s">
        <v>3115</v>
      </c>
      <c r="B19" s="365" t="s">
        <v>3116</v>
      </c>
      <c r="C19" s="271"/>
      <c r="D19" s="271"/>
      <c r="E19" s="271"/>
      <c r="F19" s="271"/>
      <c r="G19" s="273"/>
      <c r="H19" s="163" t="s">
        <v>19</v>
      </c>
      <c r="I19" s="162">
        <f t="shared" si="0"/>
        <v>18</v>
      </c>
      <c r="J19" s="29">
        <v>9</v>
      </c>
      <c r="K19" s="29">
        <v>9</v>
      </c>
    </row>
    <row r="20" spans="1:11" ht="13.5" x14ac:dyDescent="0.2">
      <c r="A20" s="160" t="s">
        <v>3117</v>
      </c>
      <c r="B20" s="365" t="s">
        <v>3118</v>
      </c>
      <c r="C20" s="271"/>
      <c r="D20" s="271"/>
      <c r="E20" s="271"/>
      <c r="F20" s="271"/>
      <c r="G20" s="273"/>
      <c r="H20" s="161" t="s">
        <v>19</v>
      </c>
      <c r="I20" s="162">
        <f t="shared" si="0"/>
        <v>40</v>
      </c>
      <c r="J20" s="29"/>
      <c r="K20" s="29">
        <v>40</v>
      </c>
    </row>
    <row r="21" spans="1:11" ht="13.5" x14ac:dyDescent="0.2">
      <c r="A21" s="160" t="s">
        <v>3119</v>
      </c>
      <c r="B21" s="365" t="s">
        <v>3120</v>
      </c>
      <c r="C21" s="271"/>
      <c r="D21" s="271"/>
      <c r="E21" s="271"/>
      <c r="F21" s="271"/>
      <c r="G21" s="273"/>
      <c r="H21" s="164" t="s">
        <v>2312</v>
      </c>
      <c r="I21" s="162">
        <f t="shared" si="0"/>
        <v>0</v>
      </c>
      <c r="J21" s="29"/>
      <c r="K21" s="29"/>
    </row>
    <row r="22" spans="1:11" ht="13.5" x14ac:dyDescent="0.2">
      <c r="A22" s="160" t="s">
        <v>3121</v>
      </c>
      <c r="B22" s="365" t="s">
        <v>3122</v>
      </c>
      <c r="C22" s="271"/>
      <c r="D22" s="271"/>
      <c r="E22" s="271"/>
      <c r="F22" s="271"/>
      <c r="G22" s="273"/>
      <c r="H22" s="164" t="s">
        <v>2312</v>
      </c>
      <c r="I22" s="162">
        <f t="shared" si="0"/>
        <v>6</v>
      </c>
      <c r="J22" s="29">
        <v>3</v>
      </c>
      <c r="K22" s="29">
        <v>3</v>
      </c>
    </row>
    <row r="23" spans="1:11" ht="13.5" x14ac:dyDescent="0.2">
      <c r="A23" s="160" t="s">
        <v>3123</v>
      </c>
      <c r="B23" s="365" t="s">
        <v>3124</v>
      </c>
      <c r="C23" s="271"/>
      <c r="D23" s="271"/>
      <c r="E23" s="271"/>
      <c r="F23" s="271"/>
      <c r="G23" s="273"/>
      <c r="H23" s="29" t="s">
        <v>2312</v>
      </c>
      <c r="I23" s="162">
        <f t="shared" si="0"/>
        <v>1</v>
      </c>
      <c r="J23" s="29"/>
      <c r="K23" s="29">
        <v>1</v>
      </c>
    </row>
    <row r="24" spans="1:11" ht="13.5" x14ac:dyDescent="0.2">
      <c r="A24" s="160" t="s">
        <v>3125</v>
      </c>
      <c r="B24" s="365" t="s">
        <v>3126</v>
      </c>
      <c r="C24" s="271"/>
      <c r="D24" s="271"/>
      <c r="E24" s="271"/>
      <c r="F24" s="271"/>
      <c r="G24" s="273"/>
      <c r="H24" s="29" t="s">
        <v>2312</v>
      </c>
      <c r="I24" s="162">
        <f t="shared" si="0"/>
        <v>0</v>
      </c>
      <c r="J24" s="29"/>
      <c r="K24" s="29"/>
    </row>
    <row r="25" spans="1:11" ht="13.5" x14ac:dyDescent="0.2">
      <c r="A25" s="160" t="s">
        <v>3127</v>
      </c>
      <c r="B25" s="365" t="s">
        <v>3128</v>
      </c>
      <c r="C25" s="271"/>
      <c r="D25" s="271"/>
      <c r="E25" s="271"/>
      <c r="F25" s="271"/>
      <c r="G25" s="273"/>
      <c r="H25" s="165" t="s">
        <v>2312</v>
      </c>
      <c r="I25" s="162">
        <f t="shared" si="0"/>
        <v>3</v>
      </c>
      <c r="J25" s="29">
        <v>1</v>
      </c>
      <c r="K25" s="29">
        <v>2</v>
      </c>
    </row>
    <row r="26" spans="1:11" ht="13.5" x14ac:dyDescent="0.2">
      <c r="A26" s="160" t="s">
        <v>3129</v>
      </c>
      <c r="B26" s="365" t="s">
        <v>3130</v>
      </c>
      <c r="C26" s="271"/>
      <c r="D26" s="271"/>
      <c r="E26" s="271"/>
      <c r="F26" s="271"/>
      <c r="G26" s="273"/>
      <c r="H26" s="29" t="s">
        <v>2312</v>
      </c>
      <c r="I26" s="162">
        <f t="shared" si="0"/>
        <v>0</v>
      </c>
      <c r="J26" s="29"/>
      <c r="K26" s="29"/>
    </row>
    <row r="27" spans="1:11" ht="13.5" x14ac:dyDescent="0.2">
      <c r="A27" s="160" t="s">
        <v>3131</v>
      </c>
      <c r="B27" s="365" t="s">
        <v>3132</v>
      </c>
      <c r="C27" s="271"/>
      <c r="D27" s="271"/>
      <c r="E27" s="271"/>
      <c r="F27" s="271"/>
      <c r="G27" s="273"/>
      <c r="H27" s="29" t="s">
        <v>2312</v>
      </c>
      <c r="I27" s="162">
        <f t="shared" si="0"/>
        <v>1</v>
      </c>
      <c r="J27" s="29">
        <v>1</v>
      </c>
      <c r="K27" s="29"/>
    </row>
    <row r="28" spans="1:11" ht="13.5" x14ac:dyDescent="0.2">
      <c r="A28" s="160" t="s">
        <v>3133</v>
      </c>
      <c r="B28" s="365" t="s">
        <v>3134</v>
      </c>
      <c r="C28" s="271"/>
      <c r="D28" s="271"/>
      <c r="E28" s="271"/>
      <c r="F28" s="271"/>
      <c r="G28" s="273"/>
      <c r="H28" s="29" t="s">
        <v>2312</v>
      </c>
      <c r="I28" s="162">
        <f t="shared" si="0"/>
        <v>0</v>
      </c>
      <c r="J28" s="29"/>
      <c r="K28" s="29"/>
    </row>
    <row r="29" spans="1:11" ht="13.5" x14ac:dyDescent="0.2">
      <c r="A29" s="160" t="s">
        <v>3135</v>
      </c>
      <c r="B29" s="365" t="s">
        <v>3136</v>
      </c>
      <c r="C29" s="271"/>
      <c r="D29" s="271"/>
      <c r="E29" s="271"/>
      <c r="F29" s="271"/>
      <c r="G29" s="273"/>
      <c r="H29" s="161" t="s">
        <v>2312</v>
      </c>
      <c r="I29" s="162">
        <f t="shared" si="0"/>
        <v>4</v>
      </c>
      <c r="J29" s="29">
        <v>2</v>
      </c>
      <c r="K29" s="29">
        <v>2</v>
      </c>
    </row>
    <row r="30" spans="1:11" ht="13.5" x14ac:dyDescent="0.2">
      <c r="A30" s="160" t="s">
        <v>3137</v>
      </c>
      <c r="B30" s="365" t="s">
        <v>3138</v>
      </c>
      <c r="C30" s="271"/>
      <c r="D30" s="271"/>
      <c r="E30" s="271"/>
      <c r="F30" s="271"/>
      <c r="G30" s="273"/>
      <c r="H30" s="161" t="s">
        <v>2312</v>
      </c>
      <c r="I30" s="162">
        <f t="shared" si="0"/>
        <v>0</v>
      </c>
      <c r="J30" s="29"/>
      <c r="K30" s="29"/>
    </row>
    <row r="31" spans="1:11" ht="13.5" x14ac:dyDescent="0.2">
      <c r="A31" s="160" t="s">
        <v>3139</v>
      </c>
      <c r="B31" s="365" t="s">
        <v>3140</v>
      </c>
      <c r="C31" s="271"/>
      <c r="D31" s="271"/>
      <c r="E31" s="271"/>
      <c r="F31" s="271"/>
      <c r="G31" s="273"/>
      <c r="H31" s="161" t="s">
        <v>2312</v>
      </c>
      <c r="I31" s="162">
        <f t="shared" si="0"/>
        <v>0</v>
      </c>
      <c r="J31" s="29"/>
      <c r="K31" s="29"/>
    </row>
    <row r="32" spans="1:11" ht="13.5" x14ac:dyDescent="0.2">
      <c r="A32" s="160" t="s">
        <v>3141</v>
      </c>
      <c r="B32" s="365" t="s">
        <v>3142</v>
      </c>
      <c r="C32" s="271"/>
      <c r="D32" s="271"/>
      <c r="E32" s="271"/>
      <c r="F32" s="271"/>
      <c r="G32" s="273"/>
      <c r="H32" s="161" t="s">
        <v>2312</v>
      </c>
      <c r="I32" s="162">
        <f t="shared" si="0"/>
        <v>0</v>
      </c>
      <c r="J32" s="29"/>
      <c r="K32" s="29"/>
    </row>
    <row r="33" spans="1:11" ht="13.5" x14ac:dyDescent="0.2">
      <c r="A33" s="160" t="s">
        <v>3143</v>
      </c>
      <c r="B33" s="365" t="s">
        <v>3144</v>
      </c>
      <c r="C33" s="271"/>
      <c r="D33" s="271"/>
      <c r="E33" s="271"/>
      <c r="F33" s="271"/>
      <c r="G33" s="273"/>
      <c r="H33" s="161" t="s">
        <v>2312</v>
      </c>
      <c r="I33" s="162">
        <f t="shared" si="0"/>
        <v>0</v>
      </c>
      <c r="J33" s="29"/>
      <c r="K33" s="29"/>
    </row>
    <row r="34" spans="1:11" ht="13.5" x14ac:dyDescent="0.2">
      <c r="A34" s="160" t="s">
        <v>3145</v>
      </c>
      <c r="B34" s="365" t="s">
        <v>3146</v>
      </c>
      <c r="C34" s="271"/>
      <c r="D34" s="271"/>
      <c r="E34" s="271"/>
      <c r="F34" s="271"/>
      <c r="G34" s="273"/>
      <c r="H34" s="161" t="s">
        <v>2312</v>
      </c>
      <c r="I34" s="162">
        <f t="shared" si="0"/>
        <v>0</v>
      </c>
      <c r="J34" s="29"/>
      <c r="K34" s="29"/>
    </row>
    <row r="35" spans="1:11" ht="13.5" x14ac:dyDescent="0.2">
      <c r="A35" s="160" t="s">
        <v>3147</v>
      </c>
      <c r="B35" s="365" t="s">
        <v>3148</v>
      </c>
      <c r="C35" s="271"/>
      <c r="D35" s="271"/>
      <c r="E35" s="271"/>
      <c r="F35" s="271"/>
      <c r="G35" s="273"/>
      <c r="H35" s="161" t="s">
        <v>2312</v>
      </c>
      <c r="I35" s="162">
        <f t="shared" si="0"/>
        <v>1</v>
      </c>
      <c r="J35" s="29"/>
      <c r="K35" s="29">
        <v>1</v>
      </c>
    </row>
    <row r="36" spans="1:11" ht="13.5" x14ac:dyDescent="0.2">
      <c r="A36" s="160" t="s">
        <v>3149</v>
      </c>
      <c r="B36" s="365" t="s">
        <v>3150</v>
      </c>
      <c r="C36" s="271"/>
      <c r="D36" s="271"/>
      <c r="E36" s="271"/>
      <c r="F36" s="271"/>
      <c r="G36" s="273"/>
      <c r="H36" s="161" t="s">
        <v>2312</v>
      </c>
      <c r="I36" s="162">
        <f t="shared" si="0"/>
        <v>1</v>
      </c>
      <c r="J36" s="29">
        <v>1</v>
      </c>
      <c r="K36" s="29"/>
    </row>
    <row r="37" spans="1:11" ht="13.5" x14ac:dyDescent="0.2">
      <c r="A37" s="160" t="s">
        <v>3151</v>
      </c>
      <c r="B37" s="365" t="s">
        <v>3152</v>
      </c>
      <c r="C37" s="271"/>
      <c r="D37" s="271"/>
      <c r="E37" s="271"/>
      <c r="F37" s="271"/>
      <c r="G37" s="273"/>
      <c r="H37" s="161" t="s">
        <v>2312</v>
      </c>
      <c r="I37" s="162">
        <f t="shared" si="0"/>
        <v>0</v>
      </c>
      <c r="J37" s="29"/>
      <c r="K37" s="29"/>
    </row>
    <row r="38" spans="1:11" ht="13.5" x14ac:dyDescent="0.2">
      <c r="A38" s="160" t="s">
        <v>3153</v>
      </c>
      <c r="B38" s="365" t="s">
        <v>3154</v>
      </c>
      <c r="C38" s="271"/>
      <c r="D38" s="271"/>
      <c r="E38" s="271"/>
      <c r="F38" s="271"/>
      <c r="G38" s="273"/>
      <c r="H38" s="161" t="s">
        <v>2312</v>
      </c>
      <c r="I38" s="162">
        <f t="shared" si="0"/>
        <v>0</v>
      </c>
      <c r="J38" s="29"/>
      <c r="K38" s="29"/>
    </row>
    <row r="39" spans="1:11" ht="13.5" x14ac:dyDescent="0.2">
      <c r="A39" s="160" t="s">
        <v>3155</v>
      </c>
      <c r="B39" s="365" t="s">
        <v>3156</v>
      </c>
      <c r="C39" s="271"/>
      <c r="D39" s="271"/>
      <c r="E39" s="271"/>
      <c r="F39" s="271"/>
      <c r="G39" s="273"/>
      <c r="H39" s="161" t="s">
        <v>2312</v>
      </c>
      <c r="I39" s="162">
        <f t="shared" si="0"/>
        <v>1</v>
      </c>
      <c r="J39" s="29">
        <v>1</v>
      </c>
      <c r="K39" s="29"/>
    </row>
    <row r="40" spans="1:11" ht="13.5" x14ac:dyDescent="0.2">
      <c r="A40" s="160" t="s">
        <v>3157</v>
      </c>
      <c r="B40" s="365" t="s">
        <v>3158</v>
      </c>
      <c r="C40" s="271"/>
      <c r="D40" s="271"/>
      <c r="E40" s="271"/>
      <c r="F40" s="271"/>
      <c r="G40" s="273"/>
      <c r="H40" s="161" t="s">
        <v>2312</v>
      </c>
      <c r="I40" s="162">
        <f t="shared" si="0"/>
        <v>1</v>
      </c>
      <c r="J40" s="29">
        <v>1</v>
      </c>
      <c r="K40" s="29"/>
    </row>
    <row r="41" spans="1:11" ht="13.5" x14ac:dyDescent="0.2">
      <c r="A41" s="160" t="s">
        <v>3159</v>
      </c>
      <c r="B41" s="365" t="s">
        <v>3160</v>
      </c>
      <c r="C41" s="271"/>
      <c r="D41" s="271"/>
      <c r="E41" s="271"/>
      <c r="F41" s="271"/>
      <c r="G41" s="273"/>
      <c r="H41" s="161" t="s">
        <v>2312</v>
      </c>
      <c r="I41" s="162">
        <f t="shared" si="0"/>
        <v>0</v>
      </c>
      <c r="J41" s="29"/>
      <c r="K41" s="29"/>
    </row>
    <row r="42" spans="1:11" ht="13.5" x14ac:dyDescent="0.2">
      <c r="A42" s="160" t="s">
        <v>3161</v>
      </c>
      <c r="B42" s="365" t="s">
        <v>3162</v>
      </c>
      <c r="C42" s="271"/>
      <c r="D42" s="271"/>
      <c r="E42" s="271"/>
      <c r="F42" s="271"/>
      <c r="G42" s="273"/>
      <c r="H42" s="161" t="s">
        <v>2312</v>
      </c>
      <c r="I42" s="162">
        <f t="shared" si="0"/>
        <v>1</v>
      </c>
      <c r="J42" s="29"/>
      <c r="K42" s="29">
        <v>1</v>
      </c>
    </row>
    <row r="43" spans="1:11" ht="13.5" x14ac:dyDescent="0.2">
      <c r="A43" s="160" t="s">
        <v>3163</v>
      </c>
      <c r="B43" s="365" t="s">
        <v>3164</v>
      </c>
      <c r="C43" s="271"/>
      <c r="D43" s="271"/>
      <c r="E43" s="271"/>
      <c r="F43" s="271"/>
      <c r="G43" s="273"/>
      <c r="H43" s="161" t="s">
        <v>2312</v>
      </c>
      <c r="I43" s="162">
        <f t="shared" si="0"/>
        <v>0</v>
      </c>
      <c r="J43" s="29"/>
      <c r="K43" s="29"/>
    </row>
    <row r="44" spans="1:11" ht="13.5" x14ac:dyDescent="0.2">
      <c r="A44" s="160" t="s">
        <v>3165</v>
      </c>
      <c r="B44" s="365" t="s">
        <v>3166</v>
      </c>
      <c r="C44" s="271"/>
      <c r="D44" s="271"/>
      <c r="E44" s="271"/>
      <c r="F44" s="271"/>
      <c r="G44" s="273"/>
      <c r="H44" s="161" t="s">
        <v>2312</v>
      </c>
      <c r="I44" s="162">
        <f t="shared" si="0"/>
        <v>0</v>
      </c>
      <c r="J44" s="29"/>
      <c r="K44" s="29"/>
    </row>
    <row r="45" spans="1:11" ht="13.5" x14ac:dyDescent="0.2">
      <c r="A45" s="160" t="s">
        <v>3167</v>
      </c>
      <c r="B45" s="365" t="s">
        <v>3168</v>
      </c>
      <c r="C45" s="271"/>
      <c r="D45" s="271"/>
      <c r="E45" s="271"/>
      <c r="F45" s="271"/>
      <c r="G45" s="273"/>
      <c r="H45" s="161" t="s">
        <v>2312</v>
      </c>
      <c r="I45" s="162">
        <f t="shared" si="0"/>
        <v>4</v>
      </c>
      <c r="J45" s="29">
        <v>2</v>
      </c>
      <c r="K45" s="29">
        <v>2</v>
      </c>
    </row>
    <row r="47" spans="1:11" ht="13.5" x14ac:dyDescent="0.25">
      <c r="A47" s="18"/>
      <c r="B47" s="18"/>
      <c r="C47" s="1"/>
      <c r="D47" s="1"/>
      <c r="E47" s="1"/>
      <c r="F47" s="1"/>
      <c r="G47" s="18"/>
      <c r="H47" s="18"/>
      <c r="I47" s="18"/>
      <c r="J47" s="18"/>
      <c r="K47" s="18"/>
    </row>
    <row r="49" spans="6:9" ht="14.25" thickBot="1" x14ac:dyDescent="0.3">
      <c r="F49" s="18"/>
      <c r="G49" s="18"/>
      <c r="H49" s="18"/>
      <c r="I49" s="1"/>
    </row>
    <row r="50" spans="6:9" ht="14.25" thickTop="1" x14ac:dyDescent="0.2">
      <c r="F50" s="302" t="s">
        <v>71</v>
      </c>
      <c r="G50" s="505"/>
      <c r="H50" s="505"/>
      <c r="I50" s="1"/>
    </row>
    <row r="51" spans="6:9" ht="13.5" x14ac:dyDescent="0.25">
      <c r="F51" s="503" t="s">
        <v>72</v>
      </c>
      <c r="G51" s="285"/>
      <c r="H51" s="285"/>
      <c r="I51" s="1"/>
    </row>
    <row r="52" spans="6:9" ht="13.5" x14ac:dyDescent="0.25">
      <c r="F52" s="503" t="s">
        <v>73</v>
      </c>
      <c r="G52" s="285"/>
      <c r="H52" s="285"/>
      <c r="I52" s="1"/>
    </row>
  </sheetData>
  <mergeCells count="48">
    <mergeCell ref="F52:H52"/>
    <mergeCell ref="B34:G34"/>
    <mergeCell ref="B35:G35"/>
    <mergeCell ref="B36:G36"/>
    <mergeCell ref="B37:G37"/>
    <mergeCell ref="B38:G38"/>
    <mergeCell ref="B39:G39"/>
    <mergeCell ref="B40:G40"/>
    <mergeCell ref="B43:G43"/>
    <mergeCell ref="B44:G44"/>
    <mergeCell ref="B45:G45"/>
    <mergeCell ref="F50:H50"/>
    <mergeCell ref="F51:H51"/>
    <mergeCell ref="B31:G31"/>
    <mergeCell ref="B32:G32"/>
    <mergeCell ref="B33:G33"/>
    <mergeCell ref="B41:G41"/>
    <mergeCell ref="B42:G42"/>
    <mergeCell ref="B21:G21"/>
    <mergeCell ref="B22:G22"/>
    <mergeCell ref="B23:G23"/>
    <mergeCell ref="B24:G24"/>
    <mergeCell ref="B25:G25"/>
    <mergeCell ref="B26:G26"/>
    <mergeCell ref="B27:G27"/>
    <mergeCell ref="B28:G28"/>
    <mergeCell ref="B29:G29"/>
    <mergeCell ref="B30:G30"/>
    <mergeCell ref="B11:G11"/>
    <mergeCell ref="B12:G12"/>
    <mergeCell ref="B13:G13"/>
    <mergeCell ref="B14:G14"/>
    <mergeCell ref="B15:G15"/>
    <mergeCell ref="B16:G16"/>
    <mergeCell ref="B17:G17"/>
    <mergeCell ref="B18:G18"/>
    <mergeCell ref="B19:G19"/>
    <mergeCell ref="B20:G20"/>
    <mergeCell ref="A1:K2"/>
    <mergeCell ref="A4:G5"/>
    <mergeCell ref="H4:H5"/>
    <mergeCell ref="I4:I5"/>
    <mergeCell ref="J4:K4"/>
    <mergeCell ref="B6:G6"/>
    <mergeCell ref="B7:G7"/>
    <mergeCell ref="B8:G8"/>
    <mergeCell ref="B9:G9"/>
    <mergeCell ref="B10:G10"/>
  </mergeCells>
  <pageMargins left="0.7" right="0.7" top="0.75" bottom="0.75" header="0.3" footer="0.3"/>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16</vt:i4>
      </vt:variant>
    </vt:vector>
  </HeadingPairs>
  <TitlesOfParts>
    <vt:vector size="36" baseType="lpstr">
      <vt:lpstr>Indice</vt:lpstr>
      <vt:lpstr>presup</vt:lpstr>
      <vt:lpstr>unitario</vt:lpstr>
      <vt:lpstr>BASICOS SIN AIU </vt:lpstr>
      <vt:lpstr>precios </vt:lpstr>
      <vt:lpstr>aiu</vt:lpstr>
      <vt:lpstr>F.P</vt:lpstr>
      <vt:lpstr>POLIZA</vt:lpstr>
      <vt:lpstr>consolidado</vt:lpstr>
      <vt:lpstr>CUADRILLAS</vt:lpstr>
      <vt:lpstr>EQUIPOS</vt:lpstr>
      <vt:lpstr>CANT BOCA HATO</vt:lpstr>
      <vt:lpstr>CANT PTAP HATO</vt:lpstr>
      <vt:lpstr>ALMACENAMIENTO</vt:lpstr>
      <vt:lpstr>VENTOSAS</vt:lpstr>
      <vt:lpstr>DISTRIB</vt:lpstr>
      <vt:lpstr>21</vt:lpstr>
      <vt:lpstr>MICRO Y MACRO</vt:lpstr>
      <vt:lpstr>VIADUCTO</vt:lpstr>
      <vt:lpstr>ELECTRICO</vt:lpstr>
      <vt:lpstr>AA_APUS</vt:lpstr>
      <vt:lpstr>AA_Cimentacion</vt:lpstr>
      <vt:lpstr>AA_Cuadrillas</vt:lpstr>
      <vt:lpstr>AA_Equipos</vt:lpstr>
      <vt:lpstr>AA_Materiales</vt:lpstr>
      <vt:lpstr>AA_Presupuesto</vt:lpstr>
      <vt:lpstr>AA_Unitarios</vt:lpstr>
      <vt:lpstr>aiu!Área_de_impresión</vt:lpstr>
      <vt:lpstr>ALMACENAMIENTO!Área_de_impresión</vt:lpstr>
      <vt:lpstr>DISTRIB!Área_de_impresión</vt:lpstr>
      <vt:lpstr>F.P!Área_de_impresión</vt:lpstr>
      <vt:lpstr>'precios '!Área_de_impresión</vt:lpstr>
      <vt:lpstr>presup!Área_de_impresión</vt:lpstr>
      <vt:lpstr>unitario!Área_de_impresión</vt:lpstr>
      <vt:lpstr>VIADUCTO!Área_de_impresión</vt:lpstr>
      <vt:lpstr>B4borrar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Incolsam_01</dc:creator>
  <cp:lastModifiedBy>Ing. Clara Mireya</cp:lastModifiedBy>
  <cp:lastPrinted>2026-07-01T20:58:55Z</cp:lastPrinted>
  <dcterms:created xsi:type="dcterms:W3CDTF">2004-03-25T14:44:42Z</dcterms:created>
  <dcterms:modified xsi:type="dcterms:W3CDTF">2026-07-17T03:58:40Z</dcterms:modified>
</cp:coreProperties>
</file>